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a32\Desktop\Arbiter_0.52.3\"/>
    </mc:Choice>
  </mc:AlternateContent>
  <xr:revisionPtr revIDLastSave="0" documentId="13_ncr:1_{38B7AAC1-56EC-4E07-AFDF-82767C6D21C4}" xr6:coauthVersionLast="45" xr6:coauthVersionMax="45" xr10:uidLastSave="{00000000-0000-0000-0000-000000000000}"/>
  <bookViews>
    <workbookView xWindow="-108" yWindow="-108" windowWidth="23256" windowHeight="12576" tabRatio="842" activeTab="5" xr2:uid="{00000000-000D-0000-FFFF-FFFF00000000}"/>
  </bookViews>
  <sheets>
    <sheet name="Arb" sheetId="4" r:id="rId1"/>
    <sheet name="Blast" sheetId="45" r:id="rId2"/>
    <sheet name="Week" sheetId="33" r:id="rId3"/>
    <sheet name="LSF" sheetId="40" r:id="rId4"/>
    <sheet name="Mon" sheetId="9" r:id="rId5"/>
    <sheet name="Qter" sheetId="34" r:id="rId6"/>
    <sheet name="Half" sheetId="35" r:id="rId7"/>
    <sheet name="Year" sheetId="18" r:id="rId8"/>
    <sheet name="BEG" sheetId="41" r:id="rId9"/>
    <sheet name="INT" sheetId="42" r:id="rId10"/>
    <sheet name="EXP" sheetId="43" r:id="rId11"/>
    <sheet name="YA" sheetId="44" r:id="rId12"/>
    <sheet name="Range" sheetId="39" r:id="rId13"/>
    <sheet name="YT" sheetId="37" r:id="rId14"/>
    <sheet name="Num" sheetId="20" r:id="rId15"/>
    <sheet name="Time" sheetId="21" r:id="rId16"/>
    <sheet name="Bvs" sheetId="22" r:id="rId17"/>
    <sheet name="QG" sheetId="23" r:id="rId18"/>
    <sheet name="Sao" sheetId="26" r:id="rId19"/>
    <sheet name="Corr" sheetId="25" r:id="rId20"/>
    <sheet name="BV" sheetId="29" r:id="rId21"/>
    <sheet name="ASB" sheetId="30" r:id="rId22"/>
  </sheets>
  <functionGroups builtInGroupCount="19"/>
  <definedNames>
    <definedName name="_xlnm._FilterDatabase" localSheetId="0" hidden="1">Arb!#REF!</definedName>
    <definedName name="_xlnm._FilterDatabase" localSheetId="4" hidden="1">Mon!$C$1:$C$1</definedName>
  </definedNames>
  <calcPr calcId="181029" calcMode="manual"/>
  <fileRecoveryPr autoRecover="0"/>
</workbook>
</file>

<file path=xl/calcChain.xml><?xml version="1.0" encoding="utf-8"?>
<calcChain xmlns="http://schemas.openxmlformats.org/spreadsheetml/2006/main">
  <c r="AE13" i="34" l="1"/>
  <c r="S413" i="30" l="1"/>
  <c r="S424" i="30"/>
  <c r="T417" i="30" l="1"/>
  <c r="U417" i="30"/>
  <c r="V417" i="30"/>
  <c r="T418" i="30"/>
  <c r="U418" i="30"/>
  <c r="V418" i="30"/>
  <c r="T419" i="30"/>
  <c r="U419" i="30"/>
  <c r="V419" i="30"/>
  <c r="T420" i="30"/>
  <c r="U420" i="30"/>
  <c r="V420" i="30"/>
  <c r="T421" i="30"/>
  <c r="U421" i="30"/>
  <c r="V421" i="30"/>
  <c r="T422" i="30"/>
  <c r="U422" i="30"/>
  <c r="V422" i="30"/>
  <c r="U416" i="30"/>
  <c r="V416" i="30"/>
  <c r="T416" i="30"/>
  <c r="U414" i="30"/>
  <c r="V414" i="30"/>
  <c r="T414" i="30"/>
  <c r="V431" i="30" l="1"/>
  <c r="V430" i="30"/>
  <c r="V429" i="30"/>
  <c r="V428" i="30"/>
  <c r="V427" i="30"/>
  <c r="V426" i="30"/>
  <c r="V425" i="30"/>
  <c r="U431" i="30"/>
  <c r="U430" i="30"/>
  <c r="U429" i="30"/>
  <c r="U428" i="30"/>
  <c r="U427" i="30"/>
  <c r="U426" i="30"/>
  <c r="U425" i="30"/>
  <c r="T430" i="30" l="1"/>
  <c r="T429" i="30"/>
  <c r="T428" i="30"/>
  <c r="T427" i="30"/>
  <c r="T426" i="30"/>
  <c r="T425" i="30"/>
  <c r="BA1" i="9" l="1"/>
  <c r="BB1" i="34" l="1"/>
  <c r="BB1" i="35"/>
  <c r="AZ1" i="18"/>
  <c r="A102" i="37"/>
  <c r="A101" i="37"/>
  <c r="A100" i="37"/>
  <c r="A99" i="37"/>
  <c r="A98" i="37" l="1"/>
  <c r="A97" i="37"/>
  <c r="A96" i="37"/>
  <c r="A95" i="37"/>
  <c r="A94" i="37"/>
  <c r="A93" i="37"/>
  <c r="A92" i="37"/>
  <c r="A91" i="37"/>
  <c r="AG41" i="30" l="1"/>
  <c r="AG40" i="30"/>
  <c r="AG39" i="30"/>
  <c r="AG38" i="30"/>
  <c r="L1" i="20"/>
  <c r="P1" i="20" s="1"/>
  <c r="T1" i="20" s="1"/>
  <c r="X1" i="20" s="1"/>
  <c r="AB1" i="20" s="1"/>
  <c r="AG43" i="30" l="1"/>
  <c r="AK35" i="4" l="1"/>
  <c r="AG42" i="30" l="1"/>
  <c r="T86" i="30" l="1"/>
  <c r="AA1" i="40" l="1"/>
  <c r="I71" i="20" l="1"/>
  <c r="I46" i="20"/>
  <c r="I39" i="20"/>
  <c r="I2" i="20"/>
  <c r="P330" i="30" l="1"/>
  <c r="T330" i="30" s="1"/>
  <c r="P329" i="30"/>
  <c r="T329" i="30" s="1"/>
  <c r="P328" i="30"/>
  <c r="T328" i="30" s="1"/>
  <c r="P327" i="30"/>
  <c r="T327" i="30" s="1"/>
  <c r="P326" i="30"/>
  <c r="T326" i="30" s="1"/>
  <c r="P325" i="30"/>
  <c r="T325" i="30" s="1"/>
  <c r="P324" i="30"/>
  <c r="T324" i="30" s="1"/>
  <c r="P323" i="30"/>
  <c r="T323" i="30" s="1"/>
  <c r="P322" i="30"/>
  <c r="T322" i="30" s="1"/>
  <c r="P321" i="30"/>
  <c r="T321" i="30" s="1"/>
  <c r="P320" i="30"/>
  <c r="T320" i="30" s="1"/>
  <c r="P319" i="30"/>
  <c r="T319" i="30" s="1"/>
  <c r="P318" i="30"/>
  <c r="T318" i="30" s="1"/>
  <c r="P317" i="30"/>
  <c r="T317" i="30" s="1"/>
  <c r="P316" i="30"/>
  <c r="T316" i="30" s="1"/>
  <c r="P315" i="30"/>
  <c r="T315" i="30" s="1"/>
  <c r="P314" i="30"/>
  <c r="T314" i="30" s="1"/>
  <c r="P313" i="30"/>
  <c r="T313" i="30" s="1"/>
  <c r="P312" i="30"/>
  <c r="T312" i="30" s="1"/>
  <c r="P311" i="30"/>
  <c r="T311" i="30" s="1"/>
  <c r="P310" i="30"/>
  <c r="T310" i="30" s="1"/>
  <c r="P309" i="30"/>
  <c r="T309" i="30" s="1"/>
  <c r="P308" i="30"/>
  <c r="T308" i="30" s="1"/>
  <c r="Z154" i="30" l="1"/>
  <c r="Z155" i="30" l="1"/>
  <c r="Q154" i="30"/>
  <c r="R154" i="30"/>
  <c r="S154" i="30"/>
  <c r="T154" i="30"/>
  <c r="U154" i="30"/>
  <c r="V154" i="30"/>
  <c r="W154" i="30"/>
  <c r="X154" i="30"/>
  <c r="Y154" i="30"/>
  <c r="Q155" i="30"/>
  <c r="R155" i="30"/>
  <c r="S155" i="30"/>
  <c r="T155" i="30"/>
  <c r="U155" i="30"/>
  <c r="V155" i="30"/>
  <c r="W155" i="30"/>
  <c r="X155" i="30"/>
  <c r="Y155" i="30"/>
  <c r="P155" i="30"/>
  <c r="P154" i="30"/>
  <c r="O155" i="30"/>
  <c r="O154" i="30"/>
  <c r="C42" i="26" l="1"/>
  <c r="D42" i="26"/>
  <c r="F42" i="26" s="1"/>
  <c r="H42" i="26"/>
  <c r="L42" i="26"/>
  <c r="O42" i="26"/>
  <c r="P42" i="26"/>
  <c r="R42" i="26" s="1"/>
  <c r="T42" i="26"/>
  <c r="X42" i="26"/>
  <c r="AA42" i="26"/>
  <c r="AB42" i="26"/>
  <c r="AD42" i="26" s="1"/>
  <c r="AF42" i="26"/>
  <c r="AJ42" i="26"/>
  <c r="C43" i="26"/>
  <c r="D43" i="26"/>
  <c r="F43" i="26" s="1"/>
  <c r="H43" i="26"/>
  <c r="L43" i="26"/>
  <c r="O43" i="26"/>
  <c r="P43" i="26"/>
  <c r="R43" i="26" s="1"/>
  <c r="T43" i="26"/>
  <c r="X43" i="26"/>
  <c r="AA43" i="26"/>
  <c r="AB43" i="26"/>
  <c r="AD43" i="26" s="1"/>
  <c r="AF43" i="26"/>
  <c r="AJ43" i="26"/>
  <c r="C44" i="26"/>
  <c r="D44" i="26"/>
  <c r="F44" i="26" s="1"/>
  <c r="H44" i="26"/>
  <c r="L44" i="26"/>
  <c r="O44" i="26"/>
  <c r="P44" i="26"/>
  <c r="R44" i="26" s="1"/>
  <c r="T44" i="26"/>
  <c r="X44" i="26"/>
  <c r="AA44" i="26"/>
  <c r="AB44" i="26"/>
  <c r="AE44" i="26" s="1"/>
  <c r="AF44" i="26"/>
  <c r="AJ44" i="26"/>
  <c r="C45" i="26"/>
  <c r="D45" i="26"/>
  <c r="F45" i="26" s="1"/>
  <c r="H45" i="26"/>
  <c r="L45" i="26"/>
  <c r="O45" i="26"/>
  <c r="P45" i="26"/>
  <c r="R45" i="26" s="1"/>
  <c r="T45" i="26"/>
  <c r="X45" i="26"/>
  <c r="AA45" i="26"/>
  <c r="AB45" i="26"/>
  <c r="AD45" i="26" s="1"/>
  <c r="AF45" i="26"/>
  <c r="AJ45" i="26"/>
  <c r="C46" i="26"/>
  <c r="D46" i="26"/>
  <c r="F46" i="26" s="1"/>
  <c r="H46" i="26"/>
  <c r="L46" i="26"/>
  <c r="O46" i="26"/>
  <c r="P46" i="26"/>
  <c r="R46" i="26" s="1"/>
  <c r="T46" i="26"/>
  <c r="X46" i="26"/>
  <c r="AA46" i="26"/>
  <c r="AB46" i="26"/>
  <c r="AD46" i="26" s="1"/>
  <c r="AF46" i="26"/>
  <c r="AJ46" i="26"/>
  <c r="C47" i="26"/>
  <c r="D47" i="26"/>
  <c r="F47" i="26" s="1"/>
  <c r="H47" i="26"/>
  <c r="L47" i="26"/>
  <c r="O47" i="26"/>
  <c r="P47" i="26"/>
  <c r="R47" i="26" s="1"/>
  <c r="T47" i="26"/>
  <c r="X47" i="26"/>
  <c r="AA47" i="26"/>
  <c r="AB47" i="26"/>
  <c r="AD47" i="26" s="1"/>
  <c r="AF47" i="26"/>
  <c r="AJ47" i="26"/>
  <c r="C48" i="26"/>
  <c r="D48" i="26"/>
  <c r="F48" i="26" s="1"/>
  <c r="H48" i="26"/>
  <c r="L48" i="26"/>
  <c r="O48" i="26"/>
  <c r="P48" i="26"/>
  <c r="R48" i="26" s="1"/>
  <c r="T48" i="26"/>
  <c r="X48" i="26"/>
  <c r="AA48" i="26"/>
  <c r="AB48" i="26"/>
  <c r="AD48" i="26" s="1"/>
  <c r="AF48" i="26"/>
  <c r="AJ48" i="26"/>
  <c r="C49" i="26"/>
  <c r="D49" i="26"/>
  <c r="F49" i="26" s="1"/>
  <c r="H49" i="26"/>
  <c r="L49" i="26"/>
  <c r="O49" i="26"/>
  <c r="P49" i="26"/>
  <c r="R49" i="26" s="1"/>
  <c r="T49" i="26"/>
  <c r="X49" i="26"/>
  <c r="AA49" i="26"/>
  <c r="AB49" i="26"/>
  <c r="AD49" i="26" s="1"/>
  <c r="AF49" i="26"/>
  <c r="AJ49" i="26"/>
  <c r="C50" i="26"/>
  <c r="D50" i="26"/>
  <c r="F50" i="26" s="1"/>
  <c r="H50" i="26"/>
  <c r="L50" i="26"/>
  <c r="O50" i="26"/>
  <c r="P50" i="26"/>
  <c r="R50" i="26" s="1"/>
  <c r="T50" i="26"/>
  <c r="X50" i="26"/>
  <c r="AA50" i="26"/>
  <c r="AB50" i="26"/>
  <c r="AD50" i="26" s="1"/>
  <c r="AF50" i="26"/>
  <c r="AJ50" i="26"/>
  <c r="C51" i="26"/>
  <c r="D51" i="26"/>
  <c r="F51" i="26" s="1"/>
  <c r="H51" i="26"/>
  <c r="L51" i="26"/>
  <c r="O51" i="26"/>
  <c r="P51" i="26"/>
  <c r="R51" i="26" s="1"/>
  <c r="T51" i="26"/>
  <c r="X51" i="26"/>
  <c r="AA51" i="26"/>
  <c r="AB51" i="26"/>
  <c r="AD51" i="26" s="1"/>
  <c r="AF51" i="26"/>
  <c r="AJ51" i="26"/>
  <c r="C52" i="26"/>
  <c r="D52" i="26"/>
  <c r="F52" i="26" s="1"/>
  <c r="H52" i="26"/>
  <c r="L52" i="26"/>
  <c r="O52" i="26"/>
  <c r="P52" i="26"/>
  <c r="R52" i="26" s="1"/>
  <c r="T52" i="26"/>
  <c r="X52" i="26"/>
  <c r="AA52" i="26"/>
  <c r="AB52" i="26"/>
  <c r="AD52" i="26" s="1"/>
  <c r="AF52" i="26"/>
  <c r="AJ52" i="26"/>
  <c r="C53" i="26"/>
  <c r="D53" i="26"/>
  <c r="F53" i="26" s="1"/>
  <c r="H53" i="26"/>
  <c r="L53" i="26"/>
  <c r="O53" i="26"/>
  <c r="P53" i="26"/>
  <c r="R53" i="26" s="1"/>
  <c r="T53" i="26"/>
  <c r="X53" i="26"/>
  <c r="AA53" i="26"/>
  <c r="AB53" i="26"/>
  <c r="AD53" i="26" s="1"/>
  <c r="AF53" i="26"/>
  <c r="AJ53" i="26"/>
  <c r="C54" i="26"/>
  <c r="D54" i="26"/>
  <c r="F54" i="26" s="1"/>
  <c r="H54" i="26"/>
  <c r="L54" i="26"/>
  <c r="O54" i="26"/>
  <c r="P54" i="26"/>
  <c r="R54" i="26" s="1"/>
  <c r="T54" i="26"/>
  <c r="X54" i="26"/>
  <c r="AA54" i="26"/>
  <c r="AB54" i="26"/>
  <c r="AD54" i="26" s="1"/>
  <c r="AF54" i="26"/>
  <c r="AJ54" i="26"/>
  <c r="C55" i="26"/>
  <c r="D55" i="26"/>
  <c r="F55" i="26" s="1"/>
  <c r="H55" i="26"/>
  <c r="L55" i="26"/>
  <c r="O55" i="26"/>
  <c r="P55" i="26"/>
  <c r="R55" i="26" s="1"/>
  <c r="T55" i="26"/>
  <c r="X55" i="26"/>
  <c r="AA55" i="26"/>
  <c r="AB55" i="26"/>
  <c r="AD55" i="26" s="1"/>
  <c r="AF55" i="26"/>
  <c r="AJ55" i="26"/>
  <c r="C56" i="26"/>
  <c r="D56" i="26"/>
  <c r="F56" i="26" s="1"/>
  <c r="H56" i="26"/>
  <c r="L56" i="26"/>
  <c r="O56" i="26"/>
  <c r="P56" i="26"/>
  <c r="R56" i="26" s="1"/>
  <c r="T56" i="26"/>
  <c r="X56" i="26"/>
  <c r="AA56" i="26"/>
  <c r="AB56" i="26"/>
  <c r="AD56" i="26" s="1"/>
  <c r="AF56" i="26"/>
  <c r="AJ56" i="26"/>
  <c r="C57" i="26"/>
  <c r="D57" i="26"/>
  <c r="F57" i="26" s="1"/>
  <c r="H57" i="26"/>
  <c r="L57" i="26"/>
  <c r="O57" i="26"/>
  <c r="P57" i="26"/>
  <c r="R57" i="26" s="1"/>
  <c r="T57" i="26"/>
  <c r="X57" i="26"/>
  <c r="AA57" i="26"/>
  <c r="AB57" i="26"/>
  <c r="AD57" i="26" s="1"/>
  <c r="AF57" i="26"/>
  <c r="AJ57" i="26"/>
  <c r="C58" i="26"/>
  <c r="D58" i="26"/>
  <c r="F58" i="26" s="1"/>
  <c r="H58" i="26"/>
  <c r="L58" i="26"/>
  <c r="O58" i="26"/>
  <c r="P58" i="26"/>
  <c r="R58" i="26" s="1"/>
  <c r="T58" i="26"/>
  <c r="X58" i="26"/>
  <c r="AA58" i="26"/>
  <c r="AB58" i="26"/>
  <c r="AD58" i="26" s="1"/>
  <c r="AF58" i="26"/>
  <c r="AJ58" i="26"/>
  <c r="C59" i="26"/>
  <c r="D59" i="26"/>
  <c r="F59" i="26" s="1"/>
  <c r="H59" i="26"/>
  <c r="L59" i="26"/>
  <c r="O59" i="26"/>
  <c r="P59" i="26"/>
  <c r="R59" i="26" s="1"/>
  <c r="T59" i="26"/>
  <c r="X59" i="26"/>
  <c r="AA59" i="26"/>
  <c r="AB59" i="26"/>
  <c r="AD59" i="26" s="1"/>
  <c r="AF59" i="26"/>
  <c r="AJ59" i="26"/>
  <c r="C60" i="26"/>
  <c r="D60" i="26"/>
  <c r="F60" i="26" s="1"/>
  <c r="H60" i="26"/>
  <c r="L60" i="26"/>
  <c r="O60" i="26"/>
  <c r="P60" i="26"/>
  <c r="R60" i="26" s="1"/>
  <c r="T60" i="26"/>
  <c r="X60" i="26"/>
  <c r="AA60" i="26"/>
  <c r="AB60" i="26"/>
  <c r="AD60" i="26" s="1"/>
  <c r="AF60" i="26"/>
  <c r="AJ60" i="26"/>
  <c r="C61" i="26"/>
  <c r="D61" i="26"/>
  <c r="F61" i="26" s="1"/>
  <c r="H61" i="26"/>
  <c r="L61" i="26"/>
  <c r="O61" i="26"/>
  <c r="P61" i="26"/>
  <c r="R61" i="26" s="1"/>
  <c r="T61" i="26"/>
  <c r="X61" i="26"/>
  <c r="AA61" i="26"/>
  <c r="AB61" i="26"/>
  <c r="AD61" i="26" s="1"/>
  <c r="AF61" i="26"/>
  <c r="AJ61" i="26"/>
  <c r="C62" i="26"/>
  <c r="D62" i="26"/>
  <c r="F62" i="26" s="1"/>
  <c r="H62" i="26"/>
  <c r="L62" i="26"/>
  <c r="O62" i="26"/>
  <c r="P62" i="26"/>
  <c r="R62" i="26" s="1"/>
  <c r="T62" i="26"/>
  <c r="X62" i="26"/>
  <c r="AA62" i="26"/>
  <c r="AB62" i="26"/>
  <c r="AD62" i="26" s="1"/>
  <c r="AF62" i="26"/>
  <c r="AJ62" i="26"/>
  <c r="C63" i="26"/>
  <c r="D63" i="26"/>
  <c r="F63" i="26" s="1"/>
  <c r="H63" i="26"/>
  <c r="L63" i="26"/>
  <c r="O63" i="26"/>
  <c r="P63" i="26"/>
  <c r="R63" i="26" s="1"/>
  <c r="T63" i="26"/>
  <c r="X63" i="26"/>
  <c r="AA63" i="26"/>
  <c r="AB63" i="26"/>
  <c r="AD63" i="26" s="1"/>
  <c r="AF63" i="26"/>
  <c r="AJ63" i="26"/>
  <c r="C64" i="26"/>
  <c r="D64" i="26"/>
  <c r="F64" i="26" s="1"/>
  <c r="H64" i="26"/>
  <c r="L64" i="26"/>
  <c r="O64" i="26"/>
  <c r="P64" i="26"/>
  <c r="R64" i="26" s="1"/>
  <c r="T64" i="26"/>
  <c r="X64" i="26"/>
  <c r="AA64" i="26"/>
  <c r="AB64" i="26"/>
  <c r="AD64" i="26" s="1"/>
  <c r="AF64" i="26"/>
  <c r="AJ64" i="26"/>
  <c r="C65" i="26"/>
  <c r="D65" i="26"/>
  <c r="F65" i="26" s="1"/>
  <c r="H65" i="26"/>
  <c r="L65" i="26"/>
  <c r="O65" i="26"/>
  <c r="P65" i="26"/>
  <c r="R65" i="26" s="1"/>
  <c r="T65" i="26"/>
  <c r="X65" i="26"/>
  <c r="AA65" i="26"/>
  <c r="AB65" i="26"/>
  <c r="AD65" i="26" s="1"/>
  <c r="AF65" i="26"/>
  <c r="AJ65" i="26"/>
  <c r="C66" i="26"/>
  <c r="D66" i="26"/>
  <c r="F66" i="26" s="1"/>
  <c r="H66" i="26"/>
  <c r="L66" i="26"/>
  <c r="O66" i="26"/>
  <c r="P66" i="26"/>
  <c r="R66" i="26" s="1"/>
  <c r="T66" i="26"/>
  <c r="X66" i="26"/>
  <c r="AA66" i="26"/>
  <c r="AB66" i="26"/>
  <c r="AD66" i="26" s="1"/>
  <c r="AF66" i="26"/>
  <c r="AJ66" i="26"/>
  <c r="C67" i="26"/>
  <c r="D67" i="26"/>
  <c r="F67" i="26" s="1"/>
  <c r="H67" i="26"/>
  <c r="L67" i="26"/>
  <c r="O67" i="26"/>
  <c r="P67" i="26"/>
  <c r="R67" i="26" s="1"/>
  <c r="T67" i="26"/>
  <c r="X67" i="26"/>
  <c r="AA67" i="26"/>
  <c r="AB67" i="26"/>
  <c r="AD67" i="26" s="1"/>
  <c r="AF67" i="26"/>
  <c r="AJ67" i="26"/>
  <c r="C68" i="26"/>
  <c r="D68" i="26"/>
  <c r="F68" i="26" s="1"/>
  <c r="H68" i="26"/>
  <c r="L68" i="26"/>
  <c r="O68" i="26"/>
  <c r="P68" i="26"/>
  <c r="R68" i="26" s="1"/>
  <c r="T68" i="26"/>
  <c r="X68" i="26"/>
  <c r="AA68" i="26"/>
  <c r="AB68" i="26"/>
  <c r="AD68" i="26" s="1"/>
  <c r="AF68" i="26"/>
  <c r="AJ68" i="26"/>
  <c r="C69" i="26"/>
  <c r="D69" i="26"/>
  <c r="F69" i="26" s="1"/>
  <c r="H69" i="26"/>
  <c r="L69" i="26"/>
  <c r="O69" i="26"/>
  <c r="P69" i="26"/>
  <c r="R69" i="26" s="1"/>
  <c r="T69" i="26"/>
  <c r="X69" i="26"/>
  <c r="AA69" i="26"/>
  <c r="AB69" i="26"/>
  <c r="AD69" i="26" s="1"/>
  <c r="AF69" i="26"/>
  <c r="AJ69" i="26"/>
  <c r="C70" i="26"/>
  <c r="D70" i="26"/>
  <c r="F70" i="26" s="1"/>
  <c r="H70" i="26"/>
  <c r="L70" i="26"/>
  <c r="O70" i="26"/>
  <c r="P70" i="26"/>
  <c r="R70" i="26" s="1"/>
  <c r="T70" i="26"/>
  <c r="X70" i="26"/>
  <c r="AA70" i="26"/>
  <c r="AB70" i="26"/>
  <c r="AD70" i="26" s="1"/>
  <c r="AF70" i="26"/>
  <c r="AJ70" i="26"/>
  <c r="C71" i="26"/>
  <c r="D71" i="26"/>
  <c r="F71" i="26" s="1"/>
  <c r="H71" i="26"/>
  <c r="L71" i="26"/>
  <c r="O71" i="26"/>
  <c r="P71" i="26"/>
  <c r="R71" i="26" s="1"/>
  <c r="T71" i="26"/>
  <c r="X71" i="26"/>
  <c r="AA71" i="26"/>
  <c r="AB71" i="26"/>
  <c r="AD71" i="26" s="1"/>
  <c r="AF71" i="26"/>
  <c r="AJ71" i="26"/>
  <c r="C72" i="26"/>
  <c r="D72" i="26"/>
  <c r="F72" i="26" s="1"/>
  <c r="H72" i="26"/>
  <c r="L72" i="26"/>
  <c r="O72" i="26"/>
  <c r="P72" i="26"/>
  <c r="R72" i="26" s="1"/>
  <c r="T72" i="26"/>
  <c r="X72" i="26"/>
  <c r="AA72" i="26"/>
  <c r="AB72" i="26"/>
  <c r="AD72" i="26" s="1"/>
  <c r="AF72" i="26"/>
  <c r="AJ72" i="26"/>
  <c r="C73" i="26"/>
  <c r="D73" i="26"/>
  <c r="F73" i="26" s="1"/>
  <c r="H73" i="26"/>
  <c r="L73" i="26"/>
  <c r="O73" i="26"/>
  <c r="P73" i="26"/>
  <c r="R73" i="26" s="1"/>
  <c r="T73" i="26"/>
  <c r="X73" i="26"/>
  <c r="AA73" i="26"/>
  <c r="AB73" i="26"/>
  <c r="AD73" i="26" s="1"/>
  <c r="AF73" i="26"/>
  <c r="AJ73" i="26"/>
  <c r="C74" i="26"/>
  <c r="D74" i="26"/>
  <c r="F74" i="26" s="1"/>
  <c r="H74" i="26"/>
  <c r="L74" i="26"/>
  <c r="O74" i="26"/>
  <c r="P74" i="26"/>
  <c r="R74" i="26" s="1"/>
  <c r="T74" i="26"/>
  <c r="X74" i="26"/>
  <c r="AA74" i="26"/>
  <c r="AB74" i="26"/>
  <c r="AD74" i="26" s="1"/>
  <c r="AF74" i="26"/>
  <c r="AJ74" i="26"/>
  <c r="C75" i="26"/>
  <c r="D75" i="26"/>
  <c r="F75" i="26" s="1"/>
  <c r="H75" i="26"/>
  <c r="L75" i="26"/>
  <c r="O75" i="26"/>
  <c r="P75" i="26"/>
  <c r="R75" i="26" s="1"/>
  <c r="T75" i="26"/>
  <c r="X75" i="26"/>
  <c r="AA75" i="26"/>
  <c r="AB75" i="26"/>
  <c r="AD75" i="26" s="1"/>
  <c r="AF75" i="26"/>
  <c r="AJ75" i="26"/>
  <c r="C76" i="26"/>
  <c r="D76" i="26"/>
  <c r="F76" i="26" s="1"/>
  <c r="H76" i="26"/>
  <c r="L76" i="26"/>
  <c r="O76" i="26"/>
  <c r="P76" i="26"/>
  <c r="R76" i="26" s="1"/>
  <c r="T76" i="26"/>
  <c r="X76" i="26"/>
  <c r="AA76" i="26"/>
  <c r="AB76" i="26"/>
  <c r="AD76" i="26" s="1"/>
  <c r="AF76" i="26"/>
  <c r="AJ76" i="26"/>
  <c r="C77" i="26"/>
  <c r="D77" i="26"/>
  <c r="F77" i="26" s="1"/>
  <c r="H77" i="26"/>
  <c r="L77" i="26"/>
  <c r="O77" i="26"/>
  <c r="P77" i="26"/>
  <c r="R77" i="26" s="1"/>
  <c r="T77" i="26"/>
  <c r="X77" i="26"/>
  <c r="AA77" i="26"/>
  <c r="AB77" i="26"/>
  <c r="AD77" i="26" s="1"/>
  <c r="AF77" i="26"/>
  <c r="AJ77" i="26"/>
  <c r="C78" i="26"/>
  <c r="D78" i="26"/>
  <c r="F78" i="26" s="1"/>
  <c r="H78" i="26"/>
  <c r="L78" i="26"/>
  <c r="O78" i="26"/>
  <c r="P78" i="26"/>
  <c r="R78" i="26" s="1"/>
  <c r="T78" i="26"/>
  <c r="X78" i="26"/>
  <c r="AA78" i="26"/>
  <c r="AB78" i="26"/>
  <c r="AD78" i="26" s="1"/>
  <c r="AF78" i="26"/>
  <c r="AJ78" i="26"/>
  <c r="C79" i="26"/>
  <c r="D79" i="26"/>
  <c r="F79" i="26" s="1"/>
  <c r="H79" i="26"/>
  <c r="L79" i="26"/>
  <c r="O79" i="26"/>
  <c r="P79" i="26"/>
  <c r="R79" i="26" s="1"/>
  <c r="T79" i="26"/>
  <c r="X79" i="26"/>
  <c r="AA79" i="26"/>
  <c r="AB79" i="26"/>
  <c r="AD79" i="26" s="1"/>
  <c r="AF79" i="26"/>
  <c r="AJ79" i="26"/>
  <c r="C80" i="26"/>
  <c r="D80" i="26"/>
  <c r="F80" i="26" s="1"/>
  <c r="H80" i="26"/>
  <c r="L80" i="26"/>
  <c r="O80" i="26"/>
  <c r="P80" i="26"/>
  <c r="R80" i="26" s="1"/>
  <c r="T80" i="26"/>
  <c r="X80" i="26"/>
  <c r="AA80" i="26"/>
  <c r="AB80" i="26"/>
  <c r="AD80" i="26" s="1"/>
  <c r="AF80" i="26"/>
  <c r="AJ80" i="26"/>
  <c r="C81" i="26"/>
  <c r="D81" i="26"/>
  <c r="F81" i="26" s="1"/>
  <c r="H81" i="26"/>
  <c r="L81" i="26"/>
  <c r="O81" i="26"/>
  <c r="P81" i="26"/>
  <c r="R81" i="26" s="1"/>
  <c r="T81" i="26"/>
  <c r="X81" i="26"/>
  <c r="AA81" i="26"/>
  <c r="AB81" i="26"/>
  <c r="AD81" i="26" s="1"/>
  <c r="AF81" i="26"/>
  <c r="AJ81" i="26"/>
  <c r="C82" i="26"/>
  <c r="D82" i="26"/>
  <c r="F82" i="26" s="1"/>
  <c r="H82" i="26"/>
  <c r="L82" i="26"/>
  <c r="O82" i="26"/>
  <c r="P82" i="26"/>
  <c r="R82" i="26" s="1"/>
  <c r="T82" i="26"/>
  <c r="X82" i="26"/>
  <c r="AA82" i="26"/>
  <c r="AB82" i="26"/>
  <c r="AD82" i="26" s="1"/>
  <c r="AF82" i="26"/>
  <c r="AJ82" i="26"/>
  <c r="C83" i="26"/>
  <c r="D83" i="26"/>
  <c r="F83" i="26" s="1"/>
  <c r="H83" i="26"/>
  <c r="L83" i="26"/>
  <c r="O83" i="26"/>
  <c r="P83" i="26"/>
  <c r="R83" i="26" s="1"/>
  <c r="T83" i="26"/>
  <c r="X83" i="26"/>
  <c r="AA83" i="26"/>
  <c r="AB83" i="26"/>
  <c r="AD83" i="26" s="1"/>
  <c r="AF83" i="26"/>
  <c r="AJ83" i="26"/>
  <c r="C84" i="26"/>
  <c r="D84" i="26"/>
  <c r="F84" i="26" s="1"/>
  <c r="H84" i="26"/>
  <c r="L84" i="26"/>
  <c r="O84" i="26"/>
  <c r="P84" i="26"/>
  <c r="R84" i="26" s="1"/>
  <c r="T84" i="26"/>
  <c r="X84" i="26"/>
  <c r="AA84" i="26"/>
  <c r="AB84" i="26"/>
  <c r="AD84" i="26" s="1"/>
  <c r="AF84" i="26"/>
  <c r="AJ84" i="26"/>
  <c r="C85" i="26"/>
  <c r="D85" i="26"/>
  <c r="F85" i="26" s="1"/>
  <c r="H85" i="26"/>
  <c r="L85" i="26"/>
  <c r="O85" i="26"/>
  <c r="P85" i="26"/>
  <c r="R85" i="26" s="1"/>
  <c r="T85" i="26"/>
  <c r="X85" i="26"/>
  <c r="AA85" i="26"/>
  <c r="AB85" i="26"/>
  <c r="AD85" i="26" s="1"/>
  <c r="AF85" i="26"/>
  <c r="AJ85" i="26"/>
  <c r="C86" i="26"/>
  <c r="D86" i="26"/>
  <c r="F86" i="26" s="1"/>
  <c r="H86" i="26"/>
  <c r="L86" i="26"/>
  <c r="O86" i="26"/>
  <c r="P86" i="26"/>
  <c r="R86" i="26" s="1"/>
  <c r="T86" i="26"/>
  <c r="X86" i="26"/>
  <c r="AA86" i="26"/>
  <c r="AB86" i="26"/>
  <c r="AD86" i="26" s="1"/>
  <c r="AF86" i="26"/>
  <c r="AJ86" i="26"/>
  <c r="C87" i="26"/>
  <c r="D87" i="26"/>
  <c r="F87" i="26" s="1"/>
  <c r="H87" i="26"/>
  <c r="L87" i="26"/>
  <c r="O87" i="26"/>
  <c r="P87" i="26"/>
  <c r="R87" i="26" s="1"/>
  <c r="T87" i="26"/>
  <c r="X87" i="26"/>
  <c r="AA87" i="26"/>
  <c r="AB87" i="26"/>
  <c r="AD87" i="26" s="1"/>
  <c r="AF87" i="26"/>
  <c r="AJ87" i="26"/>
  <c r="C88" i="26"/>
  <c r="D88" i="26"/>
  <c r="F88" i="26" s="1"/>
  <c r="H88" i="26"/>
  <c r="L88" i="26"/>
  <c r="O88" i="26"/>
  <c r="P88" i="26"/>
  <c r="R88" i="26" s="1"/>
  <c r="T88" i="26"/>
  <c r="X88" i="26"/>
  <c r="AA88" i="26"/>
  <c r="AB88" i="26"/>
  <c r="AD88" i="26" s="1"/>
  <c r="AF88" i="26"/>
  <c r="AJ88" i="26"/>
  <c r="C89" i="26"/>
  <c r="D89" i="26"/>
  <c r="F89" i="26" s="1"/>
  <c r="H89" i="26"/>
  <c r="L89" i="26"/>
  <c r="O89" i="26"/>
  <c r="P89" i="26"/>
  <c r="R89" i="26" s="1"/>
  <c r="T89" i="26"/>
  <c r="X89" i="26"/>
  <c r="AA89" i="26"/>
  <c r="AB89" i="26"/>
  <c r="AD89" i="26" s="1"/>
  <c r="AF89" i="26"/>
  <c r="AJ89" i="26"/>
  <c r="C90" i="26"/>
  <c r="D90" i="26"/>
  <c r="F90" i="26" s="1"/>
  <c r="H90" i="26"/>
  <c r="L90" i="26"/>
  <c r="O90" i="26"/>
  <c r="P90" i="26"/>
  <c r="R90" i="26" s="1"/>
  <c r="T90" i="26"/>
  <c r="X90" i="26"/>
  <c r="AA90" i="26"/>
  <c r="AB90" i="26"/>
  <c r="AD90" i="26" s="1"/>
  <c r="AF90" i="26"/>
  <c r="AJ90" i="26"/>
  <c r="C91" i="26"/>
  <c r="D91" i="26"/>
  <c r="F91" i="26" s="1"/>
  <c r="H91" i="26"/>
  <c r="L91" i="26"/>
  <c r="O91" i="26"/>
  <c r="P91" i="26"/>
  <c r="R91" i="26" s="1"/>
  <c r="T91" i="26"/>
  <c r="X91" i="26"/>
  <c r="AA91" i="26"/>
  <c r="AB91" i="26"/>
  <c r="AD91" i="26" s="1"/>
  <c r="AF91" i="26"/>
  <c r="AJ91" i="26"/>
  <c r="C92" i="26"/>
  <c r="D92" i="26"/>
  <c r="F92" i="26" s="1"/>
  <c r="H92" i="26"/>
  <c r="L92" i="26"/>
  <c r="O92" i="26"/>
  <c r="P92" i="26"/>
  <c r="R92" i="26" s="1"/>
  <c r="T92" i="26"/>
  <c r="X92" i="26"/>
  <c r="AA92" i="26"/>
  <c r="AB92" i="26"/>
  <c r="AD92" i="26" s="1"/>
  <c r="AF92" i="26"/>
  <c r="AJ92" i="26"/>
  <c r="C93" i="26"/>
  <c r="D93" i="26"/>
  <c r="F93" i="26" s="1"/>
  <c r="H93" i="26"/>
  <c r="L93" i="26"/>
  <c r="O93" i="26"/>
  <c r="P93" i="26"/>
  <c r="R93" i="26" s="1"/>
  <c r="T93" i="26"/>
  <c r="X93" i="26"/>
  <c r="AA93" i="26"/>
  <c r="AB93" i="26"/>
  <c r="AD93" i="26" s="1"/>
  <c r="AF93" i="26"/>
  <c r="AJ93" i="26"/>
  <c r="C94" i="26"/>
  <c r="D94" i="26"/>
  <c r="F94" i="26" s="1"/>
  <c r="H94" i="26"/>
  <c r="L94" i="26"/>
  <c r="O94" i="26"/>
  <c r="P94" i="26"/>
  <c r="R94" i="26" s="1"/>
  <c r="T94" i="26"/>
  <c r="X94" i="26"/>
  <c r="AA94" i="26"/>
  <c r="AB94" i="26"/>
  <c r="AD94" i="26" s="1"/>
  <c r="AF94" i="26"/>
  <c r="AJ94" i="26"/>
  <c r="C95" i="26"/>
  <c r="D95" i="26"/>
  <c r="F95" i="26" s="1"/>
  <c r="H95" i="26"/>
  <c r="L95" i="26"/>
  <c r="O95" i="26"/>
  <c r="P95" i="26"/>
  <c r="R95" i="26" s="1"/>
  <c r="T95" i="26"/>
  <c r="X95" i="26"/>
  <c r="AA95" i="26"/>
  <c r="AB95" i="26"/>
  <c r="AD95" i="26" s="1"/>
  <c r="AF95" i="26"/>
  <c r="AJ95" i="26"/>
  <c r="C96" i="26"/>
  <c r="D96" i="26"/>
  <c r="F96" i="26" s="1"/>
  <c r="H96" i="26"/>
  <c r="L96" i="26"/>
  <c r="O96" i="26"/>
  <c r="P96" i="26"/>
  <c r="R96" i="26" s="1"/>
  <c r="T96" i="26"/>
  <c r="X96" i="26"/>
  <c r="AA96" i="26"/>
  <c r="AB96" i="26"/>
  <c r="AD96" i="26" s="1"/>
  <c r="AF96" i="26"/>
  <c r="AJ96" i="26"/>
  <c r="C97" i="26"/>
  <c r="D97" i="26"/>
  <c r="F97" i="26" s="1"/>
  <c r="H97" i="26"/>
  <c r="L97" i="26"/>
  <c r="O97" i="26"/>
  <c r="P97" i="26"/>
  <c r="R97" i="26" s="1"/>
  <c r="T97" i="26"/>
  <c r="X97" i="26"/>
  <c r="AA97" i="26"/>
  <c r="AB97" i="26"/>
  <c r="AD97" i="26" s="1"/>
  <c r="AF97" i="26"/>
  <c r="AJ97" i="26"/>
  <c r="C98" i="26"/>
  <c r="D98" i="26"/>
  <c r="F98" i="26" s="1"/>
  <c r="H98" i="26"/>
  <c r="L98" i="26"/>
  <c r="O98" i="26"/>
  <c r="P98" i="26"/>
  <c r="R98" i="26" s="1"/>
  <c r="T98" i="26"/>
  <c r="X98" i="26"/>
  <c r="AA98" i="26"/>
  <c r="AB98" i="26"/>
  <c r="AD98" i="26" s="1"/>
  <c r="AF98" i="26"/>
  <c r="AJ98" i="26"/>
  <c r="C99" i="26"/>
  <c r="D99" i="26"/>
  <c r="F99" i="26" s="1"/>
  <c r="H99" i="26"/>
  <c r="L99" i="26"/>
  <c r="O99" i="26"/>
  <c r="P99" i="26"/>
  <c r="R99" i="26" s="1"/>
  <c r="T99" i="26"/>
  <c r="X99" i="26"/>
  <c r="AA99" i="26"/>
  <c r="AB99" i="26"/>
  <c r="AD99" i="26" s="1"/>
  <c r="AF99" i="26"/>
  <c r="AJ99" i="26"/>
  <c r="C100" i="26"/>
  <c r="D100" i="26"/>
  <c r="F100" i="26" s="1"/>
  <c r="H100" i="26"/>
  <c r="L100" i="26"/>
  <c r="O100" i="26"/>
  <c r="P100" i="26"/>
  <c r="R100" i="26" s="1"/>
  <c r="T100" i="26"/>
  <c r="X100" i="26"/>
  <c r="AA100" i="26"/>
  <c r="AB100" i="26"/>
  <c r="AD100" i="26" s="1"/>
  <c r="AF100" i="26"/>
  <c r="AJ100" i="26"/>
  <c r="C101" i="26"/>
  <c r="D101" i="26"/>
  <c r="F101" i="26" s="1"/>
  <c r="H101" i="26"/>
  <c r="L101" i="26"/>
  <c r="O101" i="26"/>
  <c r="P101" i="26"/>
  <c r="R101" i="26" s="1"/>
  <c r="T101" i="26"/>
  <c r="X101" i="26"/>
  <c r="AA101" i="26"/>
  <c r="AB101" i="26"/>
  <c r="AD101" i="26" s="1"/>
  <c r="AF101" i="26"/>
  <c r="AJ101" i="26"/>
  <c r="S99" i="26" l="1"/>
  <c r="AD44" i="26"/>
  <c r="S91" i="26"/>
  <c r="S84" i="26"/>
  <c r="G54" i="26"/>
  <c r="G86" i="26"/>
  <c r="S101" i="26"/>
  <c r="S43" i="26"/>
  <c r="AE80" i="26"/>
  <c r="S89" i="26"/>
  <c r="AE66" i="26"/>
  <c r="AE54" i="26"/>
  <c r="G99" i="26"/>
  <c r="AE46" i="26"/>
  <c r="G91" i="26"/>
  <c r="S49" i="26"/>
  <c r="G88" i="26"/>
  <c r="AE62" i="26"/>
  <c r="G52" i="26"/>
  <c r="G48" i="26"/>
  <c r="S42" i="26"/>
  <c r="G82" i="26"/>
  <c r="S56" i="26"/>
  <c r="AE50" i="26"/>
  <c r="AE84" i="26"/>
  <c r="G78" i="26"/>
  <c r="G98" i="26"/>
  <c r="G101" i="26"/>
  <c r="AE93" i="26"/>
  <c r="G90" i="26"/>
  <c r="AE74" i="26"/>
  <c r="G72" i="26"/>
  <c r="S68" i="26"/>
  <c r="AE64" i="26"/>
  <c r="G62" i="26"/>
  <c r="AE42" i="26"/>
  <c r="S95" i="26"/>
  <c r="AE82" i="26"/>
  <c r="G80" i="26"/>
  <c r="S76" i="26"/>
  <c r="AE72" i="26"/>
  <c r="G70" i="26"/>
  <c r="G60" i="26"/>
  <c r="AE52" i="26"/>
  <c r="AE100" i="26"/>
  <c r="AE89" i="26"/>
  <c r="AE70" i="26"/>
  <c r="G68" i="26"/>
  <c r="S64" i="26"/>
  <c r="AE60" i="26"/>
  <c r="G58" i="26"/>
  <c r="G94" i="26"/>
  <c r="AE78" i="26"/>
  <c r="G76" i="26"/>
  <c r="S72" i="26"/>
  <c r="AE68" i="26"/>
  <c r="G66" i="26"/>
  <c r="AE87" i="26"/>
  <c r="AE58" i="26"/>
  <c r="G56" i="26"/>
  <c r="S52" i="26"/>
  <c r="AE97" i="26"/>
  <c r="G93" i="26"/>
  <c r="AE86" i="26"/>
  <c r="G84" i="26"/>
  <c r="S80" i="26"/>
  <c r="AE76" i="26"/>
  <c r="G74" i="26"/>
  <c r="G64" i="26"/>
  <c r="S60" i="26"/>
  <c r="AE56" i="26"/>
  <c r="AE101" i="26"/>
  <c r="G92" i="26"/>
  <c r="AE88" i="26"/>
  <c r="G87" i="26"/>
  <c r="G83" i="26"/>
  <c r="G79" i="26"/>
  <c r="G75" i="26"/>
  <c r="G71" i="26"/>
  <c r="G67" i="26"/>
  <c r="G63" i="26"/>
  <c r="G59" i="26"/>
  <c r="G55" i="26"/>
  <c r="G51" i="26"/>
  <c r="S85" i="26"/>
  <c r="S81" i="26"/>
  <c r="S77" i="26"/>
  <c r="S73" i="26"/>
  <c r="S69" i="26"/>
  <c r="S65" i="26"/>
  <c r="S61" i="26"/>
  <c r="S57" i="26"/>
  <c r="S53" i="26"/>
  <c r="AE83" i="26"/>
  <c r="AE79" i="26"/>
  <c r="AE75" i="26"/>
  <c r="AE71" i="26"/>
  <c r="AE67" i="26"/>
  <c r="AE63" i="26"/>
  <c r="AE59" i="26"/>
  <c r="AE55" i="26"/>
  <c r="AE51" i="26"/>
  <c r="G50" i="26"/>
  <c r="S47" i="26"/>
  <c r="G44" i="26"/>
  <c r="G97" i="26"/>
  <c r="G85" i="26"/>
  <c r="G81" i="26"/>
  <c r="G77" i="26"/>
  <c r="G73" i="26"/>
  <c r="G69" i="26"/>
  <c r="G65" i="26"/>
  <c r="G61" i="26"/>
  <c r="G57" i="26"/>
  <c r="G53" i="26"/>
  <c r="G43" i="26"/>
  <c r="AE98" i="26"/>
  <c r="AE90" i="26"/>
  <c r="G89" i="26"/>
  <c r="S87" i="26"/>
  <c r="S83" i="26"/>
  <c r="S79" i="26"/>
  <c r="S75" i="26"/>
  <c r="S71" i="26"/>
  <c r="S67" i="26"/>
  <c r="S63" i="26"/>
  <c r="S59" i="26"/>
  <c r="S55" i="26"/>
  <c r="S51" i="26"/>
  <c r="S45" i="26"/>
  <c r="G95" i="26"/>
  <c r="AE85" i="26"/>
  <c r="AE81" i="26"/>
  <c r="AE77" i="26"/>
  <c r="AE73" i="26"/>
  <c r="AE69" i="26"/>
  <c r="AE65" i="26"/>
  <c r="AE61" i="26"/>
  <c r="AE57" i="26"/>
  <c r="AE53" i="26"/>
  <c r="AE48" i="26"/>
  <c r="AE43" i="26"/>
  <c r="G46" i="26"/>
  <c r="G42" i="26"/>
  <c r="S86" i="26"/>
  <c r="S82" i="26"/>
  <c r="S78" i="26"/>
  <c r="S74" i="26"/>
  <c r="S70" i="26"/>
  <c r="S66" i="26"/>
  <c r="S62" i="26"/>
  <c r="S58" i="26"/>
  <c r="S54" i="26"/>
  <c r="S97" i="26"/>
  <c r="S93" i="26"/>
  <c r="AE99" i="26"/>
  <c r="AE95" i="26"/>
  <c r="AE91" i="26"/>
  <c r="S100" i="26"/>
  <c r="S96" i="26"/>
  <c r="S92" i="26"/>
  <c r="S88" i="26"/>
  <c r="AE94" i="26"/>
  <c r="G100" i="26"/>
  <c r="G96" i="26"/>
  <c r="S98" i="26"/>
  <c r="S94" i="26"/>
  <c r="S90" i="26"/>
  <c r="AE96" i="26"/>
  <c r="AE92" i="26"/>
  <c r="S50" i="26"/>
  <c r="AE49" i="26"/>
  <c r="G49" i="26"/>
  <c r="S48" i="26"/>
  <c r="AE47" i="26"/>
  <c r="G47" i="26"/>
  <c r="S46" i="26"/>
  <c r="AE45" i="26"/>
  <c r="G45" i="26"/>
  <c r="S44" i="26"/>
  <c r="Q66" i="26"/>
  <c r="E65" i="26"/>
  <c r="Q62" i="26"/>
  <c r="E61" i="26"/>
  <c r="AC59" i="26"/>
  <c r="E57" i="26"/>
  <c r="K49" i="26"/>
  <c r="AI47" i="26"/>
  <c r="E83" i="26"/>
  <c r="AC81" i="26"/>
  <c r="E49" i="26"/>
  <c r="AC47" i="26"/>
  <c r="W46" i="26"/>
  <c r="E42" i="26"/>
  <c r="AG99" i="26"/>
  <c r="AH99" i="26" s="1"/>
  <c r="AG83" i="26"/>
  <c r="AH83" i="26" s="1"/>
  <c r="Q58" i="26"/>
  <c r="E53" i="26"/>
  <c r="Q50" i="26"/>
  <c r="AC93" i="26"/>
  <c r="Q84" i="26"/>
  <c r="K53" i="26"/>
  <c r="W50" i="26"/>
  <c r="I42" i="26"/>
  <c r="J42" i="26" s="1"/>
  <c r="Q46" i="26"/>
  <c r="U43" i="26"/>
  <c r="V43" i="26" s="1"/>
  <c r="W98" i="26"/>
  <c r="K93" i="26"/>
  <c r="K91" i="26"/>
  <c r="W90" i="26"/>
  <c r="K89" i="26"/>
  <c r="W86" i="26"/>
  <c r="AI85" i="26"/>
  <c r="K85" i="26"/>
  <c r="W94" i="26"/>
  <c r="E51" i="26"/>
  <c r="Q48" i="26"/>
  <c r="AC45" i="26"/>
  <c r="AC98" i="26"/>
  <c r="E96" i="26"/>
  <c r="E92" i="26"/>
  <c r="E48" i="26"/>
  <c r="Q80" i="26"/>
  <c r="E79" i="26"/>
  <c r="AC69" i="26"/>
  <c r="AC53" i="26"/>
  <c r="AG96" i="26"/>
  <c r="AH96" i="26" s="1"/>
  <c r="W101" i="26"/>
  <c r="AI100" i="26"/>
  <c r="AC96" i="26"/>
  <c r="W95" i="26"/>
  <c r="Q87" i="26"/>
  <c r="AI80" i="26"/>
  <c r="AG100" i="26"/>
  <c r="AH100" i="26" s="1"/>
  <c r="E100" i="26"/>
  <c r="U99" i="26"/>
  <c r="V99" i="26" s="1"/>
  <c r="E88" i="26"/>
  <c r="I86" i="26"/>
  <c r="J86" i="26" s="1"/>
  <c r="AI84" i="26"/>
  <c r="I82" i="26"/>
  <c r="J82" i="26" s="1"/>
  <c r="E80" i="26"/>
  <c r="AC43" i="26"/>
  <c r="AC101" i="26"/>
  <c r="E99" i="26"/>
  <c r="Q92" i="26"/>
  <c r="Q88" i="26"/>
  <c r="Q76" i="26"/>
  <c r="Q72" i="26"/>
  <c r="E71" i="26"/>
  <c r="AC54" i="26"/>
  <c r="AC42" i="26"/>
  <c r="Q68" i="26"/>
  <c r="E67" i="26"/>
  <c r="Q64" i="26"/>
  <c r="E59" i="26"/>
  <c r="E78" i="26"/>
  <c r="I45" i="26"/>
  <c r="J45" i="26" s="1"/>
  <c r="AI43" i="26"/>
  <c r="E43" i="26"/>
  <c r="AG101" i="26"/>
  <c r="AH101" i="26" s="1"/>
  <c r="AI68" i="26"/>
  <c r="E66" i="26"/>
  <c r="AC64" i="26"/>
  <c r="W63" i="26"/>
  <c r="AI56" i="26"/>
  <c r="AI52" i="26"/>
  <c r="K46" i="26"/>
  <c r="AI77" i="26"/>
  <c r="W76" i="26"/>
  <c r="K75" i="26"/>
  <c r="I69" i="26"/>
  <c r="J69" i="26" s="1"/>
  <c r="E95" i="26"/>
  <c r="U91" i="26"/>
  <c r="V91" i="26" s="1"/>
  <c r="Q89" i="26"/>
  <c r="AG88" i="26"/>
  <c r="AH88" i="26" s="1"/>
  <c r="AC86" i="26"/>
  <c r="AC83" i="26"/>
  <c r="Q82" i="26"/>
  <c r="I76" i="26"/>
  <c r="J76" i="26" s="1"/>
  <c r="K74" i="26"/>
  <c r="W66" i="26"/>
  <c r="W62" i="26"/>
  <c r="AC61" i="26"/>
  <c r="K61" i="26"/>
  <c r="AI59" i="26"/>
  <c r="W58" i="26"/>
  <c r="K57" i="26"/>
  <c r="Q56" i="26"/>
  <c r="E55" i="26"/>
  <c r="Q49" i="26"/>
  <c r="U42" i="26"/>
  <c r="V42" i="26" s="1"/>
  <c r="E84" i="26"/>
  <c r="U76" i="26"/>
  <c r="V76" i="26" s="1"/>
  <c r="Q74" i="26"/>
  <c r="E73" i="26"/>
  <c r="Q52" i="26"/>
  <c r="E47" i="26"/>
  <c r="I46" i="26"/>
  <c r="J46" i="26" s="1"/>
  <c r="Q45" i="26"/>
  <c r="AC92" i="26"/>
  <c r="E87" i="26"/>
  <c r="Q77" i="26"/>
  <c r="Q101" i="26"/>
  <c r="AG97" i="26"/>
  <c r="AH97" i="26" s="1"/>
  <c r="E97" i="26"/>
  <c r="AC95" i="26"/>
  <c r="Q91" i="26"/>
  <c r="K90" i="26"/>
  <c r="U87" i="26"/>
  <c r="V87" i="26" s="1"/>
  <c r="K81" i="26"/>
  <c r="I79" i="26"/>
  <c r="J79" i="26" s="1"/>
  <c r="AC77" i="26"/>
  <c r="AG72" i="26"/>
  <c r="AH72" i="26" s="1"/>
  <c r="AC70" i="26"/>
  <c r="AG55" i="26"/>
  <c r="AH55" i="26" s="1"/>
  <c r="Q51" i="26"/>
  <c r="W92" i="26"/>
  <c r="AI79" i="26"/>
  <c r="K98" i="26"/>
  <c r="AC94" i="26"/>
  <c r="I94" i="26"/>
  <c r="J94" i="26" s="1"/>
  <c r="Q93" i="26"/>
  <c r="AI92" i="26"/>
  <c r="U92" i="26"/>
  <c r="V92" i="26" s="1"/>
  <c r="AC91" i="26"/>
  <c r="E89" i="26"/>
  <c r="AC84" i="26"/>
  <c r="E75" i="26"/>
  <c r="W74" i="26"/>
  <c r="K73" i="26"/>
  <c r="U67" i="26"/>
  <c r="V67" i="26" s="1"/>
  <c r="AC66" i="26"/>
  <c r="AC62" i="26"/>
  <c r="Q57" i="26"/>
  <c r="AI99" i="26"/>
  <c r="AG92" i="26"/>
  <c r="AH92" i="26" s="1"/>
  <c r="W79" i="26"/>
  <c r="AG45" i="26"/>
  <c r="AH45" i="26" s="1"/>
  <c r="AC99" i="26"/>
  <c r="I99" i="26"/>
  <c r="J99" i="26" s="1"/>
  <c r="Q97" i="26"/>
  <c r="AG95" i="26"/>
  <c r="AH95" i="26" s="1"/>
  <c r="AC89" i="26"/>
  <c r="AC82" i="26"/>
  <c r="Q81" i="26"/>
  <c r="E81" i="26"/>
  <c r="AC80" i="26"/>
  <c r="AC78" i="26"/>
  <c r="AC75" i="26"/>
  <c r="AG74" i="26"/>
  <c r="AH74" i="26" s="1"/>
  <c r="AI71" i="26"/>
  <c r="W70" i="26"/>
  <c r="E68" i="26"/>
  <c r="W67" i="26"/>
  <c r="AC63" i="26"/>
  <c r="E62" i="26"/>
  <c r="U58" i="26"/>
  <c r="V58" i="26" s="1"/>
  <c r="AC57" i="26"/>
  <c r="AG56" i="26"/>
  <c r="AH56" i="26" s="1"/>
  <c r="E56" i="26"/>
  <c r="AC51" i="26"/>
  <c r="U46" i="26"/>
  <c r="V46" i="26" s="1"/>
  <c r="E45" i="26"/>
  <c r="AC44" i="26"/>
  <c r="I44" i="26"/>
  <c r="J44" i="26" s="1"/>
  <c r="AI96" i="26"/>
  <c r="W87" i="26"/>
  <c r="K87" i="26"/>
  <c r="K101" i="26"/>
  <c r="U90" i="26"/>
  <c r="V90" i="26" s="1"/>
  <c r="K69" i="26"/>
  <c r="AI67" i="26"/>
  <c r="Q65" i="26"/>
  <c r="Q47" i="26"/>
  <c r="U101" i="26"/>
  <c r="V101" i="26" s="1"/>
  <c r="Q100" i="26"/>
  <c r="E98" i="26"/>
  <c r="AC97" i="26"/>
  <c r="K97" i="26"/>
  <c r="Q94" i="26"/>
  <c r="AG93" i="26"/>
  <c r="AH93" i="26" s="1"/>
  <c r="W91" i="26"/>
  <c r="Q90" i="26"/>
  <c r="AI87" i="26"/>
  <c r="I87" i="26"/>
  <c r="J87" i="26" s="1"/>
  <c r="Q86" i="26"/>
  <c r="E86" i="26"/>
  <c r="AI83" i="26"/>
  <c r="W82" i="26"/>
  <c r="I81" i="26"/>
  <c r="J81" i="26" s="1"/>
  <c r="E76" i="26"/>
  <c r="W75" i="26"/>
  <c r="AC71" i="26"/>
  <c r="Q70" i="26"/>
  <c r="U66" i="26"/>
  <c r="V66" i="26" s="1"/>
  <c r="AC65" i="26"/>
  <c r="K58" i="26"/>
  <c r="AI55" i="26"/>
  <c r="E52" i="26"/>
  <c r="U51" i="26"/>
  <c r="V51" i="26" s="1"/>
  <c r="E44" i="26"/>
  <c r="Q43" i="26"/>
  <c r="W42" i="26"/>
  <c r="U95" i="26"/>
  <c r="V95" i="26" s="1"/>
  <c r="AC90" i="26"/>
  <c r="I85" i="26"/>
  <c r="J85" i="26" s="1"/>
  <c r="AG80" i="26"/>
  <c r="AH80" i="26" s="1"/>
  <c r="AG78" i="26"/>
  <c r="AH78" i="26" s="1"/>
  <c r="I62" i="26"/>
  <c r="J62" i="26" s="1"/>
  <c r="AC56" i="26"/>
  <c r="AG44" i="26"/>
  <c r="AG42" i="26"/>
  <c r="AH42" i="26" s="1"/>
  <c r="I101" i="26"/>
  <c r="J101" i="26" s="1"/>
  <c r="AI97" i="26"/>
  <c r="W96" i="26"/>
  <c r="AI95" i="26"/>
  <c r="AI91" i="26"/>
  <c r="U88" i="26"/>
  <c r="V88" i="26" s="1"/>
  <c r="K86" i="26"/>
  <c r="E85" i="26"/>
  <c r="Q83" i="26"/>
  <c r="E82" i="26"/>
  <c r="K79" i="26"/>
  <c r="Q78" i="26"/>
  <c r="U77" i="26"/>
  <c r="V77" i="26" s="1"/>
  <c r="AI76" i="26"/>
  <c r="AI75" i="26"/>
  <c r="Q73" i="26"/>
  <c r="E69" i="26"/>
  <c r="AC67" i="26"/>
  <c r="Q67" i="26"/>
  <c r="AI63" i="26"/>
  <c r="E63" i="26"/>
  <c r="E60" i="26"/>
  <c r="Q55" i="26"/>
  <c r="E54" i="26"/>
  <c r="AI51" i="26"/>
  <c r="AC49" i="26"/>
  <c r="W47" i="26"/>
  <c r="AC46" i="26"/>
  <c r="E46" i="26"/>
  <c r="K45" i="26"/>
  <c r="Q44" i="26"/>
  <c r="W43" i="26"/>
  <c r="I43" i="26"/>
  <c r="J43" i="26" s="1"/>
  <c r="U98" i="26"/>
  <c r="V98" i="26" s="1"/>
  <c r="I98" i="26"/>
  <c r="J98" i="26" s="1"/>
  <c r="I90" i="26"/>
  <c r="J90" i="26" s="1"/>
  <c r="Q85" i="26"/>
  <c r="AG77" i="26"/>
  <c r="AH77" i="26" s="1"/>
  <c r="E77" i="26"/>
  <c r="AC73" i="26"/>
  <c r="Q60" i="26"/>
  <c r="AC55" i="26"/>
  <c r="Q54" i="26"/>
  <c r="U47" i="26"/>
  <c r="V47" i="26" s="1"/>
  <c r="U45" i="26"/>
  <c r="V45" i="26" s="1"/>
  <c r="AG43" i="26"/>
  <c r="AH43" i="26" s="1"/>
  <c r="Q42" i="26"/>
  <c r="K83" i="26"/>
  <c r="I83" i="26"/>
  <c r="J83" i="26" s="1"/>
  <c r="I54" i="26"/>
  <c r="J54" i="26" s="1"/>
  <c r="K54" i="26"/>
  <c r="W100" i="26"/>
  <c r="Q99" i="26"/>
  <c r="U96" i="26"/>
  <c r="V96" i="26" s="1"/>
  <c r="I96" i="26"/>
  <c r="J96" i="26" s="1"/>
  <c r="K96" i="26"/>
  <c r="K95" i="26"/>
  <c r="E94" i="26"/>
  <c r="I91" i="26"/>
  <c r="J91" i="26" s="1"/>
  <c r="AG90" i="26"/>
  <c r="AH90" i="26" s="1"/>
  <c r="AI90" i="26"/>
  <c r="AI89" i="26"/>
  <c r="AC88" i="26"/>
  <c r="AG85" i="26"/>
  <c r="AH85" i="26" s="1"/>
  <c r="U85" i="26"/>
  <c r="V85" i="26" s="1"/>
  <c r="W85" i="26"/>
  <c r="W84" i="26"/>
  <c r="U84" i="26"/>
  <c r="V84" i="26" s="1"/>
  <c r="I84" i="26"/>
  <c r="J84" i="26" s="1"/>
  <c r="K84" i="26"/>
  <c r="U83" i="26"/>
  <c r="V83" i="26" s="1"/>
  <c r="AC79" i="26"/>
  <c r="E70" i="26"/>
  <c r="K70" i="26"/>
  <c r="U65" i="26"/>
  <c r="V65" i="26" s="1"/>
  <c r="W65" i="26"/>
  <c r="AG82" i="26"/>
  <c r="AH82" i="26" s="1"/>
  <c r="AI82" i="26"/>
  <c r="W99" i="26"/>
  <c r="Q98" i="26"/>
  <c r="K94" i="26"/>
  <c r="E93" i="26"/>
  <c r="AI88" i="26"/>
  <c r="AC87" i="26"/>
  <c r="AG84" i="26"/>
  <c r="AH84" i="26" s="1"/>
  <c r="W54" i="26"/>
  <c r="U54" i="26"/>
  <c r="V54" i="26" s="1"/>
  <c r="U100" i="26"/>
  <c r="V100" i="26" s="1"/>
  <c r="I100" i="26"/>
  <c r="J100" i="26" s="1"/>
  <c r="K100" i="26"/>
  <c r="K99" i="26"/>
  <c r="I95" i="26"/>
  <c r="J95" i="26" s="1"/>
  <c r="AG94" i="26"/>
  <c r="AH94" i="26" s="1"/>
  <c r="AI94" i="26"/>
  <c r="U94" i="26"/>
  <c r="V94" i="26" s="1"/>
  <c r="AI93" i="26"/>
  <c r="AG89" i="26"/>
  <c r="AH89" i="26" s="1"/>
  <c r="U89" i="26"/>
  <c r="V89" i="26" s="1"/>
  <c r="W89" i="26"/>
  <c r="I89" i="26"/>
  <c r="J89" i="26" s="1"/>
  <c r="W88" i="26"/>
  <c r="AI78" i="26"/>
  <c r="W78" i="26"/>
  <c r="U78" i="26"/>
  <c r="V78" i="26" s="1"/>
  <c r="AC74" i="26"/>
  <c r="AI74" i="26"/>
  <c r="AG65" i="26"/>
  <c r="AH65" i="26" s="1"/>
  <c r="AI65" i="26"/>
  <c r="AG46" i="26"/>
  <c r="AH46" i="26" s="1"/>
  <c r="AI46" i="26"/>
  <c r="Q96" i="26"/>
  <c r="E91" i="26"/>
  <c r="AC85" i="26"/>
  <c r="AG79" i="26"/>
  <c r="AH79" i="26" s="1"/>
  <c r="K76" i="26"/>
  <c r="Q59" i="26"/>
  <c r="W59" i="26"/>
  <c r="AG54" i="26"/>
  <c r="AH54" i="26" s="1"/>
  <c r="AI54" i="26"/>
  <c r="AC72" i="26"/>
  <c r="AI72" i="26"/>
  <c r="AI101" i="26"/>
  <c r="AG98" i="26"/>
  <c r="AH98" i="26" s="1"/>
  <c r="AI98" i="26"/>
  <c r="U93" i="26"/>
  <c r="V93" i="26" s="1"/>
  <c r="W93" i="26"/>
  <c r="I93" i="26"/>
  <c r="J93" i="26" s="1"/>
  <c r="I88" i="26"/>
  <c r="J88" i="26" s="1"/>
  <c r="K88" i="26"/>
  <c r="AG87" i="26"/>
  <c r="AH87" i="26" s="1"/>
  <c r="AG64" i="26"/>
  <c r="AH64" i="26" s="1"/>
  <c r="AI64" i="26"/>
  <c r="E101" i="26"/>
  <c r="K82" i="26"/>
  <c r="W80" i="26"/>
  <c r="U80" i="26"/>
  <c r="V80" i="26" s="1"/>
  <c r="I80" i="26"/>
  <c r="J80" i="26" s="1"/>
  <c r="K80" i="26"/>
  <c r="I55" i="26"/>
  <c r="J55" i="26" s="1"/>
  <c r="K55" i="26"/>
  <c r="AC100" i="26"/>
  <c r="U97" i="26"/>
  <c r="V97" i="26" s="1"/>
  <c r="W97" i="26"/>
  <c r="I97" i="26"/>
  <c r="J97" i="26" s="1"/>
  <c r="Q95" i="26"/>
  <c r="I92" i="26"/>
  <c r="J92" i="26" s="1"/>
  <c r="K92" i="26"/>
  <c r="AG91" i="26"/>
  <c r="AH91" i="26" s="1"/>
  <c r="E90" i="26"/>
  <c r="AG86" i="26"/>
  <c r="AH86" i="26" s="1"/>
  <c r="AI86" i="26"/>
  <c r="U86" i="26"/>
  <c r="V86" i="26" s="1"/>
  <c r="W83" i="26"/>
  <c r="U82" i="26"/>
  <c r="V82" i="26" s="1"/>
  <c r="AI81" i="26"/>
  <c r="AG81" i="26"/>
  <c r="AH81" i="26" s="1"/>
  <c r="U81" i="26"/>
  <c r="V81" i="26" s="1"/>
  <c r="W81" i="26"/>
  <c r="W77" i="26"/>
  <c r="K77" i="26"/>
  <c r="I77" i="26"/>
  <c r="J77" i="26" s="1"/>
  <c r="K65" i="26"/>
  <c r="I65" i="26"/>
  <c r="J65" i="26" s="1"/>
  <c r="AC48" i="26"/>
  <c r="AI48" i="26"/>
  <c r="I78" i="26"/>
  <c r="J78" i="26" s="1"/>
  <c r="Q75" i="26"/>
  <c r="E72" i="26"/>
  <c r="Q71" i="26"/>
  <c r="AG67" i="26"/>
  <c r="AH67" i="26" s="1"/>
  <c r="I67" i="26"/>
  <c r="J67" i="26" s="1"/>
  <c r="K67" i="26"/>
  <c r="AG66" i="26"/>
  <c r="AH66" i="26" s="1"/>
  <c r="AI66" i="26"/>
  <c r="I66" i="26"/>
  <c r="J66" i="26" s="1"/>
  <c r="Q61" i="26"/>
  <c r="AC60" i="26"/>
  <c r="I57" i="26"/>
  <c r="J57" i="26" s="1"/>
  <c r="U56" i="26"/>
  <c r="V56" i="26" s="1"/>
  <c r="W56" i="26"/>
  <c r="I56" i="26"/>
  <c r="J56" i="26" s="1"/>
  <c r="K56" i="26"/>
  <c r="U55" i="26"/>
  <c r="V55" i="26" s="1"/>
  <c r="AC50" i="26"/>
  <c r="E50" i="26"/>
  <c r="AG47" i="26"/>
  <c r="AH47" i="26" s="1"/>
  <c r="I47" i="26"/>
  <c r="J47" i="26" s="1"/>
  <c r="AI44" i="26"/>
  <c r="U44" i="26"/>
  <c r="V44" i="26" s="1"/>
  <c r="K42" i="26"/>
  <c r="U68" i="26"/>
  <c r="V68" i="26" s="1"/>
  <c r="W68" i="26"/>
  <c r="I68" i="26"/>
  <c r="J68" i="26" s="1"/>
  <c r="K68" i="26"/>
  <c r="AG57" i="26"/>
  <c r="AH57" i="26" s="1"/>
  <c r="AI57" i="26"/>
  <c r="U57" i="26"/>
  <c r="V57" i="26" s="1"/>
  <c r="W57" i="26"/>
  <c r="I48" i="26"/>
  <c r="J48" i="26" s="1"/>
  <c r="K48" i="26"/>
  <c r="Q79" i="26"/>
  <c r="AG76" i="26"/>
  <c r="AH76" i="26" s="1"/>
  <c r="AG75" i="26"/>
  <c r="AH75" i="26" s="1"/>
  <c r="E74" i="26"/>
  <c r="W71" i="26"/>
  <c r="U70" i="26"/>
  <c r="V70" i="26" s="1"/>
  <c r="AG69" i="26"/>
  <c r="AH69" i="26" s="1"/>
  <c r="AI69" i="26"/>
  <c r="U69" i="26"/>
  <c r="V69" i="26" s="1"/>
  <c r="W69" i="26"/>
  <c r="AG68" i="26"/>
  <c r="AH68" i="26" s="1"/>
  <c r="E64" i="26"/>
  <c r="Q63" i="26"/>
  <c r="AI60" i="26"/>
  <c r="AG59" i="26"/>
  <c r="AH59" i="26" s="1"/>
  <c r="I59" i="26"/>
  <c r="J59" i="26" s="1"/>
  <c r="K59" i="26"/>
  <c r="AG58" i="26"/>
  <c r="AH58" i="26" s="1"/>
  <c r="AI58" i="26"/>
  <c r="I58" i="26"/>
  <c r="J58" i="26" s="1"/>
  <c r="Q53" i="26"/>
  <c r="AC52" i="26"/>
  <c r="K50" i="26"/>
  <c r="I49" i="26"/>
  <c r="J49" i="26" s="1"/>
  <c r="U48" i="26"/>
  <c r="V48" i="26" s="1"/>
  <c r="I75" i="26"/>
  <c r="J75" i="26" s="1"/>
  <c r="AG71" i="26"/>
  <c r="AH71" i="26" s="1"/>
  <c r="I71" i="26"/>
  <c r="J71" i="26" s="1"/>
  <c r="K71" i="26"/>
  <c r="AG70" i="26"/>
  <c r="AH70" i="26" s="1"/>
  <c r="AI70" i="26"/>
  <c r="I70" i="26"/>
  <c r="J70" i="26" s="1"/>
  <c r="K62" i="26"/>
  <c r="I61" i="26"/>
  <c r="J61" i="26" s="1"/>
  <c r="U60" i="26"/>
  <c r="V60" i="26" s="1"/>
  <c r="W60" i="26"/>
  <c r="I60" i="26"/>
  <c r="J60" i="26" s="1"/>
  <c r="K60" i="26"/>
  <c r="U59" i="26"/>
  <c r="V59" i="26" s="1"/>
  <c r="W51" i="26"/>
  <c r="U50" i="26"/>
  <c r="V50" i="26" s="1"/>
  <c r="AG49" i="26"/>
  <c r="AH49" i="26" s="1"/>
  <c r="AI49" i="26"/>
  <c r="U49" i="26"/>
  <c r="V49" i="26" s="1"/>
  <c r="W49" i="26"/>
  <c r="AG48" i="26"/>
  <c r="AH48" i="26" s="1"/>
  <c r="U75" i="26"/>
  <c r="V75" i="26" s="1"/>
  <c r="U74" i="26"/>
  <c r="V74" i="26" s="1"/>
  <c r="I73" i="26"/>
  <c r="J73" i="26" s="1"/>
  <c r="U72" i="26"/>
  <c r="V72" i="26" s="1"/>
  <c r="W72" i="26"/>
  <c r="I72" i="26"/>
  <c r="J72" i="26" s="1"/>
  <c r="K72" i="26"/>
  <c r="U71" i="26"/>
  <c r="V71" i="26" s="1"/>
  <c r="U62" i="26"/>
  <c r="V62" i="26" s="1"/>
  <c r="AG61" i="26"/>
  <c r="AH61" i="26" s="1"/>
  <c r="AI61" i="26"/>
  <c r="U61" i="26"/>
  <c r="V61" i="26" s="1"/>
  <c r="W61" i="26"/>
  <c r="AG60" i="26"/>
  <c r="AH60" i="26" s="1"/>
  <c r="AG51" i="26"/>
  <c r="AH51" i="26" s="1"/>
  <c r="I51" i="26"/>
  <c r="J51" i="26" s="1"/>
  <c r="K51" i="26"/>
  <c r="AG50" i="26"/>
  <c r="AH50" i="26" s="1"/>
  <c r="AI50" i="26"/>
  <c r="I50" i="26"/>
  <c r="J50" i="26" s="1"/>
  <c r="AG73" i="26"/>
  <c r="AH73" i="26" s="1"/>
  <c r="AI73" i="26"/>
  <c r="U73" i="26"/>
  <c r="V73" i="26" s="1"/>
  <c r="W73" i="26"/>
  <c r="AG63" i="26"/>
  <c r="AH63" i="26" s="1"/>
  <c r="I63" i="26"/>
  <c r="J63" i="26" s="1"/>
  <c r="K63" i="26"/>
  <c r="AG62" i="26"/>
  <c r="AH62" i="26" s="1"/>
  <c r="AI62" i="26"/>
  <c r="I53" i="26"/>
  <c r="J53" i="26" s="1"/>
  <c r="U52" i="26"/>
  <c r="V52" i="26" s="1"/>
  <c r="W52" i="26"/>
  <c r="I52" i="26"/>
  <c r="J52" i="26" s="1"/>
  <c r="K52" i="26"/>
  <c r="U79" i="26"/>
  <c r="V79" i="26" s="1"/>
  <c r="K78" i="26"/>
  <c r="AC76" i="26"/>
  <c r="I74" i="26"/>
  <c r="J74" i="26" s="1"/>
  <c r="Q69" i="26"/>
  <c r="AC68" i="26"/>
  <c r="K66" i="26"/>
  <c r="U64" i="26"/>
  <c r="V64" i="26" s="1"/>
  <c r="W64" i="26"/>
  <c r="I64" i="26"/>
  <c r="J64" i="26" s="1"/>
  <c r="K64" i="26"/>
  <c r="U63" i="26"/>
  <c r="V63" i="26" s="1"/>
  <c r="AC58" i="26"/>
  <c r="E58" i="26"/>
  <c r="W55" i="26"/>
  <c r="AG53" i="26"/>
  <c r="AH53" i="26" s="1"/>
  <c r="AI53" i="26"/>
  <c r="U53" i="26"/>
  <c r="V53" i="26" s="1"/>
  <c r="W53" i="26"/>
  <c r="AG52" i="26"/>
  <c r="AH52" i="26" s="1"/>
  <c r="W48" i="26"/>
  <c r="K47" i="26"/>
  <c r="AI45" i="26"/>
  <c r="W44" i="26"/>
  <c r="K43" i="26"/>
  <c r="W45" i="26"/>
  <c r="K44" i="26"/>
  <c r="AI42" i="26"/>
  <c r="AF3" i="26"/>
  <c r="AF4" i="26"/>
  <c r="AF5" i="26"/>
  <c r="AF6" i="26"/>
  <c r="AF7" i="26"/>
  <c r="AF8" i="26"/>
  <c r="AF9" i="26"/>
  <c r="AF10" i="26"/>
  <c r="AF11" i="26"/>
  <c r="AF12" i="26"/>
  <c r="AF13" i="26"/>
  <c r="AF14" i="26"/>
  <c r="AF15" i="26"/>
  <c r="AF16" i="26"/>
  <c r="AF17" i="26"/>
  <c r="AF18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F34" i="26"/>
  <c r="AF35" i="26"/>
  <c r="AF36" i="26"/>
  <c r="AF37" i="26"/>
  <c r="AF38" i="26"/>
  <c r="AF39" i="26"/>
  <c r="AF40" i="26"/>
  <c r="AF41" i="26"/>
  <c r="T3" i="26"/>
  <c r="T4" i="26"/>
  <c r="T5" i="26"/>
  <c r="T6" i="26"/>
  <c r="T7" i="26"/>
  <c r="T8" i="26"/>
  <c r="T9" i="26"/>
  <c r="T10" i="26"/>
  <c r="T11" i="26"/>
  <c r="T12" i="26"/>
  <c r="T13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AF2" i="26"/>
  <c r="T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2" i="26"/>
  <c r="AH44" i="26" l="1"/>
  <c r="A88" i="37"/>
  <c r="A89" i="37"/>
  <c r="A76" i="37"/>
  <c r="A77" i="37"/>
  <c r="A78" i="37"/>
  <c r="A79" i="37"/>
  <c r="A80" i="37"/>
  <c r="A81" i="37"/>
  <c r="A82" i="37"/>
  <c r="A83" i="37"/>
  <c r="A84" i="37"/>
  <c r="A85" i="37"/>
  <c r="A86" i="37"/>
  <c r="A87" i="37"/>
  <c r="AC1" i="9" l="1"/>
  <c r="AL52" i="30" l="1"/>
  <c r="AL53" i="30"/>
  <c r="AL54" i="30"/>
  <c r="AL51" i="30"/>
  <c r="AL50" i="30"/>
  <c r="K1" i="20" l="1"/>
  <c r="J1" i="20"/>
  <c r="AL64" i="30" l="1"/>
  <c r="AL65" i="30"/>
  <c r="AL66" i="30"/>
  <c r="AL60" i="30"/>
  <c r="AL61" i="30"/>
  <c r="AL62" i="30"/>
  <c r="AL56" i="30"/>
  <c r="AL57" i="30"/>
  <c r="AL58" i="30"/>
  <c r="B34" i="9" l="1"/>
  <c r="A34" i="9"/>
  <c r="A31" i="18" l="1"/>
  <c r="D31" i="18" s="1"/>
  <c r="E34" i="9"/>
  <c r="F34" i="9"/>
  <c r="G34" i="9"/>
  <c r="H34" i="9"/>
  <c r="K34" i="9"/>
  <c r="I34" i="9"/>
  <c r="D34" i="9"/>
  <c r="J34" i="9"/>
  <c r="L34" i="9"/>
  <c r="F31" i="18"/>
  <c r="H31" i="18"/>
  <c r="I31" i="18"/>
  <c r="J31" i="18"/>
  <c r="C31" i="18"/>
  <c r="K31" i="18"/>
  <c r="AD201" i="23"/>
  <c r="AD200" i="23"/>
  <c r="AD199" i="23"/>
  <c r="AD198" i="23"/>
  <c r="AD197" i="23"/>
  <c r="AD196" i="23"/>
  <c r="AD195" i="23"/>
  <c r="AD194" i="23"/>
  <c r="AD193" i="23"/>
  <c r="AD192" i="23"/>
  <c r="AD191" i="23"/>
  <c r="AD190" i="23"/>
  <c r="AD189" i="23"/>
  <c r="AD188" i="23"/>
  <c r="AD187" i="23"/>
  <c r="AD186" i="23"/>
  <c r="AD185" i="23"/>
  <c r="AD184" i="23"/>
  <c r="AD183" i="23"/>
  <c r="AD182" i="23"/>
  <c r="AD181" i="23"/>
  <c r="AD180" i="23"/>
  <c r="AD179" i="23"/>
  <c r="AD178" i="23"/>
  <c r="AD177" i="23"/>
  <c r="AD176" i="23"/>
  <c r="AD175" i="23"/>
  <c r="AD174" i="23"/>
  <c r="AD173" i="23"/>
  <c r="AD172" i="23"/>
  <c r="AD171" i="23"/>
  <c r="AD170" i="23"/>
  <c r="AD169" i="23"/>
  <c r="AD168" i="23"/>
  <c r="AD167" i="23"/>
  <c r="AD166" i="23"/>
  <c r="AD165" i="23"/>
  <c r="AD164" i="23"/>
  <c r="AD163" i="23"/>
  <c r="AD162" i="23"/>
  <c r="AD161" i="23"/>
  <c r="AD160" i="23"/>
  <c r="AD159" i="23"/>
  <c r="AD158" i="23"/>
  <c r="AD157" i="23"/>
  <c r="AD156" i="23"/>
  <c r="AD155" i="23"/>
  <c r="AD154" i="23"/>
  <c r="AD153" i="23"/>
  <c r="AD152" i="23"/>
  <c r="AD151" i="23"/>
  <c r="AD150" i="23"/>
  <c r="AD149" i="23"/>
  <c r="AD148" i="23"/>
  <c r="AD147" i="23"/>
  <c r="AD146" i="23"/>
  <c r="AD145" i="23"/>
  <c r="AD144" i="23"/>
  <c r="AD143" i="23"/>
  <c r="AD142" i="23"/>
  <c r="AD141" i="23"/>
  <c r="AD140" i="23"/>
  <c r="AD139" i="23"/>
  <c r="AD138" i="23"/>
  <c r="AD137" i="23"/>
  <c r="AD136" i="23"/>
  <c r="AD135" i="23"/>
  <c r="AD134" i="23"/>
  <c r="AD133" i="23"/>
  <c r="AD132" i="23"/>
  <c r="AD131" i="23"/>
  <c r="AD130" i="23"/>
  <c r="AD129" i="23"/>
  <c r="AD128" i="23"/>
  <c r="AD127" i="23"/>
  <c r="AD126" i="23"/>
  <c r="AD125" i="23"/>
  <c r="AD124" i="23"/>
  <c r="AD123" i="23"/>
  <c r="AD122" i="23"/>
  <c r="AD121" i="23"/>
  <c r="AD120" i="23"/>
  <c r="AD119" i="23"/>
  <c r="AD118" i="23"/>
  <c r="AD117" i="23"/>
  <c r="AD116" i="23"/>
  <c r="AD115" i="23"/>
  <c r="AD114" i="23"/>
  <c r="AD113" i="23"/>
  <c r="AD112" i="23"/>
  <c r="AD111" i="23"/>
  <c r="AD110" i="23"/>
  <c r="AD109" i="23"/>
  <c r="AD108" i="23"/>
  <c r="AD107" i="23"/>
  <c r="AD106" i="23"/>
  <c r="AD105" i="23"/>
  <c r="AD104" i="23"/>
  <c r="AD103" i="23"/>
  <c r="AD102" i="23"/>
  <c r="AD101" i="23"/>
  <c r="AD100" i="23"/>
  <c r="AD99" i="23"/>
  <c r="AD98" i="23"/>
  <c r="AD97" i="23"/>
  <c r="AD96" i="23"/>
  <c r="AD95" i="23"/>
  <c r="AD94" i="23"/>
  <c r="AD93" i="23"/>
  <c r="AD92" i="23"/>
  <c r="AD91" i="23"/>
  <c r="AD90" i="23"/>
  <c r="AD89" i="23"/>
  <c r="AD88" i="23"/>
  <c r="AD87" i="23"/>
  <c r="AD86" i="23"/>
  <c r="AD85" i="23"/>
  <c r="AD84" i="23"/>
  <c r="AD83" i="23"/>
  <c r="AD82" i="23"/>
  <c r="AD81" i="23"/>
  <c r="AD80" i="23"/>
  <c r="AD79" i="23"/>
  <c r="AD78" i="23"/>
  <c r="AD77" i="23"/>
  <c r="AD76" i="23"/>
  <c r="AD75" i="23"/>
  <c r="AD74" i="23"/>
  <c r="AD73" i="23"/>
  <c r="AD72" i="23"/>
  <c r="AD71" i="23"/>
  <c r="AD70" i="23"/>
  <c r="AD69" i="23"/>
  <c r="AD68" i="23"/>
  <c r="AD67" i="23"/>
  <c r="AD66" i="23"/>
  <c r="AD65" i="23"/>
  <c r="AD64" i="23"/>
  <c r="AD63" i="23"/>
  <c r="AD62" i="23"/>
  <c r="AD61" i="23"/>
  <c r="AD60" i="23"/>
  <c r="AD59" i="23"/>
  <c r="AD58" i="23"/>
  <c r="AD57" i="23"/>
  <c r="AD56" i="23"/>
  <c r="AD55" i="23"/>
  <c r="AD54" i="23"/>
  <c r="AD53" i="23"/>
  <c r="AD52" i="23"/>
  <c r="AD51" i="23"/>
  <c r="AD50" i="23"/>
  <c r="AD49" i="23"/>
  <c r="AD48" i="23"/>
  <c r="AD47" i="23"/>
  <c r="AD46" i="23"/>
  <c r="AD45" i="23"/>
  <c r="AD44" i="23"/>
  <c r="AD43" i="23"/>
  <c r="AD42" i="23"/>
  <c r="AD41" i="23"/>
  <c r="AD40" i="23"/>
  <c r="AD39" i="23"/>
  <c r="AD38" i="23"/>
  <c r="AD37" i="23"/>
  <c r="AD36" i="23"/>
  <c r="AD35" i="23"/>
  <c r="AD34" i="23"/>
  <c r="AD33" i="23"/>
  <c r="AD32" i="23"/>
  <c r="AD31" i="23"/>
  <c r="AD30" i="23"/>
  <c r="AD29" i="23"/>
  <c r="AD28" i="23"/>
  <c r="AD27" i="23"/>
  <c r="AD26" i="23"/>
  <c r="AD25" i="23"/>
  <c r="AD24" i="23"/>
  <c r="AD23" i="23"/>
  <c r="AD22" i="23"/>
  <c r="AD21" i="23"/>
  <c r="AD20" i="23"/>
  <c r="AD19" i="23"/>
  <c r="AD18" i="23"/>
  <c r="AD17" i="23"/>
  <c r="AD16" i="23"/>
  <c r="AD15" i="23"/>
  <c r="AD14" i="23"/>
  <c r="AD13" i="23"/>
  <c r="AD12" i="23"/>
  <c r="AD11" i="23"/>
  <c r="AD10" i="23"/>
  <c r="AD9" i="23"/>
  <c r="AD8" i="23"/>
  <c r="AD7" i="23"/>
  <c r="AD6" i="23"/>
  <c r="AD5" i="23"/>
  <c r="AD4" i="23"/>
  <c r="AD3" i="23"/>
  <c r="AD2" i="23"/>
  <c r="AD1" i="23"/>
  <c r="T201" i="23"/>
  <c r="T200" i="23"/>
  <c r="T199" i="23"/>
  <c r="T198" i="23"/>
  <c r="T197" i="23"/>
  <c r="T196" i="23"/>
  <c r="T195" i="23"/>
  <c r="T194" i="23"/>
  <c r="T193" i="23"/>
  <c r="T192" i="23"/>
  <c r="T191" i="23"/>
  <c r="T190" i="23"/>
  <c r="T189" i="23"/>
  <c r="T188" i="23"/>
  <c r="T187" i="23"/>
  <c r="T186" i="23"/>
  <c r="T185" i="23"/>
  <c r="T184" i="23"/>
  <c r="T183" i="23"/>
  <c r="T182" i="23"/>
  <c r="T181" i="23"/>
  <c r="T180" i="23"/>
  <c r="T179" i="23"/>
  <c r="T178" i="23"/>
  <c r="T177" i="23"/>
  <c r="T176" i="23"/>
  <c r="T175" i="23"/>
  <c r="T174" i="23"/>
  <c r="T173" i="23"/>
  <c r="T172" i="23"/>
  <c r="T171" i="23"/>
  <c r="T170" i="23"/>
  <c r="T169" i="23"/>
  <c r="T168" i="23"/>
  <c r="T167" i="23"/>
  <c r="T166" i="23"/>
  <c r="T165" i="23"/>
  <c r="T164" i="23"/>
  <c r="T163" i="23"/>
  <c r="T162" i="23"/>
  <c r="T161" i="23"/>
  <c r="T160" i="23"/>
  <c r="T159" i="23"/>
  <c r="T158" i="23"/>
  <c r="T157" i="23"/>
  <c r="T156" i="23"/>
  <c r="T155" i="23"/>
  <c r="T154" i="23"/>
  <c r="T153" i="23"/>
  <c r="T152" i="23"/>
  <c r="T151" i="23"/>
  <c r="T150" i="23"/>
  <c r="T149" i="23"/>
  <c r="T148" i="23"/>
  <c r="T147" i="23"/>
  <c r="T146" i="23"/>
  <c r="T145" i="23"/>
  <c r="T144" i="23"/>
  <c r="T143" i="23"/>
  <c r="T142" i="23"/>
  <c r="T141" i="23"/>
  <c r="T140" i="23"/>
  <c r="T139" i="23"/>
  <c r="T138" i="23"/>
  <c r="T137" i="23"/>
  <c r="T136" i="23"/>
  <c r="T135" i="23"/>
  <c r="T134" i="23"/>
  <c r="T133" i="23"/>
  <c r="T132" i="23"/>
  <c r="T131" i="23"/>
  <c r="T130" i="23"/>
  <c r="T129" i="23"/>
  <c r="T128" i="23"/>
  <c r="T127" i="23"/>
  <c r="T126" i="23"/>
  <c r="T125" i="23"/>
  <c r="T124" i="23"/>
  <c r="T123" i="23"/>
  <c r="T122" i="23"/>
  <c r="T121" i="23"/>
  <c r="T120" i="23"/>
  <c r="T119" i="23"/>
  <c r="T118" i="23"/>
  <c r="T117" i="23"/>
  <c r="T116" i="23"/>
  <c r="T115" i="23"/>
  <c r="T114" i="23"/>
  <c r="T113" i="23"/>
  <c r="T112" i="23"/>
  <c r="T111" i="23"/>
  <c r="T110" i="23"/>
  <c r="T109" i="23"/>
  <c r="T108" i="23"/>
  <c r="T107" i="23"/>
  <c r="T106" i="23"/>
  <c r="T105" i="23"/>
  <c r="T104" i="23"/>
  <c r="T103" i="23"/>
  <c r="T102" i="23"/>
  <c r="T101" i="23"/>
  <c r="T100" i="23"/>
  <c r="T99" i="23"/>
  <c r="T98" i="23"/>
  <c r="T97" i="23"/>
  <c r="T96" i="23"/>
  <c r="T95" i="23"/>
  <c r="T94" i="23"/>
  <c r="T93" i="23"/>
  <c r="T92" i="23"/>
  <c r="T91" i="23"/>
  <c r="T90" i="23"/>
  <c r="T89" i="23"/>
  <c r="T88" i="23"/>
  <c r="T87" i="23"/>
  <c r="T86" i="23"/>
  <c r="T85" i="23"/>
  <c r="T84" i="23"/>
  <c r="T83" i="23"/>
  <c r="T82" i="23"/>
  <c r="T81" i="23"/>
  <c r="T80" i="23"/>
  <c r="T79" i="23"/>
  <c r="T78" i="23"/>
  <c r="T77" i="23"/>
  <c r="T76" i="23"/>
  <c r="T75" i="23"/>
  <c r="T74" i="23"/>
  <c r="T73" i="23"/>
  <c r="T72" i="23"/>
  <c r="T71" i="23"/>
  <c r="T70" i="23"/>
  <c r="T69" i="23"/>
  <c r="T68" i="23"/>
  <c r="T67" i="23"/>
  <c r="T66" i="23"/>
  <c r="T65" i="23"/>
  <c r="T64" i="23"/>
  <c r="T63" i="23"/>
  <c r="T62" i="23"/>
  <c r="T61" i="23"/>
  <c r="T60" i="23"/>
  <c r="T59" i="23"/>
  <c r="T58" i="23"/>
  <c r="T57" i="23"/>
  <c r="T56" i="23"/>
  <c r="T55" i="23"/>
  <c r="T54" i="23"/>
  <c r="T53" i="23"/>
  <c r="T52" i="23"/>
  <c r="T51" i="23"/>
  <c r="T50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T26" i="23"/>
  <c r="T25" i="23"/>
  <c r="T24" i="23"/>
  <c r="T23" i="23"/>
  <c r="T22" i="23"/>
  <c r="T21" i="23"/>
  <c r="T20" i="23"/>
  <c r="T19" i="23"/>
  <c r="T18" i="23"/>
  <c r="T17" i="23"/>
  <c r="T16" i="23"/>
  <c r="T15" i="23"/>
  <c r="T14" i="23"/>
  <c r="T13" i="23"/>
  <c r="T12" i="23"/>
  <c r="T11" i="23"/>
  <c r="T10" i="23"/>
  <c r="T9" i="23"/>
  <c r="T8" i="23"/>
  <c r="T7" i="23"/>
  <c r="T6" i="23"/>
  <c r="T5" i="23"/>
  <c r="T4" i="23"/>
  <c r="T3" i="23"/>
  <c r="T2" i="23"/>
  <c r="T1" i="23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" i="23"/>
  <c r="AD201" i="22"/>
  <c r="AD200" i="22"/>
  <c r="AD199" i="22"/>
  <c r="AD198" i="22"/>
  <c r="AD197" i="22"/>
  <c r="AD196" i="22"/>
  <c r="AD195" i="22"/>
  <c r="AD194" i="22"/>
  <c r="AD193" i="22"/>
  <c r="AD192" i="22"/>
  <c r="AD191" i="22"/>
  <c r="AD190" i="22"/>
  <c r="AD189" i="22"/>
  <c r="AD188" i="22"/>
  <c r="AD187" i="22"/>
  <c r="AD186" i="22"/>
  <c r="AD185" i="22"/>
  <c r="AD184" i="22"/>
  <c r="AD183" i="22"/>
  <c r="AD182" i="22"/>
  <c r="AD181" i="22"/>
  <c r="AD180" i="22"/>
  <c r="AD179" i="22"/>
  <c r="AD178" i="22"/>
  <c r="AD177" i="22"/>
  <c r="AD176" i="22"/>
  <c r="AD175" i="22"/>
  <c r="AD174" i="22"/>
  <c r="AD173" i="22"/>
  <c r="AD172" i="22"/>
  <c r="AD171" i="22"/>
  <c r="AD170" i="22"/>
  <c r="AD169" i="22"/>
  <c r="AD168" i="22"/>
  <c r="AD167" i="22"/>
  <c r="AD166" i="22"/>
  <c r="AD165" i="22"/>
  <c r="AD164" i="22"/>
  <c r="AD163" i="22"/>
  <c r="AD162" i="22"/>
  <c r="AD161" i="22"/>
  <c r="AD160" i="22"/>
  <c r="AD159" i="22"/>
  <c r="AD158" i="22"/>
  <c r="AD157" i="22"/>
  <c r="AD156" i="22"/>
  <c r="AD155" i="22"/>
  <c r="AD154" i="22"/>
  <c r="AD153" i="22"/>
  <c r="AD152" i="22"/>
  <c r="AD151" i="22"/>
  <c r="AD150" i="22"/>
  <c r="AD149" i="22"/>
  <c r="AD148" i="22"/>
  <c r="AD147" i="22"/>
  <c r="AD146" i="22"/>
  <c r="AD145" i="22"/>
  <c r="AD144" i="22"/>
  <c r="AD143" i="22"/>
  <c r="AD142" i="22"/>
  <c r="AD141" i="22"/>
  <c r="AD140" i="22"/>
  <c r="AD139" i="22"/>
  <c r="AD138" i="22"/>
  <c r="AD137" i="22"/>
  <c r="AD136" i="22"/>
  <c r="AD135" i="22"/>
  <c r="AD134" i="22"/>
  <c r="AD133" i="22"/>
  <c r="AD132" i="22"/>
  <c r="AD131" i="22"/>
  <c r="AD130" i="22"/>
  <c r="AD129" i="22"/>
  <c r="AD128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AD1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" i="22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" i="22"/>
  <c r="G31" i="18" l="1"/>
  <c r="E31" i="18"/>
  <c r="M34" i="9"/>
  <c r="AA278" i="30"/>
  <c r="AH278" i="30" s="1"/>
  <c r="AA279" i="30"/>
  <c r="AH279" i="30" s="1"/>
  <c r="AA280" i="30"/>
  <c r="AH280" i="30" s="1"/>
  <c r="AA281" i="30"/>
  <c r="AH281" i="30" s="1"/>
  <c r="AA274" i="30"/>
  <c r="AH274" i="30" s="1"/>
  <c r="AA275" i="30"/>
  <c r="AH275" i="30" s="1"/>
  <c r="AA273" i="30"/>
  <c r="AH273" i="30" s="1"/>
  <c r="AA282" i="30"/>
  <c r="AH282" i="30" s="1"/>
  <c r="AA276" i="30"/>
  <c r="AH276" i="30" s="1"/>
  <c r="AA277" i="30"/>
  <c r="AH277" i="30" s="1"/>
  <c r="AA290" i="30"/>
  <c r="AH290" i="30" s="1"/>
  <c r="AA284" i="30"/>
  <c r="AH284" i="30" s="1"/>
  <c r="AA291" i="30"/>
  <c r="AH291" i="30" s="1"/>
  <c r="AA285" i="30"/>
  <c r="AH285" i="30" s="1"/>
  <c r="AA283" i="30"/>
  <c r="AH283" i="30" s="1"/>
  <c r="AA286" i="30"/>
  <c r="AH286" i="30" s="1"/>
  <c r="AA287" i="30"/>
  <c r="AH287" i="30" s="1"/>
  <c r="AA292" i="30"/>
  <c r="AH292" i="30" s="1"/>
  <c r="AA288" i="30"/>
  <c r="AH288" i="30" s="1"/>
  <c r="AA289" i="30"/>
  <c r="AH289" i="30" s="1"/>
  <c r="AA294" i="30"/>
  <c r="AH294" i="30" s="1"/>
  <c r="AA302" i="30"/>
  <c r="AH302" i="30" s="1"/>
  <c r="AA295" i="30"/>
  <c r="AH295" i="30" s="1"/>
  <c r="AA293" i="30"/>
  <c r="AH293" i="30" s="1"/>
  <c r="AA297" i="30"/>
  <c r="AH297" i="30" s="1"/>
  <c r="AA298" i="30"/>
  <c r="AH298" i="30" s="1"/>
  <c r="AA299" i="30"/>
  <c r="AH299" i="30" s="1"/>
  <c r="AA300" i="30"/>
  <c r="AH300" i="30" s="1"/>
  <c r="AA296" i="30"/>
  <c r="AH296" i="30" s="1"/>
  <c r="AA301" i="30"/>
  <c r="AH301" i="30" s="1"/>
  <c r="AA306" i="30"/>
  <c r="AH306" i="30" s="1"/>
  <c r="AA307" i="30"/>
  <c r="AH307" i="30" s="1"/>
  <c r="AA309" i="30"/>
  <c r="AH309" i="30" s="1"/>
  <c r="AA310" i="30"/>
  <c r="AH310" i="30" s="1"/>
  <c r="AA311" i="30"/>
  <c r="AH311" i="30" s="1"/>
  <c r="AA304" i="30"/>
  <c r="AH304" i="30" s="1"/>
  <c r="AA312" i="30"/>
  <c r="AH312" i="30" s="1"/>
  <c r="AA305" i="30"/>
  <c r="AH305" i="30" s="1"/>
  <c r="AA303" i="30"/>
  <c r="AH303" i="30" s="1"/>
  <c r="AA308" i="30"/>
  <c r="AH308" i="30" s="1"/>
  <c r="AA318" i="30"/>
  <c r="AH318" i="30" s="1"/>
  <c r="AA319" i="30"/>
  <c r="AH319" i="30" s="1"/>
  <c r="AA320" i="30"/>
  <c r="AH320" i="30" s="1"/>
  <c r="AA321" i="30"/>
  <c r="AH321" i="30" s="1"/>
  <c r="AA314" i="30"/>
  <c r="AH314" i="30" s="1"/>
  <c r="AA322" i="30"/>
  <c r="AH322" i="30" s="1"/>
  <c r="AA315" i="30"/>
  <c r="AH315" i="30" s="1"/>
  <c r="AA313" i="30"/>
  <c r="AH313" i="30" s="1"/>
  <c r="AA316" i="30"/>
  <c r="AH316" i="30" s="1"/>
  <c r="AA317" i="30"/>
  <c r="AH317" i="30" s="1"/>
  <c r="AA330" i="30"/>
  <c r="AH330" i="30" s="1"/>
  <c r="AA324" i="30"/>
  <c r="AH324" i="30" s="1"/>
  <c r="AA331" i="30"/>
  <c r="AH331" i="30" s="1"/>
  <c r="AA325" i="30"/>
  <c r="AH325" i="30" s="1"/>
  <c r="AA323" i="30"/>
  <c r="AH323" i="30" s="1"/>
  <c r="AA326" i="30"/>
  <c r="AH326" i="30" s="1"/>
  <c r="AA327" i="30"/>
  <c r="AH327" i="30" s="1"/>
  <c r="AA332" i="30"/>
  <c r="AH332" i="30" s="1"/>
  <c r="AA328" i="30"/>
  <c r="AH328" i="30" s="1"/>
  <c r="AA329" i="30"/>
  <c r="AH329" i="30" s="1"/>
  <c r="AD201" i="21"/>
  <c r="AD200" i="21"/>
  <c r="AD199" i="21"/>
  <c r="AD198" i="21"/>
  <c r="AD197" i="21"/>
  <c r="AD196" i="21"/>
  <c r="AD195" i="21"/>
  <c r="AD194" i="21"/>
  <c r="AD193" i="21"/>
  <c r="AD192" i="21"/>
  <c r="AD191" i="21"/>
  <c r="AD190" i="21"/>
  <c r="AD189" i="21"/>
  <c r="AD188" i="21"/>
  <c r="AD187" i="21"/>
  <c r="AD186" i="21"/>
  <c r="AD185" i="21"/>
  <c r="AD184" i="21"/>
  <c r="AD183" i="21"/>
  <c r="AD182" i="21"/>
  <c r="AD181" i="21"/>
  <c r="AD180" i="21"/>
  <c r="AD179" i="21"/>
  <c r="AD178" i="21"/>
  <c r="AD177" i="21"/>
  <c r="AD176" i="21"/>
  <c r="AD175" i="21"/>
  <c r="AD174" i="21"/>
  <c r="AD173" i="21"/>
  <c r="AD172" i="21"/>
  <c r="AD171" i="21"/>
  <c r="AD170" i="21"/>
  <c r="AD169" i="21"/>
  <c r="AD168" i="21"/>
  <c r="AD167" i="21"/>
  <c r="AD166" i="21"/>
  <c r="AD165" i="21"/>
  <c r="AD164" i="21"/>
  <c r="AD163" i="21"/>
  <c r="AD162" i="21"/>
  <c r="AD161" i="21"/>
  <c r="AD160" i="21"/>
  <c r="AD159" i="21"/>
  <c r="AD158" i="21"/>
  <c r="AD157" i="21"/>
  <c r="AD156" i="21"/>
  <c r="AD155" i="21"/>
  <c r="AD154" i="21"/>
  <c r="AD153" i="21"/>
  <c r="AD152" i="21"/>
  <c r="AD151" i="21"/>
  <c r="AD150" i="21"/>
  <c r="AD149" i="21"/>
  <c r="AD148" i="21"/>
  <c r="AD147" i="21"/>
  <c r="AD146" i="21"/>
  <c r="AD145" i="21"/>
  <c r="AD144" i="21"/>
  <c r="AD143" i="21"/>
  <c r="AD142" i="21"/>
  <c r="AD141" i="21"/>
  <c r="AD140" i="21"/>
  <c r="AD139" i="21"/>
  <c r="AD138" i="21"/>
  <c r="AD137" i="21"/>
  <c r="AD136" i="21"/>
  <c r="AD135" i="21"/>
  <c r="AD134" i="21"/>
  <c r="AD133" i="21"/>
  <c r="AD132" i="21"/>
  <c r="AD131" i="21"/>
  <c r="AD130" i="21"/>
  <c r="AD129" i="21"/>
  <c r="AD128" i="21"/>
  <c r="AD127" i="21"/>
  <c r="AD126" i="21"/>
  <c r="AD125" i="21"/>
  <c r="AD124" i="21"/>
  <c r="AD123" i="21"/>
  <c r="AD122" i="21"/>
  <c r="AD121" i="21"/>
  <c r="AD120" i="21"/>
  <c r="AD119" i="21"/>
  <c r="AD118" i="21"/>
  <c r="AD117" i="21"/>
  <c r="AD116" i="21"/>
  <c r="AD115" i="21"/>
  <c r="AD114" i="21"/>
  <c r="AD113" i="21"/>
  <c r="AD112" i="21"/>
  <c r="AD111" i="21"/>
  <c r="AD110" i="21"/>
  <c r="AD109" i="21"/>
  <c r="AD108" i="21"/>
  <c r="AD107" i="21"/>
  <c r="AD106" i="21"/>
  <c r="AD105" i="21"/>
  <c r="AD104" i="21"/>
  <c r="AD103" i="21"/>
  <c r="AD102" i="21"/>
  <c r="AD101" i="21"/>
  <c r="AD100" i="21"/>
  <c r="AD99" i="21"/>
  <c r="AD98" i="21"/>
  <c r="AD97" i="21"/>
  <c r="AD96" i="21"/>
  <c r="AD95" i="21"/>
  <c r="AD94" i="21"/>
  <c r="AD93" i="21"/>
  <c r="AD92" i="21"/>
  <c r="AD91" i="21"/>
  <c r="AD90" i="21"/>
  <c r="AD89" i="21"/>
  <c r="AD88" i="21"/>
  <c r="AD87" i="21"/>
  <c r="AD86" i="21"/>
  <c r="AD85" i="21"/>
  <c r="AD84" i="21"/>
  <c r="AD83" i="21"/>
  <c r="AD82" i="21"/>
  <c r="AD81" i="21"/>
  <c r="AD80" i="21"/>
  <c r="AD79" i="21"/>
  <c r="AD78" i="21"/>
  <c r="AD77" i="21"/>
  <c r="AD76" i="21"/>
  <c r="AD75" i="21"/>
  <c r="AD74" i="21"/>
  <c r="AD73" i="21"/>
  <c r="AD72" i="21"/>
  <c r="AD71" i="21"/>
  <c r="AD70" i="21"/>
  <c r="AD69" i="21"/>
  <c r="AD68" i="21"/>
  <c r="AD67" i="21"/>
  <c r="AD66" i="21"/>
  <c r="AD65" i="21"/>
  <c r="AD64" i="21"/>
  <c r="AD63" i="21"/>
  <c r="AD62" i="21"/>
  <c r="AD61" i="21"/>
  <c r="AD60" i="21"/>
  <c r="AD59" i="21"/>
  <c r="AD58" i="21"/>
  <c r="AD57" i="21"/>
  <c r="AD56" i="21"/>
  <c r="AD55" i="21"/>
  <c r="AD54" i="21"/>
  <c r="AD53" i="21"/>
  <c r="AD52" i="21"/>
  <c r="AD51" i="21"/>
  <c r="AD50" i="21"/>
  <c r="AD49" i="21"/>
  <c r="AD48" i="21"/>
  <c r="AD47" i="21"/>
  <c r="AD46" i="21"/>
  <c r="AD45" i="21"/>
  <c r="AD44" i="21"/>
  <c r="AD43" i="21"/>
  <c r="AD42" i="21"/>
  <c r="AD41" i="21"/>
  <c r="AD40" i="21"/>
  <c r="AD39" i="21"/>
  <c r="AD38" i="21"/>
  <c r="AD37" i="21"/>
  <c r="AD36" i="21"/>
  <c r="AD35" i="21"/>
  <c r="AD34" i="21"/>
  <c r="AD33" i="21"/>
  <c r="AD32" i="21"/>
  <c r="AD31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D9" i="21"/>
  <c r="AD8" i="21"/>
  <c r="AD7" i="21"/>
  <c r="AD6" i="21"/>
  <c r="AD5" i="21"/>
  <c r="AD4" i="21"/>
  <c r="AD3" i="21"/>
  <c r="AD2" i="21"/>
  <c r="AD1" i="21"/>
  <c r="T201" i="21"/>
  <c r="T200" i="21"/>
  <c r="T199" i="21"/>
  <c r="T198" i="21"/>
  <c r="T197" i="21"/>
  <c r="T196" i="21"/>
  <c r="T195" i="21"/>
  <c r="T194" i="21"/>
  <c r="T193" i="21"/>
  <c r="T192" i="21"/>
  <c r="T191" i="21"/>
  <c r="T190" i="21"/>
  <c r="T189" i="21"/>
  <c r="T188" i="21"/>
  <c r="T187" i="21"/>
  <c r="T186" i="21"/>
  <c r="T185" i="21"/>
  <c r="T184" i="21"/>
  <c r="T183" i="21"/>
  <c r="T182" i="21"/>
  <c r="T181" i="21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T1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" i="21"/>
  <c r="AQ31" i="18" l="1"/>
  <c r="AS31" i="18"/>
  <c r="AU31" i="18"/>
  <c r="AW31" i="18"/>
  <c r="AY31" i="18"/>
  <c r="AP31" i="18"/>
  <c r="AR31" i="18"/>
  <c r="AT31" i="18"/>
  <c r="AV31" i="18"/>
  <c r="AX31" i="18"/>
  <c r="AR34" i="9"/>
  <c r="AT34" i="9"/>
  <c r="AV34" i="9"/>
  <c r="AX34" i="9"/>
  <c r="AZ34" i="9"/>
  <c r="AQ34" i="9"/>
  <c r="AS34" i="9"/>
  <c r="AU34" i="9"/>
  <c r="AW34" i="9"/>
  <c r="AY34" i="9"/>
  <c r="AA250" i="30"/>
  <c r="AH250" i="30" s="1"/>
  <c r="AA244" i="30"/>
  <c r="AH244" i="30" s="1"/>
  <c r="AA251" i="30"/>
  <c r="AH251" i="30" s="1"/>
  <c r="AA252" i="30"/>
  <c r="AH252" i="30" s="1"/>
  <c r="AA245" i="30"/>
  <c r="AH245" i="30" s="1"/>
  <c r="AA243" i="30"/>
  <c r="AH243" i="30" s="1"/>
  <c r="AA246" i="30"/>
  <c r="AH246" i="30" s="1"/>
  <c r="AA247" i="30"/>
  <c r="AH247" i="30" s="1"/>
  <c r="AA248" i="30"/>
  <c r="AH248" i="30" s="1"/>
  <c r="AA249" i="30"/>
  <c r="AH249" i="30" s="1"/>
  <c r="AA254" i="30"/>
  <c r="AH254" i="30" s="1"/>
  <c r="AA262" i="30"/>
  <c r="AH262" i="30" s="1"/>
  <c r="AA255" i="30"/>
  <c r="AH255" i="30" s="1"/>
  <c r="AA253" i="30"/>
  <c r="AH253" i="30" s="1"/>
  <c r="AA257" i="30"/>
  <c r="AH257" i="30" s="1"/>
  <c r="AA259" i="30"/>
  <c r="AH259" i="30" s="1"/>
  <c r="AA260" i="30"/>
  <c r="AH260" i="30" s="1"/>
  <c r="AA256" i="30"/>
  <c r="AH256" i="30" s="1"/>
  <c r="AA258" i="30"/>
  <c r="AH258" i="30" s="1"/>
  <c r="AA261" i="30"/>
  <c r="AH261" i="30" s="1"/>
  <c r="AA266" i="30"/>
  <c r="AH266" i="30" s="1"/>
  <c r="AA267" i="30"/>
  <c r="AH267" i="30" s="1"/>
  <c r="AA269" i="30"/>
  <c r="AH269" i="30" s="1"/>
  <c r="AA271" i="30"/>
  <c r="AH271" i="30" s="1"/>
  <c r="AA264" i="30"/>
  <c r="AH264" i="30" s="1"/>
  <c r="AA272" i="30"/>
  <c r="AH272" i="30" s="1"/>
  <c r="AA265" i="30"/>
  <c r="AH265" i="30" s="1"/>
  <c r="AA263" i="30"/>
  <c r="AH263" i="30" s="1"/>
  <c r="AA268" i="30"/>
  <c r="AH268" i="30" s="1"/>
  <c r="AA270" i="30"/>
  <c r="AH270" i="30" s="1"/>
  <c r="AB3" i="26"/>
  <c r="AB4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2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2" i="26"/>
  <c r="I39" i="26" l="1"/>
  <c r="F39" i="26"/>
  <c r="G39" i="26"/>
  <c r="I27" i="26"/>
  <c r="F27" i="26"/>
  <c r="G27" i="26"/>
  <c r="I15" i="26"/>
  <c r="F15" i="26"/>
  <c r="G15" i="26"/>
  <c r="I3" i="26"/>
  <c r="F3" i="26"/>
  <c r="G3" i="26"/>
  <c r="U31" i="26"/>
  <c r="R31" i="26"/>
  <c r="S31" i="26"/>
  <c r="U19" i="26"/>
  <c r="R19" i="26"/>
  <c r="S19" i="26"/>
  <c r="U7" i="26"/>
  <c r="R7" i="26"/>
  <c r="S7" i="26"/>
  <c r="AG35" i="26"/>
  <c r="AD35" i="26"/>
  <c r="AE35" i="26"/>
  <c r="AG23" i="26"/>
  <c r="AD23" i="26"/>
  <c r="AE23" i="26"/>
  <c r="AG11" i="26"/>
  <c r="AD11" i="26"/>
  <c r="AE11" i="26"/>
  <c r="U36" i="26"/>
  <c r="R36" i="26"/>
  <c r="S36" i="26"/>
  <c r="U22" i="26"/>
  <c r="R22" i="26"/>
  <c r="S22" i="26"/>
  <c r="I41" i="26"/>
  <c r="F41" i="26"/>
  <c r="G41" i="26"/>
  <c r="I5" i="26"/>
  <c r="F5" i="26"/>
  <c r="G5" i="26"/>
  <c r="U9" i="26"/>
  <c r="R9" i="26"/>
  <c r="S9" i="26"/>
  <c r="AG25" i="26"/>
  <c r="AD25" i="26"/>
  <c r="AE25" i="26"/>
  <c r="I40" i="26"/>
  <c r="G40" i="26"/>
  <c r="F40" i="26"/>
  <c r="I16" i="26"/>
  <c r="F16" i="26"/>
  <c r="G16" i="26"/>
  <c r="U32" i="26"/>
  <c r="R32" i="26"/>
  <c r="S32" i="26"/>
  <c r="U8" i="26"/>
  <c r="R8" i="26"/>
  <c r="S8" i="26"/>
  <c r="AG24" i="26"/>
  <c r="AD24" i="26"/>
  <c r="AE24" i="26"/>
  <c r="I26" i="26"/>
  <c r="F26" i="26"/>
  <c r="G26" i="26"/>
  <c r="U30" i="26"/>
  <c r="R30" i="26"/>
  <c r="S30" i="26"/>
  <c r="AG34" i="26"/>
  <c r="AD34" i="26"/>
  <c r="AE34" i="26"/>
  <c r="AG10" i="26"/>
  <c r="AD10" i="26"/>
  <c r="AE10" i="26"/>
  <c r="I32" i="26"/>
  <c r="G32" i="26"/>
  <c r="F32" i="26"/>
  <c r="AG40" i="26"/>
  <c r="AD40" i="26"/>
  <c r="AE40" i="26"/>
  <c r="I30" i="26"/>
  <c r="F30" i="26"/>
  <c r="G30" i="26"/>
  <c r="AG26" i="26"/>
  <c r="AD26" i="26"/>
  <c r="AE26" i="26"/>
  <c r="I29" i="26"/>
  <c r="G29" i="26"/>
  <c r="F29" i="26"/>
  <c r="U33" i="26"/>
  <c r="R33" i="26"/>
  <c r="S33" i="26"/>
  <c r="AG37" i="26"/>
  <c r="AD37" i="26"/>
  <c r="AE37" i="26"/>
  <c r="I28" i="26"/>
  <c r="F28" i="26"/>
  <c r="G28" i="26"/>
  <c r="I4" i="26"/>
  <c r="F4" i="26"/>
  <c r="G4" i="26"/>
  <c r="U20" i="26"/>
  <c r="R20" i="26"/>
  <c r="S20" i="26"/>
  <c r="AG36" i="26"/>
  <c r="AD36" i="26"/>
  <c r="AE36" i="26"/>
  <c r="AG12" i="26"/>
  <c r="AD12" i="26"/>
  <c r="AE12" i="26"/>
  <c r="I38" i="26"/>
  <c r="G38" i="26"/>
  <c r="F38" i="26"/>
  <c r="I14" i="26"/>
  <c r="F14" i="26"/>
  <c r="G14" i="26"/>
  <c r="U2" i="26"/>
  <c r="R2" i="26"/>
  <c r="S2" i="26"/>
  <c r="U18" i="26"/>
  <c r="R18" i="26"/>
  <c r="S18" i="26"/>
  <c r="U6" i="26"/>
  <c r="R6" i="26"/>
  <c r="S6" i="26"/>
  <c r="AG22" i="26"/>
  <c r="AD22" i="26"/>
  <c r="AE22" i="26"/>
  <c r="I37" i="26"/>
  <c r="G37" i="26"/>
  <c r="F37" i="26"/>
  <c r="I25" i="26"/>
  <c r="F25" i="26"/>
  <c r="G25" i="26"/>
  <c r="I13" i="26"/>
  <c r="F13" i="26"/>
  <c r="G13" i="26"/>
  <c r="U41" i="26"/>
  <c r="R41" i="26"/>
  <c r="S41" i="26"/>
  <c r="U29" i="26"/>
  <c r="R29" i="26"/>
  <c r="S29" i="26"/>
  <c r="U17" i="26"/>
  <c r="R17" i="26"/>
  <c r="S17" i="26"/>
  <c r="U5" i="26"/>
  <c r="R5" i="26"/>
  <c r="S5" i="26"/>
  <c r="AG33" i="26"/>
  <c r="AD33" i="26"/>
  <c r="AE33" i="26"/>
  <c r="AG21" i="26"/>
  <c r="AD21" i="26"/>
  <c r="AE21" i="26"/>
  <c r="AG9" i="26"/>
  <c r="AD9" i="26"/>
  <c r="AE9" i="26"/>
  <c r="AG28" i="26"/>
  <c r="AD28" i="26"/>
  <c r="AE28" i="26"/>
  <c r="I6" i="26"/>
  <c r="F6" i="26"/>
  <c r="G6" i="26"/>
  <c r="I24" i="26"/>
  <c r="F24" i="26"/>
  <c r="G24" i="26"/>
  <c r="U28" i="26"/>
  <c r="R28" i="26"/>
  <c r="S28" i="26"/>
  <c r="U4" i="26"/>
  <c r="R4" i="26"/>
  <c r="S4" i="26"/>
  <c r="AG32" i="26"/>
  <c r="AD32" i="26"/>
  <c r="AE32" i="26"/>
  <c r="AG20" i="26"/>
  <c r="AD20" i="26"/>
  <c r="AE20" i="26"/>
  <c r="AG8" i="26"/>
  <c r="AD8" i="26"/>
  <c r="AE8" i="26"/>
  <c r="I8" i="26"/>
  <c r="F8" i="26"/>
  <c r="G8" i="26"/>
  <c r="U34" i="26"/>
  <c r="R34" i="26"/>
  <c r="S34" i="26"/>
  <c r="I36" i="26"/>
  <c r="F36" i="26"/>
  <c r="G36" i="26"/>
  <c r="I12" i="26"/>
  <c r="F12" i="26"/>
  <c r="G12" i="26"/>
  <c r="U16" i="26"/>
  <c r="R16" i="26"/>
  <c r="S16" i="26"/>
  <c r="I35" i="26"/>
  <c r="G35" i="26"/>
  <c r="F35" i="26"/>
  <c r="I23" i="26"/>
  <c r="G23" i="26"/>
  <c r="F23" i="26"/>
  <c r="I11" i="26"/>
  <c r="G11" i="26"/>
  <c r="F11" i="26"/>
  <c r="U39" i="26"/>
  <c r="R39" i="26"/>
  <c r="S39" i="26"/>
  <c r="U27" i="26"/>
  <c r="R27" i="26"/>
  <c r="S27" i="26"/>
  <c r="U15" i="26"/>
  <c r="R15" i="26"/>
  <c r="S15" i="26"/>
  <c r="U3" i="26"/>
  <c r="R3" i="26"/>
  <c r="S3" i="26"/>
  <c r="AG31" i="26"/>
  <c r="AD31" i="26"/>
  <c r="AE31" i="26"/>
  <c r="AG19" i="26"/>
  <c r="AD19" i="26"/>
  <c r="AE19" i="26"/>
  <c r="AG7" i="26"/>
  <c r="AD7" i="26"/>
  <c r="AE7" i="26"/>
  <c r="AG16" i="26"/>
  <c r="AD16" i="26"/>
  <c r="AE16" i="26"/>
  <c r="I2" i="26"/>
  <c r="F2" i="26"/>
  <c r="G2" i="26"/>
  <c r="U10" i="26"/>
  <c r="R10" i="26"/>
  <c r="S10" i="26"/>
  <c r="U40" i="26"/>
  <c r="R40" i="26"/>
  <c r="S40" i="26"/>
  <c r="I34" i="26"/>
  <c r="F34" i="26"/>
  <c r="G34" i="26"/>
  <c r="I22" i="26"/>
  <c r="F22" i="26"/>
  <c r="G22" i="26"/>
  <c r="I10" i="26"/>
  <c r="F10" i="26"/>
  <c r="G10" i="26"/>
  <c r="U38" i="26"/>
  <c r="R38" i="26"/>
  <c r="S38" i="26"/>
  <c r="U26" i="26"/>
  <c r="R26" i="26"/>
  <c r="S26" i="26"/>
  <c r="U14" i="26"/>
  <c r="R14" i="26"/>
  <c r="S14" i="26"/>
  <c r="AG2" i="26"/>
  <c r="AE2" i="26"/>
  <c r="AD2" i="26"/>
  <c r="AG30" i="26"/>
  <c r="AD30" i="26"/>
  <c r="AE30" i="26"/>
  <c r="AG18" i="26"/>
  <c r="AD18" i="26"/>
  <c r="AE18" i="26"/>
  <c r="AG6" i="26"/>
  <c r="AD6" i="26"/>
  <c r="AE6" i="26"/>
  <c r="I33" i="26"/>
  <c r="F33" i="26"/>
  <c r="G33" i="26"/>
  <c r="I21" i="26"/>
  <c r="F21" i="26"/>
  <c r="G21" i="26"/>
  <c r="I9" i="26"/>
  <c r="F9" i="26"/>
  <c r="G9" i="26"/>
  <c r="U37" i="26"/>
  <c r="R37" i="26"/>
  <c r="S37" i="26"/>
  <c r="U25" i="26"/>
  <c r="R25" i="26"/>
  <c r="S25" i="26"/>
  <c r="U13" i="26"/>
  <c r="R13" i="26"/>
  <c r="S13" i="26"/>
  <c r="AG41" i="26"/>
  <c r="AD41" i="26"/>
  <c r="AE41" i="26"/>
  <c r="AG29" i="26"/>
  <c r="AD29" i="26"/>
  <c r="AE29" i="26"/>
  <c r="AG17" i="26"/>
  <c r="AD17" i="26"/>
  <c r="AE17" i="26"/>
  <c r="AG5" i="26"/>
  <c r="AD5" i="26"/>
  <c r="AE5" i="26"/>
  <c r="I20" i="26"/>
  <c r="F20" i="26"/>
  <c r="G20" i="26"/>
  <c r="U12" i="26"/>
  <c r="R12" i="26"/>
  <c r="S12" i="26"/>
  <c r="I31" i="26"/>
  <c r="F31" i="26"/>
  <c r="G31" i="26"/>
  <c r="I19" i="26"/>
  <c r="F19" i="26"/>
  <c r="G19" i="26"/>
  <c r="I7" i="26"/>
  <c r="F7" i="26"/>
  <c r="G7" i="26"/>
  <c r="U35" i="26"/>
  <c r="R35" i="26"/>
  <c r="S35" i="26"/>
  <c r="U23" i="26"/>
  <c r="R23" i="26"/>
  <c r="S23" i="26"/>
  <c r="U11" i="26"/>
  <c r="R11" i="26"/>
  <c r="S11" i="26"/>
  <c r="AG39" i="26"/>
  <c r="AD39" i="26"/>
  <c r="AE39" i="26"/>
  <c r="AG27" i="26"/>
  <c r="AD27" i="26"/>
  <c r="AE27" i="26"/>
  <c r="AG15" i="26"/>
  <c r="AD15" i="26"/>
  <c r="AE15" i="26"/>
  <c r="AG3" i="26"/>
  <c r="AD3" i="26"/>
  <c r="AE3" i="26"/>
  <c r="U24" i="26"/>
  <c r="R24" i="26"/>
  <c r="S24" i="26"/>
  <c r="AG38" i="26"/>
  <c r="AD38" i="26"/>
  <c r="AE38" i="26"/>
  <c r="AG4" i="26"/>
  <c r="AD4" i="26"/>
  <c r="AE4" i="26"/>
  <c r="I18" i="26"/>
  <c r="F18" i="26"/>
  <c r="G18" i="26"/>
  <c r="AG14" i="26"/>
  <c r="AD14" i="26"/>
  <c r="AE14" i="26"/>
  <c r="I17" i="26"/>
  <c r="F17" i="26"/>
  <c r="G17" i="26"/>
  <c r="U21" i="26"/>
  <c r="R21" i="26"/>
  <c r="S21" i="26"/>
  <c r="AG13" i="26"/>
  <c r="AD13" i="26"/>
  <c r="AE13" i="26"/>
  <c r="AZ31" i="18"/>
  <c r="BA34" i="9"/>
  <c r="AA3" i="26"/>
  <c r="AI3" i="26" s="1"/>
  <c r="AA4" i="26"/>
  <c r="AI4" i="26" s="1"/>
  <c r="AA5" i="26"/>
  <c r="AI5" i="26" s="1"/>
  <c r="AA6" i="26"/>
  <c r="AI6" i="26" s="1"/>
  <c r="AA7" i="26"/>
  <c r="AI7" i="26" s="1"/>
  <c r="AA8" i="26"/>
  <c r="AI8" i="26" s="1"/>
  <c r="AA9" i="26"/>
  <c r="AI9" i="26" s="1"/>
  <c r="AA10" i="26"/>
  <c r="AI10" i="26" s="1"/>
  <c r="AA11" i="26"/>
  <c r="AI11" i="26" s="1"/>
  <c r="AA12" i="26"/>
  <c r="AI12" i="26" s="1"/>
  <c r="AA13" i="26"/>
  <c r="AI13" i="26" s="1"/>
  <c r="AA14" i="26"/>
  <c r="AI14" i="26" s="1"/>
  <c r="AA15" i="26"/>
  <c r="AI15" i="26" s="1"/>
  <c r="AA16" i="26"/>
  <c r="AI16" i="26" s="1"/>
  <c r="AA17" i="26"/>
  <c r="AI17" i="26" s="1"/>
  <c r="AA18" i="26"/>
  <c r="AI18" i="26" s="1"/>
  <c r="AA19" i="26"/>
  <c r="AI19" i="26" s="1"/>
  <c r="AA20" i="26"/>
  <c r="AI20" i="26" s="1"/>
  <c r="AA21" i="26"/>
  <c r="AI21" i="26" s="1"/>
  <c r="AA22" i="26"/>
  <c r="AI22" i="26" s="1"/>
  <c r="AA23" i="26"/>
  <c r="AI23" i="26" s="1"/>
  <c r="AA24" i="26"/>
  <c r="AI24" i="26" s="1"/>
  <c r="AA25" i="26"/>
  <c r="AI25" i="26" s="1"/>
  <c r="AA26" i="26"/>
  <c r="AI26" i="26" s="1"/>
  <c r="AA27" i="26"/>
  <c r="AI27" i="26" s="1"/>
  <c r="AA28" i="26"/>
  <c r="AI28" i="26" s="1"/>
  <c r="AA29" i="26"/>
  <c r="AI29" i="26" s="1"/>
  <c r="AA30" i="26"/>
  <c r="AI30" i="26" s="1"/>
  <c r="AA31" i="26"/>
  <c r="AI31" i="26" s="1"/>
  <c r="AA32" i="26"/>
  <c r="AI32" i="26" s="1"/>
  <c r="AA33" i="26"/>
  <c r="AI33" i="26" s="1"/>
  <c r="AA34" i="26"/>
  <c r="AI34" i="26" s="1"/>
  <c r="AA35" i="26"/>
  <c r="AI35" i="26" s="1"/>
  <c r="AA36" i="26"/>
  <c r="AI36" i="26" s="1"/>
  <c r="AA37" i="26"/>
  <c r="AI37" i="26" s="1"/>
  <c r="AA38" i="26"/>
  <c r="AI38" i="26" s="1"/>
  <c r="AA39" i="26"/>
  <c r="AI39" i="26" s="1"/>
  <c r="AA40" i="26"/>
  <c r="AI40" i="26" s="1"/>
  <c r="AA41" i="26"/>
  <c r="AI41" i="26" s="1"/>
  <c r="AA2" i="26"/>
  <c r="AI2" i="26" s="1"/>
  <c r="O3" i="26"/>
  <c r="W3" i="26" s="1"/>
  <c r="O4" i="26"/>
  <c r="W4" i="26" s="1"/>
  <c r="O5" i="26"/>
  <c r="W5" i="26" s="1"/>
  <c r="O6" i="26"/>
  <c r="W6" i="26" s="1"/>
  <c r="O7" i="26"/>
  <c r="W7" i="26" s="1"/>
  <c r="O8" i="26"/>
  <c r="W8" i="26" s="1"/>
  <c r="O9" i="26"/>
  <c r="W9" i="26" s="1"/>
  <c r="O10" i="26"/>
  <c r="W10" i="26" s="1"/>
  <c r="O11" i="26"/>
  <c r="W11" i="26" s="1"/>
  <c r="O12" i="26"/>
  <c r="W12" i="26" s="1"/>
  <c r="O13" i="26"/>
  <c r="W13" i="26" s="1"/>
  <c r="O14" i="26"/>
  <c r="W14" i="26" s="1"/>
  <c r="O15" i="26"/>
  <c r="W15" i="26" s="1"/>
  <c r="O16" i="26"/>
  <c r="W16" i="26" s="1"/>
  <c r="O17" i="26"/>
  <c r="W17" i="26" s="1"/>
  <c r="O18" i="26"/>
  <c r="W18" i="26" s="1"/>
  <c r="O19" i="26"/>
  <c r="W19" i="26" s="1"/>
  <c r="O20" i="26"/>
  <c r="W20" i="26" s="1"/>
  <c r="O21" i="26"/>
  <c r="W21" i="26" s="1"/>
  <c r="O22" i="26"/>
  <c r="W22" i="26" s="1"/>
  <c r="O23" i="26"/>
  <c r="W23" i="26" s="1"/>
  <c r="O24" i="26"/>
  <c r="W24" i="26" s="1"/>
  <c r="O25" i="26"/>
  <c r="W25" i="26" s="1"/>
  <c r="O26" i="26"/>
  <c r="W26" i="26" s="1"/>
  <c r="O27" i="26"/>
  <c r="W27" i="26" s="1"/>
  <c r="O28" i="26"/>
  <c r="W28" i="26" s="1"/>
  <c r="O29" i="26"/>
  <c r="W29" i="26" s="1"/>
  <c r="O30" i="26"/>
  <c r="W30" i="26" s="1"/>
  <c r="O31" i="26"/>
  <c r="W31" i="26" s="1"/>
  <c r="O32" i="26"/>
  <c r="W32" i="26" s="1"/>
  <c r="O33" i="26"/>
  <c r="W33" i="26" s="1"/>
  <c r="O34" i="26"/>
  <c r="W34" i="26" s="1"/>
  <c r="O35" i="26"/>
  <c r="W35" i="26" s="1"/>
  <c r="O36" i="26"/>
  <c r="W36" i="26" s="1"/>
  <c r="O37" i="26"/>
  <c r="W37" i="26" s="1"/>
  <c r="O38" i="26"/>
  <c r="W38" i="26" s="1"/>
  <c r="O39" i="26"/>
  <c r="W39" i="26" s="1"/>
  <c r="O40" i="26"/>
  <c r="W40" i="26" s="1"/>
  <c r="O41" i="26"/>
  <c r="W41" i="26" s="1"/>
  <c r="O2" i="26"/>
  <c r="W2" i="26" s="1"/>
  <c r="C3" i="26"/>
  <c r="K3" i="26" s="1"/>
  <c r="C4" i="26"/>
  <c r="K4" i="26" s="1"/>
  <c r="C5" i="26"/>
  <c r="K5" i="26" s="1"/>
  <c r="C6" i="26"/>
  <c r="K6" i="26" s="1"/>
  <c r="C7" i="26"/>
  <c r="K7" i="26" s="1"/>
  <c r="C8" i="26"/>
  <c r="K8" i="26" s="1"/>
  <c r="C9" i="26"/>
  <c r="K9" i="26" s="1"/>
  <c r="C10" i="26"/>
  <c r="K10" i="26" s="1"/>
  <c r="C11" i="26"/>
  <c r="K11" i="26" s="1"/>
  <c r="C12" i="26"/>
  <c r="K12" i="26" s="1"/>
  <c r="C13" i="26"/>
  <c r="K13" i="26" s="1"/>
  <c r="C14" i="26"/>
  <c r="K14" i="26" s="1"/>
  <c r="C15" i="26"/>
  <c r="K15" i="26" s="1"/>
  <c r="C16" i="26"/>
  <c r="K16" i="26" s="1"/>
  <c r="C17" i="26"/>
  <c r="K17" i="26" s="1"/>
  <c r="C18" i="26"/>
  <c r="K18" i="26" s="1"/>
  <c r="C19" i="26"/>
  <c r="K19" i="26" s="1"/>
  <c r="C20" i="26"/>
  <c r="K20" i="26" s="1"/>
  <c r="C21" i="26"/>
  <c r="K21" i="26" s="1"/>
  <c r="C22" i="26"/>
  <c r="K22" i="26" s="1"/>
  <c r="C23" i="26"/>
  <c r="K23" i="26" s="1"/>
  <c r="C24" i="26"/>
  <c r="K24" i="26" s="1"/>
  <c r="C25" i="26"/>
  <c r="K25" i="26" s="1"/>
  <c r="C26" i="26"/>
  <c r="K26" i="26" s="1"/>
  <c r="C27" i="26"/>
  <c r="K27" i="26" s="1"/>
  <c r="C28" i="26"/>
  <c r="K28" i="26" s="1"/>
  <c r="C29" i="26"/>
  <c r="K29" i="26" s="1"/>
  <c r="C30" i="26"/>
  <c r="K30" i="26" s="1"/>
  <c r="C31" i="26"/>
  <c r="K31" i="26" s="1"/>
  <c r="C32" i="26"/>
  <c r="K32" i="26" s="1"/>
  <c r="C33" i="26"/>
  <c r="K33" i="26" s="1"/>
  <c r="C34" i="26"/>
  <c r="K34" i="26" s="1"/>
  <c r="C35" i="26"/>
  <c r="K35" i="26" s="1"/>
  <c r="C36" i="26"/>
  <c r="K36" i="26" s="1"/>
  <c r="C37" i="26"/>
  <c r="K37" i="26" s="1"/>
  <c r="C38" i="26"/>
  <c r="K38" i="26" s="1"/>
  <c r="C39" i="26"/>
  <c r="K39" i="26" s="1"/>
  <c r="C40" i="26"/>
  <c r="K40" i="26" s="1"/>
  <c r="C41" i="26"/>
  <c r="K41" i="26" s="1"/>
  <c r="C2" i="26"/>
  <c r="K2" i="26" s="1"/>
  <c r="AH13" i="26" l="1"/>
  <c r="J18" i="26"/>
  <c r="AH3" i="26"/>
  <c r="V11" i="26"/>
  <c r="J19" i="26"/>
  <c r="AH5" i="26"/>
  <c r="V13" i="26"/>
  <c r="J21" i="26"/>
  <c r="AH30" i="26"/>
  <c r="V38" i="26"/>
  <c r="V40" i="26"/>
  <c r="AH7" i="26"/>
  <c r="V15" i="26"/>
  <c r="J23" i="26"/>
  <c r="J36" i="26"/>
  <c r="AH20" i="26"/>
  <c r="J24" i="26"/>
  <c r="AH21" i="26"/>
  <c r="V29" i="26"/>
  <c r="J37" i="26"/>
  <c r="V2" i="26"/>
  <c r="AH36" i="26"/>
  <c r="AH37" i="26"/>
  <c r="J30" i="26"/>
  <c r="AH34" i="26"/>
  <c r="V8" i="26"/>
  <c r="AH25" i="26"/>
  <c r="V22" i="26"/>
  <c r="AH35" i="26"/>
  <c r="J3" i="26"/>
  <c r="V21" i="26"/>
  <c r="AH4" i="26"/>
  <c r="AH15" i="26"/>
  <c r="V23" i="26"/>
  <c r="J31" i="26"/>
  <c r="AH17" i="26"/>
  <c r="V25" i="26"/>
  <c r="J33" i="26"/>
  <c r="AH2" i="26"/>
  <c r="J10" i="26"/>
  <c r="V10" i="26"/>
  <c r="AH19" i="26"/>
  <c r="V27" i="26"/>
  <c r="J35" i="26"/>
  <c r="V34" i="26"/>
  <c r="AH32" i="26"/>
  <c r="J6" i="26"/>
  <c r="AH33" i="26"/>
  <c r="V41" i="26"/>
  <c r="AH22" i="26"/>
  <c r="J14" i="26"/>
  <c r="V20" i="26"/>
  <c r="V33" i="26"/>
  <c r="AH40" i="26"/>
  <c r="V30" i="26"/>
  <c r="V32" i="26"/>
  <c r="V9" i="26"/>
  <c r="V36" i="26"/>
  <c r="V7" i="26"/>
  <c r="J15" i="26"/>
  <c r="J17" i="26"/>
  <c r="AH38" i="26"/>
  <c r="AH27" i="26"/>
  <c r="V35" i="26"/>
  <c r="V12" i="26"/>
  <c r="AH29" i="26"/>
  <c r="V37" i="26"/>
  <c r="AH6" i="26"/>
  <c r="V14" i="26"/>
  <c r="J22" i="26"/>
  <c r="J2" i="26"/>
  <c r="AH31" i="26"/>
  <c r="V39" i="26"/>
  <c r="V16" i="26"/>
  <c r="J8" i="26"/>
  <c r="V4" i="26"/>
  <c r="AH28" i="26"/>
  <c r="V5" i="26"/>
  <c r="J13" i="26"/>
  <c r="V6" i="26"/>
  <c r="J38" i="26"/>
  <c r="J4" i="26"/>
  <c r="J29" i="26"/>
  <c r="J32" i="26"/>
  <c r="J26" i="26"/>
  <c r="J16" i="26"/>
  <c r="J5" i="26"/>
  <c r="AH11" i="26"/>
  <c r="V19" i="26"/>
  <c r="J27" i="26"/>
  <c r="AH14" i="26"/>
  <c r="V24" i="26"/>
  <c r="AH39" i="26"/>
  <c r="J7" i="26"/>
  <c r="J20" i="26"/>
  <c r="AH41" i="26"/>
  <c r="J9" i="26"/>
  <c r="AH18" i="26"/>
  <c r="V26" i="26"/>
  <c r="J34" i="26"/>
  <c r="AH16" i="26"/>
  <c r="V3" i="26"/>
  <c r="J11" i="26"/>
  <c r="J12" i="26"/>
  <c r="AH8" i="26"/>
  <c r="V28" i="26"/>
  <c r="AH9" i="26"/>
  <c r="V17" i="26"/>
  <c r="J25" i="26"/>
  <c r="V18" i="26"/>
  <c r="AH12" i="26"/>
  <c r="J28" i="26"/>
  <c r="AH26" i="26"/>
  <c r="AH10" i="26"/>
  <c r="AH24" i="26"/>
  <c r="J40" i="26"/>
  <c r="J41" i="26"/>
  <c r="AH23" i="26"/>
  <c r="V31" i="26"/>
  <c r="J39" i="26"/>
  <c r="E30" i="26"/>
  <c r="E6" i="26"/>
  <c r="Q18" i="26"/>
  <c r="AC2" i="26"/>
  <c r="AC30" i="26"/>
  <c r="E37" i="26"/>
  <c r="E29" i="26"/>
  <c r="E21" i="26"/>
  <c r="E13" i="26"/>
  <c r="E5" i="26"/>
  <c r="Q41" i="26"/>
  <c r="Q33" i="26"/>
  <c r="Q25" i="26"/>
  <c r="Q17" i="26"/>
  <c r="Q9" i="26"/>
  <c r="AC37" i="26"/>
  <c r="AC29" i="26"/>
  <c r="AC21" i="26"/>
  <c r="AC13" i="26"/>
  <c r="AC5" i="26"/>
  <c r="Q26" i="26"/>
  <c r="AC6" i="26"/>
  <c r="Q40" i="26"/>
  <c r="AC28" i="26"/>
  <c r="E19" i="26"/>
  <c r="Q39" i="26"/>
  <c r="Q31" i="26"/>
  <c r="Q23" i="26"/>
  <c r="Q15" i="26"/>
  <c r="Q7" i="26"/>
  <c r="AC35" i="26"/>
  <c r="AC27" i="26"/>
  <c r="AC19" i="26"/>
  <c r="AC11" i="26"/>
  <c r="AC3" i="26"/>
  <c r="E2" i="26"/>
  <c r="E38" i="26"/>
  <c r="E14" i="26"/>
  <c r="Q10" i="26"/>
  <c r="AC38" i="26"/>
  <c r="AC14" i="26"/>
  <c r="E36" i="26"/>
  <c r="E20" i="26"/>
  <c r="Q24" i="26"/>
  <c r="Q8" i="26"/>
  <c r="AC12" i="26"/>
  <c r="E27" i="26"/>
  <c r="E34" i="26"/>
  <c r="E26" i="26"/>
  <c r="E18" i="26"/>
  <c r="E10" i="26"/>
  <c r="Q2" i="26"/>
  <c r="Q38" i="26"/>
  <c r="Q30" i="26"/>
  <c r="Q22" i="26"/>
  <c r="Q14" i="26"/>
  <c r="Q6" i="26"/>
  <c r="AC34" i="26"/>
  <c r="AC26" i="26"/>
  <c r="AC18" i="26"/>
  <c r="AC10" i="26"/>
  <c r="Q34" i="26"/>
  <c r="E12" i="26"/>
  <c r="E35" i="26"/>
  <c r="E41" i="26"/>
  <c r="E33" i="26"/>
  <c r="E25" i="26"/>
  <c r="E17" i="26"/>
  <c r="E9" i="26"/>
  <c r="Q37" i="26"/>
  <c r="Q29" i="26"/>
  <c r="Q21" i="26"/>
  <c r="Q13" i="26"/>
  <c r="Q5" i="26"/>
  <c r="AC41" i="26"/>
  <c r="AC33" i="26"/>
  <c r="AC25" i="26"/>
  <c r="AC17" i="26"/>
  <c r="AC9" i="26"/>
  <c r="E22" i="26"/>
  <c r="AC22" i="26"/>
  <c r="E28" i="26"/>
  <c r="E4" i="26"/>
  <c r="Q32" i="26"/>
  <c r="Q16" i="26"/>
  <c r="AC36" i="26"/>
  <c r="AC20" i="26"/>
  <c r="AC4" i="26"/>
  <c r="E11" i="26"/>
  <c r="E40" i="26"/>
  <c r="E32" i="26"/>
  <c r="E24" i="26"/>
  <c r="E16" i="26"/>
  <c r="E8" i="26"/>
  <c r="Q36" i="26"/>
  <c r="Q28" i="26"/>
  <c r="Q20" i="26"/>
  <c r="Q12" i="26"/>
  <c r="Q4" i="26"/>
  <c r="AC40" i="26"/>
  <c r="AC32" i="26"/>
  <c r="AC24" i="26"/>
  <c r="AC16" i="26"/>
  <c r="AC8" i="26"/>
  <c r="E3" i="26"/>
  <c r="E39" i="26"/>
  <c r="E31" i="26"/>
  <c r="E23" i="26"/>
  <c r="E15" i="26"/>
  <c r="E7" i="26"/>
  <c r="Q35" i="26"/>
  <c r="Q27" i="26"/>
  <c r="Q19" i="26"/>
  <c r="Q11" i="26"/>
  <c r="Q3" i="26"/>
  <c r="AC39" i="26"/>
  <c r="AC31" i="26"/>
  <c r="AC23" i="26"/>
  <c r="AC15" i="26"/>
  <c r="AC7" i="26"/>
  <c r="X201" i="23" l="1"/>
  <c r="W201" i="23"/>
  <c r="X200" i="23"/>
  <c r="W200" i="23"/>
  <c r="X199" i="23"/>
  <c r="W199" i="23"/>
  <c r="X198" i="23"/>
  <c r="W198" i="23"/>
  <c r="X197" i="23"/>
  <c r="W197" i="23"/>
  <c r="X196" i="23"/>
  <c r="W196" i="23"/>
  <c r="X195" i="23"/>
  <c r="W195" i="23"/>
  <c r="X194" i="23"/>
  <c r="W194" i="23"/>
  <c r="X193" i="23"/>
  <c r="W193" i="23"/>
  <c r="X192" i="23"/>
  <c r="W192" i="23"/>
  <c r="X191" i="23"/>
  <c r="W191" i="23"/>
  <c r="X190" i="23"/>
  <c r="W190" i="23"/>
  <c r="X189" i="23"/>
  <c r="W189" i="23"/>
  <c r="X188" i="23"/>
  <c r="W188" i="23"/>
  <c r="X187" i="23"/>
  <c r="W187" i="23"/>
  <c r="X186" i="23"/>
  <c r="W186" i="23"/>
  <c r="X185" i="23"/>
  <c r="W185" i="23"/>
  <c r="X184" i="23"/>
  <c r="W184" i="23"/>
  <c r="X183" i="23"/>
  <c r="W183" i="23"/>
  <c r="X182" i="23"/>
  <c r="W182" i="23"/>
  <c r="X181" i="23"/>
  <c r="W181" i="23"/>
  <c r="X180" i="23"/>
  <c r="W180" i="23"/>
  <c r="X179" i="23"/>
  <c r="W179" i="23"/>
  <c r="X178" i="23"/>
  <c r="W178" i="23"/>
  <c r="X177" i="23"/>
  <c r="W177" i="23"/>
  <c r="X176" i="23"/>
  <c r="W176" i="23"/>
  <c r="X175" i="23"/>
  <c r="W175" i="23"/>
  <c r="X174" i="23"/>
  <c r="W174" i="23"/>
  <c r="X173" i="23"/>
  <c r="W173" i="23"/>
  <c r="X172" i="23"/>
  <c r="W172" i="23"/>
  <c r="X171" i="23"/>
  <c r="W171" i="23"/>
  <c r="X170" i="23"/>
  <c r="W170" i="23"/>
  <c r="X169" i="23"/>
  <c r="W169" i="23"/>
  <c r="X168" i="23"/>
  <c r="W168" i="23"/>
  <c r="X167" i="23"/>
  <c r="W167" i="23"/>
  <c r="X166" i="23"/>
  <c r="W166" i="23"/>
  <c r="X165" i="23"/>
  <c r="W165" i="23"/>
  <c r="X164" i="23"/>
  <c r="W164" i="23"/>
  <c r="X163" i="23"/>
  <c r="W163" i="23"/>
  <c r="X162" i="23"/>
  <c r="W162" i="23"/>
  <c r="X161" i="23"/>
  <c r="W161" i="23"/>
  <c r="X160" i="23"/>
  <c r="W160" i="23"/>
  <c r="X159" i="23"/>
  <c r="W159" i="23"/>
  <c r="X158" i="23"/>
  <c r="W158" i="23"/>
  <c r="X157" i="23"/>
  <c r="W157" i="23"/>
  <c r="AC324" i="30" s="1"/>
  <c r="X156" i="23"/>
  <c r="W156" i="23"/>
  <c r="X155" i="23"/>
  <c r="W155" i="23"/>
  <c r="X154" i="23"/>
  <c r="W154" i="23"/>
  <c r="X153" i="23"/>
  <c r="W153" i="23"/>
  <c r="X152" i="23"/>
  <c r="W152" i="23"/>
  <c r="X151" i="23"/>
  <c r="W151" i="23"/>
  <c r="X150" i="23"/>
  <c r="W150" i="23"/>
  <c r="X149" i="23"/>
  <c r="W149" i="23"/>
  <c r="X148" i="23"/>
  <c r="W148" i="23"/>
  <c r="X147" i="23"/>
  <c r="W147" i="23"/>
  <c r="X146" i="23"/>
  <c r="W146" i="23"/>
  <c r="X145" i="23"/>
  <c r="W145" i="23"/>
  <c r="X144" i="23"/>
  <c r="W144" i="23"/>
  <c r="X143" i="23"/>
  <c r="W143" i="23"/>
  <c r="X142" i="23"/>
  <c r="W142" i="23"/>
  <c r="X141" i="23"/>
  <c r="W141" i="23"/>
  <c r="X140" i="23"/>
  <c r="W140" i="23"/>
  <c r="X139" i="23"/>
  <c r="W139" i="23"/>
  <c r="X138" i="23"/>
  <c r="W138" i="23"/>
  <c r="X137" i="23"/>
  <c r="W137" i="23"/>
  <c r="X136" i="23"/>
  <c r="W136" i="23"/>
  <c r="X135" i="23"/>
  <c r="W135" i="23"/>
  <c r="X134" i="23"/>
  <c r="W134" i="23"/>
  <c r="X133" i="23"/>
  <c r="W133" i="23"/>
  <c r="X132" i="23"/>
  <c r="W132" i="23"/>
  <c r="X131" i="23"/>
  <c r="W131" i="23"/>
  <c r="X130" i="23"/>
  <c r="W130" i="23"/>
  <c r="X129" i="23"/>
  <c r="W129" i="23"/>
  <c r="X128" i="23"/>
  <c r="W128" i="23"/>
  <c r="X127" i="23"/>
  <c r="W127" i="23"/>
  <c r="X126" i="23"/>
  <c r="W126" i="23"/>
  <c r="X125" i="23"/>
  <c r="W125" i="23"/>
  <c r="X124" i="23"/>
  <c r="W124" i="23"/>
  <c r="X123" i="23"/>
  <c r="W123" i="23"/>
  <c r="X122" i="23"/>
  <c r="W122" i="23"/>
  <c r="X121" i="23"/>
  <c r="W121" i="23"/>
  <c r="X120" i="23"/>
  <c r="W120" i="23"/>
  <c r="X119" i="23"/>
  <c r="W119" i="23"/>
  <c r="X118" i="23"/>
  <c r="W118" i="23"/>
  <c r="X117" i="23"/>
  <c r="W117" i="23"/>
  <c r="X116" i="23"/>
  <c r="W116" i="23"/>
  <c r="X115" i="23"/>
  <c r="W115" i="23"/>
  <c r="X114" i="23"/>
  <c r="W114" i="23"/>
  <c r="X113" i="23"/>
  <c r="W113" i="23"/>
  <c r="X112" i="23"/>
  <c r="W112" i="23"/>
  <c r="X111" i="23"/>
  <c r="W111" i="23"/>
  <c r="X110" i="23"/>
  <c r="W110" i="23"/>
  <c r="X109" i="23"/>
  <c r="W109" i="23"/>
  <c r="X108" i="23"/>
  <c r="W108" i="23"/>
  <c r="X107" i="23"/>
  <c r="W107" i="23"/>
  <c r="X106" i="23"/>
  <c r="W106" i="23"/>
  <c r="X105" i="23"/>
  <c r="W105" i="23"/>
  <c r="X104" i="23"/>
  <c r="W104" i="23"/>
  <c r="X103" i="23"/>
  <c r="W103" i="23"/>
  <c r="X102" i="23"/>
  <c r="W102" i="23"/>
  <c r="X101" i="23"/>
  <c r="W101" i="23"/>
  <c r="X100" i="23"/>
  <c r="W100" i="23"/>
  <c r="X99" i="23"/>
  <c r="W99" i="23"/>
  <c r="X98" i="23"/>
  <c r="W98" i="23"/>
  <c r="X97" i="23"/>
  <c r="W97" i="23"/>
  <c r="X96" i="23"/>
  <c r="W96" i="23"/>
  <c r="X95" i="23"/>
  <c r="W95" i="23"/>
  <c r="X94" i="23"/>
  <c r="W94" i="23"/>
  <c r="X93" i="23"/>
  <c r="W93" i="23"/>
  <c r="X92" i="23"/>
  <c r="W92" i="23"/>
  <c r="X91" i="23"/>
  <c r="W91" i="23"/>
  <c r="X90" i="23"/>
  <c r="W90" i="23"/>
  <c r="X89" i="23"/>
  <c r="W89" i="23"/>
  <c r="X88" i="23"/>
  <c r="W88" i="23"/>
  <c r="X87" i="23"/>
  <c r="W87" i="23"/>
  <c r="X86" i="23"/>
  <c r="W86" i="23"/>
  <c r="X85" i="23"/>
  <c r="W85" i="23"/>
  <c r="X84" i="23"/>
  <c r="W84" i="23"/>
  <c r="X83" i="23"/>
  <c r="W83" i="23"/>
  <c r="X82" i="23"/>
  <c r="W82" i="23"/>
  <c r="X81" i="23"/>
  <c r="W81" i="23"/>
  <c r="X80" i="23"/>
  <c r="W80" i="23"/>
  <c r="X79" i="23"/>
  <c r="W79" i="23"/>
  <c r="X78" i="23"/>
  <c r="W78" i="23"/>
  <c r="X77" i="23"/>
  <c r="W77" i="23"/>
  <c r="X76" i="23"/>
  <c r="W76" i="23"/>
  <c r="X75" i="23"/>
  <c r="W75" i="23"/>
  <c r="X74" i="23"/>
  <c r="W74" i="23"/>
  <c r="X73" i="23"/>
  <c r="W73" i="23"/>
  <c r="X72" i="23"/>
  <c r="W72" i="23"/>
  <c r="X71" i="23"/>
  <c r="W71" i="23"/>
  <c r="X70" i="23"/>
  <c r="W70" i="23"/>
  <c r="X69" i="23"/>
  <c r="W69" i="23"/>
  <c r="X68" i="23"/>
  <c r="W68" i="23"/>
  <c r="X67" i="23"/>
  <c r="W67" i="23"/>
  <c r="X66" i="23"/>
  <c r="W66" i="23"/>
  <c r="X65" i="23"/>
  <c r="W65" i="23"/>
  <c r="X64" i="23"/>
  <c r="W64" i="23"/>
  <c r="X63" i="23"/>
  <c r="W63" i="23"/>
  <c r="X62" i="23"/>
  <c r="W62" i="23"/>
  <c r="X61" i="23"/>
  <c r="W61" i="23"/>
  <c r="X60" i="23"/>
  <c r="W60" i="23"/>
  <c r="X59" i="23"/>
  <c r="W59" i="23"/>
  <c r="X58" i="23"/>
  <c r="W58" i="23"/>
  <c r="X57" i="23"/>
  <c r="W57" i="23"/>
  <c r="X56" i="23"/>
  <c r="W56" i="23"/>
  <c r="X55" i="23"/>
  <c r="W55" i="23"/>
  <c r="X54" i="23"/>
  <c r="W54" i="23"/>
  <c r="X53" i="23"/>
  <c r="W53" i="23"/>
  <c r="X52" i="23"/>
  <c r="W52" i="23"/>
  <c r="X51" i="23"/>
  <c r="W51" i="23"/>
  <c r="X50" i="23"/>
  <c r="W50" i="23"/>
  <c r="X49" i="23"/>
  <c r="W49" i="23"/>
  <c r="X48" i="23"/>
  <c r="W48" i="23"/>
  <c r="X47" i="23"/>
  <c r="W47" i="23"/>
  <c r="X46" i="23"/>
  <c r="W46" i="23"/>
  <c r="X45" i="23"/>
  <c r="W45" i="23"/>
  <c r="X44" i="23"/>
  <c r="W44" i="23"/>
  <c r="X43" i="23"/>
  <c r="W43" i="23"/>
  <c r="X42" i="23"/>
  <c r="W42" i="23"/>
  <c r="X41" i="23"/>
  <c r="W41" i="23"/>
  <c r="X40" i="23"/>
  <c r="W40" i="23"/>
  <c r="X39" i="23"/>
  <c r="W39" i="23"/>
  <c r="X38" i="23"/>
  <c r="W38" i="23"/>
  <c r="X37" i="23"/>
  <c r="W37" i="23"/>
  <c r="X36" i="23"/>
  <c r="W36" i="23"/>
  <c r="X35" i="23"/>
  <c r="W35" i="23"/>
  <c r="X34" i="23"/>
  <c r="W34" i="23"/>
  <c r="X33" i="23"/>
  <c r="W33" i="23"/>
  <c r="AC329" i="30" s="1"/>
  <c r="X32" i="23"/>
  <c r="W32" i="23"/>
  <c r="X31" i="23"/>
  <c r="W31" i="23"/>
  <c r="X30" i="23"/>
  <c r="W30" i="23"/>
  <c r="X29" i="23"/>
  <c r="W29" i="23"/>
  <c r="X28" i="23"/>
  <c r="W28" i="23"/>
  <c r="X27" i="23"/>
  <c r="W27" i="23"/>
  <c r="X26" i="23"/>
  <c r="W26" i="23"/>
  <c r="X25" i="23"/>
  <c r="W25" i="23"/>
  <c r="X24" i="23"/>
  <c r="W24" i="23"/>
  <c r="X23" i="23"/>
  <c r="W23" i="23"/>
  <c r="X22" i="23"/>
  <c r="W22" i="23"/>
  <c r="X21" i="23"/>
  <c r="W21" i="23"/>
  <c r="X20" i="23"/>
  <c r="W20" i="23"/>
  <c r="X19" i="23"/>
  <c r="W19" i="23"/>
  <c r="X18" i="23"/>
  <c r="W18" i="23"/>
  <c r="X17" i="23"/>
  <c r="W17" i="23"/>
  <c r="X16" i="23"/>
  <c r="W16" i="23"/>
  <c r="X15" i="23"/>
  <c r="W15" i="23"/>
  <c r="X14" i="23"/>
  <c r="W14" i="23"/>
  <c r="X13" i="23"/>
  <c r="W13" i="23"/>
  <c r="X12" i="23"/>
  <c r="W12" i="23"/>
  <c r="X11" i="23"/>
  <c r="W11" i="23"/>
  <c r="X10" i="23"/>
  <c r="W10" i="23"/>
  <c r="X9" i="23"/>
  <c r="W9" i="23"/>
  <c r="X8" i="23"/>
  <c r="W8" i="23"/>
  <c r="X7" i="23"/>
  <c r="W7" i="23"/>
  <c r="X6" i="23"/>
  <c r="W6" i="23"/>
  <c r="X5" i="23"/>
  <c r="W5" i="23"/>
  <c r="X4" i="23"/>
  <c r="W4" i="23"/>
  <c r="X3" i="23"/>
  <c r="W3" i="23"/>
  <c r="X2" i="23"/>
  <c r="W2" i="23"/>
  <c r="N201" i="23"/>
  <c r="M201" i="23"/>
  <c r="N200" i="23"/>
  <c r="M200" i="23"/>
  <c r="N199" i="23"/>
  <c r="M199" i="23"/>
  <c r="N198" i="23"/>
  <c r="M198" i="23"/>
  <c r="N197" i="23"/>
  <c r="M197" i="23"/>
  <c r="N196" i="23"/>
  <c r="M196" i="23"/>
  <c r="N195" i="23"/>
  <c r="M195" i="23"/>
  <c r="N194" i="23"/>
  <c r="M194" i="23"/>
  <c r="N193" i="23"/>
  <c r="M193" i="23"/>
  <c r="N192" i="23"/>
  <c r="M192" i="23"/>
  <c r="N191" i="23"/>
  <c r="M191" i="23"/>
  <c r="N190" i="23"/>
  <c r="M190" i="23"/>
  <c r="N189" i="23"/>
  <c r="M189" i="23"/>
  <c r="N188" i="23"/>
  <c r="M188" i="23"/>
  <c r="N187" i="23"/>
  <c r="M187" i="23"/>
  <c r="N186" i="23"/>
  <c r="M186" i="23"/>
  <c r="N185" i="23"/>
  <c r="M185" i="23"/>
  <c r="N184" i="23"/>
  <c r="M184" i="23"/>
  <c r="N183" i="23"/>
  <c r="M183" i="23"/>
  <c r="N182" i="23"/>
  <c r="M182" i="23"/>
  <c r="N181" i="23"/>
  <c r="M181" i="23"/>
  <c r="N180" i="23"/>
  <c r="M180" i="23"/>
  <c r="N179" i="23"/>
  <c r="M179" i="23"/>
  <c r="N178" i="23"/>
  <c r="M178" i="23"/>
  <c r="N177" i="23"/>
  <c r="M177" i="23"/>
  <c r="N176" i="23"/>
  <c r="M176" i="23"/>
  <c r="N175" i="23"/>
  <c r="M175" i="23"/>
  <c r="N174" i="23"/>
  <c r="M174" i="23"/>
  <c r="N173" i="23"/>
  <c r="M173" i="23"/>
  <c r="N172" i="23"/>
  <c r="M172" i="23"/>
  <c r="N171" i="23"/>
  <c r="M171" i="23"/>
  <c r="N170" i="23"/>
  <c r="M170" i="23"/>
  <c r="N169" i="23"/>
  <c r="M169" i="23"/>
  <c r="N168" i="23"/>
  <c r="M168" i="23"/>
  <c r="N167" i="23"/>
  <c r="M167" i="23"/>
  <c r="N166" i="23"/>
  <c r="M166" i="23"/>
  <c r="N165" i="23"/>
  <c r="M165" i="23"/>
  <c r="N164" i="23"/>
  <c r="M164" i="23"/>
  <c r="N163" i="23"/>
  <c r="M163" i="23"/>
  <c r="N162" i="23"/>
  <c r="M162" i="23"/>
  <c r="N161" i="23"/>
  <c r="M161" i="23"/>
  <c r="N160" i="23"/>
  <c r="M160" i="23"/>
  <c r="N159" i="23"/>
  <c r="M159" i="23"/>
  <c r="N158" i="23"/>
  <c r="M158" i="23"/>
  <c r="N157" i="23"/>
  <c r="M157" i="23"/>
  <c r="N156" i="23"/>
  <c r="M156" i="23"/>
  <c r="N155" i="23"/>
  <c r="M155" i="23"/>
  <c r="N154" i="23"/>
  <c r="M154" i="23"/>
  <c r="N153" i="23"/>
  <c r="M153" i="23"/>
  <c r="N152" i="23"/>
  <c r="M152" i="23"/>
  <c r="N151" i="23"/>
  <c r="M151" i="23"/>
  <c r="N150" i="23"/>
  <c r="M150" i="23"/>
  <c r="N149" i="23"/>
  <c r="M149" i="23"/>
  <c r="N148" i="23"/>
  <c r="M148" i="23"/>
  <c r="N147" i="23"/>
  <c r="M147" i="23"/>
  <c r="N146" i="23"/>
  <c r="M146" i="23"/>
  <c r="N145" i="23"/>
  <c r="M145" i="23"/>
  <c r="N144" i="23"/>
  <c r="M144" i="23"/>
  <c r="N143" i="23"/>
  <c r="M143" i="23"/>
  <c r="N142" i="23"/>
  <c r="M142" i="23"/>
  <c r="N141" i="23"/>
  <c r="M141" i="23"/>
  <c r="N140" i="23"/>
  <c r="M140" i="23"/>
  <c r="N139" i="23"/>
  <c r="M139" i="23"/>
  <c r="N138" i="23"/>
  <c r="M138" i="23"/>
  <c r="N137" i="23"/>
  <c r="M137" i="23"/>
  <c r="N136" i="23"/>
  <c r="M136" i="23"/>
  <c r="N135" i="23"/>
  <c r="M135" i="23"/>
  <c r="N134" i="23"/>
  <c r="M134" i="23"/>
  <c r="N133" i="23"/>
  <c r="M133" i="23"/>
  <c r="N132" i="23"/>
  <c r="M132" i="23"/>
  <c r="N131" i="23"/>
  <c r="M131" i="23"/>
  <c r="N130" i="23"/>
  <c r="M130" i="23"/>
  <c r="N129" i="23"/>
  <c r="M129" i="23"/>
  <c r="N128" i="23"/>
  <c r="M128" i="23"/>
  <c r="N127" i="23"/>
  <c r="M127" i="23"/>
  <c r="N126" i="23"/>
  <c r="M126" i="23"/>
  <c r="N125" i="23"/>
  <c r="M125" i="23"/>
  <c r="N124" i="23"/>
  <c r="M124" i="23"/>
  <c r="N123" i="23"/>
  <c r="M123" i="23"/>
  <c r="N122" i="23"/>
  <c r="M122" i="23"/>
  <c r="N121" i="23"/>
  <c r="M121" i="23"/>
  <c r="N120" i="23"/>
  <c r="M120" i="23"/>
  <c r="N119" i="23"/>
  <c r="M119" i="23"/>
  <c r="N118" i="23"/>
  <c r="M118" i="23"/>
  <c r="N117" i="23"/>
  <c r="M117" i="23"/>
  <c r="N116" i="23"/>
  <c r="M116" i="23"/>
  <c r="N115" i="23"/>
  <c r="M115" i="23"/>
  <c r="N114" i="23"/>
  <c r="M114" i="23"/>
  <c r="N113" i="23"/>
  <c r="M113" i="23"/>
  <c r="N112" i="23"/>
  <c r="M112" i="23"/>
  <c r="N111" i="23"/>
  <c r="M111" i="23"/>
  <c r="N110" i="23"/>
  <c r="M110" i="23"/>
  <c r="N109" i="23"/>
  <c r="M109" i="23"/>
  <c r="N108" i="23"/>
  <c r="M108" i="23"/>
  <c r="N107" i="23"/>
  <c r="M107" i="23"/>
  <c r="N106" i="23"/>
  <c r="M106" i="23"/>
  <c r="N105" i="23"/>
  <c r="M105" i="23"/>
  <c r="N104" i="23"/>
  <c r="M104" i="23"/>
  <c r="N103" i="23"/>
  <c r="M103" i="23"/>
  <c r="N102" i="23"/>
  <c r="M102" i="23"/>
  <c r="N101" i="23"/>
  <c r="M101" i="23"/>
  <c r="N100" i="23"/>
  <c r="M100" i="23"/>
  <c r="N99" i="23"/>
  <c r="M99" i="23"/>
  <c r="N98" i="23"/>
  <c r="M98" i="23"/>
  <c r="N97" i="23"/>
  <c r="M97" i="23"/>
  <c r="N96" i="23"/>
  <c r="M96" i="23"/>
  <c r="N95" i="23"/>
  <c r="M95" i="23"/>
  <c r="N94" i="23"/>
  <c r="M94" i="23"/>
  <c r="N93" i="23"/>
  <c r="M93" i="23"/>
  <c r="N92" i="23"/>
  <c r="M92" i="23"/>
  <c r="N91" i="23"/>
  <c r="M91" i="23"/>
  <c r="N90" i="23"/>
  <c r="M90" i="23"/>
  <c r="N89" i="23"/>
  <c r="M89" i="23"/>
  <c r="N88" i="23"/>
  <c r="M88" i="23"/>
  <c r="N87" i="23"/>
  <c r="M87" i="23"/>
  <c r="N86" i="23"/>
  <c r="M86" i="23"/>
  <c r="N85" i="23"/>
  <c r="M85" i="23"/>
  <c r="N84" i="23"/>
  <c r="M84" i="23"/>
  <c r="N83" i="23"/>
  <c r="M83" i="23"/>
  <c r="N82" i="23"/>
  <c r="M82" i="23"/>
  <c r="N81" i="23"/>
  <c r="M81" i="23"/>
  <c r="N80" i="23"/>
  <c r="M80" i="23"/>
  <c r="N79" i="23"/>
  <c r="M79" i="23"/>
  <c r="N78" i="23"/>
  <c r="M78" i="23"/>
  <c r="N77" i="23"/>
  <c r="M77" i="23"/>
  <c r="N76" i="23"/>
  <c r="M76" i="23"/>
  <c r="N75" i="23"/>
  <c r="M75" i="23"/>
  <c r="N74" i="23"/>
  <c r="M74" i="23"/>
  <c r="N73" i="23"/>
  <c r="M73" i="23"/>
  <c r="N72" i="23"/>
  <c r="M72" i="23"/>
  <c r="N71" i="23"/>
  <c r="M71" i="23"/>
  <c r="N70" i="23"/>
  <c r="M70" i="23"/>
  <c r="N69" i="23"/>
  <c r="M69" i="23"/>
  <c r="N68" i="23"/>
  <c r="M68" i="23"/>
  <c r="N67" i="23"/>
  <c r="M67" i="23"/>
  <c r="N66" i="23"/>
  <c r="M66" i="23"/>
  <c r="N65" i="23"/>
  <c r="M65" i="23"/>
  <c r="N64" i="23"/>
  <c r="M64" i="23"/>
  <c r="N63" i="23"/>
  <c r="M63" i="23"/>
  <c r="N62" i="23"/>
  <c r="M62" i="23"/>
  <c r="N61" i="23"/>
  <c r="M61" i="23"/>
  <c r="N60" i="23"/>
  <c r="M60" i="23"/>
  <c r="N59" i="23"/>
  <c r="M59" i="23"/>
  <c r="N58" i="23"/>
  <c r="M58" i="23"/>
  <c r="N57" i="23"/>
  <c r="M57" i="23"/>
  <c r="N56" i="23"/>
  <c r="M56" i="23"/>
  <c r="N55" i="23"/>
  <c r="M55" i="23"/>
  <c r="N54" i="23"/>
  <c r="M54" i="23"/>
  <c r="N53" i="23"/>
  <c r="M53" i="23"/>
  <c r="N52" i="23"/>
  <c r="M52" i="23"/>
  <c r="N51" i="23"/>
  <c r="M51" i="23"/>
  <c r="N50" i="23"/>
  <c r="M50" i="23"/>
  <c r="N49" i="23"/>
  <c r="M49" i="23"/>
  <c r="N48" i="23"/>
  <c r="M48" i="23"/>
  <c r="N47" i="23"/>
  <c r="M47" i="23"/>
  <c r="N46" i="23"/>
  <c r="M46" i="23"/>
  <c r="N45" i="23"/>
  <c r="M45" i="23"/>
  <c r="N44" i="23"/>
  <c r="M44" i="23"/>
  <c r="N43" i="23"/>
  <c r="M43" i="23"/>
  <c r="N42" i="23"/>
  <c r="M42" i="23"/>
  <c r="N41" i="23"/>
  <c r="M41" i="23"/>
  <c r="N40" i="23"/>
  <c r="M40" i="23"/>
  <c r="N39" i="23"/>
  <c r="M39" i="23"/>
  <c r="N38" i="23"/>
  <c r="M38" i="23"/>
  <c r="N37" i="23"/>
  <c r="M37" i="23"/>
  <c r="N36" i="23"/>
  <c r="M36" i="23"/>
  <c r="N35" i="23"/>
  <c r="M35" i="23"/>
  <c r="N34" i="23"/>
  <c r="M34" i="23"/>
  <c r="N33" i="23"/>
  <c r="M33" i="23"/>
  <c r="N32" i="23"/>
  <c r="M32" i="23"/>
  <c r="N31" i="23"/>
  <c r="M31" i="23"/>
  <c r="N30" i="23"/>
  <c r="M30" i="23"/>
  <c r="N29" i="23"/>
  <c r="M29" i="23"/>
  <c r="N28" i="23"/>
  <c r="M28" i="23"/>
  <c r="N27" i="23"/>
  <c r="M27" i="23"/>
  <c r="N26" i="23"/>
  <c r="M26" i="23"/>
  <c r="N25" i="23"/>
  <c r="M25" i="23"/>
  <c r="N24" i="23"/>
  <c r="M24" i="23"/>
  <c r="N23" i="23"/>
  <c r="M23" i="23"/>
  <c r="N22" i="23"/>
  <c r="M22" i="23"/>
  <c r="N21" i="23"/>
  <c r="M21" i="23"/>
  <c r="N20" i="23"/>
  <c r="M20" i="23"/>
  <c r="N19" i="23"/>
  <c r="M19" i="23"/>
  <c r="N18" i="23"/>
  <c r="M18" i="23"/>
  <c r="N17" i="23"/>
  <c r="M17" i="23"/>
  <c r="N16" i="23"/>
  <c r="M16" i="23"/>
  <c r="N15" i="23"/>
  <c r="M15" i="23"/>
  <c r="N14" i="23"/>
  <c r="M14" i="23"/>
  <c r="N13" i="23"/>
  <c r="M13" i="23"/>
  <c r="N12" i="23"/>
  <c r="M12" i="23"/>
  <c r="N11" i="23"/>
  <c r="M11" i="23"/>
  <c r="N10" i="23"/>
  <c r="M10" i="23"/>
  <c r="N9" i="23"/>
  <c r="M9" i="23"/>
  <c r="N8" i="23"/>
  <c r="M8" i="23"/>
  <c r="N7" i="23"/>
  <c r="M7" i="23"/>
  <c r="N6" i="23"/>
  <c r="M6" i="23"/>
  <c r="N5" i="23"/>
  <c r="M5" i="23"/>
  <c r="N4" i="23"/>
  <c r="M4" i="23"/>
  <c r="N3" i="23"/>
  <c r="M3" i="23"/>
  <c r="N2" i="23"/>
  <c r="M2" i="23"/>
  <c r="D201" i="23"/>
  <c r="C201" i="23"/>
  <c r="D200" i="23"/>
  <c r="C200" i="23"/>
  <c r="D199" i="23"/>
  <c r="C199" i="23"/>
  <c r="D198" i="23"/>
  <c r="C198" i="23"/>
  <c r="D197" i="23"/>
  <c r="C197" i="23"/>
  <c r="D196" i="23"/>
  <c r="C196" i="23"/>
  <c r="D195" i="23"/>
  <c r="C195" i="23"/>
  <c r="D194" i="23"/>
  <c r="C194" i="23"/>
  <c r="D193" i="23"/>
  <c r="C193" i="23"/>
  <c r="D192" i="23"/>
  <c r="C192" i="23"/>
  <c r="D191" i="23"/>
  <c r="C191" i="23"/>
  <c r="D190" i="23"/>
  <c r="C190" i="23"/>
  <c r="D189" i="23"/>
  <c r="C189" i="23"/>
  <c r="D188" i="23"/>
  <c r="C188" i="23"/>
  <c r="D187" i="23"/>
  <c r="C187" i="23"/>
  <c r="D186" i="23"/>
  <c r="C186" i="23"/>
  <c r="D185" i="23"/>
  <c r="C185" i="23"/>
  <c r="D184" i="23"/>
  <c r="C184" i="23"/>
  <c r="D183" i="23"/>
  <c r="C183" i="23"/>
  <c r="D182" i="23"/>
  <c r="C182" i="23"/>
  <c r="D181" i="23"/>
  <c r="C181" i="23"/>
  <c r="D180" i="23"/>
  <c r="C180" i="23"/>
  <c r="D179" i="23"/>
  <c r="C179" i="23"/>
  <c r="D178" i="23"/>
  <c r="C178" i="23"/>
  <c r="D177" i="23"/>
  <c r="C177" i="23"/>
  <c r="D176" i="23"/>
  <c r="C176" i="23"/>
  <c r="D175" i="23"/>
  <c r="C175" i="23"/>
  <c r="D174" i="23"/>
  <c r="C174" i="23"/>
  <c r="D173" i="23"/>
  <c r="C173" i="23"/>
  <c r="D172" i="23"/>
  <c r="C172" i="23"/>
  <c r="D171" i="23"/>
  <c r="C171" i="23"/>
  <c r="D170" i="23"/>
  <c r="C170" i="23"/>
  <c r="D169" i="23"/>
  <c r="C169" i="23"/>
  <c r="D168" i="23"/>
  <c r="C168" i="23"/>
  <c r="D167" i="23"/>
  <c r="C167" i="23"/>
  <c r="D166" i="23"/>
  <c r="C166" i="23"/>
  <c r="D165" i="23"/>
  <c r="C165" i="23"/>
  <c r="D164" i="23"/>
  <c r="C164" i="23"/>
  <c r="D163" i="23"/>
  <c r="C163" i="23"/>
  <c r="D162" i="23"/>
  <c r="C162" i="23"/>
  <c r="D161" i="23"/>
  <c r="C161" i="23"/>
  <c r="D160" i="23"/>
  <c r="C160" i="23"/>
  <c r="D159" i="23"/>
  <c r="C159" i="23"/>
  <c r="D158" i="23"/>
  <c r="C158" i="23"/>
  <c r="D157" i="23"/>
  <c r="C157" i="23"/>
  <c r="D156" i="23"/>
  <c r="C156" i="23"/>
  <c r="D155" i="23"/>
  <c r="C155" i="23"/>
  <c r="D154" i="23"/>
  <c r="C154" i="23"/>
  <c r="D153" i="23"/>
  <c r="C153" i="23"/>
  <c r="D152" i="23"/>
  <c r="C152" i="23"/>
  <c r="D151" i="23"/>
  <c r="C151" i="23"/>
  <c r="D150" i="23"/>
  <c r="C150" i="23"/>
  <c r="D149" i="23"/>
  <c r="C149" i="23"/>
  <c r="D148" i="23"/>
  <c r="C148" i="23"/>
  <c r="D147" i="23"/>
  <c r="C147" i="23"/>
  <c r="D146" i="23"/>
  <c r="C146" i="23"/>
  <c r="D145" i="23"/>
  <c r="C145" i="23"/>
  <c r="D144" i="23"/>
  <c r="C144" i="23"/>
  <c r="D143" i="23"/>
  <c r="C143" i="23"/>
  <c r="D142" i="23"/>
  <c r="C142" i="23"/>
  <c r="D141" i="23"/>
  <c r="C141" i="23"/>
  <c r="D140" i="23"/>
  <c r="C140" i="23"/>
  <c r="D139" i="23"/>
  <c r="C139" i="23"/>
  <c r="D138" i="23"/>
  <c r="C138" i="23"/>
  <c r="D137" i="23"/>
  <c r="C137" i="23"/>
  <c r="D136" i="23"/>
  <c r="C136" i="23"/>
  <c r="D135" i="23"/>
  <c r="C135" i="23"/>
  <c r="D134" i="23"/>
  <c r="C134" i="23"/>
  <c r="D133" i="23"/>
  <c r="C133" i="23"/>
  <c r="D132" i="23"/>
  <c r="C132" i="23"/>
  <c r="D131" i="23"/>
  <c r="C131" i="23"/>
  <c r="D130" i="23"/>
  <c r="C130" i="23"/>
  <c r="D129" i="23"/>
  <c r="C129" i="23"/>
  <c r="D128" i="23"/>
  <c r="C128" i="23"/>
  <c r="D127" i="23"/>
  <c r="C127" i="23"/>
  <c r="D126" i="23"/>
  <c r="C126" i="23"/>
  <c r="D125" i="23"/>
  <c r="C125" i="23"/>
  <c r="D124" i="23"/>
  <c r="C124" i="23"/>
  <c r="D123" i="23"/>
  <c r="C123" i="23"/>
  <c r="D122" i="23"/>
  <c r="C122" i="23"/>
  <c r="D121" i="23"/>
  <c r="C121" i="23"/>
  <c r="D120" i="23"/>
  <c r="C120" i="23"/>
  <c r="D119" i="23"/>
  <c r="C119" i="23"/>
  <c r="D118" i="23"/>
  <c r="C118" i="23"/>
  <c r="D117" i="23"/>
  <c r="C117" i="23"/>
  <c r="D116" i="23"/>
  <c r="C116" i="23"/>
  <c r="D115" i="23"/>
  <c r="C115" i="23"/>
  <c r="D114" i="23"/>
  <c r="C114" i="23"/>
  <c r="D113" i="23"/>
  <c r="C113" i="23"/>
  <c r="D112" i="23"/>
  <c r="C112" i="23"/>
  <c r="D111" i="23"/>
  <c r="C111" i="23"/>
  <c r="D110" i="23"/>
  <c r="C110" i="23"/>
  <c r="D109" i="23"/>
  <c r="C109" i="23"/>
  <c r="D108" i="23"/>
  <c r="C108" i="23"/>
  <c r="D107" i="23"/>
  <c r="C107" i="23"/>
  <c r="D106" i="23"/>
  <c r="C106" i="23"/>
  <c r="D105" i="23"/>
  <c r="C105" i="23"/>
  <c r="D104" i="23"/>
  <c r="C104" i="23"/>
  <c r="D103" i="23"/>
  <c r="C103" i="23"/>
  <c r="D102" i="23"/>
  <c r="C102" i="23"/>
  <c r="D101" i="23"/>
  <c r="C101" i="23"/>
  <c r="D100" i="23"/>
  <c r="C100" i="23"/>
  <c r="D99" i="23"/>
  <c r="C99" i="23"/>
  <c r="D98" i="23"/>
  <c r="C98" i="23"/>
  <c r="D97" i="23"/>
  <c r="C97" i="23"/>
  <c r="D96" i="23"/>
  <c r="C96" i="23"/>
  <c r="D95" i="23"/>
  <c r="C95" i="23"/>
  <c r="D94" i="23"/>
  <c r="C94" i="23"/>
  <c r="D93" i="23"/>
  <c r="C93" i="23"/>
  <c r="D92" i="23"/>
  <c r="C92" i="23"/>
  <c r="D91" i="23"/>
  <c r="C91" i="23"/>
  <c r="D90" i="23"/>
  <c r="C90" i="23"/>
  <c r="D89" i="23"/>
  <c r="C89" i="23"/>
  <c r="D88" i="23"/>
  <c r="C88" i="23"/>
  <c r="D87" i="23"/>
  <c r="C87" i="23"/>
  <c r="D86" i="23"/>
  <c r="C86" i="23"/>
  <c r="D85" i="23"/>
  <c r="C85" i="23"/>
  <c r="D84" i="23"/>
  <c r="C84" i="23"/>
  <c r="D83" i="23"/>
  <c r="C83" i="23"/>
  <c r="AC311" i="30" s="1"/>
  <c r="D82" i="23"/>
  <c r="C82" i="23"/>
  <c r="D81" i="23"/>
  <c r="C81" i="23"/>
  <c r="D80" i="23"/>
  <c r="C80" i="23"/>
  <c r="D79" i="23"/>
  <c r="C79" i="23"/>
  <c r="D78" i="23"/>
  <c r="C78" i="23"/>
  <c r="D77" i="23"/>
  <c r="C77" i="23"/>
  <c r="D76" i="23"/>
  <c r="C76" i="23"/>
  <c r="D75" i="23"/>
  <c r="C75" i="23"/>
  <c r="D74" i="23"/>
  <c r="C74" i="23"/>
  <c r="D73" i="23"/>
  <c r="C73" i="23"/>
  <c r="D72" i="23"/>
  <c r="C72" i="23"/>
  <c r="D71" i="23"/>
  <c r="C71" i="23"/>
  <c r="D70" i="23"/>
  <c r="C70" i="23"/>
  <c r="D69" i="23"/>
  <c r="C69" i="23"/>
  <c r="D68" i="23"/>
  <c r="C68" i="23"/>
  <c r="D67" i="23"/>
  <c r="C67" i="23"/>
  <c r="D66" i="23"/>
  <c r="C66" i="23"/>
  <c r="D65" i="23"/>
  <c r="C65" i="23"/>
  <c r="D64" i="23"/>
  <c r="C64" i="23"/>
  <c r="D63" i="23"/>
  <c r="C63" i="23"/>
  <c r="D62" i="23"/>
  <c r="C62" i="23"/>
  <c r="D61" i="23"/>
  <c r="C61" i="23"/>
  <c r="D60" i="23"/>
  <c r="C60" i="23"/>
  <c r="D59" i="23"/>
  <c r="C59" i="23"/>
  <c r="D58" i="23"/>
  <c r="C58" i="23"/>
  <c r="D57" i="23"/>
  <c r="C57" i="23"/>
  <c r="D56" i="23"/>
  <c r="C56" i="23"/>
  <c r="D55" i="23"/>
  <c r="C55" i="23"/>
  <c r="D54" i="23"/>
  <c r="C54" i="23"/>
  <c r="D53" i="23"/>
  <c r="C53" i="23"/>
  <c r="D52" i="23"/>
  <c r="C52" i="23"/>
  <c r="D51" i="23"/>
  <c r="C51" i="23"/>
  <c r="D50" i="23"/>
  <c r="C50" i="23"/>
  <c r="D49" i="23"/>
  <c r="C49" i="23"/>
  <c r="D48" i="23"/>
  <c r="C48" i="23"/>
  <c r="D47" i="23"/>
  <c r="C47" i="23"/>
  <c r="D46" i="23"/>
  <c r="C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D35" i="23"/>
  <c r="C35" i="23"/>
  <c r="D34" i="23"/>
  <c r="C34" i="23"/>
  <c r="D33" i="23"/>
  <c r="C33" i="23"/>
  <c r="D32" i="23"/>
  <c r="C32" i="23"/>
  <c r="D31" i="23"/>
  <c r="C31" i="23"/>
  <c r="D30" i="23"/>
  <c r="C30" i="23"/>
  <c r="D29" i="23"/>
  <c r="C29" i="23"/>
  <c r="D28" i="23"/>
  <c r="C28" i="23"/>
  <c r="D27" i="23"/>
  <c r="C27" i="23"/>
  <c r="D26" i="23"/>
  <c r="C26" i="23"/>
  <c r="D25" i="23"/>
  <c r="C25" i="23"/>
  <c r="D24" i="23"/>
  <c r="C24" i="23"/>
  <c r="D23" i="23"/>
  <c r="C23" i="23"/>
  <c r="D22" i="23"/>
  <c r="C22" i="23"/>
  <c r="D21" i="23"/>
  <c r="C21" i="23"/>
  <c r="D20" i="23"/>
  <c r="C20" i="23"/>
  <c r="D19" i="23"/>
  <c r="C19" i="23"/>
  <c r="D18" i="23"/>
  <c r="C18" i="23"/>
  <c r="D17" i="23"/>
  <c r="C17" i="23"/>
  <c r="D16" i="23"/>
  <c r="C16" i="23"/>
  <c r="D15" i="23"/>
  <c r="C15" i="23"/>
  <c r="D14" i="23"/>
  <c r="C14" i="23"/>
  <c r="D13" i="23"/>
  <c r="C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C6" i="23"/>
  <c r="D5" i="23"/>
  <c r="C5" i="23"/>
  <c r="D4" i="23"/>
  <c r="C4" i="23"/>
  <c r="D3" i="23"/>
  <c r="C3" i="23"/>
  <c r="D2" i="23"/>
  <c r="C2" i="23"/>
  <c r="J1" i="23"/>
  <c r="X201" i="22"/>
  <c r="W201" i="22"/>
  <c r="X200" i="22"/>
  <c r="W200" i="22"/>
  <c r="X199" i="22"/>
  <c r="W199" i="22"/>
  <c r="X198" i="22"/>
  <c r="W198" i="22"/>
  <c r="X197" i="22"/>
  <c r="W197" i="22"/>
  <c r="X196" i="22"/>
  <c r="W196" i="22"/>
  <c r="X195" i="22"/>
  <c r="W195" i="22"/>
  <c r="X194" i="22"/>
  <c r="W194" i="22"/>
  <c r="X193" i="22"/>
  <c r="W193" i="22"/>
  <c r="X192" i="22"/>
  <c r="W192" i="22"/>
  <c r="X191" i="22"/>
  <c r="W191" i="22"/>
  <c r="X190" i="22"/>
  <c r="W190" i="22"/>
  <c r="X189" i="22"/>
  <c r="W189" i="22"/>
  <c r="X188" i="22"/>
  <c r="W188" i="22"/>
  <c r="X187" i="22"/>
  <c r="W187" i="22"/>
  <c r="X186" i="22"/>
  <c r="W186" i="22"/>
  <c r="X185" i="22"/>
  <c r="W185" i="22"/>
  <c r="X184" i="22"/>
  <c r="W184" i="22"/>
  <c r="X183" i="22"/>
  <c r="W183" i="22"/>
  <c r="X182" i="22"/>
  <c r="W182" i="22"/>
  <c r="X181" i="22"/>
  <c r="W181" i="22"/>
  <c r="X180" i="22"/>
  <c r="W180" i="22"/>
  <c r="X179" i="22"/>
  <c r="W179" i="22"/>
  <c r="X178" i="22"/>
  <c r="W178" i="22"/>
  <c r="X177" i="22"/>
  <c r="W177" i="22"/>
  <c r="X176" i="22"/>
  <c r="W176" i="22"/>
  <c r="X175" i="22"/>
  <c r="W175" i="22"/>
  <c r="X174" i="22"/>
  <c r="W174" i="22"/>
  <c r="X173" i="22"/>
  <c r="W173" i="22"/>
  <c r="X172" i="22"/>
  <c r="W172" i="22"/>
  <c r="X171" i="22"/>
  <c r="W171" i="22"/>
  <c r="X170" i="22"/>
  <c r="W170" i="22"/>
  <c r="X169" i="22"/>
  <c r="W169" i="22"/>
  <c r="X168" i="22"/>
  <c r="W168" i="22"/>
  <c r="X167" i="22"/>
  <c r="W167" i="22"/>
  <c r="X166" i="22"/>
  <c r="W166" i="22"/>
  <c r="X165" i="22"/>
  <c r="W165" i="22"/>
  <c r="X164" i="22"/>
  <c r="W164" i="22"/>
  <c r="X163" i="22"/>
  <c r="W163" i="22"/>
  <c r="X162" i="22"/>
  <c r="W162" i="22"/>
  <c r="X161" i="22"/>
  <c r="W161" i="22"/>
  <c r="X160" i="22"/>
  <c r="W160" i="22"/>
  <c r="X159" i="22"/>
  <c r="W159" i="22"/>
  <c r="X158" i="22"/>
  <c r="W158" i="22"/>
  <c r="X157" i="22"/>
  <c r="W157" i="22"/>
  <c r="X156" i="22"/>
  <c r="W156" i="22"/>
  <c r="X155" i="22"/>
  <c r="W155" i="22"/>
  <c r="X154" i="22"/>
  <c r="W154" i="22"/>
  <c r="X153" i="22"/>
  <c r="W153" i="22"/>
  <c r="X152" i="22"/>
  <c r="W152" i="22"/>
  <c r="X151" i="22"/>
  <c r="W151" i="22"/>
  <c r="X150" i="22"/>
  <c r="W150" i="22"/>
  <c r="X149" i="22"/>
  <c r="W149" i="22"/>
  <c r="X148" i="22"/>
  <c r="W148" i="22"/>
  <c r="X147" i="22"/>
  <c r="W147" i="22"/>
  <c r="X146" i="22"/>
  <c r="W146" i="22"/>
  <c r="X145" i="22"/>
  <c r="W145" i="22"/>
  <c r="X144" i="22"/>
  <c r="W144" i="22"/>
  <c r="X143" i="22"/>
  <c r="W143" i="22"/>
  <c r="X142" i="22"/>
  <c r="W142" i="22"/>
  <c r="X141" i="22"/>
  <c r="W141" i="22"/>
  <c r="X140" i="22"/>
  <c r="W140" i="22"/>
  <c r="X139" i="22"/>
  <c r="W139" i="22"/>
  <c r="X138" i="22"/>
  <c r="W138" i="22"/>
  <c r="X137" i="22"/>
  <c r="W137" i="22"/>
  <c r="X136" i="22"/>
  <c r="W136" i="22"/>
  <c r="X135" i="22"/>
  <c r="W135" i="22"/>
  <c r="X134" i="22"/>
  <c r="W134" i="22"/>
  <c r="X133" i="22"/>
  <c r="W133" i="22"/>
  <c r="X132" i="22"/>
  <c r="W132" i="22"/>
  <c r="X131" i="22"/>
  <c r="W131" i="22"/>
  <c r="X130" i="22"/>
  <c r="W130" i="22"/>
  <c r="X129" i="22"/>
  <c r="W129" i="22"/>
  <c r="X128" i="22"/>
  <c r="W128" i="22"/>
  <c r="X127" i="22"/>
  <c r="W127" i="22"/>
  <c r="X126" i="22"/>
  <c r="W126" i="22"/>
  <c r="X125" i="22"/>
  <c r="W125" i="22"/>
  <c r="X124" i="22"/>
  <c r="W124" i="22"/>
  <c r="X123" i="22"/>
  <c r="W123" i="22"/>
  <c r="X122" i="22"/>
  <c r="W122" i="22"/>
  <c r="X121" i="22"/>
  <c r="W121" i="22"/>
  <c r="X120" i="22"/>
  <c r="W120" i="22"/>
  <c r="X119" i="22"/>
  <c r="W119" i="22"/>
  <c r="X118" i="22"/>
  <c r="W118" i="22"/>
  <c r="X117" i="22"/>
  <c r="W117" i="22"/>
  <c r="X116" i="22"/>
  <c r="W116" i="22"/>
  <c r="X115" i="22"/>
  <c r="W115" i="22"/>
  <c r="X114" i="22"/>
  <c r="W114" i="22"/>
  <c r="X113" i="22"/>
  <c r="W113" i="22"/>
  <c r="X112" i="22"/>
  <c r="W112" i="22"/>
  <c r="X111" i="22"/>
  <c r="W111" i="22"/>
  <c r="X110" i="22"/>
  <c r="W110" i="22"/>
  <c r="X109" i="22"/>
  <c r="W109" i="22"/>
  <c r="X108" i="22"/>
  <c r="W108" i="22"/>
  <c r="X107" i="22"/>
  <c r="W107" i="22"/>
  <c r="X106" i="22"/>
  <c r="W106" i="22"/>
  <c r="X105" i="22"/>
  <c r="W105" i="22"/>
  <c r="X104" i="22"/>
  <c r="W104" i="22"/>
  <c r="X103" i="22"/>
  <c r="W103" i="22"/>
  <c r="X102" i="22"/>
  <c r="W102" i="22"/>
  <c r="X101" i="22"/>
  <c r="W101" i="22"/>
  <c r="X100" i="22"/>
  <c r="W100" i="22"/>
  <c r="X99" i="22"/>
  <c r="W99" i="22"/>
  <c r="X98" i="22"/>
  <c r="W98" i="22"/>
  <c r="X97" i="22"/>
  <c r="W97" i="22"/>
  <c r="X96" i="22"/>
  <c r="W96" i="22"/>
  <c r="X95" i="22"/>
  <c r="W95" i="22"/>
  <c r="X94" i="22"/>
  <c r="W94" i="22"/>
  <c r="X93" i="22"/>
  <c r="W93" i="22"/>
  <c r="X92" i="22"/>
  <c r="W92" i="22"/>
  <c r="X91" i="22"/>
  <c r="W91" i="22"/>
  <c r="X90" i="22"/>
  <c r="W90" i="22"/>
  <c r="X89" i="22"/>
  <c r="W89" i="22"/>
  <c r="X88" i="22"/>
  <c r="W88" i="22"/>
  <c r="X87" i="22"/>
  <c r="W87" i="22"/>
  <c r="X86" i="22"/>
  <c r="W86" i="22"/>
  <c r="X85" i="22"/>
  <c r="W85" i="22"/>
  <c r="X84" i="22"/>
  <c r="W84" i="22"/>
  <c r="X83" i="22"/>
  <c r="W83" i="22"/>
  <c r="X82" i="22"/>
  <c r="W82" i="22"/>
  <c r="X81" i="22"/>
  <c r="W81" i="22"/>
  <c r="X80" i="22"/>
  <c r="W80" i="22"/>
  <c r="X79" i="22"/>
  <c r="W79" i="22"/>
  <c r="X78" i="22"/>
  <c r="W78" i="22"/>
  <c r="X77" i="22"/>
  <c r="W77" i="22"/>
  <c r="X76" i="22"/>
  <c r="W76" i="22"/>
  <c r="X75" i="22"/>
  <c r="W75" i="22"/>
  <c r="X74" i="22"/>
  <c r="W74" i="22"/>
  <c r="X73" i="22"/>
  <c r="W73" i="22"/>
  <c r="X72" i="22"/>
  <c r="W72" i="22"/>
  <c r="X71" i="22"/>
  <c r="W71" i="22"/>
  <c r="X70" i="22"/>
  <c r="W70" i="22"/>
  <c r="X69" i="22"/>
  <c r="W69" i="22"/>
  <c r="X68" i="22"/>
  <c r="W68" i="22"/>
  <c r="X67" i="22"/>
  <c r="W67" i="22"/>
  <c r="X66" i="22"/>
  <c r="W66" i="22"/>
  <c r="X65" i="22"/>
  <c r="W65" i="22"/>
  <c r="X64" i="22"/>
  <c r="W64" i="22"/>
  <c r="X63" i="22"/>
  <c r="W63" i="22"/>
  <c r="X62" i="22"/>
  <c r="W62" i="22"/>
  <c r="X61" i="22"/>
  <c r="W61" i="22"/>
  <c r="X60" i="22"/>
  <c r="W60" i="22"/>
  <c r="X59" i="22"/>
  <c r="W59" i="22"/>
  <c r="X58" i="22"/>
  <c r="W58" i="22"/>
  <c r="X57" i="22"/>
  <c r="W57" i="22"/>
  <c r="X56" i="22"/>
  <c r="W56" i="22"/>
  <c r="X55" i="22"/>
  <c r="W55" i="22"/>
  <c r="X54" i="22"/>
  <c r="W54" i="22"/>
  <c r="X53" i="22"/>
  <c r="W53" i="22"/>
  <c r="X52" i="22"/>
  <c r="W52" i="22"/>
  <c r="X51" i="22"/>
  <c r="W51" i="22"/>
  <c r="X50" i="22"/>
  <c r="W50" i="22"/>
  <c r="X49" i="22"/>
  <c r="W49" i="22"/>
  <c r="X48" i="22"/>
  <c r="W48" i="22"/>
  <c r="X47" i="22"/>
  <c r="W47" i="22"/>
  <c r="X46" i="22"/>
  <c r="W46" i="22"/>
  <c r="X45" i="22"/>
  <c r="W45" i="22"/>
  <c r="X44" i="22"/>
  <c r="W44" i="22"/>
  <c r="X43" i="22"/>
  <c r="W43" i="22"/>
  <c r="X42" i="22"/>
  <c r="W42" i="22"/>
  <c r="X41" i="22"/>
  <c r="W41" i="22"/>
  <c r="X40" i="22"/>
  <c r="W40" i="22"/>
  <c r="X39" i="22"/>
  <c r="W39" i="22"/>
  <c r="X38" i="22"/>
  <c r="W38" i="22"/>
  <c r="X37" i="22"/>
  <c r="W37" i="22"/>
  <c r="X36" i="22"/>
  <c r="W36" i="22"/>
  <c r="X35" i="22"/>
  <c r="W35" i="22"/>
  <c r="X34" i="22"/>
  <c r="W34" i="22"/>
  <c r="X33" i="22"/>
  <c r="W33" i="22"/>
  <c r="X32" i="22"/>
  <c r="W32" i="22"/>
  <c r="AC294" i="30" s="1"/>
  <c r="X31" i="22"/>
  <c r="W31" i="22"/>
  <c r="X30" i="22"/>
  <c r="W30" i="22"/>
  <c r="X29" i="22"/>
  <c r="W29" i="22"/>
  <c r="AC299" i="30" s="1"/>
  <c r="X28" i="22"/>
  <c r="W28" i="22"/>
  <c r="X27" i="22"/>
  <c r="W27" i="22"/>
  <c r="X26" i="22"/>
  <c r="W26" i="22"/>
  <c r="X25" i="22"/>
  <c r="W25" i="22"/>
  <c r="X24" i="22"/>
  <c r="W24" i="22"/>
  <c r="X23" i="22"/>
  <c r="W23" i="22"/>
  <c r="X22" i="22"/>
  <c r="W22" i="22"/>
  <c r="X21" i="22"/>
  <c r="W21" i="22"/>
  <c r="X20" i="22"/>
  <c r="W20" i="22"/>
  <c r="X19" i="22"/>
  <c r="W19" i="22"/>
  <c r="X18" i="22"/>
  <c r="W18" i="22"/>
  <c r="X17" i="22"/>
  <c r="W17" i="22"/>
  <c r="X16" i="22"/>
  <c r="W16" i="22"/>
  <c r="X15" i="22"/>
  <c r="W15" i="22"/>
  <c r="X14" i="22"/>
  <c r="W14" i="22"/>
  <c r="X13" i="22"/>
  <c r="W13" i="22"/>
  <c r="X12" i="22"/>
  <c r="W12" i="22"/>
  <c r="X11" i="22"/>
  <c r="W11" i="22"/>
  <c r="X10" i="22"/>
  <c r="W10" i="22"/>
  <c r="X9" i="22"/>
  <c r="W9" i="22"/>
  <c r="X8" i="22"/>
  <c r="W8" i="22"/>
  <c r="X7" i="22"/>
  <c r="W7" i="22"/>
  <c r="X6" i="22"/>
  <c r="W6" i="22"/>
  <c r="X5" i="22"/>
  <c r="W5" i="22"/>
  <c r="X4" i="22"/>
  <c r="W4" i="22"/>
  <c r="X3" i="22"/>
  <c r="W3" i="22"/>
  <c r="X2" i="22"/>
  <c r="W2" i="22"/>
  <c r="N201" i="22"/>
  <c r="M201" i="22"/>
  <c r="N200" i="22"/>
  <c r="M200" i="22"/>
  <c r="N199" i="22"/>
  <c r="M199" i="22"/>
  <c r="N198" i="22"/>
  <c r="M198" i="22"/>
  <c r="N197" i="22"/>
  <c r="M197" i="22"/>
  <c r="N196" i="22"/>
  <c r="M196" i="22"/>
  <c r="N195" i="22"/>
  <c r="M195" i="22"/>
  <c r="N194" i="22"/>
  <c r="M194" i="22"/>
  <c r="N193" i="22"/>
  <c r="M193" i="22"/>
  <c r="N192" i="22"/>
  <c r="M192" i="22"/>
  <c r="N191" i="22"/>
  <c r="M191" i="22"/>
  <c r="N190" i="22"/>
  <c r="M190" i="22"/>
  <c r="N189" i="22"/>
  <c r="M189" i="22"/>
  <c r="N188" i="22"/>
  <c r="M188" i="22"/>
  <c r="N187" i="22"/>
  <c r="M187" i="22"/>
  <c r="N186" i="22"/>
  <c r="M186" i="22"/>
  <c r="N185" i="22"/>
  <c r="M185" i="22"/>
  <c r="N184" i="22"/>
  <c r="M184" i="22"/>
  <c r="N183" i="22"/>
  <c r="M183" i="22"/>
  <c r="N182" i="22"/>
  <c r="M182" i="22"/>
  <c r="N181" i="22"/>
  <c r="M181" i="22"/>
  <c r="N180" i="22"/>
  <c r="M180" i="22"/>
  <c r="N179" i="22"/>
  <c r="M179" i="22"/>
  <c r="N178" i="22"/>
  <c r="M178" i="22"/>
  <c r="N177" i="22"/>
  <c r="M177" i="22"/>
  <c r="N176" i="22"/>
  <c r="M176" i="22"/>
  <c r="N175" i="22"/>
  <c r="M175" i="22"/>
  <c r="N174" i="22"/>
  <c r="M174" i="22"/>
  <c r="N173" i="22"/>
  <c r="M173" i="22"/>
  <c r="N172" i="22"/>
  <c r="M172" i="22"/>
  <c r="N171" i="22"/>
  <c r="M171" i="22"/>
  <c r="N170" i="22"/>
  <c r="M170" i="22"/>
  <c r="N169" i="22"/>
  <c r="M169" i="22"/>
  <c r="N168" i="22"/>
  <c r="M168" i="22"/>
  <c r="N167" i="22"/>
  <c r="M167" i="22"/>
  <c r="N166" i="22"/>
  <c r="M166" i="22"/>
  <c r="N165" i="22"/>
  <c r="M165" i="22"/>
  <c r="N164" i="22"/>
  <c r="M164" i="22"/>
  <c r="N163" i="22"/>
  <c r="M163" i="22"/>
  <c r="N162" i="22"/>
  <c r="M162" i="22"/>
  <c r="N161" i="22"/>
  <c r="M161" i="22"/>
  <c r="N160" i="22"/>
  <c r="M160" i="22"/>
  <c r="N159" i="22"/>
  <c r="M159" i="22"/>
  <c r="N158" i="22"/>
  <c r="M158" i="22"/>
  <c r="N157" i="22"/>
  <c r="M157" i="22"/>
  <c r="N156" i="22"/>
  <c r="M156" i="22"/>
  <c r="N155" i="22"/>
  <c r="M155" i="22"/>
  <c r="N154" i="22"/>
  <c r="M154" i="22"/>
  <c r="N153" i="22"/>
  <c r="M153" i="22"/>
  <c r="N152" i="22"/>
  <c r="M152" i="22"/>
  <c r="N151" i="22"/>
  <c r="M151" i="22"/>
  <c r="N150" i="22"/>
  <c r="M150" i="22"/>
  <c r="N149" i="22"/>
  <c r="M149" i="22"/>
  <c r="N148" i="22"/>
  <c r="M148" i="22"/>
  <c r="N147" i="22"/>
  <c r="M147" i="22"/>
  <c r="N146" i="22"/>
  <c r="M146" i="22"/>
  <c r="N145" i="22"/>
  <c r="M145" i="22"/>
  <c r="N144" i="22"/>
  <c r="M144" i="22"/>
  <c r="N143" i="22"/>
  <c r="M143" i="22"/>
  <c r="N142" i="22"/>
  <c r="M142" i="22"/>
  <c r="N141" i="22"/>
  <c r="M141" i="22"/>
  <c r="N140" i="22"/>
  <c r="M140" i="22"/>
  <c r="N139" i="22"/>
  <c r="M139" i="22"/>
  <c r="N138" i="22"/>
  <c r="M138" i="22"/>
  <c r="N137" i="22"/>
  <c r="M137" i="22"/>
  <c r="N136" i="22"/>
  <c r="M136" i="22"/>
  <c r="N135" i="22"/>
  <c r="M135" i="22"/>
  <c r="N134" i="22"/>
  <c r="M134" i="22"/>
  <c r="N133" i="22"/>
  <c r="M133" i="22"/>
  <c r="N132" i="22"/>
  <c r="M132" i="22"/>
  <c r="N131" i="22"/>
  <c r="M131" i="22"/>
  <c r="N130" i="22"/>
  <c r="M130" i="22"/>
  <c r="N129" i="22"/>
  <c r="M129" i="22"/>
  <c r="N128" i="22"/>
  <c r="M128" i="22"/>
  <c r="N127" i="22"/>
  <c r="M127" i="22"/>
  <c r="N126" i="22"/>
  <c r="M126" i="22"/>
  <c r="N125" i="22"/>
  <c r="M125" i="22"/>
  <c r="N124" i="22"/>
  <c r="M124" i="22"/>
  <c r="N123" i="22"/>
  <c r="M123" i="22"/>
  <c r="N122" i="22"/>
  <c r="M122" i="22"/>
  <c r="N121" i="22"/>
  <c r="M121" i="22"/>
  <c r="N120" i="22"/>
  <c r="M120" i="22"/>
  <c r="N119" i="22"/>
  <c r="M119" i="22"/>
  <c r="N118" i="22"/>
  <c r="M118" i="22"/>
  <c r="N117" i="22"/>
  <c r="M117" i="22"/>
  <c r="N116" i="22"/>
  <c r="M116" i="22"/>
  <c r="N115" i="22"/>
  <c r="M115" i="22"/>
  <c r="N114" i="22"/>
  <c r="M114" i="22"/>
  <c r="N113" i="22"/>
  <c r="M113" i="22"/>
  <c r="N112" i="22"/>
  <c r="M112" i="22"/>
  <c r="N111" i="22"/>
  <c r="M111" i="22"/>
  <c r="N110" i="22"/>
  <c r="M110" i="22"/>
  <c r="N109" i="22"/>
  <c r="M109" i="22"/>
  <c r="N108" i="22"/>
  <c r="M108" i="22"/>
  <c r="N107" i="22"/>
  <c r="M107" i="22"/>
  <c r="N106" i="22"/>
  <c r="M106" i="22"/>
  <c r="N105" i="22"/>
  <c r="M105" i="22"/>
  <c r="N104" i="22"/>
  <c r="M104" i="22"/>
  <c r="N103" i="22"/>
  <c r="M103" i="22"/>
  <c r="N102" i="22"/>
  <c r="M102" i="22"/>
  <c r="N101" i="22"/>
  <c r="M101" i="22"/>
  <c r="N100" i="22"/>
  <c r="M100" i="22"/>
  <c r="N99" i="22"/>
  <c r="M99" i="22"/>
  <c r="N98" i="22"/>
  <c r="M98" i="22"/>
  <c r="N97" i="22"/>
  <c r="M97" i="22"/>
  <c r="N96" i="22"/>
  <c r="M96" i="22"/>
  <c r="N95" i="22"/>
  <c r="M95" i="22"/>
  <c r="N94" i="22"/>
  <c r="M94" i="22"/>
  <c r="N93" i="22"/>
  <c r="M93" i="22"/>
  <c r="N92" i="22"/>
  <c r="M92" i="22"/>
  <c r="N91" i="22"/>
  <c r="M91" i="22"/>
  <c r="N90" i="22"/>
  <c r="M90" i="22"/>
  <c r="N89" i="22"/>
  <c r="M89" i="22"/>
  <c r="N88" i="22"/>
  <c r="M88" i="22"/>
  <c r="N87" i="22"/>
  <c r="M87" i="22"/>
  <c r="N86" i="22"/>
  <c r="M86" i="22"/>
  <c r="N85" i="22"/>
  <c r="M85" i="22"/>
  <c r="N84" i="22"/>
  <c r="M84" i="22"/>
  <c r="N83" i="22"/>
  <c r="M83" i="22"/>
  <c r="AC287" i="30" s="1"/>
  <c r="N82" i="22"/>
  <c r="M82" i="22"/>
  <c r="N81" i="22"/>
  <c r="M81" i="22"/>
  <c r="N80" i="22"/>
  <c r="M80" i="22"/>
  <c r="N79" i="22"/>
  <c r="M79" i="22"/>
  <c r="N78" i="22"/>
  <c r="M78" i="22"/>
  <c r="N77" i="22"/>
  <c r="M77" i="22"/>
  <c r="N76" i="22"/>
  <c r="M76" i="22"/>
  <c r="N75" i="22"/>
  <c r="M75" i="22"/>
  <c r="N74" i="22"/>
  <c r="M74" i="22"/>
  <c r="N73" i="22"/>
  <c r="M73" i="22"/>
  <c r="N72" i="22"/>
  <c r="M72" i="22"/>
  <c r="N71" i="22"/>
  <c r="M71" i="22"/>
  <c r="N70" i="22"/>
  <c r="M70" i="22"/>
  <c r="N69" i="22"/>
  <c r="M69" i="22"/>
  <c r="N68" i="22"/>
  <c r="M68" i="22"/>
  <c r="N67" i="22"/>
  <c r="M67" i="22"/>
  <c r="N66" i="22"/>
  <c r="M66" i="22"/>
  <c r="N65" i="22"/>
  <c r="M65" i="22"/>
  <c r="N64" i="22"/>
  <c r="M64" i="22"/>
  <c r="N63" i="22"/>
  <c r="M63" i="22"/>
  <c r="N62" i="22"/>
  <c r="M62" i="22"/>
  <c r="N61" i="22"/>
  <c r="M61" i="22"/>
  <c r="N60" i="22"/>
  <c r="M60" i="22"/>
  <c r="N59" i="22"/>
  <c r="M59" i="22"/>
  <c r="N58" i="22"/>
  <c r="M58" i="22"/>
  <c r="AC289" i="30" s="1"/>
  <c r="N57" i="22"/>
  <c r="M57" i="22"/>
  <c r="N56" i="22"/>
  <c r="M56" i="22"/>
  <c r="N55" i="22"/>
  <c r="M55" i="22"/>
  <c r="N54" i="22"/>
  <c r="M54" i="22"/>
  <c r="N53" i="22"/>
  <c r="M53" i="22"/>
  <c r="N52" i="22"/>
  <c r="M52" i="22"/>
  <c r="N51" i="22"/>
  <c r="M51" i="22"/>
  <c r="N50" i="22"/>
  <c r="M50" i="22"/>
  <c r="N49" i="22"/>
  <c r="M49" i="22"/>
  <c r="N48" i="22"/>
  <c r="M48" i="22"/>
  <c r="N47" i="22"/>
  <c r="M47" i="22"/>
  <c r="N46" i="22"/>
  <c r="M46" i="22"/>
  <c r="N45" i="22"/>
  <c r="M45" i="22"/>
  <c r="N44" i="22"/>
  <c r="M44" i="22"/>
  <c r="N43" i="22"/>
  <c r="M43" i="22"/>
  <c r="N42" i="22"/>
  <c r="M42" i="22"/>
  <c r="N41" i="22"/>
  <c r="M41" i="22"/>
  <c r="N40" i="22"/>
  <c r="M40" i="22"/>
  <c r="N39" i="22"/>
  <c r="M39" i="22"/>
  <c r="N38" i="22"/>
  <c r="M38" i="22"/>
  <c r="N37" i="22"/>
  <c r="M37" i="22"/>
  <c r="N36" i="22"/>
  <c r="M36" i="22"/>
  <c r="N35" i="22"/>
  <c r="M35" i="22"/>
  <c r="N34" i="22"/>
  <c r="M34" i="22"/>
  <c r="N33" i="22"/>
  <c r="M33" i="22"/>
  <c r="N32" i="22"/>
  <c r="M32" i="22"/>
  <c r="N31" i="22"/>
  <c r="M31" i="22"/>
  <c r="N30" i="22"/>
  <c r="M30" i="22"/>
  <c r="N29" i="22"/>
  <c r="M29" i="22"/>
  <c r="N28" i="22"/>
  <c r="M28" i="22"/>
  <c r="N27" i="22"/>
  <c r="M27" i="22"/>
  <c r="N26" i="22"/>
  <c r="M26" i="22"/>
  <c r="N25" i="22"/>
  <c r="M25" i="22"/>
  <c r="N24" i="22"/>
  <c r="M24" i="22"/>
  <c r="N23" i="22"/>
  <c r="M23" i="22"/>
  <c r="N22" i="22"/>
  <c r="M22" i="22"/>
  <c r="N21" i="22"/>
  <c r="M21" i="22"/>
  <c r="N20" i="22"/>
  <c r="M20" i="22"/>
  <c r="N19" i="22"/>
  <c r="M19" i="22"/>
  <c r="N18" i="22"/>
  <c r="M18" i="22"/>
  <c r="N17" i="22"/>
  <c r="M17" i="22"/>
  <c r="N16" i="22"/>
  <c r="M16" i="22"/>
  <c r="N15" i="22"/>
  <c r="M15" i="22"/>
  <c r="N14" i="22"/>
  <c r="M14" i="22"/>
  <c r="N13" i="22"/>
  <c r="M13" i="22"/>
  <c r="N12" i="22"/>
  <c r="M12" i="22"/>
  <c r="N11" i="22"/>
  <c r="M11" i="22"/>
  <c r="N10" i="22"/>
  <c r="M10" i="22"/>
  <c r="N9" i="22"/>
  <c r="M9" i="22"/>
  <c r="N8" i="22"/>
  <c r="M8" i="22"/>
  <c r="N7" i="22"/>
  <c r="M7" i="22"/>
  <c r="N6" i="22"/>
  <c r="M6" i="22"/>
  <c r="N5" i="22"/>
  <c r="M5" i="22"/>
  <c r="N4" i="22"/>
  <c r="M4" i="22"/>
  <c r="N3" i="22"/>
  <c r="M3" i="22"/>
  <c r="N2" i="22"/>
  <c r="M2" i="22"/>
  <c r="D201" i="22"/>
  <c r="C201" i="22"/>
  <c r="D200" i="22"/>
  <c r="C200" i="22"/>
  <c r="D199" i="22"/>
  <c r="C199" i="22"/>
  <c r="D198" i="22"/>
  <c r="C198" i="22"/>
  <c r="D197" i="22"/>
  <c r="C197" i="22"/>
  <c r="D196" i="22"/>
  <c r="C196" i="22"/>
  <c r="D195" i="22"/>
  <c r="C195" i="22"/>
  <c r="D194" i="22"/>
  <c r="C194" i="22"/>
  <c r="D193" i="22"/>
  <c r="C193" i="22"/>
  <c r="D192" i="22"/>
  <c r="C192" i="22"/>
  <c r="D191" i="22"/>
  <c r="C191" i="22"/>
  <c r="D190" i="22"/>
  <c r="C190" i="22"/>
  <c r="D189" i="22"/>
  <c r="C189" i="22"/>
  <c r="D188" i="22"/>
  <c r="C188" i="22"/>
  <c r="D187" i="22"/>
  <c r="C187" i="22"/>
  <c r="D186" i="22"/>
  <c r="C186" i="22"/>
  <c r="D185" i="22"/>
  <c r="C185" i="22"/>
  <c r="D184" i="22"/>
  <c r="C184" i="22"/>
  <c r="D183" i="22"/>
  <c r="C183" i="22"/>
  <c r="D182" i="22"/>
  <c r="C182" i="22"/>
  <c r="D181" i="22"/>
  <c r="C181" i="22"/>
  <c r="D180" i="22"/>
  <c r="C180" i="22"/>
  <c r="D179" i="22"/>
  <c r="C179" i="22"/>
  <c r="D178" i="22"/>
  <c r="C178" i="22"/>
  <c r="D177" i="22"/>
  <c r="C177" i="22"/>
  <c r="D176" i="22"/>
  <c r="C176" i="22"/>
  <c r="D175" i="22"/>
  <c r="C175" i="22"/>
  <c r="D174" i="22"/>
  <c r="C174" i="22"/>
  <c r="D173" i="22"/>
  <c r="C173" i="22"/>
  <c r="D172" i="22"/>
  <c r="C172" i="22"/>
  <c r="D171" i="22"/>
  <c r="C171" i="22"/>
  <c r="D170" i="22"/>
  <c r="C170" i="22"/>
  <c r="D169" i="22"/>
  <c r="C169" i="22"/>
  <c r="D168" i="22"/>
  <c r="C168" i="22"/>
  <c r="D167" i="22"/>
  <c r="C167" i="22"/>
  <c r="D166" i="22"/>
  <c r="C166" i="22"/>
  <c r="D165" i="22"/>
  <c r="C165" i="22"/>
  <c r="D164" i="22"/>
  <c r="C164" i="22"/>
  <c r="D163" i="22"/>
  <c r="C163" i="22"/>
  <c r="D162" i="22"/>
  <c r="C162" i="22"/>
  <c r="D161" i="22"/>
  <c r="C161" i="22"/>
  <c r="D160" i="22"/>
  <c r="C160" i="22"/>
  <c r="D159" i="22"/>
  <c r="C159" i="22"/>
  <c r="D158" i="22"/>
  <c r="C158" i="22"/>
  <c r="D157" i="22"/>
  <c r="C157" i="22"/>
  <c r="D156" i="22"/>
  <c r="C156" i="22"/>
  <c r="D155" i="22"/>
  <c r="C155" i="22"/>
  <c r="D154" i="22"/>
  <c r="C154" i="22"/>
  <c r="D153" i="22"/>
  <c r="C153" i="22"/>
  <c r="D152" i="22"/>
  <c r="C152" i="22"/>
  <c r="D151" i="22"/>
  <c r="C151" i="22"/>
  <c r="D150" i="22"/>
  <c r="C150" i="22"/>
  <c r="D149" i="22"/>
  <c r="C149" i="22"/>
  <c r="D148" i="22"/>
  <c r="C148" i="22"/>
  <c r="D147" i="22"/>
  <c r="C147" i="22"/>
  <c r="D146" i="22"/>
  <c r="C146" i="22"/>
  <c r="D145" i="22"/>
  <c r="C145" i="22"/>
  <c r="D144" i="22"/>
  <c r="C144" i="22"/>
  <c r="D143" i="22"/>
  <c r="C143" i="22"/>
  <c r="D142" i="22"/>
  <c r="C142" i="22"/>
  <c r="D141" i="22"/>
  <c r="C141" i="22"/>
  <c r="D140" i="22"/>
  <c r="C140" i="22"/>
  <c r="D139" i="22"/>
  <c r="C139" i="22"/>
  <c r="D138" i="22"/>
  <c r="C138" i="22"/>
  <c r="D137" i="22"/>
  <c r="C137" i="22"/>
  <c r="D136" i="22"/>
  <c r="C136" i="22"/>
  <c r="D135" i="22"/>
  <c r="C135" i="22"/>
  <c r="D134" i="22"/>
  <c r="C134" i="22"/>
  <c r="D133" i="22"/>
  <c r="C133" i="22"/>
  <c r="D132" i="22"/>
  <c r="C132" i="22"/>
  <c r="D131" i="22"/>
  <c r="C131" i="22"/>
  <c r="D130" i="22"/>
  <c r="C130" i="22"/>
  <c r="D129" i="22"/>
  <c r="C129" i="22"/>
  <c r="D128" i="22"/>
  <c r="C128" i="22"/>
  <c r="D127" i="22"/>
  <c r="C127" i="22"/>
  <c r="D126" i="22"/>
  <c r="C126" i="22"/>
  <c r="D125" i="22"/>
  <c r="C125" i="22"/>
  <c r="D124" i="22"/>
  <c r="C124" i="22"/>
  <c r="D123" i="22"/>
  <c r="C123" i="22"/>
  <c r="D122" i="22"/>
  <c r="C122" i="22"/>
  <c r="D121" i="22"/>
  <c r="C121" i="22"/>
  <c r="D120" i="22"/>
  <c r="C120" i="22"/>
  <c r="D119" i="22"/>
  <c r="C119" i="22"/>
  <c r="D118" i="22"/>
  <c r="C118" i="22"/>
  <c r="D117" i="22"/>
  <c r="C117" i="22"/>
  <c r="D116" i="22"/>
  <c r="C116" i="22"/>
  <c r="D115" i="22"/>
  <c r="C115" i="22"/>
  <c r="D114" i="22"/>
  <c r="C114" i="22"/>
  <c r="D113" i="22"/>
  <c r="C113" i="22"/>
  <c r="D112" i="22"/>
  <c r="C112" i="22"/>
  <c r="D111" i="22"/>
  <c r="C111" i="22"/>
  <c r="D110" i="22"/>
  <c r="C110" i="22"/>
  <c r="D109" i="22"/>
  <c r="C109" i="22"/>
  <c r="D108" i="22"/>
  <c r="C108" i="22"/>
  <c r="D107" i="22"/>
  <c r="C107" i="22"/>
  <c r="D106" i="22"/>
  <c r="C106" i="22"/>
  <c r="D105" i="22"/>
  <c r="C105" i="22"/>
  <c r="D104" i="22"/>
  <c r="C104" i="22"/>
  <c r="D103" i="22"/>
  <c r="C103" i="22"/>
  <c r="D102" i="22"/>
  <c r="C102" i="22"/>
  <c r="D101" i="22"/>
  <c r="C101" i="22"/>
  <c r="D100" i="22"/>
  <c r="C100" i="22"/>
  <c r="D99" i="22"/>
  <c r="C99" i="22"/>
  <c r="D98" i="22"/>
  <c r="C98" i="22"/>
  <c r="D97" i="22"/>
  <c r="C97" i="22"/>
  <c r="D96" i="22"/>
  <c r="C96" i="22"/>
  <c r="D95" i="22"/>
  <c r="C95" i="22"/>
  <c r="D94" i="22"/>
  <c r="C94" i="22"/>
  <c r="D93" i="22"/>
  <c r="C93" i="22"/>
  <c r="D92" i="22"/>
  <c r="C92" i="22"/>
  <c r="D91" i="22"/>
  <c r="C91" i="22"/>
  <c r="D90" i="22"/>
  <c r="C90" i="22"/>
  <c r="D89" i="22"/>
  <c r="C89" i="22"/>
  <c r="D88" i="22"/>
  <c r="C88" i="22"/>
  <c r="D87" i="22"/>
  <c r="C87" i="22"/>
  <c r="D86" i="22"/>
  <c r="C86" i="22"/>
  <c r="D85" i="22"/>
  <c r="C85" i="22"/>
  <c r="D84" i="22"/>
  <c r="C84" i="22"/>
  <c r="D83" i="22"/>
  <c r="C83" i="22"/>
  <c r="D82" i="22"/>
  <c r="C82" i="22"/>
  <c r="D81" i="22"/>
  <c r="C81" i="22"/>
  <c r="D80" i="22"/>
  <c r="C80" i="22"/>
  <c r="D79" i="22"/>
  <c r="C79" i="22"/>
  <c r="D78" i="22"/>
  <c r="C78" i="22"/>
  <c r="D77" i="22"/>
  <c r="C77" i="22"/>
  <c r="D76" i="22"/>
  <c r="C76" i="22"/>
  <c r="D75" i="22"/>
  <c r="C75" i="22"/>
  <c r="D74" i="22"/>
  <c r="C74" i="22"/>
  <c r="D73" i="22"/>
  <c r="C73" i="22"/>
  <c r="D72" i="22"/>
  <c r="C72" i="22"/>
  <c r="D71" i="22"/>
  <c r="C71" i="22"/>
  <c r="D70" i="22"/>
  <c r="C70" i="22"/>
  <c r="D69" i="22"/>
  <c r="C69" i="22"/>
  <c r="D68" i="22"/>
  <c r="C68" i="22"/>
  <c r="D67" i="22"/>
  <c r="C67" i="22"/>
  <c r="D66" i="22"/>
  <c r="C66" i="22"/>
  <c r="D65" i="22"/>
  <c r="C65" i="22"/>
  <c r="D64" i="22"/>
  <c r="C64" i="22"/>
  <c r="D63" i="22"/>
  <c r="C63" i="22"/>
  <c r="D62" i="22"/>
  <c r="C62" i="22"/>
  <c r="D61" i="22"/>
  <c r="C61" i="22"/>
  <c r="D60" i="22"/>
  <c r="C60" i="22"/>
  <c r="D59" i="22"/>
  <c r="C59" i="22"/>
  <c r="D58" i="22"/>
  <c r="C58" i="22"/>
  <c r="D57" i="22"/>
  <c r="C57" i="22"/>
  <c r="D56" i="22"/>
  <c r="C56" i="22"/>
  <c r="D55" i="22"/>
  <c r="C55" i="22"/>
  <c r="D54" i="22"/>
  <c r="C54" i="22"/>
  <c r="D53" i="22"/>
  <c r="C53" i="22"/>
  <c r="D52" i="22"/>
  <c r="C52" i="22"/>
  <c r="D51" i="22"/>
  <c r="C51" i="22"/>
  <c r="D50" i="22"/>
  <c r="C50" i="22"/>
  <c r="D49" i="22"/>
  <c r="C49" i="22"/>
  <c r="D48" i="22"/>
  <c r="C48" i="22"/>
  <c r="D47" i="22"/>
  <c r="C47" i="22"/>
  <c r="D46" i="22"/>
  <c r="C46" i="22"/>
  <c r="D45" i="22"/>
  <c r="C45" i="22"/>
  <c r="D44" i="22"/>
  <c r="C44" i="22"/>
  <c r="D43" i="22"/>
  <c r="C43" i="22"/>
  <c r="D42" i="22"/>
  <c r="C42" i="22"/>
  <c r="D41" i="22"/>
  <c r="C41" i="22"/>
  <c r="D40" i="22"/>
  <c r="C40" i="22"/>
  <c r="D39" i="22"/>
  <c r="C39" i="22"/>
  <c r="D38" i="22"/>
  <c r="C38" i="22"/>
  <c r="D37" i="22"/>
  <c r="C37" i="22"/>
  <c r="D36" i="22"/>
  <c r="C36" i="22"/>
  <c r="D35" i="22"/>
  <c r="C35" i="22"/>
  <c r="D34" i="22"/>
  <c r="C34" i="22"/>
  <c r="D33" i="22"/>
  <c r="C33" i="22"/>
  <c r="D32" i="22"/>
  <c r="C32" i="22"/>
  <c r="D31" i="22"/>
  <c r="C31" i="22"/>
  <c r="D30" i="22"/>
  <c r="C30" i="22"/>
  <c r="D29" i="22"/>
  <c r="C29" i="22"/>
  <c r="D28" i="22"/>
  <c r="C28" i="22"/>
  <c r="D27" i="22"/>
  <c r="C27" i="22"/>
  <c r="D26" i="22"/>
  <c r="C26" i="22"/>
  <c r="D25" i="22"/>
  <c r="C25" i="22"/>
  <c r="D24" i="22"/>
  <c r="C24" i="22"/>
  <c r="D23" i="22"/>
  <c r="C23" i="22"/>
  <c r="D22" i="22"/>
  <c r="C22" i="22"/>
  <c r="D21" i="22"/>
  <c r="C21" i="22"/>
  <c r="D20" i="22"/>
  <c r="C20" i="22"/>
  <c r="D19" i="22"/>
  <c r="C19" i="22"/>
  <c r="D18" i="22"/>
  <c r="C18" i="22"/>
  <c r="D17" i="22"/>
  <c r="C17" i="22"/>
  <c r="D16" i="22"/>
  <c r="C16" i="22"/>
  <c r="D15" i="22"/>
  <c r="C15" i="22"/>
  <c r="D14" i="22"/>
  <c r="C14" i="22"/>
  <c r="D13" i="22"/>
  <c r="C13" i="22"/>
  <c r="D12" i="22"/>
  <c r="C12" i="22"/>
  <c r="D11" i="22"/>
  <c r="C11" i="22"/>
  <c r="D10" i="22"/>
  <c r="C10" i="22"/>
  <c r="D9" i="22"/>
  <c r="C9" i="22"/>
  <c r="D8" i="22"/>
  <c r="C8" i="22"/>
  <c r="D7" i="22"/>
  <c r="C7" i="22"/>
  <c r="D6" i="22"/>
  <c r="C6" i="22"/>
  <c r="D5" i="22"/>
  <c r="C5" i="22"/>
  <c r="D4" i="22"/>
  <c r="C4" i="22"/>
  <c r="D3" i="22"/>
  <c r="C3" i="22"/>
  <c r="D2" i="22"/>
  <c r="C2" i="22"/>
  <c r="J1" i="22"/>
  <c r="AC309" i="30" l="1"/>
  <c r="AC283" i="30"/>
  <c r="AC278" i="30"/>
  <c r="AC292" i="30"/>
  <c r="AC312" i="30"/>
  <c r="AC301" i="30"/>
  <c r="AC282" i="30"/>
  <c r="AC290" i="30"/>
  <c r="AC293" i="30"/>
  <c r="AC322" i="30"/>
  <c r="AC327" i="30"/>
  <c r="AC318" i="30"/>
  <c r="AC317" i="30"/>
  <c r="AC316" i="30"/>
  <c r="AC313" i="30"/>
  <c r="AC331" i="30"/>
  <c r="AC325" i="30"/>
  <c r="AC281" i="30"/>
  <c r="AC276" i="30"/>
  <c r="AC315" i="30"/>
  <c r="AC274" i="30"/>
  <c r="AC298" i="30"/>
  <c r="AC297" i="30"/>
  <c r="AC296" i="30"/>
  <c r="AC295" i="30"/>
  <c r="AC304" i="30"/>
  <c r="AC319" i="30"/>
  <c r="AC330" i="30"/>
  <c r="AC332" i="30"/>
  <c r="AC279" i="30"/>
  <c r="AC277" i="30"/>
  <c r="AC288" i="30"/>
  <c r="AC286" i="30"/>
  <c r="AC300" i="30"/>
  <c r="AC302" i="30"/>
  <c r="AC310" i="30"/>
  <c r="AC308" i="30"/>
  <c r="AC306" i="30"/>
  <c r="AC321" i="30"/>
  <c r="AC328" i="30"/>
  <c r="AC280" i="30"/>
  <c r="AC275" i="30"/>
  <c r="AC291" i="30"/>
  <c r="AC320" i="30"/>
  <c r="AC314" i="30"/>
  <c r="AC326" i="30"/>
  <c r="AC307" i="30"/>
  <c r="AC305" i="30"/>
  <c r="AC303" i="30"/>
  <c r="AC323" i="30"/>
  <c r="AC273" i="30"/>
  <c r="AC285" i="30"/>
  <c r="AC284" i="30"/>
  <c r="F47" i="22"/>
  <c r="G47" i="22"/>
  <c r="F107" i="22"/>
  <c r="G107" i="22"/>
  <c r="F173" i="22"/>
  <c r="G173" i="22"/>
  <c r="Q39" i="22"/>
  <c r="P39" i="22"/>
  <c r="Q99" i="22"/>
  <c r="P99" i="22"/>
  <c r="P165" i="22"/>
  <c r="Q165" i="22"/>
  <c r="AA31" i="22"/>
  <c r="Z31" i="22"/>
  <c r="AA91" i="22"/>
  <c r="Z91" i="22"/>
  <c r="AA145" i="22"/>
  <c r="Z145" i="22"/>
  <c r="AA199" i="22"/>
  <c r="Z199" i="22"/>
  <c r="F6" i="22"/>
  <c r="G6" i="22"/>
  <c r="G2" i="22"/>
  <c r="F2" i="22"/>
  <c r="F8" i="22"/>
  <c r="G8" i="22"/>
  <c r="F14" i="22"/>
  <c r="G14" i="22"/>
  <c r="F20" i="22"/>
  <c r="G20" i="22"/>
  <c r="F26" i="22"/>
  <c r="G26" i="22"/>
  <c r="F32" i="22"/>
  <c r="G32" i="22"/>
  <c r="F38" i="22"/>
  <c r="G38" i="22"/>
  <c r="F44" i="22"/>
  <c r="G44" i="22"/>
  <c r="F50" i="22"/>
  <c r="G50" i="22"/>
  <c r="F56" i="22"/>
  <c r="G56" i="22"/>
  <c r="F62" i="22"/>
  <c r="G62" i="22"/>
  <c r="F68" i="22"/>
  <c r="G68" i="22"/>
  <c r="F74" i="22"/>
  <c r="G74" i="22"/>
  <c r="F80" i="22"/>
  <c r="G80" i="22"/>
  <c r="F86" i="22"/>
  <c r="G86" i="22"/>
  <c r="F92" i="22"/>
  <c r="G92" i="22"/>
  <c r="F98" i="22"/>
  <c r="G98" i="22"/>
  <c r="F104" i="22"/>
  <c r="G104" i="22"/>
  <c r="F110" i="22"/>
  <c r="G110" i="22"/>
  <c r="F116" i="22"/>
  <c r="G116" i="22"/>
  <c r="F122" i="22"/>
  <c r="G122" i="22"/>
  <c r="F128" i="22"/>
  <c r="G128" i="22"/>
  <c r="F134" i="22"/>
  <c r="G134" i="22"/>
  <c r="F140" i="22"/>
  <c r="G140" i="22"/>
  <c r="F146" i="22"/>
  <c r="G146" i="22"/>
  <c r="F152" i="22"/>
  <c r="G152" i="22"/>
  <c r="F158" i="22"/>
  <c r="G158" i="22"/>
  <c r="F164" i="22"/>
  <c r="G164" i="22"/>
  <c r="F170" i="22"/>
  <c r="G170" i="22"/>
  <c r="F176" i="22"/>
  <c r="G176" i="22"/>
  <c r="F182" i="22"/>
  <c r="G182" i="22"/>
  <c r="F188" i="22"/>
  <c r="G188" i="22"/>
  <c r="F194" i="22"/>
  <c r="G194" i="22"/>
  <c r="F200" i="22"/>
  <c r="G200" i="22"/>
  <c r="AD273" i="30"/>
  <c r="Q6" i="22"/>
  <c r="P6" i="22"/>
  <c r="Q12" i="22"/>
  <c r="P12" i="22"/>
  <c r="Q18" i="22"/>
  <c r="P18" i="22"/>
  <c r="Q24" i="22"/>
  <c r="P24" i="22"/>
  <c r="Q30" i="22"/>
  <c r="P30" i="22"/>
  <c r="Q36" i="22"/>
  <c r="P36" i="22"/>
  <c r="Q42" i="22"/>
  <c r="P42" i="22"/>
  <c r="Q48" i="22"/>
  <c r="P48" i="22"/>
  <c r="Q54" i="22"/>
  <c r="P54" i="22"/>
  <c r="Q60" i="22"/>
  <c r="P60" i="22"/>
  <c r="Q66" i="22"/>
  <c r="P66" i="22"/>
  <c r="Q72" i="22"/>
  <c r="P72" i="22"/>
  <c r="Q78" i="22"/>
  <c r="P78" i="22"/>
  <c r="Q84" i="22"/>
  <c r="P84" i="22"/>
  <c r="Q90" i="22"/>
  <c r="P90" i="22"/>
  <c r="Q96" i="22"/>
  <c r="P96" i="22"/>
  <c r="AD285" i="30"/>
  <c r="Q102" i="22"/>
  <c r="P102" i="22"/>
  <c r="Q108" i="22"/>
  <c r="P108" i="22"/>
  <c r="Q114" i="22"/>
  <c r="P114" i="22"/>
  <c r="Q120" i="22"/>
  <c r="P120" i="22"/>
  <c r="Q126" i="22"/>
  <c r="P126" i="22"/>
  <c r="Q132" i="22"/>
  <c r="P132" i="22"/>
  <c r="AD284" i="30"/>
  <c r="P138" i="22"/>
  <c r="Q138" i="22"/>
  <c r="Q144" i="22"/>
  <c r="P144" i="22"/>
  <c r="Q150" i="22"/>
  <c r="P150" i="22"/>
  <c r="Q156" i="22"/>
  <c r="P156" i="22"/>
  <c r="Q162" i="22"/>
  <c r="P162" i="22"/>
  <c r="Q168" i="22"/>
  <c r="P168" i="22"/>
  <c r="Q174" i="22"/>
  <c r="P174" i="22"/>
  <c r="P180" i="22"/>
  <c r="Q180" i="22"/>
  <c r="Q186" i="22"/>
  <c r="P186" i="22"/>
  <c r="P192" i="22"/>
  <c r="Q192" i="22"/>
  <c r="Q198" i="22"/>
  <c r="P198" i="22"/>
  <c r="AA4" i="22"/>
  <c r="Z4" i="22"/>
  <c r="AA10" i="22"/>
  <c r="Z10" i="22"/>
  <c r="Z16" i="22"/>
  <c r="AA16" i="22"/>
  <c r="AA22" i="22"/>
  <c r="Z22" i="22"/>
  <c r="AA28" i="22"/>
  <c r="Z28" i="22"/>
  <c r="AA34" i="22"/>
  <c r="Z34" i="22"/>
  <c r="Z40" i="22"/>
  <c r="AA40" i="22"/>
  <c r="Z46" i="22"/>
  <c r="AA46" i="22"/>
  <c r="Z52" i="22"/>
  <c r="AA52" i="22"/>
  <c r="Z58" i="22"/>
  <c r="AA58" i="22"/>
  <c r="Z64" i="22"/>
  <c r="AA64" i="22"/>
  <c r="Z70" i="22"/>
  <c r="AA70" i="22"/>
  <c r="AA76" i="22"/>
  <c r="Z76" i="22"/>
  <c r="AA82" i="22"/>
  <c r="Z82" i="22"/>
  <c r="AA88" i="22"/>
  <c r="Z88" i="22"/>
  <c r="AA94" i="22"/>
  <c r="Z94" i="22"/>
  <c r="AA100" i="22"/>
  <c r="Z100" i="22"/>
  <c r="AA106" i="22"/>
  <c r="Z106" i="22"/>
  <c r="AA112" i="22"/>
  <c r="Z112" i="22"/>
  <c r="AA118" i="22"/>
  <c r="Z118" i="22"/>
  <c r="AA124" i="22"/>
  <c r="Z124" i="22"/>
  <c r="AA130" i="22"/>
  <c r="Z130" i="22"/>
  <c r="AA136" i="22"/>
  <c r="Z136" i="22"/>
  <c r="AA142" i="22"/>
  <c r="Z142" i="22"/>
  <c r="AA148" i="22"/>
  <c r="Z148" i="22"/>
  <c r="AA154" i="22"/>
  <c r="Z154" i="22"/>
  <c r="AA160" i="22"/>
  <c r="Z160" i="22"/>
  <c r="AA166" i="22"/>
  <c r="Z166" i="22"/>
  <c r="AA172" i="22"/>
  <c r="Z172" i="22"/>
  <c r="AA178" i="22"/>
  <c r="Z178" i="22"/>
  <c r="AA184" i="22"/>
  <c r="Z184" i="22"/>
  <c r="AA190" i="22"/>
  <c r="Z190" i="22"/>
  <c r="AA196" i="22"/>
  <c r="Z196" i="22"/>
  <c r="F41" i="22"/>
  <c r="G41" i="22"/>
  <c r="F101" i="22"/>
  <c r="G101" i="22"/>
  <c r="F167" i="22"/>
  <c r="G167" i="22"/>
  <c r="Q27" i="22"/>
  <c r="P27" i="22"/>
  <c r="Q93" i="22"/>
  <c r="P93" i="22"/>
  <c r="P159" i="22"/>
  <c r="Q159" i="22"/>
  <c r="AA19" i="22"/>
  <c r="Z19" i="22"/>
  <c r="AD300" i="30"/>
  <c r="AA85" i="22"/>
  <c r="Z85" i="22"/>
  <c r="AA163" i="22"/>
  <c r="Z163" i="22"/>
  <c r="G2" i="23"/>
  <c r="F2" i="23"/>
  <c r="F8" i="23"/>
  <c r="G8" i="23"/>
  <c r="F14" i="23"/>
  <c r="G14" i="23"/>
  <c r="F20" i="23"/>
  <c r="G20" i="23"/>
  <c r="F26" i="23"/>
  <c r="G26" i="23"/>
  <c r="F32" i="23"/>
  <c r="G32" i="23"/>
  <c r="F38" i="23"/>
  <c r="G38" i="23"/>
  <c r="F44" i="23"/>
  <c r="G44" i="23"/>
  <c r="F50" i="23"/>
  <c r="G50" i="23"/>
  <c r="F56" i="23"/>
  <c r="G56" i="23"/>
  <c r="F62" i="23"/>
  <c r="G62" i="23"/>
  <c r="F68" i="23"/>
  <c r="G68" i="23"/>
  <c r="F74" i="23"/>
  <c r="G74" i="23"/>
  <c r="F80" i="23"/>
  <c r="G80" i="23"/>
  <c r="F86" i="23"/>
  <c r="G86" i="23"/>
  <c r="F92" i="23"/>
  <c r="G92" i="23"/>
  <c r="F98" i="23"/>
  <c r="G98" i="23"/>
  <c r="F104" i="23"/>
  <c r="G104" i="23"/>
  <c r="F110" i="23"/>
  <c r="G110" i="23"/>
  <c r="F116" i="23"/>
  <c r="G116" i="23"/>
  <c r="F122" i="23"/>
  <c r="G122" i="23"/>
  <c r="F128" i="23"/>
  <c r="G128" i="23"/>
  <c r="F134" i="23"/>
  <c r="G134" i="23"/>
  <c r="F140" i="23"/>
  <c r="G140" i="23"/>
  <c r="F146" i="23"/>
  <c r="G146" i="23"/>
  <c r="F152" i="23"/>
  <c r="G152" i="23"/>
  <c r="F158" i="23"/>
  <c r="G158" i="23"/>
  <c r="F164" i="23"/>
  <c r="G164" i="23"/>
  <c r="F170" i="23"/>
  <c r="G170" i="23"/>
  <c r="F176" i="23"/>
  <c r="G176" i="23"/>
  <c r="F182" i="23"/>
  <c r="G182" i="23"/>
  <c r="F188" i="23"/>
  <c r="G188" i="23"/>
  <c r="F194" i="23"/>
  <c r="G194" i="23"/>
  <c r="F200" i="23"/>
  <c r="G200" i="23"/>
  <c r="P6" i="23"/>
  <c r="Q6" i="23"/>
  <c r="P12" i="23"/>
  <c r="Q12" i="23"/>
  <c r="P18" i="23"/>
  <c r="Q18" i="23"/>
  <c r="P24" i="23"/>
  <c r="Q24" i="23"/>
  <c r="P30" i="23"/>
  <c r="Q30" i="23"/>
  <c r="Q36" i="23"/>
  <c r="P36" i="23"/>
  <c r="Q42" i="23"/>
  <c r="P42" i="23"/>
  <c r="Q48" i="23"/>
  <c r="P48" i="23"/>
  <c r="Q54" i="23"/>
  <c r="P54" i="23"/>
  <c r="Q60" i="23"/>
  <c r="P60" i="23"/>
  <c r="Q66" i="23"/>
  <c r="P66" i="23"/>
  <c r="AD318" i="30"/>
  <c r="Q72" i="23"/>
  <c r="P72" i="23"/>
  <c r="AD317" i="30"/>
  <c r="Q78" i="23"/>
  <c r="P78" i="23"/>
  <c r="AD316" i="30"/>
  <c r="Q84" i="23"/>
  <c r="P84" i="23"/>
  <c r="Q90" i="23"/>
  <c r="P90" i="23"/>
  <c r="Q96" i="23"/>
  <c r="P96" i="23"/>
  <c r="Q102" i="23"/>
  <c r="P102" i="23"/>
  <c r="Q108" i="23"/>
  <c r="P108" i="23"/>
  <c r="Q114" i="23"/>
  <c r="P114" i="23"/>
  <c r="Q120" i="23"/>
  <c r="P120" i="23"/>
  <c r="Q126" i="23"/>
  <c r="P126" i="23"/>
  <c r="Q132" i="23"/>
  <c r="P132" i="23"/>
  <c r="Q138" i="23"/>
  <c r="P138" i="23"/>
  <c r="Q144" i="23"/>
  <c r="P144" i="23"/>
  <c r="Q150" i="23"/>
  <c r="P150" i="23"/>
  <c r="Q156" i="23"/>
  <c r="P156" i="23"/>
  <c r="Q162" i="23"/>
  <c r="P162" i="23"/>
  <c r="Q168" i="23"/>
  <c r="P168" i="23"/>
  <c r="Q174" i="23"/>
  <c r="P174" i="23"/>
  <c r="Q180" i="23"/>
  <c r="P180" i="23"/>
  <c r="Q186" i="23"/>
  <c r="P186" i="23"/>
  <c r="Q192" i="23"/>
  <c r="P192" i="23"/>
  <c r="Q198" i="23"/>
  <c r="P198" i="23"/>
  <c r="AD313" i="30"/>
  <c r="AA4" i="23"/>
  <c r="Z4" i="23"/>
  <c r="AA10" i="23"/>
  <c r="Z10" i="23"/>
  <c r="AA16" i="23"/>
  <c r="Z16" i="23"/>
  <c r="AA22" i="23"/>
  <c r="Z22" i="23"/>
  <c r="AA28" i="23"/>
  <c r="Z28" i="23"/>
  <c r="AA34" i="23"/>
  <c r="Z34" i="23"/>
  <c r="AA40" i="23"/>
  <c r="Z40" i="23"/>
  <c r="AA46" i="23"/>
  <c r="Z46" i="23"/>
  <c r="AA52" i="23"/>
  <c r="Z52" i="23"/>
  <c r="AA58" i="23"/>
  <c r="Z58" i="23"/>
  <c r="AA64" i="23"/>
  <c r="Z64" i="23"/>
  <c r="AA70" i="23"/>
  <c r="Z70" i="23"/>
  <c r="AA76" i="23"/>
  <c r="Z76" i="23"/>
  <c r="AA82" i="23"/>
  <c r="Z82" i="23"/>
  <c r="AA88" i="23"/>
  <c r="Z88" i="23"/>
  <c r="AD331" i="30"/>
  <c r="AA94" i="23"/>
  <c r="Z94" i="23"/>
  <c r="AD325" i="30"/>
  <c r="AA100" i="23"/>
  <c r="Z100" i="23"/>
  <c r="AA106" i="23"/>
  <c r="Z106" i="23"/>
  <c r="AA112" i="23"/>
  <c r="Z112" i="23"/>
  <c r="AA118" i="23"/>
  <c r="Z118" i="23"/>
  <c r="AA124" i="23"/>
  <c r="Z124" i="23"/>
  <c r="AA130" i="23"/>
  <c r="Z130" i="23"/>
  <c r="AA136" i="23"/>
  <c r="Z136" i="23"/>
  <c r="AA142" i="23"/>
  <c r="Z142" i="23"/>
  <c r="AA148" i="23"/>
  <c r="Z148" i="23"/>
  <c r="AA154" i="23"/>
  <c r="Z154" i="23"/>
  <c r="AA160" i="23"/>
  <c r="Z160" i="23"/>
  <c r="AA166" i="23"/>
  <c r="Z166" i="23"/>
  <c r="AA172" i="23"/>
  <c r="Z172" i="23"/>
  <c r="AA178" i="23"/>
  <c r="Z178" i="23"/>
  <c r="AA184" i="23"/>
  <c r="Z184" i="23"/>
  <c r="AA190" i="23"/>
  <c r="Z190" i="23"/>
  <c r="AA196" i="23"/>
  <c r="Z196" i="23"/>
  <c r="F65" i="22"/>
  <c r="G65" i="22"/>
  <c r="F131" i="22"/>
  <c r="G131" i="22"/>
  <c r="F185" i="22"/>
  <c r="G185" i="22"/>
  <c r="Q51" i="22"/>
  <c r="P51" i="22"/>
  <c r="Q111" i="22"/>
  <c r="P111" i="22"/>
  <c r="P177" i="22"/>
  <c r="Q177" i="22"/>
  <c r="AA49" i="22"/>
  <c r="Z49" i="22"/>
  <c r="AA109" i="22"/>
  <c r="Z109" i="22"/>
  <c r="AA175" i="22"/>
  <c r="Z175" i="22"/>
  <c r="F3" i="22"/>
  <c r="G3" i="22"/>
  <c r="F15" i="22"/>
  <c r="G15" i="22"/>
  <c r="F27" i="22"/>
  <c r="G27" i="22"/>
  <c r="F33" i="22"/>
  <c r="G33" i="22"/>
  <c r="F39" i="22"/>
  <c r="G39" i="22"/>
  <c r="F45" i="22"/>
  <c r="G45" i="22"/>
  <c r="F51" i="22"/>
  <c r="G51" i="22"/>
  <c r="F57" i="22"/>
  <c r="G57" i="22"/>
  <c r="F63" i="22"/>
  <c r="G63" i="22"/>
  <c r="F69" i="22"/>
  <c r="G69" i="22"/>
  <c r="F75" i="22"/>
  <c r="G75" i="22"/>
  <c r="F81" i="22"/>
  <c r="G81" i="22"/>
  <c r="F87" i="22"/>
  <c r="G87" i="22"/>
  <c r="F93" i="22"/>
  <c r="G93" i="22"/>
  <c r="AD281" i="30"/>
  <c r="F99" i="22"/>
  <c r="G99" i="22"/>
  <c r="F105" i="22"/>
  <c r="G105" i="22"/>
  <c r="F111" i="22"/>
  <c r="G111" i="22"/>
  <c r="F117" i="22"/>
  <c r="G117" i="22"/>
  <c r="F123" i="22"/>
  <c r="G123" i="22"/>
  <c r="F129" i="22"/>
  <c r="G129" i="22"/>
  <c r="F135" i="22"/>
  <c r="G135" i="22"/>
  <c r="F141" i="22"/>
  <c r="G141" i="22"/>
  <c r="F147" i="22"/>
  <c r="G147" i="22"/>
  <c r="F153" i="22"/>
  <c r="G153" i="22"/>
  <c r="F159" i="22"/>
  <c r="G159" i="22"/>
  <c r="F165" i="22"/>
  <c r="G165" i="22"/>
  <c r="AD276" i="30"/>
  <c r="F171" i="22"/>
  <c r="G171" i="22"/>
  <c r="G177" i="22"/>
  <c r="F177" i="22"/>
  <c r="F183" i="22"/>
  <c r="G183" i="22"/>
  <c r="F189" i="22"/>
  <c r="G189" i="22"/>
  <c r="G195" i="22"/>
  <c r="F195" i="22"/>
  <c r="G201" i="22"/>
  <c r="F201" i="22"/>
  <c r="Q7" i="22"/>
  <c r="P7" i="22"/>
  <c r="Q13" i="22"/>
  <c r="P13" i="22"/>
  <c r="Q19" i="22"/>
  <c r="P19" i="22"/>
  <c r="Q25" i="22"/>
  <c r="P25" i="22"/>
  <c r="Q31" i="22"/>
  <c r="P31" i="22"/>
  <c r="Q37" i="22"/>
  <c r="P37" i="22"/>
  <c r="Q43" i="22"/>
  <c r="P43" i="22"/>
  <c r="Q49" i="22"/>
  <c r="P49" i="22"/>
  <c r="Q55" i="22"/>
  <c r="P55" i="22"/>
  <c r="Q61" i="22"/>
  <c r="P61" i="22"/>
  <c r="Q67" i="22"/>
  <c r="P67" i="22"/>
  <c r="Q73" i="22"/>
  <c r="P73" i="22"/>
  <c r="Q79" i="22"/>
  <c r="P79" i="22"/>
  <c r="Q85" i="22"/>
  <c r="P85" i="22"/>
  <c r="Q91" i="22"/>
  <c r="P91" i="22"/>
  <c r="Q97" i="22"/>
  <c r="P97" i="22"/>
  <c r="Q103" i="22"/>
  <c r="P103" i="22"/>
  <c r="Q109" i="22"/>
  <c r="P109" i="22"/>
  <c r="Q115" i="22"/>
  <c r="P115" i="22"/>
  <c r="Q121" i="22"/>
  <c r="P121" i="22"/>
  <c r="Q127" i="22"/>
  <c r="P127" i="22"/>
  <c r="Q133" i="22"/>
  <c r="P133" i="22"/>
  <c r="P139" i="22"/>
  <c r="Q139" i="22"/>
  <c r="P145" i="22"/>
  <c r="Q145" i="22"/>
  <c r="AD283" i="30"/>
  <c r="P151" i="22"/>
  <c r="Q151" i="22"/>
  <c r="P157" i="22"/>
  <c r="Q157" i="22"/>
  <c r="P163" i="22"/>
  <c r="Q163" i="22"/>
  <c r="P169" i="22"/>
  <c r="Q169" i="22"/>
  <c r="P175" i="22"/>
  <c r="Q175" i="22"/>
  <c r="P181" i="22"/>
  <c r="Q181" i="22"/>
  <c r="P187" i="22"/>
  <c r="Q187" i="22"/>
  <c r="P193" i="22"/>
  <c r="Q193" i="22"/>
  <c r="Q199" i="22"/>
  <c r="P199" i="22"/>
  <c r="AA5" i="22"/>
  <c r="Z5" i="22"/>
  <c r="AA11" i="22"/>
  <c r="Z11" i="22"/>
  <c r="AA17" i="22"/>
  <c r="Z17" i="22"/>
  <c r="AA23" i="22"/>
  <c r="Z23" i="22"/>
  <c r="AA29" i="22"/>
  <c r="Z29" i="22"/>
  <c r="AD299" i="30"/>
  <c r="AA35" i="22"/>
  <c r="Z35" i="22"/>
  <c r="AA41" i="22"/>
  <c r="Z41" i="22"/>
  <c r="AA47" i="22"/>
  <c r="Z47" i="22"/>
  <c r="AA53" i="22"/>
  <c r="Z53" i="22"/>
  <c r="AA59" i="22"/>
  <c r="Z59" i="22"/>
  <c r="AA65" i="22"/>
  <c r="Z65" i="22"/>
  <c r="AA71" i="22"/>
  <c r="Z71" i="22"/>
  <c r="AA77" i="22"/>
  <c r="Z77" i="22"/>
  <c r="AA83" i="22"/>
  <c r="Z83" i="22"/>
  <c r="AA89" i="22"/>
  <c r="Z89" i="22"/>
  <c r="AA95" i="22"/>
  <c r="Z95" i="22"/>
  <c r="AA101" i="22"/>
  <c r="Z101" i="22"/>
  <c r="AA107" i="22"/>
  <c r="Z107" i="22"/>
  <c r="AA113" i="22"/>
  <c r="Z113" i="22"/>
  <c r="AA119" i="22"/>
  <c r="Z119" i="22"/>
  <c r="AA125" i="22"/>
  <c r="Z125" i="22"/>
  <c r="AA131" i="22"/>
  <c r="Z131" i="22"/>
  <c r="AA137" i="22"/>
  <c r="Z137" i="22"/>
  <c r="AA143" i="22"/>
  <c r="Z143" i="22"/>
  <c r="AA149" i="22"/>
  <c r="Z149" i="22"/>
  <c r="AA155" i="22"/>
  <c r="Z155" i="22"/>
  <c r="AA161" i="22"/>
  <c r="Z161" i="22"/>
  <c r="AA167" i="22"/>
  <c r="Z167" i="22"/>
  <c r="AA173" i="22"/>
  <c r="Z173" i="22"/>
  <c r="AA179" i="22"/>
  <c r="Z179" i="22"/>
  <c r="AA185" i="22"/>
  <c r="Z185" i="22"/>
  <c r="AA191" i="22"/>
  <c r="Z191" i="22"/>
  <c r="AA197" i="22"/>
  <c r="Z197" i="22"/>
  <c r="F53" i="22"/>
  <c r="G53" i="22"/>
  <c r="F113" i="22"/>
  <c r="G113" i="22"/>
  <c r="F179" i="22"/>
  <c r="G179" i="22"/>
  <c r="Q45" i="22"/>
  <c r="P45" i="22"/>
  <c r="Q105" i="22"/>
  <c r="P105" i="22"/>
  <c r="P171" i="22"/>
  <c r="Q171" i="22"/>
  <c r="AA37" i="22"/>
  <c r="Z37" i="22"/>
  <c r="AA103" i="22"/>
  <c r="Z103" i="22"/>
  <c r="AA169" i="22"/>
  <c r="Z169" i="22"/>
  <c r="F9" i="22"/>
  <c r="G9" i="22"/>
  <c r="F21" i="22"/>
  <c r="G21" i="22"/>
  <c r="G3" i="23"/>
  <c r="F3" i="23"/>
  <c r="G9" i="23"/>
  <c r="F9" i="23"/>
  <c r="G15" i="23"/>
  <c r="F15" i="23"/>
  <c r="G21" i="23"/>
  <c r="F21" i="23"/>
  <c r="G27" i="23"/>
  <c r="F27" i="23"/>
  <c r="G33" i="23"/>
  <c r="F33" i="23"/>
  <c r="G39" i="23"/>
  <c r="F39" i="23"/>
  <c r="G45" i="23"/>
  <c r="F45" i="23"/>
  <c r="G51" i="23"/>
  <c r="F51" i="23"/>
  <c r="G57" i="23"/>
  <c r="F57" i="23"/>
  <c r="G63" i="23"/>
  <c r="F63" i="23"/>
  <c r="G69" i="23"/>
  <c r="F69" i="23"/>
  <c r="G75" i="23"/>
  <c r="F75" i="23"/>
  <c r="G81" i="23"/>
  <c r="F81" i="23"/>
  <c r="G87" i="23"/>
  <c r="F87" i="23"/>
  <c r="G93" i="23"/>
  <c r="F93" i="23"/>
  <c r="G99" i="23"/>
  <c r="F99" i="23"/>
  <c r="G105" i="23"/>
  <c r="F105" i="23"/>
  <c r="F111" i="23"/>
  <c r="G111" i="23"/>
  <c r="F117" i="23"/>
  <c r="G117" i="23"/>
  <c r="F123" i="23"/>
  <c r="G123" i="23"/>
  <c r="F129" i="23"/>
  <c r="G129" i="23"/>
  <c r="F135" i="23"/>
  <c r="G135" i="23"/>
  <c r="F141" i="23"/>
  <c r="G141" i="23"/>
  <c r="F147" i="23"/>
  <c r="G147" i="23"/>
  <c r="F153" i="23"/>
  <c r="G153" i="23"/>
  <c r="F159" i="23"/>
  <c r="G159" i="23"/>
  <c r="F165" i="23"/>
  <c r="G165" i="23"/>
  <c r="F171" i="23"/>
  <c r="G171" i="23"/>
  <c r="F177" i="23"/>
  <c r="G177" i="23"/>
  <c r="F183" i="23"/>
  <c r="G183" i="23"/>
  <c r="F189" i="23"/>
  <c r="G189" i="23"/>
  <c r="F195" i="23"/>
  <c r="G195" i="23"/>
  <c r="F201" i="23"/>
  <c r="G201" i="23"/>
  <c r="P7" i="23"/>
  <c r="Q7" i="23"/>
  <c r="Q13" i="23"/>
  <c r="P13" i="23"/>
  <c r="Q19" i="23"/>
  <c r="P19" i="23"/>
  <c r="Q25" i="23"/>
  <c r="P25" i="23"/>
  <c r="Q31" i="23"/>
  <c r="P31" i="23"/>
  <c r="Q37" i="23"/>
  <c r="P37" i="23"/>
  <c r="Q43" i="23"/>
  <c r="P43" i="23"/>
  <c r="Q49" i="23"/>
  <c r="P49" i="23"/>
  <c r="Q55" i="23"/>
  <c r="P55" i="23"/>
  <c r="Q61" i="23"/>
  <c r="P61" i="23"/>
  <c r="Q67" i="23"/>
  <c r="P67" i="23"/>
  <c r="Q73" i="23"/>
  <c r="P73" i="23"/>
  <c r="Q79" i="23"/>
  <c r="P79" i="23"/>
  <c r="Q85" i="23"/>
  <c r="P85" i="23"/>
  <c r="Q91" i="23"/>
  <c r="P91" i="23"/>
  <c r="Q97" i="23"/>
  <c r="P97" i="23"/>
  <c r="Q103" i="23"/>
  <c r="P103" i="23"/>
  <c r="Q109" i="23"/>
  <c r="P109" i="23"/>
  <c r="Q115" i="23"/>
  <c r="P115" i="23"/>
  <c r="Q121" i="23"/>
  <c r="P121" i="23"/>
  <c r="Q127" i="23"/>
  <c r="P127" i="23"/>
  <c r="Q133" i="23"/>
  <c r="P133" i="23"/>
  <c r="Q139" i="23"/>
  <c r="P139" i="23"/>
  <c r="Q145" i="23"/>
  <c r="P145" i="23"/>
  <c r="Q151" i="23"/>
  <c r="P151" i="23"/>
  <c r="Q157" i="23"/>
  <c r="P157" i="23"/>
  <c r="Q163" i="23"/>
  <c r="P163" i="23"/>
  <c r="Q169" i="23"/>
  <c r="P169" i="23"/>
  <c r="AD315" i="30"/>
  <c r="Q175" i="23"/>
  <c r="P175" i="23"/>
  <c r="Q181" i="23"/>
  <c r="P181" i="23"/>
  <c r="Q187" i="23"/>
  <c r="P187" i="23"/>
  <c r="Q193" i="23"/>
  <c r="P193" i="23"/>
  <c r="Q199" i="23"/>
  <c r="P199" i="23"/>
  <c r="AA5" i="23"/>
  <c r="Z5" i="23"/>
  <c r="AA11" i="23"/>
  <c r="Z11" i="23"/>
  <c r="AA17" i="23"/>
  <c r="Z17" i="23"/>
  <c r="AA23" i="23"/>
  <c r="Z23" i="23"/>
  <c r="AA29" i="23"/>
  <c r="Z29" i="23"/>
  <c r="AA35" i="23"/>
  <c r="Z35" i="23"/>
  <c r="AA41" i="23"/>
  <c r="Z41" i="23"/>
  <c r="AA47" i="23"/>
  <c r="Z47" i="23"/>
  <c r="AA53" i="23"/>
  <c r="Z53" i="23"/>
  <c r="AA59" i="23"/>
  <c r="Z59" i="23"/>
  <c r="AA65" i="23"/>
  <c r="Z65" i="23"/>
  <c r="AA71" i="23"/>
  <c r="Z71" i="23"/>
  <c r="AA77" i="23"/>
  <c r="Z77" i="23"/>
  <c r="AA83" i="23"/>
  <c r="Z83" i="23"/>
  <c r="AA89" i="23"/>
  <c r="Z89" i="23"/>
  <c r="AA95" i="23"/>
  <c r="Z95" i="23"/>
  <c r="AA101" i="23"/>
  <c r="Z101" i="23"/>
  <c r="AA107" i="23"/>
  <c r="Z107" i="23"/>
  <c r="AA113" i="23"/>
  <c r="Z113" i="23"/>
  <c r="AA119" i="23"/>
  <c r="Z119" i="23"/>
  <c r="AA125" i="23"/>
  <c r="Z125" i="23"/>
  <c r="AA131" i="23"/>
  <c r="Z131" i="23"/>
  <c r="AA137" i="23"/>
  <c r="Z137" i="23"/>
  <c r="AA143" i="23"/>
  <c r="Z143" i="23"/>
  <c r="AA149" i="23"/>
  <c r="Z149" i="23"/>
  <c r="AA155" i="23"/>
  <c r="Z155" i="23"/>
  <c r="AA161" i="23"/>
  <c r="Z161" i="23"/>
  <c r="AA167" i="23"/>
  <c r="Z167" i="23"/>
  <c r="AA173" i="23"/>
  <c r="Z173" i="23"/>
  <c r="AA179" i="23"/>
  <c r="Z179" i="23"/>
  <c r="AA185" i="23"/>
  <c r="Z185" i="23"/>
  <c r="AA191" i="23"/>
  <c r="Z191" i="23"/>
  <c r="AA197" i="23"/>
  <c r="Z197" i="23"/>
  <c r="F23" i="22"/>
  <c r="G23" i="22"/>
  <c r="F83" i="22"/>
  <c r="G83" i="22"/>
  <c r="F149" i="22"/>
  <c r="G149" i="22"/>
  <c r="AD277" i="30"/>
  <c r="Q9" i="22"/>
  <c r="P9" i="22"/>
  <c r="Q81" i="22"/>
  <c r="P81" i="22"/>
  <c r="P141" i="22"/>
  <c r="Q141" i="22"/>
  <c r="P201" i="22"/>
  <c r="Q201" i="22"/>
  <c r="AA67" i="22"/>
  <c r="Z67" i="22"/>
  <c r="AA133" i="22"/>
  <c r="Z133" i="22"/>
  <c r="AA193" i="22"/>
  <c r="Z193" i="22"/>
  <c r="F10" i="22"/>
  <c r="G10" i="22"/>
  <c r="F22" i="22"/>
  <c r="G22" i="22"/>
  <c r="F34" i="22"/>
  <c r="G34" i="22"/>
  <c r="F46" i="22"/>
  <c r="G46" i="22"/>
  <c r="F58" i="22"/>
  <c r="G58" i="22"/>
  <c r="F70" i="22"/>
  <c r="G70" i="22"/>
  <c r="F82" i="22"/>
  <c r="G82" i="22"/>
  <c r="F94" i="22"/>
  <c r="G94" i="22"/>
  <c r="F112" i="22"/>
  <c r="G112" i="22"/>
  <c r="G124" i="22"/>
  <c r="F124" i="22"/>
  <c r="F136" i="22"/>
  <c r="G136" i="22"/>
  <c r="F148" i="22"/>
  <c r="G148" i="22"/>
  <c r="G154" i="22"/>
  <c r="F154" i="22"/>
  <c r="G160" i="22"/>
  <c r="F160" i="22"/>
  <c r="G166" i="22"/>
  <c r="F166" i="22"/>
  <c r="F178" i="22"/>
  <c r="G178" i="22"/>
  <c r="G184" i="22"/>
  <c r="F184" i="22"/>
  <c r="G190" i="22"/>
  <c r="F190" i="22"/>
  <c r="G196" i="22"/>
  <c r="F196" i="22"/>
  <c r="Q2" i="22"/>
  <c r="P2" i="22"/>
  <c r="Q8" i="22"/>
  <c r="P8" i="22"/>
  <c r="Q14" i="22"/>
  <c r="P14" i="22"/>
  <c r="Q20" i="22"/>
  <c r="P20" i="22"/>
  <c r="Q26" i="22"/>
  <c r="P26" i="22"/>
  <c r="AD292" i="30"/>
  <c r="Q32" i="22"/>
  <c r="P32" i="22"/>
  <c r="Q38" i="22"/>
  <c r="P38" i="22"/>
  <c r="Q44" i="22"/>
  <c r="P44" i="22"/>
  <c r="Q50" i="22"/>
  <c r="P50" i="22"/>
  <c r="Q56" i="22"/>
  <c r="P56" i="22"/>
  <c r="Q62" i="22"/>
  <c r="P62" i="22"/>
  <c r="Q68" i="22"/>
  <c r="P68" i="22"/>
  <c r="Q74" i="22"/>
  <c r="P74" i="22"/>
  <c r="Q80" i="22"/>
  <c r="P80" i="22"/>
  <c r="Q86" i="22"/>
  <c r="P86" i="22"/>
  <c r="Q92" i="22"/>
  <c r="P92" i="22"/>
  <c r="Q98" i="22"/>
  <c r="P98" i="22"/>
  <c r="Q104" i="22"/>
  <c r="P104" i="22"/>
  <c r="Q110" i="22"/>
  <c r="P110" i="22"/>
  <c r="P116" i="22"/>
  <c r="Q116" i="22"/>
  <c r="P122" i="22"/>
  <c r="Q122" i="22"/>
  <c r="P128" i="22"/>
  <c r="Q128" i="22"/>
  <c r="P134" i="22"/>
  <c r="Q134" i="22"/>
  <c r="P140" i="22"/>
  <c r="Q140" i="22"/>
  <c r="P146" i="22"/>
  <c r="Q146" i="22"/>
  <c r="P152" i="22"/>
  <c r="Q152" i="22"/>
  <c r="P158" i="22"/>
  <c r="Q158" i="22"/>
  <c r="P164" i="22"/>
  <c r="Q164" i="22"/>
  <c r="P170" i="22"/>
  <c r="Q170" i="22"/>
  <c r="P176" i="22"/>
  <c r="Q176" i="22"/>
  <c r="P182" i="22"/>
  <c r="Q182" i="22"/>
  <c r="P188" i="22"/>
  <c r="Q188" i="22"/>
  <c r="P194" i="22"/>
  <c r="Q194" i="22"/>
  <c r="Q200" i="22"/>
  <c r="P200" i="22"/>
  <c r="AA6" i="22"/>
  <c r="Z6" i="22"/>
  <c r="AA12" i="22"/>
  <c r="Z12" i="22"/>
  <c r="AD298" i="30"/>
  <c r="AA18" i="22"/>
  <c r="Z18" i="22"/>
  <c r="AA24" i="22"/>
  <c r="Z24" i="22"/>
  <c r="AA30" i="22"/>
  <c r="Z30" i="22"/>
  <c r="AA36" i="22"/>
  <c r="Z36" i="22"/>
  <c r="AA42" i="22"/>
  <c r="Z42" i="22"/>
  <c r="AA48" i="22"/>
  <c r="Z48" i="22"/>
  <c r="AA54" i="22"/>
  <c r="Z54" i="22"/>
  <c r="AA60" i="22"/>
  <c r="Z60" i="22"/>
  <c r="AA66" i="22"/>
  <c r="Z66" i="22"/>
  <c r="AA72" i="22"/>
  <c r="Z72" i="22"/>
  <c r="AD297" i="30"/>
  <c r="AA78" i="22"/>
  <c r="Z78" i="22"/>
  <c r="AA84" i="22"/>
  <c r="Z84" i="22"/>
  <c r="AA90" i="22"/>
  <c r="Z90" i="22"/>
  <c r="AD296" i="30"/>
  <c r="AA96" i="22"/>
  <c r="Z96" i="22"/>
  <c r="AD295" i="30"/>
  <c r="AA102" i="22"/>
  <c r="Z102" i="22"/>
  <c r="AA108" i="22"/>
  <c r="Z108" i="22"/>
  <c r="AA114" i="22"/>
  <c r="Z114" i="22"/>
  <c r="AA120" i="22"/>
  <c r="Z120" i="22"/>
  <c r="AA126" i="22"/>
  <c r="Z126" i="22"/>
  <c r="AA132" i="22"/>
  <c r="Z132" i="22"/>
  <c r="AA138" i="22"/>
  <c r="Z138" i="22"/>
  <c r="AA144" i="22"/>
  <c r="Z144" i="22"/>
  <c r="AA150" i="22"/>
  <c r="Z150" i="22"/>
  <c r="AA156" i="22"/>
  <c r="Z156" i="22"/>
  <c r="AA162" i="22"/>
  <c r="Z162" i="22"/>
  <c r="AA168" i="22"/>
  <c r="Z168" i="22"/>
  <c r="AA174" i="22"/>
  <c r="Z174" i="22"/>
  <c r="AA180" i="22"/>
  <c r="Z180" i="22"/>
  <c r="AA186" i="22"/>
  <c r="Z186" i="22"/>
  <c r="AA192" i="22"/>
  <c r="Z192" i="22"/>
  <c r="AA198" i="22"/>
  <c r="Z198" i="22"/>
  <c r="F5" i="22"/>
  <c r="G5" i="22"/>
  <c r="F59" i="22"/>
  <c r="G59" i="22"/>
  <c r="F125" i="22"/>
  <c r="G125" i="22"/>
  <c r="F191" i="22"/>
  <c r="G191" i="22"/>
  <c r="Q63" i="22"/>
  <c r="P63" i="22"/>
  <c r="AD288" i="30"/>
  <c r="Q123" i="22"/>
  <c r="P123" i="22"/>
  <c r="P189" i="22"/>
  <c r="Q189" i="22"/>
  <c r="AA61" i="22"/>
  <c r="Z61" i="22"/>
  <c r="AA115" i="22"/>
  <c r="Z115" i="22"/>
  <c r="AA181" i="22"/>
  <c r="Z181" i="22"/>
  <c r="AD302" i="30"/>
  <c r="F4" i="22"/>
  <c r="G4" i="22"/>
  <c r="F16" i="22"/>
  <c r="G16" i="22"/>
  <c r="F28" i="22"/>
  <c r="G28" i="22"/>
  <c r="F40" i="22"/>
  <c r="G40" i="22"/>
  <c r="F52" i="22"/>
  <c r="G52" i="22"/>
  <c r="F64" i="22"/>
  <c r="G64" i="22"/>
  <c r="F76" i="22"/>
  <c r="G76" i="22"/>
  <c r="F88" i="22"/>
  <c r="G88" i="22"/>
  <c r="F100" i="22"/>
  <c r="G100" i="22"/>
  <c r="F106" i="22"/>
  <c r="G106" i="22"/>
  <c r="F118" i="22"/>
  <c r="G118" i="22"/>
  <c r="F130" i="22"/>
  <c r="G130" i="22"/>
  <c r="AD278" i="30"/>
  <c r="F142" i="22"/>
  <c r="G142" i="22"/>
  <c r="F172" i="22"/>
  <c r="G172" i="22"/>
  <c r="AD274" i="30"/>
  <c r="G4" i="23"/>
  <c r="F4" i="23"/>
  <c r="G10" i="23"/>
  <c r="F10" i="23"/>
  <c r="G16" i="23"/>
  <c r="F16" i="23"/>
  <c r="G22" i="23"/>
  <c r="F22" i="23"/>
  <c r="G28" i="23"/>
  <c r="F28" i="23"/>
  <c r="G34" i="23"/>
  <c r="F34" i="23"/>
  <c r="G40" i="23"/>
  <c r="F40" i="23"/>
  <c r="G46" i="23"/>
  <c r="F46" i="23"/>
  <c r="G52" i="23"/>
  <c r="F52" i="23"/>
  <c r="G58" i="23"/>
  <c r="F58" i="23"/>
  <c r="G64" i="23"/>
  <c r="F64" i="23"/>
  <c r="G70" i="23"/>
  <c r="F70" i="23"/>
  <c r="AD312" i="30"/>
  <c r="G76" i="23"/>
  <c r="F76" i="23"/>
  <c r="G82" i="23"/>
  <c r="F82" i="23"/>
  <c r="G88" i="23"/>
  <c r="F88" i="23"/>
  <c r="G94" i="23"/>
  <c r="F94" i="23"/>
  <c r="G100" i="23"/>
  <c r="F100" i="23"/>
  <c r="G106" i="23"/>
  <c r="F106" i="23"/>
  <c r="G112" i="23"/>
  <c r="F112" i="23"/>
  <c r="F118" i="23"/>
  <c r="G118" i="23"/>
  <c r="F124" i="23"/>
  <c r="G124" i="23"/>
  <c r="F130" i="23"/>
  <c r="G130" i="23"/>
  <c r="F136" i="23"/>
  <c r="G136" i="23"/>
  <c r="F142" i="23"/>
  <c r="G142" i="23"/>
  <c r="F148" i="23"/>
  <c r="G148" i="23"/>
  <c r="F154" i="23"/>
  <c r="G154" i="23"/>
  <c r="F160" i="23"/>
  <c r="G160" i="23"/>
  <c r="F166" i="23"/>
  <c r="G166" i="23"/>
  <c r="AD304" i="30"/>
  <c r="F172" i="23"/>
  <c r="G172" i="23"/>
  <c r="F178" i="23"/>
  <c r="G178" i="23"/>
  <c r="F184" i="23"/>
  <c r="G184" i="23"/>
  <c r="F190" i="23"/>
  <c r="G190" i="23"/>
  <c r="F196" i="23"/>
  <c r="G196" i="23"/>
  <c r="Q2" i="23"/>
  <c r="P2" i="23"/>
  <c r="Q8" i="23"/>
  <c r="P8" i="23"/>
  <c r="Q14" i="23"/>
  <c r="P14" i="23"/>
  <c r="Q20" i="23"/>
  <c r="P20" i="23"/>
  <c r="Q26" i="23"/>
  <c r="P26" i="23"/>
  <c r="Q32" i="23"/>
  <c r="P32" i="23"/>
  <c r="Q38" i="23"/>
  <c r="P38" i="23"/>
  <c r="Q44" i="23"/>
  <c r="P44" i="23"/>
  <c r="Q50" i="23"/>
  <c r="P50" i="23"/>
  <c r="Q56" i="23"/>
  <c r="P56" i="23"/>
  <c r="Q62" i="23"/>
  <c r="P62" i="23"/>
  <c r="AD319" i="30"/>
  <c r="P68" i="23"/>
  <c r="Q68" i="23"/>
  <c r="P74" i="23"/>
  <c r="Q74" i="23"/>
  <c r="Q80" i="23"/>
  <c r="P80" i="23"/>
  <c r="Q86" i="23"/>
  <c r="P86" i="23"/>
  <c r="Q92" i="23"/>
  <c r="P92" i="23"/>
  <c r="Q98" i="23"/>
  <c r="P98" i="23"/>
  <c r="Q104" i="23"/>
  <c r="P104" i="23"/>
  <c r="Q110" i="23"/>
  <c r="P110" i="23"/>
  <c r="Q116" i="23"/>
  <c r="P116" i="23"/>
  <c r="Q122" i="23"/>
  <c r="P122" i="23"/>
  <c r="Q128" i="23"/>
  <c r="P128" i="23"/>
  <c r="Q134" i="23"/>
  <c r="P134" i="23"/>
  <c r="Q140" i="23"/>
  <c r="P140" i="23"/>
  <c r="Q146" i="23"/>
  <c r="P146" i="23"/>
  <c r="Q152" i="23"/>
  <c r="P152" i="23"/>
  <c r="Q158" i="23"/>
  <c r="P158" i="23"/>
  <c r="Q164" i="23"/>
  <c r="P164" i="23"/>
  <c r="Q170" i="23"/>
  <c r="P170" i="23"/>
  <c r="Q176" i="23"/>
  <c r="P176" i="23"/>
  <c r="Q182" i="23"/>
  <c r="P182" i="23"/>
  <c r="Q188" i="23"/>
  <c r="P188" i="23"/>
  <c r="Q194" i="23"/>
  <c r="P194" i="23"/>
  <c r="Q200" i="23"/>
  <c r="P200" i="23"/>
  <c r="AA6" i="23"/>
  <c r="Z6" i="23"/>
  <c r="AD330" i="30"/>
  <c r="AA12" i="23"/>
  <c r="Z12" i="23"/>
  <c r="AA18" i="23"/>
  <c r="Z18" i="23"/>
  <c r="AA24" i="23"/>
  <c r="Z24" i="23"/>
  <c r="AA30" i="23"/>
  <c r="Z30" i="23"/>
  <c r="AA36" i="23"/>
  <c r="Z36" i="23"/>
  <c r="AA42" i="23"/>
  <c r="Z42" i="23"/>
  <c r="AA48" i="23"/>
  <c r="Z48" i="23"/>
  <c r="AA54" i="23"/>
  <c r="Z54" i="23"/>
  <c r="AA60" i="23"/>
  <c r="Z60" i="23"/>
  <c r="AA66" i="23"/>
  <c r="Z66" i="23"/>
  <c r="AA72" i="23"/>
  <c r="Z72" i="23"/>
  <c r="AA78" i="23"/>
  <c r="Z78" i="23"/>
  <c r="AA84" i="23"/>
  <c r="Z84" i="23"/>
  <c r="AA90" i="23"/>
  <c r="Z90" i="23"/>
  <c r="AA96" i="23"/>
  <c r="Z96" i="23"/>
  <c r="AA102" i="23"/>
  <c r="Z102" i="23"/>
  <c r="AA108" i="23"/>
  <c r="Z108" i="23"/>
  <c r="AA114" i="23"/>
  <c r="Z114" i="23"/>
  <c r="AA120" i="23"/>
  <c r="Z120" i="23"/>
  <c r="AA126" i="23"/>
  <c r="Z126" i="23"/>
  <c r="AA132" i="23"/>
  <c r="Z132" i="23"/>
  <c r="AA138" i="23"/>
  <c r="Z138" i="23"/>
  <c r="AA144" i="23"/>
  <c r="Z144" i="23"/>
  <c r="AA150" i="23"/>
  <c r="Z150" i="23"/>
  <c r="AA156" i="23"/>
  <c r="Z156" i="23"/>
  <c r="AA162" i="23"/>
  <c r="Z162" i="23"/>
  <c r="AA168" i="23"/>
  <c r="Z168" i="23"/>
  <c r="AA174" i="23"/>
  <c r="Z174" i="23"/>
  <c r="AA180" i="23"/>
  <c r="Z180" i="23"/>
  <c r="AD332" i="30"/>
  <c r="AA186" i="23"/>
  <c r="Z186" i="23"/>
  <c r="AA192" i="23"/>
  <c r="Z192" i="23"/>
  <c r="AA198" i="23"/>
  <c r="Z198" i="23"/>
  <c r="F11" i="22"/>
  <c r="G11" i="22"/>
  <c r="F119" i="22"/>
  <c r="G119" i="22"/>
  <c r="AD279" i="30"/>
  <c r="Q33" i="22"/>
  <c r="P33" i="22"/>
  <c r="Q129" i="22"/>
  <c r="P129" i="22"/>
  <c r="AA25" i="22"/>
  <c r="Z25" i="22"/>
  <c r="AA127" i="22"/>
  <c r="Z127" i="22"/>
  <c r="G5" i="23"/>
  <c r="F5" i="23"/>
  <c r="G11" i="23"/>
  <c r="F11" i="23"/>
  <c r="G17" i="23"/>
  <c r="F17" i="23"/>
  <c r="G23" i="23"/>
  <c r="F23" i="23"/>
  <c r="G29" i="23"/>
  <c r="F29" i="23"/>
  <c r="G35" i="23"/>
  <c r="F35" i="23"/>
  <c r="G41" i="23"/>
  <c r="F41" i="23"/>
  <c r="G47" i="23"/>
  <c r="F47" i="23"/>
  <c r="G53" i="23"/>
  <c r="F53" i="23"/>
  <c r="G59" i="23"/>
  <c r="F59" i="23"/>
  <c r="G65" i="23"/>
  <c r="F65" i="23"/>
  <c r="G71" i="23"/>
  <c r="F71" i="23"/>
  <c r="G77" i="23"/>
  <c r="F77" i="23"/>
  <c r="G83" i="23"/>
  <c r="F83" i="23"/>
  <c r="AD311" i="30"/>
  <c r="G89" i="23"/>
  <c r="F89" i="23"/>
  <c r="AD310" i="30"/>
  <c r="G95" i="23"/>
  <c r="F95" i="23"/>
  <c r="AD309" i="30"/>
  <c r="G101" i="23"/>
  <c r="F101" i="23"/>
  <c r="G107" i="23"/>
  <c r="F107" i="23"/>
  <c r="AD308" i="30"/>
  <c r="F113" i="23"/>
  <c r="G113" i="23"/>
  <c r="AD306" i="30"/>
  <c r="F119" i="23"/>
  <c r="G119" i="23"/>
  <c r="F125" i="23"/>
  <c r="G125" i="23"/>
  <c r="F131" i="23"/>
  <c r="G131" i="23"/>
  <c r="F137" i="23"/>
  <c r="G137" i="23"/>
  <c r="F143" i="23"/>
  <c r="G143" i="23"/>
  <c r="F149" i="23"/>
  <c r="G149" i="23"/>
  <c r="F155" i="23"/>
  <c r="G155" i="23"/>
  <c r="F161" i="23"/>
  <c r="G161" i="23"/>
  <c r="F167" i="23"/>
  <c r="G167" i="23"/>
  <c r="F173" i="23"/>
  <c r="G173" i="23"/>
  <c r="F179" i="23"/>
  <c r="G179" i="23"/>
  <c r="F185" i="23"/>
  <c r="G185" i="23"/>
  <c r="F191" i="23"/>
  <c r="G191" i="23"/>
  <c r="F197" i="23"/>
  <c r="G197" i="23"/>
  <c r="P3" i="23"/>
  <c r="Q3" i="23"/>
  <c r="P9" i="23"/>
  <c r="Q9" i="23"/>
  <c r="P15" i="23"/>
  <c r="Q15" i="23"/>
  <c r="P21" i="23"/>
  <c r="Q21" i="23"/>
  <c r="P27" i="23"/>
  <c r="Q27" i="23"/>
  <c r="P33" i="23"/>
  <c r="Q33" i="23"/>
  <c r="P39" i="23"/>
  <c r="Q39" i="23"/>
  <c r="AD321" i="30"/>
  <c r="P45" i="23"/>
  <c r="Q45" i="23"/>
  <c r="P51" i="23"/>
  <c r="Q51" i="23"/>
  <c r="P57" i="23"/>
  <c r="Q57" i="23"/>
  <c r="P63" i="23"/>
  <c r="Q63" i="23"/>
  <c r="P69" i="23"/>
  <c r="Q69" i="23"/>
  <c r="P75" i="23"/>
  <c r="Q75" i="23"/>
  <c r="P81" i="23"/>
  <c r="Q81" i="23"/>
  <c r="P87" i="23"/>
  <c r="Q87" i="23"/>
  <c r="P93" i="23"/>
  <c r="Q93" i="23"/>
  <c r="P99" i="23"/>
  <c r="Q99" i="23"/>
  <c r="P105" i="23"/>
  <c r="Q105" i="23"/>
  <c r="P111" i="23"/>
  <c r="Q111" i="23"/>
  <c r="P117" i="23"/>
  <c r="Q117" i="23"/>
  <c r="P123" i="23"/>
  <c r="Q123" i="23"/>
  <c r="Q129" i="23"/>
  <c r="P129" i="23"/>
  <c r="Q135" i="23"/>
  <c r="P135" i="23"/>
  <c r="Q141" i="23"/>
  <c r="P141" i="23"/>
  <c r="Q147" i="23"/>
  <c r="P147" i="23"/>
  <c r="Q153" i="23"/>
  <c r="P153" i="23"/>
  <c r="Q159" i="23"/>
  <c r="P159" i="23"/>
  <c r="Q165" i="23"/>
  <c r="P165" i="23"/>
  <c r="Q171" i="23"/>
  <c r="P171" i="23"/>
  <c r="Q177" i="23"/>
  <c r="P177" i="23"/>
  <c r="Q183" i="23"/>
  <c r="P183" i="23"/>
  <c r="Q189" i="23"/>
  <c r="P189" i="23"/>
  <c r="Q195" i="23"/>
  <c r="P195" i="23"/>
  <c r="Q201" i="23"/>
  <c r="P201" i="23"/>
  <c r="AA7" i="23"/>
  <c r="Z7" i="23"/>
  <c r="AA13" i="23"/>
  <c r="Z13" i="23"/>
  <c r="AA19" i="23"/>
  <c r="Z19" i="23"/>
  <c r="AA25" i="23"/>
  <c r="Z25" i="23"/>
  <c r="AA31" i="23"/>
  <c r="Z31" i="23"/>
  <c r="AA37" i="23"/>
  <c r="Z37" i="23"/>
  <c r="AA43" i="23"/>
  <c r="Z43" i="23"/>
  <c r="AA49" i="23"/>
  <c r="Z49" i="23"/>
  <c r="AA55" i="23"/>
  <c r="Z55" i="23"/>
  <c r="AA61" i="23"/>
  <c r="Z61" i="23"/>
  <c r="AA67" i="23"/>
  <c r="Z67" i="23"/>
  <c r="AA73" i="23"/>
  <c r="Z73" i="23"/>
  <c r="AA79" i="23"/>
  <c r="Z79" i="23"/>
  <c r="AD328" i="30"/>
  <c r="AA85" i="23"/>
  <c r="Z85" i="23"/>
  <c r="AA91" i="23"/>
  <c r="Z91" i="23"/>
  <c r="AA97" i="23"/>
  <c r="Z97" i="23"/>
  <c r="AA103" i="23"/>
  <c r="Z103" i="23"/>
  <c r="AA109" i="23"/>
  <c r="Z109" i="23"/>
  <c r="AA115" i="23"/>
  <c r="Z115" i="23"/>
  <c r="AA121" i="23"/>
  <c r="Z121" i="23"/>
  <c r="AA127" i="23"/>
  <c r="Z127" i="23"/>
  <c r="AA133" i="23"/>
  <c r="Z133" i="23"/>
  <c r="AA139" i="23"/>
  <c r="Z139" i="23"/>
  <c r="AA145" i="23"/>
  <c r="Z145" i="23"/>
  <c r="AA151" i="23"/>
  <c r="Z151" i="23"/>
  <c r="AA157" i="23"/>
  <c r="Z157" i="23"/>
  <c r="AD324" i="30"/>
  <c r="AA163" i="23"/>
  <c r="Z163" i="23"/>
  <c r="AA169" i="23"/>
  <c r="Z169" i="23"/>
  <c r="AA175" i="23"/>
  <c r="Z175" i="23"/>
  <c r="AA181" i="23"/>
  <c r="Z181" i="23"/>
  <c r="AA187" i="23"/>
  <c r="Z187" i="23"/>
  <c r="AA193" i="23"/>
  <c r="Z193" i="23"/>
  <c r="AA199" i="23"/>
  <c r="Z199" i="23"/>
  <c r="F35" i="22"/>
  <c r="G35" i="22"/>
  <c r="F95" i="22"/>
  <c r="G95" i="22"/>
  <c r="F161" i="22"/>
  <c r="G161" i="22"/>
  <c r="Q21" i="22"/>
  <c r="P21" i="22"/>
  <c r="Q87" i="22"/>
  <c r="P87" i="22"/>
  <c r="AD286" i="30"/>
  <c r="P153" i="22"/>
  <c r="Q153" i="22"/>
  <c r="AA13" i="22"/>
  <c r="Z13" i="22"/>
  <c r="AA79" i="22"/>
  <c r="Z79" i="22"/>
  <c r="AD301" i="30"/>
  <c r="AA157" i="22"/>
  <c r="Z157" i="22"/>
  <c r="F12" i="22"/>
  <c r="G12" i="22"/>
  <c r="F24" i="22"/>
  <c r="G24" i="22"/>
  <c r="F30" i="22"/>
  <c r="G30" i="22"/>
  <c r="F36" i="22"/>
  <c r="G36" i="22"/>
  <c r="F42" i="22"/>
  <c r="G42" i="22"/>
  <c r="F48" i="22"/>
  <c r="G48" i="22"/>
  <c r="F54" i="22"/>
  <c r="G54" i="22"/>
  <c r="F60" i="22"/>
  <c r="G60" i="22"/>
  <c r="F66" i="22"/>
  <c r="G66" i="22"/>
  <c r="F72" i="22"/>
  <c r="G72" i="22"/>
  <c r="AD282" i="30"/>
  <c r="F78" i="22"/>
  <c r="G78" i="22"/>
  <c r="F84" i="22"/>
  <c r="G84" i="22"/>
  <c r="F90" i="22"/>
  <c r="G90" i="22"/>
  <c r="F96" i="22"/>
  <c r="G96" i="22"/>
  <c r="F102" i="22"/>
  <c r="G102" i="22"/>
  <c r="F108" i="22"/>
  <c r="G108" i="22"/>
  <c r="AD280" i="30"/>
  <c r="F114" i="22"/>
  <c r="G114" i="22"/>
  <c r="F120" i="22"/>
  <c r="G120" i="22"/>
  <c r="F126" i="22"/>
  <c r="G126" i="22"/>
  <c r="F132" i="22"/>
  <c r="G132" i="22"/>
  <c r="F138" i="22"/>
  <c r="G138" i="22"/>
  <c r="F144" i="22"/>
  <c r="G144" i="22"/>
  <c r="F150" i="22"/>
  <c r="G150" i="22"/>
  <c r="F156" i="22"/>
  <c r="G156" i="22"/>
  <c r="F162" i="22"/>
  <c r="G162" i="22"/>
  <c r="F168" i="22"/>
  <c r="G168" i="22"/>
  <c r="AD275" i="30"/>
  <c r="F174" i="22"/>
  <c r="G174" i="22"/>
  <c r="F180" i="22"/>
  <c r="G180" i="22"/>
  <c r="F186" i="22"/>
  <c r="G186" i="22"/>
  <c r="F192" i="22"/>
  <c r="G192" i="22"/>
  <c r="F198" i="22"/>
  <c r="G198" i="22"/>
  <c r="Q4" i="22"/>
  <c r="P4" i="22"/>
  <c r="Q10" i="22"/>
  <c r="P10" i="22"/>
  <c r="Q16" i="22"/>
  <c r="P16" i="22"/>
  <c r="Q22" i="22"/>
  <c r="P22" i="22"/>
  <c r="Q28" i="22"/>
  <c r="P28" i="22"/>
  <c r="Q34" i="22"/>
  <c r="P34" i="22"/>
  <c r="Q40" i="22"/>
  <c r="P40" i="22"/>
  <c r="AD291" i="30"/>
  <c r="Q46" i="22"/>
  <c r="P46" i="22"/>
  <c r="Q52" i="22"/>
  <c r="P52" i="22"/>
  <c r="AD290" i="30"/>
  <c r="Q58" i="22"/>
  <c r="P58" i="22"/>
  <c r="AD289" i="30"/>
  <c r="Q64" i="22"/>
  <c r="P64" i="22"/>
  <c r="Q70" i="22"/>
  <c r="P70" i="22"/>
  <c r="Q76" i="22"/>
  <c r="P76" i="22"/>
  <c r="Q82" i="22"/>
  <c r="P82" i="22"/>
  <c r="Q88" i="22"/>
  <c r="P88" i="22"/>
  <c r="Q94" i="22"/>
  <c r="P94" i="22"/>
  <c r="Q100" i="22"/>
  <c r="P100" i="22"/>
  <c r="Q106" i="22"/>
  <c r="P106" i="22"/>
  <c r="Q112" i="22"/>
  <c r="P112" i="22"/>
  <c r="Q118" i="22"/>
  <c r="P118" i="22"/>
  <c r="Q124" i="22"/>
  <c r="P124" i="22"/>
  <c r="P130" i="22"/>
  <c r="Q130" i="22"/>
  <c r="P136" i="22"/>
  <c r="Q136" i="22"/>
  <c r="P142" i="22"/>
  <c r="Q142" i="22"/>
  <c r="P148" i="22"/>
  <c r="Q148" i="22"/>
  <c r="P154" i="22"/>
  <c r="Q154" i="22"/>
  <c r="P160" i="22"/>
  <c r="Q160" i="22"/>
  <c r="P166" i="22"/>
  <c r="Q166" i="22"/>
  <c r="P172" i="22"/>
  <c r="Q172" i="22"/>
  <c r="Q178" i="22"/>
  <c r="P178" i="22"/>
  <c r="Q184" i="22"/>
  <c r="P184" i="22"/>
  <c r="Q190" i="22"/>
  <c r="P190" i="22"/>
  <c r="Q196" i="22"/>
  <c r="P196" i="22"/>
  <c r="AA2" i="22"/>
  <c r="Z2" i="22"/>
  <c r="AA8" i="22"/>
  <c r="Z8" i="22"/>
  <c r="AA14" i="22"/>
  <c r="Z14" i="22"/>
  <c r="AA20" i="22"/>
  <c r="Z20" i="22"/>
  <c r="AA26" i="22"/>
  <c r="Z26" i="22"/>
  <c r="AA32" i="22"/>
  <c r="Z32" i="22"/>
  <c r="AD294" i="30"/>
  <c r="AA38" i="22"/>
  <c r="Z38" i="22"/>
  <c r="AA44" i="22"/>
  <c r="Z44" i="22"/>
  <c r="AA50" i="22"/>
  <c r="Z50" i="22"/>
  <c r="AA56" i="22"/>
  <c r="Z56" i="22"/>
  <c r="AA62" i="22"/>
  <c r="Z62" i="22"/>
  <c r="AA68" i="22"/>
  <c r="Z68" i="22"/>
  <c r="AA74" i="22"/>
  <c r="Z74" i="22"/>
  <c r="AA80" i="22"/>
  <c r="Z80" i="22"/>
  <c r="AA86" i="22"/>
  <c r="Z86" i="22"/>
  <c r="AA92" i="22"/>
  <c r="Z92" i="22"/>
  <c r="AA98" i="22"/>
  <c r="Z98" i="22"/>
  <c r="AA104" i="22"/>
  <c r="Z104" i="22"/>
  <c r="AA110" i="22"/>
  <c r="Z110" i="22"/>
  <c r="AA116" i="22"/>
  <c r="Z116" i="22"/>
  <c r="AA122" i="22"/>
  <c r="Z122" i="22"/>
  <c r="AA128" i="22"/>
  <c r="Z128" i="22"/>
  <c r="AA134" i="22"/>
  <c r="Z134" i="22"/>
  <c r="AA140" i="22"/>
  <c r="Z140" i="22"/>
  <c r="AA146" i="22"/>
  <c r="Z146" i="22"/>
  <c r="AA152" i="22"/>
  <c r="Z152" i="22"/>
  <c r="AA158" i="22"/>
  <c r="Z158" i="22"/>
  <c r="AA164" i="22"/>
  <c r="Z164" i="22"/>
  <c r="AA170" i="22"/>
  <c r="Z170" i="22"/>
  <c r="AA176" i="22"/>
  <c r="Z176" i="22"/>
  <c r="AA182" i="22"/>
  <c r="Z182" i="22"/>
  <c r="AA188" i="22"/>
  <c r="Z188" i="22"/>
  <c r="AA194" i="22"/>
  <c r="Z194" i="22"/>
  <c r="AA200" i="22"/>
  <c r="Z200" i="22"/>
  <c r="F71" i="22"/>
  <c r="G71" i="22"/>
  <c r="F137" i="22"/>
  <c r="G137" i="22"/>
  <c r="F197" i="22"/>
  <c r="G197" i="22"/>
  <c r="Q57" i="22"/>
  <c r="P57" i="22"/>
  <c r="P117" i="22"/>
  <c r="Q117" i="22"/>
  <c r="P183" i="22"/>
  <c r="Q183" i="22"/>
  <c r="AA43" i="22"/>
  <c r="Z43" i="22"/>
  <c r="AA97" i="22"/>
  <c r="Z97" i="22"/>
  <c r="AA151" i="22"/>
  <c r="Z151" i="22"/>
  <c r="F18" i="22"/>
  <c r="G18" i="22"/>
  <c r="F6" i="23"/>
  <c r="G6" i="23"/>
  <c r="F12" i="23"/>
  <c r="G12" i="23"/>
  <c r="F18" i="23"/>
  <c r="G18" i="23"/>
  <c r="F24" i="23"/>
  <c r="G24" i="23"/>
  <c r="F30" i="23"/>
  <c r="G30" i="23"/>
  <c r="F36" i="23"/>
  <c r="G36" i="23"/>
  <c r="F42" i="23"/>
  <c r="G42" i="23"/>
  <c r="F48" i="23"/>
  <c r="G48" i="23"/>
  <c r="F54" i="23"/>
  <c r="G54" i="23"/>
  <c r="F60" i="23"/>
  <c r="G60" i="23"/>
  <c r="F66" i="23"/>
  <c r="G66" i="23"/>
  <c r="F72" i="23"/>
  <c r="G72" i="23"/>
  <c r="F78" i="23"/>
  <c r="G78" i="23"/>
  <c r="F84" i="23"/>
  <c r="G84" i="23"/>
  <c r="F90" i="23"/>
  <c r="G90" i="23"/>
  <c r="F96" i="23"/>
  <c r="G96" i="23"/>
  <c r="F102" i="23"/>
  <c r="G102" i="23"/>
  <c r="F108" i="23"/>
  <c r="G108" i="23"/>
  <c r="F114" i="23"/>
  <c r="G114" i="23"/>
  <c r="F120" i="23"/>
  <c r="G120" i="23"/>
  <c r="F126" i="23"/>
  <c r="G126" i="23"/>
  <c r="F132" i="23"/>
  <c r="G132" i="23"/>
  <c r="F138" i="23"/>
  <c r="G138" i="23"/>
  <c r="F144" i="23"/>
  <c r="G144" i="23"/>
  <c r="F150" i="23"/>
  <c r="G150" i="23"/>
  <c r="F156" i="23"/>
  <c r="G156" i="23"/>
  <c r="F162" i="23"/>
  <c r="G162" i="23"/>
  <c r="F168" i="23"/>
  <c r="G168" i="23"/>
  <c r="F174" i="23"/>
  <c r="G174" i="23"/>
  <c r="F180" i="23"/>
  <c r="G180" i="23"/>
  <c r="F186" i="23"/>
  <c r="G186" i="23"/>
  <c r="F192" i="23"/>
  <c r="G192" i="23"/>
  <c r="F198" i="23"/>
  <c r="G198" i="23"/>
  <c r="Q4" i="23"/>
  <c r="P4" i="23"/>
  <c r="Q10" i="23"/>
  <c r="P10" i="23"/>
  <c r="Q16" i="23"/>
  <c r="P16" i="23"/>
  <c r="Q22" i="23"/>
  <c r="P22" i="23"/>
  <c r="Q28" i="23"/>
  <c r="P28" i="23"/>
  <c r="Q34" i="23"/>
  <c r="P34" i="23"/>
  <c r="Q40" i="23"/>
  <c r="P40" i="23"/>
  <c r="Q46" i="23"/>
  <c r="P46" i="23"/>
  <c r="AD320" i="30"/>
  <c r="Q52" i="23"/>
  <c r="P52" i="23"/>
  <c r="P58" i="23"/>
  <c r="Q58" i="23"/>
  <c r="P64" i="23"/>
  <c r="Q64" i="23"/>
  <c r="P70" i="23"/>
  <c r="Q70" i="23"/>
  <c r="P76" i="23"/>
  <c r="Q76" i="23"/>
  <c r="P82" i="23"/>
  <c r="Q82" i="23"/>
  <c r="P88" i="23"/>
  <c r="Q88" i="23"/>
  <c r="P94" i="23"/>
  <c r="Q94" i="23"/>
  <c r="P100" i="23"/>
  <c r="Q100" i="23"/>
  <c r="P106" i="23"/>
  <c r="Q106" i="23"/>
  <c r="P112" i="23"/>
  <c r="Q112" i="23"/>
  <c r="P118" i="23"/>
  <c r="Q118" i="23"/>
  <c r="P124" i="23"/>
  <c r="Q124" i="23"/>
  <c r="P130" i="23"/>
  <c r="Q130" i="23"/>
  <c r="P136" i="23"/>
  <c r="Q136" i="23"/>
  <c r="P142" i="23"/>
  <c r="Q142" i="23"/>
  <c r="P148" i="23"/>
  <c r="Q148" i="23"/>
  <c r="P154" i="23"/>
  <c r="Q154" i="23"/>
  <c r="P160" i="23"/>
  <c r="Q160" i="23"/>
  <c r="P166" i="23"/>
  <c r="Q166" i="23"/>
  <c r="P172" i="23"/>
  <c r="Q172" i="23"/>
  <c r="P178" i="23"/>
  <c r="Q178" i="23"/>
  <c r="AD314" i="30"/>
  <c r="P184" i="23"/>
  <c r="Q184" i="23"/>
  <c r="P190" i="23"/>
  <c r="Q190" i="23"/>
  <c r="P196" i="23"/>
  <c r="Q196" i="23"/>
  <c r="Z2" i="23"/>
  <c r="AA2" i="23"/>
  <c r="Z8" i="23"/>
  <c r="AA8" i="23"/>
  <c r="Z14" i="23"/>
  <c r="AA14" i="23"/>
  <c r="AA20" i="23"/>
  <c r="Z20" i="23"/>
  <c r="AA26" i="23"/>
  <c r="Z26" i="23"/>
  <c r="AD326" i="30"/>
  <c r="AA32" i="23"/>
  <c r="Z32" i="23"/>
  <c r="AA38" i="23"/>
  <c r="Z38" i="23"/>
  <c r="AA44" i="23"/>
  <c r="Z44" i="23"/>
  <c r="AA50" i="23"/>
  <c r="Z50" i="23"/>
  <c r="AA56" i="23"/>
  <c r="Z56" i="23"/>
  <c r="AA62" i="23"/>
  <c r="Z62" i="23"/>
  <c r="AA68" i="23"/>
  <c r="Z68" i="23"/>
  <c r="AA74" i="23"/>
  <c r="Z74" i="23"/>
  <c r="AA80" i="23"/>
  <c r="Z80" i="23"/>
  <c r="AA86" i="23"/>
  <c r="Z86" i="23"/>
  <c r="AA92" i="23"/>
  <c r="Z92" i="23"/>
  <c r="AA98" i="23"/>
  <c r="Z98" i="23"/>
  <c r="AA104" i="23"/>
  <c r="Z104" i="23"/>
  <c r="AA110" i="23"/>
  <c r="Z110" i="23"/>
  <c r="AA116" i="23"/>
  <c r="Z116" i="23"/>
  <c r="AA122" i="23"/>
  <c r="Z122" i="23"/>
  <c r="AA128" i="23"/>
  <c r="Z128" i="23"/>
  <c r="AA134" i="23"/>
  <c r="Z134" i="23"/>
  <c r="AA140" i="23"/>
  <c r="Z140" i="23"/>
  <c r="AA146" i="23"/>
  <c r="Z146" i="23"/>
  <c r="AA152" i="23"/>
  <c r="Z152" i="23"/>
  <c r="AA158" i="23"/>
  <c r="Z158" i="23"/>
  <c r="AA164" i="23"/>
  <c r="Z164" i="23"/>
  <c r="AA170" i="23"/>
  <c r="Z170" i="23"/>
  <c r="AA176" i="23"/>
  <c r="Z176" i="23"/>
  <c r="AA182" i="23"/>
  <c r="Z182" i="23"/>
  <c r="AA188" i="23"/>
  <c r="Z188" i="23"/>
  <c r="AA194" i="23"/>
  <c r="Z194" i="23"/>
  <c r="AA200" i="23"/>
  <c r="Z200" i="23"/>
  <c r="F17" i="22"/>
  <c r="G17" i="22"/>
  <c r="F89" i="22"/>
  <c r="G89" i="22"/>
  <c r="F155" i="22"/>
  <c r="G155" i="22"/>
  <c r="Q15" i="22"/>
  <c r="P15" i="22"/>
  <c r="Q75" i="22"/>
  <c r="P75" i="22"/>
  <c r="P147" i="22"/>
  <c r="Q147" i="22"/>
  <c r="AA7" i="22"/>
  <c r="Z7" i="22"/>
  <c r="AA73" i="22"/>
  <c r="Z73" i="22"/>
  <c r="AA139" i="22"/>
  <c r="Z139" i="22"/>
  <c r="F7" i="22"/>
  <c r="G7" i="22"/>
  <c r="F19" i="22"/>
  <c r="G19" i="22"/>
  <c r="F31" i="22"/>
  <c r="G31" i="22"/>
  <c r="F43" i="22"/>
  <c r="G43" i="22"/>
  <c r="F55" i="22"/>
  <c r="G55" i="22"/>
  <c r="F67" i="22"/>
  <c r="G67" i="22"/>
  <c r="F79" i="22"/>
  <c r="G79" i="22"/>
  <c r="F85" i="22"/>
  <c r="G85" i="22"/>
  <c r="F91" i="22"/>
  <c r="G91" i="22"/>
  <c r="F97" i="22"/>
  <c r="G97" i="22"/>
  <c r="F103" i="22"/>
  <c r="G103" i="22"/>
  <c r="F109" i="22"/>
  <c r="G109" i="22"/>
  <c r="F115" i="22"/>
  <c r="G115" i="22"/>
  <c r="F121" i="22"/>
  <c r="G121" i="22"/>
  <c r="F127" i="22"/>
  <c r="G127" i="22"/>
  <c r="F133" i="22"/>
  <c r="G133" i="22"/>
  <c r="F139" i="22"/>
  <c r="G139" i="22"/>
  <c r="F145" i="22"/>
  <c r="G145" i="22"/>
  <c r="F151" i="22"/>
  <c r="G151" i="22"/>
  <c r="F157" i="22"/>
  <c r="G157" i="22"/>
  <c r="F163" i="22"/>
  <c r="G163" i="22"/>
  <c r="F169" i="22"/>
  <c r="G169" i="22"/>
  <c r="F175" i="22"/>
  <c r="G175" i="22"/>
  <c r="F181" i="22"/>
  <c r="G181" i="22"/>
  <c r="G187" i="22"/>
  <c r="F187" i="22"/>
  <c r="F193" i="22"/>
  <c r="G193" i="22"/>
  <c r="G199" i="22"/>
  <c r="F199" i="22"/>
  <c r="Q5" i="22"/>
  <c r="P5" i="22"/>
  <c r="Q11" i="22"/>
  <c r="P11" i="22"/>
  <c r="Q17" i="22"/>
  <c r="P17" i="22"/>
  <c r="Q23" i="22"/>
  <c r="P23" i="22"/>
  <c r="Q29" i="22"/>
  <c r="P29" i="22"/>
  <c r="Q35" i="22"/>
  <c r="P35" i="22"/>
  <c r="Q41" i="22"/>
  <c r="P41" i="22"/>
  <c r="Q47" i="22"/>
  <c r="P47" i="22"/>
  <c r="Q53" i="22"/>
  <c r="P53" i="22"/>
  <c r="Q59" i="22"/>
  <c r="P59" i="22"/>
  <c r="Q65" i="22"/>
  <c r="P65" i="22"/>
  <c r="Q71" i="22"/>
  <c r="P71" i="22"/>
  <c r="Q77" i="22"/>
  <c r="P77" i="22"/>
  <c r="Q83" i="22"/>
  <c r="P83" i="22"/>
  <c r="AD287" i="30"/>
  <c r="Q89" i="22"/>
  <c r="P89" i="22"/>
  <c r="Q95" i="22"/>
  <c r="P95" i="22"/>
  <c r="Q101" i="22"/>
  <c r="P101" i="22"/>
  <c r="Q107" i="22"/>
  <c r="P107" i="22"/>
  <c r="Q113" i="22"/>
  <c r="P113" i="22"/>
  <c r="Q119" i="22"/>
  <c r="P119" i="22"/>
  <c r="Q125" i="22"/>
  <c r="P125" i="22"/>
  <c r="Q131" i="22"/>
  <c r="P131" i="22"/>
  <c r="P137" i="22"/>
  <c r="Q137" i="22"/>
  <c r="P143" i="22"/>
  <c r="Q143" i="22"/>
  <c r="P149" i="22"/>
  <c r="Q149" i="22"/>
  <c r="P155" i="22"/>
  <c r="Q155" i="22"/>
  <c r="P161" i="22"/>
  <c r="Q161" i="22"/>
  <c r="P167" i="22"/>
  <c r="Q167" i="22"/>
  <c r="P173" i="22"/>
  <c r="Q173" i="22"/>
  <c r="P179" i="22"/>
  <c r="Q179" i="22"/>
  <c r="P185" i="22"/>
  <c r="Q185" i="22"/>
  <c r="P191" i="22"/>
  <c r="Q191" i="22"/>
  <c r="Q197" i="22"/>
  <c r="P197" i="22"/>
  <c r="AA3" i="22"/>
  <c r="Z3" i="22"/>
  <c r="AA9" i="22"/>
  <c r="Z9" i="22"/>
  <c r="AA15" i="22"/>
  <c r="Z15" i="22"/>
  <c r="AA21" i="22"/>
  <c r="Z21" i="22"/>
  <c r="AA27" i="22"/>
  <c r="Z27" i="22"/>
  <c r="AA33" i="22"/>
  <c r="Z33" i="22"/>
  <c r="AA39" i="22"/>
  <c r="Z39" i="22"/>
  <c r="AA45" i="22"/>
  <c r="Z45" i="22"/>
  <c r="AA51" i="22"/>
  <c r="Z51" i="22"/>
  <c r="AA57" i="22"/>
  <c r="Z57" i="22"/>
  <c r="AA63" i="22"/>
  <c r="Z63" i="22"/>
  <c r="AA69" i="22"/>
  <c r="Z69" i="22"/>
  <c r="AA75" i="22"/>
  <c r="Z75" i="22"/>
  <c r="AA81" i="22"/>
  <c r="Z81" i="22"/>
  <c r="AA87" i="22"/>
  <c r="Z87" i="22"/>
  <c r="AA93" i="22"/>
  <c r="Z93" i="22"/>
  <c r="AA99" i="22"/>
  <c r="Z99" i="22"/>
  <c r="AA105" i="22"/>
  <c r="Z105" i="22"/>
  <c r="AA111" i="22"/>
  <c r="Z111" i="22"/>
  <c r="AA117" i="22"/>
  <c r="Z117" i="22"/>
  <c r="AA123" i="22"/>
  <c r="Z123" i="22"/>
  <c r="AA129" i="22"/>
  <c r="Z129" i="22"/>
  <c r="AA135" i="22"/>
  <c r="Z135" i="22"/>
  <c r="AA141" i="22"/>
  <c r="Z141" i="22"/>
  <c r="AA147" i="22"/>
  <c r="Z147" i="22"/>
  <c r="AA153" i="22"/>
  <c r="Z153" i="22"/>
  <c r="AA159" i="22"/>
  <c r="Z159" i="22"/>
  <c r="AA165" i="22"/>
  <c r="Z165" i="22"/>
  <c r="AA171" i="22"/>
  <c r="Z171" i="22"/>
  <c r="AA177" i="22"/>
  <c r="Z177" i="22"/>
  <c r="AA183" i="22"/>
  <c r="Z183" i="22"/>
  <c r="AD293" i="30"/>
  <c r="AA189" i="22"/>
  <c r="Z189" i="22"/>
  <c r="AA195" i="22"/>
  <c r="Z195" i="22"/>
  <c r="AA201" i="22"/>
  <c r="Z201" i="22"/>
  <c r="F29" i="22"/>
  <c r="G29" i="22"/>
  <c r="F77" i="22"/>
  <c r="G77" i="22"/>
  <c r="F143" i="22"/>
  <c r="G143" i="22"/>
  <c r="Q3" i="22"/>
  <c r="P3" i="22"/>
  <c r="Q69" i="22"/>
  <c r="P69" i="22"/>
  <c r="P135" i="22"/>
  <c r="Q135" i="22"/>
  <c r="P195" i="22"/>
  <c r="Q195" i="22"/>
  <c r="AA55" i="22"/>
  <c r="Z55" i="22"/>
  <c r="AA121" i="22"/>
  <c r="Z121" i="22"/>
  <c r="AA187" i="22"/>
  <c r="Z187" i="22"/>
  <c r="F13" i="22"/>
  <c r="G13" i="22"/>
  <c r="F25" i="22"/>
  <c r="G25" i="22"/>
  <c r="F37" i="22"/>
  <c r="G37" i="22"/>
  <c r="F49" i="22"/>
  <c r="G49" i="22"/>
  <c r="F61" i="22"/>
  <c r="G61" i="22"/>
  <c r="F73" i="22"/>
  <c r="G73" i="22"/>
  <c r="G7" i="23"/>
  <c r="F7" i="23"/>
  <c r="G13" i="23"/>
  <c r="F13" i="23"/>
  <c r="G19" i="23"/>
  <c r="F19" i="23"/>
  <c r="G25" i="23"/>
  <c r="F25" i="23"/>
  <c r="G31" i="23"/>
  <c r="F31" i="23"/>
  <c r="G37" i="23"/>
  <c r="F37" i="23"/>
  <c r="F43" i="23"/>
  <c r="G43" i="23"/>
  <c r="F49" i="23"/>
  <c r="G49" i="23"/>
  <c r="F55" i="23"/>
  <c r="G55" i="23"/>
  <c r="G61" i="23"/>
  <c r="F61" i="23"/>
  <c r="F67" i="23"/>
  <c r="G67" i="23"/>
  <c r="F73" i="23"/>
  <c r="G73" i="23"/>
  <c r="F79" i="23"/>
  <c r="G79" i="23"/>
  <c r="G85" i="23"/>
  <c r="F85" i="23"/>
  <c r="F91" i="23"/>
  <c r="G91" i="23"/>
  <c r="F97" i="23"/>
  <c r="G97" i="23"/>
  <c r="F103" i="23"/>
  <c r="G103" i="23"/>
  <c r="G109" i="23"/>
  <c r="F109" i="23"/>
  <c r="AD307" i="30"/>
  <c r="F115" i="23"/>
  <c r="G115" i="23"/>
  <c r="F121" i="23"/>
  <c r="G121" i="23"/>
  <c r="F127" i="23"/>
  <c r="G127" i="23"/>
  <c r="F133" i="23"/>
  <c r="G133" i="23"/>
  <c r="F139" i="23"/>
  <c r="G139" i="23"/>
  <c r="AD305" i="30"/>
  <c r="F145" i="23"/>
  <c r="G145" i="23"/>
  <c r="F151" i="23"/>
  <c r="G151" i="23"/>
  <c r="F157" i="23"/>
  <c r="G157" i="23"/>
  <c r="F163" i="23"/>
  <c r="G163" i="23"/>
  <c r="F169" i="23"/>
  <c r="G169" i="23"/>
  <c r="F175" i="23"/>
  <c r="G175" i="23"/>
  <c r="F181" i="23"/>
  <c r="G181" i="23"/>
  <c r="F187" i="23"/>
  <c r="G187" i="23"/>
  <c r="AD303" i="30"/>
  <c r="F193" i="23"/>
  <c r="G193" i="23"/>
  <c r="F199" i="23"/>
  <c r="G199" i="23"/>
  <c r="P5" i="23"/>
  <c r="Q5" i="23"/>
  <c r="P11" i="23"/>
  <c r="Q11" i="23"/>
  <c r="P17" i="23"/>
  <c r="Q17" i="23"/>
  <c r="P23" i="23"/>
  <c r="Q23" i="23"/>
  <c r="P29" i="23"/>
  <c r="Q29" i="23"/>
  <c r="P35" i="23"/>
  <c r="Q35" i="23"/>
  <c r="AD322" i="30"/>
  <c r="P41" i="23"/>
  <c r="Q41" i="23"/>
  <c r="P47" i="23"/>
  <c r="Q47" i="23"/>
  <c r="P53" i="23"/>
  <c r="Q53" i="23"/>
  <c r="P59" i="23"/>
  <c r="Q59" i="23"/>
  <c r="P65" i="23"/>
  <c r="Q65" i="23"/>
  <c r="P71" i="23"/>
  <c r="Q71" i="23"/>
  <c r="P77" i="23"/>
  <c r="Q77" i="23"/>
  <c r="P83" i="23"/>
  <c r="Q83" i="23"/>
  <c r="P89" i="23"/>
  <c r="Q89" i="23"/>
  <c r="P95" i="23"/>
  <c r="Q95" i="23"/>
  <c r="P101" i="23"/>
  <c r="Q101" i="23"/>
  <c r="P107" i="23"/>
  <c r="Q107" i="23"/>
  <c r="P113" i="23"/>
  <c r="Q113" i="23"/>
  <c r="P119" i="23"/>
  <c r="Q119" i="23"/>
  <c r="P125" i="23"/>
  <c r="Q125" i="23"/>
  <c r="P131" i="23"/>
  <c r="Q131" i="23"/>
  <c r="P137" i="23"/>
  <c r="Q137" i="23"/>
  <c r="P143" i="23"/>
  <c r="Q143" i="23"/>
  <c r="P149" i="23"/>
  <c r="Q149" i="23"/>
  <c r="P155" i="23"/>
  <c r="Q155" i="23"/>
  <c r="P161" i="23"/>
  <c r="Q161" i="23"/>
  <c r="P167" i="23"/>
  <c r="Q167" i="23"/>
  <c r="P173" i="23"/>
  <c r="Q173" i="23"/>
  <c r="P179" i="23"/>
  <c r="Q179" i="23"/>
  <c r="P185" i="23"/>
  <c r="Q185" i="23"/>
  <c r="P191" i="23"/>
  <c r="Q191" i="23"/>
  <c r="P197" i="23"/>
  <c r="Q197" i="23"/>
  <c r="Z3" i="23"/>
  <c r="AA3" i="23"/>
  <c r="Z9" i="23"/>
  <c r="AA9" i="23"/>
  <c r="Z15" i="23"/>
  <c r="AA15" i="23"/>
  <c r="Z21" i="23"/>
  <c r="AA21" i="23"/>
  <c r="Z27" i="23"/>
  <c r="AA27" i="23"/>
  <c r="Z33" i="23"/>
  <c r="AA33" i="23"/>
  <c r="AD329" i="30"/>
  <c r="Z39" i="23"/>
  <c r="AA39" i="23"/>
  <c r="Z45" i="23"/>
  <c r="AA45" i="23"/>
  <c r="Z51" i="23"/>
  <c r="AA51" i="23"/>
  <c r="Z57" i="23"/>
  <c r="AA57" i="23"/>
  <c r="Z63" i="23"/>
  <c r="AA63" i="23"/>
  <c r="Z69" i="23"/>
  <c r="AA69" i="23"/>
  <c r="Z75" i="23"/>
  <c r="AA75" i="23"/>
  <c r="Z81" i="23"/>
  <c r="AA81" i="23"/>
  <c r="Z87" i="23"/>
  <c r="AA87" i="23"/>
  <c r="Z93" i="23"/>
  <c r="AA93" i="23"/>
  <c r="Z99" i="23"/>
  <c r="AA99" i="23"/>
  <c r="Z105" i="23"/>
  <c r="AA105" i="23"/>
  <c r="Z111" i="23"/>
  <c r="AA111" i="23"/>
  <c r="Z117" i="23"/>
  <c r="AA117" i="23"/>
  <c r="Z123" i="23"/>
  <c r="AA123" i="23"/>
  <c r="Z129" i="23"/>
  <c r="AA129" i="23"/>
  <c r="Z135" i="23"/>
  <c r="AA135" i="23"/>
  <c r="Z141" i="23"/>
  <c r="AA141" i="23"/>
  <c r="AD327" i="30"/>
  <c r="Z147" i="23"/>
  <c r="AA147" i="23"/>
  <c r="Z153" i="23"/>
  <c r="AA153" i="23"/>
  <c r="Z159" i="23"/>
  <c r="AA159" i="23"/>
  <c r="Z165" i="23"/>
  <c r="AA165" i="23"/>
  <c r="Z171" i="23"/>
  <c r="AA171" i="23"/>
  <c r="Z177" i="23"/>
  <c r="AA177" i="23"/>
  <c r="AD323" i="30"/>
  <c r="Z183" i="23"/>
  <c r="AA183" i="23"/>
  <c r="Z189" i="23"/>
  <c r="AA189" i="23"/>
  <c r="Z195" i="23"/>
  <c r="AA195" i="23"/>
  <c r="Z201" i="23"/>
  <c r="AA201" i="23"/>
  <c r="AB55" i="23"/>
  <c r="AC55" i="23" s="1"/>
  <c r="Y123" i="23"/>
  <c r="AB63" i="23"/>
  <c r="AC63" i="23" s="1"/>
  <c r="Y97" i="23"/>
  <c r="Y105" i="23"/>
  <c r="E40" i="23"/>
  <c r="AB47" i="23"/>
  <c r="AC47" i="23" s="1"/>
  <c r="Y74" i="23"/>
  <c r="Y82" i="23"/>
  <c r="R141" i="22"/>
  <c r="S141" i="22" s="1"/>
  <c r="Y93" i="23"/>
  <c r="E127" i="22"/>
  <c r="E123" i="23"/>
  <c r="E14" i="22"/>
  <c r="H30" i="22"/>
  <c r="I30" i="22" s="1"/>
  <c r="O184" i="22"/>
  <c r="O15" i="23"/>
  <c r="Y44" i="23"/>
  <c r="Y52" i="23"/>
  <c r="Y60" i="23"/>
  <c r="Y68" i="23"/>
  <c r="Y84" i="23"/>
  <c r="H132" i="22"/>
  <c r="I132" i="22" s="1"/>
  <c r="E173" i="23"/>
  <c r="Y144" i="23"/>
  <c r="Y160" i="23"/>
  <c r="Y168" i="23"/>
  <c r="Y192" i="23"/>
  <c r="Y200" i="23"/>
  <c r="R152" i="22"/>
  <c r="S152" i="22" s="1"/>
  <c r="O180" i="23"/>
  <c r="O193" i="23"/>
  <c r="Y6" i="23"/>
  <c r="H143" i="23"/>
  <c r="I143" i="23" s="1"/>
  <c r="O21" i="23"/>
  <c r="O50" i="23"/>
  <c r="R122" i="23"/>
  <c r="S122" i="23" s="1"/>
  <c r="O154" i="22"/>
  <c r="Y19" i="23"/>
  <c r="Y103" i="22"/>
  <c r="O112" i="22"/>
  <c r="O155" i="22"/>
  <c r="Y4" i="23"/>
  <c r="R147" i="22"/>
  <c r="S147" i="22" s="1"/>
  <c r="R130" i="22"/>
  <c r="S130" i="22" s="1"/>
  <c r="R143" i="22"/>
  <c r="S143" i="22" s="1"/>
  <c r="H29" i="23"/>
  <c r="I29" i="23" s="1"/>
  <c r="E70" i="23"/>
  <c r="H103" i="23"/>
  <c r="I103" i="23" s="1"/>
  <c r="R54" i="23"/>
  <c r="S54" i="23" s="1"/>
  <c r="R62" i="23"/>
  <c r="S62" i="23" s="1"/>
  <c r="R78" i="23"/>
  <c r="S78" i="23" s="1"/>
  <c r="O20" i="23"/>
  <c r="R44" i="23"/>
  <c r="S44" i="23" s="1"/>
  <c r="Y182" i="23"/>
  <c r="Y190" i="23"/>
  <c r="H124" i="22"/>
  <c r="I124" i="22" s="1"/>
  <c r="H119" i="22"/>
  <c r="I119" i="22" s="1"/>
  <c r="E122" i="22"/>
  <c r="Y95" i="22"/>
  <c r="E158" i="23"/>
  <c r="O16" i="23"/>
  <c r="E10" i="22"/>
  <c r="E18" i="22"/>
  <c r="E90" i="23"/>
  <c r="E99" i="23"/>
  <c r="O140" i="23"/>
  <c r="E45" i="22"/>
  <c r="E53" i="22"/>
  <c r="E146" i="22"/>
  <c r="AB56" i="22"/>
  <c r="AC56" i="22" s="1"/>
  <c r="AB64" i="22"/>
  <c r="AC64" i="22" s="1"/>
  <c r="E15" i="23"/>
  <c r="H25" i="23"/>
  <c r="I25" i="23" s="1"/>
  <c r="E171" i="23"/>
  <c r="O82" i="23"/>
  <c r="R98" i="23"/>
  <c r="S98" i="23" s="1"/>
  <c r="O114" i="23"/>
  <c r="Y33" i="23"/>
  <c r="AB81" i="23"/>
  <c r="AC81" i="23" s="1"/>
  <c r="AB89" i="23"/>
  <c r="AC89" i="23" s="1"/>
  <c r="AB115" i="23"/>
  <c r="AC115" i="23" s="1"/>
  <c r="Y150" i="23"/>
  <c r="E111" i="22"/>
  <c r="Y6" i="22"/>
  <c r="B83" i="20" s="1"/>
  <c r="Y14" i="22"/>
  <c r="AB128" i="22"/>
  <c r="AC128" i="22" s="1"/>
  <c r="E129" i="23"/>
  <c r="H81" i="22"/>
  <c r="I81" i="22" s="1"/>
  <c r="H35" i="22"/>
  <c r="I35" i="22" s="1"/>
  <c r="E64" i="22"/>
  <c r="E101" i="22"/>
  <c r="E152" i="22"/>
  <c r="H168" i="22"/>
  <c r="I168" i="22" s="1"/>
  <c r="E189" i="22"/>
  <c r="AB80" i="22"/>
  <c r="AC80" i="22" s="1"/>
  <c r="O168" i="23"/>
  <c r="Y39" i="23"/>
  <c r="Y87" i="23"/>
  <c r="Y164" i="23"/>
  <c r="H99" i="22"/>
  <c r="I99" i="22" s="1"/>
  <c r="E158" i="22"/>
  <c r="Y15" i="22"/>
  <c r="E114" i="23"/>
  <c r="H119" i="23"/>
  <c r="I119" i="23" s="1"/>
  <c r="E135" i="23"/>
  <c r="E138" i="23"/>
  <c r="O17" i="23"/>
  <c r="O46" i="23"/>
  <c r="Y21" i="23"/>
  <c r="Y61" i="23"/>
  <c r="Y106" i="23"/>
  <c r="Y138" i="23"/>
  <c r="Y154" i="23"/>
  <c r="Y170" i="23"/>
  <c r="H94" i="22"/>
  <c r="I94" i="22" s="1"/>
  <c r="E110" i="22"/>
  <c r="O49" i="22"/>
  <c r="Y31" i="22"/>
  <c r="H143" i="22"/>
  <c r="I143" i="22" s="1"/>
  <c r="O9" i="22"/>
  <c r="O16" i="22"/>
  <c r="O88" i="22"/>
  <c r="O101" i="22"/>
  <c r="O106" i="22"/>
  <c r="O122" i="22"/>
  <c r="AB127" i="22"/>
  <c r="AC127" i="22" s="1"/>
  <c r="AB135" i="22"/>
  <c r="AC135" i="22" s="1"/>
  <c r="H14" i="23"/>
  <c r="I14" i="23" s="1"/>
  <c r="E63" i="23"/>
  <c r="E75" i="23"/>
  <c r="R118" i="23"/>
  <c r="S118" i="23" s="1"/>
  <c r="R126" i="23"/>
  <c r="S126" i="23" s="1"/>
  <c r="O137" i="23"/>
  <c r="AB75" i="23"/>
  <c r="AC75" i="23" s="1"/>
  <c r="H93" i="22"/>
  <c r="I93" i="22" s="1"/>
  <c r="E96" i="22"/>
  <c r="E128" i="22"/>
  <c r="O78" i="22"/>
  <c r="E32" i="23"/>
  <c r="E58" i="23"/>
  <c r="E98" i="23"/>
  <c r="E119" i="23"/>
  <c r="H127" i="23"/>
  <c r="I127" i="23" s="1"/>
  <c r="E177" i="23"/>
  <c r="O13" i="23"/>
  <c r="R26" i="23"/>
  <c r="S26" i="23" s="1"/>
  <c r="Y142" i="23"/>
  <c r="Y152" i="23"/>
  <c r="Y180" i="23"/>
  <c r="H186" i="22"/>
  <c r="I186" i="22" s="1"/>
  <c r="H35" i="23"/>
  <c r="I35" i="23" s="1"/>
  <c r="E69" i="23"/>
  <c r="H83" i="23"/>
  <c r="I83" i="23" s="1"/>
  <c r="E143" i="23"/>
  <c r="O19" i="23"/>
  <c r="R50" i="23"/>
  <c r="S50" i="23" s="1"/>
  <c r="H65" i="22"/>
  <c r="I65" i="22" s="1"/>
  <c r="H134" i="22"/>
  <c r="I134" i="22" s="1"/>
  <c r="R37" i="22"/>
  <c r="S37" i="22" s="1"/>
  <c r="O40" i="22"/>
  <c r="R81" i="22"/>
  <c r="S81" i="22" s="1"/>
  <c r="Y94" i="22"/>
  <c r="H15" i="23"/>
  <c r="I15" i="23" s="1"/>
  <c r="E20" i="23"/>
  <c r="E67" i="23"/>
  <c r="E141" i="23"/>
  <c r="E162" i="23"/>
  <c r="E183" i="23"/>
  <c r="R114" i="23"/>
  <c r="S114" i="23" s="1"/>
  <c r="R130" i="23"/>
  <c r="S130" i="23" s="1"/>
  <c r="O157" i="23"/>
  <c r="Y11" i="23"/>
  <c r="Y16" i="23"/>
  <c r="AB50" i="23"/>
  <c r="AC50" i="23" s="1"/>
  <c r="Y53" i="23"/>
  <c r="AB58" i="23"/>
  <c r="AC58" i="23" s="1"/>
  <c r="Y69" i="23"/>
  <c r="Y158" i="23"/>
  <c r="Y186" i="23"/>
  <c r="Y196" i="23"/>
  <c r="H8" i="22"/>
  <c r="I8" i="22" s="1"/>
  <c r="E19" i="22"/>
  <c r="H29" i="22"/>
  <c r="I29" i="22" s="1"/>
  <c r="E32" i="22"/>
  <c r="E135" i="22"/>
  <c r="E148" i="22"/>
  <c r="O56" i="22"/>
  <c r="O98" i="22"/>
  <c r="R146" i="22"/>
  <c r="S146" i="22" s="1"/>
  <c r="O172" i="22"/>
  <c r="H189" i="23"/>
  <c r="I189" i="23" s="1"/>
  <c r="R33" i="23"/>
  <c r="S33" i="23" s="1"/>
  <c r="O86" i="23"/>
  <c r="O94" i="23"/>
  <c r="O110" i="23"/>
  <c r="R194" i="23"/>
  <c r="S194" i="23" s="1"/>
  <c r="Y51" i="23"/>
  <c r="Y59" i="23"/>
  <c r="Y67" i="23"/>
  <c r="Y166" i="23"/>
  <c r="Y174" i="23"/>
  <c r="Y184" i="23"/>
  <c r="E7" i="22"/>
  <c r="E48" i="22"/>
  <c r="E149" i="22"/>
  <c r="E159" i="22"/>
  <c r="E188" i="22"/>
  <c r="O73" i="22"/>
  <c r="O80" i="22"/>
  <c r="O131" i="22"/>
  <c r="O148" i="22"/>
  <c r="AB136" i="22"/>
  <c r="AC136" i="22" s="1"/>
  <c r="E17" i="23"/>
  <c r="E19" i="23"/>
  <c r="E37" i="23"/>
  <c r="H44" i="23"/>
  <c r="I44" i="23" s="1"/>
  <c r="E59" i="23"/>
  <c r="E79" i="23"/>
  <c r="E87" i="23"/>
  <c r="E97" i="23"/>
  <c r="E137" i="23"/>
  <c r="E157" i="23"/>
  <c r="O36" i="23"/>
  <c r="Y136" i="23"/>
  <c r="R171" i="22"/>
  <c r="S171" i="22" s="1"/>
  <c r="O131" i="23"/>
  <c r="Y29" i="23"/>
  <c r="Y198" i="23"/>
  <c r="E3" i="22"/>
  <c r="E15" i="22"/>
  <c r="H53" i="22"/>
  <c r="I53" i="22" s="1"/>
  <c r="E61" i="22"/>
  <c r="E69" i="22"/>
  <c r="H84" i="22"/>
  <c r="I84" i="22" s="1"/>
  <c r="E117" i="22"/>
  <c r="H147" i="22"/>
  <c r="I147" i="22" s="1"/>
  <c r="H154" i="22"/>
  <c r="I154" i="22" s="1"/>
  <c r="E165" i="22"/>
  <c r="O41" i="22"/>
  <c r="O156" i="22"/>
  <c r="H32" i="23"/>
  <c r="I32" i="23" s="1"/>
  <c r="H95" i="23"/>
  <c r="I95" i="23" s="1"/>
  <c r="E110" i="23"/>
  <c r="E125" i="23"/>
  <c r="E155" i="23"/>
  <c r="E181" i="23"/>
  <c r="O4" i="23"/>
  <c r="O32" i="23"/>
  <c r="O66" i="23"/>
  <c r="AF318" i="30" s="1"/>
  <c r="R162" i="23"/>
  <c r="S162" i="23" s="1"/>
  <c r="Y27" i="23"/>
  <c r="Y37" i="23"/>
  <c r="Y148" i="23"/>
  <c r="O180" i="22"/>
  <c r="Y129" i="23"/>
  <c r="Y146" i="23"/>
  <c r="Y162" i="23"/>
  <c r="Y178" i="23"/>
  <c r="Y194" i="23"/>
  <c r="H74" i="22"/>
  <c r="I74" i="22" s="1"/>
  <c r="H142" i="22"/>
  <c r="I142" i="22" s="1"/>
  <c r="R94" i="22"/>
  <c r="S94" i="22" s="1"/>
  <c r="AB11" i="22"/>
  <c r="AC11" i="22" s="1"/>
  <c r="Y119" i="22"/>
  <c r="E25" i="23"/>
  <c r="H30" i="23"/>
  <c r="I30" i="23" s="1"/>
  <c r="E33" i="23"/>
  <c r="E51" i="23"/>
  <c r="E55" i="23"/>
  <c r="E62" i="23"/>
  <c r="E145" i="23"/>
  <c r="E166" i="23"/>
  <c r="E174" i="23"/>
  <c r="E179" i="23"/>
  <c r="O30" i="23"/>
  <c r="O43" i="23"/>
  <c r="R82" i="23"/>
  <c r="S82" i="23" s="1"/>
  <c r="R152" i="23"/>
  <c r="S152" i="23" s="1"/>
  <c r="Y176" i="23"/>
  <c r="E118" i="22"/>
  <c r="O54" i="22"/>
  <c r="O92" i="22"/>
  <c r="O157" i="22"/>
  <c r="R183" i="22"/>
  <c r="S183" i="22" s="1"/>
  <c r="E46" i="23"/>
  <c r="O98" i="23"/>
  <c r="H106" i="22"/>
  <c r="I106" i="22" s="1"/>
  <c r="H125" i="22"/>
  <c r="I125" i="22" s="1"/>
  <c r="H130" i="22"/>
  <c r="I130" i="22" s="1"/>
  <c r="E151" i="22"/>
  <c r="O15" i="22"/>
  <c r="O105" i="22"/>
  <c r="O173" i="22"/>
  <c r="R181" i="22"/>
  <c r="S181" i="22" s="1"/>
  <c r="O194" i="22"/>
  <c r="E31" i="23"/>
  <c r="E41" i="23"/>
  <c r="E54" i="23"/>
  <c r="H76" i="23"/>
  <c r="I76" i="23" s="1"/>
  <c r="E78" i="23"/>
  <c r="E89" i="23"/>
  <c r="E94" i="23"/>
  <c r="E124" i="23"/>
  <c r="E126" i="23"/>
  <c r="H148" i="23"/>
  <c r="I148" i="23" s="1"/>
  <c r="E151" i="23"/>
  <c r="R36" i="23"/>
  <c r="S36" i="23" s="1"/>
  <c r="R46" i="23"/>
  <c r="S46" i="23" s="1"/>
  <c r="O70" i="23"/>
  <c r="O78" i="23"/>
  <c r="O130" i="23"/>
  <c r="O173" i="23"/>
  <c r="Y23" i="23"/>
  <c r="Y125" i="23"/>
  <c r="Y130" i="23"/>
  <c r="Y140" i="23"/>
  <c r="Y156" i="23"/>
  <c r="Y172" i="23"/>
  <c r="Y188" i="23"/>
  <c r="R18" i="23"/>
  <c r="S18" i="23" s="1"/>
  <c r="H3" i="22"/>
  <c r="I3" i="22" s="1"/>
  <c r="H36" i="22"/>
  <c r="I36" i="22" s="1"/>
  <c r="H58" i="22"/>
  <c r="I58" i="22" s="1"/>
  <c r="E80" i="22"/>
  <c r="H100" i="22"/>
  <c r="I100" i="22" s="1"/>
  <c r="E112" i="22"/>
  <c r="H128" i="22"/>
  <c r="I128" i="22" s="1"/>
  <c r="R178" i="23"/>
  <c r="S178" i="23" s="1"/>
  <c r="E2" i="22"/>
  <c r="E6" i="22"/>
  <c r="H15" i="22"/>
  <c r="I15" i="22" s="1"/>
  <c r="H19" i="22"/>
  <c r="I19" i="22" s="1"/>
  <c r="E24" i="22"/>
  <c r="E73" i="22"/>
  <c r="H83" i="22"/>
  <c r="I83" i="22" s="1"/>
  <c r="E88" i="22"/>
  <c r="H191" i="23"/>
  <c r="I191" i="23" s="1"/>
  <c r="E191" i="23"/>
  <c r="E11" i="22"/>
  <c r="B12" i="20" s="1"/>
  <c r="H24" i="22"/>
  <c r="I24" i="22" s="1"/>
  <c r="E40" i="22"/>
  <c r="H45" i="22"/>
  <c r="I45" i="22" s="1"/>
  <c r="E57" i="22"/>
  <c r="H78" i="22"/>
  <c r="I78" i="22" s="1"/>
  <c r="H88" i="22"/>
  <c r="I88" i="22" s="1"/>
  <c r="H101" i="22"/>
  <c r="I101" i="22" s="1"/>
  <c r="H103" i="22"/>
  <c r="I103" i="22" s="1"/>
  <c r="E106" i="22"/>
  <c r="H122" i="22"/>
  <c r="I122" i="22" s="1"/>
  <c r="R66" i="23"/>
  <c r="S66" i="23" s="1"/>
  <c r="Y116" i="23"/>
  <c r="H150" i="22"/>
  <c r="I150" i="22" s="1"/>
  <c r="E71" i="23"/>
  <c r="E150" i="23"/>
  <c r="R41" i="23"/>
  <c r="S41" i="23" s="1"/>
  <c r="E5" i="22"/>
  <c r="E23" i="22"/>
  <c r="H69" i="22"/>
  <c r="I69" i="22" s="1"/>
  <c r="H118" i="22"/>
  <c r="I118" i="22" s="1"/>
  <c r="H176" i="22"/>
  <c r="I176" i="22" s="1"/>
  <c r="H91" i="23"/>
  <c r="I91" i="23" s="1"/>
  <c r="E91" i="23"/>
  <c r="R150" i="23"/>
  <c r="S150" i="23" s="1"/>
  <c r="Y114" i="23"/>
  <c r="E12" i="22"/>
  <c r="E21" i="22"/>
  <c r="E77" i="22"/>
  <c r="H140" i="22"/>
  <c r="I140" i="22" s="1"/>
  <c r="AB114" i="23"/>
  <c r="AC114" i="23" s="1"/>
  <c r="H135" i="22"/>
  <c r="I135" i="22" s="1"/>
  <c r="H144" i="22"/>
  <c r="I144" i="22" s="1"/>
  <c r="H184" i="22"/>
  <c r="I184" i="22" s="1"/>
  <c r="R5" i="22"/>
  <c r="S5" i="22" s="1"/>
  <c r="R20" i="22"/>
  <c r="S20" i="22" s="1"/>
  <c r="R25" i="22"/>
  <c r="S25" i="22" s="1"/>
  <c r="R83" i="22"/>
  <c r="S83" i="22" s="1"/>
  <c r="R138" i="22"/>
  <c r="S138" i="22" s="1"/>
  <c r="R140" i="22"/>
  <c r="S140" i="22" s="1"/>
  <c r="R144" i="22"/>
  <c r="S144" i="22" s="1"/>
  <c r="AB18" i="22"/>
  <c r="AC18" i="22" s="1"/>
  <c r="AB120" i="22"/>
  <c r="AC120" i="22" s="1"/>
  <c r="H33" i="23"/>
  <c r="I33" i="23" s="1"/>
  <c r="H87" i="23"/>
  <c r="I87" i="23" s="1"/>
  <c r="R106" i="23"/>
  <c r="S106" i="23" s="1"/>
  <c r="Y112" i="23"/>
  <c r="Y119" i="23"/>
  <c r="Y124" i="23"/>
  <c r="H117" i="22"/>
  <c r="I117" i="22" s="1"/>
  <c r="H133" i="22"/>
  <c r="I133" i="22" s="1"/>
  <c r="O12" i="22"/>
  <c r="R14" i="22"/>
  <c r="S14" i="22" s="1"/>
  <c r="R23" i="22"/>
  <c r="S23" i="22" s="1"/>
  <c r="R28" i="22"/>
  <c r="S28" i="22" s="1"/>
  <c r="O50" i="22"/>
  <c r="R59" i="22"/>
  <c r="S59" i="22" s="1"/>
  <c r="R67" i="22"/>
  <c r="S67" i="22" s="1"/>
  <c r="O86" i="22"/>
  <c r="R91" i="22"/>
  <c r="S91" i="22" s="1"/>
  <c r="O130" i="22"/>
  <c r="O136" i="22"/>
  <c r="R151" i="22"/>
  <c r="S151" i="22" s="1"/>
  <c r="O165" i="22"/>
  <c r="O177" i="22"/>
  <c r="Y92" i="22"/>
  <c r="AB123" i="22"/>
  <c r="AC123" i="22" s="1"/>
  <c r="H18" i="23"/>
  <c r="I18" i="23" s="1"/>
  <c r="H22" i="23"/>
  <c r="I22" i="23" s="1"/>
  <c r="E36" i="23"/>
  <c r="H38" i="23"/>
  <c r="I38" i="23" s="1"/>
  <c r="H68" i="23"/>
  <c r="I68" i="23" s="1"/>
  <c r="E140" i="23"/>
  <c r="H155" i="23"/>
  <c r="I155" i="23" s="1"/>
  <c r="E165" i="23"/>
  <c r="E182" i="23"/>
  <c r="E187" i="23"/>
  <c r="O12" i="23"/>
  <c r="O23" i="23"/>
  <c r="R25" i="23"/>
  <c r="S25" i="23" s="1"/>
  <c r="R30" i="23"/>
  <c r="S30" i="23" s="1"/>
  <c r="R86" i="23"/>
  <c r="S86" i="23" s="1"/>
  <c r="R134" i="23"/>
  <c r="S134" i="23" s="1"/>
  <c r="O141" i="23"/>
  <c r="O181" i="23"/>
  <c r="Y35" i="23"/>
  <c r="AB78" i="22"/>
  <c r="AC78" i="22" s="1"/>
  <c r="Y131" i="22"/>
  <c r="E27" i="23"/>
  <c r="E83" i="23"/>
  <c r="E102" i="23"/>
  <c r="E117" i="23"/>
  <c r="E127" i="23"/>
  <c r="E130" i="23"/>
  <c r="E153" i="23"/>
  <c r="E170" i="23"/>
  <c r="E175" i="23"/>
  <c r="E185" i="23"/>
  <c r="R28" i="23"/>
  <c r="S28" i="23" s="1"/>
  <c r="O40" i="23"/>
  <c r="O44" i="23"/>
  <c r="O54" i="23"/>
  <c r="O62" i="23"/>
  <c r="R94" i="23"/>
  <c r="S94" i="23" s="1"/>
  <c r="O151" i="23"/>
  <c r="R186" i="23"/>
  <c r="S186" i="23" s="1"/>
  <c r="AB66" i="23"/>
  <c r="AC66" i="23" s="1"/>
  <c r="AB83" i="23"/>
  <c r="AC83" i="23" s="1"/>
  <c r="H138" i="22"/>
  <c r="I138" i="22" s="1"/>
  <c r="R8" i="22"/>
  <c r="S8" i="22" s="1"/>
  <c r="R21" i="22"/>
  <c r="S21" i="22" s="1"/>
  <c r="R26" i="22"/>
  <c r="S26" i="22" s="1"/>
  <c r="O37" i="22"/>
  <c r="R57" i="22"/>
  <c r="S57" i="22" s="1"/>
  <c r="R89" i="22"/>
  <c r="S89" i="22" s="1"/>
  <c r="R106" i="22"/>
  <c r="S106" i="22" s="1"/>
  <c r="R113" i="22"/>
  <c r="S113" i="22" s="1"/>
  <c r="R121" i="22"/>
  <c r="S121" i="22" s="1"/>
  <c r="O143" i="22"/>
  <c r="R149" i="22"/>
  <c r="S149" i="22" s="1"/>
  <c r="R197" i="22"/>
  <c r="S197" i="22" s="1"/>
  <c r="AB10" i="22"/>
  <c r="AC10" i="22" s="1"/>
  <c r="Y31" i="23"/>
  <c r="Y98" i="23"/>
  <c r="Y132" i="23"/>
  <c r="Y137" i="23"/>
  <c r="Y141" i="23"/>
  <c r="Y143" i="23"/>
  <c r="Y145" i="23"/>
  <c r="Y147" i="23"/>
  <c r="Y149" i="23"/>
  <c r="Y151" i="23"/>
  <c r="Y153" i="23"/>
  <c r="Y155" i="23"/>
  <c r="Y157" i="23"/>
  <c r="Y159" i="23"/>
  <c r="Y161" i="23"/>
  <c r="Y163" i="23"/>
  <c r="Y165" i="23"/>
  <c r="Y167" i="23"/>
  <c r="Y169" i="23"/>
  <c r="Y171" i="23"/>
  <c r="Y173" i="23"/>
  <c r="Y175" i="23"/>
  <c r="Y177" i="23"/>
  <c r="Y179" i="23"/>
  <c r="Y181" i="23"/>
  <c r="Y183" i="23"/>
  <c r="Y185" i="23"/>
  <c r="Y187" i="23"/>
  <c r="Y189" i="23"/>
  <c r="Y191" i="23"/>
  <c r="Y193" i="23"/>
  <c r="Y195" i="23"/>
  <c r="Y197" i="23"/>
  <c r="Y199" i="23"/>
  <c r="Y201" i="23"/>
  <c r="H127" i="22"/>
  <c r="I127" i="22" s="1"/>
  <c r="H149" i="22"/>
  <c r="I149" i="22" s="1"/>
  <c r="H160" i="22"/>
  <c r="I160" i="22" s="1"/>
  <c r="R29" i="22"/>
  <c r="S29" i="22" s="1"/>
  <c r="O68" i="22"/>
  <c r="R75" i="22"/>
  <c r="S75" i="22" s="1"/>
  <c r="R84" i="22"/>
  <c r="S84" i="22" s="1"/>
  <c r="AB52" i="22"/>
  <c r="AC52" i="22" s="1"/>
  <c r="H21" i="23"/>
  <c r="I21" i="23" s="1"/>
  <c r="H42" i="23"/>
  <c r="I42" i="23" s="1"/>
  <c r="H108" i="23"/>
  <c r="I108" i="23" s="1"/>
  <c r="E161" i="23"/>
  <c r="E178" i="23"/>
  <c r="H199" i="23"/>
  <c r="I199" i="23" s="1"/>
  <c r="O38" i="23"/>
  <c r="R102" i="23"/>
  <c r="S102" i="23" s="1"/>
  <c r="O135" i="23"/>
  <c r="R170" i="23"/>
  <c r="S170" i="23" s="1"/>
  <c r="R198" i="23"/>
  <c r="S198" i="23" s="1"/>
  <c r="H136" i="22"/>
  <c r="I136" i="22" s="1"/>
  <c r="R137" i="22"/>
  <c r="S137" i="22" s="1"/>
  <c r="R148" i="22"/>
  <c r="S148" i="22" s="1"/>
  <c r="O152" i="22"/>
  <c r="R154" i="22"/>
  <c r="S154" i="22" s="1"/>
  <c r="AB26" i="22"/>
  <c r="AC26" i="22" s="1"/>
  <c r="O26" i="23"/>
  <c r="R110" i="23"/>
  <c r="S110" i="23" s="1"/>
  <c r="O201" i="23"/>
  <c r="Y101" i="23"/>
  <c r="AB111" i="23"/>
  <c r="AC111" i="23" s="1"/>
  <c r="E150" i="22"/>
  <c r="H151" i="22"/>
  <c r="I151" i="22" s="1"/>
  <c r="E176" i="22"/>
  <c r="E181" i="22"/>
  <c r="R11" i="22"/>
  <c r="S11" i="22" s="1"/>
  <c r="R27" i="22"/>
  <c r="S27" i="22" s="1"/>
  <c r="R34" i="22"/>
  <c r="S34" i="22" s="1"/>
  <c r="O51" i="22"/>
  <c r="R90" i="22"/>
  <c r="S90" i="22" s="1"/>
  <c r="O142" i="22"/>
  <c r="R150" i="22"/>
  <c r="S150" i="22" s="1"/>
  <c r="AB54" i="22"/>
  <c r="AC54" i="22" s="1"/>
  <c r="AB57" i="22"/>
  <c r="AC57" i="22" s="1"/>
  <c r="AB62" i="22"/>
  <c r="AC62" i="22" s="1"/>
  <c r="E43" i="23"/>
  <c r="E47" i="23"/>
  <c r="H60" i="23"/>
  <c r="I60" i="23" s="1"/>
  <c r="E105" i="23"/>
  <c r="E109" i="23"/>
  <c r="AF307" i="30" s="1"/>
  <c r="E116" i="23"/>
  <c r="H124" i="23"/>
  <c r="I124" i="23" s="1"/>
  <c r="E169" i="23"/>
  <c r="E186" i="23"/>
  <c r="O18" i="23"/>
  <c r="R70" i="23"/>
  <c r="S70" i="23" s="1"/>
  <c r="O126" i="23"/>
  <c r="O138" i="23"/>
  <c r="R154" i="23"/>
  <c r="S154" i="23" s="1"/>
  <c r="Y3" i="23"/>
  <c r="Y18" i="23"/>
  <c r="Y25" i="23"/>
  <c r="Y41" i="23"/>
  <c r="AB46" i="23"/>
  <c r="AC46" i="23" s="1"/>
  <c r="Y49" i="23"/>
  <c r="AB54" i="23"/>
  <c r="AC54" i="23" s="1"/>
  <c r="Y57" i="23"/>
  <c r="AB62" i="23"/>
  <c r="AC62" i="23" s="1"/>
  <c r="Y65" i="23"/>
  <c r="AB73" i="23"/>
  <c r="AC73" i="23" s="1"/>
  <c r="Y94" i="23"/>
  <c r="Y109" i="23"/>
  <c r="AB118" i="23"/>
  <c r="AC118" i="23" s="1"/>
  <c r="Y121" i="23"/>
  <c r="Y133" i="23"/>
  <c r="E4" i="22"/>
  <c r="H7" i="22"/>
  <c r="I7" i="22" s="1"/>
  <c r="E13" i="22"/>
  <c r="H16" i="22"/>
  <c r="I16" i="22" s="1"/>
  <c r="E20" i="22"/>
  <c r="H23" i="22"/>
  <c r="I23" i="22" s="1"/>
  <c r="E37" i="22"/>
  <c r="E41" i="22"/>
  <c r="H52" i="22"/>
  <c r="I52" i="22" s="1"/>
  <c r="H56" i="22"/>
  <c r="I56" i="22" s="1"/>
  <c r="H61" i="22"/>
  <c r="I61" i="22" s="1"/>
  <c r="E72" i="22"/>
  <c r="E103" i="22"/>
  <c r="E124" i="22"/>
  <c r="H126" i="22"/>
  <c r="I126" i="22" s="1"/>
  <c r="H152" i="22"/>
  <c r="I152" i="22" s="1"/>
  <c r="E154" i="22"/>
  <c r="H157" i="22"/>
  <c r="I157" i="22" s="1"/>
  <c r="H159" i="22"/>
  <c r="I159" i="22" s="1"/>
  <c r="R2" i="22"/>
  <c r="S2" i="22" s="1"/>
  <c r="R6" i="22"/>
  <c r="S6" i="22" s="1"/>
  <c r="O22" i="22"/>
  <c r="R32" i="22"/>
  <c r="S32" i="22" s="1"/>
  <c r="R43" i="22"/>
  <c r="S43" i="22" s="1"/>
  <c r="O90" i="22"/>
  <c r="R92" i="22"/>
  <c r="S92" i="22" s="1"/>
  <c r="O126" i="22"/>
  <c r="O128" i="22"/>
  <c r="O144" i="22"/>
  <c r="O146" i="22"/>
  <c r="R179" i="22"/>
  <c r="S179" i="22" s="1"/>
  <c r="O198" i="22"/>
  <c r="E23" i="23"/>
  <c r="E96" i="23"/>
  <c r="H96" i="23"/>
  <c r="I96" i="23" s="1"/>
  <c r="AB19" i="22"/>
  <c r="AC19" i="22" s="1"/>
  <c r="H16" i="23"/>
  <c r="I16" i="23" s="1"/>
  <c r="H85" i="22"/>
  <c r="I85" i="22" s="1"/>
  <c r="H104" i="22"/>
  <c r="I104" i="22" s="1"/>
  <c r="H108" i="22"/>
  <c r="I108" i="22" s="1"/>
  <c r="H155" i="22"/>
  <c r="I155" i="22" s="1"/>
  <c r="H195" i="22"/>
  <c r="I195" i="22" s="1"/>
  <c r="R122" i="22"/>
  <c r="S122" i="22" s="1"/>
  <c r="AB72" i="22"/>
  <c r="AC72" i="22" s="1"/>
  <c r="H23" i="23"/>
  <c r="I23" i="23" s="1"/>
  <c r="H36" i="23"/>
  <c r="I36" i="23" s="1"/>
  <c r="H160" i="23"/>
  <c r="I160" i="23" s="1"/>
  <c r="H4" i="22"/>
  <c r="I4" i="22" s="1"/>
  <c r="E8" i="22"/>
  <c r="H11" i="22"/>
  <c r="I11" i="22" s="1"/>
  <c r="E17" i="22"/>
  <c r="H20" i="22"/>
  <c r="I20" i="22" s="1"/>
  <c r="E22" i="22"/>
  <c r="H68" i="22"/>
  <c r="I68" i="22" s="1"/>
  <c r="H72" i="22"/>
  <c r="I72" i="22" s="1"/>
  <c r="H77" i="22"/>
  <c r="I77" i="22" s="1"/>
  <c r="H146" i="22"/>
  <c r="I146" i="22" s="1"/>
  <c r="H148" i="22"/>
  <c r="I148" i="22" s="1"/>
  <c r="H189" i="22"/>
  <c r="I189" i="22" s="1"/>
  <c r="R10" i="22"/>
  <c r="S10" i="22" s="1"/>
  <c r="R17" i="22"/>
  <c r="S17" i="22" s="1"/>
  <c r="R30" i="22"/>
  <c r="S30" i="22" s="1"/>
  <c r="R38" i="22"/>
  <c r="S38" i="22" s="1"/>
  <c r="O150" i="22"/>
  <c r="R189" i="22"/>
  <c r="S189" i="22" s="1"/>
  <c r="AB60" i="22"/>
  <c r="AC60" i="22" s="1"/>
  <c r="H17" i="23"/>
  <c r="I17" i="23" s="1"/>
  <c r="H28" i="23"/>
  <c r="I28" i="23" s="1"/>
  <c r="E28" i="23"/>
  <c r="H34" i="23"/>
  <c r="I34" i="23" s="1"/>
  <c r="H26" i="22"/>
  <c r="I26" i="22" s="1"/>
  <c r="H33" i="22"/>
  <c r="I33" i="22" s="1"/>
  <c r="H37" i="22"/>
  <c r="I37" i="22" s="1"/>
  <c r="H46" i="22"/>
  <c r="I46" i="22" s="1"/>
  <c r="H51" i="22"/>
  <c r="I51" i="22" s="1"/>
  <c r="H90" i="22"/>
  <c r="I90" i="22" s="1"/>
  <c r="H97" i="22"/>
  <c r="I97" i="22" s="1"/>
  <c r="H114" i="22"/>
  <c r="I114" i="22" s="1"/>
  <c r="E116" i="22"/>
  <c r="H137" i="22"/>
  <c r="I137" i="22" s="1"/>
  <c r="E141" i="22"/>
  <c r="E143" i="22"/>
  <c r="R3" i="22"/>
  <c r="S3" i="22" s="1"/>
  <c r="O19" i="22"/>
  <c r="R24" i="22"/>
  <c r="S24" i="22" s="1"/>
  <c r="O38" i="22"/>
  <c r="O82" i="22"/>
  <c r="R86" i="22"/>
  <c r="S86" i="22" s="1"/>
  <c r="O96" i="22"/>
  <c r="R98" i="22"/>
  <c r="S98" i="22" s="1"/>
  <c r="O127" i="22"/>
  <c r="O147" i="22"/>
  <c r="O161" i="22"/>
  <c r="R166" i="22"/>
  <c r="S166" i="22" s="1"/>
  <c r="AB70" i="22"/>
  <c r="AC70" i="22" s="1"/>
  <c r="E24" i="23"/>
  <c r="E128" i="23"/>
  <c r="H128" i="23"/>
  <c r="I128" i="23" s="1"/>
  <c r="H24" i="23"/>
  <c r="I24" i="23" s="1"/>
  <c r="H156" i="23"/>
  <c r="I156" i="23" s="1"/>
  <c r="E29" i="22"/>
  <c r="H42" i="22"/>
  <c r="I42" i="22" s="1"/>
  <c r="H49" i="22"/>
  <c r="I49" i="22" s="1"/>
  <c r="H62" i="22"/>
  <c r="I62" i="22" s="1"/>
  <c r="H67" i="22"/>
  <c r="I67" i="22" s="1"/>
  <c r="E93" i="22"/>
  <c r="E100" i="22"/>
  <c r="H109" i="22"/>
  <c r="I109" i="22" s="1"/>
  <c r="H111" i="22"/>
  <c r="I111" i="22" s="1"/>
  <c r="H115" i="22"/>
  <c r="I115" i="22" s="1"/>
  <c r="H123" i="22"/>
  <c r="I123" i="22" s="1"/>
  <c r="E125" i="22"/>
  <c r="E130" i="22"/>
  <c r="E140" i="22"/>
  <c r="E156" i="22"/>
  <c r="H158" i="22"/>
  <c r="I158" i="22" s="1"/>
  <c r="E160" i="22"/>
  <c r="E173" i="22"/>
  <c r="E184" i="22"/>
  <c r="H190" i="22"/>
  <c r="I190" i="22" s="1"/>
  <c r="R7" i="22"/>
  <c r="S7" i="22" s="1"/>
  <c r="R31" i="22"/>
  <c r="S31" i="22" s="1"/>
  <c r="R33" i="22"/>
  <c r="S33" i="22" s="1"/>
  <c r="O39" i="22"/>
  <c r="O42" i="22"/>
  <c r="O57" i="22"/>
  <c r="O89" i="22"/>
  <c r="O121" i="22"/>
  <c r="O149" i="22"/>
  <c r="O176" i="22"/>
  <c r="H26" i="23"/>
  <c r="I26" i="23" s="1"/>
  <c r="H31" i="23"/>
  <c r="I31" i="23" s="1"/>
  <c r="E95" i="23"/>
  <c r="H136" i="23"/>
  <c r="I136" i="23" s="1"/>
  <c r="E9" i="22"/>
  <c r="H12" i="22"/>
  <c r="I12" i="22" s="1"/>
  <c r="E16" i="22"/>
  <c r="E25" i="22"/>
  <c r="H40" i="22"/>
  <c r="I40" i="22" s="1"/>
  <c r="E56" i="22"/>
  <c r="E85" i="22"/>
  <c r="E89" i="22"/>
  <c r="E104" i="22"/>
  <c r="E108" i="22"/>
  <c r="E120" i="22"/>
  <c r="H129" i="22"/>
  <c r="I129" i="22" s="1"/>
  <c r="E138" i="22"/>
  <c r="H141" i="22"/>
  <c r="I141" i="22" s="1"/>
  <c r="E155" i="22"/>
  <c r="H156" i="22"/>
  <c r="I156" i="22" s="1"/>
  <c r="O13" i="22"/>
  <c r="O18" i="22"/>
  <c r="O65" i="22"/>
  <c r="O97" i="22"/>
  <c r="O138" i="22"/>
  <c r="AB27" i="22"/>
  <c r="AC27" i="22" s="1"/>
  <c r="E16" i="23"/>
  <c r="H52" i="23"/>
  <c r="I52" i="23" s="1"/>
  <c r="R36" i="22"/>
  <c r="S36" i="22" s="1"/>
  <c r="R49" i="22"/>
  <c r="S49" i="22" s="1"/>
  <c r="O84" i="22"/>
  <c r="R105" i="22"/>
  <c r="S105" i="22" s="1"/>
  <c r="O107" i="22"/>
  <c r="O114" i="22"/>
  <c r="O129" i="22"/>
  <c r="R132" i="22"/>
  <c r="S132" i="22" s="1"/>
  <c r="R134" i="22"/>
  <c r="S134" i="22" s="1"/>
  <c r="R136" i="22"/>
  <c r="S136" i="22" s="1"/>
  <c r="R142" i="22"/>
  <c r="S142" i="22" s="1"/>
  <c r="O151" i="22"/>
  <c r="O153" i="22"/>
  <c r="R156" i="22"/>
  <c r="S156" i="22" s="1"/>
  <c r="AB2" i="22"/>
  <c r="AC2" i="22" s="1"/>
  <c r="Y23" i="22"/>
  <c r="Y87" i="22"/>
  <c r="H20" i="23"/>
  <c r="I20" i="23" s="1"/>
  <c r="H27" i="23"/>
  <c r="I27" i="23" s="1"/>
  <c r="H37" i="23"/>
  <c r="I37" i="23" s="1"/>
  <c r="H39" i="23"/>
  <c r="I39" i="23" s="1"/>
  <c r="H88" i="23"/>
  <c r="I88" i="23" s="1"/>
  <c r="E92" i="23"/>
  <c r="E101" i="23"/>
  <c r="E103" i="23"/>
  <c r="E120" i="23"/>
  <c r="H120" i="23"/>
  <c r="I120" i="23" s="1"/>
  <c r="E122" i="23"/>
  <c r="E163" i="23"/>
  <c r="R74" i="23"/>
  <c r="S74" i="23" s="1"/>
  <c r="O74" i="23"/>
  <c r="O122" i="23"/>
  <c r="O139" i="23"/>
  <c r="R141" i="23"/>
  <c r="S141" i="23" s="1"/>
  <c r="H2" i="23"/>
  <c r="I2" i="23" s="1"/>
  <c r="H4" i="23"/>
  <c r="I4" i="23" s="1"/>
  <c r="H6" i="23"/>
  <c r="I6" i="23" s="1"/>
  <c r="H8" i="23"/>
  <c r="I8" i="23" s="1"/>
  <c r="H10" i="23"/>
  <c r="I10" i="23" s="1"/>
  <c r="H12" i="23"/>
  <c r="I12" i="23" s="1"/>
  <c r="E14" i="23"/>
  <c r="E26" i="23"/>
  <c r="E45" i="23"/>
  <c r="E66" i="23"/>
  <c r="E77" i="23"/>
  <c r="E136" i="23"/>
  <c r="H168" i="23"/>
  <c r="I168" i="23" s="1"/>
  <c r="R160" i="23"/>
  <c r="S160" i="23" s="1"/>
  <c r="Y12" i="23"/>
  <c r="AB76" i="23"/>
  <c r="AC76" i="23" s="1"/>
  <c r="Y76" i="23"/>
  <c r="Y110" i="23"/>
  <c r="AB110" i="23"/>
  <c r="AC110" i="23" s="1"/>
  <c r="R35" i="22"/>
  <c r="S35" i="22" s="1"/>
  <c r="R40" i="22"/>
  <c r="S40" i="22" s="1"/>
  <c r="R73" i="22"/>
  <c r="S73" i="22" s="1"/>
  <c r="O81" i="22"/>
  <c r="O94" i="22"/>
  <c r="O117" i="22"/>
  <c r="R135" i="22"/>
  <c r="S135" i="22" s="1"/>
  <c r="O137" i="22"/>
  <c r="O164" i="22"/>
  <c r="O175" i="22"/>
  <c r="O201" i="22"/>
  <c r="AB3" i="22"/>
  <c r="AC3" i="22" s="1"/>
  <c r="Y22" i="22"/>
  <c r="Y77" i="22"/>
  <c r="Y81" i="22"/>
  <c r="Y88" i="22"/>
  <c r="Y139" i="22"/>
  <c r="H19" i="23"/>
  <c r="I19" i="23" s="1"/>
  <c r="E30" i="23"/>
  <c r="E53" i="23"/>
  <c r="E74" i="23"/>
  <c r="H92" i="23"/>
  <c r="I92" i="23" s="1"/>
  <c r="H123" i="23"/>
  <c r="I123" i="23" s="1"/>
  <c r="E134" i="23"/>
  <c r="E152" i="23"/>
  <c r="H152" i="23"/>
  <c r="I152" i="23" s="1"/>
  <c r="E159" i="23"/>
  <c r="R90" i="23"/>
  <c r="S90" i="23" s="1"/>
  <c r="O90" i="23"/>
  <c r="Y113" i="23"/>
  <c r="O141" i="22"/>
  <c r="O145" i="22"/>
  <c r="O169" i="22"/>
  <c r="Y7" i="22"/>
  <c r="Y86" i="22"/>
  <c r="Y142" i="22"/>
  <c r="Y150" i="22"/>
  <c r="E18" i="23"/>
  <c r="E35" i="23"/>
  <c r="E42" i="23"/>
  <c r="E86" i="23"/>
  <c r="H112" i="23"/>
  <c r="I112" i="23" s="1"/>
  <c r="E121" i="23"/>
  <c r="H139" i="23"/>
  <c r="I139" i="23" s="1"/>
  <c r="E139" i="23"/>
  <c r="H164" i="23"/>
  <c r="I164" i="23" s="1"/>
  <c r="H200" i="23"/>
  <c r="I200" i="23" s="1"/>
  <c r="E200" i="23"/>
  <c r="R184" i="23"/>
  <c r="S184" i="23" s="1"/>
  <c r="AB113" i="23"/>
  <c r="AC113" i="23" s="1"/>
  <c r="O160" i="22"/>
  <c r="O178" i="22"/>
  <c r="Y30" i="22"/>
  <c r="Y59" i="22"/>
  <c r="Y96" i="22"/>
  <c r="AB132" i="22"/>
  <c r="AC132" i="22" s="1"/>
  <c r="H3" i="23"/>
  <c r="I3" i="23" s="1"/>
  <c r="H5" i="23"/>
  <c r="I5" i="23" s="1"/>
  <c r="H7" i="23"/>
  <c r="I7" i="23" s="1"/>
  <c r="H9" i="23"/>
  <c r="I9" i="23" s="1"/>
  <c r="H11" i="23"/>
  <c r="I11" i="23" s="1"/>
  <c r="D31" i="20" s="1"/>
  <c r="H13" i="23"/>
  <c r="I13" i="23" s="1"/>
  <c r="E50" i="23"/>
  <c r="E61" i="23"/>
  <c r="E82" i="23"/>
  <c r="E93" i="23"/>
  <c r="H132" i="23"/>
  <c r="I132" i="23" s="1"/>
  <c r="E167" i="23"/>
  <c r="R58" i="23"/>
  <c r="S58" i="23" s="1"/>
  <c r="O58" i="23"/>
  <c r="O106" i="23"/>
  <c r="E22" i="23"/>
  <c r="E34" i="23"/>
  <c r="H115" i="23"/>
  <c r="I115" i="23" s="1"/>
  <c r="E115" i="23"/>
  <c r="E142" i="23"/>
  <c r="E144" i="23"/>
  <c r="H144" i="23"/>
  <c r="I144" i="23" s="1"/>
  <c r="H172" i="23"/>
  <c r="I172" i="23" s="1"/>
  <c r="H196" i="23"/>
  <c r="I196" i="23" s="1"/>
  <c r="E113" i="23"/>
  <c r="AF306" i="30" s="1"/>
  <c r="H116" i="23"/>
  <c r="I116" i="23" s="1"/>
  <c r="E133" i="23"/>
  <c r="H140" i="23"/>
  <c r="I140" i="23" s="1"/>
  <c r="E146" i="23"/>
  <c r="E154" i="23"/>
  <c r="E156" i="23"/>
  <c r="E160" i="23"/>
  <c r="E164" i="23"/>
  <c r="E168" i="23"/>
  <c r="E172" i="23"/>
  <c r="E176" i="23"/>
  <c r="E180" i="23"/>
  <c r="E184" i="23"/>
  <c r="E188" i="23"/>
  <c r="H193" i="23"/>
  <c r="I193" i="23" s="1"/>
  <c r="O5" i="23"/>
  <c r="R32" i="23"/>
  <c r="S32" i="23" s="1"/>
  <c r="R40" i="23"/>
  <c r="S40" i="23" s="1"/>
  <c r="O143" i="23"/>
  <c r="O149" i="23"/>
  <c r="R158" i="23"/>
  <c r="S158" i="23" s="1"/>
  <c r="O177" i="23"/>
  <c r="R182" i="23"/>
  <c r="S182" i="23" s="1"/>
  <c r="AB2" i="23"/>
  <c r="AC2" i="23" s="1"/>
  <c r="Y46" i="23"/>
  <c r="AB51" i="23"/>
  <c r="AC51" i="23" s="1"/>
  <c r="Y54" i="23"/>
  <c r="AB59" i="23"/>
  <c r="AC59" i="23" s="1"/>
  <c r="Y62" i="23"/>
  <c r="AB67" i="23"/>
  <c r="AC67" i="23" s="1"/>
  <c r="Y70" i="23"/>
  <c r="Y78" i="23"/>
  <c r="Y127" i="23"/>
  <c r="Y134" i="23"/>
  <c r="E195" i="23"/>
  <c r="O31" i="23"/>
  <c r="O35" i="23"/>
  <c r="O39" i="23"/>
  <c r="O102" i="23"/>
  <c r="O118" i="23"/>
  <c r="Y102" i="23"/>
  <c r="AB112" i="23"/>
  <c r="AC112" i="23" s="1"/>
  <c r="Y115" i="23"/>
  <c r="E106" i="23"/>
  <c r="E112" i="23"/>
  <c r="E132" i="23"/>
  <c r="E149" i="23"/>
  <c r="H176" i="23"/>
  <c r="I176" i="23" s="1"/>
  <c r="H180" i="23"/>
  <c r="I180" i="23" s="1"/>
  <c r="H184" i="23"/>
  <c r="I184" i="23" s="1"/>
  <c r="H188" i="23"/>
  <c r="I188" i="23" s="1"/>
  <c r="E192" i="23"/>
  <c r="H197" i="23"/>
  <c r="I197" i="23" s="1"/>
  <c r="O8" i="23"/>
  <c r="O134" i="23"/>
  <c r="O144" i="23"/>
  <c r="O159" i="23"/>
  <c r="O161" i="23"/>
  <c r="R166" i="23"/>
  <c r="S166" i="23" s="1"/>
  <c r="O172" i="23"/>
  <c r="O185" i="23"/>
  <c r="R190" i="23"/>
  <c r="S190" i="23" s="1"/>
  <c r="Y9" i="23"/>
  <c r="Y13" i="23"/>
  <c r="Y15" i="23"/>
  <c r="Y47" i="23"/>
  <c r="Y55" i="23"/>
  <c r="Y63" i="23"/>
  <c r="Y71" i="23"/>
  <c r="Y73" i="23"/>
  <c r="Y79" i="23"/>
  <c r="AF328" i="30" s="1"/>
  <c r="Y81" i="23"/>
  <c r="AB90" i="23"/>
  <c r="AC90" i="23" s="1"/>
  <c r="AB117" i="23"/>
  <c r="AC117" i="23" s="1"/>
  <c r="Y128" i="23"/>
  <c r="Y139" i="23"/>
  <c r="H195" i="23"/>
  <c r="I195" i="23" s="1"/>
  <c r="O2" i="23"/>
  <c r="O6" i="23"/>
  <c r="O22" i="23"/>
  <c r="R24" i="23"/>
  <c r="S24" i="23" s="1"/>
  <c r="O152" i="23"/>
  <c r="O165" i="23"/>
  <c r="R168" i="23"/>
  <c r="S168" i="23" s="1"/>
  <c r="O176" i="23"/>
  <c r="O189" i="23"/>
  <c r="Y2" i="23"/>
  <c r="Y50" i="23"/>
  <c r="Y58" i="23"/>
  <c r="Y66" i="23"/>
  <c r="Y77" i="23"/>
  <c r="Y89" i="23"/>
  <c r="Y126" i="23"/>
  <c r="Y135" i="23"/>
  <c r="E118" i="23"/>
  <c r="E148" i="23"/>
  <c r="H192" i="23"/>
  <c r="I192" i="23" s="1"/>
  <c r="E196" i="23"/>
  <c r="E201" i="23"/>
  <c r="R20" i="23"/>
  <c r="S20" i="23" s="1"/>
  <c r="R144" i="23"/>
  <c r="S144" i="23" s="1"/>
  <c r="R146" i="23"/>
  <c r="S146" i="23" s="1"/>
  <c r="O160" i="23"/>
  <c r="O167" i="23"/>
  <c r="O169" i="23"/>
  <c r="R174" i="23"/>
  <c r="S174" i="23" s="1"/>
  <c r="O184" i="23"/>
  <c r="O197" i="23"/>
  <c r="AB13" i="23"/>
  <c r="AC13" i="23" s="1"/>
  <c r="Y20" i="23"/>
  <c r="Y22" i="23"/>
  <c r="Y24" i="23"/>
  <c r="Y26" i="23"/>
  <c r="Y28" i="23"/>
  <c r="Y30" i="23"/>
  <c r="Y32" i="23"/>
  <c r="Y34" i="23"/>
  <c r="Y36" i="23"/>
  <c r="Y38" i="23"/>
  <c r="Y40" i="23"/>
  <c r="Y48" i="23"/>
  <c r="AB53" i="23"/>
  <c r="AC53" i="23" s="1"/>
  <c r="Y56" i="23"/>
  <c r="AB61" i="23"/>
  <c r="AC61" i="23" s="1"/>
  <c r="Y64" i="23"/>
  <c r="AB69" i="23"/>
  <c r="AC69" i="23" s="1"/>
  <c r="Y111" i="23"/>
  <c r="AB116" i="23"/>
  <c r="AC116" i="23" s="1"/>
  <c r="Y120" i="23"/>
  <c r="Y131" i="23"/>
  <c r="E48" i="23"/>
  <c r="E64" i="23"/>
  <c r="E72" i="23"/>
  <c r="E80" i="23"/>
  <c r="H85" i="23"/>
  <c r="I85" i="23" s="1"/>
  <c r="R60" i="23"/>
  <c r="S60" i="23" s="1"/>
  <c r="O60" i="23"/>
  <c r="R76" i="23"/>
  <c r="S76" i="23" s="1"/>
  <c r="O76" i="23"/>
  <c r="R92" i="23"/>
  <c r="S92" i="23" s="1"/>
  <c r="O92" i="23"/>
  <c r="R108" i="23"/>
  <c r="S108" i="23" s="1"/>
  <c r="O108" i="23"/>
  <c r="R124" i="23"/>
  <c r="S124" i="23" s="1"/>
  <c r="O124" i="23"/>
  <c r="H25" i="22"/>
  <c r="I25" i="22" s="1"/>
  <c r="H34" i="22"/>
  <c r="I34" i="22" s="1"/>
  <c r="E38" i="22"/>
  <c r="H41" i="22"/>
  <c r="I41" i="22" s="1"/>
  <c r="H50" i="22"/>
  <c r="I50" i="22" s="1"/>
  <c r="E54" i="22"/>
  <c r="H57" i="22"/>
  <c r="I57" i="22" s="1"/>
  <c r="H66" i="22"/>
  <c r="I66" i="22" s="1"/>
  <c r="E70" i="22"/>
  <c r="H73" i="22"/>
  <c r="I73" i="22" s="1"/>
  <c r="H82" i="22"/>
  <c r="I82" i="22" s="1"/>
  <c r="E86" i="22"/>
  <c r="H89" i="22"/>
  <c r="I89" i="22" s="1"/>
  <c r="H98" i="22"/>
  <c r="I98" i="22" s="1"/>
  <c r="H102" i="22"/>
  <c r="I102" i="22" s="1"/>
  <c r="H105" i="22"/>
  <c r="I105" i="22" s="1"/>
  <c r="E142" i="22"/>
  <c r="E166" i="22"/>
  <c r="E192" i="22"/>
  <c r="O4" i="22"/>
  <c r="O7" i="22"/>
  <c r="O10" i="22"/>
  <c r="R13" i="22"/>
  <c r="S13" i="22" s="1"/>
  <c r="R16" i="22"/>
  <c r="S16" i="22" s="1"/>
  <c r="R19" i="22"/>
  <c r="S19" i="22" s="1"/>
  <c r="R22" i="22"/>
  <c r="S22" i="22" s="1"/>
  <c r="O33" i="22"/>
  <c r="O36" i="22"/>
  <c r="R41" i="22"/>
  <c r="S41" i="22" s="1"/>
  <c r="O46" i="22"/>
  <c r="R51" i="22"/>
  <c r="S51" i="22" s="1"/>
  <c r="O60" i="22"/>
  <c r="O66" i="22"/>
  <c r="O70" i="22"/>
  <c r="O75" i="22"/>
  <c r="R97" i="22"/>
  <c r="S97" i="22" s="1"/>
  <c r="O100" i="22"/>
  <c r="O104" i="22"/>
  <c r="O109" i="22"/>
  <c r="O119" i="22"/>
  <c r="O124" i="22"/>
  <c r="O140" i="22"/>
  <c r="R145" i="22"/>
  <c r="S145" i="22" s="1"/>
  <c r="R155" i="22"/>
  <c r="S155" i="22" s="1"/>
  <c r="R173" i="22"/>
  <c r="S173" i="22" s="1"/>
  <c r="R174" i="22"/>
  <c r="S174" i="22" s="1"/>
  <c r="O186" i="22"/>
  <c r="O190" i="22"/>
  <c r="Y4" i="22"/>
  <c r="AB7" i="22"/>
  <c r="AC7" i="22" s="1"/>
  <c r="Y12" i="22"/>
  <c r="AB15" i="22"/>
  <c r="AC15" i="22" s="1"/>
  <c r="Y20" i="22"/>
  <c r="AB23" i="22"/>
  <c r="AC23" i="22" s="1"/>
  <c r="Y28" i="22"/>
  <c r="AB31" i="22"/>
  <c r="AC31" i="22" s="1"/>
  <c r="AB51" i="22"/>
  <c r="AC51" i="22" s="1"/>
  <c r="Y53" i="22"/>
  <c r="Y55" i="22"/>
  <c r="Y61" i="22"/>
  <c r="Y69" i="22"/>
  <c r="Y73" i="22"/>
  <c r="Y79" i="22"/>
  <c r="AB93" i="22"/>
  <c r="AC93" i="22" s="1"/>
  <c r="Y98" i="22"/>
  <c r="Y144" i="22"/>
  <c r="E38" i="23"/>
  <c r="H43" i="23"/>
  <c r="I43" i="23" s="1"/>
  <c r="H45" i="23"/>
  <c r="I45" i="23" s="1"/>
  <c r="H50" i="23"/>
  <c r="I50" i="23" s="1"/>
  <c r="H51" i="23"/>
  <c r="I51" i="23" s="1"/>
  <c r="H53" i="23"/>
  <c r="I53" i="23" s="1"/>
  <c r="H58" i="23"/>
  <c r="I58" i="23" s="1"/>
  <c r="H59" i="23"/>
  <c r="I59" i="23" s="1"/>
  <c r="H61" i="23"/>
  <c r="I61" i="23" s="1"/>
  <c r="H66" i="23"/>
  <c r="I66" i="23" s="1"/>
  <c r="H67" i="23"/>
  <c r="I67" i="23" s="1"/>
  <c r="H69" i="23"/>
  <c r="I69" i="23" s="1"/>
  <c r="H74" i="23"/>
  <c r="I74" i="23" s="1"/>
  <c r="H75" i="23"/>
  <c r="I75" i="23" s="1"/>
  <c r="H77" i="23"/>
  <c r="I77" i="23" s="1"/>
  <c r="H100" i="23"/>
  <c r="I100" i="23" s="1"/>
  <c r="E104" i="23"/>
  <c r="E107" i="23"/>
  <c r="AF308" i="30" s="1"/>
  <c r="E131" i="23"/>
  <c r="E147" i="23"/>
  <c r="H190" i="23"/>
  <c r="I190" i="23" s="1"/>
  <c r="E190" i="23"/>
  <c r="E56" i="23"/>
  <c r="H10" i="22"/>
  <c r="I10" i="22" s="1"/>
  <c r="H14" i="22"/>
  <c r="I14" i="22" s="1"/>
  <c r="H18" i="22"/>
  <c r="I18" i="22" s="1"/>
  <c r="H22" i="22"/>
  <c r="I22" i="22" s="1"/>
  <c r="H48" i="22"/>
  <c r="I48" i="22" s="1"/>
  <c r="H64" i="22"/>
  <c r="I64" i="22" s="1"/>
  <c r="H80" i="22"/>
  <c r="I80" i="22" s="1"/>
  <c r="H96" i="22"/>
  <c r="I96" i="22" s="1"/>
  <c r="H112" i="22"/>
  <c r="I112" i="22" s="1"/>
  <c r="H116" i="22"/>
  <c r="I116" i="22" s="1"/>
  <c r="E133" i="22"/>
  <c r="E157" i="22"/>
  <c r="E168" i="22"/>
  <c r="H179" i="22"/>
  <c r="I179" i="22" s="1"/>
  <c r="E201" i="22"/>
  <c r="O21" i="22"/>
  <c r="O24" i="22"/>
  <c r="O27" i="22"/>
  <c r="O30" i="22"/>
  <c r="O44" i="22"/>
  <c r="O115" i="22"/>
  <c r="O133" i="22"/>
  <c r="O158" i="22"/>
  <c r="R161" i="22"/>
  <c r="S161" i="22" s="1"/>
  <c r="O188" i="22"/>
  <c r="Y9" i="22"/>
  <c r="Y17" i="22"/>
  <c r="Y25" i="22"/>
  <c r="Y63" i="22"/>
  <c r="Y71" i="22"/>
  <c r="AB89" i="22"/>
  <c r="AC89" i="22" s="1"/>
  <c r="Y101" i="22"/>
  <c r="Y126" i="22"/>
  <c r="AB139" i="22"/>
  <c r="AC139" i="22" s="1"/>
  <c r="E2" i="23"/>
  <c r="E3" i="23"/>
  <c r="E4" i="23"/>
  <c r="E5" i="23"/>
  <c r="E6" i="23"/>
  <c r="E7" i="23"/>
  <c r="E8" i="23"/>
  <c r="E9" i="23"/>
  <c r="E10" i="23"/>
  <c r="E11" i="23"/>
  <c r="E12" i="23"/>
  <c r="E13" i="23"/>
  <c r="E21" i="23"/>
  <c r="E29" i="23"/>
  <c r="H48" i="23"/>
  <c r="I48" i="23" s="1"/>
  <c r="H56" i="23"/>
  <c r="I56" i="23" s="1"/>
  <c r="H64" i="23"/>
  <c r="I64" i="23" s="1"/>
  <c r="H72" i="23"/>
  <c r="I72" i="23" s="1"/>
  <c r="H80" i="23"/>
  <c r="I80" i="23" s="1"/>
  <c r="H107" i="23"/>
  <c r="I107" i="23" s="1"/>
  <c r="H131" i="23"/>
  <c r="I131" i="23" s="1"/>
  <c r="H147" i="23"/>
  <c r="I147" i="23" s="1"/>
  <c r="R3" i="23"/>
  <c r="S3" i="23" s="1"/>
  <c r="R169" i="22"/>
  <c r="S169" i="22" s="1"/>
  <c r="R194" i="22"/>
  <c r="S194" i="22" s="1"/>
  <c r="R198" i="22"/>
  <c r="S198" i="22" s="1"/>
  <c r="AB81" i="22"/>
  <c r="AC81" i="22" s="1"/>
  <c r="AB119" i="22"/>
  <c r="AC119" i="22" s="1"/>
  <c r="E84" i="23"/>
  <c r="H2" i="22"/>
  <c r="I2" i="22" s="1"/>
  <c r="H6" i="22"/>
  <c r="I6" i="22" s="1"/>
  <c r="H32" i="22"/>
  <c r="I32" i="22" s="1"/>
  <c r="E109" i="22"/>
  <c r="E114" i="22"/>
  <c r="E119" i="22"/>
  <c r="E132" i="22"/>
  <c r="H5" i="22"/>
  <c r="I5" i="22" s="1"/>
  <c r="H9" i="22"/>
  <c r="I9" i="22" s="1"/>
  <c r="H13" i="22"/>
  <c r="I13" i="22" s="1"/>
  <c r="H17" i="22"/>
  <c r="I17" i="22" s="1"/>
  <c r="H21" i="22"/>
  <c r="I21" i="22" s="1"/>
  <c r="H28" i="22"/>
  <c r="I28" i="22" s="1"/>
  <c r="E33" i="22"/>
  <c r="H38" i="22"/>
  <c r="I38" i="22" s="1"/>
  <c r="H44" i="22"/>
  <c r="I44" i="22" s="1"/>
  <c r="E49" i="22"/>
  <c r="H54" i="22"/>
  <c r="I54" i="22" s="1"/>
  <c r="H60" i="22"/>
  <c r="I60" i="22" s="1"/>
  <c r="E65" i="22"/>
  <c r="H70" i="22"/>
  <c r="I70" i="22" s="1"/>
  <c r="H76" i="22"/>
  <c r="I76" i="22" s="1"/>
  <c r="E81" i="22"/>
  <c r="H86" i="22"/>
  <c r="I86" i="22" s="1"/>
  <c r="H92" i="22"/>
  <c r="I92" i="22" s="1"/>
  <c r="E97" i="22"/>
  <c r="H110" i="22"/>
  <c r="I110" i="22" s="1"/>
  <c r="H113" i="22"/>
  <c r="I113" i="22" s="1"/>
  <c r="H120" i="22"/>
  <c r="I120" i="22" s="1"/>
  <c r="H131" i="22"/>
  <c r="I131" i="22" s="1"/>
  <c r="E136" i="22"/>
  <c r="H145" i="22"/>
  <c r="I145" i="22" s="1"/>
  <c r="H163" i="22"/>
  <c r="I163" i="22" s="1"/>
  <c r="E174" i="22"/>
  <c r="O3" i="22"/>
  <c r="O6" i="22"/>
  <c r="B52" i="20" s="1"/>
  <c r="R9" i="22"/>
  <c r="S9" i="22" s="1"/>
  <c r="R12" i="22"/>
  <c r="S12" i="22" s="1"/>
  <c r="R15" i="22"/>
  <c r="S15" i="22" s="1"/>
  <c r="R18" i="22"/>
  <c r="S18" i="22" s="1"/>
  <c r="O29" i="22"/>
  <c r="O32" i="22"/>
  <c r="O35" i="22"/>
  <c r="R39" i="22"/>
  <c r="S39" i="22" s="1"/>
  <c r="O43" i="22"/>
  <c r="O59" i="22"/>
  <c r="O63" i="22"/>
  <c r="R65" i="22"/>
  <c r="S65" i="22" s="1"/>
  <c r="O74" i="22"/>
  <c r="O99" i="22"/>
  <c r="O110" i="22"/>
  <c r="R114" i="22"/>
  <c r="S114" i="22" s="1"/>
  <c r="O123" i="22"/>
  <c r="R129" i="22"/>
  <c r="S129" i="22" s="1"/>
  <c r="O135" i="22"/>
  <c r="O139" i="22"/>
  <c r="R153" i="22"/>
  <c r="S153" i="22" s="1"/>
  <c r="O166" i="22"/>
  <c r="O179" i="22"/>
  <c r="R186" i="22"/>
  <c r="S186" i="22" s="1"/>
  <c r="R190" i="22"/>
  <c r="S190" i="22" s="1"/>
  <c r="O197" i="22"/>
  <c r="Y3" i="22"/>
  <c r="Y11" i="22"/>
  <c r="Y19" i="22"/>
  <c r="Y27" i="22"/>
  <c r="Y52" i="22"/>
  <c r="Y60" i="22"/>
  <c r="AB65" i="22"/>
  <c r="AC65" i="22" s="1"/>
  <c r="AB73" i="22"/>
  <c r="AC73" i="22" s="1"/>
  <c r="Y84" i="22"/>
  <c r="Y99" i="22"/>
  <c r="Y107" i="22"/>
  <c r="Y153" i="22"/>
  <c r="E44" i="23"/>
  <c r="E49" i="23"/>
  <c r="E52" i="23"/>
  <c r="E57" i="23"/>
  <c r="E60" i="23"/>
  <c r="E65" i="23"/>
  <c r="E68" i="23"/>
  <c r="E73" i="23"/>
  <c r="E76" i="23"/>
  <c r="E81" i="23"/>
  <c r="H99" i="23"/>
  <c r="I99" i="23" s="1"/>
  <c r="H104" i="23"/>
  <c r="I104" i="23" s="1"/>
  <c r="E108" i="23"/>
  <c r="E111" i="23"/>
  <c r="H135" i="23"/>
  <c r="I135" i="23" s="1"/>
  <c r="H151" i="23"/>
  <c r="I151" i="23" s="1"/>
  <c r="H194" i="23"/>
  <c r="I194" i="23" s="1"/>
  <c r="E194" i="23"/>
  <c r="R14" i="23"/>
  <c r="S14" i="23" s="1"/>
  <c r="E30" i="22"/>
  <c r="E46" i="22"/>
  <c r="E62" i="22"/>
  <c r="E78" i="22"/>
  <c r="E94" i="22"/>
  <c r="E102" i="22"/>
  <c r="H107" i="22"/>
  <c r="I107" i="22" s="1"/>
  <c r="E126" i="22"/>
  <c r="E187" i="22"/>
  <c r="E193" i="22"/>
  <c r="E195" i="22"/>
  <c r="O17" i="22"/>
  <c r="O20" i="22"/>
  <c r="O23" i="22"/>
  <c r="O26" i="22"/>
  <c r="O52" i="22"/>
  <c r="O103" i="22"/>
  <c r="O120" i="22"/>
  <c r="O125" i="22"/>
  <c r="O132" i="22"/>
  <c r="R157" i="22"/>
  <c r="S157" i="22" s="1"/>
  <c r="R158" i="22"/>
  <c r="S158" i="22" s="1"/>
  <c r="O170" i="22"/>
  <c r="O181" i="22"/>
  <c r="O183" i="22"/>
  <c r="O189" i="22"/>
  <c r="O193" i="22"/>
  <c r="Y8" i="22"/>
  <c r="Y16" i="22"/>
  <c r="Y24" i="22"/>
  <c r="Y68" i="22"/>
  <c r="Y76" i="22"/>
  <c r="AB88" i="22"/>
  <c r="AC88" i="22" s="1"/>
  <c r="Y102" i="22"/>
  <c r="Y129" i="22"/>
  <c r="AB131" i="22"/>
  <c r="AC131" i="22" s="1"/>
  <c r="Y148" i="22"/>
  <c r="H40" i="23"/>
  <c r="I40" i="23" s="1"/>
  <c r="H41" i="23"/>
  <c r="I41" i="23" s="1"/>
  <c r="H46" i="23"/>
  <c r="I46" i="23" s="1"/>
  <c r="H47" i="23"/>
  <c r="I47" i="23" s="1"/>
  <c r="H49" i="23"/>
  <c r="I49" i="23" s="1"/>
  <c r="H54" i="23"/>
  <c r="I54" i="23" s="1"/>
  <c r="H55" i="23"/>
  <c r="I55" i="23" s="1"/>
  <c r="H57" i="23"/>
  <c r="I57" i="23" s="1"/>
  <c r="H62" i="23"/>
  <c r="I62" i="23" s="1"/>
  <c r="H63" i="23"/>
  <c r="I63" i="23" s="1"/>
  <c r="H65" i="23"/>
  <c r="I65" i="23" s="1"/>
  <c r="H70" i="23"/>
  <c r="I70" i="23" s="1"/>
  <c r="H71" i="23"/>
  <c r="I71" i="23" s="1"/>
  <c r="H73" i="23"/>
  <c r="I73" i="23" s="1"/>
  <c r="H78" i="23"/>
  <c r="I78" i="23" s="1"/>
  <c r="H79" i="23"/>
  <c r="I79" i="23" s="1"/>
  <c r="H81" i="23"/>
  <c r="I81" i="23" s="1"/>
  <c r="H84" i="23"/>
  <c r="I84" i="23" s="1"/>
  <c r="E88" i="23"/>
  <c r="H111" i="23"/>
  <c r="I111" i="23" s="1"/>
  <c r="H159" i="23"/>
  <c r="I159" i="23" s="1"/>
  <c r="H163" i="23"/>
  <c r="I163" i="23" s="1"/>
  <c r="H121" i="22"/>
  <c r="I121" i="22" s="1"/>
  <c r="H139" i="22"/>
  <c r="I139" i="22" s="1"/>
  <c r="E144" i="22"/>
  <c r="H153" i="22"/>
  <c r="I153" i="22" s="1"/>
  <c r="O5" i="22"/>
  <c r="O8" i="22"/>
  <c r="O11" i="22"/>
  <c r="O14" i="22"/>
  <c r="O47" i="22"/>
  <c r="O67" i="22"/>
  <c r="O71" i="22"/>
  <c r="O76" i="22"/>
  <c r="O174" i="22"/>
  <c r="R177" i="22"/>
  <c r="S177" i="22" s="1"/>
  <c r="Y5" i="22"/>
  <c r="Y13" i="22"/>
  <c r="Y21" i="22"/>
  <c r="Y29" i="22"/>
  <c r="AB86" i="22"/>
  <c r="AC86" i="22" s="1"/>
  <c r="Y93" i="22"/>
  <c r="AB94" i="22"/>
  <c r="AC94" i="22" s="1"/>
  <c r="Y97" i="22"/>
  <c r="Y105" i="22"/>
  <c r="E39" i="23"/>
  <c r="E100" i="23"/>
  <c r="H27" i="22"/>
  <c r="I27" i="22" s="1"/>
  <c r="H43" i="22"/>
  <c r="I43" i="22" s="1"/>
  <c r="H59" i="22"/>
  <c r="I59" i="22" s="1"/>
  <c r="H75" i="22"/>
  <c r="I75" i="22" s="1"/>
  <c r="H91" i="22"/>
  <c r="I91" i="22" s="1"/>
  <c r="E134" i="22"/>
  <c r="H171" i="22"/>
  <c r="I171" i="22" s="1"/>
  <c r="E182" i="22"/>
  <c r="O2" i="22"/>
  <c r="O25" i="22"/>
  <c r="O28" i="22"/>
  <c r="O31" i="22"/>
  <c r="O34" i="22"/>
  <c r="O58" i="22"/>
  <c r="O62" i="22"/>
  <c r="O111" i="22"/>
  <c r="O134" i="22"/>
  <c r="O159" i="22"/>
  <c r="R165" i="22"/>
  <c r="S165" i="22" s="1"/>
  <c r="Y2" i="22"/>
  <c r="Y10" i="22"/>
  <c r="Y18" i="22"/>
  <c r="Y26" i="22"/>
  <c r="Y85" i="22"/>
  <c r="Y89" i="22"/>
  <c r="Y100" i="22"/>
  <c r="Y123" i="22"/>
  <c r="Y134" i="22"/>
  <c r="Y146" i="22"/>
  <c r="E85" i="23"/>
  <c r="H198" i="23"/>
  <c r="I198" i="23" s="1"/>
  <c r="E198" i="23"/>
  <c r="O188" i="23"/>
  <c r="R188" i="23"/>
  <c r="S188" i="23" s="1"/>
  <c r="H167" i="23"/>
  <c r="I167" i="23" s="1"/>
  <c r="H171" i="23"/>
  <c r="I171" i="23" s="1"/>
  <c r="H175" i="23"/>
  <c r="I175" i="23" s="1"/>
  <c r="H179" i="23"/>
  <c r="I179" i="23" s="1"/>
  <c r="H183" i="23"/>
  <c r="I183" i="23" s="1"/>
  <c r="H187" i="23"/>
  <c r="I187" i="23" s="1"/>
  <c r="R29" i="23"/>
  <c r="S29" i="23" s="1"/>
  <c r="R56" i="23"/>
  <c r="S56" i="23" s="1"/>
  <c r="O56" i="23"/>
  <c r="R72" i="23"/>
  <c r="S72" i="23" s="1"/>
  <c r="O72" i="23"/>
  <c r="AF317" i="30" s="1"/>
  <c r="R88" i="23"/>
  <c r="S88" i="23" s="1"/>
  <c r="O88" i="23"/>
  <c r="R104" i="23"/>
  <c r="S104" i="23" s="1"/>
  <c r="O104" i="23"/>
  <c r="R120" i="23"/>
  <c r="S120" i="23" s="1"/>
  <c r="O120" i="23"/>
  <c r="R7" i="23"/>
  <c r="S7" i="23" s="1"/>
  <c r="O7" i="23"/>
  <c r="R9" i="23"/>
  <c r="S9" i="23" s="1"/>
  <c r="H82" i="23"/>
  <c r="I82" i="23" s="1"/>
  <c r="H86" i="23"/>
  <c r="I86" i="23" s="1"/>
  <c r="H90" i="23"/>
  <c r="I90" i="23" s="1"/>
  <c r="H94" i="23"/>
  <c r="I94" i="23" s="1"/>
  <c r="H98" i="23"/>
  <c r="I98" i="23" s="1"/>
  <c r="H102" i="23"/>
  <c r="I102" i="23" s="1"/>
  <c r="H106" i="23"/>
  <c r="I106" i="23" s="1"/>
  <c r="H110" i="23"/>
  <c r="I110" i="23" s="1"/>
  <c r="H114" i="23"/>
  <c r="I114" i="23" s="1"/>
  <c r="H118" i="23"/>
  <c r="I118" i="23" s="1"/>
  <c r="H122" i="23"/>
  <c r="I122" i="23" s="1"/>
  <c r="H126" i="23"/>
  <c r="I126" i="23" s="1"/>
  <c r="H130" i="23"/>
  <c r="I130" i="23" s="1"/>
  <c r="H134" i="23"/>
  <c r="I134" i="23" s="1"/>
  <c r="H138" i="23"/>
  <c r="I138" i="23" s="1"/>
  <c r="H142" i="23"/>
  <c r="I142" i="23" s="1"/>
  <c r="H146" i="23"/>
  <c r="I146" i="23" s="1"/>
  <c r="H150" i="23"/>
  <c r="I150" i="23" s="1"/>
  <c r="H154" i="23"/>
  <c r="I154" i="23" s="1"/>
  <c r="H158" i="23"/>
  <c r="I158" i="23" s="1"/>
  <c r="H162" i="23"/>
  <c r="I162" i="23" s="1"/>
  <c r="H166" i="23"/>
  <c r="I166" i="23" s="1"/>
  <c r="H170" i="23"/>
  <c r="I170" i="23" s="1"/>
  <c r="H174" i="23"/>
  <c r="I174" i="23" s="1"/>
  <c r="H178" i="23"/>
  <c r="I178" i="23" s="1"/>
  <c r="H182" i="23"/>
  <c r="I182" i="23" s="1"/>
  <c r="H186" i="23"/>
  <c r="I186" i="23" s="1"/>
  <c r="E189" i="23"/>
  <c r="E193" i="23"/>
  <c r="E197" i="23"/>
  <c r="R4" i="23"/>
  <c r="S4" i="23" s="1"/>
  <c r="O9" i="23"/>
  <c r="R11" i="23"/>
  <c r="S11" i="23" s="1"/>
  <c r="O11" i="23"/>
  <c r="R13" i="23"/>
  <c r="S13" i="23" s="1"/>
  <c r="R22" i="23"/>
  <c r="S22" i="23" s="1"/>
  <c r="R52" i="23"/>
  <c r="S52" i="23" s="1"/>
  <c r="O52" i="23"/>
  <c r="R68" i="23"/>
  <c r="S68" i="23" s="1"/>
  <c r="O68" i="23"/>
  <c r="R84" i="23"/>
  <c r="S84" i="23" s="1"/>
  <c r="O84" i="23"/>
  <c r="R100" i="23"/>
  <c r="S100" i="23" s="1"/>
  <c r="O100" i="23"/>
  <c r="R116" i="23"/>
  <c r="S116" i="23" s="1"/>
  <c r="O116" i="23"/>
  <c r="H89" i="23"/>
  <c r="I89" i="23" s="1"/>
  <c r="H93" i="23"/>
  <c r="I93" i="23" s="1"/>
  <c r="H97" i="23"/>
  <c r="I97" i="23" s="1"/>
  <c r="H101" i="23"/>
  <c r="I101" i="23" s="1"/>
  <c r="H105" i="23"/>
  <c r="I105" i="23" s="1"/>
  <c r="H109" i="23"/>
  <c r="I109" i="23" s="1"/>
  <c r="H113" i="23"/>
  <c r="I113" i="23" s="1"/>
  <c r="H117" i="23"/>
  <c r="I117" i="23" s="1"/>
  <c r="H121" i="23"/>
  <c r="I121" i="23" s="1"/>
  <c r="H125" i="23"/>
  <c r="I125" i="23" s="1"/>
  <c r="H129" i="23"/>
  <c r="I129" i="23" s="1"/>
  <c r="H133" i="23"/>
  <c r="I133" i="23" s="1"/>
  <c r="H137" i="23"/>
  <c r="I137" i="23" s="1"/>
  <c r="H141" i="23"/>
  <c r="I141" i="23" s="1"/>
  <c r="H145" i="23"/>
  <c r="I145" i="23" s="1"/>
  <c r="H149" i="23"/>
  <c r="I149" i="23" s="1"/>
  <c r="H153" i="23"/>
  <c r="I153" i="23" s="1"/>
  <c r="H157" i="23"/>
  <c r="I157" i="23" s="1"/>
  <c r="H161" i="23"/>
  <c r="I161" i="23" s="1"/>
  <c r="H165" i="23"/>
  <c r="I165" i="23" s="1"/>
  <c r="H169" i="23"/>
  <c r="I169" i="23" s="1"/>
  <c r="H173" i="23"/>
  <c r="I173" i="23" s="1"/>
  <c r="H177" i="23"/>
  <c r="I177" i="23" s="1"/>
  <c r="H181" i="23"/>
  <c r="I181" i="23" s="1"/>
  <c r="H185" i="23"/>
  <c r="I185" i="23" s="1"/>
  <c r="H201" i="23"/>
  <c r="I201" i="23" s="1"/>
  <c r="R6" i="23"/>
  <c r="S6" i="23" s="1"/>
  <c r="D63" i="20" s="1"/>
  <c r="D64" i="20" s="1"/>
  <c r="D65" i="20" s="1"/>
  <c r="D66" i="20" s="1"/>
  <c r="D67" i="20" s="1"/>
  <c r="D68" i="20" s="1"/>
  <c r="D69" i="20" s="1"/>
  <c r="D70" i="20" s="1"/>
  <c r="O10" i="23"/>
  <c r="R48" i="23"/>
  <c r="S48" i="23" s="1"/>
  <c r="R64" i="23"/>
  <c r="S64" i="23" s="1"/>
  <c r="O64" i="23"/>
  <c r="R80" i="23"/>
  <c r="S80" i="23" s="1"/>
  <c r="O80" i="23"/>
  <c r="R96" i="23"/>
  <c r="S96" i="23" s="1"/>
  <c r="O96" i="23"/>
  <c r="R112" i="23"/>
  <c r="S112" i="23" s="1"/>
  <c r="O112" i="23"/>
  <c r="R128" i="23"/>
  <c r="S128" i="23" s="1"/>
  <c r="O128" i="23"/>
  <c r="O156" i="23"/>
  <c r="R156" i="23"/>
  <c r="S156" i="23" s="1"/>
  <c r="E199" i="23"/>
  <c r="O3" i="23"/>
  <c r="R10" i="23"/>
  <c r="S10" i="23" s="1"/>
  <c r="O14" i="23"/>
  <c r="R5" i="23"/>
  <c r="S5" i="23" s="1"/>
  <c r="R19" i="23"/>
  <c r="S19" i="23" s="1"/>
  <c r="O25" i="23"/>
  <c r="R34" i="23"/>
  <c r="S34" i="23" s="1"/>
  <c r="O34" i="23"/>
  <c r="R132" i="23"/>
  <c r="S132" i="23" s="1"/>
  <c r="O132" i="23"/>
  <c r="AB10" i="23"/>
  <c r="AC10" i="23" s="1"/>
  <c r="Y10" i="23"/>
  <c r="O45" i="23"/>
  <c r="O49" i="23"/>
  <c r="R136" i="23"/>
  <c r="S136" i="23" s="1"/>
  <c r="O136" i="23"/>
  <c r="R140" i="23"/>
  <c r="S140" i="23" s="1"/>
  <c r="R145" i="23"/>
  <c r="S145" i="23" s="1"/>
  <c r="R175" i="23"/>
  <c r="S175" i="23" s="1"/>
  <c r="R21" i="23"/>
  <c r="S21" i="23" s="1"/>
  <c r="O53" i="23"/>
  <c r="O57" i="23"/>
  <c r="O61" i="23"/>
  <c r="O65" i="23"/>
  <c r="O69" i="23"/>
  <c r="O73" i="23"/>
  <c r="O77" i="23"/>
  <c r="O81" i="23"/>
  <c r="O85" i="23"/>
  <c r="O89" i="23"/>
  <c r="O93" i="23"/>
  <c r="O97" i="23"/>
  <c r="O101" i="23"/>
  <c r="O105" i="23"/>
  <c r="O109" i="23"/>
  <c r="O113" i="23"/>
  <c r="O117" i="23"/>
  <c r="O121" i="23"/>
  <c r="O125" i="23"/>
  <c r="O129" i="23"/>
  <c r="O196" i="23"/>
  <c r="R196" i="23"/>
  <c r="S196" i="23" s="1"/>
  <c r="R2" i="23"/>
  <c r="S2" i="23" s="1"/>
  <c r="R8" i="23"/>
  <c r="S8" i="23" s="1"/>
  <c r="R12" i="23"/>
  <c r="S12" i="23" s="1"/>
  <c r="R17" i="23"/>
  <c r="S17" i="23" s="1"/>
  <c r="O24" i="23"/>
  <c r="O28" i="23"/>
  <c r="R38" i="23"/>
  <c r="S38" i="23" s="1"/>
  <c r="R43" i="23"/>
  <c r="S43" i="23" s="1"/>
  <c r="R45" i="23"/>
  <c r="S45" i="23" s="1"/>
  <c r="R49" i="23"/>
  <c r="S49" i="23" s="1"/>
  <c r="R53" i="23"/>
  <c r="S53" i="23" s="1"/>
  <c r="R57" i="23"/>
  <c r="S57" i="23" s="1"/>
  <c r="R61" i="23"/>
  <c r="S61" i="23" s="1"/>
  <c r="R65" i="23"/>
  <c r="S65" i="23" s="1"/>
  <c r="R69" i="23"/>
  <c r="S69" i="23" s="1"/>
  <c r="R73" i="23"/>
  <c r="S73" i="23" s="1"/>
  <c r="R77" i="23"/>
  <c r="S77" i="23" s="1"/>
  <c r="R81" i="23"/>
  <c r="S81" i="23" s="1"/>
  <c r="R85" i="23"/>
  <c r="S85" i="23" s="1"/>
  <c r="R89" i="23"/>
  <c r="S89" i="23" s="1"/>
  <c r="R93" i="23"/>
  <c r="S93" i="23" s="1"/>
  <c r="R97" i="23"/>
  <c r="S97" i="23" s="1"/>
  <c r="R101" i="23"/>
  <c r="S101" i="23" s="1"/>
  <c r="R105" i="23"/>
  <c r="S105" i="23" s="1"/>
  <c r="R109" i="23"/>
  <c r="S109" i="23" s="1"/>
  <c r="R113" i="23"/>
  <c r="S113" i="23" s="1"/>
  <c r="R117" i="23"/>
  <c r="S117" i="23" s="1"/>
  <c r="R121" i="23"/>
  <c r="S121" i="23" s="1"/>
  <c r="R125" i="23"/>
  <c r="S125" i="23" s="1"/>
  <c r="R129" i="23"/>
  <c r="S129" i="23" s="1"/>
  <c r="O133" i="23"/>
  <c r="O142" i="23"/>
  <c r="R142" i="23"/>
  <c r="S142" i="23" s="1"/>
  <c r="R15" i="23"/>
  <c r="S15" i="23" s="1"/>
  <c r="R23" i="23"/>
  <c r="S23" i="23" s="1"/>
  <c r="O27" i="23"/>
  <c r="O37" i="23"/>
  <c r="R133" i="23"/>
  <c r="S133" i="23" s="1"/>
  <c r="O148" i="23"/>
  <c r="R148" i="23"/>
  <c r="S148" i="23" s="1"/>
  <c r="R153" i="23"/>
  <c r="S153" i="23" s="1"/>
  <c r="O164" i="23"/>
  <c r="R164" i="23"/>
  <c r="S164" i="23" s="1"/>
  <c r="R172" i="23"/>
  <c r="S172" i="23" s="1"/>
  <c r="R16" i="23"/>
  <c r="S16" i="23" s="1"/>
  <c r="R27" i="23"/>
  <c r="S27" i="23" s="1"/>
  <c r="R37" i="23"/>
  <c r="S37" i="23" s="1"/>
  <c r="R42" i="23"/>
  <c r="S42" i="23" s="1"/>
  <c r="O42" i="23"/>
  <c r="O29" i="23"/>
  <c r="R35" i="23"/>
  <c r="S35" i="23" s="1"/>
  <c r="O48" i="23"/>
  <c r="R31" i="23"/>
  <c r="S31" i="23" s="1"/>
  <c r="R39" i="23"/>
  <c r="S39" i="23" s="1"/>
  <c r="R143" i="23"/>
  <c r="S143" i="23" s="1"/>
  <c r="O145" i="23"/>
  <c r="R151" i="23"/>
  <c r="S151" i="23" s="1"/>
  <c r="O153" i="23"/>
  <c r="R159" i="23"/>
  <c r="S159" i="23" s="1"/>
  <c r="R167" i="23"/>
  <c r="S167" i="23" s="1"/>
  <c r="R179" i="23"/>
  <c r="S179" i="23" s="1"/>
  <c r="O192" i="23"/>
  <c r="R192" i="23"/>
  <c r="S192" i="23" s="1"/>
  <c r="R139" i="23"/>
  <c r="S139" i="23" s="1"/>
  <c r="R183" i="23"/>
  <c r="S183" i="23" s="1"/>
  <c r="O200" i="23"/>
  <c r="R200" i="23"/>
  <c r="S200" i="23" s="1"/>
  <c r="Y7" i="23"/>
  <c r="AB7" i="23"/>
  <c r="AC7" i="23" s="1"/>
  <c r="O147" i="23"/>
  <c r="O155" i="23"/>
  <c r="O163" i="23"/>
  <c r="R171" i="23"/>
  <c r="S171" i="23" s="1"/>
  <c r="R176" i="23"/>
  <c r="S176" i="23" s="1"/>
  <c r="O33" i="23"/>
  <c r="O41" i="23"/>
  <c r="O47" i="23"/>
  <c r="O51" i="23"/>
  <c r="O55" i="23"/>
  <c r="O59" i="23"/>
  <c r="O63" i="23"/>
  <c r="O67" i="23"/>
  <c r="O71" i="23"/>
  <c r="O75" i="23"/>
  <c r="O79" i="23"/>
  <c r="O83" i="23"/>
  <c r="O87" i="23"/>
  <c r="O91" i="23"/>
  <c r="O95" i="23"/>
  <c r="O99" i="23"/>
  <c r="O103" i="23"/>
  <c r="O107" i="23"/>
  <c r="O111" i="23"/>
  <c r="O115" i="23"/>
  <c r="O119" i="23"/>
  <c r="O123" i="23"/>
  <c r="O127" i="23"/>
  <c r="R147" i="23"/>
  <c r="S147" i="23" s="1"/>
  <c r="R155" i="23"/>
  <c r="S155" i="23" s="1"/>
  <c r="R163" i="23"/>
  <c r="S163" i="23" s="1"/>
  <c r="R187" i="23"/>
  <c r="S187" i="23" s="1"/>
  <c r="AB5" i="23"/>
  <c r="AC5" i="23" s="1"/>
  <c r="AB17" i="23"/>
  <c r="AC17" i="23" s="1"/>
  <c r="Y17" i="23"/>
  <c r="R47" i="23"/>
  <c r="S47" i="23" s="1"/>
  <c r="R51" i="23"/>
  <c r="S51" i="23" s="1"/>
  <c r="R55" i="23"/>
  <c r="S55" i="23" s="1"/>
  <c r="R59" i="23"/>
  <c r="S59" i="23" s="1"/>
  <c r="R63" i="23"/>
  <c r="S63" i="23" s="1"/>
  <c r="R67" i="23"/>
  <c r="S67" i="23" s="1"/>
  <c r="R71" i="23"/>
  <c r="S71" i="23" s="1"/>
  <c r="R75" i="23"/>
  <c r="S75" i="23" s="1"/>
  <c r="R79" i="23"/>
  <c r="S79" i="23" s="1"/>
  <c r="R83" i="23"/>
  <c r="S83" i="23" s="1"/>
  <c r="R87" i="23"/>
  <c r="S87" i="23" s="1"/>
  <c r="R91" i="23"/>
  <c r="S91" i="23" s="1"/>
  <c r="R95" i="23"/>
  <c r="S95" i="23" s="1"/>
  <c r="R99" i="23"/>
  <c r="S99" i="23" s="1"/>
  <c r="R103" i="23"/>
  <c r="S103" i="23" s="1"/>
  <c r="R107" i="23"/>
  <c r="S107" i="23" s="1"/>
  <c r="R111" i="23"/>
  <c r="S111" i="23" s="1"/>
  <c r="R115" i="23"/>
  <c r="S115" i="23" s="1"/>
  <c r="R119" i="23"/>
  <c r="S119" i="23" s="1"/>
  <c r="R123" i="23"/>
  <c r="S123" i="23" s="1"/>
  <c r="R127" i="23"/>
  <c r="S127" i="23" s="1"/>
  <c r="R131" i="23"/>
  <c r="S131" i="23" s="1"/>
  <c r="R135" i="23"/>
  <c r="S135" i="23" s="1"/>
  <c r="R138" i="23"/>
  <c r="S138" i="23" s="1"/>
  <c r="R149" i="23"/>
  <c r="S149" i="23" s="1"/>
  <c r="R157" i="23"/>
  <c r="S157" i="23" s="1"/>
  <c r="R180" i="23"/>
  <c r="S180" i="23" s="1"/>
  <c r="R161" i="23"/>
  <c r="S161" i="23" s="1"/>
  <c r="R165" i="23"/>
  <c r="S165" i="23" s="1"/>
  <c r="R169" i="23"/>
  <c r="S169" i="23" s="1"/>
  <c r="R173" i="23"/>
  <c r="S173" i="23" s="1"/>
  <c r="R177" i="23"/>
  <c r="S177" i="23" s="1"/>
  <c r="R181" i="23"/>
  <c r="S181" i="23" s="1"/>
  <c r="R185" i="23"/>
  <c r="S185" i="23" s="1"/>
  <c r="R189" i="23"/>
  <c r="S189" i="23" s="1"/>
  <c r="R193" i="23"/>
  <c r="S193" i="23" s="1"/>
  <c r="R197" i="23"/>
  <c r="S197" i="23" s="1"/>
  <c r="R201" i="23"/>
  <c r="S201" i="23" s="1"/>
  <c r="AB12" i="23"/>
  <c r="AC12" i="23" s="1"/>
  <c r="Y42" i="23"/>
  <c r="O171" i="23"/>
  <c r="O175" i="23"/>
  <c r="O179" i="23"/>
  <c r="O183" i="23"/>
  <c r="O187" i="23"/>
  <c r="O191" i="23"/>
  <c r="O195" i="23"/>
  <c r="O199" i="23"/>
  <c r="AB42" i="23"/>
  <c r="AC42" i="23" s="1"/>
  <c r="Y45" i="23"/>
  <c r="AB14" i="23"/>
  <c r="AC14" i="23" s="1"/>
  <c r="AB45" i="23"/>
  <c r="AC45" i="23" s="1"/>
  <c r="R137" i="23"/>
  <c r="S137" i="23" s="1"/>
  <c r="O146" i="23"/>
  <c r="O150" i="23"/>
  <c r="O154" i="23"/>
  <c r="O158" i="23"/>
  <c r="O162" i="23"/>
  <c r="O166" i="23"/>
  <c r="O170" i="23"/>
  <c r="O174" i="23"/>
  <c r="O178" i="23"/>
  <c r="O182" i="23"/>
  <c r="O186" i="23"/>
  <c r="O190" i="23"/>
  <c r="O194" i="23"/>
  <c r="O198" i="23"/>
  <c r="AF313" i="30" s="1"/>
  <c r="Y14" i="23"/>
  <c r="AB18" i="23"/>
  <c r="AC18" i="23" s="1"/>
  <c r="AB80" i="23"/>
  <c r="AC80" i="23" s="1"/>
  <c r="Y80" i="23"/>
  <c r="R191" i="23"/>
  <c r="S191" i="23" s="1"/>
  <c r="R195" i="23"/>
  <c r="S195" i="23" s="1"/>
  <c r="R199" i="23"/>
  <c r="S199" i="23" s="1"/>
  <c r="AB4" i="23"/>
  <c r="AC4" i="23" s="1"/>
  <c r="AB6" i="23"/>
  <c r="AC6" i="23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AB9" i="23"/>
  <c r="AC9" i="23" s="1"/>
  <c r="AB43" i="23"/>
  <c r="AC43" i="23" s="1"/>
  <c r="AB8" i="23"/>
  <c r="AC8" i="23" s="1"/>
  <c r="AB11" i="23"/>
  <c r="AC11" i="23" s="1"/>
  <c r="AB3" i="23"/>
  <c r="AC3" i="23" s="1"/>
  <c r="Y5" i="23"/>
  <c r="Y8" i="23"/>
  <c r="AB15" i="23"/>
  <c r="AC15" i="23" s="1"/>
  <c r="AB20" i="23"/>
  <c r="AC20" i="23" s="1"/>
  <c r="AB22" i="23"/>
  <c r="AC22" i="23" s="1"/>
  <c r="AB24" i="23"/>
  <c r="AC24" i="23" s="1"/>
  <c r="AB26" i="23"/>
  <c r="AC26" i="23" s="1"/>
  <c r="AB28" i="23"/>
  <c r="AC28" i="23" s="1"/>
  <c r="AB30" i="23"/>
  <c r="AC30" i="23" s="1"/>
  <c r="AB32" i="23"/>
  <c r="AC32" i="23" s="1"/>
  <c r="AB34" i="23"/>
  <c r="AC34" i="23" s="1"/>
  <c r="AB36" i="23"/>
  <c r="AC36" i="23" s="1"/>
  <c r="AB38" i="23"/>
  <c r="AC38" i="23" s="1"/>
  <c r="AB40" i="23"/>
  <c r="AC40" i="23" s="1"/>
  <c r="Y43" i="23"/>
  <c r="AB48" i="23"/>
  <c r="AC48" i="23" s="1"/>
  <c r="AB56" i="23"/>
  <c r="AC56" i="23" s="1"/>
  <c r="AB64" i="23"/>
  <c r="AC64" i="23" s="1"/>
  <c r="AB72" i="23"/>
  <c r="AC72" i="23" s="1"/>
  <c r="Y72" i="23"/>
  <c r="AB122" i="23"/>
  <c r="AC122" i="23" s="1"/>
  <c r="AB19" i="23"/>
  <c r="AC19" i="23" s="1"/>
  <c r="AB41" i="23"/>
  <c r="AC41" i="23" s="1"/>
  <c r="AB49" i="23"/>
  <c r="AC49" i="23" s="1"/>
  <c r="AB57" i="23"/>
  <c r="AC57" i="23" s="1"/>
  <c r="AB65" i="23"/>
  <c r="AC65" i="23" s="1"/>
  <c r="AB88" i="23"/>
  <c r="AC88" i="23" s="1"/>
  <c r="Y88" i="23"/>
  <c r="AF331" i="30" s="1"/>
  <c r="AB16" i="23"/>
  <c r="AC16" i="23" s="1"/>
  <c r="AB21" i="23"/>
  <c r="AC21" i="23" s="1"/>
  <c r="AB23" i="23"/>
  <c r="AC23" i="23" s="1"/>
  <c r="AB25" i="23"/>
  <c r="AC25" i="23" s="1"/>
  <c r="AB27" i="23"/>
  <c r="AC27" i="23" s="1"/>
  <c r="AB29" i="23"/>
  <c r="AC29" i="23" s="1"/>
  <c r="AB31" i="23"/>
  <c r="AC31" i="23" s="1"/>
  <c r="AB33" i="23"/>
  <c r="AC33" i="23" s="1"/>
  <c r="AB35" i="23"/>
  <c r="AC35" i="23" s="1"/>
  <c r="AB37" i="23"/>
  <c r="AC37" i="23" s="1"/>
  <c r="AB39" i="23"/>
  <c r="AC39" i="23" s="1"/>
  <c r="AB44" i="23"/>
  <c r="AC44" i="23" s="1"/>
  <c r="AB52" i="23"/>
  <c r="AC52" i="23" s="1"/>
  <c r="AB60" i="23"/>
  <c r="AC60" i="23" s="1"/>
  <c r="AB68" i="23"/>
  <c r="AC68" i="23" s="1"/>
  <c r="AB74" i="23"/>
  <c r="AC74" i="23" s="1"/>
  <c r="AB82" i="23"/>
  <c r="AC82" i="23" s="1"/>
  <c r="AB93" i="23"/>
  <c r="AC93" i="23" s="1"/>
  <c r="AB97" i="23"/>
  <c r="AC97" i="23" s="1"/>
  <c r="AB101" i="23"/>
  <c r="AC101" i="23" s="1"/>
  <c r="AB105" i="23"/>
  <c r="AC105" i="23" s="1"/>
  <c r="AB109" i="23"/>
  <c r="AC109" i="23" s="1"/>
  <c r="Y86" i="23"/>
  <c r="AB92" i="23"/>
  <c r="AC92" i="23" s="1"/>
  <c r="AB96" i="23"/>
  <c r="AC96" i="23" s="1"/>
  <c r="AB100" i="23"/>
  <c r="AC100" i="23" s="1"/>
  <c r="AB104" i="23"/>
  <c r="AC104" i="23" s="1"/>
  <c r="AB108" i="23"/>
  <c r="AC108" i="23" s="1"/>
  <c r="AB71" i="23"/>
  <c r="AC71" i="23" s="1"/>
  <c r="AB79" i="23"/>
  <c r="AC79" i="23" s="1"/>
  <c r="Y85" i="23"/>
  <c r="AB87" i="23"/>
  <c r="AC87" i="23" s="1"/>
  <c r="Y92" i="23"/>
  <c r="Y96" i="23"/>
  <c r="Y100" i="23"/>
  <c r="Y104" i="23"/>
  <c r="Y108" i="23"/>
  <c r="AB70" i="23"/>
  <c r="AC70" i="23" s="1"/>
  <c r="AB78" i="23"/>
  <c r="AC78" i="23" s="1"/>
  <c r="AB86" i="23"/>
  <c r="AC86" i="23" s="1"/>
  <c r="AB91" i="23"/>
  <c r="AC91" i="23" s="1"/>
  <c r="AB95" i="23"/>
  <c r="AC95" i="23" s="1"/>
  <c r="AB99" i="23"/>
  <c r="AC99" i="23" s="1"/>
  <c r="AB103" i="23"/>
  <c r="AC103" i="23" s="1"/>
  <c r="AB107" i="23"/>
  <c r="AC107" i="23" s="1"/>
  <c r="Y75" i="23"/>
  <c r="AB77" i="23"/>
  <c r="AC77" i="23" s="1"/>
  <c r="Y83" i="23"/>
  <c r="AB85" i="23"/>
  <c r="AC85" i="23" s="1"/>
  <c r="Y91" i="23"/>
  <c r="Y95" i="23"/>
  <c r="Y99" i="23"/>
  <c r="Y103" i="23"/>
  <c r="Y107" i="23"/>
  <c r="AB84" i="23"/>
  <c r="AC84" i="23" s="1"/>
  <c r="Y90" i="23"/>
  <c r="AB94" i="23"/>
  <c r="AC94" i="23" s="1"/>
  <c r="AB98" i="23"/>
  <c r="AC98" i="23" s="1"/>
  <c r="AB102" i="23"/>
  <c r="AC102" i="23" s="1"/>
  <c r="AB106" i="23"/>
  <c r="AC106" i="23" s="1"/>
  <c r="AB119" i="23"/>
  <c r="AC119" i="23" s="1"/>
  <c r="AB124" i="23"/>
  <c r="AC124" i="23" s="1"/>
  <c r="AB126" i="23"/>
  <c r="AC126" i="23" s="1"/>
  <c r="AB128" i="23"/>
  <c r="AC128" i="23" s="1"/>
  <c r="AB130" i="23"/>
  <c r="AC130" i="23" s="1"/>
  <c r="AB132" i="23"/>
  <c r="AC132" i="23" s="1"/>
  <c r="AB134" i="23"/>
  <c r="AC134" i="23" s="1"/>
  <c r="AB136" i="23"/>
  <c r="AC136" i="23" s="1"/>
  <c r="AB138" i="23"/>
  <c r="AC138" i="23" s="1"/>
  <c r="AB140" i="23"/>
  <c r="AC140" i="23" s="1"/>
  <c r="AB142" i="23"/>
  <c r="AC142" i="23" s="1"/>
  <c r="AB144" i="23"/>
  <c r="AC144" i="23" s="1"/>
  <c r="AB146" i="23"/>
  <c r="AC146" i="23" s="1"/>
  <c r="AB148" i="23"/>
  <c r="AC148" i="23" s="1"/>
  <c r="AB150" i="23"/>
  <c r="AC150" i="23" s="1"/>
  <c r="AB152" i="23"/>
  <c r="AC152" i="23" s="1"/>
  <c r="AB154" i="23"/>
  <c r="AC154" i="23" s="1"/>
  <c r="AB156" i="23"/>
  <c r="AC156" i="23" s="1"/>
  <c r="AB158" i="23"/>
  <c r="AC158" i="23" s="1"/>
  <c r="AB160" i="23"/>
  <c r="AC160" i="23" s="1"/>
  <c r="AB162" i="23"/>
  <c r="AC162" i="23" s="1"/>
  <c r="AB164" i="23"/>
  <c r="AC164" i="23" s="1"/>
  <c r="AB166" i="23"/>
  <c r="AC166" i="23" s="1"/>
  <c r="AB168" i="23"/>
  <c r="AC168" i="23" s="1"/>
  <c r="AB170" i="23"/>
  <c r="AC170" i="23" s="1"/>
  <c r="AB172" i="23"/>
  <c r="AC172" i="23" s="1"/>
  <c r="AB174" i="23"/>
  <c r="AC174" i="23" s="1"/>
  <c r="AB176" i="23"/>
  <c r="AC176" i="23" s="1"/>
  <c r="AB178" i="23"/>
  <c r="AC178" i="23" s="1"/>
  <c r="AB180" i="23"/>
  <c r="AC180" i="23" s="1"/>
  <c r="AB182" i="23"/>
  <c r="AC182" i="23" s="1"/>
  <c r="AB184" i="23"/>
  <c r="AC184" i="23" s="1"/>
  <c r="AB186" i="23"/>
  <c r="AC186" i="23" s="1"/>
  <c r="AB188" i="23"/>
  <c r="AC188" i="23" s="1"/>
  <c r="AB190" i="23"/>
  <c r="AC190" i="23" s="1"/>
  <c r="AB192" i="23"/>
  <c r="AC192" i="23" s="1"/>
  <c r="AB194" i="23"/>
  <c r="AC194" i="23" s="1"/>
  <c r="AB196" i="23"/>
  <c r="AC196" i="23" s="1"/>
  <c r="AB198" i="23"/>
  <c r="AC198" i="23" s="1"/>
  <c r="AB200" i="23"/>
  <c r="AC200" i="23" s="1"/>
  <c r="Y118" i="23"/>
  <c r="AB121" i="23"/>
  <c r="AC121" i="23" s="1"/>
  <c r="AB123" i="23"/>
  <c r="AC123" i="23" s="1"/>
  <c r="AB125" i="23"/>
  <c r="AC125" i="23" s="1"/>
  <c r="AB127" i="23"/>
  <c r="AC127" i="23" s="1"/>
  <c r="AB129" i="23"/>
  <c r="AC129" i="23" s="1"/>
  <c r="AB131" i="23"/>
  <c r="AC131" i="23" s="1"/>
  <c r="AB133" i="23"/>
  <c r="AC133" i="23" s="1"/>
  <c r="AB135" i="23"/>
  <c r="AC135" i="23" s="1"/>
  <c r="AB137" i="23"/>
  <c r="AC137" i="23" s="1"/>
  <c r="AB139" i="23"/>
  <c r="AC139" i="23" s="1"/>
  <c r="AB141" i="23"/>
  <c r="AC141" i="23" s="1"/>
  <c r="AB143" i="23"/>
  <c r="AC143" i="23" s="1"/>
  <c r="AB145" i="23"/>
  <c r="AC145" i="23" s="1"/>
  <c r="AB147" i="23"/>
  <c r="AC147" i="23" s="1"/>
  <c r="AB149" i="23"/>
  <c r="AC149" i="23" s="1"/>
  <c r="AB151" i="23"/>
  <c r="AC151" i="23" s="1"/>
  <c r="AB153" i="23"/>
  <c r="AC153" i="23" s="1"/>
  <c r="AB155" i="23"/>
  <c r="AC155" i="23" s="1"/>
  <c r="AB157" i="23"/>
  <c r="AC157" i="23" s="1"/>
  <c r="AB159" i="23"/>
  <c r="AC159" i="23" s="1"/>
  <c r="AB161" i="23"/>
  <c r="AC161" i="23" s="1"/>
  <c r="AB163" i="23"/>
  <c r="AC163" i="23" s="1"/>
  <c r="AB165" i="23"/>
  <c r="AC165" i="23" s="1"/>
  <c r="AB167" i="23"/>
  <c r="AC167" i="23" s="1"/>
  <c r="AB169" i="23"/>
  <c r="AC169" i="23" s="1"/>
  <c r="AB171" i="23"/>
  <c r="AC171" i="23" s="1"/>
  <c r="AB173" i="23"/>
  <c r="AC173" i="23" s="1"/>
  <c r="AB175" i="23"/>
  <c r="AC175" i="23" s="1"/>
  <c r="AB177" i="23"/>
  <c r="AC177" i="23" s="1"/>
  <c r="AB179" i="23"/>
  <c r="AC179" i="23" s="1"/>
  <c r="AB181" i="23"/>
  <c r="AC181" i="23" s="1"/>
  <c r="AB183" i="23"/>
  <c r="AC183" i="23" s="1"/>
  <c r="AB185" i="23"/>
  <c r="AC185" i="23" s="1"/>
  <c r="AB187" i="23"/>
  <c r="AC187" i="23" s="1"/>
  <c r="AB189" i="23"/>
  <c r="AC189" i="23" s="1"/>
  <c r="AB191" i="23"/>
  <c r="AC191" i="23" s="1"/>
  <c r="AB193" i="23"/>
  <c r="AC193" i="23" s="1"/>
  <c r="AB195" i="23"/>
  <c r="AC195" i="23" s="1"/>
  <c r="AB197" i="23"/>
  <c r="AC197" i="23" s="1"/>
  <c r="AB199" i="23"/>
  <c r="AC199" i="23" s="1"/>
  <c r="AB201" i="23"/>
  <c r="AC201" i="23" s="1"/>
  <c r="Y117" i="23"/>
  <c r="AB120" i="23"/>
  <c r="AC120" i="23" s="1"/>
  <c r="Y122" i="23"/>
  <c r="H167" i="22"/>
  <c r="I167" i="22" s="1"/>
  <c r="E167" i="22"/>
  <c r="H175" i="22"/>
  <c r="I175" i="22" s="1"/>
  <c r="E175" i="22"/>
  <c r="H183" i="22"/>
  <c r="I183" i="22" s="1"/>
  <c r="E183" i="22"/>
  <c r="E194" i="22"/>
  <c r="H194" i="22"/>
  <c r="I194" i="22" s="1"/>
  <c r="AB143" i="22"/>
  <c r="AC143" i="22" s="1"/>
  <c r="AB151" i="22"/>
  <c r="AC151" i="22" s="1"/>
  <c r="AB154" i="22"/>
  <c r="AC154" i="22" s="1"/>
  <c r="Y154" i="22"/>
  <c r="AB162" i="22"/>
  <c r="AC162" i="22" s="1"/>
  <c r="Y162" i="22"/>
  <c r="AB170" i="22"/>
  <c r="AC170" i="22" s="1"/>
  <c r="Y170" i="22"/>
  <c r="AB178" i="22"/>
  <c r="AC178" i="22" s="1"/>
  <c r="Y178" i="22"/>
  <c r="AB186" i="22"/>
  <c r="AC186" i="22" s="1"/>
  <c r="Y186" i="22"/>
  <c r="AB194" i="22"/>
  <c r="AC194" i="22" s="1"/>
  <c r="Y194" i="22"/>
  <c r="E28" i="22"/>
  <c r="H31" i="22"/>
  <c r="I31" i="22" s="1"/>
  <c r="E36" i="22"/>
  <c r="H39" i="22"/>
  <c r="I39" i="22" s="1"/>
  <c r="E44" i="22"/>
  <c r="H47" i="22"/>
  <c r="I47" i="22" s="1"/>
  <c r="E52" i="22"/>
  <c r="H55" i="22"/>
  <c r="I55" i="22" s="1"/>
  <c r="E60" i="22"/>
  <c r="H63" i="22"/>
  <c r="I63" i="22" s="1"/>
  <c r="E68" i="22"/>
  <c r="H71" i="22"/>
  <c r="I71" i="22" s="1"/>
  <c r="E76" i="22"/>
  <c r="H79" i="22"/>
  <c r="I79" i="22" s="1"/>
  <c r="E84" i="22"/>
  <c r="H87" i="22"/>
  <c r="I87" i="22" s="1"/>
  <c r="E92" i="22"/>
  <c r="H95" i="22"/>
  <c r="I95" i="22" s="1"/>
  <c r="E164" i="22"/>
  <c r="E172" i="22"/>
  <c r="AF274" i="30" s="1"/>
  <c r="E180" i="22"/>
  <c r="E190" i="22"/>
  <c r="E196" i="22"/>
  <c r="H196" i="22"/>
  <c r="I196" i="22" s="1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31" i="22"/>
  <c r="E139" i="22"/>
  <c r="E147" i="22"/>
  <c r="H161" i="22"/>
  <c r="I161" i="22" s="1"/>
  <c r="E161" i="22"/>
  <c r="H164" i="22"/>
  <c r="I164" i="22" s="1"/>
  <c r="H169" i="22"/>
  <c r="I169" i="22" s="1"/>
  <c r="E169" i="22"/>
  <c r="H172" i="22"/>
  <c r="I172" i="22" s="1"/>
  <c r="H177" i="22"/>
  <c r="I177" i="22" s="1"/>
  <c r="E177" i="22"/>
  <c r="H180" i="22"/>
  <c r="I180" i="22" s="1"/>
  <c r="H185" i="22"/>
  <c r="I185" i="22" s="1"/>
  <c r="E185" i="22"/>
  <c r="R64" i="22"/>
  <c r="S64" i="22" s="1"/>
  <c r="O64" i="22"/>
  <c r="E42" i="22"/>
  <c r="E58" i="22"/>
  <c r="E66" i="22"/>
  <c r="E74" i="22"/>
  <c r="H187" i="22"/>
  <c r="I187" i="22" s="1"/>
  <c r="R87" i="22"/>
  <c r="S87" i="22" s="1"/>
  <c r="O87" i="22"/>
  <c r="AF286" i="30" s="1"/>
  <c r="E26" i="22"/>
  <c r="E34" i="22"/>
  <c r="E50" i="22"/>
  <c r="E82" i="22"/>
  <c r="E90" i="22"/>
  <c r="E98" i="22"/>
  <c r="E105" i="22"/>
  <c r="E113" i="22"/>
  <c r="E121" i="22"/>
  <c r="E129" i="22"/>
  <c r="E137" i="22"/>
  <c r="E145" i="22"/>
  <c r="E153" i="22"/>
  <c r="E163" i="22"/>
  <c r="E171" i="22"/>
  <c r="E179" i="22"/>
  <c r="E191" i="22"/>
  <c r="H199" i="22"/>
  <c r="I199" i="22" s="1"/>
  <c r="R79" i="22"/>
  <c r="S79" i="22" s="1"/>
  <c r="H166" i="22"/>
  <c r="I166" i="22" s="1"/>
  <c r="H174" i="22"/>
  <c r="I174" i="22" s="1"/>
  <c r="H182" i="22"/>
  <c r="I182" i="22" s="1"/>
  <c r="H191" i="22"/>
  <c r="I191" i="22" s="1"/>
  <c r="E39" i="22"/>
  <c r="E63" i="22"/>
  <c r="E71" i="22"/>
  <c r="E95" i="22"/>
  <c r="H197" i="22"/>
  <c r="I197" i="22" s="1"/>
  <c r="E31" i="22"/>
  <c r="E47" i="22"/>
  <c r="E55" i="22"/>
  <c r="E79" i="22"/>
  <c r="E87" i="22"/>
  <c r="H162" i="22"/>
  <c r="I162" i="22" s="1"/>
  <c r="E162" i="22"/>
  <c r="H170" i="22"/>
  <c r="I170" i="22" s="1"/>
  <c r="E170" i="22"/>
  <c r="H178" i="22"/>
  <c r="I178" i="22" s="1"/>
  <c r="E178" i="22"/>
  <c r="E186" i="22"/>
  <c r="H165" i="22"/>
  <c r="I165" i="22" s="1"/>
  <c r="H173" i="22"/>
  <c r="I173" i="22" s="1"/>
  <c r="H181" i="22"/>
  <c r="I181" i="22" s="1"/>
  <c r="R69" i="22"/>
  <c r="S69" i="22" s="1"/>
  <c r="O69" i="22"/>
  <c r="R95" i="22"/>
  <c r="S95" i="22" s="1"/>
  <c r="O95" i="22"/>
  <c r="R116" i="22"/>
  <c r="S116" i="22" s="1"/>
  <c r="E198" i="22"/>
  <c r="R56" i="22"/>
  <c r="S56" i="22" s="1"/>
  <c r="R71" i="22"/>
  <c r="S71" i="22" s="1"/>
  <c r="R48" i="22"/>
  <c r="S48" i="22" s="1"/>
  <c r="R61" i="22"/>
  <c r="S61" i="22" s="1"/>
  <c r="O61" i="22"/>
  <c r="R167" i="22"/>
  <c r="S167" i="22" s="1"/>
  <c r="H193" i="22"/>
  <c r="I193" i="22" s="1"/>
  <c r="E200" i="22"/>
  <c r="AF273" i="30" s="1"/>
  <c r="H201" i="22"/>
  <c r="I201" i="22" s="1"/>
  <c r="R4" i="22"/>
  <c r="S4" i="22" s="1"/>
  <c r="O48" i="22"/>
  <c r="R63" i="22"/>
  <c r="S63" i="22" s="1"/>
  <c r="R80" i="22"/>
  <c r="S80" i="22" s="1"/>
  <c r="R88" i="22"/>
  <c r="S88" i="22" s="1"/>
  <c r="E197" i="22"/>
  <c r="H198" i="22"/>
  <c r="I198" i="22" s="1"/>
  <c r="R53" i="22"/>
  <c r="S53" i="22" s="1"/>
  <c r="O53" i="22"/>
  <c r="O55" i="22"/>
  <c r="R96" i="22"/>
  <c r="S96" i="22" s="1"/>
  <c r="O162" i="22"/>
  <c r="R162" i="22"/>
  <c r="S162" i="22" s="1"/>
  <c r="R45" i="22"/>
  <c r="S45" i="22" s="1"/>
  <c r="O45" i="22"/>
  <c r="R55" i="22"/>
  <c r="S55" i="22" s="1"/>
  <c r="R72" i="22"/>
  <c r="S72" i="22" s="1"/>
  <c r="R85" i="22"/>
  <c r="S85" i="22" s="1"/>
  <c r="O85" i="22"/>
  <c r="H188" i="22"/>
  <c r="I188" i="22" s="1"/>
  <c r="H192" i="22"/>
  <c r="I192" i="22" s="1"/>
  <c r="E199" i="22"/>
  <c r="H200" i="22"/>
  <c r="I200" i="22" s="1"/>
  <c r="R47" i="22"/>
  <c r="S47" i="22" s="1"/>
  <c r="O72" i="22"/>
  <c r="R77" i="22"/>
  <c r="S77" i="22" s="1"/>
  <c r="O77" i="22"/>
  <c r="O79" i="22"/>
  <c r="R93" i="22"/>
  <c r="S93" i="22" s="1"/>
  <c r="O93" i="22"/>
  <c r="R44" i="22"/>
  <c r="S44" i="22" s="1"/>
  <c r="R52" i="22"/>
  <c r="S52" i="22" s="1"/>
  <c r="R60" i="22"/>
  <c r="S60" i="22" s="1"/>
  <c r="R68" i="22"/>
  <c r="S68" i="22" s="1"/>
  <c r="R76" i="22"/>
  <c r="S76" i="22" s="1"/>
  <c r="O102" i="22"/>
  <c r="O118" i="22"/>
  <c r="R102" i="22"/>
  <c r="S102" i="22" s="1"/>
  <c r="R111" i="22"/>
  <c r="S111" i="22" s="1"/>
  <c r="R118" i="22"/>
  <c r="S118" i="22" s="1"/>
  <c r="R127" i="22"/>
  <c r="S127" i="22" s="1"/>
  <c r="R200" i="22"/>
  <c r="S200" i="22" s="1"/>
  <c r="R42" i="22"/>
  <c r="S42" i="22" s="1"/>
  <c r="R50" i="22"/>
  <c r="S50" i="22" s="1"/>
  <c r="R58" i="22"/>
  <c r="S58" i="22" s="1"/>
  <c r="R66" i="22"/>
  <c r="S66" i="22" s="1"/>
  <c r="R74" i="22"/>
  <c r="S74" i="22" s="1"/>
  <c r="R82" i="22"/>
  <c r="S82" i="22" s="1"/>
  <c r="O83" i="22"/>
  <c r="AF287" i="30" s="1"/>
  <c r="O91" i="22"/>
  <c r="R104" i="22"/>
  <c r="S104" i="22" s="1"/>
  <c r="O108" i="22"/>
  <c r="R120" i="22"/>
  <c r="S120" i="22" s="1"/>
  <c r="R168" i="22"/>
  <c r="S168" i="22" s="1"/>
  <c r="R196" i="22"/>
  <c r="S196" i="22" s="1"/>
  <c r="R108" i="22"/>
  <c r="S108" i="22" s="1"/>
  <c r="R124" i="22"/>
  <c r="S124" i="22" s="1"/>
  <c r="O168" i="22"/>
  <c r="R182" i="22"/>
  <c r="S182" i="22" s="1"/>
  <c r="O182" i="22"/>
  <c r="R103" i="22"/>
  <c r="S103" i="22" s="1"/>
  <c r="R110" i="22"/>
  <c r="S110" i="22" s="1"/>
  <c r="O113" i="22"/>
  <c r="R119" i="22"/>
  <c r="S119" i="22" s="1"/>
  <c r="R126" i="22"/>
  <c r="S126" i="22" s="1"/>
  <c r="R163" i="22"/>
  <c r="S163" i="22" s="1"/>
  <c r="R46" i="22"/>
  <c r="S46" i="22" s="1"/>
  <c r="R54" i="22"/>
  <c r="S54" i="22" s="1"/>
  <c r="R62" i="22"/>
  <c r="S62" i="22" s="1"/>
  <c r="R70" i="22"/>
  <c r="S70" i="22" s="1"/>
  <c r="R78" i="22"/>
  <c r="S78" i="22" s="1"/>
  <c r="R100" i="22"/>
  <c r="S100" i="22" s="1"/>
  <c r="R112" i="22"/>
  <c r="S112" i="22" s="1"/>
  <c r="O116" i="22"/>
  <c r="R128" i="22"/>
  <c r="S128" i="22" s="1"/>
  <c r="R160" i="22"/>
  <c r="S160" i="22" s="1"/>
  <c r="R170" i="22"/>
  <c r="S170" i="22" s="1"/>
  <c r="R101" i="22"/>
  <c r="S101" i="22" s="1"/>
  <c r="R109" i="22"/>
  <c r="S109" i="22" s="1"/>
  <c r="R117" i="22"/>
  <c r="S117" i="22" s="1"/>
  <c r="R125" i="22"/>
  <c r="S125" i="22" s="1"/>
  <c r="R133" i="22"/>
  <c r="S133" i="22" s="1"/>
  <c r="O167" i="22"/>
  <c r="R175" i="22"/>
  <c r="S175" i="22" s="1"/>
  <c r="R178" i="22"/>
  <c r="S178" i="22" s="1"/>
  <c r="O196" i="22"/>
  <c r="AB39" i="22"/>
  <c r="AC39" i="22" s="1"/>
  <c r="Y39" i="22"/>
  <c r="AB47" i="22"/>
  <c r="AC47" i="22" s="1"/>
  <c r="Y47" i="22"/>
  <c r="AB36" i="22"/>
  <c r="AC36" i="22" s="1"/>
  <c r="Y36" i="22"/>
  <c r="AB44" i="22"/>
  <c r="AC44" i="22" s="1"/>
  <c r="Y44" i="22"/>
  <c r="R99" i="22"/>
  <c r="S99" i="22" s="1"/>
  <c r="R107" i="22"/>
  <c r="S107" i="22" s="1"/>
  <c r="R115" i="22"/>
  <c r="S115" i="22" s="1"/>
  <c r="R123" i="22"/>
  <c r="S123" i="22" s="1"/>
  <c r="R131" i="22"/>
  <c r="S131" i="22" s="1"/>
  <c r="R139" i="22"/>
  <c r="S139" i="22" s="1"/>
  <c r="R159" i="22"/>
  <c r="S159" i="22" s="1"/>
  <c r="R188" i="22"/>
  <c r="S188" i="22" s="1"/>
  <c r="R192" i="22"/>
  <c r="S192" i="22" s="1"/>
  <c r="O171" i="22"/>
  <c r="O163" i="22"/>
  <c r="R176" i="22"/>
  <c r="S176" i="22" s="1"/>
  <c r="O185" i="22"/>
  <c r="R185" i="22"/>
  <c r="S185" i="22" s="1"/>
  <c r="R199" i="22"/>
  <c r="S199" i="22" s="1"/>
  <c r="AB32" i="22"/>
  <c r="AC32" i="22" s="1"/>
  <c r="Y32" i="22"/>
  <c r="AB40" i="22"/>
  <c r="AC40" i="22" s="1"/>
  <c r="Y40" i="22"/>
  <c r="Y48" i="22"/>
  <c r="AB48" i="22"/>
  <c r="AC48" i="22" s="1"/>
  <c r="AB90" i="22"/>
  <c r="AC90" i="22" s="1"/>
  <c r="R191" i="22"/>
  <c r="S191" i="22" s="1"/>
  <c r="AB4" i="22"/>
  <c r="AC4" i="22" s="1"/>
  <c r="AB12" i="22"/>
  <c r="AC12" i="22" s="1"/>
  <c r="AB20" i="22"/>
  <c r="AC20" i="22" s="1"/>
  <c r="AB28" i="22"/>
  <c r="AC28" i="22" s="1"/>
  <c r="AB33" i="22"/>
  <c r="AC33" i="22" s="1"/>
  <c r="Y33" i="22"/>
  <c r="AB41" i="22"/>
  <c r="AC41" i="22" s="1"/>
  <c r="Y41" i="22"/>
  <c r="AB49" i="22"/>
  <c r="AC49" i="22" s="1"/>
  <c r="O187" i="22"/>
  <c r="O195" i="22"/>
  <c r="AB9" i="22"/>
  <c r="AC9" i="22" s="1"/>
  <c r="AB17" i="22"/>
  <c r="AC17" i="22" s="1"/>
  <c r="AB25" i="22"/>
  <c r="AC25" i="22" s="1"/>
  <c r="AB38" i="22"/>
  <c r="AC38" i="22" s="1"/>
  <c r="Y38" i="22"/>
  <c r="AB46" i="22"/>
  <c r="AC46" i="22" s="1"/>
  <c r="Y46" i="22"/>
  <c r="O192" i="22"/>
  <c r="R193" i="22"/>
  <c r="S193" i="22" s="1"/>
  <c r="O200" i="22"/>
  <c r="R201" i="22"/>
  <c r="S201" i="22" s="1"/>
  <c r="AB6" i="22"/>
  <c r="AC6" i="22" s="1"/>
  <c r="AB14" i="22"/>
  <c r="AC14" i="22" s="1"/>
  <c r="AB22" i="22"/>
  <c r="AC22" i="22" s="1"/>
  <c r="AB30" i="22"/>
  <c r="AC30" i="22" s="1"/>
  <c r="AB35" i="22"/>
  <c r="AC35" i="22" s="1"/>
  <c r="Y35" i="22"/>
  <c r="AB43" i="22"/>
  <c r="AC43" i="22" s="1"/>
  <c r="Y43" i="22"/>
  <c r="R187" i="22"/>
  <c r="S187" i="22" s="1"/>
  <c r="R195" i="22"/>
  <c r="S195" i="22" s="1"/>
  <c r="AB8" i="22"/>
  <c r="AC8" i="22" s="1"/>
  <c r="AB16" i="22"/>
  <c r="AC16" i="22" s="1"/>
  <c r="AB24" i="22"/>
  <c r="AC24" i="22" s="1"/>
  <c r="AB37" i="22"/>
  <c r="AC37" i="22" s="1"/>
  <c r="Y37" i="22"/>
  <c r="AB45" i="22"/>
  <c r="AC45" i="22" s="1"/>
  <c r="Y45" i="22"/>
  <c r="AB58" i="22"/>
  <c r="AC58" i="22" s="1"/>
  <c r="AB82" i="22"/>
  <c r="AC82" i="22" s="1"/>
  <c r="AB124" i="22"/>
  <c r="AC124" i="22" s="1"/>
  <c r="R164" i="22"/>
  <c r="S164" i="22" s="1"/>
  <c r="R172" i="22"/>
  <c r="S172" i="22" s="1"/>
  <c r="R180" i="22"/>
  <c r="S180" i="22" s="1"/>
  <c r="R184" i="22"/>
  <c r="S184" i="22" s="1"/>
  <c r="O191" i="22"/>
  <c r="O199" i="22"/>
  <c r="AB5" i="22"/>
  <c r="AC5" i="22" s="1"/>
  <c r="AB13" i="22"/>
  <c r="AC13" i="22" s="1"/>
  <c r="AB21" i="22"/>
  <c r="AC21" i="22" s="1"/>
  <c r="AB29" i="22"/>
  <c r="AC29" i="22" s="1"/>
  <c r="AB34" i="22"/>
  <c r="AC34" i="22" s="1"/>
  <c r="Y34" i="22"/>
  <c r="AB42" i="22"/>
  <c r="AC42" i="22" s="1"/>
  <c r="Y42" i="22"/>
  <c r="AB66" i="22"/>
  <c r="AC66" i="22" s="1"/>
  <c r="AB74" i="22"/>
  <c r="AC74" i="22" s="1"/>
  <c r="AB50" i="22"/>
  <c r="AC50" i="22" s="1"/>
  <c r="AB53" i="22"/>
  <c r="AC53" i="22" s="1"/>
  <c r="AB61" i="22"/>
  <c r="AC61" i="22" s="1"/>
  <c r="AB69" i="22"/>
  <c r="AC69" i="22" s="1"/>
  <c r="AB77" i="22"/>
  <c r="AC77" i="22" s="1"/>
  <c r="AB85" i="22"/>
  <c r="AC85" i="22" s="1"/>
  <c r="Y109" i="22"/>
  <c r="Y111" i="22"/>
  <c r="Y113" i="22"/>
  <c r="Y115" i="22"/>
  <c r="Y117" i="22"/>
  <c r="Y137" i="22"/>
  <c r="AB146" i="22"/>
  <c r="AC146" i="22" s="1"/>
  <c r="AB157" i="22"/>
  <c r="AC157" i="22" s="1"/>
  <c r="Y157" i="22"/>
  <c r="Y57" i="22"/>
  <c r="Y65" i="22"/>
  <c r="AB117" i="22"/>
  <c r="AC117" i="22" s="1"/>
  <c r="AB137" i="22"/>
  <c r="AC137" i="22" s="1"/>
  <c r="AB141" i="22"/>
  <c r="AC141" i="22" s="1"/>
  <c r="AB149" i="22"/>
  <c r="AC149" i="22" s="1"/>
  <c r="Y152" i="22"/>
  <c r="AB152" i="22"/>
  <c r="AC152" i="22" s="1"/>
  <c r="Y51" i="22"/>
  <c r="Y54" i="22"/>
  <c r="AB55" i="22"/>
  <c r="AC55" i="22" s="1"/>
  <c r="Y62" i="22"/>
  <c r="AB63" i="22"/>
  <c r="AC63" i="22" s="1"/>
  <c r="Y70" i="22"/>
  <c r="AB71" i="22"/>
  <c r="AC71" i="22" s="1"/>
  <c r="Y78" i="22"/>
  <c r="AB79" i="22"/>
  <c r="AC79" i="22" s="1"/>
  <c r="AB87" i="22"/>
  <c r="AC87" i="22" s="1"/>
  <c r="AB95" i="22"/>
  <c r="AC95" i="22" s="1"/>
  <c r="AB97" i="22"/>
  <c r="AC97" i="22" s="1"/>
  <c r="AB99" i="22"/>
  <c r="AC99" i="22" s="1"/>
  <c r="AB101" i="22"/>
  <c r="AC101" i="22" s="1"/>
  <c r="AB103" i="22"/>
  <c r="AC103" i="22" s="1"/>
  <c r="AB105" i="22"/>
  <c r="AC105" i="22" s="1"/>
  <c r="AB107" i="22"/>
  <c r="AC107" i="22" s="1"/>
  <c r="AB109" i="22"/>
  <c r="AC109" i="22" s="1"/>
  <c r="AB111" i="22"/>
  <c r="AC111" i="22" s="1"/>
  <c r="AB113" i="22"/>
  <c r="AC113" i="22" s="1"/>
  <c r="AB115" i="22"/>
  <c r="AC115" i="22" s="1"/>
  <c r="Y121" i="22"/>
  <c r="AB129" i="22"/>
  <c r="AC129" i="22" s="1"/>
  <c r="AB133" i="22"/>
  <c r="AC133" i="22" s="1"/>
  <c r="AB144" i="22"/>
  <c r="AC144" i="22" s="1"/>
  <c r="Y67" i="22"/>
  <c r="AB68" i="22"/>
  <c r="AC68" i="22" s="1"/>
  <c r="Y75" i="22"/>
  <c r="AB76" i="22"/>
  <c r="AC76" i="22" s="1"/>
  <c r="Y83" i="22"/>
  <c r="AB84" i="22"/>
  <c r="AC84" i="22" s="1"/>
  <c r="Y91" i="22"/>
  <c r="AB92" i="22"/>
  <c r="AC92" i="22" s="1"/>
  <c r="AB121" i="22"/>
  <c r="AC121" i="22" s="1"/>
  <c r="AB125" i="22"/>
  <c r="AC125" i="22" s="1"/>
  <c r="Y138" i="22"/>
  <c r="AB138" i="22"/>
  <c r="AC138" i="22" s="1"/>
  <c r="AB147" i="22"/>
  <c r="AC147" i="22" s="1"/>
  <c r="Y50" i="22"/>
  <c r="Y56" i="22"/>
  <c r="Y64" i="22"/>
  <c r="Y72" i="22"/>
  <c r="AF297" i="30" s="1"/>
  <c r="Y80" i="22"/>
  <c r="Y104" i="22"/>
  <c r="Y106" i="22"/>
  <c r="Y108" i="22"/>
  <c r="Y110" i="22"/>
  <c r="Y112" i="22"/>
  <c r="Y114" i="22"/>
  <c r="Y116" i="22"/>
  <c r="Y130" i="22"/>
  <c r="AB130" i="22"/>
  <c r="AC130" i="22" s="1"/>
  <c r="AB142" i="22"/>
  <c r="AC142" i="22" s="1"/>
  <c r="AB150" i="22"/>
  <c r="AC150" i="22" s="1"/>
  <c r="AB161" i="22"/>
  <c r="AC161" i="22" s="1"/>
  <c r="Y161" i="22"/>
  <c r="AB118" i="22"/>
  <c r="AC118" i="22" s="1"/>
  <c r="Y122" i="22"/>
  <c r="AB122" i="22"/>
  <c r="AC122" i="22" s="1"/>
  <c r="AB145" i="22"/>
  <c r="AC145" i="22" s="1"/>
  <c r="Y49" i="22"/>
  <c r="Y58" i="22"/>
  <c r="AB59" i="22"/>
  <c r="AC59" i="22" s="1"/>
  <c r="Y66" i="22"/>
  <c r="AB67" i="22"/>
  <c r="AC67" i="22" s="1"/>
  <c r="Y74" i="22"/>
  <c r="AB75" i="22"/>
  <c r="AC75" i="22" s="1"/>
  <c r="Y82" i="22"/>
  <c r="AB83" i="22"/>
  <c r="AC83" i="22" s="1"/>
  <c r="Y90" i="22"/>
  <c r="AB91" i="22"/>
  <c r="AC91" i="22" s="1"/>
  <c r="AB96" i="22"/>
  <c r="AC96" i="22" s="1"/>
  <c r="AB98" i="22"/>
  <c r="AC98" i="22" s="1"/>
  <c r="AB100" i="22"/>
  <c r="AC100" i="22" s="1"/>
  <c r="AB102" i="22"/>
  <c r="AC102" i="22" s="1"/>
  <c r="AB104" i="22"/>
  <c r="AC104" i="22" s="1"/>
  <c r="AB106" i="22"/>
  <c r="AC106" i="22" s="1"/>
  <c r="AB108" i="22"/>
  <c r="AC108" i="22" s="1"/>
  <c r="AB110" i="22"/>
  <c r="AC110" i="22" s="1"/>
  <c r="AB112" i="22"/>
  <c r="AC112" i="22" s="1"/>
  <c r="AB114" i="22"/>
  <c r="AC114" i="22" s="1"/>
  <c r="AB116" i="22"/>
  <c r="AC116" i="22" s="1"/>
  <c r="AB140" i="22"/>
  <c r="AC140" i="22" s="1"/>
  <c r="AB148" i="22"/>
  <c r="AC148" i="22" s="1"/>
  <c r="AB165" i="22"/>
  <c r="AC165" i="22" s="1"/>
  <c r="Y165" i="22"/>
  <c r="AB173" i="22"/>
  <c r="AC173" i="22" s="1"/>
  <c r="Y173" i="22"/>
  <c r="AB181" i="22"/>
  <c r="AC181" i="22" s="1"/>
  <c r="Y181" i="22"/>
  <c r="AB189" i="22"/>
  <c r="AC189" i="22" s="1"/>
  <c r="Y189" i="22"/>
  <c r="AB197" i="22"/>
  <c r="AC197" i="22" s="1"/>
  <c r="Y197" i="22"/>
  <c r="AB160" i="22"/>
  <c r="AC160" i="22" s="1"/>
  <c r="Y160" i="22"/>
  <c r="AB168" i="22"/>
  <c r="AC168" i="22" s="1"/>
  <c r="Y168" i="22"/>
  <c r="AB176" i="22"/>
  <c r="AC176" i="22" s="1"/>
  <c r="Y176" i="22"/>
  <c r="AB184" i="22"/>
  <c r="AC184" i="22" s="1"/>
  <c r="Y184" i="22"/>
  <c r="AB192" i="22"/>
  <c r="AC192" i="22" s="1"/>
  <c r="Y192" i="22"/>
  <c r="AB200" i="22"/>
  <c r="AC200" i="22" s="1"/>
  <c r="Y200" i="22"/>
  <c r="Y120" i="22"/>
  <c r="AB126" i="22"/>
  <c r="AC126" i="22" s="1"/>
  <c r="Y128" i="22"/>
  <c r="AB134" i="22"/>
  <c r="AC134" i="22" s="1"/>
  <c r="Y136" i="22"/>
  <c r="AB155" i="22"/>
  <c r="AC155" i="22" s="1"/>
  <c r="Y155" i="22"/>
  <c r="AB163" i="22"/>
  <c r="AC163" i="22" s="1"/>
  <c r="Y163" i="22"/>
  <c r="AB171" i="22"/>
  <c r="AC171" i="22" s="1"/>
  <c r="Y171" i="22"/>
  <c r="AB179" i="22"/>
  <c r="AC179" i="22" s="1"/>
  <c r="Y179" i="22"/>
  <c r="AB187" i="22"/>
  <c r="AC187" i="22" s="1"/>
  <c r="Y187" i="22"/>
  <c r="AB195" i="22"/>
  <c r="AC195" i="22" s="1"/>
  <c r="Y195" i="22"/>
  <c r="Y125" i="22"/>
  <c r="Y133" i="22"/>
  <c r="Y141" i="22"/>
  <c r="Y143" i="22"/>
  <c r="Y145" i="22"/>
  <c r="Y147" i="22"/>
  <c r="Y149" i="22"/>
  <c r="Y151" i="22"/>
  <c r="AB158" i="22"/>
  <c r="AC158" i="22" s="1"/>
  <c r="Y158" i="22"/>
  <c r="AB166" i="22"/>
  <c r="AC166" i="22" s="1"/>
  <c r="Y166" i="22"/>
  <c r="AB174" i="22"/>
  <c r="AC174" i="22" s="1"/>
  <c r="Y174" i="22"/>
  <c r="AB182" i="22"/>
  <c r="AC182" i="22" s="1"/>
  <c r="Y182" i="22"/>
  <c r="AB190" i="22"/>
  <c r="AC190" i="22" s="1"/>
  <c r="Y190" i="22"/>
  <c r="AB198" i="22"/>
  <c r="AC198" i="22" s="1"/>
  <c r="Y198" i="22"/>
  <c r="AB169" i="22"/>
  <c r="AC169" i="22" s="1"/>
  <c r="Y169" i="22"/>
  <c r="AB177" i="22"/>
  <c r="AC177" i="22" s="1"/>
  <c r="Y177" i="22"/>
  <c r="AB185" i="22"/>
  <c r="AC185" i="22" s="1"/>
  <c r="Y185" i="22"/>
  <c r="AB193" i="22"/>
  <c r="AC193" i="22" s="1"/>
  <c r="Y193" i="22"/>
  <c r="AB201" i="22"/>
  <c r="AC201" i="22" s="1"/>
  <c r="Y201" i="22"/>
  <c r="Y127" i="22"/>
  <c r="Y135" i="22"/>
  <c r="AB153" i="22"/>
  <c r="AC153" i="22" s="1"/>
  <c r="AB156" i="22"/>
  <c r="AC156" i="22" s="1"/>
  <c r="Y156" i="22"/>
  <c r="AB164" i="22"/>
  <c r="AC164" i="22" s="1"/>
  <c r="Y164" i="22"/>
  <c r="AB172" i="22"/>
  <c r="AC172" i="22" s="1"/>
  <c r="Y172" i="22"/>
  <c r="AB180" i="22"/>
  <c r="AC180" i="22" s="1"/>
  <c r="Y180" i="22"/>
  <c r="AB188" i="22"/>
  <c r="AC188" i="22" s="1"/>
  <c r="Y188" i="22"/>
  <c r="AB196" i="22"/>
  <c r="AC196" i="22" s="1"/>
  <c r="Y196" i="22"/>
  <c r="Y118" i="22"/>
  <c r="Y124" i="22"/>
  <c r="Y132" i="22"/>
  <c r="Y140" i="22"/>
  <c r="AB159" i="22"/>
  <c r="AC159" i="22" s="1"/>
  <c r="Y159" i="22"/>
  <c r="AB167" i="22"/>
  <c r="AC167" i="22" s="1"/>
  <c r="Y167" i="22"/>
  <c r="AB175" i="22"/>
  <c r="AC175" i="22" s="1"/>
  <c r="Y175" i="22"/>
  <c r="AB183" i="22"/>
  <c r="AC183" i="22" s="1"/>
  <c r="Y183" i="22"/>
  <c r="AF293" i="30" s="1"/>
  <c r="AB191" i="22"/>
  <c r="AC191" i="22" s="1"/>
  <c r="Y191" i="22"/>
  <c r="AB199" i="22"/>
  <c r="AC199" i="22" s="1"/>
  <c r="Y199" i="22"/>
  <c r="X3" i="21"/>
  <c r="X4" i="2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42" i="21"/>
  <c r="X43" i="21"/>
  <c r="X44" i="21"/>
  <c r="X45" i="21"/>
  <c r="X46" i="21"/>
  <c r="X47" i="21"/>
  <c r="X48" i="21"/>
  <c r="X49" i="21"/>
  <c r="X50" i="21"/>
  <c r="X51" i="21"/>
  <c r="X52" i="21"/>
  <c r="X53" i="21"/>
  <c r="X54" i="21"/>
  <c r="X55" i="21"/>
  <c r="X56" i="21"/>
  <c r="X57" i="21"/>
  <c r="X58" i="21"/>
  <c r="X59" i="21"/>
  <c r="X60" i="21"/>
  <c r="X61" i="21"/>
  <c r="X62" i="21"/>
  <c r="X63" i="21"/>
  <c r="X64" i="21"/>
  <c r="X65" i="21"/>
  <c r="X66" i="21"/>
  <c r="X67" i="21"/>
  <c r="X68" i="21"/>
  <c r="X69" i="21"/>
  <c r="X70" i="21"/>
  <c r="X71" i="21"/>
  <c r="X72" i="21"/>
  <c r="X73" i="21"/>
  <c r="X74" i="21"/>
  <c r="X75" i="21"/>
  <c r="X76" i="21"/>
  <c r="X77" i="21"/>
  <c r="X78" i="21"/>
  <c r="X79" i="21"/>
  <c r="X80" i="21"/>
  <c r="X81" i="21"/>
  <c r="X82" i="21"/>
  <c r="X83" i="21"/>
  <c r="X84" i="21"/>
  <c r="X85" i="21"/>
  <c r="X86" i="21"/>
  <c r="X87" i="21"/>
  <c r="X88" i="21"/>
  <c r="X89" i="21"/>
  <c r="X90" i="21"/>
  <c r="X91" i="21"/>
  <c r="X92" i="21"/>
  <c r="X93" i="21"/>
  <c r="X94" i="21"/>
  <c r="X95" i="21"/>
  <c r="X96" i="21"/>
  <c r="X97" i="21"/>
  <c r="X98" i="21"/>
  <c r="X99" i="21"/>
  <c r="X100" i="21"/>
  <c r="X101" i="21"/>
  <c r="X102" i="21"/>
  <c r="X103" i="21"/>
  <c r="X104" i="21"/>
  <c r="X105" i="21"/>
  <c r="X106" i="21"/>
  <c r="X107" i="21"/>
  <c r="X108" i="21"/>
  <c r="X109" i="21"/>
  <c r="X110" i="21"/>
  <c r="X111" i="21"/>
  <c r="X112" i="21"/>
  <c r="X113" i="21"/>
  <c r="X114" i="21"/>
  <c r="X115" i="21"/>
  <c r="X116" i="21"/>
  <c r="X117" i="21"/>
  <c r="X118" i="21"/>
  <c r="X119" i="21"/>
  <c r="X120" i="21"/>
  <c r="X121" i="21"/>
  <c r="X122" i="21"/>
  <c r="X123" i="21"/>
  <c r="X124" i="21"/>
  <c r="X125" i="21"/>
  <c r="X126" i="21"/>
  <c r="X127" i="21"/>
  <c r="X128" i="21"/>
  <c r="X129" i="21"/>
  <c r="X130" i="21"/>
  <c r="X131" i="21"/>
  <c r="X132" i="21"/>
  <c r="X133" i="21"/>
  <c r="X134" i="21"/>
  <c r="X135" i="21"/>
  <c r="X136" i="21"/>
  <c r="X137" i="21"/>
  <c r="X138" i="21"/>
  <c r="X139" i="21"/>
  <c r="X140" i="21"/>
  <c r="X141" i="21"/>
  <c r="X142" i="21"/>
  <c r="X143" i="21"/>
  <c r="X144" i="21"/>
  <c r="X145" i="21"/>
  <c r="X146" i="21"/>
  <c r="X147" i="21"/>
  <c r="X148" i="21"/>
  <c r="X149" i="21"/>
  <c r="X150" i="21"/>
  <c r="X151" i="21"/>
  <c r="X152" i="21"/>
  <c r="X153" i="21"/>
  <c r="X154" i="21"/>
  <c r="X155" i="21"/>
  <c r="X156" i="21"/>
  <c r="X157" i="21"/>
  <c r="X158" i="21"/>
  <c r="X159" i="21"/>
  <c r="X160" i="21"/>
  <c r="X161" i="21"/>
  <c r="X162" i="21"/>
  <c r="X163" i="21"/>
  <c r="X164" i="21"/>
  <c r="X165" i="21"/>
  <c r="X166" i="21"/>
  <c r="X167" i="21"/>
  <c r="X168" i="21"/>
  <c r="X169" i="21"/>
  <c r="X170" i="21"/>
  <c r="X171" i="21"/>
  <c r="X172" i="21"/>
  <c r="X173" i="21"/>
  <c r="X174" i="21"/>
  <c r="X175" i="21"/>
  <c r="X176" i="21"/>
  <c r="X177" i="21"/>
  <c r="X178" i="21"/>
  <c r="X179" i="21"/>
  <c r="X180" i="21"/>
  <c r="X181" i="21"/>
  <c r="X182" i="21"/>
  <c r="X183" i="21"/>
  <c r="X184" i="21"/>
  <c r="X185" i="21"/>
  <c r="X186" i="21"/>
  <c r="X187" i="21"/>
  <c r="X188" i="21"/>
  <c r="X189" i="21"/>
  <c r="X190" i="21"/>
  <c r="X191" i="21"/>
  <c r="X192" i="21"/>
  <c r="X193" i="21"/>
  <c r="X194" i="21"/>
  <c r="X195" i="21"/>
  <c r="X196" i="21"/>
  <c r="X197" i="21"/>
  <c r="X198" i="21"/>
  <c r="X199" i="21"/>
  <c r="X200" i="21"/>
  <c r="X201" i="21"/>
  <c r="X2" i="21"/>
  <c r="N3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" i="21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" i="21"/>
  <c r="W3" i="21"/>
  <c r="Y3" i="21" s="1"/>
  <c r="W4" i="21"/>
  <c r="Y4" i="21" s="1"/>
  <c r="W5" i="21"/>
  <c r="W6" i="21"/>
  <c r="Y6" i="21" s="1"/>
  <c r="W7" i="21"/>
  <c r="W8" i="21"/>
  <c r="W9" i="21"/>
  <c r="Y9" i="21" s="1"/>
  <c r="W10" i="21"/>
  <c r="Y10" i="21" s="1"/>
  <c r="W11" i="21"/>
  <c r="Y11" i="21" s="1"/>
  <c r="W12" i="21"/>
  <c r="W13" i="21"/>
  <c r="Y13" i="21" s="1"/>
  <c r="W14" i="21"/>
  <c r="Y14" i="21" s="1"/>
  <c r="W15" i="21"/>
  <c r="Y15" i="21" s="1"/>
  <c r="W16" i="21"/>
  <c r="Y16" i="21" s="1"/>
  <c r="W17" i="21"/>
  <c r="Y17" i="21" s="1"/>
  <c r="W18" i="21"/>
  <c r="Y18" i="21" s="1"/>
  <c r="W19" i="21"/>
  <c r="Y19" i="21" s="1"/>
  <c r="W20" i="21"/>
  <c r="Y20" i="21" s="1"/>
  <c r="W21" i="21"/>
  <c r="Y21" i="21" s="1"/>
  <c r="W22" i="21"/>
  <c r="Y22" i="21" s="1"/>
  <c r="W23" i="21"/>
  <c r="Y23" i="21" s="1"/>
  <c r="W24" i="21"/>
  <c r="W25" i="21"/>
  <c r="Y25" i="21" s="1"/>
  <c r="W26" i="21"/>
  <c r="Y26" i="21" s="1"/>
  <c r="W27" i="21"/>
  <c r="Y27" i="21" s="1"/>
  <c r="W28" i="21"/>
  <c r="Y28" i="21" s="1"/>
  <c r="W29" i="21"/>
  <c r="Y29" i="21" s="1"/>
  <c r="W30" i="21"/>
  <c r="Y30" i="21" s="1"/>
  <c r="W31" i="21"/>
  <c r="Y31" i="21" s="1"/>
  <c r="W32" i="21"/>
  <c r="W33" i="21"/>
  <c r="Y33" i="21" s="1"/>
  <c r="W34" i="21"/>
  <c r="Y34" i="21" s="1"/>
  <c r="W35" i="21"/>
  <c r="Y35" i="21" s="1"/>
  <c r="W36" i="21"/>
  <c r="Y36" i="21" s="1"/>
  <c r="W37" i="21"/>
  <c r="Y37" i="21" s="1"/>
  <c r="W38" i="21"/>
  <c r="Y38" i="21" s="1"/>
  <c r="W39" i="21"/>
  <c r="Y39" i="21" s="1"/>
  <c r="W40" i="21"/>
  <c r="Y40" i="21" s="1"/>
  <c r="W41" i="21"/>
  <c r="Y41" i="21" s="1"/>
  <c r="W42" i="21"/>
  <c r="Y42" i="21" s="1"/>
  <c r="W43" i="21"/>
  <c r="W44" i="21"/>
  <c r="Y44" i="21" s="1"/>
  <c r="W45" i="21"/>
  <c r="Y45" i="21" s="1"/>
  <c r="W46" i="21"/>
  <c r="Y46" i="21" s="1"/>
  <c r="W47" i="21"/>
  <c r="Y47" i="21" s="1"/>
  <c r="W48" i="21"/>
  <c r="Y48" i="21" s="1"/>
  <c r="W49" i="21"/>
  <c r="Y49" i="21" s="1"/>
  <c r="W50" i="21"/>
  <c r="Y50" i="21" s="1"/>
  <c r="W51" i="21"/>
  <c r="W52" i="21"/>
  <c r="Y52" i="21" s="1"/>
  <c r="W53" i="21"/>
  <c r="Y53" i="21" s="1"/>
  <c r="W54" i="21"/>
  <c r="Y54" i="21" s="1"/>
  <c r="W55" i="21"/>
  <c r="Y55" i="21" s="1"/>
  <c r="W56" i="21"/>
  <c r="Y56" i="21" s="1"/>
  <c r="W57" i="21"/>
  <c r="Y57" i="21" s="1"/>
  <c r="W58" i="21"/>
  <c r="Y58" i="21" s="1"/>
  <c r="W59" i="21"/>
  <c r="Y59" i="21" s="1"/>
  <c r="W60" i="21"/>
  <c r="Y60" i="21" s="1"/>
  <c r="W61" i="21"/>
  <c r="W62" i="21"/>
  <c r="Y62" i="21" s="1"/>
  <c r="W63" i="21"/>
  <c r="Y63" i="21" s="1"/>
  <c r="W64" i="21"/>
  <c r="W65" i="21"/>
  <c r="Y65" i="21" s="1"/>
  <c r="W66" i="21"/>
  <c r="W67" i="21"/>
  <c r="Y67" i="21" s="1"/>
  <c r="W68" i="21"/>
  <c r="Y68" i="21" s="1"/>
  <c r="W69" i="21"/>
  <c r="Y69" i="21" s="1"/>
  <c r="W70" i="21"/>
  <c r="Y70" i="21" s="1"/>
  <c r="W71" i="21"/>
  <c r="Y71" i="21" s="1"/>
  <c r="W72" i="21"/>
  <c r="Y72" i="21" s="1"/>
  <c r="W73" i="21"/>
  <c r="Y73" i="21" s="1"/>
  <c r="W74" i="21"/>
  <c r="Y74" i="21" s="1"/>
  <c r="W75" i="21"/>
  <c r="Y75" i="21" s="1"/>
  <c r="W76" i="21"/>
  <c r="Y76" i="21" s="1"/>
  <c r="W77" i="21"/>
  <c r="Y77" i="21" s="1"/>
  <c r="W78" i="21"/>
  <c r="Y78" i="21" s="1"/>
  <c r="W79" i="21"/>
  <c r="Y79" i="21" s="1"/>
  <c r="W80" i="21"/>
  <c r="Y80" i="21" s="1"/>
  <c r="W81" i="21"/>
  <c r="Y81" i="21" s="1"/>
  <c r="W82" i="21"/>
  <c r="Y82" i="21" s="1"/>
  <c r="W83" i="21"/>
  <c r="Y83" i="21" s="1"/>
  <c r="W84" i="21"/>
  <c r="Y84" i="21" s="1"/>
  <c r="W85" i="21"/>
  <c r="Y85" i="21" s="1"/>
  <c r="W86" i="21"/>
  <c r="Y86" i="21" s="1"/>
  <c r="W87" i="21"/>
  <c r="Y87" i="21" s="1"/>
  <c r="W88" i="21"/>
  <c r="Y88" i="21" s="1"/>
  <c r="W89" i="21"/>
  <c r="Y89" i="21" s="1"/>
  <c r="W90" i="21"/>
  <c r="Y90" i="21" s="1"/>
  <c r="W91" i="21"/>
  <c r="Y91" i="21" s="1"/>
  <c r="W92" i="21"/>
  <c r="Y92" i="21" s="1"/>
  <c r="W93" i="21"/>
  <c r="Y93" i="21" s="1"/>
  <c r="W94" i="21"/>
  <c r="Y94" i="21" s="1"/>
  <c r="W95" i="21"/>
  <c r="Y95" i="21" s="1"/>
  <c r="W96" i="21"/>
  <c r="Y96" i="21" s="1"/>
  <c r="W97" i="21"/>
  <c r="Y97" i="21" s="1"/>
  <c r="W98" i="21"/>
  <c r="Y98" i="21" s="1"/>
  <c r="W99" i="21"/>
  <c r="Y99" i="21" s="1"/>
  <c r="W100" i="21"/>
  <c r="Y100" i="21" s="1"/>
  <c r="W101" i="21"/>
  <c r="Y101" i="21" s="1"/>
  <c r="W102" i="21"/>
  <c r="Y102" i="21" s="1"/>
  <c r="W103" i="21"/>
  <c r="W104" i="21"/>
  <c r="Y104" i="21" s="1"/>
  <c r="W105" i="21"/>
  <c r="Y105" i="21" s="1"/>
  <c r="W106" i="21"/>
  <c r="W107" i="21"/>
  <c r="Y107" i="21" s="1"/>
  <c r="W108" i="21"/>
  <c r="Y108" i="21" s="1"/>
  <c r="W109" i="21"/>
  <c r="Y109" i="21" s="1"/>
  <c r="W110" i="21"/>
  <c r="Y110" i="21" s="1"/>
  <c r="W111" i="21"/>
  <c r="W112" i="21"/>
  <c r="Y112" i="21" s="1"/>
  <c r="W113" i="21"/>
  <c r="Y113" i="21" s="1"/>
  <c r="W114" i="21"/>
  <c r="Y114" i="21" s="1"/>
  <c r="W115" i="21"/>
  <c r="Y115" i="21" s="1"/>
  <c r="W116" i="21"/>
  <c r="Y116" i="21" s="1"/>
  <c r="W117" i="21"/>
  <c r="Y117" i="21" s="1"/>
  <c r="W118" i="21"/>
  <c r="Y118" i="21" s="1"/>
  <c r="W119" i="21"/>
  <c r="Y119" i="21" s="1"/>
  <c r="W120" i="21"/>
  <c r="Y120" i="21" s="1"/>
  <c r="W121" i="21"/>
  <c r="Y121" i="21" s="1"/>
  <c r="W122" i="21"/>
  <c r="Y122" i="21" s="1"/>
  <c r="W123" i="21"/>
  <c r="Y123" i="21" s="1"/>
  <c r="W124" i="21"/>
  <c r="W125" i="21"/>
  <c r="Y125" i="21" s="1"/>
  <c r="W126" i="21"/>
  <c r="Y126" i="21" s="1"/>
  <c r="W127" i="21"/>
  <c r="Y127" i="21" s="1"/>
  <c r="W128" i="21"/>
  <c r="Y128" i="21" s="1"/>
  <c r="W129" i="21"/>
  <c r="Y129" i="21" s="1"/>
  <c r="W130" i="21"/>
  <c r="Y130" i="21" s="1"/>
  <c r="W131" i="21"/>
  <c r="Y131" i="21" s="1"/>
  <c r="W132" i="21"/>
  <c r="Y132" i="21" s="1"/>
  <c r="W133" i="21"/>
  <c r="Y133" i="21" s="1"/>
  <c r="W134" i="21"/>
  <c r="Y134" i="21" s="1"/>
  <c r="W135" i="21"/>
  <c r="Y135" i="21" s="1"/>
  <c r="W136" i="21"/>
  <c r="Y136" i="21" s="1"/>
  <c r="W137" i="21"/>
  <c r="Y137" i="21" s="1"/>
  <c r="W138" i="21"/>
  <c r="Y138" i="21" s="1"/>
  <c r="W139" i="21"/>
  <c r="Y139" i="21" s="1"/>
  <c r="W140" i="21"/>
  <c r="Y140" i="21" s="1"/>
  <c r="W141" i="21"/>
  <c r="Y141" i="21" s="1"/>
  <c r="W142" i="21"/>
  <c r="Y142" i="21" s="1"/>
  <c r="W143" i="21"/>
  <c r="W144" i="21"/>
  <c r="Y144" i="21" s="1"/>
  <c r="W145" i="21"/>
  <c r="Y145" i="21" s="1"/>
  <c r="W146" i="21"/>
  <c r="Y146" i="21" s="1"/>
  <c r="W147" i="21"/>
  <c r="Y147" i="21" s="1"/>
  <c r="W148" i="21"/>
  <c r="Y148" i="21" s="1"/>
  <c r="W149" i="21"/>
  <c r="Y149" i="21" s="1"/>
  <c r="W150" i="21"/>
  <c r="Y150" i="21" s="1"/>
  <c r="W151" i="21"/>
  <c r="Y151" i="21" s="1"/>
  <c r="W152" i="21"/>
  <c r="Y152" i="21" s="1"/>
  <c r="W153" i="21"/>
  <c r="Y153" i="21" s="1"/>
  <c r="W154" i="21"/>
  <c r="Y154" i="21" s="1"/>
  <c r="W155" i="21"/>
  <c r="Y155" i="21" s="1"/>
  <c r="W156" i="21"/>
  <c r="Y156" i="21" s="1"/>
  <c r="W157" i="21"/>
  <c r="Y157" i="21" s="1"/>
  <c r="W158" i="21"/>
  <c r="Y158" i="21" s="1"/>
  <c r="W159" i="21"/>
  <c r="Y159" i="21" s="1"/>
  <c r="W160" i="21"/>
  <c r="Y160" i="21" s="1"/>
  <c r="W161" i="21"/>
  <c r="Y161" i="21" s="1"/>
  <c r="W162" i="21"/>
  <c r="Y162" i="21" s="1"/>
  <c r="W163" i="21"/>
  <c r="Y163" i="21" s="1"/>
  <c r="W164" i="21"/>
  <c r="Y164" i="21" s="1"/>
  <c r="W165" i="21"/>
  <c r="Y165" i="21" s="1"/>
  <c r="W166" i="21"/>
  <c r="Y166" i="21" s="1"/>
  <c r="W167" i="21"/>
  <c r="Y167" i="21" s="1"/>
  <c r="W168" i="21"/>
  <c r="Y168" i="21" s="1"/>
  <c r="W169" i="21"/>
  <c r="Y169" i="21" s="1"/>
  <c r="W170" i="21"/>
  <c r="W171" i="21"/>
  <c r="Y171" i="21" s="1"/>
  <c r="W172" i="21"/>
  <c r="Y172" i="21" s="1"/>
  <c r="W173" i="21"/>
  <c r="Y173" i="21" s="1"/>
  <c r="W174" i="21"/>
  <c r="Y174" i="21" s="1"/>
  <c r="W175" i="21"/>
  <c r="Y175" i="21" s="1"/>
  <c r="W176" i="21"/>
  <c r="Y176" i="21" s="1"/>
  <c r="W177" i="21"/>
  <c r="Y177" i="21" s="1"/>
  <c r="W178" i="21"/>
  <c r="Y178" i="21" s="1"/>
  <c r="W179" i="21"/>
  <c r="W180" i="21"/>
  <c r="Y180" i="21" s="1"/>
  <c r="W181" i="21"/>
  <c r="W182" i="21"/>
  <c r="W183" i="21"/>
  <c r="Y183" i="21" s="1"/>
  <c r="W184" i="21"/>
  <c r="W185" i="21"/>
  <c r="Y185" i="21" s="1"/>
  <c r="W186" i="21"/>
  <c r="Y186" i="21" s="1"/>
  <c r="W187" i="21"/>
  <c r="Y187" i="21" s="1"/>
  <c r="W188" i="21"/>
  <c r="Y188" i="21" s="1"/>
  <c r="W189" i="21"/>
  <c r="Y189" i="21" s="1"/>
  <c r="W190" i="21"/>
  <c r="Y190" i="21" s="1"/>
  <c r="W191" i="21"/>
  <c r="Y191" i="21" s="1"/>
  <c r="W192" i="21"/>
  <c r="Y192" i="21" s="1"/>
  <c r="W193" i="21"/>
  <c r="W194" i="21"/>
  <c r="Y194" i="21" s="1"/>
  <c r="W195" i="21"/>
  <c r="Y195" i="21" s="1"/>
  <c r="W196" i="21"/>
  <c r="Y196" i="21" s="1"/>
  <c r="W197" i="21"/>
  <c r="Y197" i="21" s="1"/>
  <c r="W198" i="21"/>
  <c r="Y198" i="21" s="1"/>
  <c r="W199" i="21"/>
  <c r="Y199" i="21" s="1"/>
  <c r="W200" i="21"/>
  <c r="Y200" i="21" s="1"/>
  <c r="W201" i="21"/>
  <c r="Y201" i="21" s="1"/>
  <c r="W2" i="21"/>
  <c r="M3" i="21"/>
  <c r="O3" i="21" s="1"/>
  <c r="M4" i="21"/>
  <c r="O4" i="21" s="1"/>
  <c r="M5" i="21"/>
  <c r="O5" i="21" s="1"/>
  <c r="M6" i="21"/>
  <c r="O6" i="21" s="1"/>
  <c r="M7" i="21"/>
  <c r="O7" i="21" s="1"/>
  <c r="M8" i="21"/>
  <c r="O8" i="21" s="1"/>
  <c r="M9" i="21"/>
  <c r="O9" i="21" s="1"/>
  <c r="M10" i="21"/>
  <c r="O10" i="21" s="1"/>
  <c r="M11" i="21"/>
  <c r="O11" i="21" s="1"/>
  <c r="M12" i="21"/>
  <c r="O12" i="21" s="1"/>
  <c r="M13" i="21"/>
  <c r="O13" i="21" s="1"/>
  <c r="M14" i="21"/>
  <c r="O14" i="21" s="1"/>
  <c r="M15" i="21"/>
  <c r="O15" i="21" s="1"/>
  <c r="M16" i="21"/>
  <c r="O16" i="21" s="1"/>
  <c r="M17" i="21"/>
  <c r="O17" i="21" s="1"/>
  <c r="M18" i="21"/>
  <c r="O18" i="21" s="1"/>
  <c r="M19" i="21"/>
  <c r="O19" i="21" s="1"/>
  <c r="M20" i="21"/>
  <c r="O20" i="21" s="1"/>
  <c r="M21" i="21"/>
  <c r="O21" i="21" s="1"/>
  <c r="M22" i="21"/>
  <c r="O22" i="21" s="1"/>
  <c r="M23" i="21"/>
  <c r="O23" i="21" s="1"/>
  <c r="M24" i="21"/>
  <c r="O24" i="21" s="1"/>
  <c r="M25" i="21"/>
  <c r="O25" i="21" s="1"/>
  <c r="M26" i="21"/>
  <c r="M27" i="21"/>
  <c r="O27" i="21" s="1"/>
  <c r="M28" i="21"/>
  <c r="O28" i="21" s="1"/>
  <c r="M29" i="21"/>
  <c r="O29" i="21" s="1"/>
  <c r="M30" i="21"/>
  <c r="O30" i="21" s="1"/>
  <c r="M31" i="21"/>
  <c r="O31" i="21" s="1"/>
  <c r="M32" i="21"/>
  <c r="O32" i="21" s="1"/>
  <c r="M33" i="21"/>
  <c r="O33" i="21" s="1"/>
  <c r="M34" i="21"/>
  <c r="O34" i="21" s="1"/>
  <c r="M35" i="21"/>
  <c r="O35" i="21" s="1"/>
  <c r="M36" i="21"/>
  <c r="O36" i="21" s="1"/>
  <c r="M37" i="21"/>
  <c r="O37" i="21" s="1"/>
  <c r="M38" i="21"/>
  <c r="O38" i="21" s="1"/>
  <c r="M39" i="21"/>
  <c r="O39" i="21" s="1"/>
  <c r="M40" i="21"/>
  <c r="O40" i="21" s="1"/>
  <c r="M41" i="21"/>
  <c r="O41" i="21" s="1"/>
  <c r="M42" i="21"/>
  <c r="O42" i="21" s="1"/>
  <c r="M43" i="21"/>
  <c r="O43" i="21" s="1"/>
  <c r="M44" i="21"/>
  <c r="O44" i="21" s="1"/>
  <c r="M45" i="21"/>
  <c r="O45" i="21" s="1"/>
  <c r="M46" i="21"/>
  <c r="O46" i="21" s="1"/>
  <c r="M47" i="21"/>
  <c r="O47" i="21" s="1"/>
  <c r="M48" i="21"/>
  <c r="O48" i="21" s="1"/>
  <c r="M49" i="21"/>
  <c r="O49" i="21" s="1"/>
  <c r="M50" i="21"/>
  <c r="O50" i="21" s="1"/>
  <c r="M51" i="21"/>
  <c r="O51" i="21" s="1"/>
  <c r="M52" i="21"/>
  <c r="M53" i="21"/>
  <c r="O53" i="21" s="1"/>
  <c r="M54" i="21"/>
  <c r="O54" i="21" s="1"/>
  <c r="M55" i="21"/>
  <c r="O55" i="21" s="1"/>
  <c r="M56" i="21"/>
  <c r="O56" i="21" s="1"/>
  <c r="M57" i="21"/>
  <c r="O57" i="21" s="1"/>
  <c r="M58" i="21"/>
  <c r="O58" i="21" s="1"/>
  <c r="M59" i="21"/>
  <c r="O59" i="21" s="1"/>
  <c r="M60" i="21"/>
  <c r="O60" i="21" s="1"/>
  <c r="M61" i="21"/>
  <c r="M62" i="21"/>
  <c r="O62" i="21" s="1"/>
  <c r="M63" i="21"/>
  <c r="O63" i="21" s="1"/>
  <c r="M64" i="21"/>
  <c r="O64" i="21" s="1"/>
  <c r="M65" i="21"/>
  <c r="O65" i="21" s="1"/>
  <c r="M66" i="21"/>
  <c r="O66" i="21" s="1"/>
  <c r="M67" i="21"/>
  <c r="O67" i="21" s="1"/>
  <c r="M68" i="21"/>
  <c r="O68" i="21" s="1"/>
  <c r="M69" i="21"/>
  <c r="O69" i="21" s="1"/>
  <c r="M70" i="21"/>
  <c r="O70" i="21" s="1"/>
  <c r="M71" i="21"/>
  <c r="O71" i="21" s="1"/>
  <c r="M72" i="21"/>
  <c r="O72" i="21" s="1"/>
  <c r="M73" i="21"/>
  <c r="M74" i="21"/>
  <c r="O74" i="21" s="1"/>
  <c r="M75" i="21"/>
  <c r="O75" i="21" s="1"/>
  <c r="M76" i="21"/>
  <c r="O76" i="21" s="1"/>
  <c r="M77" i="21"/>
  <c r="O77" i="21" s="1"/>
  <c r="M78" i="21"/>
  <c r="O78" i="21" s="1"/>
  <c r="M79" i="21"/>
  <c r="O79" i="21" s="1"/>
  <c r="M80" i="21"/>
  <c r="O80" i="21" s="1"/>
  <c r="M81" i="21"/>
  <c r="M82" i="21"/>
  <c r="M83" i="21"/>
  <c r="O83" i="21" s="1"/>
  <c r="M84" i="21"/>
  <c r="O84" i="21" s="1"/>
  <c r="M85" i="21"/>
  <c r="O85" i="21" s="1"/>
  <c r="M86" i="21"/>
  <c r="O86" i="21" s="1"/>
  <c r="M87" i="21"/>
  <c r="O87" i="21" s="1"/>
  <c r="M88" i="21"/>
  <c r="O88" i="21" s="1"/>
  <c r="M89" i="21"/>
  <c r="O89" i="21" s="1"/>
  <c r="M90" i="21"/>
  <c r="O90" i="21" s="1"/>
  <c r="M91" i="21"/>
  <c r="O91" i="21" s="1"/>
  <c r="M92" i="21"/>
  <c r="O92" i="21" s="1"/>
  <c r="M93" i="21"/>
  <c r="O93" i="21" s="1"/>
  <c r="M94" i="21"/>
  <c r="O94" i="21" s="1"/>
  <c r="M95" i="21"/>
  <c r="O95" i="21" s="1"/>
  <c r="M96" i="21"/>
  <c r="O96" i="21" s="1"/>
  <c r="M97" i="21"/>
  <c r="M98" i="21"/>
  <c r="M99" i="21"/>
  <c r="O99" i="21" s="1"/>
  <c r="M100" i="21"/>
  <c r="O100" i="21" s="1"/>
  <c r="M101" i="21"/>
  <c r="O101" i="21" s="1"/>
  <c r="M102" i="21"/>
  <c r="M103" i="21"/>
  <c r="AC257" i="30" s="1"/>
  <c r="M104" i="21"/>
  <c r="O104" i="21" s="1"/>
  <c r="M105" i="21"/>
  <c r="O105" i="21" s="1"/>
  <c r="M106" i="21"/>
  <c r="O106" i="21" s="1"/>
  <c r="M107" i="21"/>
  <c r="O107" i="21" s="1"/>
  <c r="M108" i="21"/>
  <c r="O108" i="21" s="1"/>
  <c r="M109" i="21"/>
  <c r="O109" i="21" s="1"/>
  <c r="M110" i="21"/>
  <c r="O110" i="21" s="1"/>
  <c r="M111" i="21"/>
  <c r="O111" i="21" s="1"/>
  <c r="M112" i="21"/>
  <c r="O112" i="21" s="1"/>
  <c r="M113" i="21"/>
  <c r="O113" i="21" s="1"/>
  <c r="M114" i="21"/>
  <c r="O114" i="21" s="1"/>
  <c r="M115" i="21"/>
  <c r="O115" i="21" s="1"/>
  <c r="M116" i="21"/>
  <c r="O116" i="21" s="1"/>
  <c r="M117" i="21"/>
  <c r="O117" i="21" s="1"/>
  <c r="M118" i="21"/>
  <c r="O118" i="21" s="1"/>
  <c r="M119" i="21"/>
  <c r="O119" i="21" s="1"/>
  <c r="M120" i="21"/>
  <c r="O120" i="21" s="1"/>
  <c r="M121" i="21"/>
  <c r="O121" i="21" s="1"/>
  <c r="M122" i="21"/>
  <c r="M123" i="21"/>
  <c r="O123" i="21" s="1"/>
  <c r="M124" i="21"/>
  <c r="O124" i="21" s="1"/>
  <c r="M125" i="21"/>
  <c r="O125" i="21" s="1"/>
  <c r="M126" i="21"/>
  <c r="M127" i="21"/>
  <c r="M128" i="21"/>
  <c r="O128" i="21" s="1"/>
  <c r="M129" i="21"/>
  <c r="O129" i="21" s="1"/>
  <c r="M130" i="21"/>
  <c r="O130" i="21" s="1"/>
  <c r="M131" i="21"/>
  <c r="O131" i="21" s="1"/>
  <c r="M132" i="21"/>
  <c r="O132" i="21" s="1"/>
  <c r="M133" i="21"/>
  <c r="M134" i="21"/>
  <c r="O134" i="21" s="1"/>
  <c r="M135" i="21"/>
  <c r="O135" i="21" s="1"/>
  <c r="M136" i="21"/>
  <c r="O136" i="21" s="1"/>
  <c r="M137" i="21"/>
  <c r="O137" i="21" s="1"/>
  <c r="M138" i="21"/>
  <c r="M139" i="21"/>
  <c r="O139" i="21" s="1"/>
  <c r="M140" i="21"/>
  <c r="O140" i="21" s="1"/>
  <c r="M141" i="21"/>
  <c r="O141" i="21" s="1"/>
  <c r="M142" i="21"/>
  <c r="M143" i="21"/>
  <c r="M144" i="21"/>
  <c r="O144" i="21" s="1"/>
  <c r="M145" i="21"/>
  <c r="O145" i="21" s="1"/>
  <c r="M146" i="21"/>
  <c r="O146" i="21" s="1"/>
  <c r="M147" i="21"/>
  <c r="O147" i="21" s="1"/>
  <c r="M148" i="21"/>
  <c r="O148" i="21" s="1"/>
  <c r="M149" i="21"/>
  <c r="O149" i="21" s="1"/>
  <c r="M150" i="21"/>
  <c r="O150" i="21" s="1"/>
  <c r="M151" i="21"/>
  <c r="O151" i="21" s="1"/>
  <c r="M152" i="21"/>
  <c r="O152" i="21" s="1"/>
  <c r="M153" i="21"/>
  <c r="O153" i="21" s="1"/>
  <c r="M154" i="21"/>
  <c r="M155" i="21"/>
  <c r="O155" i="21" s="1"/>
  <c r="M156" i="21"/>
  <c r="M157" i="21"/>
  <c r="O157" i="21" s="1"/>
  <c r="M158" i="21"/>
  <c r="O158" i="21" s="1"/>
  <c r="M159" i="21"/>
  <c r="O159" i="21" s="1"/>
  <c r="M160" i="21"/>
  <c r="O160" i="21" s="1"/>
  <c r="M161" i="21"/>
  <c r="O161" i="21" s="1"/>
  <c r="M162" i="21"/>
  <c r="O162" i="21" s="1"/>
  <c r="M163" i="21"/>
  <c r="O163" i="21" s="1"/>
  <c r="M164" i="21"/>
  <c r="O164" i="21" s="1"/>
  <c r="M165" i="21"/>
  <c r="O165" i="21" s="1"/>
  <c r="M166" i="21"/>
  <c r="O166" i="21" s="1"/>
  <c r="M167" i="21"/>
  <c r="O167" i="21" s="1"/>
  <c r="M168" i="21"/>
  <c r="O168" i="21" s="1"/>
  <c r="M169" i="21"/>
  <c r="O169" i="21" s="1"/>
  <c r="M170" i="21"/>
  <c r="O170" i="21" s="1"/>
  <c r="M171" i="21"/>
  <c r="O171" i="21" s="1"/>
  <c r="M172" i="21"/>
  <c r="M173" i="21"/>
  <c r="M174" i="21"/>
  <c r="O174" i="21" s="1"/>
  <c r="M175" i="21"/>
  <c r="M176" i="21"/>
  <c r="O176" i="21" s="1"/>
  <c r="M177" i="21"/>
  <c r="O177" i="21" s="1"/>
  <c r="M178" i="21"/>
  <c r="O178" i="21" s="1"/>
  <c r="M179" i="21"/>
  <c r="O179" i="21" s="1"/>
  <c r="M180" i="21"/>
  <c r="O180" i="21" s="1"/>
  <c r="M181" i="21"/>
  <c r="O181" i="21" s="1"/>
  <c r="M182" i="21"/>
  <c r="O182" i="21" s="1"/>
  <c r="M183" i="21"/>
  <c r="O183" i="21" s="1"/>
  <c r="M184" i="21"/>
  <c r="O184" i="21" s="1"/>
  <c r="M185" i="21"/>
  <c r="O185" i="21" s="1"/>
  <c r="M186" i="21"/>
  <c r="O186" i="21" s="1"/>
  <c r="M187" i="21"/>
  <c r="M188" i="21"/>
  <c r="O188" i="21" s="1"/>
  <c r="M189" i="21"/>
  <c r="O189" i="21" s="1"/>
  <c r="M190" i="21"/>
  <c r="O190" i="21" s="1"/>
  <c r="M191" i="21"/>
  <c r="O191" i="21" s="1"/>
  <c r="M192" i="21"/>
  <c r="O192" i="21" s="1"/>
  <c r="M193" i="21"/>
  <c r="O193" i="21" s="1"/>
  <c r="M194" i="21"/>
  <c r="O194" i="21" s="1"/>
  <c r="M195" i="21"/>
  <c r="M196" i="21"/>
  <c r="O196" i="21" s="1"/>
  <c r="M197" i="21"/>
  <c r="O197" i="21" s="1"/>
  <c r="M198" i="21"/>
  <c r="O198" i="21" s="1"/>
  <c r="M199" i="21"/>
  <c r="O199" i="21" s="1"/>
  <c r="M200" i="21"/>
  <c r="O200" i="21" s="1"/>
  <c r="M201" i="21"/>
  <c r="O201" i="21" s="1"/>
  <c r="M2" i="21"/>
  <c r="C3" i="21"/>
  <c r="E3" i="21" s="1"/>
  <c r="C4" i="21"/>
  <c r="E4" i="21" s="1"/>
  <c r="C5" i="21"/>
  <c r="E5" i="21" s="1"/>
  <c r="C6" i="21"/>
  <c r="E6" i="21" s="1"/>
  <c r="C7" i="21"/>
  <c r="C8" i="21"/>
  <c r="E8" i="21" s="1"/>
  <c r="C9" i="21"/>
  <c r="E9" i="21" s="1"/>
  <c r="C10" i="21"/>
  <c r="E10" i="21" s="1"/>
  <c r="C11" i="21"/>
  <c r="C12" i="21"/>
  <c r="E12" i="21" s="1"/>
  <c r="C13" i="21"/>
  <c r="E13" i="21" s="1"/>
  <c r="C14" i="21"/>
  <c r="E14" i="21" s="1"/>
  <c r="C15" i="21"/>
  <c r="E15" i="21" s="1"/>
  <c r="C16" i="21"/>
  <c r="E16" i="21" s="1"/>
  <c r="C17" i="21"/>
  <c r="E17" i="21" s="1"/>
  <c r="C18" i="21"/>
  <c r="E18" i="21" s="1"/>
  <c r="C19" i="21"/>
  <c r="E19" i="21" s="1"/>
  <c r="C20" i="21"/>
  <c r="E20" i="21" s="1"/>
  <c r="C21" i="21"/>
  <c r="E21" i="21" s="1"/>
  <c r="C22" i="21"/>
  <c r="C23" i="21"/>
  <c r="E23" i="21" s="1"/>
  <c r="C24" i="21"/>
  <c r="E24" i="21" s="1"/>
  <c r="C25" i="21"/>
  <c r="E25" i="21" s="1"/>
  <c r="C26" i="21"/>
  <c r="E26" i="21" s="1"/>
  <c r="C27" i="21"/>
  <c r="E27" i="21" s="1"/>
  <c r="C28" i="21"/>
  <c r="E28" i="21" s="1"/>
  <c r="C29" i="21"/>
  <c r="E29" i="21" s="1"/>
  <c r="C30" i="21"/>
  <c r="E30" i="21" s="1"/>
  <c r="C31" i="21"/>
  <c r="E31" i="21" s="1"/>
  <c r="C32" i="21"/>
  <c r="E32" i="21" s="1"/>
  <c r="C33" i="21"/>
  <c r="E33" i="21" s="1"/>
  <c r="C34" i="21"/>
  <c r="E34" i="21" s="1"/>
  <c r="C35" i="21"/>
  <c r="E35" i="21" s="1"/>
  <c r="C36" i="21"/>
  <c r="E36" i="21" s="1"/>
  <c r="C37" i="21"/>
  <c r="E37" i="21" s="1"/>
  <c r="C38" i="21"/>
  <c r="E38" i="21" s="1"/>
  <c r="C39" i="21"/>
  <c r="E39" i="21" s="1"/>
  <c r="C40" i="21"/>
  <c r="E40" i="21" s="1"/>
  <c r="C41" i="21"/>
  <c r="E41" i="21" s="1"/>
  <c r="C42" i="21"/>
  <c r="E42" i="21" s="1"/>
  <c r="C43" i="21"/>
  <c r="C44" i="21"/>
  <c r="E44" i="21" s="1"/>
  <c r="C45" i="21"/>
  <c r="E45" i="21" s="1"/>
  <c r="C46" i="21"/>
  <c r="E46" i="21" s="1"/>
  <c r="C47" i="21"/>
  <c r="E47" i="21" s="1"/>
  <c r="C48" i="21"/>
  <c r="E48" i="21" s="1"/>
  <c r="C49" i="21"/>
  <c r="E49" i="21" s="1"/>
  <c r="C50" i="21"/>
  <c r="E50" i="21" s="1"/>
  <c r="C51" i="21"/>
  <c r="C52" i="21"/>
  <c r="E52" i="21" s="1"/>
  <c r="C53" i="21"/>
  <c r="C54" i="21"/>
  <c r="E54" i="21" s="1"/>
  <c r="C55" i="21"/>
  <c r="E55" i="21" s="1"/>
  <c r="C56" i="21"/>
  <c r="E56" i="21" s="1"/>
  <c r="C57" i="21"/>
  <c r="E57" i="21" s="1"/>
  <c r="C58" i="21"/>
  <c r="E58" i="21" s="1"/>
  <c r="C59" i="21"/>
  <c r="E59" i="21" s="1"/>
  <c r="C60" i="21"/>
  <c r="E60" i="21" s="1"/>
  <c r="C61" i="21"/>
  <c r="E61" i="21" s="1"/>
  <c r="C62" i="21"/>
  <c r="E62" i="21" s="1"/>
  <c r="C63" i="21"/>
  <c r="E63" i="21" s="1"/>
  <c r="C64" i="21"/>
  <c r="C65" i="21"/>
  <c r="E65" i="21" s="1"/>
  <c r="C66" i="21"/>
  <c r="C67" i="21"/>
  <c r="E67" i="21" s="1"/>
  <c r="C68" i="21"/>
  <c r="E68" i="21" s="1"/>
  <c r="C69" i="21"/>
  <c r="E69" i="21" s="1"/>
  <c r="C70" i="21"/>
  <c r="E70" i="21" s="1"/>
  <c r="C71" i="21"/>
  <c r="E71" i="21" s="1"/>
  <c r="C72" i="21"/>
  <c r="E72" i="21" s="1"/>
  <c r="C73" i="21"/>
  <c r="E73" i="21" s="1"/>
  <c r="C74" i="21"/>
  <c r="E74" i="21" s="1"/>
  <c r="C75" i="21"/>
  <c r="E75" i="21" s="1"/>
  <c r="C76" i="21"/>
  <c r="C77" i="21"/>
  <c r="E77" i="21" s="1"/>
  <c r="C78" i="21"/>
  <c r="E78" i="21" s="1"/>
  <c r="C79" i="21"/>
  <c r="E79" i="21" s="1"/>
  <c r="C80" i="21"/>
  <c r="E80" i="21" s="1"/>
  <c r="C81" i="21"/>
  <c r="C82" i="21"/>
  <c r="E82" i="21" s="1"/>
  <c r="C83" i="21"/>
  <c r="E83" i="21" s="1"/>
  <c r="C84" i="21"/>
  <c r="E84" i="21" s="1"/>
  <c r="C85" i="21"/>
  <c r="E85" i="21" s="1"/>
  <c r="C86" i="21"/>
  <c r="E86" i="21" s="1"/>
  <c r="C87" i="21"/>
  <c r="C88" i="21"/>
  <c r="E88" i="21" s="1"/>
  <c r="C89" i="21"/>
  <c r="E89" i="21" s="1"/>
  <c r="C90" i="21"/>
  <c r="E90" i="21" s="1"/>
  <c r="C91" i="21"/>
  <c r="E91" i="21" s="1"/>
  <c r="C92" i="21"/>
  <c r="E92" i="21" s="1"/>
  <c r="C93" i="21"/>
  <c r="E93" i="21" s="1"/>
  <c r="C94" i="21"/>
  <c r="E94" i="21" s="1"/>
  <c r="C95" i="21"/>
  <c r="E95" i="21" s="1"/>
  <c r="C96" i="21"/>
  <c r="E96" i="21" s="1"/>
  <c r="C97" i="21"/>
  <c r="E97" i="21" s="1"/>
  <c r="C98" i="21"/>
  <c r="E98" i="21" s="1"/>
  <c r="C99" i="21"/>
  <c r="E99" i="21" s="1"/>
  <c r="C100" i="21"/>
  <c r="E100" i="21" s="1"/>
  <c r="C101" i="21"/>
  <c r="E101" i="21" s="1"/>
  <c r="C102" i="21"/>
  <c r="E102" i="21" s="1"/>
  <c r="C103" i="21"/>
  <c r="E103" i="21" s="1"/>
  <c r="C104" i="21"/>
  <c r="C105" i="21"/>
  <c r="E105" i="21" s="1"/>
  <c r="C106" i="21"/>
  <c r="E106" i="21" s="1"/>
  <c r="C107" i="21"/>
  <c r="AC248" i="30" s="1"/>
  <c r="C108" i="21"/>
  <c r="E108" i="21" s="1"/>
  <c r="C109" i="21"/>
  <c r="E109" i="21" s="1"/>
  <c r="C110" i="21"/>
  <c r="E110" i="21" s="1"/>
  <c r="C111" i="21"/>
  <c r="E111" i="21" s="1"/>
  <c r="C112" i="21"/>
  <c r="E112" i="21" s="1"/>
  <c r="C113" i="21"/>
  <c r="E113" i="21" s="1"/>
  <c r="C114" i="21"/>
  <c r="E114" i="21" s="1"/>
  <c r="C115" i="21"/>
  <c r="E115" i="21" s="1"/>
  <c r="C116" i="21"/>
  <c r="C117" i="21"/>
  <c r="E117" i="21" s="1"/>
  <c r="C118" i="21"/>
  <c r="C119" i="21"/>
  <c r="E119" i="21" s="1"/>
  <c r="C120" i="21"/>
  <c r="E120" i="21" s="1"/>
  <c r="C121" i="21"/>
  <c r="E121" i="21" s="1"/>
  <c r="C122" i="21"/>
  <c r="E122" i="21" s="1"/>
  <c r="C123" i="21"/>
  <c r="E123" i="21" s="1"/>
  <c r="C124" i="21"/>
  <c r="E124" i="21" s="1"/>
  <c r="C125" i="21"/>
  <c r="E125" i="21" s="1"/>
  <c r="C126" i="21"/>
  <c r="E126" i="21" s="1"/>
  <c r="C127" i="21"/>
  <c r="C128" i="21"/>
  <c r="E128" i="21" s="1"/>
  <c r="C129" i="21"/>
  <c r="E129" i="21" s="1"/>
  <c r="C130" i="21"/>
  <c r="E130" i="21" s="1"/>
  <c r="C131" i="21"/>
  <c r="E131" i="21" s="1"/>
  <c r="C132" i="21"/>
  <c r="C133" i="21"/>
  <c r="E133" i="21" s="1"/>
  <c r="C134" i="21"/>
  <c r="E134" i="21" s="1"/>
  <c r="C135" i="21"/>
  <c r="E135" i="21" s="1"/>
  <c r="C136" i="21"/>
  <c r="E136" i="21" s="1"/>
  <c r="C137" i="21"/>
  <c r="E137" i="21" s="1"/>
  <c r="C138" i="21"/>
  <c r="E138" i="21" s="1"/>
  <c r="C139" i="21"/>
  <c r="E139" i="21" s="1"/>
  <c r="C140" i="21"/>
  <c r="E140" i="21" s="1"/>
  <c r="C141" i="21"/>
  <c r="E141" i="21" s="1"/>
  <c r="C142" i="21"/>
  <c r="E142" i="21" s="1"/>
  <c r="C143" i="21"/>
  <c r="E143" i="21" s="1"/>
  <c r="C144" i="21"/>
  <c r="C145" i="21"/>
  <c r="E145" i="21" s="1"/>
  <c r="C146" i="21"/>
  <c r="E146" i="21" s="1"/>
  <c r="C147" i="21"/>
  <c r="E147" i="21" s="1"/>
  <c r="C148" i="21"/>
  <c r="E148" i="21" s="1"/>
  <c r="C149" i="21"/>
  <c r="E149" i="21" s="1"/>
  <c r="C150" i="21"/>
  <c r="E150" i="21" s="1"/>
  <c r="C151" i="21"/>
  <c r="C152" i="21"/>
  <c r="E152" i="21" s="1"/>
  <c r="C153" i="21"/>
  <c r="E153" i="21" s="1"/>
  <c r="C154" i="21"/>
  <c r="C155" i="21"/>
  <c r="E155" i="21" s="1"/>
  <c r="C156" i="21"/>
  <c r="E156" i="21" s="1"/>
  <c r="C157" i="21"/>
  <c r="E157" i="21" s="1"/>
  <c r="C158" i="21"/>
  <c r="E158" i="21" s="1"/>
  <c r="C159" i="21"/>
  <c r="E159" i="21" s="1"/>
  <c r="C160" i="21"/>
  <c r="E160" i="21" s="1"/>
  <c r="C161" i="21"/>
  <c r="E161" i="21" s="1"/>
  <c r="C162" i="21"/>
  <c r="C163" i="21"/>
  <c r="E163" i="21" s="1"/>
  <c r="C164" i="21"/>
  <c r="E164" i="21" s="1"/>
  <c r="C165" i="21"/>
  <c r="E165" i="21" s="1"/>
  <c r="C166" i="21"/>
  <c r="E166" i="21" s="1"/>
  <c r="C167" i="21"/>
  <c r="E167" i="21" s="1"/>
  <c r="C168" i="21"/>
  <c r="E168" i="21" s="1"/>
  <c r="C169" i="21"/>
  <c r="E169" i="21" s="1"/>
  <c r="C170" i="21"/>
  <c r="E170" i="21" s="1"/>
  <c r="C171" i="21"/>
  <c r="E171" i="21" s="1"/>
  <c r="C172" i="21"/>
  <c r="AC243" i="30" s="1"/>
  <c r="C173" i="21"/>
  <c r="E173" i="21" s="1"/>
  <c r="C174" i="21"/>
  <c r="E174" i="21" s="1"/>
  <c r="C175" i="21"/>
  <c r="E175" i="21" s="1"/>
  <c r="C176" i="21"/>
  <c r="E176" i="21" s="1"/>
  <c r="C177" i="21"/>
  <c r="E177" i="21" s="1"/>
  <c r="C178" i="21"/>
  <c r="E178" i="21" s="1"/>
  <c r="C179" i="21"/>
  <c r="E179" i="21" s="1"/>
  <c r="C180" i="21"/>
  <c r="E180" i="21" s="1"/>
  <c r="C181" i="21"/>
  <c r="E181" i="21" s="1"/>
  <c r="C182" i="21"/>
  <c r="E182" i="21" s="1"/>
  <c r="C183" i="21"/>
  <c r="E183" i="21" s="1"/>
  <c r="C184" i="21"/>
  <c r="E184" i="21" s="1"/>
  <c r="C185" i="21"/>
  <c r="E185" i="21" s="1"/>
  <c r="C186" i="21"/>
  <c r="C187" i="21"/>
  <c r="E187" i="21" s="1"/>
  <c r="C188" i="21"/>
  <c r="E188" i="21" s="1"/>
  <c r="C189" i="21"/>
  <c r="E189" i="21" s="1"/>
  <c r="C190" i="21"/>
  <c r="E190" i="21" s="1"/>
  <c r="C191" i="21"/>
  <c r="E191" i="21" s="1"/>
  <c r="C192" i="21"/>
  <c r="C193" i="21"/>
  <c r="E193" i="21" s="1"/>
  <c r="C194" i="21"/>
  <c r="E194" i="21" s="1"/>
  <c r="C195" i="21"/>
  <c r="E195" i="21" s="1"/>
  <c r="C196" i="21"/>
  <c r="E196" i="21" s="1"/>
  <c r="C197" i="21"/>
  <c r="E197" i="21" s="1"/>
  <c r="C198" i="21"/>
  <c r="E198" i="21" s="1"/>
  <c r="C199" i="21"/>
  <c r="E199" i="21" s="1"/>
  <c r="C200" i="21"/>
  <c r="E200" i="21" s="1"/>
  <c r="C201" i="21"/>
  <c r="E201" i="21" s="1"/>
  <c r="C2" i="21"/>
  <c r="E2" i="21" s="1"/>
  <c r="O81" i="21" l="1"/>
  <c r="O154" i="21"/>
  <c r="E64" i="21"/>
  <c r="E81" i="21"/>
  <c r="AF300" i="30"/>
  <c r="AF321" i="30"/>
  <c r="AF290" i="30"/>
  <c r="AF303" i="30"/>
  <c r="AF296" i="30"/>
  <c r="AF314" i="30"/>
  <c r="AF288" i="30"/>
  <c r="AF281" i="30"/>
  <c r="AF277" i="30"/>
  <c r="AF284" i="30"/>
  <c r="AF278" i="30"/>
  <c r="AF276" i="30"/>
  <c r="AF327" i="30"/>
  <c r="AF299" i="30"/>
  <c r="AF283" i="30"/>
  <c r="AF311" i="30"/>
  <c r="AF304" i="30"/>
  <c r="AF289" i="30"/>
  <c r="AF280" i="30"/>
  <c r="AF282" i="30"/>
  <c r="AF324" i="30"/>
  <c r="AF332" i="30"/>
  <c r="AF294" i="30"/>
  <c r="AF275" i="30"/>
  <c r="AF291" i="30"/>
  <c r="AF323" i="30"/>
  <c r="AF326" i="30"/>
  <c r="AF302" i="30"/>
  <c r="AF301" i="30"/>
  <c r="AF298" i="30"/>
  <c r="AF325" i="30"/>
  <c r="AF310" i="30"/>
  <c r="AF279" i="30"/>
  <c r="AF320" i="30"/>
  <c r="AF312" i="30"/>
  <c r="AF322" i="30"/>
  <c r="AF285" i="30"/>
  <c r="AF316" i="30"/>
  <c r="AF305" i="30"/>
  <c r="AF319" i="30"/>
  <c r="AF330" i="30"/>
  <c r="AF295" i="30"/>
  <c r="AF292" i="30"/>
  <c r="AF315" i="30"/>
  <c r="AF309" i="30"/>
  <c r="AF329" i="30"/>
  <c r="Q125" i="21"/>
  <c r="P125" i="21"/>
  <c r="O127" i="21"/>
  <c r="AF255" i="30" s="1"/>
  <c r="AC255" i="30"/>
  <c r="Y51" i="21"/>
  <c r="AC267" i="30"/>
  <c r="G179" i="21"/>
  <c r="F179" i="21"/>
  <c r="F155" i="21"/>
  <c r="G155" i="21"/>
  <c r="F131" i="21"/>
  <c r="G131" i="21"/>
  <c r="F107" i="21"/>
  <c r="G107" i="21"/>
  <c r="AD248" i="30"/>
  <c r="F83" i="21"/>
  <c r="G83" i="21"/>
  <c r="F59" i="21"/>
  <c r="G59" i="21"/>
  <c r="F35" i="21"/>
  <c r="G35" i="21"/>
  <c r="F11" i="21"/>
  <c r="G11" i="21"/>
  <c r="Q187" i="21"/>
  <c r="P187" i="21"/>
  <c r="AD261" i="30"/>
  <c r="Q163" i="21"/>
  <c r="P163" i="21"/>
  <c r="Q139" i="21"/>
  <c r="P139" i="21"/>
  <c r="Q115" i="21"/>
  <c r="P115" i="21"/>
  <c r="Q91" i="21"/>
  <c r="P91" i="21"/>
  <c r="Q67" i="21"/>
  <c r="P67" i="21"/>
  <c r="Q43" i="21"/>
  <c r="P43" i="21"/>
  <c r="Q19" i="21"/>
  <c r="P19" i="21"/>
  <c r="AA195" i="21"/>
  <c r="Z195" i="21"/>
  <c r="AA171" i="21"/>
  <c r="Z171" i="21"/>
  <c r="AA147" i="21"/>
  <c r="Z147" i="21"/>
  <c r="AA123" i="21"/>
  <c r="Z123" i="21"/>
  <c r="AA99" i="21"/>
  <c r="Z99" i="21"/>
  <c r="AA75" i="21"/>
  <c r="Z75" i="21"/>
  <c r="AA51" i="21"/>
  <c r="Z51" i="21"/>
  <c r="AD267" i="30"/>
  <c r="AA27" i="21"/>
  <c r="Z27" i="21"/>
  <c r="AA3" i="21"/>
  <c r="Z3" i="21"/>
  <c r="E118" i="21"/>
  <c r="AF246" i="30" s="1"/>
  <c r="AC246" i="30"/>
  <c r="O126" i="21"/>
  <c r="AF256" i="30" s="1"/>
  <c r="AC256" i="30"/>
  <c r="Y170" i="21"/>
  <c r="AF263" i="30" s="1"/>
  <c r="AC263" i="30"/>
  <c r="F2" i="21"/>
  <c r="G2" i="21"/>
  <c r="F190" i="21"/>
  <c r="G190" i="21"/>
  <c r="G178" i="21"/>
  <c r="F178" i="21"/>
  <c r="G166" i="21"/>
  <c r="F166" i="21"/>
  <c r="G154" i="21"/>
  <c r="F154" i="21"/>
  <c r="G142" i="21"/>
  <c r="F142" i="21"/>
  <c r="G130" i="21"/>
  <c r="F130" i="21"/>
  <c r="G118" i="21"/>
  <c r="F118" i="21"/>
  <c r="AD246" i="30"/>
  <c r="G106" i="21"/>
  <c r="F106" i="21"/>
  <c r="G94" i="21"/>
  <c r="F94" i="21"/>
  <c r="G82" i="21"/>
  <c r="F82" i="21"/>
  <c r="G70" i="21"/>
  <c r="F70" i="21"/>
  <c r="G58" i="21"/>
  <c r="F58" i="21"/>
  <c r="G46" i="21"/>
  <c r="F46" i="21"/>
  <c r="G34" i="21"/>
  <c r="F34" i="21"/>
  <c r="G22" i="21"/>
  <c r="F22" i="21"/>
  <c r="F10" i="21"/>
  <c r="G10" i="21"/>
  <c r="Q198" i="21"/>
  <c r="P198" i="21"/>
  <c r="Q186" i="21"/>
  <c r="P186" i="21"/>
  <c r="Q174" i="21"/>
  <c r="P174" i="21"/>
  <c r="Q162" i="21"/>
  <c r="P162" i="21"/>
  <c r="Q150" i="21"/>
  <c r="P150" i="21"/>
  <c r="Q138" i="21"/>
  <c r="P138" i="21"/>
  <c r="Q126" i="21"/>
  <c r="P126" i="21"/>
  <c r="AD256" i="30"/>
  <c r="Q114" i="21"/>
  <c r="P114" i="21"/>
  <c r="Q102" i="21"/>
  <c r="P102" i="21"/>
  <c r="Q90" i="21"/>
  <c r="P90" i="21"/>
  <c r="Q78" i="21"/>
  <c r="P78" i="21"/>
  <c r="Q66" i="21"/>
  <c r="P66" i="21"/>
  <c r="Q54" i="21"/>
  <c r="P54" i="21"/>
  <c r="Q42" i="21"/>
  <c r="P42" i="21"/>
  <c r="Q30" i="21"/>
  <c r="P30" i="21"/>
  <c r="Q18" i="21"/>
  <c r="P18" i="21"/>
  <c r="Q6" i="21"/>
  <c r="P6" i="21"/>
  <c r="AA194" i="21"/>
  <c r="Z194" i="21"/>
  <c r="AA182" i="21"/>
  <c r="Z182" i="21"/>
  <c r="AA170" i="21"/>
  <c r="Z170" i="21"/>
  <c r="AD263" i="30"/>
  <c r="AA158" i="21"/>
  <c r="Z158" i="21"/>
  <c r="AA146" i="21"/>
  <c r="Z146" i="21"/>
  <c r="AA134" i="21"/>
  <c r="Z134" i="21"/>
  <c r="AA122" i="21"/>
  <c r="Z122" i="21"/>
  <c r="AA110" i="21"/>
  <c r="Z110" i="21"/>
  <c r="AA98" i="21"/>
  <c r="Z98" i="21"/>
  <c r="AA86" i="21"/>
  <c r="Z86" i="21"/>
  <c r="AA74" i="21"/>
  <c r="Z74" i="21"/>
  <c r="AA62" i="21"/>
  <c r="Z62" i="21"/>
  <c r="AA50" i="21"/>
  <c r="Z50" i="21"/>
  <c r="AA38" i="21"/>
  <c r="Z38" i="21"/>
  <c r="AA26" i="21"/>
  <c r="Z26" i="21"/>
  <c r="AA14" i="21"/>
  <c r="Z14" i="21"/>
  <c r="Y193" i="21"/>
  <c r="AC272" i="30"/>
  <c r="G141" i="21"/>
  <c r="F141" i="21"/>
  <c r="F81" i="21"/>
  <c r="G81" i="21"/>
  <c r="Q185" i="21"/>
  <c r="P185" i="21"/>
  <c r="Q77" i="21"/>
  <c r="P77" i="21"/>
  <c r="Z157" i="21"/>
  <c r="AA157" i="21"/>
  <c r="Z49" i="21"/>
  <c r="AA49" i="21"/>
  <c r="F129" i="21"/>
  <c r="G129" i="21"/>
  <c r="G45" i="21"/>
  <c r="F45" i="21"/>
  <c r="Q173" i="21"/>
  <c r="P173" i="21"/>
  <c r="Q65" i="21"/>
  <c r="P65" i="21"/>
  <c r="Z145" i="21"/>
  <c r="AA145" i="21"/>
  <c r="Z61" i="21"/>
  <c r="AA61" i="21"/>
  <c r="E116" i="21"/>
  <c r="AF247" i="30" s="1"/>
  <c r="AC247" i="30"/>
  <c r="F188" i="21"/>
  <c r="G188" i="21"/>
  <c r="G164" i="21"/>
  <c r="F164" i="21"/>
  <c r="G140" i="21"/>
  <c r="F140" i="21"/>
  <c r="G128" i="21"/>
  <c r="F128" i="21"/>
  <c r="G116" i="21"/>
  <c r="F116" i="21"/>
  <c r="AD247" i="30"/>
  <c r="G104" i="21"/>
  <c r="F104" i="21"/>
  <c r="G92" i="21"/>
  <c r="F92" i="21"/>
  <c r="G80" i="21"/>
  <c r="F80" i="21"/>
  <c r="G56" i="21"/>
  <c r="F56" i="21"/>
  <c r="G44" i="21"/>
  <c r="F44" i="21"/>
  <c r="G32" i="21"/>
  <c r="F32" i="21"/>
  <c r="G20" i="21"/>
  <c r="F20" i="21"/>
  <c r="G8" i="21"/>
  <c r="F8" i="21"/>
  <c r="Q196" i="21"/>
  <c r="P196" i="21"/>
  <c r="Q184" i="21"/>
  <c r="P184" i="21"/>
  <c r="Q172" i="21"/>
  <c r="P172" i="21"/>
  <c r="Q160" i="21"/>
  <c r="P160" i="21"/>
  <c r="Q148" i="21"/>
  <c r="P148" i="21"/>
  <c r="Q136" i="21"/>
  <c r="P136" i="21"/>
  <c r="Q124" i="21"/>
  <c r="P124" i="21"/>
  <c r="Q112" i="21"/>
  <c r="P112" i="21"/>
  <c r="Q100" i="21"/>
  <c r="P100" i="21"/>
  <c r="Q88" i="21"/>
  <c r="P88" i="21"/>
  <c r="Q76" i="21"/>
  <c r="P76" i="21"/>
  <c r="Q64" i="21"/>
  <c r="P64" i="21"/>
  <c r="Q52" i="21"/>
  <c r="P52" i="21"/>
  <c r="Q40" i="21"/>
  <c r="P40" i="21"/>
  <c r="Q28" i="21"/>
  <c r="P28" i="21"/>
  <c r="Q16" i="21"/>
  <c r="P16" i="21"/>
  <c r="Q4" i="21"/>
  <c r="P4" i="21"/>
  <c r="AA192" i="21"/>
  <c r="Z192" i="21"/>
  <c r="AA180" i="21"/>
  <c r="Z180" i="21"/>
  <c r="AA168" i="21"/>
  <c r="Z168" i="21"/>
  <c r="AA156" i="21"/>
  <c r="Z156" i="21"/>
  <c r="AA144" i="21"/>
  <c r="Z144" i="21"/>
  <c r="AA132" i="21"/>
  <c r="Z132" i="21"/>
  <c r="AA120" i="21"/>
  <c r="Z120" i="21"/>
  <c r="AA108" i="21"/>
  <c r="Z108" i="21"/>
  <c r="AA96" i="21"/>
  <c r="Z96" i="21"/>
  <c r="AA84" i="21"/>
  <c r="Z84" i="21"/>
  <c r="AA72" i="21"/>
  <c r="Z72" i="21"/>
  <c r="AA60" i="21"/>
  <c r="Z60" i="21"/>
  <c r="AA48" i="21"/>
  <c r="Z48" i="21"/>
  <c r="AA36" i="21"/>
  <c r="Z36" i="21"/>
  <c r="AA24" i="21"/>
  <c r="Z24" i="21"/>
  <c r="AA12" i="21"/>
  <c r="Z12" i="21"/>
  <c r="F177" i="21"/>
  <c r="G177" i="21"/>
  <c r="F57" i="21"/>
  <c r="G57" i="21"/>
  <c r="Q161" i="21"/>
  <c r="P161" i="21"/>
  <c r="Q29" i="21"/>
  <c r="P29" i="21"/>
  <c r="Z97" i="21"/>
  <c r="AA97" i="21"/>
  <c r="G200" i="21"/>
  <c r="F200" i="21"/>
  <c r="F176" i="21"/>
  <c r="G176" i="21"/>
  <c r="G152" i="21"/>
  <c r="F152" i="21"/>
  <c r="G68" i="21"/>
  <c r="F68" i="21"/>
  <c r="E43" i="21"/>
  <c r="AC252" i="30"/>
  <c r="O195" i="21"/>
  <c r="AF260" i="30" s="1"/>
  <c r="AC260" i="30"/>
  <c r="Y143" i="21"/>
  <c r="AF264" i="30" s="1"/>
  <c r="AC264" i="30"/>
  <c r="F199" i="21"/>
  <c r="G199" i="21"/>
  <c r="F187" i="21"/>
  <c r="G187" i="21"/>
  <c r="F175" i="21"/>
  <c r="G175" i="21"/>
  <c r="G163" i="21"/>
  <c r="F163" i="21"/>
  <c r="F151" i="21"/>
  <c r="G151" i="21"/>
  <c r="F139" i="21"/>
  <c r="G139" i="21"/>
  <c r="F127" i="21"/>
  <c r="G127" i="21"/>
  <c r="F115" i="21"/>
  <c r="G115" i="21"/>
  <c r="F103" i="21"/>
  <c r="G103" i="21"/>
  <c r="F91" i="21"/>
  <c r="G91" i="21"/>
  <c r="F79" i="21"/>
  <c r="G79" i="21"/>
  <c r="F67" i="21"/>
  <c r="G67" i="21"/>
  <c r="F55" i="21"/>
  <c r="G55" i="21"/>
  <c r="F43" i="21"/>
  <c r="G43" i="21"/>
  <c r="AD252" i="30"/>
  <c r="F31" i="21"/>
  <c r="G31" i="21"/>
  <c r="F19" i="21"/>
  <c r="G19" i="21"/>
  <c r="F7" i="21"/>
  <c r="G7" i="21"/>
  <c r="P195" i="21"/>
  <c r="Q195" i="21"/>
  <c r="AD260" i="30"/>
  <c r="P183" i="21"/>
  <c r="Q183" i="21"/>
  <c r="P171" i="21"/>
  <c r="Q171" i="21"/>
  <c r="P159" i="21"/>
  <c r="Q159" i="21"/>
  <c r="P147" i="21"/>
  <c r="Q147" i="21"/>
  <c r="P135" i="21"/>
  <c r="Q135" i="21"/>
  <c r="P123" i="21"/>
  <c r="Q123" i="21"/>
  <c r="P111" i="21"/>
  <c r="Q111" i="21"/>
  <c r="P99" i="21"/>
  <c r="Q99" i="21"/>
  <c r="P87" i="21"/>
  <c r="Q87" i="21"/>
  <c r="P75" i="21"/>
  <c r="Q75" i="21"/>
  <c r="P63" i="21"/>
  <c r="Q63" i="21"/>
  <c r="P51" i="21"/>
  <c r="Q51" i="21"/>
  <c r="P39" i="21"/>
  <c r="Q39" i="21"/>
  <c r="P27" i="21"/>
  <c r="Q27" i="21"/>
  <c r="P15" i="21"/>
  <c r="Q15" i="21"/>
  <c r="P3" i="21"/>
  <c r="Q3" i="21"/>
  <c r="AA191" i="21"/>
  <c r="Z191" i="21"/>
  <c r="AA179" i="21"/>
  <c r="Z179" i="21"/>
  <c r="AA167" i="21"/>
  <c r="Z167" i="21"/>
  <c r="AA155" i="21"/>
  <c r="Z155" i="21"/>
  <c r="AA143" i="21"/>
  <c r="Z143" i="21"/>
  <c r="AD264" i="30"/>
  <c r="AA131" i="21"/>
  <c r="Z131" i="21"/>
  <c r="AA119" i="21"/>
  <c r="Z119" i="21"/>
  <c r="AA107" i="21"/>
  <c r="Z107" i="21"/>
  <c r="AA95" i="21"/>
  <c r="Z95" i="21"/>
  <c r="AA83" i="21"/>
  <c r="Z83" i="21"/>
  <c r="AA71" i="21"/>
  <c r="Z71" i="21"/>
  <c r="AA59" i="21"/>
  <c r="Z59" i="21"/>
  <c r="AA47" i="21"/>
  <c r="Z47" i="21"/>
  <c r="AA35" i="21"/>
  <c r="Z35" i="21"/>
  <c r="AA23" i="21"/>
  <c r="Z23" i="21"/>
  <c r="AA11" i="21"/>
  <c r="Z11" i="21"/>
  <c r="F201" i="21"/>
  <c r="G201" i="21"/>
  <c r="G69" i="21"/>
  <c r="F69" i="21"/>
  <c r="Q149" i="21"/>
  <c r="P149" i="21"/>
  <c r="Q17" i="21"/>
  <c r="P17" i="21"/>
  <c r="Z85" i="21"/>
  <c r="AA85" i="21"/>
  <c r="G186" i="21"/>
  <c r="F186" i="21"/>
  <c r="G174" i="21"/>
  <c r="F174" i="21"/>
  <c r="G162" i="21"/>
  <c r="F162" i="21"/>
  <c r="G150" i="21"/>
  <c r="F150" i="21"/>
  <c r="G138" i="21"/>
  <c r="F138" i="21"/>
  <c r="G114" i="21"/>
  <c r="F114" i="21"/>
  <c r="G102" i="21"/>
  <c r="F102" i="21"/>
  <c r="G90" i="21"/>
  <c r="F90" i="21"/>
  <c r="G78" i="21"/>
  <c r="F78" i="21"/>
  <c r="G66" i="21"/>
  <c r="F66" i="21"/>
  <c r="AD249" i="30"/>
  <c r="G54" i="21"/>
  <c r="F54" i="21"/>
  <c r="G42" i="21"/>
  <c r="F42" i="21"/>
  <c r="G30" i="21"/>
  <c r="F30" i="21"/>
  <c r="G18" i="21"/>
  <c r="F18" i="21"/>
  <c r="G6" i="21"/>
  <c r="F6" i="21"/>
  <c r="Q194" i="21"/>
  <c r="P194" i="21"/>
  <c r="Q182" i="21"/>
  <c r="P182" i="21"/>
  <c r="Q170" i="21"/>
  <c r="P170" i="21"/>
  <c r="Q158" i="21"/>
  <c r="P158" i="21"/>
  <c r="Q146" i="21"/>
  <c r="P146" i="21"/>
  <c r="Q134" i="21"/>
  <c r="P134" i="21"/>
  <c r="Q122" i="21"/>
  <c r="P122" i="21"/>
  <c r="Q110" i="21"/>
  <c r="P110" i="21"/>
  <c r="Q98" i="21"/>
  <c r="P98" i="21"/>
  <c r="Q86" i="21"/>
  <c r="P86" i="21"/>
  <c r="Q74" i="21"/>
  <c r="P74" i="21"/>
  <c r="Q62" i="21"/>
  <c r="P62" i="21"/>
  <c r="Q50" i="21"/>
  <c r="P50" i="21"/>
  <c r="Q38" i="21"/>
  <c r="P38" i="21"/>
  <c r="Q26" i="21"/>
  <c r="P26" i="21"/>
  <c r="AD262" i="30"/>
  <c r="Q14" i="21"/>
  <c r="P14" i="21"/>
  <c r="AA2" i="21"/>
  <c r="Z2" i="21"/>
  <c r="AD266" i="30"/>
  <c r="AA190" i="21"/>
  <c r="Z190" i="21"/>
  <c r="AA178" i="21"/>
  <c r="Z178" i="21"/>
  <c r="AA166" i="21"/>
  <c r="Z166" i="21"/>
  <c r="AA154" i="21"/>
  <c r="Z154" i="21"/>
  <c r="AA142" i="21"/>
  <c r="Z142" i="21"/>
  <c r="AA130" i="21"/>
  <c r="Z130" i="21"/>
  <c r="AA118" i="21"/>
  <c r="Z118" i="21"/>
  <c r="AA106" i="21"/>
  <c r="Z106" i="21"/>
  <c r="AA94" i="21"/>
  <c r="Z94" i="21"/>
  <c r="AA82" i="21"/>
  <c r="Z82" i="21"/>
  <c r="AA70" i="21"/>
  <c r="Z70" i="21"/>
  <c r="AA58" i="21"/>
  <c r="Z58" i="21"/>
  <c r="AA46" i="21"/>
  <c r="Z46" i="21"/>
  <c r="AA34" i="21"/>
  <c r="Z34" i="21"/>
  <c r="AA22" i="21"/>
  <c r="Z22" i="21"/>
  <c r="AA10" i="21"/>
  <c r="Z10" i="21"/>
  <c r="G117" i="21"/>
  <c r="F117" i="21"/>
  <c r="G21" i="21"/>
  <c r="F21" i="21"/>
  <c r="Q89" i="21"/>
  <c r="P89" i="21"/>
  <c r="Z133" i="21"/>
  <c r="AA133" i="21"/>
  <c r="Z25" i="21"/>
  <c r="AA25" i="21"/>
  <c r="E66" i="21"/>
  <c r="AF249" i="30" s="1"/>
  <c r="AC249" i="30"/>
  <c r="O26" i="21"/>
  <c r="AF262" i="30" s="1"/>
  <c r="AC262" i="30"/>
  <c r="Y2" i="21"/>
  <c r="AF266" i="30" s="1"/>
  <c r="AC266" i="30"/>
  <c r="G198" i="21"/>
  <c r="F198" i="21"/>
  <c r="G126" i="21"/>
  <c r="F126" i="21"/>
  <c r="E53" i="21"/>
  <c r="AC250" i="30"/>
  <c r="O133" i="21"/>
  <c r="AF254" i="30" s="1"/>
  <c r="AC254" i="30"/>
  <c r="O97" i="21"/>
  <c r="AF258" i="30" s="1"/>
  <c r="AC258" i="30"/>
  <c r="G197" i="21"/>
  <c r="F197" i="21"/>
  <c r="G185" i="21"/>
  <c r="F185" i="21"/>
  <c r="G173" i="21"/>
  <c r="F173" i="21"/>
  <c r="F161" i="21"/>
  <c r="G161" i="21"/>
  <c r="G149" i="21"/>
  <c r="F149" i="21"/>
  <c r="G137" i="21"/>
  <c r="F137" i="21"/>
  <c r="G125" i="21"/>
  <c r="F125" i="21"/>
  <c r="G113" i="21"/>
  <c r="F113" i="21"/>
  <c r="G101" i="21"/>
  <c r="F101" i="21"/>
  <c r="G89" i="21"/>
  <c r="F89" i="21"/>
  <c r="G77" i="21"/>
  <c r="F77" i="21"/>
  <c r="G65" i="21"/>
  <c r="F65" i="21"/>
  <c r="G53" i="21"/>
  <c r="F53" i="21"/>
  <c r="AD250" i="30"/>
  <c r="G41" i="21"/>
  <c r="F41" i="21"/>
  <c r="G29" i="21"/>
  <c r="F29" i="21"/>
  <c r="G17" i="21"/>
  <c r="F17" i="21"/>
  <c r="G5" i="21"/>
  <c r="F5" i="21"/>
  <c r="Q193" i="21"/>
  <c r="P193" i="21"/>
  <c r="Q181" i="21"/>
  <c r="P181" i="21"/>
  <c r="Q169" i="21"/>
  <c r="P169" i="21"/>
  <c r="Q157" i="21"/>
  <c r="P157" i="21"/>
  <c r="Q145" i="21"/>
  <c r="P145" i="21"/>
  <c r="Q133" i="21"/>
  <c r="P133" i="21"/>
  <c r="AD254" i="30"/>
  <c r="Q121" i="21"/>
  <c r="P121" i="21"/>
  <c r="Q109" i="21"/>
  <c r="P109" i="21"/>
  <c r="Q97" i="21"/>
  <c r="P97" i="21"/>
  <c r="AD258" i="30"/>
  <c r="Q85" i="21"/>
  <c r="P85" i="21"/>
  <c r="Q73" i="21"/>
  <c r="P73" i="21"/>
  <c r="Q61" i="21"/>
  <c r="P61" i="21"/>
  <c r="Q49" i="21"/>
  <c r="P49" i="21"/>
  <c r="Q37" i="21"/>
  <c r="P37" i="21"/>
  <c r="Q25" i="21"/>
  <c r="P25" i="21"/>
  <c r="Q13" i="21"/>
  <c r="P13" i="21"/>
  <c r="AA201" i="21"/>
  <c r="Z201" i="21"/>
  <c r="AA189" i="21"/>
  <c r="Z189" i="21"/>
  <c r="AA177" i="21"/>
  <c r="Z177" i="21"/>
  <c r="AA165" i="21"/>
  <c r="Z165" i="21"/>
  <c r="AA153" i="21"/>
  <c r="Z153" i="21"/>
  <c r="AA141" i="21"/>
  <c r="Z141" i="21"/>
  <c r="AA129" i="21"/>
  <c r="Z129" i="21"/>
  <c r="AA117" i="21"/>
  <c r="Z117" i="21"/>
  <c r="AA105" i="21"/>
  <c r="Z105" i="21"/>
  <c r="AA93" i="21"/>
  <c r="Z93" i="21"/>
  <c r="AA81" i="21"/>
  <c r="Z81" i="21"/>
  <c r="AA69" i="21"/>
  <c r="Z69" i="21"/>
  <c r="AA57" i="21"/>
  <c r="Z57" i="21"/>
  <c r="AA45" i="21"/>
  <c r="Z45" i="21"/>
  <c r="AA33" i="21"/>
  <c r="Z33" i="21"/>
  <c r="AA21" i="21"/>
  <c r="Z21" i="21"/>
  <c r="AA9" i="21"/>
  <c r="Z9" i="21"/>
  <c r="F153" i="21"/>
  <c r="G153" i="21"/>
  <c r="F33" i="21"/>
  <c r="G33" i="21"/>
  <c r="Q137" i="21"/>
  <c r="P137" i="21"/>
  <c r="Q5" i="21"/>
  <c r="P5" i="21"/>
  <c r="Z73" i="21"/>
  <c r="AA73" i="21"/>
  <c r="G196" i="21"/>
  <c r="F196" i="21"/>
  <c r="G184" i="21"/>
  <c r="F184" i="21"/>
  <c r="G172" i="21"/>
  <c r="F172" i="21"/>
  <c r="AD243" i="30"/>
  <c r="G160" i="21"/>
  <c r="F160" i="21"/>
  <c r="G148" i="21"/>
  <c r="F148" i="21"/>
  <c r="G136" i="21"/>
  <c r="F136" i="21"/>
  <c r="G124" i="21"/>
  <c r="F124" i="21"/>
  <c r="G112" i="21"/>
  <c r="F112" i="21"/>
  <c r="G100" i="21"/>
  <c r="F100" i="21"/>
  <c r="G88" i="21"/>
  <c r="F88" i="21"/>
  <c r="G76" i="21"/>
  <c r="F76" i="21"/>
  <c r="G64" i="21"/>
  <c r="F64" i="21"/>
  <c r="G52" i="21"/>
  <c r="F52" i="21"/>
  <c r="G40" i="21"/>
  <c r="F40" i="21"/>
  <c r="G28" i="21"/>
  <c r="F28" i="21"/>
  <c r="G16" i="21"/>
  <c r="F16" i="21"/>
  <c r="G4" i="21"/>
  <c r="F4" i="21"/>
  <c r="Q192" i="21"/>
  <c r="P192" i="21"/>
  <c r="Q180" i="21"/>
  <c r="P180" i="21"/>
  <c r="Q168" i="21"/>
  <c r="P168" i="21"/>
  <c r="Q156" i="21"/>
  <c r="P156" i="21"/>
  <c r="Q144" i="21"/>
  <c r="P144" i="21"/>
  <c r="Q132" i="21"/>
  <c r="P132" i="21"/>
  <c r="Q120" i="21"/>
  <c r="P120" i="21"/>
  <c r="Q108" i="21"/>
  <c r="P108" i="21"/>
  <c r="Q96" i="21"/>
  <c r="P96" i="21"/>
  <c r="Q84" i="21"/>
  <c r="P84" i="21"/>
  <c r="Q72" i="21"/>
  <c r="P72" i="21"/>
  <c r="Q60" i="21"/>
  <c r="P60" i="21"/>
  <c r="Q48" i="21"/>
  <c r="P48" i="21"/>
  <c r="Q36" i="21"/>
  <c r="P36" i="21"/>
  <c r="Q24" i="21"/>
  <c r="P24" i="21"/>
  <c r="Q12" i="21"/>
  <c r="P12" i="21"/>
  <c r="AA200" i="21"/>
  <c r="Z200" i="21"/>
  <c r="AA188" i="21"/>
  <c r="Z188" i="21"/>
  <c r="AA176" i="21"/>
  <c r="Z176" i="21"/>
  <c r="AA164" i="21"/>
  <c r="Z164" i="21"/>
  <c r="AA152" i="21"/>
  <c r="Z152" i="21"/>
  <c r="AA140" i="21"/>
  <c r="Z140" i="21"/>
  <c r="AA128" i="21"/>
  <c r="Z128" i="21"/>
  <c r="AA116" i="21"/>
  <c r="Z116" i="21"/>
  <c r="AA104" i="21"/>
  <c r="Z104" i="21"/>
  <c r="AA92" i="21"/>
  <c r="Z92" i="21"/>
  <c r="AA80" i="21"/>
  <c r="Z80" i="21"/>
  <c r="AA68" i="21"/>
  <c r="Z68" i="21"/>
  <c r="AA56" i="21"/>
  <c r="Z56" i="21"/>
  <c r="AA44" i="21"/>
  <c r="Z44" i="21"/>
  <c r="AA32" i="21"/>
  <c r="Z32" i="21"/>
  <c r="AA20" i="21"/>
  <c r="Z20" i="21"/>
  <c r="AA8" i="21"/>
  <c r="Z8" i="21"/>
  <c r="F189" i="21"/>
  <c r="G189" i="21"/>
  <c r="F105" i="21"/>
  <c r="G105" i="21"/>
  <c r="F9" i="21"/>
  <c r="G9" i="21"/>
  <c r="Q113" i="21"/>
  <c r="P113" i="21"/>
  <c r="Z193" i="21"/>
  <c r="AA193" i="21"/>
  <c r="AD272" i="30"/>
  <c r="Z121" i="21"/>
  <c r="AA121" i="21"/>
  <c r="Z37" i="21"/>
  <c r="AA37" i="21"/>
  <c r="E51" i="21"/>
  <c r="AC251" i="30"/>
  <c r="Y103" i="21"/>
  <c r="AF265" i="30" s="1"/>
  <c r="AC265" i="30"/>
  <c r="G195" i="21"/>
  <c r="F195" i="21"/>
  <c r="G183" i="21"/>
  <c r="F183" i="21"/>
  <c r="G171" i="21"/>
  <c r="F171" i="21"/>
  <c r="F159" i="21"/>
  <c r="G159" i="21"/>
  <c r="G147" i="21"/>
  <c r="F147" i="21"/>
  <c r="F135" i="21"/>
  <c r="G135" i="21"/>
  <c r="G123" i="21"/>
  <c r="F123" i="21"/>
  <c r="F111" i="21"/>
  <c r="G111" i="21"/>
  <c r="G99" i="21"/>
  <c r="F99" i="21"/>
  <c r="F87" i="21"/>
  <c r="G87" i="21"/>
  <c r="G75" i="21"/>
  <c r="F75" i="21"/>
  <c r="F63" i="21"/>
  <c r="G63" i="21"/>
  <c r="G51" i="21"/>
  <c r="F51" i="21"/>
  <c r="AD251" i="30"/>
  <c r="F39" i="21"/>
  <c r="G39" i="21"/>
  <c r="G27" i="21"/>
  <c r="F27" i="21"/>
  <c r="F15" i="21"/>
  <c r="G15" i="21"/>
  <c r="G3" i="21"/>
  <c r="F3" i="21"/>
  <c r="Q191" i="21"/>
  <c r="P191" i="21"/>
  <c r="Q179" i="21"/>
  <c r="P179" i="21"/>
  <c r="Q167" i="21"/>
  <c r="P167" i="21"/>
  <c r="Q155" i="21"/>
  <c r="P155" i="21"/>
  <c r="Q143" i="21"/>
  <c r="P143" i="21"/>
  <c r="Q131" i="21"/>
  <c r="P131" i="21"/>
  <c r="Q119" i="21"/>
  <c r="P119" i="21"/>
  <c r="Q107" i="21"/>
  <c r="P107" i="21"/>
  <c r="Q95" i="21"/>
  <c r="P95" i="21"/>
  <c r="Q83" i="21"/>
  <c r="P83" i="21"/>
  <c r="Q71" i="21"/>
  <c r="P71" i="21"/>
  <c r="Q59" i="21"/>
  <c r="P59" i="21"/>
  <c r="Q47" i="21"/>
  <c r="P47" i="21"/>
  <c r="Q35" i="21"/>
  <c r="P35" i="21"/>
  <c r="Q23" i="21"/>
  <c r="P23" i="21"/>
  <c r="Q11" i="21"/>
  <c r="P11" i="21"/>
  <c r="Z199" i="21"/>
  <c r="AA199" i="21"/>
  <c r="Z187" i="21"/>
  <c r="AA187" i="21"/>
  <c r="Z175" i="21"/>
  <c r="AA175" i="21"/>
  <c r="Z163" i="21"/>
  <c r="AA163" i="21"/>
  <c r="Z151" i="21"/>
  <c r="AA151" i="21"/>
  <c r="Z139" i="21"/>
  <c r="AA139" i="21"/>
  <c r="Z127" i="21"/>
  <c r="AA127" i="21"/>
  <c r="Z115" i="21"/>
  <c r="AA115" i="21"/>
  <c r="Z103" i="21"/>
  <c r="AA103" i="21"/>
  <c r="AD265" i="30"/>
  <c r="Z91" i="21"/>
  <c r="AA91" i="21"/>
  <c r="Z79" i="21"/>
  <c r="AA79" i="21"/>
  <c r="Z67" i="21"/>
  <c r="AA67" i="21"/>
  <c r="Z55" i="21"/>
  <c r="AA55" i="21"/>
  <c r="Z43" i="21"/>
  <c r="AA43" i="21"/>
  <c r="Z31" i="21"/>
  <c r="AA31" i="21"/>
  <c r="Z19" i="21"/>
  <c r="AA19" i="21"/>
  <c r="Z7" i="21"/>
  <c r="AA7" i="21"/>
  <c r="G165" i="21"/>
  <c r="F165" i="21"/>
  <c r="G93" i="21"/>
  <c r="F93" i="21"/>
  <c r="Q197" i="21"/>
  <c r="P197" i="21"/>
  <c r="Q101" i="21"/>
  <c r="P101" i="21"/>
  <c r="Z181" i="21"/>
  <c r="AA181" i="21"/>
  <c r="Z109" i="21"/>
  <c r="AA109" i="21"/>
  <c r="Z13" i="21"/>
  <c r="AA13" i="21"/>
  <c r="O2" i="21"/>
  <c r="AF259" i="30" s="1"/>
  <c r="AC259" i="30"/>
  <c r="O142" i="21"/>
  <c r="AC253" i="30"/>
  <c r="G194" i="21"/>
  <c r="F194" i="21"/>
  <c r="G182" i="21"/>
  <c r="F182" i="21"/>
  <c r="G170" i="21"/>
  <c r="F170" i="21"/>
  <c r="G158" i="21"/>
  <c r="F158" i="21"/>
  <c r="G146" i="21"/>
  <c r="F146" i="21"/>
  <c r="G134" i="21"/>
  <c r="F134" i="21"/>
  <c r="G122" i="21"/>
  <c r="F122" i="21"/>
  <c r="G110" i="21"/>
  <c r="F110" i="21"/>
  <c r="G98" i="21"/>
  <c r="F98" i="21"/>
  <c r="G86" i="21"/>
  <c r="F86" i="21"/>
  <c r="G74" i="21"/>
  <c r="F74" i="21"/>
  <c r="G62" i="21"/>
  <c r="F62" i="21"/>
  <c r="G50" i="21"/>
  <c r="F50" i="21"/>
  <c r="G38" i="21"/>
  <c r="F38" i="21"/>
  <c r="G26" i="21"/>
  <c r="F26" i="21"/>
  <c r="G14" i="21"/>
  <c r="F14" i="21"/>
  <c r="Q2" i="21"/>
  <c r="P2" i="21"/>
  <c r="AD259" i="30"/>
  <c r="Q190" i="21"/>
  <c r="P190" i="21"/>
  <c r="Q178" i="21"/>
  <c r="P178" i="21"/>
  <c r="Q166" i="21"/>
  <c r="P166" i="21"/>
  <c r="Q154" i="21"/>
  <c r="P154" i="21"/>
  <c r="Q142" i="21"/>
  <c r="P142" i="21"/>
  <c r="AD253" i="30"/>
  <c r="Q130" i="21"/>
  <c r="P130" i="21"/>
  <c r="Q118" i="21"/>
  <c r="P118" i="21"/>
  <c r="Q106" i="21"/>
  <c r="P106" i="21"/>
  <c r="Q94" i="21"/>
  <c r="P94" i="21"/>
  <c r="Q82" i="21"/>
  <c r="P82" i="21"/>
  <c r="Q70" i="21"/>
  <c r="P70" i="21"/>
  <c r="Q58" i="21"/>
  <c r="P58" i="21"/>
  <c r="Q46" i="21"/>
  <c r="P46" i="21"/>
  <c r="Q34" i="21"/>
  <c r="P34" i="21"/>
  <c r="Q22" i="21"/>
  <c r="P22" i="21"/>
  <c r="Q10" i="21"/>
  <c r="P10" i="21"/>
  <c r="AA198" i="21"/>
  <c r="Z198" i="21"/>
  <c r="AA186" i="21"/>
  <c r="Z186" i="21"/>
  <c r="AA174" i="21"/>
  <c r="Z174" i="21"/>
  <c r="AA162" i="21"/>
  <c r="Z162" i="21"/>
  <c r="AA150" i="21"/>
  <c r="Z150" i="21"/>
  <c r="AA138" i="21"/>
  <c r="Z138" i="21"/>
  <c r="AA126" i="21"/>
  <c r="Z126" i="21"/>
  <c r="AA114" i="21"/>
  <c r="Z114" i="21"/>
  <c r="AA102" i="21"/>
  <c r="Z102" i="21"/>
  <c r="AA90" i="21"/>
  <c r="Z90" i="21"/>
  <c r="AA78" i="21"/>
  <c r="Z78" i="21"/>
  <c r="AA66" i="21"/>
  <c r="Z66" i="21"/>
  <c r="AA54" i="21"/>
  <c r="Z54" i="21"/>
  <c r="AA42" i="21"/>
  <c r="Z42" i="21"/>
  <c r="AA30" i="21"/>
  <c r="Z30" i="21"/>
  <c r="AA18" i="21"/>
  <c r="Z18" i="21"/>
  <c r="AA6" i="21"/>
  <c r="Z6" i="21"/>
  <c r="Q41" i="21"/>
  <c r="P41" i="21"/>
  <c r="G193" i="21"/>
  <c r="F193" i="21"/>
  <c r="G169" i="21"/>
  <c r="F169" i="21"/>
  <c r="F157" i="21"/>
  <c r="G157" i="21"/>
  <c r="F133" i="21"/>
  <c r="G133" i="21"/>
  <c r="F109" i="21"/>
  <c r="G109" i="21"/>
  <c r="F85" i="21"/>
  <c r="G85" i="21"/>
  <c r="F61" i="21"/>
  <c r="G61" i="21"/>
  <c r="F37" i="21"/>
  <c r="G37" i="21"/>
  <c r="G25" i="21"/>
  <c r="F25" i="21"/>
  <c r="P201" i="21"/>
  <c r="Q201" i="21"/>
  <c r="P177" i="21"/>
  <c r="Q177" i="21"/>
  <c r="P153" i="21"/>
  <c r="Q153" i="21"/>
  <c r="P129" i="21"/>
  <c r="Q129" i="21"/>
  <c r="P117" i="21"/>
  <c r="Q117" i="21"/>
  <c r="P93" i="21"/>
  <c r="Q93" i="21"/>
  <c r="P69" i="21"/>
  <c r="Q69" i="21"/>
  <c r="P45" i="21"/>
  <c r="Q45" i="21"/>
  <c r="P21" i="21"/>
  <c r="Q21" i="21"/>
  <c r="AA197" i="21"/>
  <c r="Z197" i="21"/>
  <c r="AA173" i="21"/>
  <c r="Z173" i="21"/>
  <c r="AA149" i="21"/>
  <c r="Z149" i="21"/>
  <c r="AA125" i="21"/>
  <c r="Z125" i="21"/>
  <c r="AA101" i="21"/>
  <c r="Z101" i="21"/>
  <c r="AA77" i="21"/>
  <c r="Z77" i="21"/>
  <c r="AA53" i="21"/>
  <c r="Z53" i="21"/>
  <c r="AA29" i="21"/>
  <c r="Z29" i="21"/>
  <c r="AA5" i="21"/>
  <c r="Z5" i="21"/>
  <c r="AD268" i="30"/>
  <c r="Z169" i="21"/>
  <c r="AA169" i="21"/>
  <c r="Y5" i="21"/>
  <c r="AF268" i="30" s="1"/>
  <c r="AC268" i="30"/>
  <c r="G181" i="21"/>
  <c r="F181" i="21"/>
  <c r="G145" i="21"/>
  <c r="F145" i="21"/>
  <c r="G121" i="21"/>
  <c r="F121" i="21"/>
  <c r="G97" i="21"/>
  <c r="F97" i="21"/>
  <c r="G73" i="21"/>
  <c r="F73" i="21"/>
  <c r="G49" i="21"/>
  <c r="F49" i="21"/>
  <c r="F13" i="21"/>
  <c r="G13" i="21"/>
  <c r="P189" i="21"/>
  <c r="Q189" i="21"/>
  <c r="P165" i="21"/>
  <c r="Q165" i="21"/>
  <c r="P141" i="21"/>
  <c r="Q141" i="21"/>
  <c r="P105" i="21"/>
  <c r="Q105" i="21"/>
  <c r="P81" i="21"/>
  <c r="Q81" i="21"/>
  <c r="P57" i="21"/>
  <c r="Q57" i="21"/>
  <c r="P33" i="21"/>
  <c r="Q33" i="21"/>
  <c r="P9" i="21"/>
  <c r="Q9" i="21"/>
  <c r="AA185" i="21"/>
  <c r="Z185" i="21"/>
  <c r="AA161" i="21"/>
  <c r="Z161" i="21"/>
  <c r="AA137" i="21"/>
  <c r="Z137" i="21"/>
  <c r="AA113" i="21"/>
  <c r="Z113" i="21"/>
  <c r="AA89" i="21"/>
  <c r="Z89" i="21"/>
  <c r="AA65" i="21"/>
  <c r="Z65" i="21"/>
  <c r="AA41" i="21"/>
  <c r="Z41" i="21"/>
  <c r="AA17" i="21"/>
  <c r="Z17" i="21"/>
  <c r="E144" i="21"/>
  <c r="AF244" i="30" s="1"/>
  <c r="AC244" i="30"/>
  <c r="E132" i="21"/>
  <c r="AF245" i="30" s="1"/>
  <c r="AC245" i="30"/>
  <c r="Y184" i="21"/>
  <c r="AF271" i="30" s="1"/>
  <c r="AC271" i="30"/>
  <c r="Y124" i="21"/>
  <c r="AF269" i="30" s="1"/>
  <c r="AC269" i="30"/>
  <c r="Y64" i="21"/>
  <c r="AF270" i="30" s="1"/>
  <c r="AC270" i="30"/>
  <c r="G192" i="21"/>
  <c r="F192" i="21"/>
  <c r="G180" i="21"/>
  <c r="F180" i="21"/>
  <c r="G168" i="21"/>
  <c r="F168" i="21"/>
  <c r="F156" i="21"/>
  <c r="G156" i="21"/>
  <c r="G144" i="21"/>
  <c r="F144" i="21"/>
  <c r="AD244" i="30"/>
  <c r="G132" i="21"/>
  <c r="F132" i="21"/>
  <c r="AD245" i="30"/>
  <c r="G120" i="21"/>
  <c r="F120" i="21"/>
  <c r="G108" i="21"/>
  <c r="F108" i="21"/>
  <c r="G96" i="21"/>
  <c r="F96" i="21"/>
  <c r="G84" i="21"/>
  <c r="F84" i="21"/>
  <c r="G72" i="21"/>
  <c r="F72" i="21"/>
  <c r="G60" i="21"/>
  <c r="F60" i="21"/>
  <c r="G48" i="21"/>
  <c r="F48" i="21"/>
  <c r="G36" i="21"/>
  <c r="F36" i="21"/>
  <c r="G24" i="21"/>
  <c r="F24" i="21"/>
  <c r="G12" i="21"/>
  <c r="F12" i="21"/>
  <c r="Q200" i="21"/>
  <c r="P200" i="21"/>
  <c r="Q188" i="21"/>
  <c r="P188" i="21"/>
  <c r="Q176" i="21"/>
  <c r="P176" i="21"/>
  <c r="Q164" i="21"/>
  <c r="P164" i="21"/>
  <c r="Q152" i="21"/>
  <c r="P152" i="21"/>
  <c r="Q140" i="21"/>
  <c r="P140" i="21"/>
  <c r="Q128" i="21"/>
  <c r="P128" i="21"/>
  <c r="Q116" i="21"/>
  <c r="P116" i="21"/>
  <c r="Q104" i="21"/>
  <c r="P104" i="21"/>
  <c r="Q92" i="21"/>
  <c r="P92" i="21"/>
  <c r="Q80" i="21"/>
  <c r="P80" i="21"/>
  <c r="Q68" i="21"/>
  <c r="P68" i="21"/>
  <c r="Q56" i="21"/>
  <c r="P56" i="21"/>
  <c r="Q44" i="21"/>
  <c r="P44" i="21"/>
  <c r="Q32" i="21"/>
  <c r="P32" i="21"/>
  <c r="Q20" i="21"/>
  <c r="P20" i="21"/>
  <c r="Q8" i="21"/>
  <c r="P8" i="21"/>
  <c r="AA196" i="21"/>
  <c r="Z196" i="21"/>
  <c r="AA184" i="21"/>
  <c r="Z184" i="21"/>
  <c r="AD271" i="30"/>
  <c r="AA172" i="21"/>
  <c r="Z172" i="21"/>
  <c r="AA160" i="21"/>
  <c r="Z160" i="21"/>
  <c r="AA148" i="21"/>
  <c r="Z148" i="21"/>
  <c r="AA136" i="21"/>
  <c r="Z136" i="21"/>
  <c r="AA124" i="21"/>
  <c r="Z124" i="21"/>
  <c r="AD269" i="30"/>
  <c r="AA112" i="21"/>
  <c r="Z112" i="21"/>
  <c r="AA100" i="21"/>
  <c r="Z100" i="21"/>
  <c r="AA88" i="21"/>
  <c r="Z88" i="21"/>
  <c r="AA76" i="21"/>
  <c r="Z76" i="21"/>
  <c r="AA64" i="21"/>
  <c r="Z64" i="21"/>
  <c r="AD270" i="30"/>
  <c r="AA52" i="21"/>
  <c r="Z52" i="21"/>
  <c r="AA40" i="21"/>
  <c r="Z40" i="21"/>
  <c r="AA28" i="21"/>
  <c r="Z28" i="21"/>
  <c r="AA16" i="21"/>
  <c r="Z16" i="21"/>
  <c r="AA4" i="21"/>
  <c r="Z4" i="21"/>
  <c r="Q53" i="21"/>
  <c r="P53" i="21"/>
  <c r="O187" i="21"/>
  <c r="AF261" i="30" s="1"/>
  <c r="AC261" i="30"/>
  <c r="F191" i="21"/>
  <c r="G191" i="21"/>
  <c r="G167" i="21"/>
  <c r="F167" i="21"/>
  <c r="G143" i="21"/>
  <c r="F143" i="21"/>
  <c r="G119" i="21"/>
  <c r="F119" i="21"/>
  <c r="G95" i="21"/>
  <c r="F95" i="21"/>
  <c r="G71" i="21"/>
  <c r="F71" i="21"/>
  <c r="G47" i="21"/>
  <c r="F47" i="21"/>
  <c r="G23" i="21"/>
  <c r="F23" i="21"/>
  <c r="Q199" i="21"/>
  <c r="P199" i="21"/>
  <c r="Q175" i="21"/>
  <c r="P175" i="21"/>
  <c r="Q151" i="21"/>
  <c r="P151" i="21"/>
  <c r="Q127" i="21"/>
  <c r="P127" i="21"/>
  <c r="AD255" i="30"/>
  <c r="Q103" i="21"/>
  <c r="P103" i="21"/>
  <c r="AD257" i="30"/>
  <c r="Q79" i="21"/>
  <c r="P79" i="21"/>
  <c r="Q55" i="21"/>
  <c r="P55" i="21"/>
  <c r="Q31" i="21"/>
  <c r="P31" i="21"/>
  <c r="Q7" i="21"/>
  <c r="P7" i="21"/>
  <c r="AA183" i="21"/>
  <c r="Z183" i="21"/>
  <c r="AA159" i="21"/>
  <c r="Z159" i="21"/>
  <c r="AA135" i="21"/>
  <c r="Z135" i="21"/>
  <c r="AA111" i="21"/>
  <c r="Z111" i="21"/>
  <c r="AA87" i="21"/>
  <c r="Z87" i="21"/>
  <c r="AA63" i="21"/>
  <c r="Z63" i="21"/>
  <c r="AA39" i="21"/>
  <c r="Z39" i="21"/>
  <c r="AA15" i="21"/>
  <c r="Z15" i="21"/>
  <c r="E22" i="21"/>
  <c r="Y43" i="21"/>
  <c r="E87" i="21"/>
  <c r="Y66" i="21"/>
  <c r="E192" i="21"/>
  <c r="Y24" i="21"/>
  <c r="Y182" i="21"/>
  <c r="Y181" i="21"/>
  <c r="Y111" i="21"/>
  <c r="Y106" i="21"/>
  <c r="E151" i="21"/>
  <c r="O102" i="21"/>
  <c r="E107" i="21"/>
  <c r="O173" i="21"/>
  <c r="O122" i="21"/>
  <c r="E7" i="21"/>
  <c r="Y61" i="21"/>
  <c r="E11" i="21"/>
  <c r="O156" i="21"/>
  <c r="O143" i="21"/>
  <c r="O172" i="21"/>
  <c r="H83" i="20"/>
  <c r="H52" i="20"/>
  <c r="H12" i="20"/>
  <c r="Y8" i="21"/>
  <c r="Y7" i="21"/>
  <c r="O61" i="21"/>
  <c r="E154" i="21"/>
  <c r="Y179" i="21"/>
  <c r="O52" i="21"/>
  <c r="Y12" i="21"/>
  <c r="Y32" i="21"/>
  <c r="D32" i="20"/>
  <c r="D33" i="20" s="1"/>
  <c r="D34" i="20" s="1"/>
  <c r="D35" i="20" s="1"/>
  <c r="D36" i="20" s="1"/>
  <c r="D37" i="20" s="1"/>
  <c r="D38" i="20" s="1"/>
  <c r="C38" i="20" s="1"/>
  <c r="A2" i="20"/>
  <c r="A39" i="20"/>
  <c r="E162" i="21"/>
  <c r="O175" i="21"/>
  <c r="O98" i="21"/>
  <c r="E186" i="21"/>
  <c r="O82" i="21"/>
  <c r="O103" i="21"/>
  <c r="AF257" i="30" s="1"/>
  <c r="E127" i="21"/>
  <c r="C91" i="20"/>
  <c r="E104" i="21"/>
  <c r="C63" i="20"/>
  <c r="C31" i="20"/>
  <c r="O138" i="21"/>
  <c r="O73" i="21"/>
  <c r="E76" i="21"/>
  <c r="E172" i="21"/>
  <c r="R134" i="21"/>
  <c r="S134" i="21" s="1"/>
  <c r="R30" i="21"/>
  <c r="S30" i="21" s="1"/>
  <c r="H117" i="21"/>
  <c r="I117" i="21" s="1"/>
  <c r="H171" i="21"/>
  <c r="I171" i="21" s="1"/>
  <c r="H131" i="21"/>
  <c r="I131" i="21" s="1"/>
  <c r="H75" i="21"/>
  <c r="I75" i="21" s="1"/>
  <c r="H11" i="21"/>
  <c r="I11" i="21" s="1"/>
  <c r="R171" i="21"/>
  <c r="S171" i="21" s="1"/>
  <c r="R139" i="21"/>
  <c r="S139" i="21" s="1"/>
  <c r="R107" i="21"/>
  <c r="S107" i="21" s="1"/>
  <c r="R75" i="21"/>
  <c r="S75" i="21" s="1"/>
  <c r="R43" i="21"/>
  <c r="S43" i="21" s="1"/>
  <c r="R19" i="21"/>
  <c r="S19" i="21" s="1"/>
  <c r="AB187" i="21"/>
  <c r="AC187" i="21" s="1"/>
  <c r="AB147" i="21"/>
  <c r="AC147" i="21" s="1"/>
  <c r="AB123" i="21"/>
  <c r="AC123" i="21" s="1"/>
  <c r="H2" i="21"/>
  <c r="I2" i="21" s="1"/>
  <c r="H194" i="21"/>
  <c r="I194" i="21" s="1"/>
  <c r="H186" i="21"/>
  <c r="I186" i="21" s="1"/>
  <c r="H178" i="21"/>
  <c r="I178" i="21" s="1"/>
  <c r="H170" i="21"/>
  <c r="I170" i="21" s="1"/>
  <c r="H162" i="21"/>
  <c r="I162" i="21" s="1"/>
  <c r="H154" i="21"/>
  <c r="I154" i="21" s="1"/>
  <c r="H146" i="21"/>
  <c r="I146" i="21" s="1"/>
  <c r="H138" i="21"/>
  <c r="I138" i="21" s="1"/>
  <c r="H130" i="21"/>
  <c r="I130" i="21" s="1"/>
  <c r="H122" i="21"/>
  <c r="I122" i="21" s="1"/>
  <c r="H114" i="21"/>
  <c r="I114" i="21" s="1"/>
  <c r="H106" i="21"/>
  <c r="I106" i="21" s="1"/>
  <c r="H98" i="21"/>
  <c r="I98" i="21" s="1"/>
  <c r="H90" i="21"/>
  <c r="I90" i="21" s="1"/>
  <c r="H82" i="21"/>
  <c r="I82" i="21" s="1"/>
  <c r="H74" i="21"/>
  <c r="I74" i="21" s="1"/>
  <c r="H66" i="21"/>
  <c r="I66" i="21" s="1"/>
  <c r="H58" i="21"/>
  <c r="I58" i="21" s="1"/>
  <c r="H50" i="21"/>
  <c r="I50" i="21" s="1"/>
  <c r="H42" i="21"/>
  <c r="I42" i="21" s="1"/>
  <c r="H34" i="21"/>
  <c r="I34" i="21" s="1"/>
  <c r="H26" i="21"/>
  <c r="I26" i="21" s="1"/>
  <c r="H18" i="21"/>
  <c r="I18" i="21" s="1"/>
  <c r="H10" i="21"/>
  <c r="I10" i="21" s="1"/>
  <c r="R2" i="21"/>
  <c r="S2" i="21" s="1"/>
  <c r="R194" i="21"/>
  <c r="S194" i="21" s="1"/>
  <c r="R186" i="21"/>
  <c r="S186" i="21" s="1"/>
  <c r="R178" i="21"/>
  <c r="S178" i="21" s="1"/>
  <c r="R170" i="21"/>
  <c r="S170" i="21" s="1"/>
  <c r="R162" i="21"/>
  <c r="S162" i="21" s="1"/>
  <c r="R154" i="21"/>
  <c r="S154" i="21" s="1"/>
  <c r="R146" i="21"/>
  <c r="S146" i="21" s="1"/>
  <c r="R138" i="21"/>
  <c r="S138" i="21" s="1"/>
  <c r="R130" i="21"/>
  <c r="S130" i="21" s="1"/>
  <c r="R122" i="21"/>
  <c r="S122" i="21" s="1"/>
  <c r="R114" i="21"/>
  <c r="S114" i="21" s="1"/>
  <c r="R106" i="21"/>
  <c r="S106" i="21" s="1"/>
  <c r="R98" i="21"/>
  <c r="S98" i="21" s="1"/>
  <c r="R90" i="21"/>
  <c r="S90" i="21" s="1"/>
  <c r="R82" i="21"/>
  <c r="S82" i="21" s="1"/>
  <c r="R74" i="21"/>
  <c r="S74" i="21" s="1"/>
  <c r="R66" i="21"/>
  <c r="S66" i="21" s="1"/>
  <c r="R58" i="21"/>
  <c r="S58" i="21" s="1"/>
  <c r="R50" i="21"/>
  <c r="S50" i="21" s="1"/>
  <c r="R42" i="21"/>
  <c r="S42" i="21" s="1"/>
  <c r="R34" i="21"/>
  <c r="S34" i="21" s="1"/>
  <c r="R26" i="21"/>
  <c r="S26" i="21" s="1"/>
  <c r="R18" i="21"/>
  <c r="S18" i="21" s="1"/>
  <c r="R10" i="21"/>
  <c r="S10" i="21" s="1"/>
  <c r="AB2" i="21"/>
  <c r="AC2" i="21" s="1"/>
  <c r="AB194" i="21"/>
  <c r="AC194" i="21" s="1"/>
  <c r="AB186" i="21"/>
  <c r="AC186" i="21" s="1"/>
  <c r="AB178" i="21"/>
  <c r="AC178" i="21" s="1"/>
  <c r="H187" i="21"/>
  <c r="I187" i="21" s="1"/>
  <c r="H139" i="21"/>
  <c r="I139" i="21" s="1"/>
  <c r="H99" i="21"/>
  <c r="I99" i="21" s="1"/>
  <c r="H67" i="21"/>
  <c r="I67" i="21" s="1"/>
  <c r="H27" i="21"/>
  <c r="I27" i="21" s="1"/>
  <c r="R163" i="21"/>
  <c r="S163" i="21" s="1"/>
  <c r="R123" i="21"/>
  <c r="S123" i="21" s="1"/>
  <c r="R91" i="21"/>
  <c r="S91" i="21" s="1"/>
  <c r="R59" i="21"/>
  <c r="S59" i="21" s="1"/>
  <c r="R27" i="21"/>
  <c r="S27" i="21" s="1"/>
  <c r="AB195" i="21"/>
  <c r="AC195" i="21" s="1"/>
  <c r="AB155" i="21"/>
  <c r="AC155" i="21" s="1"/>
  <c r="AB131" i="21"/>
  <c r="AC131" i="21" s="1"/>
  <c r="H201" i="21"/>
  <c r="I201" i="21" s="1"/>
  <c r="H193" i="21"/>
  <c r="I193" i="21" s="1"/>
  <c r="H185" i="21"/>
  <c r="I185" i="21" s="1"/>
  <c r="H177" i="21"/>
  <c r="I177" i="21" s="1"/>
  <c r="H169" i="21"/>
  <c r="I169" i="21" s="1"/>
  <c r="H161" i="21"/>
  <c r="I161" i="21" s="1"/>
  <c r="H153" i="21"/>
  <c r="I153" i="21" s="1"/>
  <c r="H145" i="21"/>
  <c r="I145" i="21" s="1"/>
  <c r="H137" i="21"/>
  <c r="I137" i="21" s="1"/>
  <c r="H129" i="21"/>
  <c r="I129" i="21" s="1"/>
  <c r="H121" i="21"/>
  <c r="I121" i="21" s="1"/>
  <c r="H113" i="21"/>
  <c r="I113" i="21" s="1"/>
  <c r="H105" i="21"/>
  <c r="I105" i="21" s="1"/>
  <c r="H97" i="21"/>
  <c r="I97" i="21" s="1"/>
  <c r="H89" i="21"/>
  <c r="I89" i="21" s="1"/>
  <c r="H81" i="21"/>
  <c r="I81" i="21" s="1"/>
  <c r="H73" i="21"/>
  <c r="I73" i="21" s="1"/>
  <c r="H65" i="21"/>
  <c r="I65" i="21" s="1"/>
  <c r="H57" i="21"/>
  <c r="I57" i="21" s="1"/>
  <c r="H49" i="21"/>
  <c r="I49" i="21" s="1"/>
  <c r="H41" i="21"/>
  <c r="I41" i="21" s="1"/>
  <c r="H33" i="21"/>
  <c r="I33" i="21" s="1"/>
  <c r="H25" i="21"/>
  <c r="I25" i="21" s="1"/>
  <c r="H17" i="21"/>
  <c r="I17" i="21" s="1"/>
  <c r="H9" i="21"/>
  <c r="I9" i="21" s="1"/>
  <c r="R201" i="21"/>
  <c r="S201" i="21" s="1"/>
  <c r="R193" i="21"/>
  <c r="S193" i="21" s="1"/>
  <c r="R185" i="21"/>
  <c r="S185" i="21" s="1"/>
  <c r="R177" i="21"/>
  <c r="S177" i="21" s="1"/>
  <c r="R169" i="21"/>
  <c r="S169" i="21" s="1"/>
  <c r="R161" i="21"/>
  <c r="S161" i="21" s="1"/>
  <c r="R153" i="21"/>
  <c r="S153" i="21" s="1"/>
  <c r="R145" i="21"/>
  <c r="S145" i="21" s="1"/>
  <c r="R137" i="21"/>
  <c r="S137" i="21" s="1"/>
  <c r="R129" i="21"/>
  <c r="S129" i="21" s="1"/>
  <c r="R121" i="21"/>
  <c r="S121" i="21" s="1"/>
  <c r="R113" i="21"/>
  <c r="S113" i="21" s="1"/>
  <c r="R105" i="21"/>
  <c r="S105" i="21" s="1"/>
  <c r="R97" i="21"/>
  <c r="S97" i="21" s="1"/>
  <c r="R89" i="21"/>
  <c r="S89" i="21" s="1"/>
  <c r="R81" i="21"/>
  <c r="S81" i="21" s="1"/>
  <c r="R73" i="21"/>
  <c r="S73" i="21" s="1"/>
  <c r="R65" i="21"/>
  <c r="S65" i="21" s="1"/>
  <c r="R57" i="21"/>
  <c r="S57" i="21" s="1"/>
  <c r="R49" i="21"/>
  <c r="S49" i="21" s="1"/>
  <c r="R41" i="21"/>
  <c r="S41" i="21" s="1"/>
  <c r="R33" i="21"/>
  <c r="S33" i="21" s="1"/>
  <c r="R25" i="21"/>
  <c r="S25" i="21" s="1"/>
  <c r="R17" i="21"/>
  <c r="S17" i="21" s="1"/>
  <c r="R9" i="21"/>
  <c r="S9" i="21" s="1"/>
  <c r="AB201" i="21"/>
  <c r="AC201" i="21" s="1"/>
  <c r="AB193" i="21"/>
  <c r="AC193" i="21" s="1"/>
  <c r="AB185" i="21"/>
  <c r="AC185" i="21" s="1"/>
  <c r="AB177" i="21"/>
  <c r="AC177" i="21" s="1"/>
  <c r="AB169" i="21"/>
  <c r="AC169" i="21" s="1"/>
  <c r="AB161" i="21"/>
  <c r="AC161" i="21" s="1"/>
  <c r="AB153" i="21"/>
  <c r="AC153" i="21" s="1"/>
  <c r="AB145" i="21"/>
  <c r="AC145" i="21" s="1"/>
  <c r="AB137" i="21"/>
  <c r="AC137" i="21" s="1"/>
  <c r="AB129" i="21"/>
  <c r="AC129" i="21" s="1"/>
  <c r="AB121" i="21"/>
  <c r="AC121" i="21" s="1"/>
  <c r="AB113" i="21"/>
  <c r="AC113" i="21" s="1"/>
  <c r="AB105" i="21"/>
  <c r="AC105" i="21" s="1"/>
  <c r="AB97" i="21"/>
  <c r="AC97" i="21" s="1"/>
  <c r="AB89" i="21"/>
  <c r="AC89" i="21" s="1"/>
  <c r="AB81" i="21"/>
  <c r="AC81" i="21" s="1"/>
  <c r="AB73" i="21"/>
  <c r="AC73" i="21" s="1"/>
  <c r="AB65" i="21"/>
  <c r="AC65" i="21" s="1"/>
  <c r="AB57" i="21"/>
  <c r="AC57" i="21" s="1"/>
  <c r="AB49" i="21"/>
  <c r="AC49" i="21" s="1"/>
  <c r="AB41" i="21"/>
  <c r="AC41" i="21" s="1"/>
  <c r="AB33" i="21"/>
  <c r="AC33" i="21" s="1"/>
  <c r="AB25" i="21"/>
  <c r="AC25" i="21" s="1"/>
  <c r="AB17" i="21"/>
  <c r="AC17" i="21" s="1"/>
  <c r="AB9" i="21"/>
  <c r="AC9" i="21" s="1"/>
  <c r="H163" i="21"/>
  <c r="I163" i="21" s="1"/>
  <c r="H107" i="21"/>
  <c r="I107" i="21" s="1"/>
  <c r="H83" i="21"/>
  <c r="I83" i="21" s="1"/>
  <c r="H51" i="21"/>
  <c r="I51" i="21" s="1"/>
  <c r="H3" i="21"/>
  <c r="I3" i="21" s="1"/>
  <c r="R155" i="21"/>
  <c r="S155" i="21" s="1"/>
  <c r="R131" i="21"/>
  <c r="S131" i="21" s="1"/>
  <c r="R99" i="21"/>
  <c r="S99" i="21" s="1"/>
  <c r="R67" i="21"/>
  <c r="S67" i="21" s="1"/>
  <c r="R35" i="21"/>
  <c r="S35" i="21" s="1"/>
  <c r="R3" i="21"/>
  <c r="S3" i="21" s="1"/>
  <c r="AB163" i="21"/>
  <c r="AC163" i="21" s="1"/>
  <c r="AB115" i="21"/>
  <c r="AC115" i="21" s="1"/>
  <c r="H200" i="21"/>
  <c r="I200" i="21" s="1"/>
  <c r="H192" i="21"/>
  <c r="I192" i="21" s="1"/>
  <c r="H184" i="21"/>
  <c r="I184" i="21" s="1"/>
  <c r="H176" i="21"/>
  <c r="I176" i="21" s="1"/>
  <c r="H168" i="21"/>
  <c r="I168" i="21" s="1"/>
  <c r="H160" i="21"/>
  <c r="I160" i="21" s="1"/>
  <c r="H152" i="21"/>
  <c r="I152" i="21" s="1"/>
  <c r="H144" i="21"/>
  <c r="I144" i="21" s="1"/>
  <c r="H136" i="21"/>
  <c r="I136" i="21" s="1"/>
  <c r="H128" i="21"/>
  <c r="I128" i="21" s="1"/>
  <c r="H120" i="21"/>
  <c r="I120" i="21" s="1"/>
  <c r="H112" i="21"/>
  <c r="I112" i="21" s="1"/>
  <c r="H104" i="21"/>
  <c r="I104" i="21" s="1"/>
  <c r="H96" i="21"/>
  <c r="I96" i="21" s="1"/>
  <c r="H88" i="21"/>
  <c r="I88" i="21" s="1"/>
  <c r="H80" i="21"/>
  <c r="I80" i="21" s="1"/>
  <c r="H72" i="21"/>
  <c r="I72" i="21" s="1"/>
  <c r="H64" i="21"/>
  <c r="I64" i="21" s="1"/>
  <c r="H56" i="21"/>
  <c r="I56" i="21" s="1"/>
  <c r="H48" i="21"/>
  <c r="I48" i="21" s="1"/>
  <c r="H40" i="21"/>
  <c r="I40" i="21" s="1"/>
  <c r="H32" i="21"/>
  <c r="I32" i="21" s="1"/>
  <c r="H24" i="21"/>
  <c r="I24" i="21" s="1"/>
  <c r="H16" i="21"/>
  <c r="I16" i="21" s="1"/>
  <c r="H8" i="21"/>
  <c r="I8" i="21" s="1"/>
  <c r="R200" i="21"/>
  <c r="S200" i="21" s="1"/>
  <c r="R192" i="21"/>
  <c r="S192" i="21" s="1"/>
  <c r="R184" i="21"/>
  <c r="S184" i="21" s="1"/>
  <c r="R176" i="21"/>
  <c r="S176" i="21" s="1"/>
  <c r="R168" i="21"/>
  <c r="S168" i="21" s="1"/>
  <c r="R160" i="21"/>
  <c r="S160" i="21" s="1"/>
  <c r="R152" i="21"/>
  <c r="S152" i="21" s="1"/>
  <c r="R144" i="21"/>
  <c r="S144" i="21" s="1"/>
  <c r="R136" i="21"/>
  <c r="S136" i="21" s="1"/>
  <c r="R128" i="21"/>
  <c r="S128" i="21" s="1"/>
  <c r="R120" i="21"/>
  <c r="S120" i="21" s="1"/>
  <c r="R112" i="21"/>
  <c r="S112" i="21" s="1"/>
  <c r="R104" i="21"/>
  <c r="S104" i="21" s="1"/>
  <c r="R96" i="21"/>
  <c r="S96" i="21" s="1"/>
  <c r="R88" i="21"/>
  <c r="S88" i="21" s="1"/>
  <c r="R80" i="21"/>
  <c r="S80" i="21" s="1"/>
  <c r="R72" i="21"/>
  <c r="S72" i="21" s="1"/>
  <c r="R64" i="21"/>
  <c r="S64" i="21" s="1"/>
  <c r="R56" i="21"/>
  <c r="S56" i="21" s="1"/>
  <c r="R48" i="21"/>
  <c r="S48" i="21" s="1"/>
  <c r="R40" i="21"/>
  <c r="S40" i="21" s="1"/>
  <c r="R32" i="21"/>
  <c r="S32" i="21" s="1"/>
  <c r="R24" i="21"/>
  <c r="S24" i="21" s="1"/>
  <c r="R16" i="21"/>
  <c r="S16" i="21" s="1"/>
  <c r="R8" i="21"/>
  <c r="S8" i="21" s="1"/>
  <c r="AB200" i="21"/>
  <c r="AC200" i="21" s="1"/>
  <c r="AB192" i="21"/>
  <c r="AC192" i="21" s="1"/>
  <c r="AB184" i="21"/>
  <c r="AC184" i="21" s="1"/>
  <c r="AB176" i="21"/>
  <c r="AC176" i="21" s="1"/>
  <c r="H195" i="21"/>
  <c r="I195" i="21" s="1"/>
  <c r="H147" i="21"/>
  <c r="I147" i="21" s="1"/>
  <c r="H123" i="21"/>
  <c r="I123" i="21" s="1"/>
  <c r="H91" i="21"/>
  <c r="I91" i="21" s="1"/>
  <c r="H43" i="21"/>
  <c r="I43" i="21" s="1"/>
  <c r="H19" i="21"/>
  <c r="I19" i="21" s="1"/>
  <c r="R187" i="21"/>
  <c r="S187" i="21" s="1"/>
  <c r="R147" i="21"/>
  <c r="S147" i="21" s="1"/>
  <c r="R115" i="21"/>
  <c r="S115" i="21" s="1"/>
  <c r="R83" i="21"/>
  <c r="S83" i="21" s="1"/>
  <c r="R51" i="21"/>
  <c r="S51" i="21" s="1"/>
  <c r="R11" i="21"/>
  <c r="S11" i="21" s="1"/>
  <c r="AB179" i="21"/>
  <c r="AC179" i="21" s="1"/>
  <c r="AB139" i="21"/>
  <c r="AC139" i="21" s="1"/>
  <c r="AB107" i="21"/>
  <c r="AC107" i="21" s="1"/>
  <c r="H199" i="21"/>
  <c r="I199" i="21" s="1"/>
  <c r="H191" i="21"/>
  <c r="I191" i="21" s="1"/>
  <c r="H183" i="21"/>
  <c r="I183" i="21" s="1"/>
  <c r="H175" i="21"/>
  <c r="I175" i="21" s="1"/>
  <c r="H167" i="21"/>
  <c r="I167" i="21" s="1"/>
  <c r="H159" i="21"/>
  <c r="I159" i="21" s="1"/>
  <c r="H151" i="21"/>
  <c r="I151" i="21" s="1"/>
  <c r="H143" i="21"/>
  <c r="I143" i="21" s="1"/>
  <c r="H135" i="21"/>
  <c r="I135" i="21" s="1"/>
  <c r="H127" i="21"/>
  <c r="I127" i="21" s="1"/>
  <c r="H119" i="21"/>
  <c r="I119" i="21" s="1"/>
  <c r="H111" i="21"/>
  <c r="I111" i="21" s="1"/>
  <c r="H103" i="21"/>
  <c r="I103" i="21" s="1"/>
  <c r="H95" i="21"/>
  <c r="I95" i="21" s="1"/>
  <c r="H87" i="21"/>
  <c r="I87" i="21" s="1"/>
  <c r="H79" i="21"/>
  <c r="I79" i="21" s="1"/>
  <c r="H71" i="21"/>
  <c r="I71" i="21" s="1"/>
  <c r="H63" i="21"/>
  <c r="I63" i="21" s="1"/>
  <c r="H55" i="21"/>
  <c r="I55" i="21" s="1"/>
  <c r="H47" i="21"/>
  <c r="I47" i="21" s="1"/>
  <c r="H39" i="21"/>
  <c r="I39" i="21" s="1"/>
  <c r="H31" i="21"/>
  <c r="I31" i="21" s="1"/>
  <c r="H23" i="21"/>
  <c r="I23" i="21" s="1"/>
  <c r="H15" i="21"/>
  <c r="I15" i="21" s="1"/>
  <c r="H7" i="21"/>
  <c r="I7" i="21" s="1"/>
  <c r="R199" i="21"/>
  <c r="S199" i="21" s="1"/>
  <c r="R191" i="21"/>
  <c r="S191" i="21" s="1"/>
  <c r="R183" i="21"/>
  <c r="S183" i="21" s="1"/>
  <c r="R175" i="21"/>
  <c r="S175" i="21" s="1"/>
  <c r="R167" i="21"/>
  <c r="S167" i="21" s="1"/>
  <c r="R159" i="21"/>
  <c r="S159" i="21" s="1"/>
  <c r="R151" i="21"/>
  <c r="S151" i="21" s="1"/>
  <c r="R143" i="21"/>
  <c r="S143" i="21" s="1"/>
  <c r="R135" i="21"/>
  <c r="S135" i="21" s="1"/>
  <c r="R127" i="21"/>
  <c r="S127" i="21" s="1"/>
  <c r="R119" i="21"/>
  <c r="S119" i="21" s="1"/>
  <c r="R111" i="21"/>
  <c r="S111" i="21" s="1"/>
  <c r="R103" i="21"/>
  <c r="S103" i="21" s="1"/>
  <c r="R95" i="21"/>
  <c r="S95" i="21" s="1"/>
  <c r="R87" i="21"/>
  <c r="S87" i="21" s="1"/>
  <c r="R79" i="21"/>
  <c r="S79" i="21" s="1"/>
  <c r="R71" i="21"/>
  <c r="S71" i="21" s="1"/>
  <c r="R63" i="21"/>
  <c r="S63" i="21" s="1"/>
  <c r="R55" i="21"/>
  <c r="S55" i="21" s="1"/>
  <c r="R47" i="21"/>
  <c r="S47" i="21" s="1"/>
  <c r="R39" i="21"/>
  <c r="S39" i="21" s="1"/>
  <c r="R31" i="21"/>
  <c r="S31" i="21" s="1"/>
  <c r="R23" i="21"/>
  <c r="S23" i="21" s="1"/>
  <c r="R15" i="21"/>
  <c r="S15" i="21" s="1"/>
  <c r="R7" i="21"/>
  <c r="S7" i="21" s="1"/>
  <c r="AB199" i="21"/>
  <c r="AC199" i="21" s="1"/>
  <c r="AB191" i="21"/>
  <c r="AC191" i="21" s="1"/>
  <c r="AB183" i="21"/>
  <c r="AC183" i="21" s="1"/>
  <c r="AB175" i="21"/>
  <c r="AC175" i="21" s="1"/>
  <c r="AB167" i="21"/>
  <c r="AC167" i="21" s="1"/>
  <c r="AB159" i="21"/>
  <c r="AC159" i="21" s="1"/>
  <c r="AB151" i="21"/>
  <c r="AC151" i="21" s="1"/>
  <c r="AB143" i="21"/>
  <c r="AC143" i="21" s="1"/>
  <c r="AB135" i="21"/>
  <c r="AC135" i="21" s="1"/>
  <c r="AB127" i="21"/>
  <c r="AC127" i="21" s="1"/>
  <c r="AB119" i="21"/>
  <c r="AC119" i="21" s="1"/>
  <c r="AB111" i="21"/>
  <c r="AC111" i="21" s="1"/>
  <c r="AB103" i="21"/>
  <c r="AC103" i="21" s="1"/>
  <c r="AB95" i="21"/>
  <c r="AC95" i="21" s="1"/>
  <c r="AB87" i="21"/>
  <c r="AC87" i="21" s="1"/>
  <c r="AB79" i="21"/>
  <c r="AC79" i="21" s="1"/>
  <c r="AB71" i="21"/>
  <c r="AC71" i="21" s="1"/>
  <c r="AB63" i="21"/>
  <c r="AC63" i="21" s="1"/>
  <c r="AB55" i="21"/>
  <c r="AC55" i="21" s="1"/>
  <c r="AB47" i="21"/>
  <c r="AC47" i="21" s="1"/>
  <c r="AB39" i="21"/>
  <c r="AC39" i="21" s="1"/>
  <c r="AB31" i="21"/>
  <c r="AC31" i="21" s="1"/>
  <c r="AB23" i="21"/>
  <c r="AC23" i="21" s="1"/>
  <c r="AB15" i="21"/>
  <c r="AC15" i="21" s="1"/>
  <c r="AB7" i="21"/>
  <c r="AC7" i="21" s="1"/>
  <c r="H179" i="21"/>
  <c r="I179" i="21" s="1"/>
  <c r="H115" i="21"/>
  <c r="I115" i="21" s="1"/>
  <c r="H59" i="21"/>
  <c r="I59" i="21" s="1"/>
  <c r="R195" i="21"/>
  <c r="S195" i="21" s="1"/>
  <c r="AB171" i="21"/>
  <c r="AC171" i="21" s="1"/>
  <c r="H198" i="21"/>
  <c r="I198" i="21" s="1"/>
  <c r="H190" i="21"/>
  <c r="I190" i="21" s="1"/>
  <c r="H182" i="21"/>
  <c r="I182" i="21" s="1"/>
  <c r="H174" i="21"/>
  <c r="I174" i="21" s="1"/>
  <c r="H166" i="21"/>
  <c r="I166" i="21" s="1"/>
  <c r="H158" i="21"/>
  <c r="I158" i="21" s="1"/>
  <c r="H150" i="21"/>
  <c r="I150" i="21" s="1"/>
  <c r="H142" i="21"/>
  <c r="I142" i="21" s="1"/>
  <c r="H134" i="21"/>
  <c r="I134" i="21" s="1"/>
  <c r="H126" i="21"/>
  <c r="I126" i="21" s="1"/>
  <c r="H118" i="21"/>
  <c r="I118" i="21" s="1"/>
  <c r="H110" i="21"/>
  <c r="I110" i="21" s="1"/>
  <c r="H102" i="21"/>
  <c r="I102" i="21" s="1"/>
  <c r="H94" i="21"/>
  <c r="I94" i="21" s="1"/>
  <c r="H86" i="21"/>
  <c r="I86" i="21" s="1"/>
  <c r="H78" i="21"/>
  <c r="I78" i="21" s="1"/>
  <c r="H70" i="21"/>
  <c r="I70" i="21" s="1"/>
  <c r="H62" i="21"/>
  <c r="I62" i="21" s="1"/>
  <c r="H54" i="21"/>
  <c r="I54" i="21" s="1"/>
  <c r="H46" i="21"/>
  <c r="I46" i="21" s="1"/>
  <c r="H38" i="21"/>
  <c r="I38" i="21" s="1"/>
  <c r="H30" i="21"/>
  <c r="I30" i="21" s="1"/>
  <c r="H22" i="21"/>
  <c r="I22" i="21" s="1"/>
  <c r="H14" i="21"/>
  <c r="I14" i="21" s="1"/>
  <c r="H6" i="21"/>
  <c r="I6" i="21" s="1"/>
  <c r="R198" i="21"/>
  <c r="S198" i="21" s="1"/>
  <c r="R190" i="21"/>
  <c r="S190" i="21" s="1"/>
  <c r="R182" i="21"/>
  <c r="S182" i="21" s="1"/>
  <c r="R174" i="21"/>
  <c r="S174" i="21" s="1"/>
  <c r="R166" i="21"/>
  <c r="S166" i="21" s="1"/>
  <c r="R158" i="21"/>
  <c r="S158" i="21" s="1"/>
  <c r="R150" i="21"/>
  <c r="S150" i="21" s="1"/>
  <c r="R142" i="21"/>
  <c r="S142" i="21" s="1"/>
  <c r="R126" i="21"/>
  <c r="S126" i="21" s="1"/>
  <c r="R118" i="21"/>
  <c r="S118" i="21" s="1"/>
  <c r="R110" i="21"/>
  <c r="S110" i="21" s="1"/>
  <c r="R102" i="21"/>
  <c r="S102" i="21" s="1"/>
  <c r="R94" i="21"/>
  <c r="S94" i="21" s="1"/>
  <c r="R86" i="21"/>
  <c r="S86" i="21" s="1"/>
  <c r="R78" i="21"/>
  <c r="S78" i="21" s="1"/>
  <c r="R70" i="21"/>
  <c r="S70" i="21" s="1"/>
  <c r="R62" i="21"/>
  <c r="S62" i="21" s="1"/>
  <c r="R54" i="21"/>
  <c r="S54" i="21" s="1"/>
  <c r="R46" i="21"/>
  <c r="S46" i="21" s="1"/>
  <c r="R38" i="21"/>
  <c r="S38" i="21" s="1"/>
  <c r="R22" i="21"/>
  <c r="S22" i="21" s="1"/>
  <c r="R14" i="21"/>
  <c r="S14" i="21" s="1"/>
  <c r="R6" i="21"/>
  <c r="S6" i="21" s="1"/>
  <c r="AB198" i="21"/>
  <c r="AC198" i="21" s="1"/>
  <c r="AB190" i="21"/>
  <c r="AC190" i="21" s="1"/>
  <c r="AB182" i="21"/>
  <c r="AC182" i="21" s="1"/>
  <c r="AB174" i="21"/>
  <c r="AC174" i="21" s="1"/>
  <c r="AB166" i="21"/>
  <c r="AC166" i="21" s="1"/>
  <c r="AB158" i="21"/>
  <c r="AC158" i="21" s="1"/>
  <c r="AB150" i="21"/>
  <c r="AC150" i="21" s="1"/>
  <c r="AB142" i="21"/>
  <c r="AC142" i="21" s="1"/>
  <c r="AB134" i="21"/>
  <c r="AC134" i="21" s="1"/>
  <c r="AB126" i="21"/>
  <c r="AC126" i="21" s="1"/>
  <c r="AB118" i="21"/>
  <c r="AC118" i="21" s="1"/>
  <c r="AB110" i="21"/>
  <c r="AC110" i="21" s="1"/>
  <c r="AB102" i="21"/>
  <c r="AC102" i="21" s="1"/>
  <c r="AB94" i="21"/>
  <c r="AC94" i="21" s="1"/>
  <c r="AB86" i="21"/>
  <c r="AC86" i="21" s="1"/>
  <c r="AB78" i="21"/>
  <c r="AC78" i="21" s="1"/>
  <c r="AB70" i="21"/>
  <c r="AC70" i="21" s="1"/>
  <c r="AB62" i="21"/>
  <c r="AC62" i="21" s="1"/>
  <c r="AB54" i="21"/>
  <c r="AC54" i="21" s="1"/>
  <c r="AB46" i="21"/>
  <c r="AC46" i="21" s="1"/>
  <c r="AB38" i="21"/>
  <c r="AC38" i="21" s="1"/>
  <c r="AB30" i="21"/>
  <c r="AC30" i="21" s="1"/>
  <c r="AB22" i="21"/>
  <c r="AC22" i="21" s="1"/>
  <c r="AB14" i="21"/>
  <c r="AC14" i="21" s="1"/>
  <c r="AB6" i="21"/>
  <c r="AC6" i="21" s="1"/>
  <c r="AB85" i="21"/>
  <c r="AC85" i="21" s="1"/>
  <c r="H35" i="21"/>
  <c r="I35" i="21" s="1"/>
  <c r="H197" i="21"/>
  <c r="I197" i="21" s="1"/>
  <c r="H189" i="21"/>
  <c r="I189" i="21" s="1"/>
  <c r="H181" i="21"/>
  <c r="I181" i="21" s="1"/>
  <c r="H173" i="21"/>
  <c r="I173" i="21" s="1"/>
  <c r="H165" i="21"/>
  <c r="I165" i="21" s="1"/>
  <c r="H157" i="21"/>
  <c r="I157" i="21" s="1"/>
  <c r="H149" i="21"/>
  <c r="I149" i="21" s="1"/>
  <c r="H141" i="21"/>
  <c r="I141" i="21" s="1"/>
  <c r="H133" i="21"/>
  <c r="I133" i="21" s="1"/>
  <c r="H125" i="21"/>
  <c r="I125" i="21" s="1"/>
  <c r="H109" i="21"/>
  <c r="I109" i="21" s="1"/>
  <c r="H101" i="21"/>
  <c r="I101" i="21" s="1"/>
  <c r="H93" i="21"/>
  <c r="I93" i="21" s="1"/>
  <c r="H85" i="21"/>
  <c r="I85" i="21" s="1"/>
  <c r="H77" i="21"/>
  <c r="I77" i="21" s="1"/>
  <c r="H69" i="21"/>
  <c r="I69" i="21" s="1"/>
  <c r="H61" i="21"/>
  <c r="I61" i="21" s="1"/>
  <c r="H53" i="21"/>
  <c r="I53" i="21" s="1"/>
  <c r="H45" i="21"/>
  <c r="I45" i="21" s="1"/>
  <c r="H37" i="21"/>
  <c r="I37" i="21" s="1"/>
  <c r="H29" i="21"/>
  <c r="I29" i="21" s="1"/>
  <c r="H21" i="21"/>
  <c r="I21" i="21" s="1"/>
  <c r="H13" i="21"/>
  <c r="I13" i="21" s="1"/>
  <c r="H5" i="21"/>
  <c r="I5" i="21" s="1"/>
  <c r="R197" i="21"/>
  <c r="S197" i="21" s="1"/>
  <c r="R189" i="21"/>
  <c r="S189" i="21" s="1"/>
  <c r="R181" i="21"/>
  <c r="S181" i="21" s="1"/>
  <c r="R173" i="21"/>
  <c r="S173" i="21" s="1"/>
  <c r="R165" i="21"/>
  <c r="S165" i="21" s="1"/>
  <c r="R157" i="21"/>
  <c r="S157" i="21" s="1"/>
  <c r="R149" i="21"/>
  <c r="S149" i="21" s="1"/>
  <c r="R141" i="21"/>
  <c r="S141" i="21" s="1"/>
  <c r="R133" i="21"/>
  <c r="S133" i="21" s="1"/>
  <c r="R125" i="21"/>
  <c r="S125" i="21" s="1"/>
  <c r="R117" i="21"/>
  <c r="S117" i="21" s="1"/>
  <c r="R109" i="21"/>
  <c r="S109" i="21" s="1"/>
  <c r="R101" i="21"/>
  <c r="S101" i="21" s="1"/>
  <c r="R93" i="21"/>
  <c r="S93" i="21" s="1"/>
  <c r="R85" i="21"/>
  <c r="S85" i="21" s="1"/>
  <c r="R77" i="21"/>
  <c r="S77" i="21" s="1"/>
  <c r="R69" i="21"/>
  <c r="S69" i="21" s="1"/>
  <c r="R61" i="21"/>
  <c r="S61" i="21" s="1"/>
  <c r="R53" i="21"/>
  <c r="S53" i="21" s="1"/>
  <c r="R45" i="21"/>
  <c r="S45" i="21" s="1"/>
  <c r="R37" i="21"/>
  <c r="S37" i="21" s="1"/>
  <c r="R29" i="21"/>
  <c r="S29" i="21" s="1"/>
  <c r="R21" i="21"/>
  <c r="S21" i="21" s="1"/>
  <c r="R13" i="21"/>
  <c r="S13" i="21" s="1"/>
  <c r="R5" i="21"/>
  <c r="S5" i="21" s="1"/>
  <c r="AB197" i="21"/>
  <c r="AC197" i="21" s="1"/>
  <c r="AB189" i="21"/>
  <c r="AC189" i="21" s="1"/>
  <c r="AB181" i="21"/>
  <c r="AC181" i="21" s="1"/>
  <c r="AB173" i="21"/>
  <c r="AC173" i="21" s="1"/>
  <c r="AB165" i="21"/>
  <c r="AC165" i="21" s="1"/>
  <c r="AB157" i="21"/>
  <c r="AC157" i="21" s="1"/>
  <c r="AB149" i="21"/>
  <c r="AC149" i="21" s="1"/>
  <c r="AB141" i="21"/>
  <c r="AC141" i="21" s="1"/>
  <c r="AB133" i="21"/>
  <c r="AC133" i="21" s="1"/>
  <c r="AB125" i="21"/>
  <c r="AC125" i="21" s="1"/>
  <c r="H155" i="21"/>
  <c r="I155" i="21" s="1"/>
  <c r="R179" i="21"/>
  <c r="S179" i="21" s="1"/>
  <c r="H196" i="21"/>
  <c r="I196" i="21" s="1"/>
  <c r="H188" i="21"/>
  <c r="I188" i="21" s="1"/>
  <c r="H180" i="21"/>
  <c r="I180" i="21" s="1"/>
  <c r="H172" i="21"/>
  <c r="I172" i="21" s="1"/>
  <c r="H164" i="21"/>
  <c r="I164" i="21" s="1"/>
  <c r="H156" i="21"/>
  <c r="I156" i="21" s="1"/>
  <c r="H148" i="21"/>
  <c r="I148" i="21" s="1"/>
  <c r="H140" i="21"/>
  <c r="I140" i="21" s="1"/>
  <c r="H132" i="21"/>
  <c r="I132" i="21" s="1"/>
  <c r="H124" i="21"/>
  <c r="I124" i="21" s="1"/>
  <c r="H116" i="21"/>
  <c r="I116" i="21" s="1"/>
  <c r="H108" i="21"/>
  <c r="I108" i="21" s="1"/>
  <c r="H100" i="21"/>
  <c r="I100" i="21" s="1"/>
  <c r="H92" i="21"/>
  <c r="I92" i="21" s="1"/>
  <c r="H84" i="21"/>
  <c r="I84" i="21" s="1"/>
  <c r="H76" i="21"/>
  <c r="I76" i="21" s="1"/>
  <c r="H68" i="21"/>
  <c r="I68" i="21" s="1"/>
  <c r="H60" i="21"/>
  <c r="I60" i="21" s="1"/>
  <c r="H52" i="21"/>
  <c r="I52" i="21" s="1"/>
  <c r="H44" i="21"/>
  <c r="I44" i="21" s="1"/>
  <c r="H36" i="21"/>
  <c r="I36" i="21" s="1"/>
  <c r="H28" i="21"/>
  <c r="I28" i="21" s="1"/>
  <c r="H20" i="21"/>
  <c r="I20" i="21" s="1"/>
  <c r="H12" i="21"/>
  <c r="I12" i="21" s="1"/>
  <c r="H4" i="21"/>
  <c r="I4" i="21" s="1"/>
  <c r="R196" i="21"/>
  <c r="S196" i="21" s="1"/>
  <c r="R188" i="21"/>
  <c r="S188" i="21" s="1"/>
  <c r="R180" i="21"/>
  <c r="S180" i="21" s="1"/>
  <c r="R172" i="21"/>
  <c r="S172" i="21" s="1"/>
  <c r="R164" i="21"/>
  <c r="S164" i="21" s="1"/>
  <c r="R156" i="21"/>
  <c r="S156" i="21" s="1"/>
  <c r="R148" i="21"/>
  <c r="S148" i="21" s="1"/>
  <c r="R140" i="21"/>
  <c r="S140" i="21" s="1"/>
  <c r="R132" i="21"/>
  <c r="S132" i="21" s="1"/>
  <c r="R124" i="21"/>
  <c r="S124" i="21" s="1"/>
  <c r="R116" i="21"/>
  <c r="S116" i="21" s="1"/>
  <c r="R108" i="21"/>
  <c r="S108" i="21" s="1"/>
  <c r="R100" i="21"/>
  <c r="S100" i="21" s="1"/>
  <c r="R92" i="21"/>
  <c r="S92" i="21" s="1"/>
  <c r="R84" i="21"/>
  <c r="S84" i="21" s="1"/>
  <c r="R76" i="21"/>
  <c r="S76" i="21" s="1"/>
  <c r="R68" i="21"/>
  <c r="S68" i="21" s="1"/>
  <c r="R60" i="21"/>
  <c r="S60" i="21" s="1"/>
  <c r="R52" i="21"/>
  <c r="S52" i="21" s="1"/>
  <c r="R44" i="21"/>
  <c r="S44" i="21" s="1"/>
  <c r="R36" i="21"/>
  <c r="S36" i="21" s="1"/>
  <c r="R28" i="21"/>
  <c r="S28" i="21" s="1"/>
  <c r="R20" i="21"/>
  <c r="S20" i="21" s="1"/>
  <c r="R12" i="21"/>
  <c r="S12" i="21" s="1"/>
  <c r="R4" i="21"/>
  <c r="S4" i="21" s="1"/>
  <c r="AB196" i="21"/>
  <c r="AC196" i="21" s="1"/>
  <c r="AB188" i="21"/>
  <c r="AC188" i="21" s="1"/>
  <c r="AB180" i="21"/>
  <c r="AC180" i="21" s="1"/>
  <c r="AB172" i="21"/>
  <c r="AC172" i="21" s="1"/>
  <c r="AB164" i="21"/>
  <c r="AC164" i="21" s="1"/>
  <c r="AB156" i="21"/>
  <c r="AC156" i="21" s="1"/>
  <c r="AB148" i="21"/>
  <c r="AC148" i="21" s="1"/>
  <c r="AB140" i="21"/>
  <c r="AC140" i="21" s="1"/>
  <c r="AB132" i="21"/>
  <c r="AC132" i="21" s="1"/>
  <c r="AB124" i="21"/>
  <c r="AC124" i="21" s="1"/>
  <c r="AB116" i="21"/>
  <c r="AC116" i="21" s="1"/>
  <c r="AB108" i="21"/>
  <c r="AC108" i="21" s="1"/>
  <c r="AB117" i="21"/>
  <c r="AC117" i="21" s="1"/>
  <c r="AB109" i="21"/>
  <c r="AC109" i="21" s="1"/>
  <c r="AB101" i="21"/>
  <c r="AC101" i="21" s="1"/>
  <c r="AB93" i="21"/>
  <c r="AC93" i="21" s="1"/>
  <c r="AB77" i="21"/>
  <c r="AC77" i="21" s="1"/>
  <c r="AB69" i="21"/>
  <c r="AC69" i="21" s="1"/>
  <c r="AB61" i="21"/>
  <c r="AC61" i="21" s="1"/>
  <c r="AB53" i="21"/>
  <c r="AC53" i="21" s="1"/>
  <c r="AB45" i="21"/>
  <c r="AC45" i="21" s="1"/>
  <c r="AB37" i="21"/>
  <c r="AC37" i="21" s="1"/>
  <c r="AB29" i="21"/>
  <c r="AC29" i="21" s="1"/>
  <c r="AB21" i="21"/>
  <c r="AC21" i="21" s="1"/>
  <c r="AB5" i="21"/>
  <c r="AC5" i="21" s="1"/>
  <c r="AB100" i="21"/>
  <c r="AC100" i="21" s="1"/>
  <c r="AB92" i="21"/>
  <c r="AC92" i="21" s="1"/>
  <c r="AB84" i="21"/>
  <c r="AC84" i="21" s="1"/>
  <c r="AB76" i="21"/>
  <c r="AC76" i="21" s="1"/>
  <c r="AB68" i="21"/>
  <c r="AC68" i="21" s="1"/>
  <c r="AB60" i="21"/>
  <c r="AC60" i="21" s="1"/>
  <c r="AB52" i="21"/>
  <c r="AC52" i="21" s="1"/>
  <c r="AB44" i="21"/>
  <c r="AC44" i="21" s="1"/>
  <c r="AB28" i="21"/>
  <c r="AC28" i="21" s="1"/>
  <c r="AB20" i="21"/>
  <c r="AC20" i="21" s="1"/>
  <c r="AB12" i="21"/>
  <c r="AC12" i="21" s="1"/>
  <c r="AB4" i="21"/>
  <c r="AC4" i="21" s="1"/>
  <c r="AB99" i="21"/>
  <c r="AC99" i="21" s="1"/>
  <c r="AB91" i="21"/>
  <c r="AC91" i="21" s="1"/>
  <c r="AB75" i="21"/>
  <c r="AC75" i="21" s="1"/>
  <c r="AB67" i="21"/>
  <c r="AC67" i="21" s="1"/>
  <c r="AB59" i="21"/>
  <c r="AC59" i="21" s="1"/>
  <c r="AB51" i="21"/>
  <c r="AC51" i="21" s="1"/>
  <c r="AB43" i="21"/>
  <c r="AC43" i="21" s="1"/>
  <c r="AB35" i="21"/>
  <c r="AC35" i="21" s="1"/>
  <c r="AB27" i="21"/>
  <c r="AC27" i="21" s="1"/>
  <c r="AB19" i="21"/>
  <c r="AC19" i="21" s="1"/>
  <c r="AB11" i="21"/>
  <c r="AC11" i="21" s="1"/>
  <c r="AB3" i="21"/>
  <c r="AC3" i="21" s="1"/>
  <c r="AB170" i="21"/>
  <c r="AC170" i="21" s="1"/>
  <c r="AB162" i="21"/>
  <c r="AC162" i="21" s="1"/>
  <c r="AB154" i="21"/>
  <c r="AC154" i="21" s="1"/>
  <c r="AB146" i="21"/>
  <c r="AC146" i="21" s="1"/>
  <c r="AB138" i="21"/>
  <c r="AC138" i="21" s="1"/>
  <c r="AB130" i="21"/>
  <c r="AC130" i="21" s="1"/>
  <c r="AB122" i="21"/>
  <c r="AC122" i="21" s="1"/>
  <c r="AB114" i="21"/>
  <c r="AC114" i="21" s="1"/>
  <c r="AB106" i="21"/>
  <c r="AC106" i="21" s="1"/>
  <c r="AB98" i="21"/>
  <c r="AC98" i="21" s="1"/>
  <c r="AB90" i="21"/>
  <c r="AC90" i="21" s="1"/>
  <c r="AB82" i="21"/>
  <c r="AC82" i="21" s="1"/>
  <c r="AB74" i="21"/>
  <c r="AC74" i="21" s="1"/>
  <c r="AB66" i="21"/>
  <c r="AC66" i="21" s="1"/>
  <c r="AB58" i="21"/>
  <c r="AC58" i="21" s="1"/>
  <c r="AB50" i="21"/>
  <c r="AC50" i="21" s="1"/>
  <c r="AB42" i="21"/>
  <c r="AC42" i="21" s="1"/>
  <c r="AB34" i="21"/>
  <c r="AC34" i="21" s="1"/>
  <c r="AB26" i="21"/>
  <c r="AC26" i="21" s="1"/>
  <c r="AB18" i="21"/>
  <c r="AC18" i="21" s="1"/>
  <c r="AB10" i="21"/>
  <c r="AC10" i="21" s="1"/>
  <c r="AB13" i="21"/>
  <c r="AC13" i="21" s="1"/>
  <c r="AB168" i="21"/>
  <c r="AC168" i="21" s="1"/>
  <c r="AB160" i="21"/>
  <c r="AC160" i="21" s="1"/>
  <c r="AB152" i="21"/>
  <c r="AC152" i="21" s="1"/>
  <c r="AB144" i="21"/>
  <c r="AC144" i="21" s="1"/>
  <c r="AB136" i="21"/>
  <c r="AC136" i="21" s="1"/>
  <c r="AB128" i="21"/>
  <c r="AC128" i="21" s="1"/>
  <c r="AB120" i="21"/>
  <c r="AC120" i="21" s="1"/>
  <c r="AB112" i="21"/>
  <c r="AC112" i="21" s="1"/>
  <c r="AB104" i="21"/>
  <c r="AC104" i="21" s="1"/>
  <c r="AB96" i="21"/>
  <c r="AC96" i="21" s="1"/>
  <c r="AB88" i="21"/>
  <c r="AC88" i="21" s="1"/>
  <c r="AB80" i="21"/>
  <c r="AC80" i="21" s="1"/>
  <c r="AB72" i="21"/>
  <c r="AC72" i="21" s="1"/>
  <c r="AB64" i="21"/>
  <c r="AC64" i="21" s="1"/>
  <c r="AB56" i="21"/>
  <c r="AC56" i="21" s="1"/>
  <c r="AB48" i="21"/>
  <c r="AC48" i="21" s="1"/>
  <c r="AB40" i="21"/>
  <c r="AC40" i="21" s="1"/>
  <c r="AB32" i="21"/>
  <c r="AC32" i="21" s="1"/>
  <c r="AB24" i="21"/>
  <c r="AC24" i="21" s="1"/>
  <c r="AB16" i="21"/>
  <c r="AC16" i="21" s="1"/>
  <c r="AB8" i="21"/>
  <c r="AC8" i="21" s="1"/>
  <c r="AB36" i="21"/>
  <c r="AC36" i="21" s="1"/>
  <c r="AB83" i="21"/>
  <c r="AC83" i="21" s="1"/>
  <c r="CB430" i="29"/>
  <c r="BZ430" i="30" s="1"/>
  <c r="CB429" i="29"/>
  <c r="BZ429" i="30" s="1"/>
  <c r="CB428" i="29"/>
  <c r="BZ428" i="30" s="1"/>
  <c r="CB427" i="29"/>
  <c r="BZ427" i="30" s="1"/>
  <c r="CB426" i="29"/>
  <c r="BZ426" i="30" s="1"/>
  <c r="CB425" i="29"/>
  <c r="BZ425" i="30" s="1"/>
  <c r="CB424" i="29"/>
  <c r="BZ424" i="30" s="1"/>
  <c r="CB423" i="29"/>
  <c r="BZ423" i="30" s="1"/>
  <c r="CB422" i="29"/>
  <c r="BZ422" i="30" s="1"/>
  <c r="CB421" i="29"/>
  <c r="BZ421" i="30" s="1"/>
  <c r="CB420" i="29"/>
  <c r="BZ420" i="30" s="1"/>
  <c r="CB419" i="29"/>
  <c r="BZ419" i="30" s="1"/>
  <c r="CB418" i="29"/>
  <c r="BZ418" i="30" s="1"/>
  <c r="CB417" i="29"/>
  <c r="BZ417" i="30" s="1"/>
  <c r="CB416" i="29"/>
  <c r="BZ416" i="30" s="1"/>
  <c r="CB415" i="29"/>
  <c r="BZ415" i="30" s="1"/>
  <c r="CB414" i="29"/>
  <c r="BZ414" i="30" s="1"/>
  <c r="CB413" i="29"/>
  <c r="BZ413" i="30" s="1"/>
  <c r="CB412" i="29"/>
  <c r="BZ412" i="30" s="1"/>
  <c r="CB411" i="29"/>
  <c r="BZ411" i="30" s="1"/>
  <c r="CB410" i="29"/>
  <c r="BZ410" i="30" s="1"/>
  <c r="CB409" i="29"/>
  <c r="BZ409" i="30" s="1"/>
  <c r="CB408" i="29"/>
  <c r="BZ408" i="30" s="1"/>
  <c r="CB407" i="29"/>
  <c r="BZ407" i="30" s="1"/>
  <c r="CB406" i="29"/>
  <c r="BZ406" i="30" s="1"/>
  <c r="CB405" i="29"/>
  <c r="BZ405" i="30" s="1"/>
  <c r="CB404" i="29"/>
  <c r="BZ404" i="30" s="1"/>
  <c r="CB403" i="29"/>
  <c r="BZ403" i="30" s="1"/>
  <c r="CB402" i="29"/>
  <c r="BZ402" i="30" s="1"/>
  <c r="CB401" i="29"/>
  <c r="BZ401" i="30" s="1"/>
  <c r="CB400" i="29"/>
  <c r="BZ400" i="30" s="1"/>
  <c r="CB399" i="29"/>
  <c r="BZ399" i="30" s="1"/>
  <c r="CB398" i="29"/>
  <c r="BZ398" i="30" s="1"/>
  <c r="CB397" i="29"/>
  <c r="BZ397" i="30" s="1"/>
  <c r="CB396" i="29"/>
  <c r="BZ396" i="30" s="1"/>
  <c r="CB395" i="29"/>
  <c r="BZ395" i="30" s="1"/>
  <c r="CB394" i="29"/>
  <c r="BZ394" i="30" s="1"/>
  <c r="CB393" i="29"/>
  <c r="BZ393" i="30" s="1"/>
  <c r="CB392" i="29"/>
  <c r="BZ392" i="30" s="1"/>
  <c r="CB391" i="29"/>
  <c r="BZ391" i="30" s="1"/>
  <c r="CB390" i="29"/>
  <c r="BZ390" i="30" s="1"/>
  <c r="CB389" i="29"/>
  <c r="BZ389" i="30" s="1"/>
  <c r="CB388" i="29"/>
  <c r="BZ388" i="30" s="1"/>
  <c r="CB387" i="29"/>
  <c r="BZ387" i="30" s="1"/>
  <c r="CB386" i="29"/>
  <c r="BZ386" i="30" s="1"/>
  <c r="CB385" i="29"/>
  <c r="BZ385" i="30" s="1"/>
  <c r="CB384" i="29"/>
  <c r="BZ384" i="30" s="1"/>
  <c r="CB383" i="29"/>
  <c r="BZ383" i="30" s="1"/>
  <c r="CB382" i="29"/>
  <c r="BZ382" i="30" s="1"/>
  <c r="CB381" i="29"/>
  <c r="BZ381" i="30" s="1"/>
  <c r="CB380" i="29"/>
  <c r="BZ380" i="30" s="1"/>
  <c r="CB379" i="29"/>
  <c r="BZ379" i="30" s="1"/>
  <c r="CB378" i="29"/>
  <c r="BZ378" i="30" s="1"/>
  <c r="CB377" i="29"/>
  <c r="BZ377" i="30" s="1"/>
  <c r="CB376" i="29"/>
  <c r="BZ376" i="30" s="1"/>
  <c r="CB375" i="29"/>
  <c r="BZ375" i="30" s="1"/>
  <c r="CB374" i="29"/>
  <c r="BZ374" i="30" s="1"/>
  <c r="CB373" i="29"/>
  <c r="BZ373" i="30" s="1"/>
  <c r="CB372" i="29"/>
  <c r="BZ372" i="30" s="1"/>
  <c r="CB371" i="29"/>
  <c r="BZ371" i="30" s="1"/>
  <c r="CB370" i="29"/>
  <c r="BZ370" i="30" s="1"/>
  <c r="CB369" i="29"/>
  <c r="BZ369" i="30" s="1"/>
  <c r="CB368" i="29"/>
  <c r="BZ368" i="30" s="1"/>
  <c r="CB367" i="29"/>
  <c r="BZ367" i="30" s="1"/>
  <c r="CB366" i="29"/>
  <c r="BZ366" i="30" s="1"/>
  <c r="CB365" i="29"/>
  <c r="BZ365" i="30" s="1"/>
  <c r="CB364" i="29"/>
  <c r="BZ364" i="30" s="1"/>
  <c r="CB363" i="29"/>
  <c r="BZ363" i="30" s="1"/>
  <c r="CB362" i="29"/>
  <c r="BZ362" i="30" s="1"/>
  <c r="CB361" i="29"/>
  <c r="BZ361" i="30" s="1"/>
  <c r="CB360" i="29"/>
  <c r="BZ360" i="30" s="1"/>
  <c r="CB359" i="29"/>
  <c r="BZ359" i="30" s="1"/>
  <c r="CB358" i="29"/>
  <c r="BZ358" i="30" s="1"/>
  <c r="CB357" i="29"/>
  <c r="BZ357" i="30" s="1"/>
  <c r="CB356" i="29"/>
  <c r="BZ356" i="30" s="1"/>
  <c r="CB355" i="29"/>
  <c r="BZ355" i="30" s="1"/>
  <c r="CB354" i="29"/>
  <c r="BZ354" i="30" s="1"/>
  <c r="CB353" i="29"/>
  <c r="BZ353" i="30" s="1"/>
  <c r="CB352" i="29"/>
  <c r="BZ352" i="30" s="1"/>
  <c r="CB351" i="29"/>
  <c r="BZ351" i="30" s="1"/>
  <c r="CB350" i="29"/>
  <c r="BZ350" i="30" s="1"/>
  <c r="CB349" i="29"/>
  <c r="BZ349" i="30" s="1"/>
  <c r="CB348" i="29"/>
  <c r="BZ348" i="30" s="1"/>
  <c r="CB347" i="29"/>
  <c r="BZ347" i="30" s="1"/>
  <c r="CB346" i="29"/>
  <c r="BZ346" i="30" s="1"/>
  <c r="CB345" i="29"/>
  <c r="BZ345" i="30" s="1"/>
  <c r="CB344" i="29"/>
  <c r="BZ344" i="30" s="1"/>
  <c r="CB343" i="29"/>
  <c r="BZ343" i="30" s="1"/>
  <c r="CB342" i="29"/>
  <c r="BZ342" i="30" s="1"/>
  <c r="CB341" i="29"/>
  <c r="BZ341" i="30" s="1"/>
  <c r="CB340" i="29"/>
  <c r="BZ340" i="30" s="1"/>
  <c r="CB339" i="29"/>
  <c r="BZ339" i="30" s="1"/>
  <c r="CB338" i="29"/>
  <c r="BZ338" i="30" s="1"/>
  <c r="CB337" i="29"/>
  <c r="BZ337" i="30" s="1"/>
  <c r="CB336" i="29"/>
  <c r="BZ336" i="30" s="1"/>
  <c r="CB335" i="29"/>
  <c r="BZ335" i="30" s="1"/>
  <c r="CB334" i="29"/>
  <c r="BZ334" i="30" s="1"/>
  <c r="CB333" i="29"/>
  <c r="BZ333" i="30" s="1"/>
  <c r="CB332" i="29"/>
  <c r="BZ332" i="30" s="1"/>
  <c r="CB331" i="29"/>
  <c r="BZ331" i="30" s="1"/>
  <c r="CB330" i="29"/>
  <c r="BZ330" i="30" s="1"/>
  <c r="CB329" i="29"/>
  <c r="BZ329" i="30" s="1"/>
  <c r="CB328" i="29"/>
  <c r="BZ328" i="30" s="1"/>
  <c r="CB327" i="29"/>
  <c r="BZ327" i="30" s="1"/>
  <c r="CB326" i="29"/>
  <c r="BZ326" i="30" s="1"/>
  <c r="CB325" i="29"/>
  <c r="BZ325" i="30" s="1"/>
  <c r="CB324" i="29"/>
  <c r="BZ324" i="30" s="1"/>
  <c r="CB323" i="29"/>
  <c r="BZ323" i="30" s="1"/>
  <c r="CB322" i="29"/>
  <c r="BZ322" i="30" s="1"/>
  <c r="CB321" i="29"/>
  <c r="BZ321" i="30" s="1"/>
  <c r="CB320" i="29"/>
  <c r="BZ320" i="30" s="1"/>
  <c r="CB319" i="29"/>
  <c r="BZ319" i="30" s="1"/>
  <c r="CB318" i="29"/>
  <c r="BZ318" i="30" s="1"/>
  <c r="CB317" i="29"/>
  <c r="BZ317" i="30" s="1"/>
  <c r="CB316" i="29"/>
  <c r="BZ316" i="30" s="1"/>
  <c r="CB315" i="29"/>
  <c r="BZ315" i="30" s="1"/>
  <c r="CB314" i="29"/>
  <c r="BZ314" i="30" s="1"/>
  <c r="CB313" i="29"/>
  <c r="BZ313" i="30" s="1"/>
  <c r="CB312" i="29"/>
  <c r="BZ312" i="30" s="1"/>
  <c r="CB311" i="29"/>
  <c r="BZ311" i="30" s="1"/>
  <c r="CB310" i="29"/>
  <c r="BZ310" i="30" s="1"/>
  <c r="CB309" i="29"/>
  <c r="BZ309" i="30" s="1"/>
  <c r="CB308" i="29"/>
  <c r="BZ308" i="30" s="1"/>
  <c r="CB307" i="29"/>
  <c r="BZ307" i="30" s="1"/>
  <c r="CB306" i="29"/>
  <c r="BZ306" i="30" s="1"/>
  <c r="CB305" i="29"/>
  <c r="BZ305" i="30" s="1"/>
  <c r="CB304" i="29"/>
  <c r="BZ304" i="30" s="1"/>
  <c r="CB303" i="29"/>
  <c r="BZ303" i="30" s="1"/>
  <c r="CB302" i="29"/>
  <c r="BZ302" i="30" s="1"/>
  <c r="CB301" i="29"/>
  <c r="BZ301" i="30" s="1"/>
  <c r="CB300" i="29"/>
  <c r="BZ300" i="30" s="1"/>
  <c r="CB299" i="29"/>
  <c r="BZ299" i="30" s="1"/>
  <c r="CB298" i="29"/>
  <c r="BZ298" i="30" s="1"/>
  <c r="CB297" i="29"/>
  <c r="BZ297" i="30" s="1"/>
  <c r="CB296" i="29"/>
  <c r="BZ296" i="30" s="1"/>
  <c r="CB295" i="29"/>
  <c r="BZ295" i="30" s="1"/>
  <c r="CB294" i="29"/>
  <c r="BZ294" i="30" s="1"/>
  <c r="CB293" i="29"/>
  <c r="BZ293" i="30" s="1"/>
  <c r="CB292" i="29"/>
  <c r="BZ292" i="30" s="1"/>
  <c r="CB291" i="29"/>
  <c r="BZ291" i="30" s="1"/>
  <c r="CB290" i="29"/>
  <c r="BZ290" i="30" s="1"/>
  <c r="CB289" i="29"/>
  <c r="BZ289" i="30" s="1"/>
  <c r="CB288" i="29"/>
  <c r="BZ288" i="30" s="1"/>
  <c r="CB287" i="29"/>
  <c r="BZ287" i="30" s="1"/>
  <c r="CB286" i="29"/>
  <c r="BZ286" i="30" s="1"/>
  <c r="CB285" i="29"/>
  <c r="BZ285" i="30" s="1"/>
  <c r="CB284" i="29"/>
  <c r="BZ284" i="30" s="1"/>
  <c r="CB283" i="29"/>
  <c r="BZ283" i="30" s="1"/>
  <c r="CB282" i="29"/>
  <c r="BZ282" i="30" s="1"/>
  <c r="CB281" i="29"/>
  <c r="BZ281" i="30" s="1"/>
  <c r="CB280" i="29"/>
  <c r="BZ280" i="30" s="1"/>
  <c r="CB279" i="29"/>
  <c r="BZ279" i="30" s="1"/>
  <c r="CB278" i="29"/>
  <c r="BZ278" i="30" s="1"/>
  <c r="CB277" i="29"/>
  <c r="BZ277" i="30" s="1"/>
  <c r="CB276" i="29"/>
  <c r="BZ276" i="30" s="1"/>
  <c r="CB275" i="29"/>
  <c r="BZ275" i="30" s="1"/>
  <c r="CB274" i="29"/>
  <c r="BZ274" i="30" s="1"/>
  <c r="CB273" i="29"/>
  <c r="BZ273" i="30" s="1"/>
  <c r="CB272" i="29"/>
  <c r="BZ272" i="30" s="1"/>
  <c r="CB271" i="29"/>
  <c r="BZ271" i="30" s="1"/>
  <c r="CB270" i="29"/>
  <c r="BZ270" i="30" s="1"/>
  <c r="CB269" i="29"/>
  <c r="BZ269" i="30" s="1"/>
  <c r="CB268" i="29"/>
  <c r="BZ268" i="30" s="1"/>
  <c r="CB267" i="29"/>
  <c r="BZ267" i="30" s="1"/>
  <c r="CB266" i="29"/>
  <c r="BZ266" i="30" s="1"/>
  <c r="CB265" i="29"/>
  <c r="BZ265" i="30" s="1"/>
  <c r="CB264" i="29"/>
  <c r="BZ264" i="30" s="1"/>
  <c r="CB263" i="29"/>
  <c r="BZ263" i="30" s="1"/>
  <c r="CB262" i="29"/>
  <c r="BZ262" i="30" s="1"/>
  <c r="CB261" i="29"/>
  <c r="BZ261" i="30" s="1"/>
  <c r="CB260" i="29"/>
  <c r="BZ260" i="30" s="1"/>
  <c r="CB259" i="29"/>
  <c r="BZ259" i="30" s="1"/>
  <c r="CB258" i="29"/>
  <c r="BZ258" i="30" s="1"/>
  <c r="CB257" i="29"/>
  <c r="BZ257" i="30" s="1"/>
  <c r="CB256" i="29"/>
  <c r="BZ256" i="30" s="1"/>
  <c r="CB255" i="29"/>
  <c r="BZ255" i="30" s="1"/>
  <c r="CB254" i="29"/>
  <c r="BZ254" i="30" s="1"/>
  <c r="CB253" i="29"/>
  <c r="BZ253" i="30" s="1"/>
  <c r="CB252" i="29"/>
  <c r="BZ252" i="30" s="1"/>
  <c r="CB251" i="29"/>
  <c r="BZ251" i="30" s="1"/>
  <c r="CB250" i="29"/>
  <c r="BZ250" i="30" s="1"/>
  <c r="CB249" i="29"/>
  <c r="BZ249" i="30" s="1"/>
  <c r="CB248" i="29"/>
  <c r="BZ248" i="30" s="1"/>
  <c r="CB247" i="29"/>
  <c r="BZ247" i="30" s="1"/>
  <c r="CB246" i="29"/>
  <c r="BZ246" i="30" s="1"/>
  <c r="CB245" i="29"/>
  <c r="BZ245" i="30" s="1"/>
  <c r="CB244" i="29"/>
  <c r="BZ244" i="30" s="1"/>
  <c r="CB243" i="29"/>
  <c r="BZ243" i="30" s="1"/>
  <c r="CB242" i="29"/>
  <c r="BZ242" i="30" s="1"/>
  <c r="CB167" i="29"/>
  <c r="BZ167" i="30" s="1"/>
  <c r="CB166" i="29"/>
  <c r="BZ166" i="30" s="1"/>
  <c r="CB165" i="29"/>
  <c r="BZ165" i="30" s="1"/>
  <c r="CB164" i="29"/>
  <c r="BZ164" i="30" s="1"/>
  <c r="CB163" i="29"/>
  <c r="BZ163" i="30" s="1"/>
  <c r="CB162" i="29"/>
  <c r="BZ162" i="30" s="1"/>
  <c r="CB161" i="29"/>
  <c r="BZ161" i="30" s="1"/>
  <c r="CB160" i="29"/>
  <c r="BZ160" i="30" s="1"/>
  <c r="CB159" i="29"/>
  <c r="BZ159" i="30" s="1"/>
  <c r="CB158" i="29"/>
  <c r="BZ158" i="30" s="1"/>
  <c r="CB157" i="29"/>
  <c r="BZ157" i="30" s="1"/>
  <c r="CB156" i="29"/>
  <c r="BZ156" i="30" s="1"/>
  <c r="CB155" i="29"/>
  <c r="BZ155" i="30" s="1"/>
  <c r="CB154" i="29"/>
  <c r="BZ154" i="30" s="1"/>
  <c r="CB153" i="29"/>
  <c r="BZ153" i="30" s="1"/>
  <c r="CB152" i="29"/>
  <c r="BZ152" i="30" s="1"/>
  <c r="CB151" i="29"/>
  <c r="BZ151" i="30" s="1"/>
  <c r="CB150" i="29"/>
  <c r="BZ150" i="30" s="1"/>
  <c r="CB149" i="29"/>
  <c r="BZ149" i="30" s="1"/>
  <c r="CB148" i="29"/>
  <c r="BZ148" i="30" s="1"/>
  <c r="CB147" i="29"/>
  <c r="BZ147" i="30" s="1"/>
  <c r="CB146" i="29"/>
  <c r="BZ146" i="30" s="1"/>
  <c r="CB145" i="29"/>
  <c r="BZ145" i="30" s="1"/>
  <c r="CB144" i="29"/>
  <c r="BZ144" i="30" s="1"/>
  <c r="CB143" i="29"/>
  <c r="BZ143" i="30" s="1"/>
  <c r="CB142" i="29"/>
  <c r="BZ142" i="30" s="1"/>
  <c r="CB141" i="29"/>
  <c r="BZ141" i="30" s="1"/>
  <c r="CB140" i="29"/>
  <c r="BZ140" i="30" s="1"/>
  <c r="CB139" i="29"/>
  <c r="BZ139" i="30" s="1"/>
  <c r="CB138" i="29"/>
  <c r="BZ138" i="30" s="1"/>
  <c r="CB137" i="29"/>
  <c r="BZ137" i="30" s="1"/>
  <c r="CB136" i="29"/>
  <c r="BZ136" i="30" s="1"/>
  <c r="CB135" i="29"/>
  <c r="BZ135" i="30" s="1"/>
  <c r="CB134" i="29"/>
  <c r="BZ134" i="30" s="1"/>
  <c r="CB133" i="29"/>
  <c r="BZ133" i="30" s="1"/>
  <c r="CB132" i="29"/>
  <c r="BZ132" i="30" s="1"/>
  <c r="CB131" i="29"/>
  <c r="BZ131" i="30" s="1"/>
  <c r="CB130" i="29"/>
  <c r="BZ130" i="30" s="1"/>
  <c r="CB129" i="29"/>
  <c r="BZ129" i="30" s="1"/>
  <c r="CB128" i="29"/>
  <c r="BZ128" i="30" s="1"/>
  <c r="CB127" i="29"/>
  <c r="BZ127" i="30" s="1"/>
  <c r="CB126" i="29"/>
  <c r="BZ126" i="30" s="1"/>
  <c r="CB125" i="29"/>
  <c r="BZ125" i="30" s="1"/>
  <c r="CB124" i="29"/>
  <c r="BZ124" i="30" s="1"/>
  <c r="CB123" i="29"/>
  <c r="BZ123" i="30" s="1"/>
  <c r="CB122" i="29"/>
  <c r="BZ122" i="30" s="1"/>
  <c r="CB121" i="29"/>
  <c r="BZ121" i="30" s="1"/>
  <c r="CB120" i="29"/>
  <c r="BZ120" i="30" s="1"/>
  <c r="CB119" i="29"/>
  <c r="BZ119" i="30" s="1"/>
  <c r="CB118" i="29"/>
  <c r="BZ118" i="30" s="1"/>
  <c r="CB117" i="29"/>
  <c r="BZ117" i="30" s="1"/>
  <c r="CB116" i="29"/>
  <c r="BZ116" i="30" s="1"/>
  <c r="CB115" i="29"/>
  <c r="BZ115" i="30" s="1"/>
  <c r="CB114" i="29"/>
  <c r="BZ114" i="30" s="1"/>
  <c r="CB113" i="29"/>
  <c r="BZ113" i="30" s="1"/>
  <c r="CB112" i="29"/>
  <c r="BZ112" i="30" s="1"/>
  <c r="CB111" i="29"/>
  <c r="BZ111" i="30" s="1"/>
  <c r="CB110" i="29"/>
  <c r="BZ110" i="30" s="1"/>
  <c r="CB109" i="29"/>
  <c r="BZ109" i="30" s="1"/>
  <c r="CB108" i="29"/>
  <c r="BZ108" i="30" s="1"/>
  <c r="CB107" i="29"/>
  <c r="BZ107" i="30" s="1"/>
  <c r="CB106" i="29"/>
  <c r="BZ106" i="30" s="1"/>
  <c r="CB105" i="29"/>
  <c r="BZ105" i="30" s="1"/>
  <c r="CB104" i="29"/>
  <c r="BZ104" i="30" s="1"/>
  <c r="CB103" i="29"/>
  <c r="BZ103" i="30" s="1"/>
  <c r="CB102" i="29"/>
  <c r="BZ102" i="30" s="1"/>
  <c r="CB101" i="29"/>
  <c r="BZ101" i="30" s="1"/>
  <c r="CB100" i="29"/>
  <c r="BZ100" i="30" s="1"/>
  <c r="CB99" i="29"/>
  <c r="BZ99" i="30" s="1"/>
  <c r="CB98" i="29"/>
  <c r="BZ98" i="30" s="1"/>
  <c r="CB97" i="29"/>
  <c r="BZ97" i="30" s="1"/>
  <c r="CB96" i="29"/>
  <c r="BZ96" i="30" s="1"/>
  <c r="CB95" i="29"/>
  <c r="BZ95" i="30" s="1"/>
  <c r="CB94" i="29"/>
  <c r="BZ94" i="30" s="1"/>
  <c r="CB93" i="29"/>
  <c r="BZ93" i="30" s="1"/>
  <c r="CB92" i="29"/>
  <c r="BZ92" i="30" s="1"/>
  <c r="CB91" i="29"/>
  <c r="BZ91" i="30" s="1"/>
  <c r="CB90" i="29"/>
  <c r="BZ90" i="30" s="1"/>
  <c r="CB89" i="29"/>
  <c r="BZ89" i="30" s="1"/>
  <c r="CB88" i="29"/>
  <c r="BZ88" i="30" s="1"/>
  <c r="CB87" i="29"/>
  <c r="BZ87" i="30" s="1"/>
  <c r="CB86" i="29"/>
  <c r="BZ86" i="30" s="1"/>
  <c r="CB85" i="29"/>
  <c r="BZ85" i="30" s="1"/>
  <c r="CB84" i="29"/>
  <c r="BZ84" i="30" s="1"/>
  <c r="CB83" i="29"/>
  <c r="BZ83" i="30" s="1"/>
  <c r="CB82" i="29"/>
  <c r="BZ82" i="30" s="1"/>
  <c r="CB81" i="29"/>
  <c r="CB80" i="29"/>
  <c r="CB79" i="29"/>
  <c r="CB78" i="29"/>
  <c r="CB77" i="29"/>
  <c r="CB76" i="29"/>
  <c r="BZ76" i="30" s="1"/>
  <c r="CB75" i="29"/>
  <c r="BZ75" i="30" s="1"/>
  <c r="CB74" i="29"/>
  <c r="BZ74" i="30" s="1"/>
  <c r="CB73" i="29"/>
  <c r="BZ73" i="30" s="1"/>
  <c r="CB72" i="29"/>
  <c r="BZ72" i="30" s="1"/>
  <c r="CB71" i="29"/>
  <c r="BZ71" i="30" s="1"/>
  <c r="CB70" i="29"/>
  <c r="BZ70" i="30" s="1"/>
  <c r="CB69" i="29"/>
  <c r="BZ69" i="30" s="1"/>
  <c r="CB68" i="29"/>
  <c r="BZ68" i="30" s="1"/>
  <c r="CB67" i="29"/>
  <c r="BZ67" i="30" s="1"/>
  <c r="CB66" i="29"/>
  <c r="BZ66" i="30" s="1"/>
  <c r="CB65" i="29"/>
  <c r="BZ65" i="30" s="1"/>
  <c r="CB64" i="29"/>
  <c r="BZ64" i="30" s="1"/>
  <c r="CB63" i="29"/>
  <c r="BZ63" i="30" s="1"/>
  <c r="CB62" i="29"/>
  <c r="BZ62" i="30" s="1"/>
  <c r="CB61" i="29"/>
  <c r="BZ61" i="30" s="1"/>
  <c r="CB60" i="29"/>
  <c r="BZ60" i="30" s="1"/>
  <c r="CB59" i="29"/>
  <c r="BZ59" i="30" s="1"/>
  <c r="CB58" i="29"/>
  <c r="BZ58" i="30" s="1"/>
  <c r="CB57" i="29"/>
  <c r="BZ57" i="30" s="1"/>
  <c r="CB56" i="29"/>
  <c r="BZ56" i="30" s="1"/>
  <c r="CB55" i="29"/>
  <c r="BZ55" i="30" s="1"/>
  <c r="CB54" i="29"/>
  <c r="BZ54" i="30" s="1"/>
  <c r="CB51" i="29"/>
  <c r="BZ51" i="30" s="1"/>
  <c r="CB49" i="29"/>
  <c r="BZ49" i="30" s="1"/>
  <c r="CB48" i="29"/>
  <c r="BZ48" i="30" s="1"/>
  <c r="CB47" i="29"/>
  <c r="BZ47" i="30" s="1"/>
  <c r="CB46" i="29"/>
  <c r="BZ46" i="30" s="1"/>
  <c r="CB45" i="29"/>
  <c r="BZ45" i="30" s="1"/>
  <c r="CB44" i="29"/>
  <c r="BZ44" i="30" s="1"/>
  <c r="CB43" i="29"/>
  <c r="BZ43" i="30" s="1"/>
  <c r="CB42" i="29"/>
  <c r="BZ42" i="30" s="1"/>
  <c r="CB41" i="29"/>
  <c r="BZ41" i="30" s="1"/>
  <c r="CB40" i="29"/>
  <c r="BZ40" i="30" s="1"/>
  <c r="CB39" i="29"/>
  <c r="BZ39" i="30" s="1"/>
  <c r="CB38" i="29"/>
  <c r="BZ38" i="30" s="1"/>
  <c r="CB37" i="29"/>
  <c r="BZ37" i="30" s="1"/>
  <c r="CB36" i="29"/>
  <c r="BZ36" i="30" s="1"/>
  <c r="CB35" i="29"/>
  <c r="BZ35" i="30" s="1"/>
  <c r="CB34" i="29"/>
  <c r="BZ34" i="30" s="1"/>
  <c r="CB33" i="29"/>
  <c r="BZ33" i="30" s="1"/>
  <c r="CB32" i="29"/>
  <c r="BZ32" i="30" s="1"/>
  <c r="CB31" i="29"/>
  <c r="BZ31" i="30" s="1"/>
  <c r="CB30" i="29"/>
  <c r="BZ30" i="30" s="1"/>
  <c r="CB29" i="29"/>
  <c r="BZ29" i="30" s="1"/>
  <c r="CB28" i="29"/>
  <c r="BZ28" i="30" s="1"/>
  <c r="CB27" i="29"/>
  <c r="BZ27" i="30" s="1"/>
  <c r="CB26" i="29"/>
  <c r="BZ26" i="30" s="1"/>
  <c r="CB25" i="29"/>
  <c r="BZ25" i="30" s="1"/>
  <c r="CB24" i="29"/>
  <c r="BZ24" i="30" s="1"/>
  <c r="CB23" i="29"/>
  <c r="BZ23" i="30" s="1"/>
  <c r="CB22" i="29"/>
  <c r="BZ22" i="30" s="1"/>
  <c r="CB21" i="29"/>
  <c r="BZ21" i="30" s="1"/>
  <c r="CB20" i="29"/>
  <c r="BZ20" i="30" s="1"/>
  <c r="CB19" i="29"/>
  <c r="BZ19" i="30" s="1"/>
  <c r="CB18" i="29"/>
  <c r="BZ18" i="30" s="1"/>
  <c r="CB17" i="29"/>
  <c r="BZ17" i="30" s="1"/>
  <c r="CB16" i="29"/>
  <c r="BZ16" i="30" s="1"/>
  <c r="CB15" i="29"/>
  <c r="BZ15" i="30" s="1"/>
  <c r="CB14" i="29"/>
  <c r="BZ14" i="30" s="1"/>
  <c r="CB13" i="29"/>
  <c r="BZ13" i="30" s="1"/>
  <c r="CB12" i="29"/>
  <c r="BZ12" i="30" s="1"/>
  <c r="CB11" i="29"/>
  <c r="BZ11" i="30" s="1"/>
  <c r="CB10" i="29"/>
  <c r="BZ10" i="30" s="1"/>
  <c r="CB9" i="29"/>
  <c r="BZ9" i="30" s="1"/>
  <c r="CB8" i="29"/>
  <c r="BZ8" i="30" s="1"/>
  <c r="CB7" i="29"/>
  <c r="BZ7" i="30" s="1"/>
  <c r="CB6" i="29"/>
  <c r="BZ6" i="30" s="1"/>
  <c r="CB5" i="29"/>
  <c r="BZ5" i="30" s="1"/>
  <c r="CB4" i="29"/>
  <c r="BZ4" i="30" s="1"/>
  <c r="CB3" i="29"/>
  <c r="BZ3" i="30" s="1"/>
  <c r="CB2" i="29"/>
  <c r="BT430" i="29"/>
  <c r="BY430" i="30" s="1"/>
  <c r="BT429" i="29"/>
  <c r="BY429" i="30" s="1"/>
  <c r="BT428" i="29"/>
  <c r="BY428" i="30" s="1"/>
  <c r="BT427" i="29"/>
  <c r="BY427" i="30" s="1"/>
  <c r="BT426" i="29"/>
  <c r="BY426" i="30" s="1"/>
  <c r="BT425" i="29"/>
  <c r="BY425" i="30" s="1"/>
  <c r="BT424" i="29"/>
  <c r="BY424" i="30" s="1"/>
  <c r="BT423" i="29"/>
  <c r="BY423" i="30" s="1"/>
  <c r="BT422" i="29"/>
  <c r="BY422" i="30" s="1"/>
  <c r="BT421" i="29"/>
  <c r="BY421" i="30" s="1"/>
  <c r="BT420" i="29"/>
  <c r="BY420" i="30" s="1"/>
  <c r="BT419" i="29"/>
  <c r="BY419" i="30" s="1"/>
  <c r="BT418" i="29"/>
  <c r="BY418" i="30" s="1"/>
  <c r="BT417" i="29"/>
  <c r="BY417" i="30" s="1"/>
  <c r="BT416" i="29"/>
  <c r="BY416" i="30" s="1"/>
  <c r="BT415" i="29"/>
  <c r="BY415" i="30" s="1"/>
  <c r="BT414" i="29"/>
  <c r="BY414" i="30" s="1"/>
  <c r="BT413" i="29"/>
  <c r="BY413" i="30" s="1"/>
  <c r="BT412" i="29"/>
  <c r="BY412" i="30" s="1"/>
  <c r="BT411" i="29"/>
  <c r="BY411" i="30" s="1"/>
  <c r="BT410" i="29"/>
  <c r="BY410" i="30" s="1"/>
  <c r="BT409" i="29"/>
  <c r="BY409" i="30" s="1"/>
  <c r="BT408" i="29"/>
  <c r="BY408" i="30" s="1"/>
  <c r="BT407" i="29"/>
  <c r="BY407" i="30" s="1"/>
  <c r="BT406" i="29"/>
  <c r="BY406" i="30" s="1"/>
  <c r="BT405" i="29"/>
  <c r="BY405" i="30" s="1"/>
  <c r="BT404" i="29"/>
  <c r="BY404" i="30" s="1"/>
  <c r="BT403" i="29"/>
  <c r="BY403" i="30" s="1"/>
  <c r="BT402" i="29"/>
  <c r="BY402" i="30" s="1"/>
  <c r="BT401" i="29"/>
  <c r="BY401" i="30" s="1"/>
  <c r="BT400" i="29"/>
  <c r="BY400" i="30" s="1"/>
  <c r="BT399" i="29"/>
  <c r="BY399" i="30" s="1"/>
  <c r="BT398" i="29"/>
  <c r="BY398" i="30" s="1"/>
  <c r="BT397" i="29"/>
  <c r="BY397" i="30" s="1"/>
  <c r="BT396" i="29"/>
  <c r="BY396" i="30" s="1"/>
  <c r="BT395" i="29"/>
  <c r="BY395" i="30" s="1"/>
  <c r="BT394" i="29"/>
  <c r="BY394" i="30" s="1"/>
  <c r="BT393" i="29"/>
  <c r="BY393" i="30" s="1"/>
  <c r="BT392" i="29"/>
  <c r="BY392" i="30" s="1"/>
  <c r="BT391" i="29"/>
  <c r="BY391" i="30" s="1"/>
  <c r="BT390" i="29"/>
  <c r="BY390" i="30" s="1"/>
  <c r="BT389" i="29"/>
  <c r="BY389" i="30" s="1"/>
  <c r="BT388" i="29"/>
  <c r="BY388" i="30" s="1"/>
  <c r="BT387" i="29"/>
  <c r="BY387" i="30" s="1"/>
  <c r="BT386" i="29"/>
  <c r="BY386" i="30" s="1"/>
  <c r="BT385" i="29"/>
  <c r="BY385" i="30" s="1"/>
  <c r="BT384" i="29"/>
  <c r="BY384" i="30" s="1"/>
  <c r="BT383" i="29"/>
  <c r="BY383" i="30" s="1"/>
  <c r="BT382" i="29"/>
  <c r="BY382" i="30" s="1"/>
  <c r="BT381" i="29"/>
  <c r="BY381" i="30" s="1"/>
  <c r="BT380" i="29"/>
  <c r="BY380" i="30" s="1"/>
  <c r="BT379" i="29"/>
  <c r="BY379" i="30" s="1"/>
  <c r="BT378" i="29"/>
  <c r="BY378" i="30" s="1"/>
  <c r="BT377" i="29"/>
  <c r="BY377" i="30" s="1"/>
  <c r="BT376" i="29"/>
  <c r="BY376" i="30" s="1"/>
  <c r="BT375" i="29"/>
  <c r="BY375" i="30" s="1"/>
  <c r="BT374" i="29"/>
  <c r="BY374" i="30" s="1"/>
  <c r="BT373" i="29"/>
  <c r="BY373" i="30" s="1"/>
  <c r="BT372" i="29"/>
  <c r="BY372" i="30" s="1"/>
  <c r="BT371" i="29"/>
  <c r="BY371" i="30" s="1"/>
  <c r="BT370" i="29"/>
  <c r="BY370" i="30" s="1"/>
  <c r="BT369" i="29"/>
  <c r="BY369" i="30" s="1"/>
  <c r="BT368" i="29"/>
  <c r="BY368" i="30" s="1"/>
  <c r="BT367" i="29"/>
  <c r="BY367" i="30" s="1"/>
  <c r="BT366" i="29"/>
  <c r="BY366" i="30" s="1"/>
  <c r="BT365" i="29"/>
  <c r="BY365" i="30" s="1"/>
  <c r="BT364" i="29"/>
  <c r="BY364" i="30" s="1"/>
  <c r="BT363" i="29"/>
  <c r="BY363" i="30" s="1"/>
  <c r="BT362" i="29"/>
  <c r="BY362" i="30" s="1"/>
  <c r="BT361" i="29"/>
  <c r="BY361" i="30" s="1"/>
  <c r="BT360" i="29"/>
  <c r="BY360" i="30" s="1"/>
  <c r="BT359" i="29"/>
  <c r="BY359" i="30" s="1"/>
  <c r="BT358" i="29"/>
  <c r="BY358" i="30" s="1"/>
  <c r="BT357" i="29"/>
  <c r="BY357" i="30" s="1"/>
  <c r="BT356" i="29"/>
  <c r="BY356" i="30" s="1"/>
  <c r="BT355" i="29"/>
  <c r="BY355" i="30" s="1"/>
  <c r="BT354" i="29"/>
  <c r="BY354" i="30" s="1"/>
  <c r="BT353" i="29"/>
  <c r="BY353" i="30" s="1"/>
  <c r="BT352" i="29"/>
  <c r="BY352" i="30" s="1"/>
  <c r="BT351" i="29"/>
  <c r="BY351" i="30" s="1"/>
  <c r="BT350" i="29"/>
  <c r="BY350" i="30" s="1"/>
  <c r="BT349" i="29"/>
  <c r="BY349" i="30" s="1"/>
  <c r="BT348" i="29"/>
  <c r="BY348" i="30" s="1"/>
  <c r="BT347" i="29"/>
  <c r="BY347" i="30" s="1"/>
  <c r="BT346" i="29"/>
  <c r="BY346" i="30" s="1"/>
  <c r="BT345" i="29"/>
  <c r="BY345" i="30" s="1"/>
  <c r="BT344" i="29"/>
  <c r="BY344" i="30" s="1"/>
  <c r="BT343" i="29"/>
  <c r="BY343" i="30" s="1"/>
  <c r="BT342" i="29"/>
  <c r="BY342" i="30" s="1"/>
  <c r="BT341" i="29"/>
  <c r="BY341" i="30" s="1"/>
  <c r="BT340" i="29"/>
  <c r="BY340" i="30" s="1"/>
  <c r="BT339" i="29"/>
  <c r="BY339" i="30" s="1"/>
  <c r="BT338" i="29"/>
  <c r="BY338" i="30" s="1"/>
  <c r="BT337" i="29"/>
  <c r="BY337" i="30" s="1"/>
  <c r="BT336" i="29"/>
  <c r="BY336" i="30" s="1"/>
  <c r="BT335" i="29"/>
  <c r="BY335" i="30" s="1"/>
  <c r="BT334" i="29"/>
  <c r="BY334" i="30" s="1"/>
  <c r="BT333" i="29"/>
  <c r="BY333" i="30" s="1"/>
  <c r="BT332" i="29"/>
  <c r="BY332" i="30" s="1"/>
  <c r="BT331" i="29"/>
  <c r="BY331" i="30" s="1"/>
  <c r="BT330" i="29"/>
  <c r="BY330" i="30" s="1"/>
  <c r="BT329" i="29"/>
  <c r="BY329" i="30" s="1"/>
  <c r="BT328" i="29"/>
  <c r="BY328" i="30" s="1"/>
  <c r="BT327" i="29"/>
  <c r="BY327" i="30" s="1"/>
  <c r="BT326" i="29"/>
  <c r="BY326" i="30" s="1"/>
  <c r="BT325" i="29"/>
  <c r="BY325" i="30" s="1"/>
  <c r="BT324" i="29"/>
  <c r="BY324" i="30" s="1"/>
  <c r="BT323" i="29"/>
  <c r="BY323" i="30" s="1"/>
  <c r="BT322" i="29"/>
  <c r="BY322" i="30" s="1"/>
  <c r="BT321" i="29"/>
  <c r="BY321" i="30" s="1"/>
  <c r="BT320" i="29"/>
  <c r="BY320" i="30" s="1"/>
  <c r="BT319" i="29"/>
  <c r="BY319" i="30" s="1"/>
  <c r="BT318" i="29"/>
  <c r="BY318" i="30" s="1"/>
  <c r="BT317" i="29"/>
  <c r="BY317" i="30" s="1"/>
  <c r="BT316" i="29"/>
  <c r="BY316" i="30" s="1"/>
  <c r="BT315" i="29"/>
  <c r="BY315" i="30" s="1"/>
  <c r="BT314" i="29"/>
  <c r="BY314" i="30" s="1"/>
  <c r="BT313" i="29"/>
  <c r="BY313" i="30" s="1"/>
  <c r="BT312" i="29"/>
  <c r="BY312" i="30" s="1"/>
  <c r="BT311" i="29"/>
  <c r="BY311" i="30" s="1"/>
  <c r="BT310" i="29"/>
  <c r="BY310" i="30" s="1"/>
  <c r="BT309" i="29"/>
  <c r="BY309" i="30" s="1"/>
  <c r="BT308" i="29"/>
  <c r="BY308" i="30" s="1"/>
  <c r="BT307" i="29"/>
  <c r="BY307" i="30" s="1"/>
  <c r="BT306" i="29"/>
  <c r="BY306" i="30" s="1"/>
  <c r="BT305" i="29"/>
  <c r="BY305" i="30" s="1"/>
  <c r="BT304" i="29"/>
  <c r="BY304" i="30" s="1"/>
  <c r="BT303" i="29"/>
  <c r="BY303" i="30" s="1"/>
  <c r="BT302" i="29"/>
  <c r="BY302" i="30" s="1"/>
  <c r="BT301" i="29"/>
  <c r="BY301" i="30" s="1"/>
  <c r="BT300" i="29"/>
  <c r="BY300" i="30" s="1"/>
  <c r="BT299" i="29"/>
  <c r="BY299" i="30" s="1"/>
  <c r="BT298" i="29"/>
  <c r="BY298" i="30" s="1"/>
  <c r="BT297" i="29"/>
  <c r="BY297" i="30" s="1"/>
  <c r="BT296" i="29"/>
  <c r="BY296" i="30" s="1"/>
  <c r="BT295" i="29"/>
  <c r="BY295" i="30" s="1"/>
  <c r="BT294" i="29"/>
  <c r="BY294" i="30" s="1"/>
  <c r="BT293" i="29"/>
  <c r="BY293" i="30" s="1"/>
  <c r="BT292" i="29"/>
  <c r="BY292" i="30" s="1"/>
  <c r="BT291" i="29"/>
  <c r="BY291" i="30" s="1"/>
  <c r="BT290" i="29"/>
  <c r="BY290" i="30" s="1"/>
  <c r="BT289" i="29"/>
  <c r="BY289" i="30" s="1"/>
  <c r="BT288" i="29"/>
  <c r="BY288" i="30" s="1"/>
  <c r="BT287" i="29"/>
  <c r="BY287" i="30" s="1"/>
  <c r="BT286" i="29"/>
  <c r="BY286" i="30" s="1"/>
  <c r="BT285" i="29"/>
  <c r="BY285" i="30" s="1"/>
  <c r="BT284" i="29"/>
  <c r="BY284" i="30" s="1"/>
  <c r="BT283" i="29"/>
  <c r="BY283" i="30" s="1"/>
  <c r="BT282" i="29"/>
  <c r="BY282" i="30" s="1"/>
  <c r="BT281" i="29"/>
  <c r="BY281" i="30" s="1"/>
  <c r="BT280" i="29"/>
  <c r="BY280" i="30" s="1"/>
  <c r="BT279" i="29"/>
  <c r="BY279" i="30" s="1"/>
  <c r="BT278" i="29"/>
  <c r="BY278" i="30" s="1"/>
  <c r="BT277" i="29"/>
  <c r="BY277" i="30" s="1"/>
  <c r="BT276" i="29"/>
  <c r="BY276" i="30" s="1"/>
  <c r="BT275" i="29"/>
  <c r="BY275" i="30" s="1"/>
  <c r="BT274" i="29"/>
  <c r="BY274" i="30" s="1"/>
  <c r="BT273" i="29"/>
  <c r="BY273" i="30" s="1"/>
  <c r="BT272" i="29"/>
  <c r="BY272" i="30" s="1"/>
  <c r="BT271" i="29"/>
  <c r="BY271" i="30" s="1"/>
  <c r="BT270" i="29"/>
  <c r="BY270" i="30" s="1"/>
  <c r="BT269" i="29"/>
  <c r="BY269" i="30" s="1"/>
  <c r="BT268" i="29"/>
  <c r="BY268" i="30" s="1"/>
  <c r="BT267" i="29"/>
  <c r="BY267" i="30" s="1"/>
  <c r="BT266" i="29"/>
  <c r="BY266" i="30" s="1"/>
  <c r="BT265" i="29"/>
  <c r="BY265" i="30" s="1"/>
  <c r="BT264" i="29"/>
  <c r="BY264" i="30" s="1"/>
  <c r="BT263" i="29"/>
  <c r="BY263" i="30" s="1"/>
  <c r="BT262" i="29"/>
  <c r="BY262" i="30" s="1"/>
  <c r="BT261" i="29"/>
  <c r="BY261" i="30" s="1"/>
  <c r="BT260" i="29"/>
  <c r="BY260" i="30" s="1"/>
  <c r="BT259" i="29"/>
  <c r="BY259" i="30" s="1"/>
  <c r="BT258" i="29"/>
  <c r="BY258" i="30" s="1"/>
  <c r="BT257" i="29"/>
  <c r="BY257" i="30" s="1"/>
  <c r="BT256" i="29"/>
  <c r="BY256" i="30" s="1"/>
  <c r="BT255" i="29"/>
  <c r="BY255" i="30" s="1"/>
  <c r="BT254" i="29"/>
  <c r="BY254" i="30" s="1"/>
  <c r="BT253" i="29"/>
  <c r="BY253" i="30" s="1"/>
  <c r="BT252" i="29"/>
  <c r="BY252" i="30" s="1"/>
  <c r="BT251" i="29"/>
  <c r="BY251" i="30" s="1"/>
  <c r="BT250" i="29"/>
  <c r="BY250" i="30" s="1"/>
  <c r="BT249" i="29"/>
  <c r="BY249" i="30" s="1"/>
  <c r="BT248" i="29"/>
  <c r="BY248" i="30" s="1"/>
  <c r="BT247" i="29"/>
  <c r="BY247" i="30" s="1"/>
  <c r="BT246" i="29"/>
  <c r="BY246" i="30" s="1"/>
  <c r="BT245" i="29"/>
  <c r="BY245" i="30" s="1"/>
  <c r="BT244" i="29"/>
  <c r="BY244" i="30" s="1"/>
  <c r="BT243" i="29"/>
  <c r="BY243" i="30" s="1"/>
  <c r="BT242" i="29"/>
  <c r="BY242" i="30" s="1"/>
  <c r="BT167" i="29"/>
  <c r="BY167" i="30" s="1"/>
  <c r="BT166" i="29"/>
  <c r="BY166" i="30" s="1"/>
  <c r="BT165" i="29"/>
  <c r="BY165" i="30" s="1"/>
  <c r="BT164" i="29"/>
  <c r="BY164" i="30" s="1"/>
  <c r="BT163" i="29"/>
  <c r="BY163" i="30" s="1"/>
  <c r="BT162" i="29"/>
  <c r="BY162" i="30" s="1"/>
  <c r="BT161" i="29"/>
  <c r="BY161" i="30" s="1"/>
  <c r="BT160" i="29"/>
  <c r="BY160" i="30" s="1"/>
  <c r="BT159" i="29"/>
  <c r="BY159" i="30" s="1"/>
  <c r="BT158" i="29"/>
  <c r="BY158" i="30" s="1"/>
  <c r="BT157" i="29"/>
  <c r="BY157" i="30" s="1"/>
  <c r="BT156" i="29"/>
  <c r="BY156" i="30" s="1"/>
  <c r="BT155" i="29"/>
  <c r="BY155" i="30" s="1"/>
  <c r="BT154" i="29"/>
  <c r="BY154" i="30" s="1"/>
  <c r="BT153" i="29"/>
  <c r="BY153" i="30" s="1"/>
  <c r="BT152" i="29"/>
  <c r="BY152" i="30" s="1"/>
  <c r="BT151" i="29"/>
  <c r="BY151" i="30" s="1"/>
  <c r="BT150" i="29"/>
  <c r="BY150" i="30" s="1"/>
  <c r="BT149" i="29"/>
  <c r="BY149" i="30" s="1"/>
  <c r="BT148" i="29"/>
  <c r="BY148" i="30" s="1"/>
  <c r="BT147" i="29"/>
  <c r="BY147" i="30" s="1"/>
  <c r="BT146" i="29"/>
  <c r="BY146" i="30" s="1"/>
  <c r="BT145" i="29"/>
  <c r="BY145" i="30" s="1"/>
  <c r="BT144" i="29"/>
  <c r="BY144" i="30" s="1"/>
  <c r="BT143" i="29"/>
  <c r="BY143" i="30" s="1"/>
  <c r="BT142" i="29"/>
  <c r="BY142" i="30" s="1"/>
  <c r="BT141" i="29"/>
  <c r="BY141" i="30" s="1"/>
  <c r="BT140" i="29"/>
  <c r="BY140" i="30" s="1"/>
  <c r="BT139" i="29"/>
  <c r="BY139" i="30" s="1"/>
  <c r="BT138" i="29"/>
  <c r="BY138" i="30" s="1"/>
  <c r="BT137" i="29"/>
  <c r="BY137" i="30" s="1"/>
  <c r="BT136" i="29"/>
  <c r="BY136" i="30" s="1"/>
  <c r="BT135" i="29"/>
  <c r="BY135" i="30" s="1"/>
  <c r="BT134" i="29"/>
  <c r="BY134" i="30" s="1"/>
  <c r="BT133" i="29"/>
  <c r="BY133" i="30" s="1"/>
  <c r="BT132" i="29"/>
  <c r="BY132" i="30" s="1"/>
  <c r="BT131" i="29"/>
  <c r="BY131" i="30" s="1"/>
  <c r="BT130" i="29"/>
  <c r="BY130" i="30" s="1"/>
  <c r="BT129" i="29"/>
  <c r="BY129" i="30" s="1"/>
  <c r="BT128" i="29"/>
  <c r="BY128" i="30" s="1"/>
  <c r="BT127" i="29"/>
  <c r="BY127" i="30" s="1"/>
  <c r="BT126" i="29"/>
  <c r="BY126" i="30" s="1"/>
  <c r="BT125" i="29"/>
  <c r="BY125" i="30" s="1"/>
  <c r="BT124" i="29"/>
  <c r="BY124" i="30" s="1"/>
  <c r="BT123" i="29"/>
  <c r="BY123" i="30" s="1"/>
  <c r="BT122" i="29"/>
  <c r="BY122" i="30" s="1"/>
  <c r="BT121" i="29"/>
  <c r="BY121" i="30" s="1"/>
  <c r="BT120" i="29"/>
  <c r="BY120" i="30" s="1"/>
  <c r="BT119" i="29"/>
  <c r="BY119" i="30" s="1"/>
  <c r="BT118" i="29"/>
  <c r="BY118" i="30" s="1"/>
  <c r="BT117" i="29"/>
  <c r="BY117" i="30" s="1"/>
  <c r="BT116" i="29"/>
  <c r="BY116" i="30" s="1"/>
  <c r="BT115" i="29"/>
  <c r="BY115" i="30" s="1"/>
  <c r="BT114" i="29"/>
  <c r="BY114" i="30" s="1"/>
  <c r="BT113" i="29"/>
  <c r="BY113" i="30" s="1"/>
  <c r="BT112" i="29"/>
  <c r="BY112" i="30" s="1"/>
  <c r="BT111" i="29"/>
  <c r="BY111" i="30" s="1"/>
  <c r="BT110" i="29"/>
  <c r="BY110" i="30" s="1"/>
  <c r="BT109" i="29"/>
  <c r="BY109" i="30" s="1"/>
  <c r="BT108" i="29"/>
  <c r="BY108" i="30" s="1"/>
  <c r="BT107" i="29"/>
  <c r="BY107" i="30" s="1"/>
  <c r="BT106" i="29"/>
  <c r="BY106" i="30" s="1"/>
  <c r="BT105" i="29"/>
  <c r="BY105" i="30" s="1"/>
  <c r="BT104" i="29"/>
  <c r="BY104" i="30" s="1"/>
  <c r="BT103" i="29"/>
  <c r="BY103" i="30" s="1"/>
  <c r="BT102" i="29"/>
  <c r="BY102" i="30" s="1"/>
  <c r="BT101" i="29"/>
  <c r="BY101" i="30" s="1"/>
  <c r="BT100" i="29"/>
  <c r="BY100" i="30" s="1"/>
  <c r="BT99" i="29"/>
  <c r="BY99" i="30" s="1"/>
  <c r="BT98" i="29"/>
  <c r="BY98" i="30" s="1"/>
  <c r="BT97" i="29"/>
  <c r="BY97" i="30" s="1"/>
  <c r="BT96" i="29"/>
  <c r="BY96" i="30" s="1"/>
  <c r="BT95" i="29"/>
  <c r="BY95" i="30" s="1"/>
  <c r="BT94" i="29"/>
  <c r="BY94" i="30" s="1"/>
  <c r="BT93" i="29"/>
  <c r="BY93" i="30" s="1"/>
  <c r="BT92" i="29"/>
  <c r="BY92" i="30" s="1"/>
  <c r="BT91" i="29"/>
  <c r="BY91" i="30" s="1"/>
  <c r="BT90" i="29"/>
  <c r="BY90" i="30" s="1"/>
  <c r="BT89" i="29"/>
  <c r="BY89" i="30" s="1"/>
  <c r="BT88" i="29"/>
  <c r="BY88" i="30" s="1"/>
  <c r="BT87" i="29"/>
  <c r="BY87" i="30" s="1"/>
  <c r="BT86" i="29"/>
  <c r="BY86" i="30" s="1"/>
  <c r="BT85" i="29"/>
  <c r="BY85" i="30" s="1"/>
  <c r="BT84" i="29"/>
  <c r="BY84" i="30" s="1"/>
  <c r="BT83" i="29"/>
  <c r="BY83" i="30" s="1"/>
  <c r="BT82" i="29"/>
  <c r="BY82" i="30" s="1"/>
  <c r="BT81" i="29"/>
  <c r="BY81" i="30" s="1"/>
  <c r="BT80" i="29"/>
  <c r="BY80" i="30" s="1"/>
  <c r="BT79" i="29"/>
  <c r="BY79" i="30" s="1"/>
  <c r="BT78" i="29"/>
  <c r="BY78" i="30" s="1"/>
  <c r="BT77" i="29"/>
  <c r="BY77" i="30" s="1"/>
  <c r="BT76" i="29"/>
  <c r="BT75" i="29"/>
  <c r="BT74" i="29"/>
  <c r="BT73" i="29"/>
  <c r="BT72" i="29"/>
  <c r="BT71" i="29"/>
  <c r="BY71" i="30" s="1"/>
  <c r="BT70" i="29"/>
  <c r="BY70" i="30" s="1"/>
  <c r="BT69" i="29"/>
  <c r="BY69" i="30" s="1"/>
  <c r="BT68" i="29"/>
  <c r="BY68" i="30" s="1"/>
  <c r="BT67" i="29"/>
  <c r="BY67" i="30" s="1"/>
  <c r="BT66" i="29"/>
  <c r="BY66" i="30" s="1"/>
  <c r="BT65" i="29"/>
  <c r="BY65" i="30" s="1"/>
  <c r="BT64" i="29"/>
  <c r="BY64" i="30" s="1"/>
  <c r="BT63" i="29"/>
  <c r="BY63" i="30" s="1"/>
  <c r="BT62" i="29"/>
  <c r="BY62" i="30" s="1"/>
  <c r="BT61" i="29"/>
  <c r="BY61" i="30" s="1"/>
  <c r="BT60" i="29"/>
  <c r="BY60" i="30" s="1"/>
  <c r="BT59" i="29"/>
  <c r="BY59" i="30" s="1"/>
  <c r="BT58" i="29"/>
  <c r="BY58" i="30" s="1"/>
  <c r="BT57" i="29"/>
  <c r="BY57" i="30" s="1"/>
  <c r="BT56" i="29"/>
  <c r="BY56" i="30" s="1"/>
  <c r="BT55" i="29"/>
  <c r="BY55" i="30" s="1"/>
  <c r="BT54" i="29"/>
  <c r="BY54" i="30" s="1"/>
  <c r="BT51" i="29"/>
  <c r="BY51" i="30" s="1"/>
  <c r="BT49" i="29"/>
  <c r="BY49" i="30" s="1"/>
  <c r="BT48" i="29"/>
  <c r="BY48" i="30" s="1"/>
  <c r="BT47" i="29"/>
  <c r="BY47" i="30" s="1"/>
  <c r="BT46" i="29"/>
  <c r="BY46" i="30" s="1"/>
  <c r="BT45" i="29"/>
  <c r="BY45" i="30" s="1"/>
  <c r="BT44" i="29"/>
  <c r="BY44" i="30" s="1"/>
  <c r="BT43" i="29"/>
  <c r="BY43" i="30" s="1"/>
  <c r="BT42" i="29"/>
  <c r="BY42" i="30" s="1"/>
  <c r="BT41" i="29"/>
  <c r="BY41" i="30" s="1"/>
  <c r="BT40" i="29"/>
  <c r="BY40" i="30" s="1"/>
  <c r="BT39" i="29"/>
  <c r="BY39" i="30" s="1"/>
  <c r="BT38" i="29"/>
  <c r="BY38" i="30" s="1"/>
  <c r="BT37" i="29"/>
  <c r="BY37" i="30" s="1"/>
  <c r="BT36" i="29"/>
  <c r="BY36" i="30" s="1"/>
  <c r="BT35" i="29"/>
  <c r="BY35" i="30" s="1"/>
  <c r="BT34" i="29"/>
  <c r="BY34" i="30" s="1"/>
  <c r="BT33" i="29"/>
  <c r="BY33" i="30" s="1"/>
  <c r="BT32" i="29"/>
  <c r="BY32" i="30" s="1"/>
  <c r="BT31" i="29"/>
  <c r="BY31" i="30" s="1"/>
  <c r="BT30" i="29"/>
  <c r="BY30" i="30" s="1"/>
  <c r="BT29" i="29"/>
  <c r="BY29" i="30" s="1"/>
  <c r="BT28" i="29"/>
  <c r="BY28" i="30" s="1"/>
  <c r="BT27" i="29"/>
  <c r="BY27" i="30" s="1"/>
  <c r="BT26" i="29"/>
  <c r="BY26" i="30" s="1"/>
  <c r="BT25" i="29"/>
  <c r="BY25" i="30" s="1"/>
  <c r="BT24" i="29"/>
  <c r="BY24" i="30" s="1"/>
  <c r="BT23" i="29"/>
  <c r="BY23" i="30" s="1"/>
  <c r="BT22" i="29"/>
  <c r="BY22" i="30" s="1"/>
  <c r="BT21" i="29"/>
  <c r="BY21" i="30" s="1"/>
  <c r="BT20" i="29"/>
  <c r="BY20" i="30" s="1"/>
  <c r="BT19" i="29"/>
  <c r="BY19" i="30" s="1"/>
  <c r="BT18" i="29"/>
  <c r="BY18" i="30" s="1"/>
  <c r="BT17" i="29"/>
  <c r="BY17" i="30" s="1"/>
  <c r="BT16" i="29"/>
  <c r="BY16" i="30" s="1"/>
  <c r="BT15" i="29"/>
  <c r="BY15" i="30" s="1"/>
  <c r="BT14" i="29"/>
  <c r="BY14" i="30" s="1"/>
  <c r="BT13" i="29"/>
  <c r="BY13" i="30" s="1"/>
  <c r="BT12" i="29"/>
  <c r="BY12" i="30" s="1"/>
  <c r="BT11" i="29"/>
  <c r="BY11" i="30" s="1"/>
  <c r="BT10" i="29"/>
  <c r="BY10" i="30" s="1"/>
  <c r="BT9" i="29"/>
  <c r="BY9" i="30" s="1"/>
  <c r="BT8" i="29"/>
  <c r="BY8" i="30" s="1"/>
  <c r="BT7" i="29"/>
  <c r="BY7" i="30" s="1"/>
  <c r="BT6" i="29"/>
  <c r="BY6" i="30" s="1"/>
  <c r="BT5" i="29"/>
  <c r="BY5" i="30" s="1"/>
  <c r="BT4" i="29"/>
  <c r="BY4" i="30" s="1"/>
  <c r="BT3" i="29"/>
  <c r="BY3" i="30" s="1"/>
  <c r="BT2" i="29"/>
  <c r="BL430" i="29"/>
  <c r="BX430" i="30" s="1"/>
  <c r="BL429" i="29"/>
  <c r="BX429" i="30" s="1"/>
  <c r="BL428" i="29"/>
  <c r="BX428" i="30" s="1"/>
  <c r="BL427" i="29"/>
  <c r="BX427" i="30" s="1"/>
  <c r="BL426" i="29"/>
  <c r="BX426" i="30" s="1"/>
  <c r="BL425" i="29"/>
  <c r="BX425" i="30" s="1"/>
  <c r="BL424" i="29"/>
  <c r="BX424" i="30" s="1"/>
  <c r="BL423" i="29"/>
  <c r="BX423" i="30" s="1"/>
  <c r="BL422" i="29"/>
  <c r="BX422" i="30" s="1"/>
  <c r="BL421" i="29"/>
  <c r="BX421" i="30" s="1"/>
  <c r="BL420" i="29"/>
  <c r="BX420" i="30" s="1"/>
  <c r="BL419" i="29"/>
  <c r="BX419" i="30" s="1"/>
  <c r="BL418" i="29"/>
  <c r="BX418" i="30" s="1"/>
  <c r="BL417" i="29"/>
  <c r="BX417" i="30" s="1"/>
  <c r="BL416" i="29"/>
  <c r="BX416" i="30" s="1"/>
  <c r="BL415" i="29"/>
  <c r="BX415" i="30" s="1"/>
  <c r="BL414" i="29"/>
  <c r="BX414" i="30" s="1"/>
  <c r="BL413" i="29"/>
  <c r="BX413" i="30" s="1"/>
  <c r="BL412" i="29"/>
  <c r="BX412" i="30" s="1"/>
  <c r="BL411" i="29"/>
  <c r="BX411" i="30" s="1"/>
  <c r="BL410" i="29"/>
  <c r="BX410" i="30" s="1"/>
  <c r="BL409" i="29"/>
  <c r="BX409" i="30" s="1"/>
  <c r="BL408" i="29"/>
  <c r="BX408" i="30" s="1"/>
  <c r="BL407" i="29"/>
  <c r="BX407" i="30" s="1"/>
  <c r="BL406" i="29"/>
  <c r="BX406" i="30" s="1"/>
  <c r="BL405" i="29"/>
  <c r="BX405" i="30" s="1"/>
  <c r="BL404" i="29"/>
  <c r="BX404" i="30" s="1"/>
  <c r="BL403" i="29"/>
  <c r="BX403" i="30" s="1"/>
  <c r="BL402" i="29"/>
  <c r="BX402" i="30" s="1"/>
  <c r="BL401" i="29"/>
  <c r="BX401" i="30" s="1"/>
  <c r="BL400" i="29"/>
  <c r="BX400" i="30" s="1"/>
  <c r="BL399" i="29"/>
  <c r="BX399" i="30" s="1"/>
  <c r="BL398" i="29"/>
  <c r="BX398" i="30" s="1"/>
  <c r="BL397" i="29"/>
  <c r="BX397" i="30" s="1"/>
  <c r="BL396" i="29"/>
  <c r="BX396" i="30" s="1"/>
  <c r="BL395" i="29"/>
  <c r="BX395" i="30" s="1"/>
  <c r="BL394" i="29"/>
  <c r="BX394" i="30" s="1"/>
  <c r="BL393" i="29"/>
  <c r="BX393" i="30" s="1"/>
  <c r="BL392" i="29"/>
  <c r="BX392" i="30" s="1"/>
  <c r="BL391" i="29"/>
  <c r="BX391" i="30" s="1"/>
  <c r="BL390" i="29"/>
  <c r="BX390" i="30" s="1"/>
  <c r="BL389" i="29"/>
  <c r="BX389" i="30" s="1"/>
  <c r="BL388" i="29"/>
  <c r="BX388" i="30" s="1"/>
  <c r="BL387" i="29"/>
  <c r="BX387" i="30" s="1"/>
  <c r="BL386" i="29"/>
  <c r="BX386" i="30" s="1"/>
  <c r="BL385" i="29"/>
  <c r="BX385" i="30" s="1"/>
  <c r="BL384" i="29"/>
  <c r="BX384" i="30" s="1"/>
  <c r="BL383" i="29"/>
  <c r="BX383" i="30" s="1"/>
  <c r="BL382" i="29"/>
  <c r="BX382" i="30" s="1"/>
  <c r="BL381" i="29"/>
  <c r="BX381" i="30" s="1"/>
  <c r="BL380" i="29"/>
  <c r="BX380" i="30" s="1"/>
  <c r="BL379" i="29"/>
  <c r="BX379" i="30" s="1"/>
  <c r="BL378" i="29"/>
  <c r="BX378" i="30" s="1"/>
  <c r="BL377" i="29"/>
  <c r="BX377" i="30" s="1"/>
  <c r="BL376" i="29"/>
  <c r="BX376" i="30" s="1"/>
  <c r="BL375" i="29"/>
  <c r="BX375" i="30" s="1"/>
  <c r="BL374" i="29"/>
  <c r="BX374" i="30" s="1"/>
  <c r="BL373" i="29"/>
  <c r="BX373" i="30" s="1"/>
  <c r="BL372" i="29"/>
  <c r="BX372" i="30" s="1"/>
  <c r="BL371" i="29"/>
  <c r="BX371" i="30" s="1"/>
  <c r="BL370" i="29"/>
  <c r="BX370" i="30" s="1"/>
  <c r="BL369" i="29"/>
  <c r="BX369" i="30" s="1"/>
  <c r="BL368" i="29"/>
  <c r="BX368" i="30" s="1"/>
  <c r="BL367" i="29"/>
  <c r="BX367" i="30" s="1"/>
  <c r="BL366" i="29"/>
  <c r="BX366" i="30" s="1"/>
  <c r="BL365" i="29"/>
  <c r="BX365" i="30" s="1"/>
  <c r="BL364" i="29"/>
  <c r="BX364" i="30" s="1"/>
  <c r="BL363" i="29"/>
  <c r="BX363" i="30" s="1"/>
  <c r="BL362" i="29"/>
  <c r="BX362" i="30" s="1"/>
  <c r="BL361" i="29"/>
  <c r="BX361" i="30" s="1"/>
  <c r="BL360" i="29"/>
  <c r="BX360" i="30" s="1"/>
  <c r="BL359" i="29"/>
  <c r="BX359" i="30" s="1"/>
  <c r="BL358" i="29"/>
  <c r="BX358" i="30" s="1"/>
  <c r="BL357" i="29"/>
  <c r="BX357" i="30" s="1"/>
  <c r="BL356" i="29"/>
  <c r="BX356" i="30" s="1"/>
  <c r="BL355" i="29"/>
  <c r="BX355" i="30" s="1"/>
  <c r="BL354" i="29"/>
  <c r="BX354" i="30" s="1"/>
  <c r="BL353" i="29"/>
  <c r="BX353" i="30" s="1"/>
  <c r="BL352" i="29"/>
  <c r="BX352" i="30" s="1"/>
  <c r="BL351" i="29"/>
  <c r="BX351" i="30" s="1"/>
  <c r="BL350" i="29"/>
  <c r="BX350" i="30" s="1"/>
  <c r="BL349" i="29"/>
  <c r="BX349" i="30" s="1"/>
  <c r="BL348" i="29"/>
  <c r="BX348" i="30" s="1"/>
  <c r="BL347" i="29"/>
  <c r="BX347" i="30" s="1"/>
  <c r="BL346" i="29"/>
  <c r="BX346" i="30" s="1"/>
  <c r="BL345" i="29"/>
  <c r="BX345" i="30" s="1"/>
  <c r="BL344" i="29"/>
  <c r="BX344" i="30" s="1"/>
  <c r="BL343" i="29"/>
  <c r="BX343" i="30" s="1"/>
  <c r="BL342" i="29"/>
  <c r="BX342" i="30" s="1"/>
  <c r="BL341" i="29"/>
  <c r="BX341" i="30" s="1"/>
  <c r="BL340" i="29"/>
  <c r="BX340" i="30" s="1"/>
  <c r="BL339" i="29"/>
  <c r="BX339" i="30" s="1"/>
  <c r="BL338" i="29"/>
  <c r="BX338" i="30" s="1"/>
  <c r="BL337" i="29"/>
  <c r="BX337" i="30" s="1"/>
  <c r="BL336" i="29"/>
  <c r="BX336" i="30" s="1"/>
  <c r="BL335" i="29"/>
  <c r="BX335" i="30" s="1"/>
  <c r="BL334" i="29"/>
  <c r="BX334" i="30" s="1"/>
  <c r="BL333" i="29"/>
  <c r="BX333" i="30" s="1"/>
  <c r="BL332" i="29"/>
  <c r="BX332" i="30" s="1"/>
  <c r="BL331" i="29"/>
  <c r="BX331" i="30" s="1"/>
  <c r="BL330" i="29"/>
  <c r="BX330" i="30" s="1"/>
  <c r="BL329" i="29"/>
  <c r="BX329" i="30" s="1"/>
  <c r="BL328" i="29"/>
  <c r="BX328" i="30" s="1"/>
  <c r="BL327" i="29"/>
  <c r="BX327" i="30" s="1"/>
  <c r="BL326" i="29"/>
  <c r="BX326" i="30" s="1"/>
  <c r="BL325" i="29"/>
  <c r="BX325" i="30" s="1"/>
  <c r="BL324" i="29"/>
  <c r="BX324" i="30" s="1"/>
  <c r="BL323" i="29"/>
  <c r="BX323" i="30" s="1"/>
  <c r="BL322" i="29"/>
  <c r="BX322" i="30" s="1"/>
  <c r="BL321" i="29"/>
  <c r="BX321" i="30" s="1"/>
  <c r="BL320" i="29"/>
  <c r="BX320" i="30" s="1"/>
  <c r="BL319" i="29"/>
  <c r="BX319" i="30" s="1"/>
  <c r="BL318" i="29"/>
  <c r="BX318" i="30" s="1"/>
  <c r="BL317" i="29"/>
  <c r="BX317" i="30" s="1"/>
  <c r="BL316" i="29"/>
  <c r="BX316" i="30" s="1"/>
  <c r="BL315" i="29"/>
  <c r="BX315" i="30" s="1"/>
  <c r="BL314" i="29"/>
  <c r="BX314" i="30" s="1"/>
  <c r="BL313" i="29"/>
  <c r="BX313" i="30" s="1"/>
  <c r="BL312" i="29"/>
  <c r="BX312" i="30" s="1"/>
  <c r="BL311" i="29"/>
  <c r="BX311" i="30" s="1"/>
  <c r="BL310" i="29"/>
  <c r="BX310" i="30" s="1"/>
  <c r="BL309" i="29"/>
  <c r="BX309" i="30" s="1"/>
  <c r="BL308" i="29"/>
  <c r="BX308" i="30" s="1"/>
  <c r="BL307" i="29"/>
  <c r="BX307" i="30" s="1"/>
  <c r="BL306" i="29"/>
  <c r="BX306" i="30" s="1"/>
  <c r="BL305" i="29"/>
  <c r="BX305" i="30" s="1"/>
  <c r="BL304" i="29"/>
  <c r="BX304" i="30" s="1"/>
  <c r="BL303" i="29"/>
  <c r="BX303" i="30" s="1"/>
  <c r="BL302" i="29"/>
  <c r="BX302" i="30" s="1"/>
  <c r="BL301" i="29"/>
  <c r="BX301" i="30" s="1"/>
  <c r="BL300" i="29"/>
  <c r="BX300" i="30" s="1"/>
  <c r="BL299" i="29"/>
  <c r="BX299" i="30" s="1"/>
  <c r="BL298" i="29"/>
  <c r="BX298" i="30" s="1"/>
  <c r="BL297" i="29"/>
  <c r="BX297" i="30" s="1"/>
  <c r="BL296" i="29"/>
  <c r="BX296" i="30" s="1"/>
  <c r="BL295" i="29"/>
  <c r="BX295" i="30" s="1"/>
  <c r="BL294" i="29"/>
  <c r="BX294" i="30" s="1"/>
  <c r="BL293" i="29"/>
  <c r="BX293" i="30" s="1"/>
  <c r="BL292" i="29"/>
  <c r="BX292" i="30" s="1"/>
  <c r="BL291" i="29"/>
  <c r="BX291" i="30" s="1"/>
  <c r="BL290" i="29"/>
  <c r="BX290" i="30" s="1"/>
  <c r="BL289" i="29"/>
  <c r="BX289" i="30" s="1"/>
  <c r="BL288" i="29"/>
  <c r="BX288" i="30" s="1"/>
  <c r="BL287" i="29"/>
  <c r="BX287" i="30" s="1"/>
  <c r="BL286" i="29"/>
  <c r="BX286" i="30" s="1"/>
  <c r="BL285" i="29"/>
  <c r="BX285" i="30" s="1"/>
  <c r="BL284" i="29"/>
  <c r="BX284" i="30" s="1"/>
  <c r="BL283" i="29"/>
  <c r="BX283" i="30" s="1"/>
  <c r="BL282" i="29"/>
  <c r="BX282" i="30" s="1"/>
  <c r="BL281" i="29"/>
  <c r="BX281" i="30" s="1"/>
  <c r="BL280" i="29"/>
  <c r="BX280" i="30" s="1"/>
  <c r="BL279" i="29"/>
  <c r="BX279" i="30" s="1"/>
  <c r="BL278" i="29"/>
  <c r="BX278" i="30" s="1"/>
  <c r="BL277" i="29"/>
  <c r="BX277" i="30" s="1"/>
  <c r="BL276" i="29"/>
  <c r="BX276" i="30" s="1"/>
  <c r="BL275" i="29"/>
  <c r="BX275" i="30" s="1"/>
  <c r="BL274" i="29"/>
  <c r="BX274" i="30" s="1"/>
  <c r="BL273" i="29"/>
  <c r="BX273" i="30" s="1"/>
  <c r="BL272" i="29"/>
  <c r="BX272" i="30" s="1"/>
  <c r="BL271" i="29"/>
  <c r="BX271" i="30" s="1"/>
  <c r="BL270" i="29"/>
  <c r="BX270" i="30" s="1"/>
  <c r="BL269" i="29"/>
  <c r="BX269" i="30" s="1"/>
  <c r="BL268" i="29"/>
  <c r="BX268" i="30" s="1"/>
  <c r="BL267" i="29"/>
  <c r="BX267" i="30" s="1"/>
  <c r="BL266" i="29"/>
  <c r="BX266" i="30" s="1"/>
  <c r="BL265" i="29"/>
  <c r="BX265" i="30" s="1"/>
  <c r="BL264" i="29"/>
  <c r="BX264" i="30" s="1"/>
  <c r="BL263" i="29"/>
  <c r="BX263" i="30" s="1"/>
  <c r="BL262" i="29"/>
  <c r="BX262" i="30" s="1"/>
  <c r="BL261" i="29"/>
  <c r="BX261" i="30" s="1"/>
  <c r="BL260" i="29"/>
  <c r="BX260" i="30" s="1"/>
  <c r="BL259" i="29"/>
  <c r="BX259" i="30" s="1"/>
  <c r="BL258" i="29"/>
  <c r="BX258" i="30" s="1"/>
  <c r="BL257" i="29"/>
  <c r="BX257" i="30" s="1"/>
  <c r="BL256" i="29"/>
  <c r="BX256" i="30" s="1"/>
  <c r="BL255" i="29"/>
  <c r="BX255" i="30" s="1"/>
  <c r="BL254" i="29"/>
  <c r="BX254" i="30" s="1"/>
  <c r="BL253" i="29"/>
  <c r="BX253" i="30" s="1"/>
  <c r="BL252" i="29"/>
  <c r="BX252" i="30" s="1"/>
  <c r="BL251" i="29"/>
  <c r="BX251" i="30" s="1"/>
  <c r="BL250" i="29"/>
  <c r="BX250" i="30" s="1"/>
  <c r="BL249" i="29"/>
  <c r="BX249" i="30" s="1"/>
  <c r="BL248" i="29"/>
  <c r="BX248" i="30" s="1"/>
  <c r="BL247" i="29"/>
  <c r="BX247" i="30" s="1"/>
  <c r="BL246" i="29"/>
  <c r="BX246" i="30" s="1"/>
  <c r="BL245" i="29"/>
  <c r="BX245" i="30" s="1"/>
  <c r="BL244" i="29"/>
  <c r="BX244" i="30" s="1"/>
  <c r="BL243" i="29"/>
  <c r="BX243" i="30" s="1"/>
  <c r="BL242" i="29"/>
  <c r="BX242" i="30" s="1"/>
  <c r="BL167" i="29"/>
  <c r="BX167" i="30" s="1"/>
  <c r="BL166" i="29"/>
  <c r="BX166" i="30" s="1"/>
  <c r="BL165" i="29"/>
  <c r="BX165" i="30" s="1"/>
  <c r="BL164" i="29"/>
  <c r="BX164" i="30" s="1"/>
  <c r="BL163" i="29"/>
  <c r="BX163" i="30" s="1"/>
  <c r="BL162" i="29"/>
  <c r="BX162" i="30" s="1"/>
  <c r="BL161" i="29"/>
  <c r="BX161" i="30" s="1"/>
  <c r="BL160" i="29"/>
  <c r="BX160" i="30" s="1"/>
  <c r="BL159" i="29"/>
  <c r="BX159" i="30" s="1"/>
  <c r="BL158" i="29"/>
  <c r="BX158" i="30" s="1"/>
  <c r="BL157" i="29"/>
  <c r="BX157" i="30" s="1"/>
  <c r="BL156" i="29"/>
  <c r="BX156" i="30" s="1"/>
  <c r="BL155" i="29"/>
  <c r="BX155" i="30" s="1"/>
  <c r="BL154" i="29"/>
  <c r="BX154" i="30" s="1"/>
  <c r="BL153" i="29"/>
  <c r="BX153" i="30" s="1"/>
  <c r="BL152" i="29"/>
  <c r="BX152" i="30" s="1"/>
  <c r="BL151" i="29"/>
  <c r="BX151" i="30" s="1"/>
  <c r="BL150" i="29"/>
  <c r="BX150" i="30" s="1"/>
  <c r="BL149" i="29"/>
  <c r="BX149" i="30" s="1"/>
  <c r="BL148" i="29"/>
  <c r="BX148" i="30" s="1"/>
  <c r="BL147" i="29"/>
  <c r="BX147" i="30" s="1"/>
  <c r="BL146" i="29"/>
  <c r="BX146" i="30" s="1"/>
  <c r="BL145" i="29"/>
  <c r="BX145" i="30" s="1"/>
  <c r="BL144" i="29"/>
  <c r="BX144" i="30" s="1"/>
  <c r="BL143" i="29"/>
  <c r="BX143" i="30" s="1"/>
  <c r="BL142" i="29"/>
  <c r="BX142" i="30" s="1"/>
  <c r="BL141" i="29"/>
  <c r="BX141" i="30" s="1"/>
  <c r="BL140" i="29"/>
  <c r="BX140" i="30" s="1"/>
  <c r="BL139" i="29"/>
  <c r="BX139" i="30" s="1"/>
  <c r="BL138" i="29"/>
  <c r="BX138" i="30" s="1"/>
  <c r="BL137" i="29"/>
  <c r="BX137" i="30" s="1"/>
  <c r="BL136" i="29"/>
  <c r="BX136" i="30" s="1"/>
  <c r="BL135" i="29"/>
  <c r="BX135" i="30" s="1"/>
  <c r="BL134" i="29"/>
  <c r="BX134" i="30" s="1"/>
  <c r="BL133" i="29"/>
  <c r="BX133" i="30" s="1"/>
  <c r="BL132" i="29"/>
  <c r="BX132" i="30" s="1"/>
  <c r="BL131" i="29"/>
  <c r="BX131" i="30" s="1"/>
  <c r="BL130" i="29"/>
  <c r="BX130" i="30" s="1"/>
  <c r="BL129" i="29"/>
  <c r="BX129" i="30" s="1"/>
  <c r="BL128" i="29"/>
  <c r="BX128" i="30" s="1"/>
  <c r="BL127" i="29"/>
  <c r="BX127" i="30" s="1"/>
  <c r="BL126" i="29"/>
  <c r="BX126" i="30" s="1"/>
  <c r="BL125" i="29"/>
  <c r="BX125" i="30" s="1"/>
  <c r="BL124" i="29"/>
  <c r="BX124" i="30" s="1"/>
  <c r="BL123" i="29"/>
  <c r="BX123" i="30" s="1"/>
  <c r="BL122" i="29"/>
  <c r="BX122" i="30" s="1"/>
  <c r="BL121" i="29"/>
  <c r="BX121" i="30" s="1"/>
  <c r="BL120" i="29"/>
  <c r="BX120" i="30" s="1"/>
  <c r="BL119" i="29"/>
  <c r="BX119" i="30" s="1"/>
  <c r="BL118" i="29"/>
  <c r="BX118" i="30" s="1"/>
  <c r="BL117" i="29"/>
  <c r="BX117" i="30" s="1"/>
  <c r="BL116" i="29"/>
  <c r="BX116" i="30" s="1"/>
  <c r="BL115" i="29"/>
  <c r="BX115" i="30" s="1"/>
  <c r="BL114" i="29"/>
  <c r="BX114" i="30" s="1"/>
  <c r="BL113" i="29"/>
  <c r="BX113" i="30" s="1"/>
  <c r="BL112" i="29"/>
  <c r="BX112" i="30" s="1"/>
  <c r="BL111" i="29"/>
  <c r="BX111" i="30" s="1"/>
  <c r="BL110" i="29"/>
  <c r="BX110" i="30" s="1"/>
  <c r="BL109" i="29"/>
  <c r="BX109" i="30" s="1"/>
  <c r="BL108" i="29"/>
  <c r="BX108" i="30" s="1"/>
  <c r="BL107" i="29"/>
  <c r="BX107" i="30" s="1"/>
  <c r="BL106" i="29"/>
  <c r="BX106" i="30" s="1"/>
  <c r="BL105" i="29"/>
  <c r="BX105" i="30" s="1"/>
  <c r="BL104" i="29"/>
  <c r="BX104" i="30" s="1"/>
  <c r="BL103" i="29"/>
  <c r="BX103" i="30" s="1"/>
  <c r="BL102" i="29"/>
  <c r="BX102" i="30" s="1"/>
  <c r="BL101" i="29"/>
  <c r="BX101" i="30" s="1"/>
  <c r="BL100" i="29"/>
  <c r="BX100" i="30" s="1"/>
  <c r="BL99" i="29"/>
  <c r="BX99" i="30" s="1"/>
  <c r="BL98" i="29"/>
  <c r="BX98" i="30" s="1"/>
  <c r="BL97" i="29"/>
  <c r="BX97" i="30" s="1"/>
  <c r="BL96" i="29"/>
  <c r="BX96" i="30" s="1"/>
  <c r="BL95" i="29"/>
  <c r="BX95" i="30" s="1"/>
  <c r="BL94" i="29"/>
  <c r="BX94" i="30" s="1"/>
  <c r="BL93" i="29"/>
  <c r="BX93" i="30" s="1"/>
  <c r="BL92" i="29"/>
  <c r="BX92" i="30" s="1"/>
  <c r="BL91" i="29"/>
  <c r="BX91" i="30" s="1"/>
  <c r="BL90" i="29"/>
  <c r="BX90" i="30" s="1"/>
  <c r="BL89" i="29"/>
  <c r="BX89" i="30" s="1"/>
  <c r="BL88" i="29"/>
  <c r="BX88" i="30" s="1"/>
  <c r="BL87" i="29"/>
  <c r="BX87" i="30" s="1"/>
  <c r="BL86" i="29"/>
  <c r="BX86" i="30" s="1"/>
  <c r="BL85" i="29"/>
  <c r="BX85" i="30" s="1"/>
  <c r="BL84" i="29"/>
  <c r="BX84" i="30" s="1"/>
  <c r="BL83" i="29"/>
  <c r="BX83" i="30" s="1"/>
  <c r="BL82" i="29"/>
  <c r="BX82" i="30" s="1"/>
  <c r="BL81" i="29"/>
  <c r="BX81" i="30" s="1"/>
  <c r="BL80" i="29"/>
  <c r="BX80" i="30" s="1"/>
  <c r="BL79" i="29"/>
  <c r="BX79" i="30" s="1"/>
  <c r="BL78" i="29"/>
  <c r="BX78" i="30" s="1"/>
  <c r="BL77" i="29"/>
  <c r="BX77" i="30" s="1"/>
  <c r="BL76" i="29"/>
  <c r="BX76" i="30" s="1"/>
  <c r="BL75" i="29"/>
  <c r="BX75" i="30" s="1"/>
  <c r="BL74" i="29"/>
  <c r="BX74" i="30" s="1"/>
  <c r="BL73" i="29"/>
  <c r="BX73" i="30" s="1"/>
  <c r="BL72" i="29"/>
  <c r="BX72" i="30" s="1"/>
  <c r="BL71" i="29"/>
  <c r="BL70" i="29"/>
  <c r="BL69" i="29"/>
  <c r="BL68" i="29"/>
  <c r="BL67" i="29"/>
  <c r="BL66" i="29"/>
  <c r="BX66" i="30" s="1"/>
  <c r="BL65" i="29"/>
  <c r="BX65" i="30" s="1"/>
  <c r="BL64" i="29"/>
  <c r="BX64" i="30" s="1"/>
  <c r="BL63" i="29"/>
  <c r="BX63" i="30" s="1"/>
  <c r="BL62" i="29"/>
  <c r="BX62" i="30" s="1"/>
  <c r="BL61" i="29"/>
  <c r="BX61" i="30" s="1"/>
  <c r="BL60" i="29"/>
  <c r="BX60" i="30" s="1"/>
  <c r="BL59" i="29"/>
  <c r="BX59" i="30" s="1"/>
  <c r="BL58" i="29"/>
  <c r="BX58" i="30" s="1"/>
  <c r="BL57" i="29"/>
  <c r="BX57" i="30" s="1"/>
  <c r="BL56" i="29"/>
  <c r="BX56" i="30" s="1"/>
  <c r="BL55" i="29"/>
  <c r="BX55" i="30" s="1"/>
  <c r="BL54" i="29"/>
  <c r="BX54" i="30" s="1"/>
  <c r="BL51" i="29"/>
  <c r="BX51" i="30" s="1"/>
  <c r="BL49" i="29"/>
  <c r="BX49" i="30" s="1"/>
  <c r="BL48" i="29"/>
  <c r="BX48" i="30" s="1"/>
  <c r="BL47" i="29"/>
  <c r="BX47" i="30" s="1"/>
  <c r="BL46" i="29"/>
  <c r="BX46" i="30" s="1"/>
  <c r="BL45" i="29"/>
  <c r="BX45" i="30" s="1"/>
  <c r="BL44" i="29"/>
  <c r="BX44" i="30" s="1"/>
  <c r="BL43" i="29"/>
  <c r="BX43" i="30" s="1"/>
  <c r="BL42" i="29"/>
  <c r="BX42" i="30" s="1"/>
  <c r="BL41" i="29"/>
  <c r="BX41" i="30" s="1"/>
  <c r="BL40" i="29"/>
  <c r="BX40" i="30" s="1"/>
  <c r="BL39" i="29"/>
  <c r="BX39" i="30" s="1"/>
  <c r="BL38" i="29"/>
  <c r="BX38" i="30" s="1"/>
  <c r="BL37" i="29"/>
  <c r="BX37" i="30" s="1"/>
  <c r="BL36" i="29"/>
  <c r="BX36" i="30" s="1"/>
  <c r="BL35" i="29"/>
  <c r="BX35" i="30" s="1"/>
  <c r="BL34" i="29"/>
  <c r="BX34" i="30" s="1"/>
  <c r="BL33" i="29"/>
  <c r="BX33" i="30" s="1"/>
  <c r="BL32" i="29"/>
  <c r="BX32" i="30" s="1"/>
  <c r="BL31" i="29"/>
  <c r="BX31" i="30" s="1"/>
  <c r="BL30" i="29"/>
  <c r="BX30" i="30" s="1"/>
  <c r="BL29" i="29"/>
  <c r="BX29" i="30" s="1"/>
  <c r="BL28" i="29"/>
  <c r="BX28" i="30" s="1"/>
  <c r="BL27" i="29"/>
  <c r="BX27" i="30" s="1"/>
  <c r="BL26" i="29"/>
  <c r="BX26" i="30" s="1"/>
  <c r="BL25" i="29"/>
  <c r="BX25" i="30" s="1"/>
  <c r="BL24" i="29"/>
  <c r="BX24" i="30" s="1"/>
  <c r="BL23" i="29"/>
  <c r="BX23" i="30" s="1"/>
  <c r="BL22" i="29"/>
  <c r="BX22" i="30" s="1"/>
  <c r="BL21" i="29"/>
  <c r="BX21" i="30" s="1"/>
  <c r="BL20" i="29"/>
  <c r="BX20" i="30" s="1"/>
  <c r="BL19" i="29"/>
  <c r="BX19" i="30" s="1"/>
  <c r="BL18" i="29"/>
  <c r="BX18" i="30" s="1"/>
  <c r="BL17" i="29"/>
  <c r="BX17" i="30" s="1"/>
  <c r="BL16" i="29"/>
  <c r="BX16" i="30" s="1"/>
  <c r="BL15" i="29"/>
  <c r="BX15" i="30" s="1"/>
  <c r="BL14" i="29"/>
  <c r="BX14" i="30" s="1"/>
  <c r="BL13" i="29"/>
  <c r="BX13" i="30" s="1"/>
  <c r="BL12" i="29"/>
  <c r="BX12" i="30" s="1"/>
  <c r="BL11" i="29"/>
  <c r="BX11" i="30" s="1"/>
  <c r="BL10" i="29"/>
  <c r="BX10" i="30" s="1"/>
  <c r="BL9" i="29"/>
  <c r="BX9" i="30" s="1"/>
  <c r="BL8" i="29"/>
  <c r="BX8" i="30" s="1"/>
  <c r="BL7" i="29"/>
  <c r="BX7" i="30" s="1"/>
  <c r="BL6" i="29"/>
  <c r="BX6" i="30" s="1"/>
  <c r="BL5" i="29"/>
  <c r="BX5" i="30" s="1"/>
  <c r="BL4" i="29"/>
  <c r="BX4" i="30" s="1"/>
  <c r="BL3" i="29"/>
  <c r="BX3" i="30" s="1"/>
  <c r="BL2" i="29"/>
  <c r="BD430" i="29"/>
  <c r="BW430" i="30" s="1"/>
  <c r="BD429" i="29"/>
  <c r="BW429" i="30" s="1"/>
  <c r="BD428" i="29"/>
  <c r="BW428" i="30" s="1"/>
  <c r="BD427" i="29"/>
  <c r="BW427" i="30" s="1"/>
  <c r="BD426" i="29"/>
  <c r="BW426" i="30" s="1"/>
  <c r="BD425" i="29"/>
  <c r="BW425" i="30" s="1"/>
  <c r="BD424" i="29"/>
  <c r="BW424" i="30" s="1"/>
  <c r="BD423" i="29"/>
  <c r="BW423" i="30" s="1"/>
  <c r="BD422" i="29"/>
  <c r="BW422" i="30" s="1"/>
  <c r="BD421" i="29"/>
  <c r="BW421" i="30" s="1"/>
  <c r="BD420" i="29"/>
  <c r="BW420" i="30" s="1"/>
  <c r="BD419" i="29"/>
  <c r="BW419" i="30" s="1"/>
  <c r="BD418" i="29"/>
  <c r="BW418" i="30" s="1"/>
  <c r="BD417" i="29"/>
  <c r="BW417" i="30" s="1"/>
  <c r="BD416" i="29"/>
  <c r="BW416" i="30" s="1"/>
  <c r="BD415" i="29"/>
  <c r="BW415" i="30" s="1"/>
  <c r="BD414" i="29"/>
  <c r="BW414" i="30" s="1"/>
  <c r="BD413" i="29"/>
  <c r="BW413" i="30" s="1"/>
  <c r="BD412" i="29"/>
  <c r="BW412" i="30" s="1"/>
  <c r="BD411" i="29"/>
  <c r="BW411" i="30" s="1"/>
  <c r="BD410" i="29"/>
  <c r="BW410" i="30" s="1"/>
  <c r="BD409" i="29"/>
  <c r="BW409" i="30" s="1"/>
  <c r="BD408" i="29"/>
  <c r="BW408" i="30" s="1"/>
  <c r="BD407" i="29"/>
  <c r="BW407" i="30" s="1"/>
  <c r="BD406" i="29"/>
  <c r="BW406" i="30" s="1"/>
  <c r="BD405" i="29"/>
  <c r="BW405" i="30" s="1"/>
  <c r="BD404" i="29"/>
  <c r="BW404" i="30" s="1"/>
  <c r="BD403" i="29"/>
  <c r="BW403" i="30" s="1"/>
  <c r="BD402" i="29"/>
  <c r="BW402" i="30" s="1"/>
  <c r="BD401" i="29"/>
  <c r="BW401" i="30" s="1"/>
  <c r="BD400" i="29"/>
  <c r="BW400" i="30" s="1"/>
  <c r="BD399" i="29"/>
  <c r="BW399" i="30" s="1"/>
  <c r="BD398" i="29"/>
  <c r="BW398" i="30" s="1"/>
  <c r="BD397" i="29"/>
  <c r="BW397" i="30" s="1"/>
  <c r="BD396" i="29"/>
  <c r="BW396" i="30" s="1"/>
  <c r="BD395" i="29"/>
  <c r="BW395" i="30" s="1"/>
  <c r="BD394" i="29"/>
  <c r="BW394" i="30" s="1"/>
  <c r="BD393" i="29"/>
  <c r="BW393" i="30" s="1"/>
  <c r="BD392" i="29"/>
  <c r="BW392" i="30" s="1"/>
  <c r="BD391" i="29"/>
  <c r="BW391" i="30" s="1"/>
  <c r="BD390" i="29"/>
  <c r="BW390" i="30" s="1"/>
  <c r="BD389" i="29"/>
  <c r="BW389" i="30" s="1"/>
  <c r="BD388" i="29"/>
  <c r="BW388" i="30" s="1"/>
  <c r="BD387" i="29"/>
  <c r="BW387" i="30" s="1"/>
  <c r="BD386" i="29"/>
  <c r="BW386" i="30" s="1"/>
  <c r="BD385" i="29"/>
  <c r="BW385" i="30" s="1"/>
  <c r="BD384" i="29"/>
  <c r="BW384" i="30" s="1"/>
  <c r="BD383" i="29"/>
  <c r="BW383" i="30" s="1"/>
  <c r="BD382" i="29"/>
  <c r="BW382" i="30" s="1"/>
  <c r="BD381" i="29"/>
  <c r="BW381" i="30" s="1"/>
  <c r="BD380" i="29"/>
  <c r="BW380" i="30" s="1"/>
  <c r="BD379" i="29"/>
  <c r="BW379" i="30" s="1"/>
  <c r="BD378" i="29"/>
  <c r="BW378" i="30" s="1"/>
  <c r="BD377" i="29"/>
  <c r="BW377" i="30" s="1"/>
  <c r="BD376" i="29"/>
  <c r="BW376" i="30" s="1"/>
  <c r="BD375" i="29"/>
  <c r="BW375" i="30" s="1"/>
  <c r="BD374" i="29"/>
  <c r="BW374" i="30" s="1"/>
  <c r="BD373" i="29"/>
  <c r="BW373" i="30" s="1"/>
  <c r="BD372" i="29"/>
  <c r="BW372" i="30" s="1"/>
  <c r="BD371" i="29"/>
  <c r="BW371" i="30" s="1"/>
  <c r="BD370" i="29"/>
  <c r="BW370" i="30" s="1"/>
  <c r="BD369" i="29"/>
  <c r="BW369" i="30" s="1"/>
  <c r="BD368" i="29"/>
  <c r="BW368" i="30" s="1"/>
  <c r="BD367" i="29"/>
  <c r="BW367" i="30" s="1"/>
  <c r="BD366" i="29"/>
  <c r="BW366" i="30" s="1"/>
  <c r="BD365" i="29"/>
  <c r="BW365" i="30" s="1"/>
  <c r="BD364" i="29"/>
  <c r="BW364" i="30" s="1"/>
  <c r="BD363" i="29"/>
  <c r="BW363" i="30" s="1"/>
  <c r="BD362" i="29"/>
  <c r="BW362" i="30" s="1"/>
  <c r="BD361" i="29"/>
  <c r="BW361" i="30" s="1"/>
  <c r="BD360" i="29"/>
  <c r="BW360" i="30" s="1"/>
  <c r="BD359" i="29"/>
  <c r="BW359" i="30" s="1"/>
  <c r="BD358" i="29"/>
  <c r="BW358" i="30" s="1"/>
  <c r="BD357" i="29"/>
  <c r="BW357" i="30" s="1"/>
  <c r="BD356" i="29"/>
  <c r="BW356" i="30" s="1"/>
  <c r="BD355" i="29"/>
  <c r="BW355" i="30" s="1"/>
  <c r="BD354" i="29"/>
  <c r="BW354" i="30" s="1"/>
  <c r="BD353" i="29"/>
  <c r="BW353" i="30" s="1"/>
  <c r="BD352" i="29"/>
  <c r="BW352" i="30" s="1"/>
  <c r="BD351" i="29"/>
  <c r="BW351" i="30" s="1"/>
  <c r="BD350" i="29"/>
  <c r="BW350" i="30" s="1"/>
  <c r="BD349" i="29"/>
  <c r="BW349" i="30" s="1"/>
  <c r="BD348" i="29"/>
  <c r="BW348" i="30" s="1"/>
  <c r="BD347" i="29"/>
  <c r="BW347" i="30" s="1"/>
  <c r="BD346" i="29"/>
  <c r="BW346" i="30" s="1"/>
  <c r="BD345" i="29"/>
  <c r="BW345" i="30" s="1"/>
  <c r="BD344" i="29"/>
  <c r="BW344" i="30" s="1"/>
  <c r="BD343" i="29"/>
  <c r="BW343" i="30" s="1"/>
  <c r="BD342" i="29"/>
  <c r="BW342" i="30" s="1"/>
  <c r="BD341" i="29"/>
  <c r="BW341" i="30" s="1"/>
  <c r="BD340" i="29"/>
  <c r="BW340" i="30" s="1"/>
  <c r="BD339" i="29"/>
  <c r="BW339" i="30" s="1"/>
  <c r="BD338" i="29"/>
  <c r="BW338" i="30" s="1"/>
  <c r="BD337" i="29"/>
  <c r="BW337" i="30" s="1"/>
  <c r="BD336" i="29"/>
  <c r="BW336" i="30" s="1"/>
  <c r="BD335" i="29"/>
  <c r="BW335" i="30" s="1"/>
  <c r="BD334" i="29"/>
  <c r="BW334" i="30" s="1"/>
  <c r="BD333" i="29"/>
  <c r="BW333" i="30" s="1"/>
  <c r="BD332" i="29"/>
  <c r="BW332" i="30" s="1"/>
  <c r="BD331" i="29"/>
  <c r="BW331" i="30" s="1"/>
  <c r="BD330" i="29"/>
  <c r="BW330" i="30" s="1"/>
  <c r="BD329" i="29"/>
  <c r="BW329" i="30" s="1"/>
  <c r="BD328" i="29"/>
  <c r="BW328" i="30" s="1"/>
  <c r="BD327" i="29"/>
  <c r="BW327" i="30" s="1"/>
  <c r="BD326" i="29"/>
  <c r="BW326" i="30" s="1"/>
  <c r="BD325" i="29"/>
  <c r="BW325" i="30" s="1"/>
  <c r="BD324" i="29"/>
  <c r="BW324" i="30" s="1"/>
  <c r="BD323" i="29"/>
  <c r="BW323" i="30" s="1"/>
  <c r="BD322" i="29"/>
  <c r="BW322" i="30" s="1"/>
  <c r="BD321" i="29"/>
  <c r="BW321" i="30" s="1"/>
  <c r="BD320" i="29"/>
  <c r="BW320" i="30" s="1"/>
  <c r="BD319" i="29"/>
  <c r="BW319" i="30" s="1"/>
  <c r="BD318" i="29"/>
  <c r="BW318" i="30" s="1"/>
  <c r="BD317" i="29"/>
  <c r="BW317" i="30" s="1"/>
  <c r="BD316" i="29"/>
  <c r="BW316" i="30" s="1"/>
  <c r="BD315" i="29"/>
  <c r="BW315" i="30" s="1"/>
  <c r="BD314" i="29"/>
  <c r="BW314" i="30" s="1"/>
  <c r="BD313" i="29"/>
  <c r="BW313" i="30" s="1"/>
  <c r="BD312" i="29"/>
  <c r="BW312" i="30" s="1"/>
  <c r="BD311" i="29"/>
  <c r="BW311" i="30" s="1"/>
  <c r="BD310" i="29"/>
  <c r="BW310" i="30" s="1"/>
  <c r="BD309" i="29"/>
  <c r="BW309" i="30" s="1"/>
  <c r="BD308" i="29"/>
  <c r="BW308" i="30" s="1"/>
  <c r="BD307" i="29"/>
  <c r="BW307" i="30" s="1"/>
  <c r="BD306" i="29"/>
  <c r="BW306" i="30" s="1"/>
  <c r="BD305" i="29"/>
  <c r="BW305" i="30" s="1"/>
  <c r="BD304" i="29"/>
  <c r="BW304" i="30" s="1"/>
  <c r="BD303" i="29"/>
  <c r="BW303" i="30" s="1"/>
  <c r="BD302" i="29"/>
  <c r="BW302" i="30" s="1"/>
  <c r="BD301" i="29"/>
  <c r="BW301" i="30" s="1"/>
  <c r="BD300" i="29"/>
  <c r="BW300" i="30" s="1"/>
  <c r="BD299" i="29"/>
  <c r="BW299" i="30" s="1"/>
  <c r="BD298" i="29"/>
  <c r="BW298" i="30" s="1"/>
  <c r="BD297" i="29"/>
  <c r="BW297" i="30" s="1"/>
  <c r="BD296" i="29"/>
  <c r="BW296" i="30" s="1"/>
  <c r="BD295" i="29"/>
  <c r="BW295" i="30" s="1"/>
  <c r="BD294" i="29"/>
  <c r="BW294" i="30" s="1"/>
  <c r="BD293" i="29"/>
  <c r="BW293" i="30" s="1"/>
  <c r="BD292" i="29"/>
  <c r="BW292" i="30" s="1"/>
  <c r="BD291" i="29"/>
  <c r="BW291" i="30" s="1"/>
  <c r="BD290" i="29"/>
  <c r="BW290" i="30" s="1"/>
  <c r="BD289" i="29"/>
  <c r="BW289" i="30" s="1"/>
  <c r="BD288" i="29"/>
  <c r="BW288" i="30" s="1"/>
  <c r="BD287" i="29"/>
  <c r="BW287" i="30" s="1"/>
  <c r="BD286" i="29"/>
  <c r="BW286" i="30" s="1"/>
  <c r="BD285" i="29"/>
  <c r="BW285" i="30" s="1"/>
  <c r="BD284" i="29"/>
  <c r="BW284" i="30" s="1"/>
  <c r="BD283" i="29"/>
  <c r="BW283" i="30" s="1"/>
  <c r="BD282" i="29"/>
  <c r="BW282" i="30" s="1"/>
  <c r="BD281" i="29"/>
  <c r="BW281" i="30" s="1"/>
  <c r="BD280" i="29"/>
  <c r="BW280" i="30" s="1"/>
  <c r="BD279" i="29"/>
  <c r="BW279" i="30" s="1"/>
  <c r="BD278" i="29"/>
  <c r="BW278" i="30" s="1"/>
  <c r="BD277" i="29"/>
  <c r="BW277" i="30" s="1"/>
  <c r="BD276" i="29"/>
  <c r="BW276" i="30" s="1"/>
  <c r="BD275" i="29"/>
  <c r="BW275" i="30" s="1"/>
  <c r="BD274" i="29"/>
  <c r="BW274" i="30" s="1"/>
  <c r="BD273" i="29"/>
  <c r="BW273" i="30" s="1"/>
  <c r="BD272" i="29"/>
  <c r="BW272" i="30" s="1"/>
  <c r="BD271" i="29"/>
  <c r="BW271" i="30" s="1"/>
  <c r="BD270" i="29"/>
  <c r="BW270" i="30" s="1"/>
  <c r="BD269" i="29"/>
  <c r="BW269" i="30" s="1"/>
  <c r="BD268" i="29"/>
  <c r="BW268" i="30" s="1"/>
  <c r="BD267" i="29"/>
  <c r="BW267" i="30" s="1"/>
  <c r="BD266" i="29"/>
  <c r="BW266" i="30" s="1"/>
  <c r="BD265" i="29"/>
  <c r="BW265" i="30" s="1"/>
  <c r="BD264" i="29"/>
  <c r="BW264" i="30" s="1"/>
  <c r="BD263" i="29"/>
  <c r="BW263" i="30" s="1"/>
  <c r="BD262" i="29"/>
  <c r="BW262" i="30" s="1"/>
  <c r="BD261" i="29"/>
  <c r="BW261" i="30" s="1"/>
  <c r="BD260" i="29"/>
  <c r="BW260" i="30" s="1"/>
  <c r="BD259" i="29"/>
  <c r="BW259" i="30" s="1"/>
  <c r="BD258" i="29"/>
  <c r="BW258" i="30" s="1"/>
  <c r="BD257" i="29"/>
  <c r="BW257" i="30" s="1"/>
  <c r="BD256" i="29"/>
  <c r="BW256" i="30" s="1"/>
  <c r="BD255" i="29"/>
  <c r="BW255" i="30" s="1"/>
  <c r="BD254" i="29"/>
  <c r="BW254" i="30" s="1"/>
  <c r="BD253" i="29"/>
  <c r="BW253" i="30" s="1"/>
  <c r="BD252" i="29"/>
  <c r="BW252" i="30" s="1"/>
  <c r="BD251" i="29"/>
  <c r="BW251" i="30" s="1"/>
  <c r="BD250" i="29"/>
  <c r="BW250" i="30" s="1"/>
  <c r="BD249" i="29"/>
  <c r="BW249" i="30" s="1"/>
  <c r="BD248" i="29"/>
  <c r="BW248" i="30" s="1"/>
  <c r="BD247" i="29"/>
  <c r="BW247" i="30" s="1"/>
  <c r="BD246" i="29"/>
  <c r="BW246" i="30" s="1"/>
  <c r="BD245" i="29"/>
  <c r="BW245" i="30" s="1"/>
  <c r="BD244" i="29"/>
  <c r="BW244" i="30" s="1"/>
  <c r="BD243" i="29"/>
  <c r="BW243" i="30" s="1"/>
  <c r="BD242" i="29"/>
  <c r="BW242" i="30" s="1"/>
  <c r="BD167" i="29"/>
  <c r="BW167" i="30" s="1"/>
  <c r="BD166" i="29"/>
  <c r="BW166" i="30" s="1"/>
  <c r="BD165" i="29"/>
  <c r="BW165" i="30" s="1"/>
  <c r="BD164" i="29"/>
  <c r="BW164" i="30" s="1"/>
  <c r="BD163" i="29"/>
  <c r="BW163" i="30" s="1"/>
  <c r="BD162" i="29"/>
  <c r="BW162" i="30" s="1"/>
  <c r="BD161" i="29"/>
  <c r="BW161" i="30" s="1"/>
  <c r="BD160" i="29"/>
  <c r="BW160" i="30" s="1"/>
  <c r="BD159" i="29"/>
  <c r="BW159" i="30" s="1"/>
  <c r="BD158" i="29"/>
  <c r="BW158" i="30" s="1"/>
  <c r="BD157" i="29"/>
  <c r="BW157" i="30" s="1"/>
  <c r="BD156" i="29"/>
  <c r="BW156" i="30" s="1"/>
  <c r="BD155" i="29"/>
  <c r="BW155" i="30" s="1"/>
  <c r="BD154" i="29"/>
  <c r="BW154" i="30" s="1"/>
  <c r="BD153" i="29"/>
  <c r="BW153" i="30" s="1"/>
  <c r="BD152" i="29"/>
  <c r="BW152" i="30" s="1"/>
  <c r="BD151" i="29"/>
  <c r="BW151" i="30" s="1"/>
  <c r="BD150" i="29"/>
  <c r="BW150" i="30" s="1"/>
  <c r="BD149" i="29"/>
  <c r="BW149" i="30" s="1"/>
  <c r="BD148" i="29"/>
  <c r="BW148" i="30" s="1"/>
  <c r="BD147" i="29"/>
  <c r="BW147" i="30" s="1"/>
  <c r="BD146" i="29"/>
  <c r="BW146" i="30" s="1"/>
  <c r="BD145" i="29"/>
  <c r="BW145" i="30" s="1"/>
  <c r="BD144" i="29"/>
  <c r="BW144" i="30" s="1"/>
  <c r="BD143" i="29"/>
  <c r="BW143" i="30" s="1"/>
  <c r="BD142" i="29"/>
  <c r="BW142" i="30" s="1"/>
  <c r="BD141" i="29"/>
  <c r="BW141" i="30" s="1"/>
  <c r="BD140" i="29"/>
  <c r="BW140" i="30" s="1"/>
  <c r="BD139" i="29"/>
  <c r="BW139" i="30" s="1"/>
  <c r="BD138" i="29"/>
  <c r="BW138" i="30" s="1"/>
  <c r="BD137" i="29"/>
  <c r="BW137" i="30" s="1"/>
  <c r="BD136" i="29"/>
  <c r="BW136" i="30" s="1"/>
  <c r="BD135" i="29"/>
  <c r="BW135" i="30" s="1"/>
  <c r="BD134" i="29"/>
  <c r="BW134" i="30" s="1"/>
  <c r="BD133" i="29"/>
  <c r="BW133" i="30" s="1"/>
  <c r="BD132" i="29"/>
  <c r="BW132" i="30" s="1"/>
  <c r="BD131" i="29"/>
  <c r="BW131" i="30" s="1"/>
  <c r="BD130" i="29"/>
  <c r="BW130" i="30" s="1"/>
  <c r="BD129" i="29"/>
  <c r="BW129" i="30" s="1"/>
  <c r="BD128" i="29"/>
  <c r="BW128" i="30" s="1"/>
  <c r="BD127" i="29"/>
  <c r="BW127" i="30" s="1"/>
  <c r="BD126" i="29"/>
  <c r="BW126" i="30" s="1"/>
  <c r="BD125" i="29"/>
  <c r="BW125" i="30" s="1"/>
  <c r="BD124" i="29"/>
  <c r="BW124" i="30" s="1"/>
  <c r="BD123" i="29"/>
  <c r="BW123" i="30" s="1"/>
  <c r="BD122" i="29"/>
  <c r="BW122" i="30" s="1"/>
  <c r="BD121" i="29"/>
  <c r="BW121" i="30" s="1"/>
  <c r="BD120" i="29"/>
  <c r="BW120" i="30" s="1"/>
  <c r="BD119" i="29"/>
  <c r="BW119" i="30" s="1"/>
  <c r="BD118" i="29"/>
  <c r="BW118" i="30" s="1"/>
  <c r="BD117" i="29"/>
  <c r="BW117" i="30" s="1"/>
  <c r="BD116" i="29"/>
  <c r="BW116" i="30" s="1"/>
  <c r="BD115" i="29"/>
  <c r="BW115" i="30" s="1"/>
  <c r="BD114" i="29"/>
  <c r="BW114" i="30" s="1"/>
  <c r="BD113" i="29"/>
  <c r="BW113" i="30" s="1"/>
  <c r="BD112" i="29"/>
  <c r="BW112" i="30" s="1"/>
  <c r="BD111" i="29"/>
  <c r="BW111" i="30" s="1"/>
  <c r="BD110" i="29"/>
  <c r="BW110" i="30" s="1"/>
  <c r="BD109" i="29"/>
  <c r="BW109" i="30" s="1"/>
  <c r="BD108" i="29"/>
  <c r="BW108" i="30" s="1"/>
  <c r="BD107" i="29"/>
  <c r="BW107" i="30" s="1"/>
  <c r="BD106" i="29"/>
  <c r="BW106" i="30" s="1"/>
  <c r="BD105" i="29"/>
  <c r="BW105" i="30" s="1"/>
  <c r="BD104" i="29"/>
  <c r="BW104" i="30" s="1"/>
  <c r="BD103" i="29"/>
  <c r="BW103" i="30" s="1"/>
  <c r="BD102" i="29"/>
  <c r="BW102" i="30" s="1"/>
  <c r="BD101" i="29"/>
  <c r="BW101" i="30" s="1"/>
  <c r="BD100" i="29"/>
  <c r="BW100" i="30" s="1"/>
  <c r="BD99" i="29"/>
  <c r="BW99" i="30" s="1"/>
  <c r="BD98" i="29"/>
  <c r="BW98" i="30" s="1"/>
  <c r="BD97" i="29"/>
  <c r="BW97" i="30" s="1"/>
  <c r="BD96" i="29"/>
  <c r="BW96" i="30" s="1"/>
  <c r="BD95" i="29"/>
  <c r="BW95" i="30" s="1"/>
  <c r="BD94" i="29"/>
  <c r="BW94" i="30" s="1"/>
  <c r="BD93" i="29"/>
  <c r="BW93" i="30" s="1"/>
  <c r="BD92" i="29"/>
  <c r="BW92" i="30" s="1"/>
  <c r="BD91" i="29"/>
  <c r="BW91" i="30" s="1"/>
  <c r="BD90" i="29"/>
  <c r="BW90" i="30" s="1"/>
  <c r="BD89" i="29"/>
  <c r="BW89" i="30" s="1"/>
  <c r="BD88" i="29"/>
  <c r="BW88" i="30" s="1"/>
  <c r="BD87" i="29"/>
  <c r="BW87" i="30" s="1"/>
  <c r="BD86" i="29"/>
  <c r="BW86" i="30" s="1"/>
  <c r="BD85" i="29"/>
  <c r="BW85" i="30" s="1"/>
  <c r="BD84" i="29"/>
  <c r="BW84" i="30" s="1"/>
  <c r="BD83" i="29"/>
  <c r="BW83" i="30" s="1"/>
  <c r="BD82" i="29"/>
  <c r="BW82" i="30" s="1"/>
  <c r="BD81" i="29"/>
  <c r="BW81" i="30" s="1"/>
  <c r="BD80" i="29"/>
  <c r="BW80" i="30" s="1"/>
  <c r="BD79" i="29"/>
  <c r="BW79" i="30" s="1"/>
  <c r="BD78" i="29"/>
  <c r="BW78" i="30" s="1"/>
  <c r="BD77" i="29"/>
  <c r="BW77" i="30" s="1"/>
  <c r="BD76" i="29"/>
  <c r="BW76" i="30" s="1"/>
  <c r="BD75" i="29"/>
  <c r="BW75" i="30" s="1"/>
  <c r="BD74" i="29"/>
  <c r="BW74" i="30" s="1"/>
  <c r="BD73" i="29"/>
  <c r="BW73" i="30" s="1"/>
  <c r="BD72" i="29"/>
  <c r="BW72" i="30" s="1"/>
  <c r="BD71" i="29"/>
  <c r="BW71" i="30" s="1"/>
  <c r="BD70" i="29"/>
  <c r="BW70" i="30" s="1"/>
  <c r="BD69" i="29"/>
  <c r="BW69" i="30" s="1"/>
  <c r="BD68" i="29"/>
  <c r="BW68" i="30" s="1"/>
  <c r="BD67" i="29"/>
  <c r="BW67" i="30" s="1"/>
  <c r="BD66" i="29"/>
  <c r="BD65" i="29"/>
  <c r="BD64" i="29"/>
  <c r="BD63" i="29"/>
  <c r="BD62" i="29"/>
  <c r="BD61" i="29"/>
  <c r="BW61" i="30" s="1"/>
  <c r="BD60" i="29"/>
  <c r="BW60" i="30" s="1"/>
  <c r="BD59" i="29"/>
  <c r="BW59" i="30" s="1"/>
  <c r="BD58" i="29"/>
  <c r="BW58" i="30" s="1"/>
  <c r="BD57" i="29"/>
  <c r="BW57" i="30" s="1"/>
  <c r="BD56" i="29"/>
  <c r="BW56" i="30" s="1"/>
  <c r="BD55" i="29"/>
  <c r="BW55" i="30" s="1"/>
  <c r="BD54" i="29"/>
  <c r="BW54" i="30" s="1"/>
  <c r="BD51" i="29"/>
  <c r="BW51" i="30" s="1"/>
  <c r="BD49" i="29"/>
  <c r="BW49" i="30" s="1"/>
  <c r="BD48" i="29"/>
  <c r="BW48" i="30" s="1"/>
  <c r="BD47" i="29"/>
  <c r="BW47" i="30" s="1"/>
  <c r="BD46" i="29"/>
  <c r="BW46" i="30" s="1"/>
  <c r="BD45" i="29"/>
  <c r="BW45" i="30" s="1"/>
  <c r="BD44" i="29"/>
  <c r="BW44" i="30" s="1"/>
  <c r="BD43" i="29"/>
  <c r="BW43" i="30" s="1"/>
  <c r="BD42" i="29"/>
  <c r="BW42" i="30" s="1"/>
  <c r="BD41" i="29"/>
  <c r="BW41" i="30" s="1"/>
  <c r="BD40" i="29"/>
  <c r="BW40" i="30" s="1"/>
  <c r="BD39" i="29"/>
  <c r="BW39" i="30" s="1"/>
  <c r="BD38" i="29"/>
  <c r="BW38" i="30" s="1"/>
  <c r="BD37" i="29"/>
  <c r="BW37" i="30" s="1"/>
  <c r="BD36" i="29"/>
  <c r="BW36" i="30" s="1"/>
  <c r="BD35" i="29"/>
  <c r="BW35" i="30" s="1"/>
  <c r="BD34" i="29"/>
  <c r="BW34" i="30" s="1"/>
  <c r="BD33" i="29"/>
  <c r="BW33" i="30" s="1"/>
  <c r="BD32" i="29"/>
  <c r="BW32" i="30" s="1"/>
  <c r="BD31" i="29"/>
  <c r="BW31" i="30" s="1"/>
  <c r="BD30" i="29"/>
  <c r="BW30" i="30" s="1"/>
  <c r="BD29" i="29"/>
  <c r="BW29" i="30" s="1"/>
  <c r="BD28" i="29"/>
  <c r="BW28" i="30" s="1"/>
  <c r="BD27" i="29"/>
  <c r="BW27" i="30" s="1"/>
  <c r="BD26" i="29"/>
  <c r="BW26" i="30" s="1"/>
  <c r="BD25" i="29"/>
  <c r="BW25" i="30" s="1"/>
  <c r="BD24" i="29"/>
  <c r="BW24" i="30" s="1"/>
  <c r="BD23" i="29"/>
  <c r="BW23" i="30" s="1"/>
  <c r="BD22" i="29"/>
  <c r="BW22" i="30" s="1"/>
  <c r="BD21" i="29"/>
  <c r="BW21" i="30" s="1"/>
  <c r="BD20" i="29"/>
  <c r="BW20" i="30" s="1"/>
  <c r="BD19" i="29"/>
  <c r="BW19" i="30" s="1"/>
  <c r="BD18" i="29"/>
  <c r="BW18" i="30" s="1"/>
  <c r="BD17" i="29"/>
  <c r="BW17" i="30" s="1"/>
  <c r="BD16" i="29"/>
  <c r="BW16" i="30" s="1"/>
  <c r="BD15" i="29"/>
  <c r="BW15" i="30" s="1"/>
  <c r="BD14" i="29"/>
  <c r="BW14" i="30" s="1"/>
  <c r="BD13" i="29"/>
  <c r="BW13" i="30" s="1"/>
  <c r="BD12" i="29"/>
  <c r="BW12" i="30" s="1"/>
  <c r="BD11" i="29"/>
  <c r="BW11" i="30" s="1"/>
  <c r="BD10" i="29"/>
  <c r="BW10" i="30" s="1"/>
  <c r="BD9" i="29"/>
  <c r="BW9" i="30" s="1"/>
  <c r="BD8" i="29"/>
  <c r="BW8" i="30" s="1"/>
  <c r="BD7" i="29"/>
  <c r="BW7" i="30" s="1"/>
  <c r="BD6" i="29"/>
  <c r="BW6" i="30" s="1"/>
  <c r="BD5" i="29"/>
  <c r="BW5" i="30" s="1"/>
  <c r="BD4" i="29"/>
  <c r="BW4" i="30" s="1"/>
  <c r="BD3" i="29"/>
  <c r="BW3" i="30" s="1"/>
  <c r="BD2" i="29"/>
  <c r="AV430" i="29"/>
  <c r="BV430" i="30" s="1"/>
  <c r="AV429" i="29"/>
  <c r="BV429" i="30" s="1"/>
  <c r="AV428" i="29"/>
  <c r="BV428" i="30" s="1"/>
  <c r="AV427" i="29"/>
  <c r="BV427" i="30" s="1"/>
  <c r="AV426" i="29"/>
  <c r="BV426" i="30" s="1"/>
  <c r="AV425" i="29"/>
  <c r="BV425" i="30" s="1"/>
  <c r="AV424" i="29"/>
  <c r="BV424" i="30" s="1"/>
  <c r="AV423" i="29"/>
  <c r="BV423" i="30" s="1"/>
  <c r="AV422" i="29"/>
  <c r="BV422" i="30" s="1"/>
  <c r="AV421" i="29"/>
  <c r="BV421" i="30" s="1"/>
  <c r="AV420" i="29"/>
  <c r="BV420" i="30" s="1"/>
  <c r="AV419" i="29"/>
  <c r="BV419" i="30" s="1"/>
  <c r="AV418" i="29"/>
  <c r="BV418" i="30" s="1"/>
  <c r="AV417" i="29"/>
  <c r="BV417" i="30" s="1"/>
  <c r="AV416" i="29"/>
  <c r="BV416" i="30" s="1"/>
  <c r="AV415" i="29"/>
  <c r="BV415" i="30" s="1"/>
  <c r="AV414" i="29"/>
  <c r="BV414" i="30" s="1"/>
  <c r="AV413" i="29"/>
  <c r="BV413" i="30" s="1"/>
  <c r="AV412" i="29"/>
  <c r="BV412" i="30" s="1"/>
  <c r="AV411" i="29"/>
  <c r="BV411" i="30" s="1"/>
  <c r="AV410" i="29"/>
  <c r="BV410" i="30" s="1"/>
  <c r="AV409" i="29"/>
  <c r="BV409" i="30" s="1"/>
  <c r="AV408" i="29"/>
  <c r="BV408" i="30" s="1"/>
  <c r="AV407" i="29"/>
  <c r="BV407" i="30" s="1"/>
  <c r="AV406" i="29"/>
  <c r="BV406" i="30" s="1"/>
  <c r="AV405" i="29"/>
  <c r="BV405" i="30" s="1"/>
  <c r="AV404" i="29"/>
  <c r="BV404" i="30" s="1"/>
  <c r="AV403" i="29"/>
  <c r="BV403" i="30" s="1"/>
  <c r="AV402" i="29"/>
  <c r="BV402" i="30" s="1"/>
  <c r="AV401" i="29"/>
  <c r="BV401" i="30" s="1"/>
  <c r="AV400" i="29"/>
  <c r="BV400" i="30" s="1"/>
  <c r="AV399" i="29"/>
  <c r="BV399" i="30" s="1"/>
  <c r="AV398" i="29"/>
  <c r="BV398" i="30" s="1"/>
  <c r="AV397" i="29"/>
  <c r="BV397" i="30" s="1"/>
  <c r="AV396" i="29"/>
  <c r="BV396" i="30" s="1"/>
  <c r="AV395" i="29"/>
  <c r="BV395" i="30" s="1"/>
  <c r="AV394" i="29"/>
  <c r="BV394" i="30" s="1"/>
  <c r="AV393" i="29"/>
  <c r="BV393" i="30" s="1"/>
  <c r="AV392" i="29"/>
  <c r="BV392" i="30" s="1"/>
  <c r="AV391" i="29"/>
  <c r="BV391" i="30" s="1"/>
  <c r="AV390" i="29"/>
  <c r="BV390" i="30" s="1"/>
  <c r="AV389" i="29"/>
  <c r="BV389" i="30" s="1"/>
  <c r="AV388" i="29"/>
  <c r="BV388" i="30" s="1"/>
  <c r="AV387" i="29"/>
  <c r="BV387" i="30" s="1"/>
  <c r="AV386" i="29"/>
  <c r="BV386" i="30" s="1"/>
  <c r="AV385" i="29"/>
  <c r="BV385" i="30" s="1"/>
  <c r="AV384" i="29"/>
  <c r="BV384" i="30" s="1"/>
  <c r="AV383" i="29"/>
  <c r="BV383" i="30" s="1"/>
  <c r="AV382" i="29"/>
  <c r="BV382" i="30" s="1"/>
  <c r="AV381" i="29"/>
  <c r="BV381" i="30" s="1"/>
  <c r="AV380" i="29"/>
  <c r="BV380" i="30" s="1"/>
  <c r="AV379" i="29"/>
  <c r="BV379" i="30" s="1"/>
  <c r="AV378" i="29"/>
  <c r="BV378" i="30" s="1"/>
  <c r="AV377" i="29"/>
  <c r="BV377" i="30" s="1"/>
  <c r="AV376" i="29"/>
  <c r="BV376" i="30" s="1"/>
  <c r="AV375" i="29"/>
  <c r="BV375" i="30" s="1"/>
  <c r="AV374" i="29"/>
  <c r="BV374" i="30" s="1"/>
  <c r="AV373" i="29"/>
  <c r="BV373" i="30" s="1"/>
  <c r="AV372" i="29"/>
  <c r="BV372" i="30" s="1"/>
  <c r="AV371" i="29"/>
  <c r="BV371" i="30" s="1"/>
  <c r="AV370" i="29"/>
  <c r="BV370" i="30" s="1"/>
  <c r="AV369" i="29"/>
  <c r="BV369" i="30" s="1"/>
  <c r="AV368" i="29"/>
  <c r="BV368" i="30" s="1"/>
  <c r="AV367" i="29"/>
  <c r="BV367" i="30" s="1"/>
  <c r="AV366" i="29"/>
  <c r="BV366" i="30" s="1"/>
  <c r="AV365" i="29"/>
  <c r="BV365" i="30" s="1"/>
  <c r="AV364" i="29"/>
  <c r="BV364" i="30" s="1"/>
  <c r="AV363" i="29"/>
  <c r="BV363" i="30" s="1"/>
  <c r="AV362" i="29"/>
  <c r="BV362" i="30" s="1"/>
  <c r="AV361" i="29"/>
  <c r="BV361" i="30" s="1"/>
  <c r="AV360" i="29"/>
  <c r="BV360" i="30" s="1"/>
  <c r="AV359" i="29"/>
  <c r="BV359" i="30" s="1"/>
  <c r="AV358" i="29"/>
  <c r="BV358" i="30" s="1"/>
  <c r="AV357" i="29"/>
  <c r="BV357" i="30" s="1"/>
  <c r="AV356" i="29"/>
  <c r="BV356" i="30" s="1"/>
  <c r="AV355" i="29"/>
  <c r="BV355" i="30" s="1"/>
  <c r="AV354" i="29"/>
  <c r="BV354" i="30" s="1"/>
  <c r="AV353" i="29"/>
  <c r="BV353" i="30" s="1"/>
  <c r="AV352" i="29"/>
  <c r="BV352" i="30" s="1"/>
  <c r="AV351" i="29"/>
  <c r="BV351" i="30" s="1"/>
  <c r="AV350" i="29"/>
  <c r="BV350" i="30" s="1"/>
  <c r="AV349" i="29"/>
  <c r="BV349" i="30" s="1"/>
  <c r="AV348" i="29"/>
  <c r="BV348" i="30" s="1"/>
  <c r="AV347" i="29"/>
  <c r="BV347" i="30" s="1"/>
  <c r="AV346" i="29"/>
  <c r="BV346" i="30" s="1"/>
  <c r="AV345" i="29"/>
  <c r="BV345" i="30" s="1"/>
  <c r="AV344" i="29"/>
  <c r="BV344" i="30" s="1"/>
  <c r="AV343" i="29"/>
  <c r="BV343" i="30" s="1"/>
  <c r="AV342" i="29"/>
  <c r="BV342" i="30" s="1"/>
  <c r="AV341" i="29"/>
  <c r="BV341" i="30" s="1"/>
  <c r="AV340" i="29"/>
  <c r="BV340" i="30" s="1"/>
  <c r="AV339" i="29"/>
  <c r="BV339" i="30" s="1"/>
  <c r="AV338" i="29"/>
  <c r="BV338" i="30" s="1"/>
  <c r="AV337" i="29"/>
  <c r="BV337" i="30" s="1"/>
  <c r="AV336" i="29"/>
  <c r="BV336" i="30" s="1"/>
  <c r="AV335" i="29"/>
  <c r="BV335" i="30" s="1"/>
  <c r="AV334" i="29"/>
  <c r="BV334" i="30" s="1"/>
  <c r="AV333" i="29"/>
  <c r="BV333" i="30" s="1"/>
  <c r="AV332" i="29"/>
  <c r="BV332" i="30" s="1"/>
  <c r="AV331" i="29"/>
  <c r="BV331" i="30" s="1"/>
  <c r="AV330" i="29"/>
  <c r="BV330" i="30" s="1"/>
  <c r="AV329" i="29"/>
  <c r="BV329" i="30" s="1"/>
  <c r="AV328" i="29"/>
  <c r="BV328" i="30" s="1"/>
  <c r="AV327" i="29"/>
  <c r="BV327" i="30" s="1"/>
  <c r="AV326" i="29"/>
  <c r="BV326" i="30" s="1"/>
  <c r="AV325" i="29"/>
  <c r="BV325" i="30" s="1"/>
  <c r="AV324" i="29"/>
  <c r="BV324" i="30" s="1"/>
  <c r="AV323" i="29"/>
  <c r="BV323" i="30" s="1"/>
  <c r="AV322" i="29"/>
  <c r="BV322" i="30" s="1"/>
  <c r="AV321" i="29"/>
  <c r="BV321" i="30" s="1"/>
  <c r="AV320" i="29"/>
  <c r="BV320" i="30" s="1"/>
  <c r="AV319" i="29"/>
  <c r="BV319" i="30" s="1"/>
  <c r="AV318" i="29"/>
  <c r="BV318" i="30" s="1"/>
  <c r="AV317" i="29"/>
  <c r="BV317" i="30" s="1"/>
  <c r="AV316" i="29"/>
  <c r="BV316" i="30" s="1"/>
  <c r="AV315" i="29"/>
  <c r="BV315" i="30" s="1"/>
  <c r="AV314" i="29"/>
  <c r="BV314" i="30" s="1"/>
  <c r="AV313" i="29"/>
  <c r="BV313" i="30" s="1"/>
  <c r="AV312" i="29"/>
  <c r="BV312" i="30" s="1"/>
  <c r="AV311" i="29"/>
  <c r="BV311" i="30" s="1"/>
  <c r="AV310" i="29"/>
  <c r="BV310" i="30" s="1"/>
  <c r="AV309" i="29"/>
  <c r="BV309" i="30" s="1"/>
  <c r="AV308" i="29"/>
  <c r="BV308" i="30" s="1"/>
  <c r="AV307" i="29"/>
  <c r="BV307" i="30" s="1"/>
  <c r="AV306" i="29"/>
  <c r="BV306" i="30" s="1"/>
  <c r="AV305" i="29"/>
  <c r="BV305" i="30" s="1"/>
  <c r="AV304" i="29"/>
  <c r="BV304" i="30" s="1"/>
  <c r="AV303" i="29"/>
  <c r="BV303" i="30" s="1"/>
  <c r="AV302" i="29"/>
  <c r="BV302" i="30" s="1"/>
  <c r="AV301" i="29"/>
  <c r="BV301" i="30" s="1"/>
  <c r="AV300" i="29"/>
  <c r="BV300" i="30" s="1"/>
  <c r="AV299" i="29"/>
  <c r="BV299" i="30" s="1"/>
  <c r="AV298" i="29"/>
  <c r="BV298" i="30" s="1"/>
  <c r="AV297" i="29"/>
  <c r="BV297" i="30" s="1"/>
  <c r="AV296" i="29"/>
  <c r="BV296" i="30" s="1"/>
  <c r="AV295" i="29"/>
  <c r="BV295" i="30" s="1"/>
  <c r="AV294" i="29"/>
  <c r="BV294" i="30" s="1"/>
  <c r="AV293" i="29"/>
  <c r="BV293" i="30" s="1"/>
  <c r="AV292" i="29"/>
  <c r="BV292" i="30" s="1"/>
  <c r="AV291" i="29"/>
  <c r="BV291" i="30" s="1"/>
  <c r="AV290" i="29"/>
  <c r="BV290" i="30" s="1"/>
  <c r="AV289" i="29"/>
  <c r="BV289" i="30" s="1"/>
  <c r="AV288" i="29"/>
  <c r="BV288" i="30" s="1"/>
  <c r="AV287" i="29"/>
  <c r="BV287" i="30" s="1"/>
  <c r="AV286" i="29"/>
  <c r="BV286" i="30" s="1"/>
  <c r="AV285" i="29"/>
  <c r="BV285" i="30" s="1"/>
  <c r="AV284" i="29"/>
  <c r="BV284" i="30" s="1"/>
  <c r="AV283" i="29"/>
  <c r="BV283" i="30" s="1"/>
  <c r="AV282" i="29"/>
  <c r="BV282" i="30" s="1"/>
  <c r="AV281" i="29"/>
  <c r="BV281" i="30" s="1"/>
  <c r="AV280" i="29"/>
  <c r="BV280" i="30" s="1"/>
  <c r="AV279" i="29"/>
  <c r="BV279" i="30" s="1"/>
  <c r="AV278" i="29"/>
  <c r="BV278" i="30" s="1"/>
  <c r="AV277" i="29"/>
  <c r="BV277" i="30" s="1"/>
  <c r="AV276" i="29"/>
  <c r="BV276" i="30" s="1"/>
  <c r="AV275" i="29"/>
  <c r="BV275" i="30" s="1"/>
  <c r="AV274" i="29"/>
  <c r="BV274" i="30" s="1"/>
  <c r="AV273" i="29"/>
  <c r="BV273" i="30" s="1"/>
  <c r="AV272" i="29"/>
  <c r="BV272" i="30" s="1"/>
  <c r="AV271" i="29"/>
  <c r="BV271" i="30" s="1"/>
  <c r="AV270" i="29"/>
  <c r="BV270" i="30" s="1"/>
  <c r="AV269" i="29"/>
  <c r="BV269" i="30" s="1"/>
  <c r="AV268" i="29"/>
  <c r="BV268" i="30" s="1"/>
  <c r="AV267" i="29"/>
  <c r="BV267" i="30" s="1"/>
  <c r="AV266" i="29"/>
  <c r="BV266" i="30" s="1"/>
  <c r="AV265" i="29"/>
  <c r="BV265" i="30" s="1"/>
  <c r="AV264" i="29"/>
  <c r="BV264" i="30" s="1"/>
  <c r="AV263" i="29"/>
  <c r="BV263" i="30" s="1"/>
  <c r="AV262" i="29"/>
  <c r="BV262" i="30" s="1"/>
  <c r="AV261" i="29"/>
  <c r="BV261" i="30" s="1"/>
  <c r="AV260" i="29"/>
  <c r="BV260" i="30" s="1"/>
  <c r="AV259" i="29"/>
  <c r="BV259" i="30" s="1"/>
  <c r="AV258" i="29"/>
  <c r="BV258" i="30" s="1"/>
  <c r="AV257" i="29"/>
  <c r="BV257" i="30" s="1"/>
  <c r="AV256" i="29"/>
  <c r="BV256" i="30" s="1"/>
  <c r="AV255" i="29"/>
  <c r="BV255" i="30" s="1"/>
  <c r="AV254" i="29"/>
  <c r="BV254" i="30" s="1"/>
  <c r="AV253" i="29"/>
  <c r="BV253" i="30" s="1"/>
  <c r="AV252" i="29"/>
  <c r="BV252" i="30" s="1"/>
  <c r="AV251" i="29"/>
  <c r="BV251" i="30" s="1"/>
  <c r="AV250" i="29"/>
  <c r="BV250" i="30" s="1"/>
  <c r="AV249" i="29"/>
  <c r="BV249" i="30" s="1"/>
  <c r="AV248" i="29"/>
  <c r="BV248" i="30" s="1"/>
  <c r="AV247" i="29"/>
  <c r="BV247" i="30" s="1"/>
  <c r="AV246" i="29"/>
  <c r="BV246" i="30" s="1"/>
  <c r="AV245" i="29"/>
  <c r="BV245" i="30" s="1"/>
  <c r="AV244" i="29"/>
  <c r="BV244" i="30" s="1"/>
  <c r="AV243" i="29"/>
  <c r="BV243" i="30" s="1"/>
  <c r="AV242" i="29"/>
  <c r="BV242" i="30" s="1"/>
  <c r="AV167" i="29"/>
  <c r="BV167" i="30" s="1"/>
  <c r="AV166" i="29"/>
  <c r="BV166" i="30" s="1"/>
  <c r="AV165" i="29"/>
  <c r="BV165" i="30" s="1"/>
  <c r="AV164" i="29"/>
  <c r="BV164" i="30" s="1"/>
  <c r="AV163" i="29"/>
  <c r="BV163" i="30" s="1"/>
  <c r="AV162" i="29"/>
  <c r="BV162" i="30" s="1"/>
  <c r="AV161" i="29"/>
  <c r="BV161" i="30" s="1"/>
  <c r="AV160" i="29"/>
  <c r="BV160" i="30" s="1"/>
  <c r="AV159" i="29"/>
  <c r="BV159" i="30" s="1"/>
  <c r="AV158" i="29"/>
  <c r="BV158" i="30" s="1"/>
  <c r="AV157" i="29"/>
  <c r="BV157" i="30" s="1"/>
  <c r="AV156" i="29"/>
  <c r="BV156" i="30" s="1"/>
  <c r="AV155" i="29"/>
  <c r="BV155" i="30" s="1"/>
  <c r="AV154" i="29"/>
  <c r="BV154" i="30" s="1"/>
  <c r="AV153" i="29"/>
  <c r="BV153" i="30" s="1"/>
  <c r="AV152" i="29"/>
  <c r="BV152" i="30" s="1"/>
  <c r="AV151" i="29"/>
  <c r="BV151" i="30" s="1"/>
  <c r="AV150" i="29"/>
  <c r="BV150" i="30" s="1"/>
  <c r="AV149" i="29"/>
  <c r="BV149" i="30" s="1"/>
  <c r="AV148" i="29"/>
  <c r="BV148" i="30" s="1"/>
  <c r="AV147" i="29"/>
  <c r="BV147" i="30" s="1"/>
  <c r="AV146" i="29"/>
  <c r="BV146" i="30" s="1"/>
  <c r="AV145" i="29"/>
  <c r="BV145" i="30" s="1"/>
  <c r="AV144" i="29"/>
  <c r="BV144" i="30" s="1"/>
  <c r="AV143" i="29"/>
  <c r="BV143" i="30" s="1"/>
  <c r="AV142" i="29"/>
  <c r="BV142" i="30" s="1"/>
  <c r="AV141" i="29"/>
  <c r="BV141" i="30" s="1"/>
  <c r="AV140" i="29"/>
  <c r="BV140" i="30" s="1"/>
  <c r="AV139" i="29"/>
  <c r="BV139" i="30" s="1"/>
  <c r="AV138" i="29"/>
  <c r="BV138" i="30" s="1"/>
  <c r="AV137" i="29"/>
  <c r="BV137" i="30" s="1"/>
  <c r="AV136" i="29"/>
  <c r="BV136" i="30" s="1"/>
  <c r="AV135" i="29"/>
  <c r="BV135" i="30" s="1"/>
  <c r="AV134" i="29"/>
  <c r="BV134" i="30" s="1"/>
  <c r="AV133" i="29"/>
  <c r="BV133" i="30" s="1"/>
  <c r="AV132" i="29"/>
  <c r="BV132" i="30" s="1"/>
  <c r="AV131" i="29"/>
  <c r="BV131" i="30" s="1"/>
  <c r="AV130" i="29"/>
  <c r="BV130" i="30" s="1"/>
  <c r="AV129" i="29"/>
  <c r="BV129" i="30" s="1"/>
  <c r="AV128" i="29"/>
  <c r="BV128" i="30" s="1"/>
  <c r="AV127" i="29"/>
  <c r="BV127" i="30" s="1"/>
  <c r="AV126" i="29"/>
  <c r="BV126" i="30" s="1"/>
  <c r="AV125" i="29"/>
  <c r="BV125" i="30" s="1"/>
  <c r="AV124" i="29"/>
  <c r="BV124" i="30" s="1"/>
  <c r="AV123" i="29"/>
  <c r="BV123" i="30" s="1"/>
  <c r="AV122" i="29"/>
  <c r="BV122" i="30" s="1"/>
  <c r="AV121" i="29"/>
  <c r="BV121" i="30" s="1"/>
  <c r="AV120" i="29"/>
  <c r="BV120" i="30" s="1"/>
  <c r="AV119" i="29"/>
  <c r="BV119" i="30" s="1"/>
  <c r="AV118" i="29"/>
  <c r="BV118" i="30" s="1"/>
  <c r="AV117" i="29"/>
  <c r="BV117" i="30" s="1"/>
  <c r="AV116" i="29"/>
  <c r="BV116" i="30" s="1"/>
  <c r="AV115" i="29"/>
  <c r="BV115" i="30" s="1"/>
  <c r="AV114" i="29"/>
  <c r="BV114" i="30" s="1"/>
  <c r="AV113" i="29"/>
  <c r="BV113" i="30" s="1"/>
  <c r="AV112" i="29"/>
  <c r="BV112" i="30" s="1"/>
  <c r="AV111" i="29"/>
  <c r="BV111" i="30" s="1"/>
  <c r="AV110" i="29"/>
  <c r="BV110" i="30" s="1"/>
  <c r="AV109" i="29"/>
  <c r="BV109" i="30" s="1"/>
  <c r="AV108" i="29"/>
  <c r="BV108" i="30" s="1"/>
  <c r="AV107" i="29"/>
  <c r="BV107" i="30" s="1"/>
  <c r="AV106" i="29"/>
  <c r="BV106" i="30" s="1"/>
  <c r="AV105" i="29"/>
  <c r="BV105" i="30" s="1"/>
  <c r="AV104" i="29"/>
  <c r="BV104" i="30" s="1"/>
  <c r="AV103" i="29"/>
  <c r="BV103" i="30" s="1"/>
  <c r="AV102" i="29"/>
  <c r="BV102" i="30" s="1"/>
  <c r="AV101" i="29"/>
  <c r="BV101" i="30" s="1"/>
  <c r="AV100" i="29"/>
  <c r="BV100" i="30" s="1"/>
  <c r="AV99" i="29"/>
  <c r="BV99" i="30" s="1"/>
  <c r="AV98" i="29"/>
  <c r="BV98" i="30" s="1"/>
  <c r="AV97" i="29"/>
  <c r="BV97" i="30" s="1"/>
  <c r="AV96" i="29"/>
  <c r="BV96" i="30" s="1"/>
  <c r="AV95" i="29"/>
  <c r="BV95" i="30" s="1"/>
  <c r="AV94" i="29"/>
  <c r="BV94" i="30" s="1"/>
  <c r="AV93" i="29"/>
  <c r="BV93" i="30" s="1"/>
  <c r="AV92" i="29"/>
  <c r="BV92" i="30" s="1"/>
  <c r="AV91" i="29"/>
  <c r="BV91" i="30" s="1"/>
  <c r="AV90" i="29"/>
  <c r="BV90" i="30" s="1"/>
  <c r="AV89" i="29"/>
  <c r="BV89" i="30" s="1"/>
  <c r="AV88" i="29"/>
  <c r="BV88" i="30" s="1"/>
  <c r="AV87" i="29"/>
  <c r="BV87" i="30" s="1"/>
  <c r="AV86" i="29"/>
  <c r="BV86" i="30" s="1"/>
  <c r="AV85" i="29"/>
  <c r="BV85" i="30" s="1"/>
  <c r="AV84" i="29"/>
  <c r="BV84" i="30" s="1"/>
  <c r="AV83" i="29"/>
  <c r="BV83" i="30" s="1"/>
  <c r="AV82" i="29"/>
  <c r="BV82" i="30" s="1"/>
  <c r="AV81" i="29"/>
  <c r="BV81" i="30" s="1"/>
  <c r="AV80" i="29"/>
  <c r="BV80" i="30" s="1"/>
  <c r="AV79" i="29"/>
  <c r="BV79" i="30" s="1"/>
  <c r="AV78" i="29"/>
  <c r="BV78" i="30" s="1"/>
  <c r="AV77" i="29"/>
  <c r="BV77" i="30" s="1"/>
  <c r="AV76" i="29"/>
  <c r="BV76" i="30" s="1"/>
  <c r="AV75" i="29"/>
  <c r="BV75" i="30" s="1"/>
  <c r="AV74" i="29"/>
  <c r="BV74" i="30" s="1"/>
  <c r="AV73" i="29"/>
  <c r="BV73" i="30" s="1"/>
  <c r="AV72" i="29"/>
  <c r="BV72" i="30" s="1"/>
  <c r="AV71" i="29"/>
  <c r="BV71" i="30" s="1"/>
  <c r="AV70" i="29"/>
  <c r="BV70" i="30" s="1"/>
  <c r="AV69" i="29"/>
  <c r="BV69" i="30" s="1"/>
  <c r="AV68" i="29"/>
  <c r="BV68" i="30" s="1"/>
  <c r="AV67" i="29"/>
  <c r="BV67" i="30" s="1"/>
  <c r="AV66" i="29"/>
  <c r="BV66" i="30" s="1"/>
  <c r="AV65" i="29"/>
  <c r="BV65" i="30" s="1"/>
  <c r="AV64" i="29"/>
  <c r="BV64" i="30" s="1"/>
  <c r="AV63" i="29"/>
  <c r="BV63" i="30" s="1"/>
  <c r="AV62" i="29"/>
  <c r="BV62" i="30" s="1"/>
  <c r="AV61" i="29"/>
  <c r="AV60" i="29"/>
  <c r="AV59" i="29"/>
  <c r="AV58" i="29"/>
  <c r="AV57" i="29"/>
  <c r="AV56" i="29"/>
  <c r="BV56" i="30" s="1"/>
  <c r="AV55" i="29"/>
  <c r="BV55" i="30" s="1"/>
  <c r="AV54" i="29"/>
  <c r="BV54" i="30" s="1"/>
  <c r="AV51" i="29"/>
  <c r="BV51" i="30" s="1"/>
  <c r="AV49" i="29"/>
  <c r="BV49" i="30" s="1"/>
  <c r="AV48" i="29"/>
  <c r="BV48" i="30" s="1"/>
  <c r="AV47" i="29"/>
  <c r="BV47" i="30" s="1"/>
  <c r="AV46" i="29"/>
  <c r="BV46" i="30" s="1"/>
  <c r="AV45" i="29"/>
  <c r="BV45" i="30" s="1"/>
  <c r="AV44" i="29"/>
  <c r="BV44" i="30" s="1"/>
  <c r="AV43" i="29"/>
  <c r="BV43" i="30" s="1"/>
  <c r="AV42" i="29"/>
  <c r="BV42" i="30" s="1"/>
  <c r="AV41" i="29"/>
  <c r="BV41" i="30" s="1"/>
  <c r="AV40" i="29"/>
  <c r="BV40" i="30" s="1"/>
  <c r="AV39" i="29"/>
  <c r="BV39" i="30" s="1"/>
  <c r="AV38" i="29"/>
  <c r="BV38" i="30" s="1"/>
  <c r="AV37" i="29"/>
  <c r="BV37" i="30" s="1"/>
  <c r="AV36" i="29"/>
  <c r="BV36" i="30" s="1"/>
  <c r="AV35" i="29"/>
  <c r="BV35" i="30" s="1"/>
  <c r="AV34" i="29"/>
  <c r="BV34" i="30" s="1"/>
  <c r="AV33" i="29"/>
  <c r="BV33" i="30" s="1"/>
  <c r="AV32" i="29"/>
  <c r="BV32" i="30" s="1"/>
  <c r="AV31" i="29"/>
  <c r="BV31" i="30" s="1"/>
  <c r="AV30" i="29"/>
  <c r="BV30" i="30" s="1"/>
  <c r="AV29" i="29"/>
  <c r="BV29" i="30" s="1"/>
  <c r="AV28" i="29"/>
  <c r="BV28" i="30" s="1"/>
  <c r="AV27" i="29"/>
  <c r="BV27" i="30" s="1"/>
  <c r="AV26" i="29"/>
  <c r="BV26" i="30" s="1"/>
  <c r="AV25" i="29"/>
  <c r="BV25" i="30" s="1"/>
  <c r="AV24" i="29"/>
  <c r="BV24" i="30" s="1"/>
  <c r="AV23" i="29"/>
  <c r="BV23" i="30" s="1"/>
  <c r="AV22" i="29"/>
  <c r="BV22" i="30" s="1"/>
  <c r="AV21" i="29"/>
  <c r="BV21" i="30" s="1"/>
  <c r="AV20" i="29"/>
  <c r="BV20" i="30" s="1"/>
  <c r="AV19" i="29"/>
  <c r="BV19" i="30" s="1"/>
  <c r="AV18" i="29"/>
  <c r="BV18" i="30" s="1"/>
  <c r="AV17" i="29"/>
  <c r="BV17" i="30" s="1"/>
  <c r="AV16" i="29"/>
  <c r="BV16" i="30" s="1"/>
  <c r="AV15" i="29"/>
  <c r="BV15" i="30" s="1"/>
  <c r="AV14" i="29"/>
  <c r="BV14" i="30" s="1"/>
  <c r="AV13" i="29"/>
  <c r="BV13" i="30" s="1"/>
  <c r="AV12" i="29"/>
  <c r="BV12" i="30" s="1"/>
  <c r="AV11" i="29"/>
  <c r="BV11" i="30" s="1"/>
  <c r="AV10" i="29"/>
  <c r="BV10" i="30" s="1"/>
  <c r="AV9" i="29"/>
  <c r="BV9" i="30" s="1"/>
  <c r="AV8" i="29"/>
  <c r="BV8" i="30" s="1"/>
  <c r="AV7" i="29"/>
  <c r="BV7" i="30" s="1"/>
  <c r="AV6" i="29"/>
  <c r="BV6" i="30" s="1"/>
  <c r="AV5" i="29"/>
  <c r="BV5" i="30" s="1"/>
  <c r="AV4" i="29"/>
  <c r="BV4" i="30" s="1"/>
  <c r="AV3" i="29"/>
  <c r="BV3" i="30" s="1"/>
  <c r="AV2" i="29"/>
  <c r="AN430" i="29"/>
  <c r="BU430" i="30" s="1"/>
  <c r="AN429" i="29"/>
  <c r="BU429" i="30" s="1"/>
  <c r="AN428" i="29"/>
  <c r="BU428" i="30" s="1"/>
  <c r="AN427" i="29"/>
  <c r="BU427" i="30" s="1"/>
  <c r="AN426" i="29"/>
  <c r="BU426" i="30" s="1"/>
  <c r="AN425" i="29"/>
  <c r="BU425" i="30" s="1"/>
  <c r="AN424" i="29"/>
  <c r="BU424" i="30" s="1"/>
  <c r="AN423" i="29"/>
  <c r="BU423" i="30" s="1"/>
  <c r="AN422" i="29"/>
  <c r="BU422" i="30" s="1"/>
  <c r="AN421" i="29"/>
  <c r="BU421" i="30" s="1"/>
  <c r="AN420" i="29"/>
  <c r="BU420" i="30" s="1"/>
  <c r="AN419" i="29"/>
  <c r="BU419" i="30" s="1"/>
  <c r="AN418" i="29"/>
  <c r="BU418" i="30" s="1"/>
  <c r="AN417" i="29"/>
  <c r="BU417" i="30" s="1"/>
  <c r="AN416" i="29"/>
  <c r="BU416" i="30" s="1"/>
  <c r="AN415" i="29"/>
  <c r="BU415" i="30" s="1"/>
  <c r="AN414" i="29"/>
  <c r="BU414" i="30" s="1"/>
  <c r="AN413" i="29"/>
  <c r="BU413" i="30" s="1"/>
  <c r="AN412" i="29"/>
  <c r="BU412" i="30" s="1"/>
  <c r="AN411" i="29"/>
  <c r="BU411" i="30" s="1"/>
  <c r="AN410" i="29"/>
  <c r="BU410" i="30" s="1"/>
  <c r="AN409" i="29"/>
  <c r="BU409" i="30" s="1"/>
  <c r="AN408" i="29"/>
  <c r="BU408" i="30" s="1"/>
  <c r="AN407" i="29"/>
  <c r="BU407" i="30" s="1"/>
  <c r="AN406" i="29"/>
  <c r="BU406" i="30" s="1"/>
  <c r="AN405" i="29"/>
  <c r="BU405" i="30" s="1"/>
  <c r="AN404" i="29"/>
  <c r="BU404" i="30" s="1"/>
  <c r="AN403" i="29"/>
  <c r="BU403" i="30" s="1"/>
  <c r="AN402" i="29"/>
  <c r="BU402" i="30" s="1"/>
  <c r="AN401" i="29"/>
  <c r="BU401" i="30" s="1"/>
  <c r="AN400" i="29"/>
  <c r="BU400" i="30" s="1"/>
  <c r="AN399" i="29"/>
  <c r="BU399" i="30" s="1"/>
  <c r="AN398" i="29"/>
  <c r="BU398" i="30" s="1"/>
  <c r="AN397" i="29"/>
  <c r="BU397" i="30" s="1"/>
  <c r="AN396" i="29"/>
  <c r="BU396" i="30" s="1"/>
  <c r="AN395" i="29"/>
  <c r="BU395" i="30" s="1"/>
  <c r="AN394" i="29"/>
  <c r="BU394" i="30" s="1"/>
  <c r="AN393" i="29"/>
  <c r="BU393" i="30" s="1"/>
  <c r="AN392" i="29"/>
  <c r="BU392" i="30" s="1"/>
  <c r="AN391" i="29"/>
  <c r="BU391" i="30" s="1"/>
  <c r="AN390" i="29"/>
  <c r="BU390" i="30" s="1"/>
  <c r="AN389" i="29"/>
  <c r="BU389" i="30" s="1"/>
  <c r="AN388" i="29"/>
  <c r="BU388" i="30" s="1"/>
  <c r="AN387" i="29"/>
  <c r="BU387" i="30" s="1"/>
  <c r="AN386" i="29"/>
  <c r="BU386" i="30" s="1"/>
  <c r="AN385" i="29"/>
  <c r="BU385" i="30" s="1"/>
  <c r="AN384" i="29"/>
  <c r="BU384" i="30" s="1"/>
  <c r="AN383" i="29"/>
  <c r="BU383" i="30" s="1"/>
  <c r="AN382" i="29"/>
  <c r="BU382" i="30" s="1"/>
  <c r="AN381" i="29"/>
  <c r="BU381" i="30" s="1"/>
  <c r="AN380" i="29"/>
  <c r="BU380" i="30" s="1"/>
  <c r="AN379" i="29"/>
  <c r="BU379" i="30" s="1"/>
  <c r="AN378" i="29"/>
  <c r="BU378" i="30" s="1"/>
  <c r="AN377" i="29"/>
  <c r="BU377" i="30" s="1"/>
  <c r="AN376" i="29"/>
  <c r="BU376" i="30" s="1"/>
  <c r="AN375" i="29"/>
  <c r="BU375" i="30" s="1"/>
  <c r="AN374" i="29"/>
  <c r="BU374" i="30" s="1"/>
  <c r="AN373" i="29"/>
  <c r="BU373" i="30" s="1"/>
  <c r="AN372" i="29"/>
  <c r="BU372" i="30" s="1"/>
  <c r="AN371" i="29"/>
  <c r="BU371" i="30" s="1"/>
  <c r="AN370" i="29"/>
  <c r="BU370" i="30" s="1"/>
  <c r="AN369" i="29"/>
  <c r="BU369" i="30" s="1"/>
  <c r="AN368" i="29"/>
  <c r="BU368" i="30" s="1"/>
  <c r="AN367" i="29"/>
  <c r="BU367" i="30" s="1"/>
  <c r="AN366" i="29"/>
  <c r="BU366" i="30" s="1"/>
  <c r="AN365" i="29"/>
  <c r="BU365" i="30" s="1"/>
  <c r="AN364" i="29"/>
  <c r="BU364" i="30" s="1"/>
  <c r="AN363" i="29"/>
  <c r="BU363" i="30" s="1"/>
  <c r="AN362" i="29"/>
  <c r="BU362" i="30" s="1"/>
  <c r="AN361" i="29"/>
  <c r="BU361" i="30" s="1"/>
  <c r="AN360" i="29"/>
  <c r="BU360" i="30" s="1"/>
  <c r="AN359" i="29"/>
  <c r="BU359" i="30" s="1"/>
  <c r="AN358" i="29"/>
  <c r="BU358" i="30" s="1"/>
  <c r="AN357" i="29"/>
  <c r="BU357" i="30" s="1"/>
  <c r="AN356" i="29"/>
  <c r="BU356" i="30" s="1"/>
  <c r="AN355" i="29"/>
  <c r="BU355" i="30" s="1"/>
  <c r="AN354" i="29"/>
  <c r="BU354" i="30" s="1"/>
  <c r="AN353" i="29"/>
  <c r="BU353" i="30" s="1"/>
  <c r="AN352" i="29"/>
  <c r="BU352" i="30" s="1"/>
  <c r="AN351" i="29"/>
  <c r="BU351" i="30" s="1"/>
  <c r="AN350" i="29"/>
  <c r="BU350" i="30" s="1"/>
  <c r="AN349" i="29"/>
  <c r="BU349" i="30" s="1"/>
  <c r="AN348" i="29"/>
  <c r="BU348" i="30" s="1"/>
  <c r="AN347" i="29"/>
  <c r="BU347" i="30" s="1"/>
  <c r="AN346" i="29"/>
  <c r="BU346" i="30" s="1"/>
  <c r="AN345" i="29"/>
  <c r="BU345" i="30" s="1"/>
  <c r="AN344" i="29"/>
  <c r="BU344" i="30" s="1"/>
  <c r="AN343" i="29"/>
  <c r="BU343" i="30" s="1"/>
  <c r="AN342" i="29"/>
  <c r="BU342" i="30" s="1"/>
  <c r="AN341" i="29"/>
  <c r="BU341" i="30" s="1"/>
  <c r="AN340" i="29"/>
  <c r="BU340" i="30" s="1"/>
  <c r="AN339" i="29"/>
  <c r="BU339" i="30" s="1"/>
  <c r="AN338" i="29"/>
  <c r="BU338" i="30" s="1"/>
  <c r="AN337" i="29"/>
  <c r="BU337" i="30" s="1"/>
  <c r="AN336" i="29"/>
  <c r="BU336" i="30" s="1"/>
  <c r="AN335" i="29"/>
  <c r="BU335" i="30" s="1"/>
  <c r="AN334" i="29"/>
  <c r="BU334" i="30" s="1"/>
  <c r="AN333" i="29"/>
  <c r="BU333" i="30" s="1"/>
  <c r="AN332" i="29"/>
  <c r="BU332" i="30" s="1"/>
  <c r="AN331" i="29"/>
  <c r="BU331" i="30" s="1"/>
  <c r="AN330" i="29"/>
  <c r="BU330" i="30" s="1"/>
  <c r="AN329" i="29"/>
  <c r="BU329" i="30" s="1"/>
  <c r="AN328" i="29"/>
  <c r="BU328" i="30" s="1"/>
  <c r="AN327" i="29"/>
  <c r="BU327" i="30" s="1"/>
  <c r="AN326" i="29"/>
  <c r="BU326" i="30" s="1"/>
  <c r="AN325" i="29"/>
  <c r="BU325" i="30" s="1"/>
  <c r="AN324" i="29"/>
  <c r="BU324" i="30" s="1"/>
  <c r="AN323" i="29"/>
  <c r="BU323" i="30" s="1"/>
  <c r="AN322" i="29"/>
  <c r="BU322" i="30" s="1"/>
  <c r="AN321" i="29"/>
  <c r="BU321" i="30" s="1"/>
  <c r="AN320" i="29"/>
  <c r="BU320" i="30" s="1"/>
  <c r="AN319" i="29"/>
  <c r="BU319" i="30" s="1"/>
  <c r="AN318" i="29"/>
  <c r="BU318" i="30" s="1"/>
  <c r="AN317" i="29"/>
  <c r="BU317" i="30" s="1"/>
  <c r="AN316" i="29"/>
  <c r="BU316" i="30" s="1"/>
  <c r="AN315" i="29"/>
  <c r="BU315" i="30" s="1"/>
  <c r="AN314" i="29"/>
  <c r="BU314" i="30" s="1"/>
  <c r="AN313" i="29"/>
  <c r="BU313" i="30" s="1"/>
  <c r="AN312" i="29"/>
  <c r="BU312" i="30" s="1"/>
  <c r="AN311" i="29"/>
  <c r="BU311" i="30" s="1"/>
  <c r="AN310" i="29"/>
  <c r="BU310" i="30" s="1"/>
  <c r="AN309" i="29"/>
  <c r="BU309" i="30" s="1"/>
  <c r="AN308" i="29"/>
  <c r="BU308" i="30" s="1"/>
  <c r="AN307" i="29"/>
  <c r="BU307" i="30" s="1"/>
  <c r="AN306" i="29"/>
  <c r="BU306" i="30" s="1"/>
  <c r="AN305" i="29"/>
  <c r="BU305" i="30" s="1"/>
  <c r="AN304" i="29"/>
  <c r="BU304" i="30" s="1"/>
  <c r="AN303" i="29"/>
  <c r="BU303" i="30" s="1"/>
  <c r="AN302" i="29"/>
  <c r="BU302" i="30" s="1"/>
  <c r="AN301" i="29"/>
  <c r="BU301" i="30" s="1"/>
  <c r="AN300" i="29"/>
  <c r="BU300" i="30" s="1"/>
  <c r="AN299" i="29"/>
  <c r="BU299" i="30" s="1"/>
  <c r="AN298" i="29"/>
  <c r="BU298" i="30" s="1"/>
  <c r="AN297" i="29"/>
  <c r="BU297" i="30" s="1"/>
  <c r="AN296" i="29"/>
  <c r="BU296" i="30" s="1"/>
  <c r="AN295" i="29"/>
  <c r="BU295" i="30" s="1"/>
  <c r="AN294" i="29"/>
  <c r="BU294" i="30" s="1"/>
  <c r="AN293" i="29"/>
  <c r="BU293" i="30" s="1"/>
  <c r="AN292" i="29"/>
  <c r="BU292" i="30" s="1"/>
  <c r="AN291" i="29"/>
  <c r="BU291" i="30" s="1"/>
  <c r="AN290" i="29"/>
  <c r="BU290" i="30" s="1"/>
  <c r="AN289" i="29"/>
  <c r="BU289" i="30" s="1"/>
  <c r="AN288" i="29"/>
  <c r="BU288" i="30" s="1"/>
  <c r="AN287" i="29"/>
  <c r="BU287" i="30" s="1"/>
  <c r="AN286" i="29"/>
  <c r="BU286" i="30" s="1"/>
  <c r="AN285" i="29"/>
  <c r="BU285" i="30" s="1"/>
  <c r="AN284" i="29"/>
  <c r="BU284" i="30" s="1"/>
  <c r="AN283" i="29"/>
  <c r="BU283" i="30" s="1"/>
  <c r="AN282" i="29"/>
  <c r="BU282" i="30" s="1"/>
  <c r="AN281" i="29"/>
  <c r="BU281" i="30" s="1"/>
  <c r="AN280" i="29"/>
  <c r="BU280" i="30" s="1"/>
  <c r="AN279" i="29"/>
  <c r="BU279" i="30" s="1"/>
  <c r="AN278" i="29"/>
  <c r="BU278" i="30" s="1"/>
  <c r="AN277" i="29"/>
  <c r="BU277" i="30" s="1"/>
  <c r="AN276" i="29"/>
  <c r="BU276" i="30" s="1"/>
  <c r="AN275" i="29"/>
  <c r="BU275" i="30" s="1"/>
  <c r="AN274" i="29"/>
  <c r="BU274" i="30" s="1"/>
  <c r="AN273" i="29"/>
  <c r="BU273" i="30" s="1"/>
  <c r="AN272" i="29"/>
  <c r="BU272" i="30" s="1"/>
  <c r="AN271" i="29"/>
  <c r="BU271" i="30" s="1"/>
  <c r="AN270" i="29"/>
  <c r="BU270" i="30" s="1"/>
  <c r="AN269" i="29"/>
  <c r="BU269" i="30" s="1"/>
  <c r="AN268" i="29"/>
  <c r="BU268" i="30" s="1"/>
  <c r="AN267" i="29"/>
  <c r="BU267" i="30" s="1"/>
  <c r="AN266" i="29"/>
  <c r="BU266" i="30" s="1"/>
  <c r="AN265" i="29"/>
  <c r="BU265" i="30" s="1"/>
  <c r="AN264" i="29"/>
  <c r="BU264" i="30" s="1"/>
  <c r="AN263" i="29"/>
  <c r="BU263" i="30" s="1"/>
  <c r="AN262" i="29"/>
  <c r="BU262" i="30" s="1"/>
  <c r="AN261" i="29"/>
  <c r="BU261" i="30" s="1"/>
  <c r="AN260" i="29"/>
  <c r="BU260" i="30" s="1"/>
  <c r="AN259" i="29"/>
  <c r="BU259" i="30" s="1"/>
  <c r="AN258" i="29"/>
  <c r="BU258" i="30" s="1"/>
  <c r="AN257" i="29"/>
  <c r="BU257" i="30" s="1"/>
  <c r="AN256" i="29"/>
  <c r="BU256" i="30" s="1"/>
  <c r="AN255" i="29"/>
  <c r="BU255" i="30" s="1"/>
  <c r="AN254" i="29"/>
  <c r="BU254" i="30" s="1"/>
  <c r="AN253" i="29"/>
  <c r="BU253" i="30" s="1"/>
  <c r="AN252" i="29"/>
  <c r="BU252" i="30" s="1"/>
  <c r="AN251" i="29"/>
  <c r="BU251" i="30" s="1"/>
  <c r="AN250" i="29"/>
  <c r="BU250" i="30" s="1"/>
  <c r="AN249" i="29"/>
  <c r="BU249" i="30" s="1"/>
  <c r="AN248" i="29"/>
  <c r="BU248" i="30" s="1"/>
  <c r="AN247" i="29"/>
  <c r="BU247" i="30" s="1"/>
  <c r="AN246" i="29"/>
  <c r="BU246" i="30" s="1"/>
  <c r="AN245" i="29"/>
  <c r="BU245" i="30" s="1"/>
  <c r="AN244" i="29"/>
  <c r="BU244" i="30" s="1"/>
  <c r="AN243" i="29"/>
  <c r="BU243" i="30" s="1"/>
  <c r="AN242" i="29"/>
  <c r="BU242" i="30" s="1"/>
  <c r="AN167" i="29"/>
  <c r="BU167" i="30" s="1"/>
  <c r="AN166" i="29"/>
  <c r="BU166" i="30" s="1"/>
  <c r="AN165" i="29"/>
  <c r="BU165" i="30" s="1"/>
  <c r="AN164" i="29"/>
  <c r="BU164" i="30" s="1"/>
  <c r="AN163" i="29"/>
  <c r="BU163" i="30" s="1"/>
  <c r="AN162" i="29"/>
  <c r="BU162" i="30" s="1"/>
  <c r="AN161" i="29"/>
  <c r="BU161" i="30" s="1"/>
  <c r="AN160" i="29"/>
  <c r="BU160" i="30" s="1"/>
  <c r="AN159" i="29"/>
  <c r="BU159" i="30" s="1"/>
  <c r="AN158" i="29"/>
  <c r="BU158" i="30" s="1"/>
  <c r="AN157" i="29"/>
  <c r="BU157" i="30" s="1"/>
  <c r="AN156" i="29"/>
  <c r="BU156" i="30" s="1"/>
  <c r="AN155" i="29"/>
  <c r="BU155" i="30" s="1"/>
  <c r="AN154" i="29"/>
  <c r="BU154" i="30" s="1"/>
  <c r="AN153" i="29"/>
  <c r="BU153" i="30" s="1"/>
  <c r="AN152" i="29"/>
  <c r="BU152" i="30" s="1"/>
  <c r="AN151" i="29"/>
  <c r="BU151" i="30" s="1"/>
  <c r="AN150" i="29"/>
  <c r="BU150" i="30" s="1"/>
  <c r="AN149" i="29"/>
  <c r="BU149" i="30" s="1"/>
  <c r="AN148" i="29"/>
  <c r="BU148" i="30" s="1"/>
  <c r="AN147" i="29"/>
  <c r="BU147" i="30" s="1"/>
  <c r="AN146" i="29"/>
  <c r="BU146" i="30" s="1"/>
  <c r="AN145" i="29"/>
  <c r="BU145" i="30" s="1"/>
  <c r="AN144" i="29"/>
  <c r="BU144" i="30" s="1"/>
  <c r="AN143" i="29"/>
  <c r="BU143" i="30" s="1"/>
  <c r="AN142" i="29"/>
  <c r="BU142" i="30" s="1"/>
  <c r="AN141" i="29"/>
  <c r="BU141" i="30" s="1"/>
  <c r="AN140" i="29"/>
  <c r="BU140" i="30" s="1"/>
  <c r="AN139" i="29"/>
  <c r="BU139" i="30" s="1"/>
  <c r="AN138" i="29"/>
  <c r="BU138" i="30" s="1"/>
  <c r="AN137" i="29"/>
  <c r="BU137" i="30" s="1"/>
  <c r="AN136" i="29"/>
  <c r="BU136" i="30" s="1"/>
  <c r="AN135" i="29"/>
  <c r="BU135" i="30" s="1"/>
  <c r="AN134" i="29"/>
  <c r="BU134" i="30" s="1"/>
  <c r="AN133" i="29"/>
  <c r="BU133" i="30" s="1"/>
  <c r="AN132" i="29"/>
  <c r="BU132" i="30" s="1"/>
  <c r="AN131" i="29"/>
  <c r="BU131" i="30" s="1"/>
  <c r="AN130" i="29"/>
  <c r="BU130" i="30" s="1"/>
  <c r="AN129" i="29"/>
  <c r="BU129" i="30" s="1"/>
  <c r="AN128" i="29"/>
  <c r="BU128" i="30" s="1"/>
  <c r="AN127" i="29"/>
  <c r="BU127" i="30" s="1"/>
  <c r="AN126" i="29"/>
  <c r="BU126" i="30" s="1"/>
  <c r="AN125" i="29"/>
  <c r="BU125" i="30" s="1"/>
  <c r="AN124" i="29"/>
  <c r="BU124" i="30" s="1"/>
  <c r="AN123" i="29"/>
  <c r="BU123" i="30" s="1"/>
  <c r="AN122" i="29"/>
  <c r="BU122" i="30" s="1"/>
  <c r="AN121" i="29"/>
  <c r="BU121" i="30" s="1"/>
  <c r="AN120" i="29"/>
  <c r="BU120" i="30" s="1"/>
  <c r="AN119" i="29"/>
  <c r="BU119" i="30" s="1"/>
  <c r="AN118" i="29"/>
  <c r="BU118" i="30" s="1"/>
  <c r="AN117" i="29"/>
  <c r="BU117" i="30" s="1"/>
  <c r="AN116" i="29"/>
  <c r="BU116" i="30" s="1"/>
  <c r="AN115" i="29"/>
  <c r="BU115" i="30" s="1"/>
  <c r="AN114" i="29"/>
  <c r="BU114" i="30" s="1"/>
  <c r="AN113" i="29"/>
  <c r="BU113" i="30" s="1"/>
  <c r="AN112" i="29"/>
  <c r="BU112" i="30" s="1"/>
  <c r="AN111" i="29"/>
  <c r="BU111" i="30" s="1"/>
  <c r="AN110" i="29"/>
  <c r="BU110" i="30" s="1"/>
  <c r="AN109" i="29"/>
  <c r="BU109" i="30" s="1"/>
  <c r="AN108" i="29"/>
  <c r="BU108" i="30" s="1"/>
  <c r="AN107" i="29"/>
  <c r="BU107" i="30" s="1"/>
  <c r="AN106" i="29"/>
  <c r="BU106" i="30" s="1"/>
  <c r="AN105" i="29"/>
  <c r="BU105" i="30" s="1"/>
  <c r="AN104" i="29"/>
  <c r="BU104" i="30" s="1"/>
  <c r="AN103" i="29"/>
  <c r="BU103" i="30" s="1"/>
  <c r="AN102" i="29"/>
  <c r="BU102" i="30" s="1"/>
  <c r="AN101" i="29"/>
  <c r="BU101" i="30" s="1"/>
  <c r="AN100" i="29"/>
  <c r="BU100" i="30" s="1"/>
  <c r="AN99" i="29"/>
  <c r="BU99" i="30" s="1"/>
  <c r="AN98" i="29"/>
  <c r="BU98" i="30" s="1"/>
  <c r="AN97" i="29"/>
  <c r="BU97" i="30" s="1"/>
  <c r="AN96" i="29"/>
  <c r="BU96" i="30" s="1"/>
  <c r="AN95" i="29"/>
  <c r="BU95" i="30" s="1"/>
  <c r="AN94" i="29"/>
  <c r="BU94" i="30" s="1"/>
  <c r="AN93" i="29"/>
  <c r="BU93" i="30" s="1"/>
  <c r="AN92" i="29"/>
  <c r="BU92" i="30" s="1"/>
  <c r="AN91" i="29"/>
  <c r="BU91" i="30" s="1"/>
  <c r="AN90" i="29"/>
  <c r="BU90" i="30" s="1"/>
  <c r="AN89" i="29"/>
  <c r="BU89" i="30" s="1"/>
  <c r="AN88" i="29"/>
  <c r="BU88" i="30" s="1"/>
  <c r="AN87" i="29"/>
  <c r="BU87" i="30" s="1"/>
  <c r="AN86" i="29"/>
  <c r="BU86" i="30" s="1"/>
  <c r="AN85" i="29"/>
  <c r="BU85" i="30" s="1"/>
  <c r="AN84" i="29"/>
  <c r="BU84" i="30" s="1"/>
  <c r="AN83" i="29"/>
  <c r="BU83" i="30" s="1"/>
  <c r="AN82" i="29"/>
  <c r="BU82" i="30" s="1"/>
  <c r="AN81" i="29"/>
  <c r="BU81" i="30" s="1"/>
  <c r="AN80" i="29"/>
  <c r="BU80" i="30" s="1"/>
  <c r="AN79" i="29"/>
  <c r="BU79" i="30" s="1"/>
  <c r="AN78" i="29"/>
  <c r="BU78" i="30" s="1"/>
  <c r="AN77" i="29"/>
  <c r="BU77" i="30" s="1"/>
  <c r="AN76" i="29"/>
  <c r="BU76" i="30" s="1"/>
  <c r="AN75" i="29"/>
  <c r="BU75" i="30" s="1"/>
  <c r="AN74" i="29"/>
  <c r="BU74" i="30" s="1"/>
  <c r="AN73" i="29"/>
  <c r="BU73" i="30" s="1"/>
  <c r="AN72" i="29"/>
  <c r="BU72" i="30" s="1"/>
  <c r="AN71" i="29"/>
  <c r="BU71" i="30" s="1"/>
  <c r="AN70" i="29"/>
  <c r="BU70" i="30" s="1"/>
  <c r="AN69" i="29"/>
  <c r="BU69" i="30" s="1"/>
  <c r="AN68" i="29"/>
  <c r="BU68" i="30" s="1"/>
  <c r="AN67" i="29"/>
  <c r="BU67" i="30" s="1"/>
  <c r="AN66" i="29"/>
  <c r="BU66" i="30" s="1"/>
  <c r="AN65" i="29"/>
  <c r="BU65" i="30" s="1"/>
  <c r="AN64" i="29"/>
  <c r="BU64" i="30" s="1"/>
  <c r="AN63" i="29"/>
  <c r="BU63" i="30" s="1"/>
  <c r="AN62" i="29"/>
  <c r="BU62" i="30" s="1"/>
  <c r="AN61" i="29"/>
  <c r="BU61" i="30" s="1"/>
  <c r="AN60" i="29"/>
  <c r="BU60" i="30" s="1"/>
  <c r="AN59" i="29"/>
  <c r="BU59" i="30" s="1"/>
  <c r="AN58" i="29"/>
  <c r="BU58" i="30" s="1"/>
  <c r="AN57" i="29"/>
  <c r="BU57" i="30" s="1"/>
  <c r="AN56" i="29"/>
  <c r="AN55" i="29"/>
  <c r="AN54" i="29"/>
  <c r="AN51" i="29"/>
  <c r="BU51" i="30" s="1"/>
  <c r="AN49" i="29"/>
  <c r="BU49" i="30" s="1"/>
  <c r="AN48" i="29"/>
  <c r="BU48" i="30" s="1"/>
  <c r="AN47" i="29"/>
  <c r="BU47" i="30" s="1"/>
  <c r="AN46" i="29"/>
  <c r="BU46" i="30" s="1"/>
  <c r="AN45" i="29"/>
  <c r="BU45" i="30" s="1"/>
  <c r="AN44" i="29"/>
  <c r="BU44" i="30" s="1"/>
  <c r="AN43" i="29"/>
  <c r="BU43" i="30" s="1"/>
  <c r="AN42" i="29"/>
  <c r="BU42" i="30" s="1"/>
  <c r="AN41" i="29"/>
  <c r="BU41" i="30" s="1"/>
  <c r="AN40" i="29"/>
  <c r="BU40" i="30" s="1"/>
  <c r="AN39" i="29"/>
  <c r="BU39" i="30" s="1"/>
  <c r="AN38" i="29"/>
  <c r="BU38" i="30" s="1"/>
  <c r="AN37" i="29"/>
  <c r="BU37" i="30" s="1"/>
  <c r="AN36" i="29"/>
  <c r="BU36" i="30" s="1"/>
  <c r="AN35" i="29"/>
  <c r="BU35" i="30" s="1"/>
  <c r="AN34" i="29"/>
  <c r="BU34" i="30" s="1"/>
  <c r="AN33" i="29"/>
  <c r="BU33" i="30" s="1"/>
  <c r="AN32" i="29"/>
  <c r="BU32" i="30" s="1"/>
  <c r="AN31" i="29"/>
  <c r="BU31" i="30" s="1"/>
  <c r="AN30" i="29"/>
  <c r="BU30" i="30" s="1"/>
  <c r="AN29" i="29"/>
  <c r="BU29" i="30" s="1"/>
  <c r="AN28" i="29"/>
  <c r="BU28" i="30" s="1"/>
  <c r="AN27" i="29"/>
  <c r="BU27" i="30" s="1"/>
  <c r="AN26" i="29"/>
  <c r="BU26" i="30" s="1"/>
  <c r="AN25" i="29"/>
  <c r="BU25" i="30" s="1"/>
  <c r="AN24" i="29"/>
  <c r="BU24" i="30" s="1"/>
  <c r="AN23" i="29"/>
  <c r="BU23" i="30" s="1"/>
  <c r="AN22" i="29"/>
  <c r="BU22" i="30" s="1"/>
  <c r="AN21" i="29"/>
  <c r="BU21" i="30" s="1"/>
  <c r="AN20" i="29"/>
  <c r="BU20" i="30" s="1"/>
  <c r="AN19" i="29"/>
  <c r="BU19" i="30" s="1"/>
  <c r="AN18" i="29"/>
  <c r="BU18" i="30" s="1"/>
  <c r="AN17" i="29"/>
  <c r="BU17" i="30" s="1"/>
  <c r="AN16" i="29"/>
  <c r="BU16" i="30" s="1"/>
  <c r="AN15" i="29"/>
  <c r="BU15" i="30" s="1"/>
  <c r="AN14" i="29"/>
  <c r="BU14" i="30" s="1"/>
  <c r="AN13" i="29"/>
  <c r="BU13" i="30" s="1"/>
  <c r="AN12" i="29"/>
  <c r="BU12" i="30" s="1"/>
  <c r="AN11" i="29"/>
  <c r="BU11" i="30" s="1"/>
  <c r="AN10" i="29"/>
  <c r="BU10" i="30" s="1"/>
  <c r="AN9" i="29"/>
  <c r="BU9" i="30" s="1"/>
  <c r="AN8" i="29"/>
  <c r="BU8" i="30" s="1"/>
  <c r="AN7" i="29"/>
  <c r="BU7" i="30" s="1"/>
  <c r="AN6" i="29"/>
  <c r="BU6" i="30" s="1"/>
  <c r="AN5" i="29"/>
  <c r="BU5" i="30" s="1"/>
  <c r="AN4" i="29"/>
  <c r="BU4" i="30" s="1"/>
  <c r="AN3" i="29"/>
  <c r="BU3" i="30" s="1"/>
  <c r="AN2" i="29"/>
  <c r="AF430" i="29"/>
  <c r="BT430" i="30" s="1"/>
  <c r="AF429" i="29"/>
  <c r="BT429" i="30" s="1"/>
  <c r="AF428" i="29"/>
  <c r="BT428" i="30" s="1"/>
  <c r="AF427" i="29"/>
  <c r="BT427" i="30" s="1"/>
  <c r="AF426" i="29"/>
  <c r="BT426" i="30" s="1"/>
  <c r="AF425" i="29"/>
  <c r="BT425" i="30" s="1"/>
  <c r="AF424" i="29"/>
  <c r="BT424" i="30" s="1"/>
  <c r="AF423" i="29"/>
  <c r="BT423" i="30" s="1"/>
  <c r="AF422" i="29"/>
  <c r="BT422" i="30" s="1"/>
  <c r="AF421" i="29"/>
  <c r="BT421" i="30" s="1"/>
  <c r="AF420" i="29"/>
  <c r="BT420" i="30" s="1"/>
  <c r="AF419" i="29"/>
  <c r="BT419" i="30" s="1"/>
  <c r="AF418" i="29"/>
  <c r="BT418" i="30" s="1"/>
  <c r="AF417" i="29"/>
  <c r="BT417" i="30" s="1"/>
  <c r="AF416" i="29"/>
  <c r="BT416" i="30" s="1"/>
  <c r="AF415" i="29"/>
  <c r="BT415" i="30" s="1"/>
  <c r="AF414" i="29"/>
  <c r="BT414" i="30" s="1"/>
  <c r="AF413" i="29"/>
  <c r="BT413" i="30" s="1"/>
  <c r="AF412" i="29"/>
  <c r="BT412" i="30" s="1"/>
  <c r="AF411" i="29"/>
  <c r="BT411" i="30" s="1"/>
  <c r="AF410" i="29"/>
  <c r="BT410" i="30" s="1"/>
  <c r="AF409" i="29"/>
  <c r="BT409" i="30" s="1"/>
  <c r="AF408" i="29"/>
  <c r="BT408" i="30" s="1"/>
  <c r="AF407" i="29"/>
  <c r="BT407" i="30" s="1"/>
  <c r="AF406" i="29"/>
  <c r="BT406" i="30" s="1"/>
  <c r="AF405" i="29"/>
  <c r="BT405" i="30" s="1"/>
  <c r="AF404" i="29"/>
  <c r="BT404" i="30" s="1"/>
  <c r="AF403" i="29"/>
  <c r="BT403" i="30" s="1"/>
  <c r="AF402" i="29"/>
  <c r="BT402" i="30" s="1"/>
  <c r="AF401" i="29"/>
  <c r="BT401" i="30" s="1"/>
  <c r="AF400" i="29"/>
  <c r="BT400" i="30" s="1"/>
  <c r="AF399" i="29"/>
  <c r="BT399" i="30" s="1"/>
  <c r="AF398" i="29"/>
  <c r="BT398" i="30" s="1"/>
  <c r="AF397" i="29"/>
  <c r="BT397" i="30" s="1"/>
  <c r="AF396" i="29"/>
  <c r="BT396" i="30" s="1"/>
  <c r="AF395" i="29"/>
  <c r="BT395" i="30" s="1"/>
  <c r="AF394" i="29"/>
  <c r="BT394" i="30" s="1"/>
  <c r="AF393" i="29"/>
  <c r="BT393" i="30" s="1"/>
  <c r="AF392" i="29"/>
  <c r="BT392" i="30" s="1"/>
  <c r="AF391" i="29"/>
  <c r="BT391" i="30" s="1"/>
  <c r="AF390" i="29"/>
  <c r="BT390" i="30" s="1"/>
  <c r="AF389" i="29"/>
  <c r="BT389" i="30" s="1"/>
  <c r="AF388" i="29"/>
  <c r="BT388" i="30" s="1"/>
  <c r="AF387" i="29"/>
  <c r="BT387" i="30" s="1"/>
  <c r="AF386" i="29"/>
  <c r="BT386" i="30" s="1"/>
  <c r="AF385" i="29"/>
  <c r="BT385" i="30" s="1"/>
  <c r="AF384" i="29"/>
  <c r="BT384" i="30" s="1"/>
  <c r="AF383" i="29"/>
  <c r="BT383" i="30" s="1"/>
  <c r="AF382" i="29"/>
  <c r="BT382" i="30" s="1"/>
  <c r="AF381" i="29"/>
  <c r="BT381" i="30" s="1"/>
  <c r="AF380" i="29"/>
  <c r="BT380" i="30" s="1"/>
  <c r="AF379" i="29"/>
  <c r="BT379" i="30" s="1"/>
  <c r="AF378" i="29"/>
  <c r="BT378" i="30" s="1"/>
  <c r="AF377" i="29"/>
  <c r="BT377" i="30" s="1"/>
  <c r="AF376" i="29"/>
  <c r="BT376" i="30" s="1"/>
  <c r="AF375" i="29"/>
  <c r="BT375" i="30" s="1"/>
  <c r="AF374" i="29"/>
  <c r="BT374" i="30" s="1"/>
  <c r="AF373" i="29"/>
  <c r="BT373" i="30" s="1"/>
  <c r="AF372" i="29"/>
  <c r="BT372" i="30" s="1"/>
  <c r="AF371" i="29"/>
  <c r="BT371" i="30" s="1"/>
  <c r="AF370" i="29"/>
  <c r="BT370" i="30" s="1"/>
  <c r="AF369" i="29"/>
  <c r="BT369" i="30" s="1"/>
  <c r="AF368" i="29"/>
  <c r="BT368" i="30" s="1"/>
  <c r="AF367" i="29"/>
  <c r="BT367" i="30" s="1"/>
  <c r="AF366" i="29"/>
  <c r="BT366" i="30" s="1"/>
  <c r="AF365" i="29"/>
  <c r="BT365" i="30" s="1"/>
  <c r="AF364" i="29"/>
  <c r="BT364" i="30" s="1"/>
  <c r="AF363" i="29"/>
  <c r="BT363" i="30" s="1"/>
  <c r="AF362" i="29"/>
  <c r="BT362" i="30" s="1"/>
  <c r="AF361" i="29"/>
  <c r="BT361" i="30" s="1"/>
  <c r="AF360" i="29"/>
  <c r="BT360" i="30" s="1"/>
  <c r="AF359" i="29"/>
  <c r="BT359" i="30" s="1"/>
  <c r="AF358" i="29"/>
  <c r="BT358" i="30" s="1"/>
  <c r="AF357" i="29"/>
  <c r="BT357" i="30" s="1"/>
  <c r="AF356" i="29"/>
  <c r="BT356" i="30" s="1"/>
  <c r="AF355" i="29"/>
  <c r="BT355" i="30" s="1"/>
  <c r="AF354" i="29"/>
  <c r="BT354" i="30" s="1"/>
  <c r="AF353" i="29"/>
  <c r="BT353" i="30" s="1"/>
  <c r="AF352" i="29"/>
  <c r="BT352" i="30" s="1"/>
  <c r="AF351" i="29"/>
  <c r="BT351" i="30" s="1"/>
  <c r="AF350" i="29"/>
  <c r="BT350" i="30" s="1"/>
  <c r="AF349" i="29"/>
  <c r="BT349" i="30" s="1"/>
  <c r="AF348" i="29"/>
  <c r="BT348" i="30" s="1"/>
  <c r="AF347" i="29"/>
  <c r="BT347" i="30" s="1"/>
  <c r="AF346" i="29"/>
  <c r="BT346" i="30" s="1"/>
  <c r="AF345" i="29"/>
  <c r="BT345" i="30" s="1"/>
  <c r="AF344" i="29"/>
  <c r="BT344" i="30" s="1"/>
  <c r="AF343" i="29"/>
  <c r="BT343" i="30" s="1"/>
  <c r="AF342" i="29"/>
  <c r="BT342" i="30" s="1"/>
  <c r="AF341" i="29"/>
  <c r="BT341" i="30" s="1"/>
  <c r="AF340" i="29"/>
  <c r="BT340" i="30" s="1"/>
  <c r="AF339" i="29"/>
  <c r="BT339" i="30" s="1"/>
  <c r="AF338" i="29"/>
  <c r="BT338" i="30" s="1"/>
  <c r="AF337" i="29"/>
  <c r="BT337" i="30" s="1"/>
  <c r="AF336" i="29"/>
  <c r="BT336" i="30" s="1"/>
  <c r="AF335" i="29"/>
  <c r="BT335" i="30" s="1"/>
  <c r="AF334" i="29"/>
  <c r="BT334" i="30" s="1"/>
  <c r="AF333" i="29"/>
  <c r="BT333" i="30" s="1"/>
  <c r="AF332" i="29"/>
  <c r="BT332" i="30" s="1"/>
  <c r="AF331" i="29"/>
  <c r="BT331" i="30" s="1"/>
  <c r="AF330" i="29"/>
  <c r="BT330" i="30" s="1"/>
  <c r="AF329" i="29"/>
  <c r="BT329" i="30" s="1"/>
  <c r="AF328" i="29"/>
  <c r="BT328" i="30" s="1"/>
  <c r="AF327" i="29"/>
  <c r="BT327" i="30" s="1"/>
  <c r="AF326" i="29"/>
  <c r="BT326" i="30" s="1"/>
  <c r="AF325" i="29"/>
  <c r="BT325" i="30" s="1"/>
  <c r="AF324" i="29"/>
  <c r="BT324" i="30" s="1"/>
  <c r="AF323" i="29"/>
  <c r="BT323" i="30" s="1"/>
  <c r="AF322" i="29"/>
  <c r="BT322" i="30" s="1"/>
  <c r="AF321" i="29"/>
  <c r="BT321" i="30" s="1"/>
  <c r="AF320" i="29"/>
  <c r="BT320" i="30" s="1"/>
  <c r="AF319" i="29"/>
  <c r="BT319" i="30" s="1"/>
  <c r="AF318" i="29"/>
  <c r="BT318" i="30" s="1"/>
  <c r="AF317" i="29"/>
  <c r="BT317" i="30" s="1"/>
  <c r="AF316" i="29"/>
  <c r="BT316" i="30" s="1"/>
  <c r="AF315" i="29"/>
  <c r="BT315" i="30" s="1"/>
  <c r="AF314" i="29"/>
  <c r="BT314" i="30" s="1"/>
  <c r="AF313" i="29"/>
  <c r="BT313" i="30" s="1"/>
  <c r="AF312" i="29"/>
  <c r="BT312" i="30" s="1"/>
  <c r="AF311" i="29"/>
  <c r="BT311" i="30" s="1"/>
  <c r="AF310" i="29"/>
  <c r="BT310" i="30" s="1"/>
  <c r="AF309" i="29"/>
  <c r="BT309" i="30" s="1"/>
  <c r="AF308" i="29"/>
  <c r="BT308" i="30" s="1"/>
  <c r="AF307" i="29"/>
  <c r="BT307" i="30" s="1"/>
  <c r="AF306" i="29"/>
  <c r="BT306" i="30" s="1"/>
  <c r="AF305" i="29"/>
  <c r="BT305" i="30" s="1"/>
  <c r="AF304" i="29"/>
  <c r="BT304" i="30" s="1"/>
  <c r="AF303" i="29"/>
  <c r="BT303" i="30" s="1"/>
  <c r="AF302" i="29"/>
  <c r="BT302" i="30" s="1"/>
  <c r="AF301" i="29"/>
  <c r="BT301" i="30" s="1"/>
  <c r="AF300" i="29"/>
  <c r="BT300" i="30" s="1"/>
  <c r="AF299" i="29"/>
  <c r="BT299" i="30" s="1"/>
  <c r="AF298" i="29"/>
  <c r="BT298" i="30" s="1"/>
  <c r="AF297" i="29"/>
  <c r="BT297" i="30" s="1"/>
  <c r="AF296" i="29"/>
  <c r="BT296" i="30" s="1"/>
  <c r="AF295" i="29"/>
  <c r="BT295" i="30" s="1"/>
  <c r="AF294" i="29"/>
  <c r="BT294" i="30" s="1"/>
  <c r="AF293" i="29"/>
  <c r="BT293" i="30" s="1"/>
  <c r="AF292" i="29"/>
  <c r="BT292" i="30" s="1"/>
  <c r="AF291" i="29"/>
  <c r="BT291" i="30" s="1"/>
  <c r="AF290" i="29"/>
  <c r="BT290" i="30" s="1"/>
  <c r="AF289" i="29"/>
  <c r="BT289" i="30" s="1"/>
  <c r="AF288" i="29"/>
  <c r="BT288" i="30" s="1"/>
  <c r="AF287" i="29"/>
  <c r="BT287" i="30" s="1"/>
  <c r="AF286" i="29"/>
  <c r="BT286" i="30" s="1"/>
  <c r="AF285" i="29"/>
  <c r="BT285" i="30" s="1"/>
  <c r="AF284" i="29"/>
  <c r="BT284" i="30" s="1"/>
  <c r="AF283" i="29"/>
  <c r="BT283" i="30" s="1"/>
  <c r="AF282" i="29"/>
  <c r="BT282" i="30" s="1"/>
  <c r="AF281" i="29"/>
  <c r="BT281" i="30" s="1"/>
  <c r="AF280" i="29"/>
  <c r="BT280" i="30" s="1"/>
  <c r="AF279" i="29"/>
  <c r="BT279" i="30" s="1"/>
  <c r="AF278" i="29"/>
  <c r="BT278" i="30" s="1"/>
  <c r="AF277" i="29"/>
  <c r="BT277" i="30" s="1"/>
  <c r="AF276" i="29"/>
  <c r="BT276" i="30" s="1"/>
  <c r="AF275" i="29"/>
  <c r="BT275" i="30" s="1"/>
  <c r="AF274" i="29"/>
  <c r="BT274" i="30" s="1"/>
  <c r="AF273" i="29"/>
  <c r="BT273" i="30" s="1"/>
  <c r="AF272" i="29"/>
  <c r="BT272" i="30" s="1"/>
  <c r="AF271" i="29"/>
  <c r="BT271" i="30" s="1"/>
  <c r="AF270" i="29"/>
  <c r="BT270" i="30" s="1"/>
  <c r="AF269" i="29"/>
  <c r="BT269" i="30" s="1"/>
  <c r="AF268" i="29"/>
  <c r="BT268" i="30" s="1"/>
  <c r="AF267" i="29"/>
  <c r="BT267" i="30" s="1"/>
  <c r="AF266" i="29"/>
  <c r="BT266" i="30" s="1"/>
  <c r="AF265" i="29"/>
  <c r="BT265" i="30" s="1"/>
  <c r="AF264" i="29"/>
  <c r="BT264" i="30" s="1"/>
  <c r="AF263" i="29"/>
  <c r="BT263" i="30" s="1"/>
  <c r="AF262" i="29"/>
  <c r="BT262" i="30" s="1"/>
  <c r="AF261" i="29"/>
  <c r="BT261" i="30" s="1"/>
  <c r="AF260" i="29"/>
  <c r="BT260" i="30" s="1"/>
  <c r="AF259" i="29"/>
  <c r="BT259" i="30" s="1"/>
  <c r="AF258" i="29"/>
  <c r="BT258" i="30" s="1"/>
  <c r="AF257" i="29"/>
  <c r="BT257" i="30" s="1"/>
  <c r="AF256" i="29"/>
  <c r="BT256" i="30" s="1"/>
  <c r="AF255" i="29"/>
  <c r="BT255" i="30" s="1"/>
  <c r="AF254" i="29"/>
  <c r="BT254" i="30" s="1"/>
  <c r="AF253" i="29"/>
  <c r="BT253" i="30" s="1"/>
  <c r="AF252" i="29"/>
  <c r="BT252" i="30" s="1"/>
  <c r="AF251" i="29"/>
  <c r="BT251" i="30" s="1"/>
  <c r="AF250" i="29"/>
  <c r="BT250" i="30" s="1"/>
  <c r="AF249" i="29"/>
  <c r="BT249" i="30" s="1"/>
  <c r="AF248" i="29"/>
  <c r="BT248" i="30" s="1"/>
  <c r="AF247" i="29"/>
  <c r="BT247" i="30" s="1"/>
  <c r="AF246" i="29"/>
  <c r="BT246" i="30" s="1"/>
  <c r="AF245" i="29"/>
  <c r="BT245" i="30" s="1"/>
  <c r="AF244" i="29"/>
  <c r="BT244" i="30" s="1"/>
  <c r="AF243" i="29"/>
  <c r="BT243" i="30" s="1"/>
  <c r="AF242" i="29"/>
  <c r="BT242" i="30" s="1"/>
  <c r="AF167" i="29"/>
  <c r="BT167" i="30" s="1"/>
  <c r="AF166" i="29"/>
  <c r="BT166" i="30" s="1"/>
  <c r="AF165" i="29"/>
  <c r="BT165" i="30" s="1"/>
  <c r="AF164" i="29"/>
  <c r="BT164" i="30" s="1"/>
  <c r="AF163" i="29"/>
  <c r="BT163" i="30" s="1"/>
  <c r="AF162" i="29"/>
  <c r="BT162" i="30" s="1"/>
  <c r="AF161" i="29"/>
  <c r="BT161" i="30" s="1"/>
  <c r="AF160" i="29"/>
  <c r="BT160" i="30" s="1"/>
  <c r="AF159" i="29"/>
  <c r="BT159" i="30" s="1"/>
  <c r="AF158" i="29"/>
  <c r="BT158" i="30" s="1"/>
  <c r="AF157" i="29"/>
  <c r="BT157" i="30" s="1"/>
  <c r="AF156" i="29"/>
  <c r="BT156" i="30" s="1"/>
  <c r="AF155" i="29"/>
  <c r="BT155" i="30" s="1"/>
  <c r="AF154" i="29"/>
  <c r="BT154" i="30" s="1"/>
  <c r="AF153" i="29"/>
  <c r="BT153" i="30" s="1"/>
  <c r="AF152" i="29"/>
  <c r="BT152" i="30" s="1"/>
  <c r="AF151" i="29"/>
  <c r="BT151" i="30" s="1"/>
  <c r="AF150" i="29"/>
  <c r="BT150" i="30" s="1"/>
  <c r="AF149" i="29"/>
  <c r="BT149" i="30" s="1"/>
  <c r="AF148" i="29"/>
  <c r="BT148" i="30" s="1"/>
  <c r="AF147" i="29"/>
  <c r="BT147" i="30" s="1"/>
  <c r="AF146" i="29"/>
  <c r="BT146" i="30" s="1"/>
  <c r="AF145" i="29"/>
  <c r="BT145" i="30" s="1"/>
  <c r="AF144" i="29"/>
  <c r="BT144" i="30" s="1"/>
  <c r="AF143" i="29"/>
  <c r="BT143" i="30" s="1"/>
  <c r="AF142" i="29"/>
  <c r="BT142" i="30" s="1"/>
  <c r="AF141" i="29"/>
  <c r="BT141" i="30" s="1"/>
  <c r="AF140" i="29"/>
  <c r="BT140" i="30" s="1"/>
  <c r="AF139" i="29"/>
  <c r="BT139" i="30" s="1"/>
  <c r="AF138" i="29"/>
  <c r="BT138" i="30" s="1"/>
  <c r="AF137" i="29"/>
  <c r="BT137" i="30" s="1"/>
  <c r="AF136" i="29"/>
  <c r="BT136" i="30" s="1"/>
  <c r="AF135" i="29"/>
  <c r="BT135" i="30" s="1"/>
  <c r="AF134" i="29"/>
  <c r="BT134" i="30" s="1"/>
  <c r="AF133" i="29"/>
  <c r="BT133" i="30" s="1"/>
  <c r="AF132" i="29"/>
  <c r="BT132" i="30" s="1"/>
  <c r="AF131" i="29"/>
  <c r="BT131" i="30" s="1"/>
  <c r="AF130" i="29"/>
  <c r="BT130" i="30" s="1"/>
  <c r="AF129" i="29"/>
  <c r="BT129" i="30" s="1"/>
  <c r="AF128" i="29"/>
  <c r="BT128" i="30" s="1"/>
  <c r="AF127" i="29"/>
  <c r="BT127" i="30" s="1"/>
  <c r="AF126" i="29"/>
  <c r="BT126" i="30" s="1"/>
  <c r="AF125" i="29"/>
  <c r="BT125" i="30" s="1"/>
  <c r="AF124" i="29"/>
  <c r="BT124" i="30" s="1"/>
  <c r="AF123" i="29"/>
  <c r="BT123" i="30" s="1"/>
  <c r="AF122" i="29"/>
  <c r="BT122" i="30" s="1"/>
  <c r="AF121" i="29"/>
  <c r="BT121" i="30" s="1"/>
  <c r="AF120" i="29"/>
  <c r="BT120" i="30" s="1"/>
  <c r="AF119" i="29"/>
  <c r="BT119" i="30" s="1"/>
  <c r="AF118" i="29"/>
  <c r="BT118" i="30" s="1"/>
  <c r="AF117" i="29"/>
  <c r="BT117" i="30" s="1"/>
  <c r="AF116" i="29"/>
  <c r="BT116" i="30" s="1"/>
  <c r="AF115" i="29"/>
  <c r="BT115" i="30" s="1"/>
  <c r="AF114" i="29"/>
  <c r="BT114" i="30" s="1"/>
  <c r="AF113" i="29"/>
  <c r="BT113" i="30" s="1"/>
  <c r="AF112" i="29"/>
  <c r="BT112" i="30" s="1"/>
  <c r="AF111" i="29"/>
  <c r="BT111" i="30" s="1"/>
  <c r="AF110" i="29"/>
  <c r="BT110" i="30" s="1"/>
  <c r="AF109" i="29"/>
  <c r="BT109" i="30" s="1"/>
  <c r="AF108" i="29"/>
  <c r="BT108" i="30" s="1"/>
  <c r="AF107" i="29"/>
  <c r="BT107" i="30" s="1"/>
  <c r="AF106" i="29"/>
  <c r="BT106" i="30" s="1"/>
  <c r="AF105" i="29"/>
  <c r="BT105" i="30" s="1"/>
  <c r="AF104" i="29"/>
  <c r="BT104" i="30" s="1"/>
  <c r="AF103" i="29"/>
  <c r="BT103" i="30" s="1"/>
  <c r="AF102" i="29"/>
  <c r="BT102" i="30" s="1"/>
  <c r="AF101" i="29"/>
  <c r="BT101" i="30" s="1"/>
  <c r="AF100" i="29"/>
  <c r="BT100" i="30" s="1"/>
  <c r="AF99" i="29"/>
  <c r="BT99" i="30" s="1"/>
  <c r="AF98" i="29"/>
  <c r="BT98" i="30" s="1"/>
  <c r="AF97" i="29"/>
  <c r="BT97" i="30" s="1"/>
  <c r="AF96" i="29"/>
  <c r="BT96" i="30" s="1"/>
  <c r="AF95" i="29"/>
  <c r="BT95" i="30" s="1"/>
  <c r="AF94" i="29"/>
  <c r="BT94" i="30" s="1"/>
  <c r="AF93" i="29"/>
  <c r="BT93" i="30" s="1"/>
  <c r="AF92" i="29"/>
  <c r="BT92" i="30" s="1"/>
  <c r="AF91" i="29"/>
  <c r="BT91" i="30" s="1"/>
  <c r="AF90" i="29"/>
  <c r="BT90" i="30" s="1"/>
  <c r="AF89" i="29"/>
  <c r="BT89" i="30" s="1"/>
  <c r="AF88" i="29"/>
  <c r="BT88" i="30" s="1"/>
  <c r="AF87" i="29"/>
  <c r="BT87" i="30" s="1"/>
  <c r="AF86" i="29"/>
  <c r="BT86" i="30" s="1"/>
  <c r="AF85" i="29"/>
  <c r="BT85" i="30" s="1"/>
  <c r="AF84" i="29"/>
  <c r="BT84" i="30" s="1"/>
  <c r="AF83" i="29"/>
  <c r="BT83" i="30" s="1"/>
  <c r="AF82" i="29"/>
  <c r="BT82" i="30" s="1"/>
  <c r="AF81" i="29"/>
  <c r="BT81" i="30" s="1"/>
  <c r="AF80" i="29"/>
  <c r="BT80" i="30" s="1"/>
  <c r="AF79" i="29"/>
  <c r="BT79" i="30" s="1"/>
  <c r="AF78" i="29"/>
  <c r="BT78" i="30" s="1"/>
  <c r="AF77" i="29"/>
  <c r="BT77" i="30" s="1"/>
  <c r="AF76" i="29"/>
  <c r="BT76" i="30" s="1"/>
  <c r="AF75" i="29"/>
  <c r="BT75" i="30" s="1"/>
  <c r="AF74" i="29"/>
  <c r="BT74" i="30" s="1"/>
  <c r="AF73" i="29"/>
  <c r="BT73" i="30" s="1"/>
  <c r="AF72" i="29"/>
  <c r="BT72" i="30" s="1"/>
  <c r="AF71" i="29"/>
  <c r="BT71" i="30" s="1"/>
  <c r="AF70" i="29"/>
  <c r="BT70" i="30" s="1"/>
  <c r="AF69" i="29"/>
  <c r="BT69" i="30" s="1"/>
  <c r="AF68" i="29"/>
  <c r="BT68" i="30" s="1"/>
  <c r="AF67" i="29"/>
  <c r="BT67" i="30" s="1"/>
  <c r="AF66" i="29"/>
  <c r="BT66" i="30" s="1"/>
  <c r="AF65" i="29"/>
  <c r="BT65" i="30" s="1"/>
  <c r="AF64" i="29"/>
  <c r="BT64" i="30" s="1"/>
  <c r="AF63" i="29"/>
  <c r="BT63" i="30" s="1"/>
  <c r="AF62" i="29"/>
  <c r="BT62" i="30" s="1"/>
  <c r="AF61" i="29"/>
  <c r="BT61" i="30" s="1"/>
  <c r="AF60" i="29"/>
  <c r="BT60" i="30" s="1"/>
  <c r="AF59" i="29"/>
  <c r="BT59" i="30" s="1"/>
  <c r="AF58" i="29"/>
  <c r="BT58" i="30" s="1"/>
  <c r="AF57" i="29"/>
  <c r="BT57" i="30" s="1"/>
  <c r="AF56" i="29"/>
  <c r="BT56" i="30" s="1"/>
  <c r="AF55" i="29"/>
  <c r="BT55" i="30" s="1"/>
  <c r="AF54" i="29"/>
  <c r="BT54" i="30" s="1"/>
  <c r="AF51" i="29"/>
  <c r="AF49" i="29"/>
  <c r="AF48" i="29"/>
  <c r="AF47" i="29"/>
  <c r="AF46" i="29"/>
  <c r="BT46" i="30" s="1"/>
  <c r="AF45" i="29"/>
  <c r="BT45" i="30" s="1"/>
  <c r="AF44" i="29"/>
  <c r="BT44" i="30" s="1"/>
  <c r="AF43" i="29"/>
  <c r="BT43" i="30" s="1"/>
  <c r="AF42" i="29"/>
  <c r="BT42" i="30" s="1"/>
  <c r="AF41" i="29"/>
  <c r="BT41" i="30" s="1"/>
  <c r="AF40" i="29"/>
  <c r="BT40" i="30" s="1"/>
  <c r="AF39" i="29"/>
  <c r="BT39" i="30" s="1"/>
  <c r="AF38" i="29"/>
  <c r="BT38" i="30" s="1"/>
  <c r="AF37" i="29"/>
  <c r="BT37" i="30" s="1"/>
  <c r="AF36" i="29"/>
  <c r="BT36" i="30" s="1"/>
  <c r="AF35" i="29"/>
  <c r="BT35" i="30" s="1"/>
  <c r="AF34" i="29"/>
  <c r="BT34" i="30" s="1"/>
  <c r="AF33" i="29"/>
  <c r="BT33" i="30" s="1"/>
  <c r="AF32" i="29"/>
  <c r="BT32" i="30" s="1"/>
  <c r="AF31" i="29"/>
  <c r="BT31" i="30" s="1"/>
  <c r="AF30" i="29"/>
  <c r="BT30" i="30" s="1"/>
  <c r="AF29" i="29"/>
  <c r="BT29" i="30" s="1"/>
  <c r="AF28" i="29"/>
  <c r="BT28" i="30" s="1"/>
  <c r="AF27" i="29"/>
  <c r="BT27" i="30" s="1"/>
  <c r="AF26" i="29"/>
  <c r="BT26" i="30" s="1"/>
  <c r="AF25" i="29"/>
  <c r="BT25" i="30" s="1"/>
  <c r="AF24" i="29"/>
  <c r="BT24" i="30" s="1"/>
  <c r="AF23" i="29"/>
  <c r="BT23" i="30" s="1"/>
  <c r="AF22" i="29"/>
  <c r="BT22" i="30" s="1"/>
  <c r="AF21" i="29"/>
  <c r="BT21" i="30" s="1"/>
  <c r="AF20" i="29"/>
  <c r="BT20" i="30" s="1"/>
  <c r="AF19" i="29"/>
  <c r="BT19" i="30" s="1"/>
  <c r="AF18" i="29"/>
  <c r="BT18" i="30" s="1"/>
  <c r="AF17" i="29"/>
  <c r="BT17" i="30" s="1"/>
  <c r="AF16" i="29"/>
  <c r="BT16" i="30" s="1"/>
  <c r="AF15" i="29"/>
  <c r="BT15" i="30" s="1"/>
  <c r="AF14" i="29"/>
  <c r="BT14" i="30" s="1"/>
  <c r="AF13" i="29"/>
  <c r="BT13" i="30" s="1"/>
  <c r="AF12" i="29"/>
  <c r="BT12" i="30" s="1"/>
  <c r="AF11" i="29"/>
  <c r="BT11" i="30" s="1"/>
  <c r="AF10" i="29"/>
  <c r="BT10" i="30" s="1"/>
  <c r="AF9" i="29"/>
  <c r="BT9" i="30" s="1"/>
  <c r="AF8" i="29"/>
  <c r="BT8" i="30" s="1"/>
  <c r="AF7" i="29"/>
  <c r="BT7" i="30" s="1"/>
  <c r="AF6" i="29"/>
  <c r="BT6" i="30" s="1"/>
  <c r="AF5" i="29"/>
  <c r="BT5" i="30" s="1"/>
  <c r="AF4" i="29"/>
  <c r="BT4" i="30" s="1"/>
  <c r="AF3" i="29"/>
  <c r="BT3" i="30" s="1"/>
  <c r="AF2" i="29"/>
  <c r="X430" i="29"/>
  <c r="BS430" i="30" s="1"/>
  <c r="X429" i="29"/>
  <c r="BS429" i="30" s="1"/>
  <c r="X428" i="29"/>
  <c r="BS428" i="30" s="1"/>
  <c r="X427" i="29"/>
  <c r="BS427" i="30" s="1"/>
  <c r="X426" i="29"/>
  <c r="BS426" i="30" s="1"/>
  <c r="X425" i="29"/>
  <c r="BS425" i="30" s="1"/>
  <c r="X424" i="29"/>
  <c r="BS424" i="30" s="1"/>
  <c r="X423" i="29"/>
  <c r="BS423" i="30" s="1"/>
  <c r="X422" i="29"/>
  <c r="BS422" i="30" s="1"/>
  <c r="X421" i="29"/>
  <c r="BS421" i="30" s="1"/>
  <c r="X420" i="29"/>
  <c r="BS420" i="30" s="1"/>
  <c r="X419" i="29"/>
  <c r="BS419" i="30" s="1"/>
  <c r="X418" i="29"/>
  <c r="BS418" i="30" s="1"/>
  <c r="X417" i="29"/>
  <c r="BS417" i="30" s="1"/>
  <c r="X416" i="29"/>
  <c r="BS416" i="30" s="1"/>
  <c r="X415" i="29"/>
  <c r="BS415" i="30" s="1"/>
  <c r="X414" i="29"/>
  <c r="BS414" i="30" s="1"/>
  <c r="X413" i="29"/>
  <c r="BS413" i="30" s="1"/>
  <c r="X412" i="29"/>
  <c r="BS412" i="30" s="1"/>
  <c r="X411" i="29"/>
  <c r="BS411" i="30" s="1"/>
  <c r="X410" i="29"/>
  <c r="BS410" i="30" s="1"/>
  <c r="X409" i="29"/>
  <c r="BS409" i="30" s="1"/>
  <c r="X408" i="29"/>
  <c r="BS408" i="30" s="1"/>
  <c r="X407" i="29"/>
  <c r="BS407" i="30" s="1"/>
  <c r="X406" i="29"/>
  <c r="BS406" i="30" s="1"/>
  <c r="X405" i="29"/>
  <c r="BS405" i="30" s="1"/>
  <c r="X404" i="29"/>
  <c r="BS404" i="30" s="1"/>
  <c r="X403" i="29"/>
  <c r="BS403" i="30" s="1"/>
  <c r="X402" i="29"/>
  <c r="BS402" i="30" s="1"/>
  <c r="X401" i="29"/>
  <c r="BS401" i="30" s="1"/>
  <c r="X400" i="29"/>
  <c r="BS400" i="30" s="1"/>
  <c r="X399" i="29"/>
  <c r="BS399" i="30" s="1"/>
  <c r="X398" i="29"/>
  <c r="BS398" i="30" s="1"/>
  <c r="X397" i="29"/>
  <c r="BS397" i="30" s="1"/>
  <c r="X396" i="29"/>
  <c r="BS396" i="30" s="1"/>
  <c r="X395" i="29"/>
  <c r="BS395" i="30" s="1"/>
  <c r="X394" i="29"/>
  <c r="BS394" i="30" s="1"/>
  <c r="X393" i="29"/>
  <c r="BS393" i="30" s="1"/>
  <c r="X392" i="29"/>
  <c r="BS392" i="30" s="1"/>
  <c r="X391" i="29"/>
  <c r="BS391" i="30" s="1"/>
  <c r="X390" i="29"/>
  <c r="BS390" i="30" s="1"/>
  <c r="X389" i="29"/>
  <c r="BS389" i="30" s="1"/>
  <c r="X388" i="29"/>
  <c r="BS388" i="30" s="1"/>
  <c r="X387" i="29"/>
  <c r="BS387" i="30" s="1"/>
  <c r="X386" i="29"/>
  <c r="BS386" i="30" s="1"/>
  <c r="X385" i="29"/>
  <c r="BS385" i="30" s="1"/>
  <c r="X384" i="29"/>
  <c r="BS384" i="30" s="1"/>
  <c r="X383" i="29"/>
  <c r="BS383" i="30" s="1"/>
  <c r="X382" i="29"/>
  <c r="BS382" i="30" s="1"/>
  <c r="X381" i="29"/>
  <c r="BS381" i="30" s="1"/>
  <c r="X380" i="29"/>
  <c r="BS380" i="30" s="1"/>
  <c r="X379" i="29"/>
  <c r="BS379" i="30" s="1"/>
  <c r="X378" i="29"/>
  <c r="BS378" i="30" s="1"/>
  <c r="X377" i="29"/>
  <c r="BS377" i="30" s="1"/>
  <c r="X376" i="29"/>
  <c r="BS376" i="30" s="1"/>
  <c r="X375" i="29"/>
  <c r="BS375" i="30" s="1"/>
  <c r="X374" i="29"/>
  <c r="BS374" i="30" s="1"/>
  <c r="X373" i="29"/>
  <c r="BS373" i="30" s="1"/>
  <c r="X372" i="29"/>
  <c r="BS372" i="30" s="1"/>
  <c r="X371" i="29"/>
  <c r="BS371" i="30" s="1"/>
  <c r="X370" i="29"/>
  <c r="BS370" i="30" s="1"/>
  <c r="X369" i="29"/>
  <c r="BS369" i="30" s="1"/>
  <c r="X368" i="29"/>
  <c r="BS368" i="30" s="1"/>
  <c r="X367" i="29"/>
  <c r="BS367" i="30" s="1"/>
  <c r="X366" i="29"/>
  <c r="BS366" i="30" s="1"/>
  <c r="X365" i="29"/>
  <c r="BS365" i="30" s="1"/>
  <c r="X364" i="29"/>
  <c r="BS364" i="30" s="1"/>
  <c r="X363" i="29"/>
  <c r="BS363" i="30" s="1"/>
  <c r="X362" i="29"/>
  <c r="BS362" i="30" s="1"/>
  <c r="X361" i="29"/>
  <c r="BS361" i="30" s="1"/>
  <c r="X360" i="29"/>
  <c r="BS360" i="30" s="1"/>
  <c r="X359" i="29"/>
  <c r="BS359" i="30" s="1"/>
  <c r="X358" i="29"/>
  <c r="BS358" i="30" s="1"/>
  <c r="X357" i="29"/>
  <c r="BS357" i="30" s="1"/>
  <c r="X356" i="29"/>
  <c r="BS356" i="30" s="1"/>
  <c r="X355" i="29"/>
  <c r="BS355" i="30" s="1"/>
  <c r="X354" i="29"/>
  <c r="BS354" i="30" s="1"/>
  <c r="X353" i="29"/>
  <c r="BS353" i="30" s="1"/>
  <c r="X352" i="29"/>
  <c r="BS352" i="30" s="1"/>
  <c r="X351" i="29"/>
  <c r="BS351" i="30" s="1"/>
  <c r="X350" i="29"/>
  <c r="BS350" i="30" s="1"/>
  <c r="X349" i="29"/>
  <c r="BS349" i="30" s="1"/>
  <c r="X348" i="29"/>
  <c r="BS348" i="30" s="1"/>
  <c r="X347" i="29"/>
  <c r="BS347" i="30" s="1"/>
  <c r="X346" i="29"/>
  <c r="BS346" i="30" s="1"/>
  <c r="X345" i="29"/>
  <c r="BS345" i="30" s="1"/>
  <c r="X344" i="29"/>
  <c r="BS344" i="30" s="1"/>
  <c r="X343" i="29"/>
  <c r="BS343" i="30" s="1"/>
  <c r="X342" i="29"/>
  <c r="BS342" i="30" s="1"/>
  <c r="X341" i="29"/>
  <c r="BS341" i="30" s="1"/>
  <c r="X340" i="29"/>
  <c r="BS340" i="30" s="1"/>
  <c r="X339" i="29"/>
  <c r="BS339" i="30" s="1"/>
  <c r="X338" i="29"/>
  <c r="BS338" i="30" s="1"/>
  <c r="X337" i="29"/>
  <c r="BS337" i="30" s="1"/>
  <c r="X336" i="29"/>
  <c r="BS336" i="30" s="1"/>
  <c r="X335" i="29"/>
  <c r="BS335" i="30" s="1"/>
  <c r="X334" i="29"/>
  <c r="BS334" i="30" s="1"/>
  <c r="X333" i="29"/>
  <c r="BS333" i="30" s="1"/>
  <c r="X332" i="29"/>
  <c r="BS332" i="30" s="1"/>
  <c r="X331" i="29"/>
  <c r="BS331" i="30" s="1"/>
  <c r="X330" i="29"/>
  <c r="BS330" i="30" s="1"/>
  <c r="X329" i="29"/>
  <c r="BS329" i="30" s="1"/>
  <c r="X328" i="29"/>
  <c r="BS328" i="30" s="1"/>
  <c r="X327" i="29"/>
  <c r="BS327" i="30" s="1"/>
  <c r="X326" i="29"/>
  <c r="BS326" i="30" s="1"/>
  <c r="X325" i="29"/>
  <c r="BS325" i="30" s="1"/>
  <c r="X324" i="29"/>
  <c r="BS324" i="30" s="1"/>
  <c r="X323" i="29"/>
  <c r="BS323" i="30" s="1"/>
  <c r="X322" i="29"/>
  <c r="BS322" i="30" s="1"/>
  <c r="X321" i="29"/>
  <c r="BS321" i="30" s="1"/>
  <c r="X320" i="29"/>
  <c r="BS320" i="30" s="1"/>
  <c r="X319" i="29"/>
  <c r="BS319" i="30" s="1"/>
  <c r="X318" i="29"/>
  <c r="BS318" i="30" s="1"/>
  <c r="X317" i="29"/>
  <c r="BS317" i="30" s="1"/>
  <c r="X316" i="29"/>
  <c r="BS316" i="30" s="1"/>
  <c r="X315" i="29"/>
  <c r="BS315" i="30" s="1"/>
  <c r="X314" i="29"/>
  <c r="BS314" i="30" s="1"/>
  <c r="X313" i="29"/>
  <c r="BS313" i="30" s="1"/>
  <c r="X312" i="29"/>
  <c r="BS312" i="30" s="1"/>
  <c r="X311" i="29"/>
  <c r="BS311" i="30" s="1"/>
  <c r="X310" i="29"/>
  <c r="BS310" i="30" s="1"/>
  <c r="X309" i="29"/>
  <c r="BS309" i="30" s="1"/>
  <c r="X308" i="29"/>
  <c r="BS308" i="30" s="1"/>
  <c r="X307" i="29"/>
  <c r="BS307" i="30" s="1"/>
  <c r="X306" i="29"/>
  <c r="BS306" i="30" s="1"/>
  <c r="X305" i="29"/>
  <c r="BS305" i="30" s="1"/>
  <c r="X304" i="29"/>
  <c r="BS304" i="30" s="1"/>
  <c r="X303" i="29"/>
  <c r="BS303" i="30" s="1"/>
  <c r="X302" i="29"/>
  <c r="BS302" i="30" s="1"/>
  <c r="X301" i="29"/>
  <c r="BS301" i="30" s="1"/>
  <c r="X300" i="29"/>
  <c r="BS300" i="30" s="1"/>
  <c r="X299" i="29"/>
  <c r="BS299" i="30" s="1"/>
  <c r="X298" i="29"/>
  <c r="BS298" i="30" s="1"/>
  <c r="X297" i="29"/>
  <c r="BS297" i="30" s="1"/>
  <c r="X296" i="29"/>
  <c r="BS296" i="30" s="1"/>
  <c r="X295" i="29"/>
  <c r="BS295" i="30" s="1"/>
  <c r="X294" i="29"/>
  <c r="BS294" i="30" s="1"/>
  <c r="X293" i="29"/>
  <c r="BS293" i="30" s="1"/>
  <c r="X292" i="29"/>
  <c r="BS292" i="30" s="1"/>
  <c r="X291" i="29"/>
  <c r="BS291" i="30" s="1"/>
  <c r="X290" i="29"/>
  <c r="BS290" i="30" s="1"/>
  <c r="X289" i="29"/>
  <c r="BS289" i="30" s="1"/>
  <c r="X288" i="29"/>
  <c r="BS288" i="30" s="1"/>
  <c r="X287" i="29"/>
  <c r="BS287" i="30" s="1"/>
  <c r="X286" i="29"/>
  <c r="BS286" i="30" s="1"/>
  <c r="X285" i="29"/>
  <c r="BS285" i="30" s="1"/>
  <c r="X284" i="29"/>
  <c r="BS284" i="30" s="1"/>
  <c r="X283" i="29"/>
  <c r="BS283" i="30" s="1"/>
  <c r="X282" i="29"/>
  <c r="BS282" i="30" s="1"/>
  <c r="X281" i="29"/>
  <c r="BS281" i="30" s="1"/>
  <c r="X280" i="29"/>
  <c r="BS280" i="30" s="1"/>
  <c r="X279" i="29"/>
  <c r="BS279" i="30" s="1"/>
  <c r="X278" i="29"/>
  <c r="BS278" i="30" s="1"/>
  <c r="X277" i="29"/>
  <c r="BS277" i="30" s="1"/>
  <c r="X276" i="29"/>
  <c r="BS276" i="30" s="1"/>
  <c r="X275" i="29"/>
  <c r="BS275" i="30" s="1"/>
  <c r="X274" i="29"/>
  <c r="BS274" i="30" s="1"/>
  <c r="X273" i="29"/>
  <c r="BS273" i="30" s="1"/>
  <c r="X272" i="29"/>
  <c r="BS272" i="30" s="1"/>
  <c r="X271" i="29"/>
  <c r="BS271" i="30" s="1"/>
  <c r="X270" i="29"/>
  <c r="BS270" i="30" s="1"/>
  <c r="X269" i="29"/>
  <c r="BS269" i="30" s="1"/>
  <c r="X268" i="29"/>
  <c r="BS268" i="30" s="1"/>
  <c r="X267" i="29"/>
  <c r="BS267" i="30" s="1"/>
  <c r="X266" i="29"/>
  <c r="BS266" i="30" s="1"/>
  <c r="X265" i="29"/>
  <c r="BS265" i="30" s="1"/>
  <c r="X264" i="29"/>
  <c r="BS264" i="30" s="1"/>
  <c r="X263" i="29"/>
  <c r="BS263" i="30" s="1"/>
  <c r="X262" i="29"/>
  <c r="BS262" i="30" s="1"/>
  <c r="X261" i="29"/>
  <c r="BS261" i="30" s="1"/>
  <c r="X260" i="29"/>
  <c r="BS260" i="30" s="1"/>
  <c r="X259" i="29"/>
  <c r="BS259" i="30" s="1"/>
  <c r="X258" i="29"/>
  <c r="BS258" i="30" s="1"/>
  <c r="X257" i="29"/>
  <c r="BS257" i="30" s="1"/>
  <c r="X256" i="29"/>
  <c r="BS256" i="30" s="1"/>
  <c r="X255" i="29"/>
  <c r="BS255" i="30" s="1"/>
  <c r="X254" i="29"/>
  <c r="BS254" i="30" s="1"/>
  <c r="X253" i="29"/>
  <c r="BS253" i="30" s="1"/>
  <c r="X252" i="29"/>
  <c r="BS252" i="30" s="1"/>
  <c r="X251" i="29"/>
  <c r="BS251" i="30" s="1"/>
  <c r="X250" i="29"/>
  <c r="BS250" i="30" s="1"/>
  <c r="X249" i="29"/>
  <c r="BS249" i="30" s="1"/>
  <c r="X248" i="29"/>
  <c r="BS248" i="30" s="1"/>
  <c r="X247" i="29"/>
  <c r="BS247" i="30" s="1"/>
  <c r="X246" i="29"/>
  <c r="BS246" i="30" s="1"/>
  <c r="X245" i="29"/>
  <c r="BS245" i="30" s="1"/>
  <c r="X244" i="29"/>
  <c r="BS244" i="30" s="1"/>
  <c r="X243" i="29"/>
  <c r="BS243" i="30" s="1"/>
  <c r="X242" i="29"/>
  <c r="BS242" i="30" s="1"/>
  <c r="X167" i="29"/>
  <c r="BS167" i="30" s="1"/>
  <c r="X166" i="29"/>
  <c r="BS166" i="30" s="1"/>
  <c r="X165" i="29"/>
  <c r="BS165" i="30" s="1"/>
  <c r="X164" i="29"/>
  <c r="BS164" i="30" s="1"/>
  <c r="X163" i="29"/>
  <c r="BS163" i="30" s="1"/>
  <c r="X162" i="29"/>
  <c r="BS162" i="30" s="1"/>
  <c r="X161" i="29"/>
  <c r="BS161" i="30" s="1"/>
  <c r="X160" i="29"/>
  <c r="BS160" i="30" s="1"/>
  <c r="X159" i="29"/>
  <c r="BS159" i="30" s="1"/>
  <c r="X158" i="29"/>
  <c r="BS158" i="30" s="1"/>
  <c r="X157" i="29"/>
  <c r="BS157" i="30" s="1"/>
  <c r="X156" i="29"/>
  <c r="BS156" i="30" s="1"/>
  <c r="X155" i="29"/>
  <c r="BS155" i="30" s="1"/>
  <c r="X154" i="29"/>
  <c r="BS154" i="30" s="1"/>
  <c r="X153" i="29"/>
  <c r="BS153" i="30" s="1"/>
  <c r="X152" i="29"/>
  <c r="BS152" i="30" s="1"/>
  <c r="X151" i="29"/>
  <c r="BS151" i="30" s="1"/>
  <c r="X150" i="29"/>
  <c r="BS150" i="30" s="1"/>
  <c r="X149" i="29"/>
  <c r="BS149" i="30" s="1"/>
  <c r="X148" i="29"/>
  <c r="BS148" i="30" s="1"/>
  <c r="X147" i="29"/>
  <c r="BS147" i="30" s="1"/>
  <c r="X146" i="29"/>
  <c r="BS146" i="30" s="1"/>
  <c r="X145" i="29"/>
  <c r="BS145" i="30" s="1"/>
  <c r="X144" i="29"/>
  <c r="BS144" i="30" s="1"/>
  <c r="X143" i="29"/>
  <c r="BS143" i="30" s="1"/>
  <c r="X142" i="29"/>
  <c r="BS142" i="30" s="1"/>
  <c r="X141" i="29"/>
  <c r="BS141" i="30" s="1"/>
  <c r="X140" i="29"/>
  <c r="BS140" i="30" s="1"/>
  <c r="X139" i="29"/>
  <c r="BS139" i="30" s="1"/>
  <c r="X138" i="29"/>
  <c r="BS138" i="30" s="1"/>
  <c r="X137" i="29"/>
  <c r="BS137" i="30" s="1"/>
  <c r="X136" i="29"/>
  <c r="BS136" i="30" s="1"/>
  <c r="X135" i="29"/>
  <c r="BS135" i="30" s="1"/>
  <c r="X134" i="29"/>
  <c r="BS134" i="30" s="1"/>
  <c r="X133" i="29"/>
  <c r="BS133" i="30" s="1"/>
  <c r="X132" i="29"/>
  <c r="BS132" i="30" s="1"/>
  <c r="X131" i="29"/>
  <c r="BS131" i="30" s="1"/>
  <c r="X130" i="29"/>
  <c r="BS130" i="30" s="1"/>
  <c r="X129" i="29"/>
  <c r="BS129" i="30" s="1"/>
  <c r="X128" i="29"/>
  <c r="BS128" i="30" s="1"/>
  <c r="X127" i="29"/>
  <c r="BS127" i="30" s="1"/>
  <c r="X126" i="29"/>
  <c r="BS126" i="30" s="1"/>
  <c r="X125" i="29"/>
  <c r="BS125" i="30" s="1"/>
  <c r="X124" i="29"/>
  <c r="BS124" i="30" s="1"/>
  <c r="X123" i="29"/>
  <c r="BS123" i="30" s="1"/>
  <c r="X122" i="29"/>
  <c r="BS122" i="30" s="1"/>
  <c r="X121" i="29"/>
  <c r="BS121" i="30" s="1"/>
  <c r="X120" i="29"/>
  <c r="BS120" i="30" s="1"/>
  <c r="X119" i="29"/>
  <c r="BS119" i="30" s="1"/>
  <c r="X118" i="29"/>
  <c r="BS118" i="30" s="1"/>
  <c r="X117" i="29"/>
  <c r="BS117" i="30" s="1"/>
  <c r="X116" i="29"/>
  <c r="BS116" i="30" s="1"/>
  <c r="X115" i="29"/>
  <c r="BS115" i="30" s="1"/>
  <c r="X114" i="29"/>
  <c r="BS114" i="30" s="1"/>
  <c r="X113" i="29"/>
  <c r="BS113" i="30" s="1"/>
  <c r="X112" i="29"/>
  <c r="BS112" i="30" s="1"/>
  <c r="X111" i="29"/>
  <c r="BS111" i="30" s="1"/>
  <c r="X110" i="29"/>
  <c r="BS110" i="30" s="1"/>
  <c r="X109" i="29"/>
  <c r="BS109" i="30" s="1"/>
  <c r="X108" i="29"/>
  <c r="BS108" i="30" s="1"/>
  <c r="X107" i="29"/>
  <c r="BS107" i="30" s="1"/>
  <c r="X106" i="29"/>
  <c r="BS106" i="30" s="1"/>
  <c r="X105" i="29"/>
  <c r="BS105" i="30" s="1"/>
  <c r="X104" i="29"/>
  <c r="BS104" i="30" s="1"/>
  <c r="X103" i="29"/>
  <c r="BS103" i="30" s="1"/>
  <c r="X102" i="29"/>
  <c r="BS102" i="30" s="1"/>
  <c r="X101" i="29"/>
  <c r="BS101" i="30" s="1"/>
  <c r="X100" i="29"/>
  <c r="BS100" i="30" s="1"/>
  <c r="X99" i="29"/>
  <c r="BS99" i="30" s="1"/>
  <c r="X98" i="29"/>
  <c r="BS98" i="30" s="1"/>
  <c r="X97" i="29"/>
  <c r="BS97" i="30" s="1"/>
  <c r="X96" i="29"/>
  <c r="BS96" i="30" s="1"/>
  <c r="X95" i="29"/>
  <c r="BS95" i="30" s="1"/>
  <c r="X94" i="29"/>
  <c r="BS94" i="30" s="1"/>
  <c r="X93" i="29"/>
  <c r="BS93" i="30" s="1"/>
  <c r="X92" i="29"/>
  <c r="BS92" i="30" s="1"/>
  <c r="X91" i="29"/>
  <c r="BS91" i="30" s="1"/>
  <c r="X90" i="29"/>
  <c r="BS90" i="30" s="1"/>
  <c r="X89" i="29"/>
  <c r="BS89" i="30" s="1"/>
  <c r="X88" i="29"/>
  <c r="BS88" i="30" s="1"/>
  <c r="X87" i="29"/>
  <c r="BS87" i="30" s="1"/>
  <c r="X86" i="29"/>
  <c r="BS86" i="30" s="1"/>
  <c r="X85" i="29"/>
  <c r="BS85" i="30" s="1"/>
  <c r="X84" i="29"/>
  <c r="BS84" i="30" s="1"/>
  <c r="X83" i="29"/>
  <c r="BS83" i="30" s="1"/>
  <c r="X82" i="29"/>
  <c r="BS82" i="30" s="1"/>
  <c r="X81" i="29"/>
  <c r="BS81" i="30" s="1"/>
  <c r="X80" i="29"/>
  <c r="BS80" i="30" s="1"/>
  <c r="X79" i="29"/>
  <c r="BS79" i="30" s="1"/>
  <c r="X78" i="29"/>
  <c r="BS78" i="30" s="1"/>
  <c r="X77" i="29"/>
  <c r="BS77" i="30" s="1"/>
  <c r="X76" i="29"/>
  <c r="BS76" i="30" s="1"/>
  <c r="X75" i="29"/>
  <c r="BS75" i="30" s="1"/>
  <c r="X74" i="29"/>
  <c r="BS74" i="30" s="1"/>
  <c r="X73" i="29"/>
  <c r="BS73" i="30" s="1"/>
  <c r="X72" i="29"/>
  <c r="BS72" i="30" s="1"/>
  <c r="X71" i="29"/>
  <c r="BS71" i="30" s="1"/>
  <c r="X70" i="29"/>
  <c r="BS70" i="30" s="1"/>
  <c r="X69" i="29"/>
  <c r="BS69" i="30" s="1"/>
  <c r="X68" i="29"/>
  <c r="BS68" i="30" s="1"/>
  <c r="X67" i="29"/>
  <c r="BS67" i="30" s="1"/>
  <c r="X66" i="29"/>
  <c r="BS66" i="30" s="1"/>
  <c r="X65" i="29"/>
  <c r="BS65" i="30" s="1"/>
  <c r="X64" i="29"/>
  <c r="BS64" i="30" s="1"/>
  <c r="X63" i="29"/>
  <c r="BS63" i="30" s="1"/>
  <c r="X62" i="29"/>
  <c r="BS62" i="30" s="1"/>
  <c r="X61" i="29"/>
  <c r="BS61" i="30" s="1"/>
  <c r="X60" i="29"/>
  <c r="BS60" i="30" s="1"/>
  <c r="X59" i="29"/>
  <c r="BS59" i="30" s="1"/>
  <c r="X58" i="29"/>
  <c r="BS58" i="30" s="1"/>
  <c r="X57" i="29"/>
  <c r="BS57" i="30" s="1"/>
  <c r="X56" i="29"/>
  <c r="BS56" i="30" s="1"/>
  <c r="X55" i="29"/>
  <c r="BS55" i="30" s="1"/>
  <c r="X54" i="29"/>
  <c r="BS54" i="30" s="1"/>
  <c r="X51" i="29"/>
  <c r="BS51" i="30" s="1"/>
  <c r="X49" i="29"/>
  <c r="BS49" i="30" s="1"/>
  <c r="X48" i="29"/>
  <c r="BS48" i="30" s="1"/>
  <c r="X47" i="29"/>
  <c r="BS47" i="30" s="1"/>
  <c r="X46" i="29"/>
  <c r="X45" i="29"/>
  <c r="X44" i="29"/>
  <c r="X43" i="29"/>
  <c r="X42" i="29"/>
  <c r="X41" i="29"/>
  <c r="X40" i="29"/>
  <c r="X39" i="29"/>
  <c r="BS39" i="30" s="1"/>
  <c r="X38" i="29"/>
  <c r="BS38" i="30" s="1"/>
  <c r="X37" i="29"/>
  <c r="BS37" i="30" s="1"/>
  <c r="X36" i="29"/>
  <c r="BS36" i="30" s="1"/>
  <c r="X35" i="29"/>
  <c r="BS35" i="30" s="1"/>
  <c r="X34" i="29"/>
  <c r="BS34" i="30" s="1"/>
  <c r="X33" i="29"/>
  <c r="BS33" i="30" s="1"/>
  <c r="X32" i="29"/>
  <c r="BS32" i="30" s="1"/>
  <c r="X31" i="29"/>
  <c r="BS31" i="30" s="1"/>
  <c r="X30" i="29"/>
  <c r="BS30" i="30" s="1"/>
  <c r="X29" i="29"/>
  <c r="BS29" i="30" s="1"/>
  <c r="X28" i="29"/>
  <c r="BS28" i="30" s="1"/>
  <c r="X27" i="29"/>
  <c r="BS27" i="30" s="1"/>
  <c r="X26" i="29"/>
  <c r="BS26" i="30" s="1"/>
  <c r="X25" i="29"/>
  <c r="BS25" i="30" s="1"/>
  <c r="X24" i="29"/>
  <c r="BS24" i="30" s="1"/>
  <c r="X23" i="29"/>
  <c r="BS23" i="30" s="1"/>
  <c r="X22" i="29"/>
  <c r="BS22" i="30" s="1"/>
  <c r="X21" i="29"/>
  <c r="BS21" i="30" s="1"/>
  <c r="X20" i="29"/>
  <c r="BS20" i="30" s="1"/>
  <c r="X19" i="29"/>
  <c r="BS19" i="30" s="1"/>
  <c r="X18" i="29"/>
  <c r="BS18" i="30" s="1"/>
  <c r="X17" i="29"/>
  <c r="BS17" i="30" s="1"/>
  <c r="X16" i="29"/>
  <c r="BS16" i="30" s="1"/>
  <c r="X15" i="29"/>
  <c r="BS15" i="30" s="1"/>
  <c r="X14" i="29"/>
  <c r="BS14" i="30" s="1"/>
  <c r="X13" i="29"/>
  <c r="BS13" i="30" s="1"/>
  <c r="X12" i="29"/>
  <c r="BS12" i="30" s="1"/>
  <c r="X11" i="29"/>
  <c r="BS11" i="30" s="1"/>
  <c r="X10" i="29"/>
  <c r="BS10" i="30" s="1"/>
  <c r="X9" i="29"/>
  <c r="BS9" i="30" s="1"/>
  <c r="X8" i="29"/>
  <c r="BS8" i="30" s="1"/>
  <c r="X7" i="29"/>
  <c r="BS7" i="30" s="1"/>
  <c r="X6" i="29"/>
  <c r="BS6" i="30" s="1"/>
  <c r="X5" i="29"/>
  <c r="BS5" i="30" s="1"/>
  <c r="X4" i="29"/>
  <c r="BS4" i="30" s="1"/>
  <c r="X3" i="29"/>
  <c r="BS3" i="30" s="1"/>
  <c r="X2" i="29"/>
  <c r="P430" i="29"/>
  <c r="BR430" i="30" s="1"/>
  <c r="P429" i="29"/>
  <c r="BR429" i="30" s="1"/>
  <c r="P428" i="29"/>
  <c r="BR428" i="30" s="1"/>
  <c r="P427" i="29"/>
  <c r="BR427" i="30" s="1"/>
  <c r="P426" i="29"/>
  <c r="BR426" i="30" s="1"/>
  <c r="P425" i="29"/>
  <c r="BR425" i="30" s="1"/>
  <c r="P424" i="29"/>
  <c r="BR424" i="30" s="1"/>
  <c r="P423" i="29"/>
  <c r="BR423" i="30" s="1"/>
  <c r="P422" i="29"/>
  <c r="BR422" i="30" s="1"/>
  <c r="P421" i="29"/>
  <c r="BR421" i="30" s="1"/>
  <c r="P420" i="29"/>
  <c r="BR420" i="30" s="1"/>
  <c r="P419" i="29"/>
  <c r="BR419" i="30" s="1"/>
  <c r="P418" i="29"/>
  <c r="BR418" i="30" s="1"/>
  <c r="P417" i="29"/>
  <c r="BR417" i="30" s="1"/>
  <c r="P416" i="29"/>
  <c r="BR416" i="30" s="1"/>
  <c r="P415" i="29"/>
  <c r="BR415" i="30" s="1"/>
  <c r="P414" i="29"/>
  <c r="BR414" i="30" s="1"/>
  <c r="P413" i="29"/>
  <c r="BR413" i="30" s="1"/>
  <c r="P412" i="29"/>
  <c r="BR412" i="30" s="1"/>
  <c r="P411" i="29"/>
  <c r="BR411" i="30" s="1"/>
  <c r="P410" i="29"/>
  <c r="BR410" i="30" s="1"/>
  <c r="P409" i="29"/>
  <c r="BR409" i="30" s="1"/>
  <c r="P408" i="29"/>
  <c r="BR408" i="30" s="1"/>
  <c r="P407" i="29"/>
  <c r="BR407" i="30" s="1"/>
  <c r="P406" i="29"/>
  <c r="BR406" i="30" s="1"/>
  <c r="P405" i="29"/>
  <c r="BR405" i="30" s="1"/>
  <c r="P404" i="29"/>
  <c r="BR404" i="30" s="1"/>
  <c r="P403" i="29"/>
  <c r="BR403" i="30" s="1"/>
  <c r="P402" i="29"/>
  <c r="BR402" i="30" s="1"/>
  <c r="P401" i="29"/>
  <c r="BR401" i="30" s="1"/>
  <c r="P400" i="29"/>
  <c r="BR400" i="30" s="1"/>
  <c r="P399" i="29"/>
  <c r="BR399" i="30" s="1"/>
  <c r="P398" i="29"/>
  <c r="BR398" i="30" s="1"/>
  <c r="P397" i="29"/>
  <c r="BR397" i="30" s="1"/>
  <c r="P396" i="29"/>
  <c r="BR396" i="30" s="1"/>
  <c r="P395" i="29"/>
  <c r="BR395" i="30" s="1"/>
  <c r="P394" i="29"/>
  <c r="BR394" i="30" s="1"/>
  <c r="P393" i="29"/>
  <c r="BR393" i="30" s="1"/>
  <c r="P392" i="29"/>
  <c r="BR392" i="30" s="1"/>
  <c r="P391" i="29"/>
  <c r="BR391" i="30" s="1"/>
  <c r="P390" i="29"/>
  <c r="BR390" i="30" s="1"/>
  <c r="P389" i="29"/>
  <c r="BR389" i="30" s="1"/>
  <c r="P388" i="29"/>
  <c r="BR388" i="30" s="1"/>
  <c r="P387" i="29"/>
  <c r="BR387" i="30" s="1"/>
  <c r="P386" i="29"/>
  <c r="BR386" i="30" s="1"/>
  <c r="P385" i="29"/>
  <c r="BR385" i="30" s="1"/>
  <c r="P384" i="29"/>
  <c r="BR384" i="30" s="1"/>
  <c r="P383" i="29"/>
  <c r="BR383" i="30" s="1"/>
  <c r="P382" i="29"/>
  <c r="BR382" i="30" s="1"/>
  <c r="P381" i="29"/>
  <c r="BR381" i="30" s="1"/>
  <c r="P380" i="29"/>
  <c r="BR380" i="30" s="1"/>
  <c r="P379" i="29"/>
  <c r="BR379" i="30" s="1"/>
  <c r="P378" i="29"/>
  <c r="BR378" i="30" s="1"/>
  <c r="P377" i="29"/>
  <c r="BR377" i="30" s="1"/>
  <c r="P376" i="29"/>
  <c r="BR376" i="30" s="1"/>
  <c r="P375" i="29"/>
  <c r="BR375" i="30" s="1"/>
  <c r="P374" i="29"/>
  <c r="BR374" i="30" s="1"/>
  <c r="P373" i="29"/>
  <c r="BR373" i="30" s="1"/>
  <c r="P372" i="29"/>
  <c r="BR372" i="30" s="1"/>
  <c r="P371" i="29"/>
  <c r="BR371" i="30" s="1"/>
  <c r="P370" i="29"/>
  <c r="BR370" i="30" s="1"/>
  <c r="P369" i="29"/>
  <c r="BR369" i="30" s="1"/>
  <c r="P368" i="29"/>
  <c r="BR368" i="30" s="1"/>
  <c r="P367" i="29"/>
  <c r="BR367" i="30" s="1"/>
  <c r="P366" i="29"/>
  <c r="BR366" i="30" s="1"/>
  <c r="P365" i="29"/>
  <c r="BR365" i="30" s="1"/>
  <c r="P364" i="29"/>
  <c r="BR364" i="30" s="1"/>
  <c r="P363" i="29"/>
  <c r="BR363" i="30" s="1"/>
  <c r="P362" i="29"/>
  <c r="BR362" i="30" s="1"/>
  <c r="P361" i="29"/>
  <c r="BR361" i="30" s="1"/>
  <c r="P360" i="29"/>
  <c r="BR360" i="30" s="1"/>
  <c r="P359" i="29"/>
  <c r="BR359" i="30" s="1"/>
  <c r="P358" i="29"/>
  <c r="BR358" i="30" s="1"/>
  <c r="P357" i="29"/>
  <c r="BR357" i="30" s="1"/>
  <c r="P356" i="29"/>
  <c r="BR356" i="30" s="1"/>
  <c r="P355" i="29"/>
  <c r="BR355" i="30" s="1"/>
  <c r="P354" i="29"/>
  <c r="BR354" i="30" s="1"/>
  <c r="P353" i="29"/>
  <c r="BR353" i="30" s="1"/>
  <c r="P352" i="29"/>
  <c r="BR352" i="30" s="1"/>
  <c r="P351" i="29"/>
  <c r="BR351" i="30" s="1"/>
  <c r="P350" i="29"/>
  <c r="BR350" i="30" s="1"/>
  <c r="P349" i="29"/>
  <c r="BR349" i="30" s="1"/>
  <c r="P348" i="29"/>
  <c r="BR348" i="30" s="1"/>
  <c r="P347" i="29"/>
  <c r="BR347" i="30" s="1"/>
  <c r="P346" i="29"/>
  <c r="BR346" i="30" s="1"/>
  <c r="P345" i="29"/>
  <c r="BR345" i="30" s="1"/>
  <c r="P344" i="29"/>
  <c r="BR344" i="30" s="1"/>
  <c r="P343" i="29"/>
  <c r="BR343" i="30" s="1"/>
  <c r="P342" i="29"/>
  <c r="BR342" i="30" s="1"/>
  <c r="P341" i="29"/>
  <c r="BR341" i="30" s="1"/>
  <c r="P340" i="29"/>
  <c r="BR340" i="30" s="1"/>
  <c r="P339" i="29"/>
  <c r="BR339" i="30" s="1"/>
  <c r="P338" i="29"/>
  <c r="BR338" i="30" s="1"/>
  <c r="P337" i="29"/>
  <c r="BR337" i="30" s="1"/>
  <c r="P336" i="29"/>
  <c r="BR336" i="30" s="1"/>
  <c r="P335" i="29"/>
  <c r="BR335" i="30" s="1"/>
  <c r="P334" i="29"/>
  <c r="BR334" i="30" s="1"/>
  <c r="P333" i="29"/>
  <c r="BR333" i="30" s="1"/>
  <c r="P332" i="29"/>
  <c r="BR332" i="30" s="1"/>
  <c r="P331" i="29"/>
  <c r="BR331" i="30" s="1"/>
  <c r="P330" i="29"/>
  <c r="BR330" i="30" s="1"/>
  <c r="P329" i="29"/>
  <c r="BR329" i="30" s="1"/>
  <c r="P328" i="29"/>
  <c r="BR328" i="30" s="1"/>
  <c r="P327" i="29"/>
  <c r="BR327" i="30" s="1"/>
  <c r="P326" i="29"/>
  <c r="BR326" i="30" s="1"/>
  <c r="P325" i="29"/>
  <c r="BR325" i="30" s="1"/>
  <c r="P324" i="29"/>
  <c r="BR324" i="30" s="1"/>
  <c r="P323" i="29"/>
  <c r="BR323" i="30" s="1"/>
  <c r="P322" i="29"/>
  <c r="BR322" i="30" s="1"/>
  <c r="P321" i="29"/>
  <c r="BR321" i="30" s="1"/>
  <c r="P320" i="29"/>
  <c r="BR320" i="30" s="1"/>
  <c r="P319" i="29"/>
  <c r="BR319" i="30" s="1"/>
  <c r="P318" i="29"/>
  <c r="BR318" i="30" s="1"/>
  <c r="P317" i="29"/>
  <c r="BR317" i="30" s="1"/>
  <c r="P316" i="29"/>
  <c r="BR316" i="30" s="1"/>
  <c r="P315" i="29"/>
  <c r="BR315" i="30" s="1"/>
  <c r="P314" i="29"/>
  <c r="BR314" i="30" s="1"/>
  <c r="P313" i="29"/>
  <c r="BR313" i="30" s="1"/>
  <c r="P312" i="29"/>
  <c r="BR312" i="30" s="1"/>
  <c r="P311" i="29"/>
  <c r="BR311" i="30" s="1"/>
  <c r="P310" i="29"/>
  <c r="BR310" i="30" s="1"/>
  <c r="P309" i="29"/>
  <c r="BR309" i="30" s="1"/>
  <c r="P308" i="29"/>
  <c r="BR308" i="30" s="1"/>
  <c r="P307" i="29"/>
  <c r="BR307" i="30" s="1"/>
  <c r="P306" i="29"/>
  <c r="BR306" i="30" s="1"/>
  <c r="P305" i="29"/>
  <c r="BR305" i="30" s="1"/>
  <c r="P304" i="29"/>
  <c r="BR304" i="30" s="1"/>
  <c r="P303" i="29"/>
  <c r="BR303" i="30" s="1"/>
  <c r="P302" i="29"/>
  <c r="BR302" i="30" s="1"/>
  <c r="P301" i="29"/>
  <c r="BR301" i="30" s="1"/>
  <c r="P300" i="29"/>
  <c r="BR300" i="30" s="1"/>
  <c r="P299" i="29"/>
  <c r="BR299" i="30" s="1"/>
  <c r="P298" i="29"/>
  <c r="BR298" i="30" s="1"/>
  <c r="P297" i="29"/>
  <c r="BR297" i="30" s="1"/>
  <c r="P296" i="29"/>
  <c r="BR296" i="30" s="1"/>
  <c r="P295" i="29"/>
  <c r="BR295" i="30" s="1"/>
  <c r="P294" i="29"/>
  <c r="BR294" i="30" s="1"/>
  <c r="P293" i="29"/>
  <c r="BR293" i="30" s="1"/>
  <c r="P292" i="29"/>
  <c r="BR292" i="30" s="1"/>
  <c r="P291" i="29"/>
  <c r="BR291" i="30" s="1"/>
  <c r="P290" i="29"/>
  <c r="BR290" i="30" s="1"/>
  <c r="P289" i="29"/>
  <c r="BR289" i="30" s="1"/>
  <c r="P288" i="29"/>
  <c r="BR288" i="30" s="1"/>
  <c r="P287" i="29"/>
  <c r="BR287" i="30" s="1"/>
  <c r="P286" i="29"/>
  <c r="BR286" i="30" s="1"/>
  <c r="P285" i="29"/>
  <c r="BR285" i="30" s="1"/>
  <c r="P284" i="29"/>
  <c r="BR284" i="30" s="1"/>
  <c r="P283" i="29"/>
  <c r="BR283" i="30" s="1"/>
  <c r="P282" i="29"/>
  <c r="BR282" i="30" s="1"/>
  <c r="P281" i="29"/>
  <c r="BR281" i="30" s="1"/>
  <c r="P280" i="29"/>
  <c r="BR280" i="30" s="1"/>
  <c r="P279" i="29"/>
  <c r="BR279" i="30" s="1"/>
  <c r="P278" i="29"/>
  <c r="BR278" i="30" s="1"/>
  <c r="P277" i="29"/>
  <c r="BR277" i="30" s="1"/>
  <c r="P276" i="29"/>
  <c r="BR276" i="30" s="1"/>
  <c r="P275" i="29"/>
  <c r="BR275" i="30" s="1"/>
  <c r="P274" i="29"/>
  <c r="BR274" i="30" s="1"/>
  <c r="P273" i="29"/>
  <c r="BR273" i="30" s="1"/>
  <c r="P272" i="29"/>
  <c r="BR272" i="30" s="1"/>
  <c r="P271" i="29"/>
  <c r="BR271" i="30" s="1"/>
  <c r="P270" i="29"/>
  <c r="BR270" i="30" s="1"/>
  <c r="P269" i="29"/>
  <c r="BR269" i="30" s="1"/>
  <c r="P268" i="29"/>
  <c r="BR268" i="30" s="1"/>
  <c r="P267" i="29"/>
  <c r="BR267" i="30" s="1"/>
  <c r="P266" i="29"/>
  <c r="BR266" i="30" s="1"/>
  <c r="P265" i="29"/>
  <c r="BR265" i="30" s="1"/>
  <c r="P264" i="29"/>
  <c r="BR264" i="30" s="1"/>
  <c r="P263" i="29"/>
  <c r="BR263" i="30" s="1"/>
  <c r="P262" i="29"/>
  <c r="BR262" i="30" s="1"/>
  <c r="P261" i="29"/>
  <c r="BR261" i="30" s="1"/>
  <c r="P260" i="29"/>
  <c r="BR260" i="30" s="1"/>
  <c r="P259" i="29"/>
  <c r="BR259" i="30" s="1"/>
  <c r="P258" i="29"/>
  <c r="BR258" i="30" s="1"/>
  <c r="P257" i="29"/>
  <c r="BR257" i="30" s="1"/>
  <c r="P256" i="29"/>
  <c r="BR256" i="30" s="1"/>
  <c r="P255" i="29"/>
  <c r="BR255" i="30" s="1"/>
  <c r="P254" i="29"/>
  <c r="BR254" i="30" s="1"/>
  <c r="P253" i="29"/>
  <c r="BR253" i="30" s="1"/>
  <c r="P252" i="29"/>
  <c r="BR252" i="30" s="1"/>
  <c r="P251" i="29"/>
  <c r="BR251" i="30" s="1"/>
  <c r="P250" i="29"/>
  <c r="BR250" i="30" s="1"/>
  <c r="P249" i="29"/>
  <c r="BR249" i="30" s="1"/>
  <c r="P248" i="29"/>
  <c r="BR248" i="30" s="1"/>
  <c r="P247" i="29"/>
  <c r="BR247" i="30" s="1"/>
  <c r="P246" i="29"/>
  <c r="BR246" i="30" s="1"/>
  <c r="P245" i="29"/>
  <c r="BR245" i="30" s="1"/>
  <c r="P244" i="29"/>
  <c r="BR244" i="30" s="1"/>
  <c r="P243" i="29"/>
  <c r="BR243" i="30" s="1"/>
  <c r="P242" i="29"/>
  <c r="BR242" i="30" s="1"/>
  <c r="P167" i="29"/>
  <c r="BR167" i="30" s="1"/>
  <c r="P166" i="29"/>
  <c r="BR166" i="30" s="1"/>
  <c r="P165" i="29"/>
  <c r="BR165" i="30" s="1"/>
  <c r="P164" i="29"/>
  <c r="BR164" i="30" s="1"/>
  <c r="P163" i="29"/>
  <c r="BR163" i="30" s="1"/>
  <c r="P162" i="29"/>
  <c r="BR162" i="30" s="1"/>
  <c r="P161" i="29"/>
  <c r="BR161" i="30" s="1"/>
  <c r="P160" i="29"/>
  <c r="BR160" i="30" s="1"/>
  <c r="P159" i="29"/>
  <c r="BR159" i="30" s="1"/>
  <c r="P158" i="29"/>
  <c r="BR158" i="30" s="1"/>
  <c r="P157" i="29"/>
  <c r="BR157" i="30" s="1"/>
  <c r="P156" i="29"/>
  <c r="BR156" i="30" s="1"/>
  <c r="P155" i="29"/>
  <c r="BR155" i="30" s="1"/>
  <c r="P154" i="29"/>
  <c r="BR154" i="30" s="1"/>
  <c r="P153" i="29"/>
  <c r="BR153" i="30" s="1"/>
  <c r="P152" i="29"/>
  <c r="BR152" i="30" s="1"/>
  <c r="P151" i="29"/>
  <c r="BR151" i="30" s="1"/>
  <c r="P150" i="29"/>
  <c r="BR150" i="30" s="1"/>
  <c r="P149" i="29"/>
  <c r="BR149" i="30" s="1"/>
  <c r="P148" i="29"/>
  <c r="BR148" i="30" s="1"/>
  <c r="P147" i="29"/>
  <c r="BR147" i="30" s="1"/>
  <c r="P146" i="29"/>
  <c r="BR146" i="30" s="1"/>
  <c r="P145" i="29"/>
  <c r="BR145" i="30" s="1"/>
  <c r="P144" i="29"/>
  <c r="BR144" i="30" s="1"/>
  <c r="P143" i="29"/>
  <c r="BR143" i="30" s="1"/>
  <c r="P142" i="29"/>
  <c r="BR142" i="30" s="1"/>
  <c r="P141" i="29"/>
  <c r="BR141" i="30" s="1"/>
  <c r="P140" i="29"/>
  <c r="BR140" i="30" s="1"/>
  <c r="P139" i="29"/>
  <c r="BR139" i="30" s="1"/>
  <c r="P138" i="29"/>
  <c r="BR138" i="30" s="1"/>
  <c r="P137" i="29"/>
  <c r="BR137" i="30" s="1"/>
  <c r="P136" i="29"/>
  <c r="BR136" i="30" s="1"/>
  <c r="P135" i="29"/>
  <c r="BR135" i="30" s="1"/>
  <c r="P134" i="29"/>
  <c r="BR134" i="30" s="1"/>
  <c r="P133" i="29"/>
  <c r="BR133" i="30" s="1"/>
  <c r="P132" i="29"/>
  <c r="BR132" i="30" s="1"/>
  <c r="P131" i="29"/>
  <c r="BR131" i="30" s="1"/>
  <c r="P130" i="29"/>
  <c r="BR130" i="30" s="1"/>
  <c r="P129" i="29"/>
  <c r="BR129" i="30" s="1"/>
  <c r="P128" i="29"/>
  <c r="BR128" i="30" s="1"/>
  <c r="P127" i="29"/>
  <c r="BR127" i="30" s="1"/>
  <c r="P126" i="29"/>
  <c r="BR126" i="30" s="1"/>
  <c r="P125" i="29"/>
  <c r="BR125" i="30" s="1"/>
  <c r="P124" i="29"/>
  <c r="BR124" i="30" s="1"/>
  <c r="P123" i="29"/>
  <c r="BR123" i="30" s="1"/>
  <c r="P122" i="29"/>
  <c r="BR122" i="30" s="1"/>
  <c r="P121" i="29"/>
  <c r="BR121" i="30" s="1"/>
  <c r="P120" i="29"/>
  <c r="BR120" i="30" s="1"/>
  <c r="P119" i="29"/>
  <c r="BR119" i="30" s="1"/>
  <c r="P118" i="29"/>
  <c r="BR118" i="30" s="1"/>
  <c r="P117" i="29"/>
  <c r="BR117" i="30" s="1"/>
  <c r="P116" i="29"/>
  <c r="BR116" i="30" s="1"/>
  <c r="P115" i="29"/>
  <c r="BR115" i="30" s="1"/>
  <c r="P114" i="29"/>
  <c r="BR114" i="30" s="1"/>
  <c r="P113" i="29"/>
  <c r="BR113" i="30" s="1"/>
  <c r="P112" i="29"/>
  <c r="BR112" i="30" s="1"/>
  <c r="P111" i="29"/>
  <c r="BR111" i="30" s="1"/>
  <c r="P110" i="29"/>
  <c r="BR110" i="30" s="1"/>
  <c r="P109" i="29"/>
  <c r="BR109" i="30" s="1"/>
  <c r="P108" i="29"/>
  <c r="BR108" i="30" s="1"/>
  <c r="P107" i="29"/>
  <c r="BR107" i="30" s="1"/>
  <c r="P106" i="29"/>
  <c r="BR106" i="30" s="1"/>
  <c r="P105" i="29"/>
  <c r="BR105" i="30" s="1"/>
  <c r="P104" i="29"/>
  <c r="BR104" i="30" s="1"/>
  <c r="P103" i="29"/>
  <c r="BR103" i="30" s="1"/>
  <c r="P102" i="29"/>
  <c r="BR102" i="30" s="1"/>
  <c r="P101" i="29"/>
  <c r="BR101" i="30" s="1"/>
  <c r="P100" i="29"/>
  <c r="BR100" i="30" s="1"/>
  <c r="P99" i="29"/>
  <c r="BR99" i="30" s="1"/>
  <c r="P98" i="29"/>
  <c r="BR98" i="30" s="1"/>
  <c r="P97" i="29"/>
  <c r="BR97" i="30" s="1"/>
  <c r="P96" i="29"/>
  <c r="BR96" i="30" s="1"/>
  <c r="P95" i="29"/>
  <c r="BR95" i="30" s="1"/>
  <c r="P94" i="29"/>
  <c r="BR94" i="30" s="1"/>
  <c r="P93" i="29"/>
  <c r="BR93" i="30" s="1"/>
  <c r="P92" i="29"/>
  <c r="BR92" i="30" s="1"/>
  <c r="P91" i="29"/>
  <c r="BR91" i="30" s="1"/>
  <c r="P90" i="29"/>
  <c r="BR90" i="30" s="1"/>
  <c r="P89" i="29"/>
  <c r="BR89" i="30" s="1"/>
  <c r="P88" i="29"/>
  <c r="BR88" i="30" s="1"/>
  <c r="P87" i="29"/>
  <c r="BR87" i="30" s="1"/>
  <c r="P86" i="29"/>
  <c r="BR86" i="30" s="1"/>
  <c r="P85" i="29"/>
  <c r="BR85" i="30" s="1"/>
  <c r="P84" i="29"/>
  <c r="BR84" i="30" s="1"/>
  <c r="P83" i="29"/>
  <c r="BR83" i="30" s="1"/>
  <c r="P82" i="29"/>
  <c r="BR82" i="30" s="1"/>
  <c r="P81" i="29"/>
  <c r="BR81" i="30" s="1"/>
  <c r="P80" i="29"/>
  <c r="BR80" i="30" s="1"/>
  <c r="P79" i="29"/>
  <c r="BR79" i="30" s="1"/>
  <c r="P78" i="29"/>
  <c r="BR78" i="30" s="1"/>
  <c r="P77" i="29"/>
  <c r="BR77" i="30" s="1"/>
  <c r="P76" i="29"/>
  <c r="BR76" i="30" s="1"/>
  <c r="P75" i="29"/>
  <c r="BR75" i="30" s="1"/>
  <c r="P74" i="29"/>
  <c r="BR74" i="30" s="1"/>
  <c r="P73" i="29"/>
  <c r="BR73" i="30" s="1"/>
  <c r="P72" i="29"/>
  <c r="BR72" i="30" s="1"/>
  <c r="P71" i="29"/>
  <c r="BR71" i="30" s="1"/>
  <c r="P70" i="29"/>
  <c r="BR70" i="30" s="1"/>
  <c r="P69" i="29"/>
  <c r="BR69" i="30" s="1"/>
  <c r="P68" i="29"/>
  <c r="BR68" i="30" s="1"/>
  <c r="P67" i="29"/>
  <c r="BR67" i="30" s="1"/>
  <c r="P66" i="29"/>
  <c r="BR66" i="30" s="1"/>
  <c r="P65" i="29"/>
  <c r="BR65" i="30" s="1"/>
  <c r="P64" i="29"/>
  <c r="BR64" i="30" s="1"/>
  <c r="P63" i="29"/>
  <c r="BR63" i="30" s="1"/>
  <c r="P62" i="29"/>
  <c r="BR62" i="30" s="1"/>
  <c r="P61" i="29"/>
  <c r="BR61" i="30" s="1"/>
  <c r="P60" i="29"/>
  <c r="BR60" i="30" s="1"/>
  <c r="P59" i="29"/>
  <c r="BR59" i="30" s="1"/>
  <c r="P58" i="29"/>
  <c r="BR58" i="30" s="1"/>
  <c r="P57" i="29"/>
  <c r="BR57" i="30" s="1"/>
  <c r="P56" i="29"/>
  <c r="BR56" i="30" s="1"/>
  <c r="P55" i="29"/>
  <c r="BR55" i="30" s="1"/>
  <c r="P54" i="29"/>
  <c r="BR54" i="30" s="1"/>
  <c r="P51" i="29"/>
  <c r="BR51" i="30" s="1"/>
  <c r="P49" i="29"/>
  <c r="BR49" i="30" s="1"/>
  <c r="P48" i="29"/>
  <c r="BR48" i="30" s="1"/>
  <c r="P47" i="29"/>
  <c r="BR47" i="30" s="1"/>
  <c r="P46" i="29"/>
  <c r="BR46" i="30" s="1"/>
  <c r="P45" i="29"/>
  <c r="BR45" i="30" s="1"/>
  <c r="P44" i="29"/>
  <c r="BR44" i="30" s="1"/>
  <c r="P43" i="29"/>
  <c r="BR43" i="30" s="1"/>
  <c r="P42" i="29"/>
  <c r="BR42" i="30" s="1"/>
  <c r="P41" i="29"/>
  <c r="BR41" i="30" s="1"/>
  <c r="P40" i="29"/>
  <c r="BR40" i="30" s="1"/>
  <c r="P39" i="29"/>
  <c r="P38" i="29"/>
  <c r="P37" i="29"/>
  <c r="P36" i="29"/>
  <c r="P35" i="29"/>
  <c r="P34" i="29"/>
  <c r="P33" i="29"/>
  <c r="P32" i="29"/>
  <c r="BR32" i="30" s="1"/>
  <c r="P31" i="29"/>
  <c r="BR31" i="30" s="1"/>
  <c r="P30" i="29"/>
  <c r="BR30" i="30" s="1"/>
  <c r="P29" i="29"/>
  <c r="BR29" i="30" s="1"/>
  <c r="P28" i="29"/>
  <c r="BR28" i="30" s="1"/>
  <c r="P27" i="29"/>
  <c r="BR27" i="30" s="1"/>
  <c r="P26" i="29"/>
  <c r="BR26" i="30" s="1"/>
  <c r="P25" i="29"/>
  <c r="BR25" i="30" s="1"/>
  <c r="P24" i="29"/>
  <c r="BR24" i="30" s="1"/>
  <c r="P23" i="29"/>
  <c r="BR23" i="30" s="1"/>
  <c r="P22" i="29"/>
  <c r="BR22" i="30" s="1"/>
  <c r="P21" i="29"/>
  <c r="BR21" i="30" s="1"/>
  <c r="P20" i="29"/>
  <c r="BR20" i="30" s="1"/>
  <c r="P19" i="29"/>
  <c r="BR19" i="30" s="1"/>
  <c r="P18" i="29"/>
  <c r="BR18" i="30" s="1"/>
  <c r="P17" i="29"/>
  <c r="BR17" i="30" s="1"/>
  <c r="P16" i="29"/>
  <c r="BR16" i="30" s="1"/>
  <c r="P15" i="29"/>
  <c r="BR15" i="30" s="1"/>
  <c r="P14" i="29"/>
  <c r="BR14" i="30" s="1"/>
  <c r="P13" i="29"/>
  <c r="BR13" i="30" s="1"/>
  <c r="P12" i="29"/>
  <c r="BR12" i="30" s="1"/>
  <c r="P11" i="29"/>
  <c r="BR11" i="30" s="1"/>
  <c r="P10" i="29"/>
  <c r="BR10" i="30" s="1"/>
  <c r="P9" i="29"/>
  <c r="BR9" i="30" s="1"/>
  <c r="P8" i="29"/>
  <c r="BR8" i="30" s="1"/>
  <c r="P7" i="29"/>
  <c r="BR7" i="30" s="1"/>
  <c r="P6" i="29"/>
  <c r="BR6" i="30" s="1"/>
  <c r="P5" i="29"/>
  <c r="BR5" i="30" s="1"/>
  <c r="P4" i="29"/>
  <c r="BR4" i="30" s="1"/>
  <c r="P3" i="29"/>
  <c r="BR3" i="30" s="1"/>
  <c r="P2" i="29"/>
  <c r="H243" i="29"/>
  <c r="BQ243" i="30" s="1"/>
  <c r="H244" i="29"/>
  <c r="BQ244" i="30" s="1"/>
  <c r="H245" i="29"/>
  <c r="BQ245" i="30" s="1"/>
  <c r="H246" i="29"/>
  <c r="BQ246" i="30" s="1"/>
  <c r="H247" i="29"/>
  <c r="BQ247" i="30" s="1"/>
  <c r="H248" i="29"/>
  <c r="BQ248" i="30" s="1"/>
  <c r="H249" i="29"/>
  <c r="BQ249" i="30" s="1"/>
  <c r="H250" i="29"/>
  <c r="BQ250" i="30" s="1"/>
  <c r="H251" i="29"/>
  <c r="BQ251" i="30" s="1"/>
  <c r="H252" i="29"/>
  <c r="BQ252" i="30" s="1"/>
  <c r="H253" i="29"/>
  <c r="BQ253" i="30" s="1"/>
  <c r="H254" i="29"/>
  <c r="BQ254" i="30" s="1"/>
  <c r="H255" i="29"/>
  <c r="BQ255" i="30" s="1"/>
  <c r="H256" i="29"/>
  <c r="BQ256" i="30" s="1"/>
  <c r="H257" i="29"/>
  <c r="BQ257" i="30" s="1"/>
  <c r="H258" i="29"/>
  <c r="BQ258" i="30" s="1"/>
  <c r="H259" i="29"/>
  <c r="BQ259" i="30" s="1"/>
  <c r="H260" i="29"/>
  <c r="BQ260" i="30" s="1"/>
  <c r="H261" i="29"/>
  <c r="BQ261" i="30" s="1"/>
  <c r="H262" i="29"/>
  <c r="BQ262" i="30" s="1"/>
  <c r="H263" i="29"/>
  <c r="BQ263" i="30" s="1"/>
  <c r="H264" i="29"/>
  <c r="BQ264" i="30" s="1"/>
  <c r="H265" i="29"/>
  <c r="BQ265" i="30" s="1"/>
  <c r="H266" i="29"/>
  <c r="BQ266" i="30" s="1"/>
  <c r="H267" i="29"/>
  <c r="BQ267" i="30" s="1"/>
  <c r="H268" i="29"/>
  <c r="BQ268" i="30" s="1"/>
  <c r="H269" i="29"/>
  <c r="BQ269" i="30" s="1"/>
  <c r="H270" i="29"/>
  <c r="BQ270" i="30" s="1"/>
  <c r="H271" i="29"/>
  <c r="BQ271" i="30" s="1"/>
  <c r="H272" i="29"/>
  <c r="BQ272" i="30" s="1"/>
  <c r="H273" i="29"/>
  <c r="BQ273" i="30" s="1"/>
  <c r="H274" i="29"/>
  <c r="BQ274" i="30" s="1"/>
  <c r="H275" i="29"/>
  <c r="BQ275" i="30" s="1"/>
  <c r="H276" i="29"/>
  <c r="BQ276" i="30" s="1"/>
  <c r="H277" i="29"/>
  <c r="BQ277" i="30" s="1"/>
  <c r="H278" i="29"/>
  <c r="BQ278" i="30" s="1"/>
  <c r="H279" i="29"/>
  <c r="BQ279" i="30" s="1"/>
  <c r="H280" i="29"/>
  <c r="BQ280" i="30" s="1"/>
  <c r="H281" i="29"/>
  <c r="BQ281" i="30" s="1"/>
  <c r="H282" i="29"/>
  <c r="BQ282" i="30" s="1"/>
  <c r="H283" i="29"/>
  <c r="BQ283" i="30" s="1"/>
  <c r="H284" i="29"/>
  <c r="BQ284" i="30" s="1"/>
  <c r="H285" i="29"/>
  <c r="BQ285" i="30" s="1"/>
  <c r="H286" i="29"/>
  <c r="BQ286" i="30" s="1"/>
  <c r="H287" i="29"/>
  <c r="BQ287" i="30" s="1"/>
  <c r="H288" i="29"/>
  <c r="BQ288" i="30" s="1"/>
  <c r="H289" i="29"/>
  <c r="BQ289" i="30" s="1"/>
  <c r="H290" i="29"/>
  <c r="BQ290" i="30" s="1"/>
  <c r="H291" i="29"/>
  <c r="BQ291" i="30" s="1"/>
  <c r="H292" i="29"/>
  <c r="BQ292" i="30" s="1"/>
  <c r="H293" i="29"/>
  <c r="BQ293" i="30" s="1"/>
  <c r="H294" i="29"/>
  <c r="BQ294" i="30" s="1"/>
  <c r="H295" i="29"/>
  <c r="BQ295" i="30" s="1"/>
  <c r="H296" i="29"/>
  <c r="BQ296" i="30" s="1"/>
  <c r="H297" i="29"/>
  <c r="BQ297" i="30" s="1"/>
  <c r="H298" i="29"/>
  <c r="BQ298" i="30" s="1"/>
  <c r="H299" i="29"/>
  <c r="BQ299" i="30" s="1"/>
  <c r="H300" i="29"/>
  <c r="BQ300" i="30" s="1"/>
  <c r="H301" i="29"/>
  <c r="BQ301" i="30" s="1"/>
  <c r="H302" i="29"/>
  <c r="BQ302" i="30" s="1"/>
  <c r="H303" i="29"/>
  <c r="BQ303" i="30" s="1"/>
  <c r="H304" i="29"/>
  <c r="BQ304" i="30" s="1"/>
  <c r="H305" i="29"/>
  <c r="BQ305" i="30" s="1"/>
  <c r="H306" i="29"/>
  <c r="BQ306" i="30" s="1"/>
  <c r="H307" i="29"/>
  <c r="BQ307" i="30" s="1"/>
  <c r="H308" i="29"/>
  <c r="BQ308" i="30" s="1"/>
  <c r="H309" i="29"/>
  <c r="BQ309" i="30" s="1"/>
  <c r="H310" i="29"/>
  <c r="BQ310" i="30" s="1"/>
  <c r="H311" i="29"/>
  <c r="BQ311" i="30" s="1"/>
  <c r="H312" i="29"/>
  <c r="BQ312" i="30" s="1"/>
  <c r="H313" i="29"/>
  <c r="BQ313" i="30" s="1"/>
  <c r="H314" i="29"/>
  <c r="BQ314" i="30" s="1"/>
  <c r="H315" i="29"/>
  <c r="BQ315" i="30" s="1"/>
  <c r="H316" i="29"/>
  <c r="BQ316" i="30" s="1"/>
  <c r="H317" i="29"/>
  <c r="BQ317" i="30" s="1"/>
  <c r="H318" i="29"/>
  <c r="BQ318" i="30" s="1"/>
  <c r="H319" i="29"/>
  <c r="BQ319" i="30" s="1"/>
  <c r="H320" i="29"/>
  <c r="BQ320" i="30" s="1"/>
  <c r="H321" i="29"/>
  <c r="BQ321" i="30" s="1"/>
  <c r="H322" i="29"/>
  <c r="BQ322" i="30" s="1"/>
  <c r="H323" i="29"/>
  <c r="BQ323" i="30" s="1"/>
  <c r="H324" i="29"/>
  <c r="BQ324" i="30" s="1"/>
  <c r="H325" i="29"/>
  <c r="BQ325" i="30" s="1"/>
  <c r="H326" i="29"/>
  <c r="BQ326" i="30" s="1"/>
  <c r="H327" i="29"/>
  <c r="BQ327" i="30" s="1"/>
  <c r="H328" i="29"/>
  <c r="BQ328" i="30" s="1"/>
  <c r="H329" i="29"/>
  <c r="BQ329" i="30" s="1"/>
  <c r="H330" i="29"/>
  <c r="BQ330" i="30" s="1"/>
  <c r="H331" i="29"/>
  <c r="BQ331" i="30" s="1"/>
  <c r="H332" i="29"/>
  <c r="BQ332" i="30" s="1"/>
  <c r="H333" i="29"/>
  <c r="BQ333" i="30" s="1"/>
  <c r="H334" i="29"/>
  <c r="BQ334" i="30" s="1"/>
  <c r="H335" i="29"/>
  <c r="BQ335" i="30" s="1"/>
  <c r="H336" i="29"/>
  <c r="BQ336" i="30" s="1"/>
  <c r="H337" i="29"/>
  <c r="BQ337" i="30" s="1"/>
  <c r="H338" i="29"/>
  <c r="BQ338" i="30" s="1"/>
  <c r="H339" i="29"/>
  <c r="BQ339" i="30" s="1"/>
  <c r="H340" i="29"/>
  <c r="BQ340" i="30" s="1"/>
  <c r="H341" i="29"/>
  <c r="BQ341" i="30" s="1"/>
  <c r="H342" i="29"/>
  <c r="BQ342" i="30" s="1"/>
  <c r="H343" i="29"/>
  <c r="BQ343" i="30" s="1"/>
  <c r="H344" i="29"/>
  <c r="BQ344" i="30" s="1"/>
  <c r="H345" i="29"/>
  <c r="BQ345" i="30" s="1"/>
  <c r="H346" i="29"/>
  <c r="BQ346" i="30" s="1"/>
  <c r="H347" i="29"/>
  <c r="BQ347" i="30" s="1"/>
  <c r="H348" i="29"/>
  <c r="BQ348" i="30" s="1"/>
  <c r="H349" i="29"/>
  <c r="BQ349" i="30" s="1"/>
  <c r="H350" i="29"/>
  <c r="BQ350" i="30" s="1"/>
  <c r="H351" i="29"/>
  <c r="BQ351" i="30" s="1"/>
  <c r="H352" i="29"/>
  <c r="BQ352" i="30" s="1"/>
  <c r="H353" i="29"/>
  <c r="BQ353" i="30" s="1"/>
  <c r="H354" i="29"/>
  <c r="BQ354" i="30" s="1"/>
  <c r="H355" i="29"/>
  <c r="BQ355" i="30" s="1"/>
  <c r="H356" i="29"/>
  <c r="BQ356" i="30" s="1"/>
  <c r="H357" i="29"/>
  <c r="BQ357" i="30" s="1"/>
  <c r="H358" i="29"/>
  <c r="BQ358" i="30" s="1"/>
  <c r="H359" i="29"/>
  <c r="BQ359" i="30" s="1"/>
  <c r="H360" i="29"/>
  <c r="BQ360" i="30" s="1"/>
  <c r="H361" i="29"/>
  <c r="BQ361" i="30" s="1"/>
  <c r="H362" i="29"/>
  <c r="BQ362" i="30" s="1"/>
  <c r="H363" i="29"/>
  <c r="BQ363" i="30" s="1"/>
  <c r="H364" i="29"/>
  <c r="BQ364" i="30" s="1"/>
  <c r="H365" i="29"/>
  <c r="BQ365" i="30" s="1"/>
  <c r="H366" i="29"/>
  <c r="BQ366" i="30" s="1"/>
  <c r="H367" i="29"/>
  <c r="BQ367" i="30" s="1"/>
  <c r="H368" i="29"/>
  <c r="BQ368" i="30" s="1"/>
  <c r="H369" i="29"/>
  <c r="BQ369" i="30" s="1"/>
  <c r="H370" i="29"/>
  <c r="BQ370" i="30" s="1"/>
  <c r="H371" i="29"/>
  <c r="BQ371" i="30" s="1"/>
  <c r="H372" i="29"/>
  <c r="BQ372" i="30" s="1"/>
  <c r="H373" i="29"/>
  <c r="BQ373" i="30" s="1"/>
  <c r="H374" i="29"/>
  <c r="BQ374" i="30" s="1"/>
  <c r="H375" i="29"/>
  <c r="BQ375" i="30" s="1"/>
  <c r="H376" i="29"/>
  <c r="BQ376" i="30" s="1"/>
  <c r="H377" i="29"/>
  <c r="BQ377" i="30" s="1"/>
  <c r="H378" i="29"/>
  <c r="BQ378" i="30" s="1"/>
  <c r="H379" i="29"/>
  <c r="BQ379" i="30" s="1"/>
  <c r="H380" i="29"/>
  <c r="BQ380" i="30" s="1"/>
  <c r="H381" i="29"/>
  <c r="BQ381" i="30" s="1"/>
  <c r="H382" i="29"/>
  <c r="BQ382" i="30" s="1"/>
  <c r="H383" i="29"/>
  <c r="BQ383" i="30" s="1"/>
  <c r="H384" i="29"/>
  <c r="BQ384" i="30" s="1"/>
  <c r="H385" i="29"/>
  <c r="BQ385" i="30" s="1"/>
  <c r="H386" i="29"/>
  <c r="BQ386" i="30" s="1"/>
  <c r="H387" i="29"/>
  <c r="BQ387" i="30" s="1"/>
  <c r="H388" i="29"/>
  <c r="BQ388" i="30" s="1"/>
  <c r="H389" i="29"/>
  <c r="BQ389" i="30" s="1"/>
  <c r="H390" i="29"/>
  <c r="BQ390" i="30" s="1"/>
  <c r="H391" i="29"/>
  <c r="BQ391" i="30" s="1"/>
  <c r="H392" i="29"/>
  <c r="BQ392" i="30" s="1"/>
  <c r="H393" i="29"/>
  <c r="BQ393" i="30" s="1"/>
  <c r="H394" i="29"/>
  <c r="BQ394" i="30" s="1"/>
  <c r="H395" i="29"/>
  <c r="BQ395" i="30" s="1"/>
  <c r="H396" i="29"/>
  <c r="BQ396" i="30" s="1"/>
  <c r="H397" i="29"/>
  <c r="BQ397" i="30" s="1"/>
  <c r="H398" i="29"/>
  <c r="BQ398" i="30" s="1"/>
  <c r="H399" i="29"/>
  <c r="BQ399" i="30" s="1"/>
  <c r="H400" i="29"/>
  <c r="BQ400" i="30" s="1"/>
  <c r="H401" i="29"/>
  <c r="BQ401" i="30" s="1"/>
  <c r="H402" i="29"/>
  <c r="BQ402" i="30" s="1"/>
  <c r="H403" i="29"/>
  <c r="BQ403" i="30" s="1"/>
  <c r="H404" i="29"/>
  <c r="BQ404" i="30" s="1"/>
  <c r="H405" i="29"/>
  <c r="BQ405" i="30" s="1"/>
  <c r="H406" i="29"/>
  <c r="BQ406" i="30" s="1"/>
  <c r="H407" i="29"/>
  <c r="BQ407" i="30" s="1"/>
  <c r="H408" i="29"/>
  <c r="BQ408" i="30" s="1"/>
  <c r="H409" i="29"/>
  <c r="BQ409" i="30" s="1"/>
  <c r="H410" i="29"/>
  <c r="BQ410" i="30" s="1"/>
  <c r="H411" i="29"/>
  <c r="BQ411" i="30" s="1"/>
  <c r="H412" i="29"/>
  <c r="BQ412" i="30" s="1"/>
  <c r="H413" i="29"/>
  <c r="BQ413" i="30" s="1"/>
  <c r="H414" i="29"/>
  <c r="BQ414" i="30" s="1"/>
  <c r="H415" i="29"/>
  <c r="BQ415" i="30" s="1"/>
  <c r="H416" i="29"/>
  <c r="BQ416" i="30" s="1"/>
  <c r="H417" i="29"/>
  <c r="BQ417" i="30" s="1"/>
  <c r="H418" i="29"/>
  <c r="BQ418" i="30" s="1"/>
  <c r="H419" i="29"/>
  <c r="BQ419" i="30" s="1"/>
  <c r="H420" i="29"/>
  <c r="BQ420" i="30" s="1"/>
  <c r="H421" i="29"/>
  <c r="BQ421" i="30" s="1"/>
  <c r="H422" i="29"/>
  <c r="BQ422" i="30" s="1"/>
  <c r="H423" i="29"/>
  <c r="BQ423" i="30" s="1"/>
  <c r="H424" i="29"/>
  <c r="BQ424" i="30" s="1"/>
  <c r="H425" i="29"/>
  <c r="BQ425" i="30" s="1"/>
  <c r="H426" i="29"/>
  <c r="BQ426" i="30" s="1"/>
  <c r="H427" i="29"/>
  <c r="BQ427" i="30" s="1"/>
  <c r="H428" i="29"/>
  <c r="BQ428" i="30" s="1"/>
  <c r="H429" i="29"/>
  <c r="BQ429" i="30" s="1"/>
  <c r="H430" i="29"/>
  <c r="BQ430" i="30" s="1"/>
  <c r="H242" i="29"/>
  <c r="BQ242" i="30" s="1"/>
  <c r="H55" i="29"/>
  <c r="BQ55" i="30" s="1"/>
  <c r="H56" i="29"/>
  <c r="BQ56" i="30" s="1"/>
  <c r="H57" i="29"/>
  <c r="BQ57" i="30" s="1"/>
  <c r="H58" i="29"/>
  <c r="BQ58" i="30" s="1"/>
  <c r="H59" i="29"/>
  <c r="BQ59" i="30" s="1"/>
  <c r="H60" i="29"/>
  <c r="BQ60" i="30" s="1"/>
  <c r="H61" i="29"/>
  <c r="BQ61" i="30" s="1"/>
  <c r="H62" i="29"/>
  <c r="BQ62" i="30" s="1"/>
  <c r="H63" i="29"/>
  <c r="BQ63" i="30" s="1"/>
  <c r="H64" i="29"/>
  <c r="BQ64" i="30" s="1"/>
  <c r="H65" i="29"/>
  <c r="BQ65" i="30" s="1"/>
  <c r="H66" i="29"/>
  <c r="BQ66" i="30" s="1"/>
  <c r="H67" i="29"/>
  <c r="BQ67" i="30" s="1"/>
  <c r="H68" i="29"/>
  <c r="BQ68" i="30" s="1"/>
  <c r="H69" i="29"/>
  <c r="BQ69" i="30" s="1"/>
  <c r="H70" i="29"/>
  <c r="BQ70" i="30" s="1"/>
  <c r="H71" i="29"/>
  <c r="BQ71" i="30" s="1"/>
  <c r="H72" i="29"/>
  <c r="BQ72" i="30" s="1"/>
  <c r="H73" i="29"/>
  <c r="BQ73" i="30" s="1"/>
  <c r="H74" i="29"/>
  <c r="BQ74" i="30" s="1"/>
  <c r="H75" i="29"/>
  <c r="BQ75" i="30" s="1"/>
  <c r="H76" i="29"/>
  <c r="BQ76" i="30" s="1"/>
  <c r="H77" i="29"/>
  <c r="BQ77" i="30" s="1"/>
  <c r="H78" i="29"/>
  <c r="BQ78" i="30" s="1"/>
  <c r="H79" i="29"/>
  <c r="BQ79" i="30" s="1"/>
  <c r="H80" i="29"/>
  <c r="BQ80" i="30" s="1"/>
  <c r="H81" i="29"/>
  <c r="BQ81" i="30" s="1"/>
  <c r="H82" i="29"/>
  <c r="BQ82" i="30" s="1"/>
  <c r="H83" i="29"/>
  <c r="BQ83" i="30" s="1"/>
  <c r="H84" i="29"/>
  <c r="BQ84" i="30" s="1"/>
  <c r="H85" i="29"/>
  <c r="BQ85" i="30" s="1"/>
  <c r="H86" i="29"/>
  <c r="BQ86" i="30" s="1"/>
  <c r="H87" i="29"/>
  <c r="BQ87" i="30" s="1"/>
  <c r="H88" i="29"/>
  <c r="BQ88" i="30" s="1"/>
  <c r="H89" i="29"/>
  <c r="BQ89" i="30" s="1"/>
  <c r="H90" i="29"/>
  <c r="BQ90" i="30" s="1"/>
  <c r="H91" i="29"/>
  <c r="BQ91" i="30" s="1"/>
  <c r="H92" i="29"/>
  <c r="BQ92" i="30" s="1"/>
  <c r="H93" i="29"/>
  <c r="BQ93" i="30" s="1"/>
  <c r="H94" i="29"/>
  <c r="BQ94" i="30" s="1"/>
  <c r="H95" i="29"/>
  <c r="BQ95" i="30" s="1"/>
  <c r="H96" i="29"/>
  <c r="BQ96" i="30" s="1"/>
  <c r="H97" i="29"/>
  <c r="BQ97" i="30" s="1"/>
  <c r="H98" i="29"/>
  <c r="BQ98" i="30" s="1"/>
  <c r="H99" i="29"/>
  <c r="BQ99" i="30" s="1"/>
  <c r="H100" i="29"/>
  <c r="BQ100" i="30" s="1"/>
  <c r="H101" i="29"/>
  <c r="BQ101" i="30" s="1"/>
  <c r="H102" i="29"/>
  <c r="BQ102" i="30" s="1"/>
  <c r="H103" i="29"/>
  <c r="BQ103" i="30" s="1"/>
  <c r="H104" i="29"/>
  <c r="BQ104" i="30" s="1"/>
  <c r="H105" i="29"/>
  <c r="BQ105" i="30" s="1"/>
  <c r="H106" i="29"/>
  <c r="BQ106" i="30" s="1"/>
  <c r="H107" i="29"/>
  <c r="BQ107" i="30" s="1"/>
  <c r="H108" i="29"/>
  <c r="BQ108" i="30" s="1"/>
  <c r="H109" i="29"/>
  <c r="BQ109" i="30" s="1"/>
  <c r="H110" i="29"/>
  <c r="BQ110" i="30" s="1"/>
  <c r="H111" i="29"/>
  <c r="BQ111" i="30" s="1"/>
  <c r="H112" i="29"/>
  <c r="BQ112" i="30" s="1"/>
  <c r="H113" i="29"/>
  <c r="BQ113" i="30" s="1"/>
  <c r="H114" i="29"/>
  <c r="BQ114" i="30" s="1"/>
  <c r="H115" i="29"/>
  <c r="BQ115" i="30" s="1"/>
  <c r="H116" i="29"/>
  <c r="BQ116" i="30" s="1"/>
  <c r="H117" i="29"/>
  <c r="BQ117" i="30" s="1"/>
  <c r="H118" i="29"/>
  <c r="BQ118" i="30" s="1"/>
  <c r="H119" i="29"/>
  <c r="BQ119" i="30" s="1"/>
  <c r="H120" i="29"/>
  <c r="BQ120" i="30" s="1"/>
  <c r="H121" i="29"/>
  <c r="BQ121" i="30" s="1"/>
  <c r="H122" i="29"/>
  <c r="BQ122" i="30" s="1"/>
  <c r="H123" i="29"/>
  <c r="BQ123" i="30" s="1"/>
  <c r="H124" i="29"/>
  <c r="BQ124" i="30" s="1"/>
  <c r="H125" i="29"/>
  <c r="BQ125" i="30" s="1"/>
  <c r="H126" i="29"/>
  <c r="BQ126" i="30" s="1"/>
  <c r="H127" i="29"/>
  <c r="BQ127" i="30" s="1"/>
  <c r="H128" i="29"/>
  <c r="BQ128" i="30" s="1"/>
  <c r="H129" i="29"/>
  <c r="BQ129" i="30" s="1"/>
  <c r="H130" i="29"/>
  <c r="BQ130" i="30" s="1"/>
  <c r="H131" i="29"/>
  <c r="BQ131" i="30" s="1"/>
  <c r="H132" i="29"/>
  <c r="BQ132" i="30" s="1"/>
  <c r="H133" i="29"/>
  <c r="BQ133" i="30" s="1"/>
  <c r="H134" i="29"/>
  <c r="BQ134" i="30" s="1"/>
  <c r="H135" i="29"/>
  <c r="BQ135" i="30" s="1"/>
  <c r="H136" i="29"/>
  <c r="BQ136" i="30" s="1"/>
  <c r="H137" i="29"/>
  <c r="BQ137" i="30" s="1"/>
  <c r="H138" i="29"/>
  <c r="BQ138" i="30" s="1"/>
  <c r="H139" i="29"/>
  <c r="BQ139" i="30" s="1"/>
  <c r="H140" i="29"/>
  <c r="BQ140" i="30" s="1"/>
  <c r="H141" i="29"/>
  <c r="BQ141" i="30" s="1"/>
  <c r="H142" i="29"/>
  <c r="BQ142" i="30" s="1"/>
  <c r="H143" i="29"/>
  <c r="BQ143" i="30" s="1"/>
  <c r="H144" i="29"/>
  <c r="BQ144" i="30" s="1"/>
  <c r="H145" i="29"/>
  <c r="BQ145" i="30" s="1"/>
  <c r="H146" i="29"/>
  <c r="BQ146" i="30" s="1"/>
  <c r="H147" i="29"/>
  <c r="BQ147" i="30" s="1"/>
  <c r="H148" i="29"/>
  <c r="BQ148" i="30" s="1"/>
  <c r="H149" i="29"/>
  <c r="BQ149" i="30" s="1"/>
  <c r="H150" i="29"/>
  <c r="BQ150" i="30" s="1"/>
  <c r="H151" i="29"/>
  <c r="BQ151" i="30" s="1"/>
  <c r="H152" i="29"/>
  <c r="BQ152" i="30" s="1"/>
  <c r="H153" i="29"/>
  <c r="BQ153" i="30" s="1"/>
  <c r="H154" i="29"/>
  <c r="BQ154" i="30" s="1"/>
  <c r="H155" i="29"/>
  <c r="BQ155" i="30" s="1"/>
  <c r="H156" i="29"/>
  <c r="BQ156" i="30" s="1"/>
  <c r="H157" i="29"/>
  <c r="BQ157" i="30" s="1"/>
  <c r="H158" i="29"/>
  <c r="BQ158" i="30" s="1"/>
  <c r="H159" i="29"/>
  <c r="BQ159" i="30" s="1"/>
  <c r="H160" i="29"/>
  <c r="BQ160" i="30" s="1"/>
  <c r="H161" i="29"/>
  <c r="BQ161" i="30" s="1"/>
  <c r="H162" i="29"/>
  <c r="BQ162" i="30" s="1"/>
  <c r="H163" i="29"/>
  <c r="BQ163" i="30" s="1"/>
  <c r="H164" i="29"/>
  <c r="BQ164" i="30" s="1"/>
  <c r="H165" i="29"/>
  <c r="BQ165" i="30" s="1"/>
  <c r="H166" i="29"/>
  <c r="BQ166" i="30" s="1"/>
  <c r="H167" i="29"/>
  <c r="BQ167" i="30" s="1"/>
  <c r="H54" i="29"/>
  <c r="BQ54" i="30" s="1"/>
  <c r="H51" i="29"/>
  <c r="BQ51" i="30" s="1"/>
  <c r="H3" i="29"/>
  <c r="H4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BQ33" i="30" s="1"/>
  <c r="H34" i="29"/>
  <c r="BQ34" i="30" s="1"/>
  <c r="H35" i="29"/>
  <c r="BQ35" i="30" s="1"/>
  <c r="H36" i="29"/>
  <c r="BQ36" i="30" s="1"/>
  <c r="H37" i="29"/>
  <c r="BQ37" i="30" s="1"/>
  <c r="H38" i="29"/>
  <c r="BQ38" i="30" s="1"/>
  <c r="H39" i="29"/>
  <c r="BQ39" i="30" s="1"/>
  <c r="H40" i="29"/>
  <c r="BQ40" i="30" s="1"/>
  <c r="H41" i="29"/>
  <c r="BQ41" i="30" s="1"/>
  <c r="H42" i="29"/>
  <c r="BQ42" i="30" s="1"/>
  <c r="H43" i="29"/>
  <c r="BQ43" i="30" s="1"/>
  <c r="H44" i="29"/>
  <c r="BQ44" i="30" s="1"/>
  <c r="H45" i="29"/>
  <c r="BQ45" i="30" s="1"/>
  <c r="H46" i="29"/>
  <c r="BQ46" i="30" s="1"/>
  <c r="H47" i="29"/>
  <c r="BQ47" i="30" s="1"/>
  <c r="H48" i="29"/>
  <c r="BQ48" i="30" s="1"/>
  <c r="H49" i="29"/>
  <c r="BQ49" i="30" s="1"/>
  <c r="H2" i="29"/>
  <c r="AF272" i="30" l="1"/>
  <c r="AF250" i="30"/>
  <c r="AF267" i="30"/>
  <c r="AF253" i="30"/>
  <c r="AF243" i="30"/>
  <c r="AF248" i="30"/>
  <c r="AF251" i="30"/>
  <c r="AF252" i="30"/>
  <c r="H91" i="20"/>
  <c r="H63" i="20"/>
  <c r="H31" i="20"/>
  <c r="H39" i="20"/>
  <c r="H2" i="20"/>
  <c r="H38" i="20"/>
  <c r="BW2" i="30"/>
  <c r="AA149" i="30"/>
  <c r="AK149" i="30" s="1"/>
  <c r="AA151" i="30"/>
  <c r="AK151" i="30" s="1"/>
  <c r="AA150" i="30"/>
  <c r="AK150" i="30" s="1"/>
  <c r="AA152" i="30"/>
  <c r="AK152" i="30" s="1"/>
  <c r="AA148" i="30"/>
  <c r="AK148" i="30" s="1"/>
  <c r="BX2" i="30"/>
  <c r="AA157" i="30"/>
  <c r="AK157" i="30" s="1"/>
  <c r="AA154" i="30"/>
  <c r="AK154" i="30" s="1"/>
  <c r="AA155" i="30"/>
  <c r="AK155" i="30" s="1"/>
  <c r="AA153" i="30"/>
  <c r="AK153" i="30" s="1"/>
  <c r="AA156" i="30"/>
  <c r="AK156" i="30" s="1"/>
  <c r="AA101" i="30"/>
  <c r="AK101" i="30" s="1"/>
  <c r="AA109" i="30"/>
  <c r="AK109" i="30" s="1"/>
  <c r="AA117" i="30"/>
  <c r="AK117" i="30" s="1"/>
  <c r="AA103" i="30"/>
  <c r="AK103" i="30" s="1"/>
  <c r="AA112" i="30"/>
  <c r="AK112" i="30" s="1"/>
  <c r="AA102" i="30"/>
  <c r="AK102" i="30" s="1"/>
  <c r="AA110" i="30"/>
  <c r="AK110" i="30" s="1"/>
  <c r="AA118" i="30"/>
  <c r="AK118" i="30" s="1"/>
  <c r="AA111" i="30"/>
  <c r="AK111" i="30" s="1"/>
  <c r="AA104" i="30"/>
  <c r="AK104" i="30" s="1"/>
  <c r="AA98" i="30"/>
  <c r="AK98" i="30" s="1"/>
  <c r="AA106" i="30"/>
  <c r="AK106" i="30" s="1"/>
  <c r="AA114" i="30"/>
  <c r="AK114" i="30" s="1"/>
  <c r="AA99" i="30"/>
  <c r="AK99" i="30" s="1"/>
  <c r="AA107" i="30"/>
  <c r="AK107" i="30" s="1"/>
  <c r="AA115" i="30"/>
  <c r="AK115" i="30" s="1"/>
  <c r="AA116" i="30"/>
  <c r="AK116" i="30" s="1"/>
  <c r="AA100" i="30"/>
  <c r="AK100" i="30" s="1"/>
  <c r="AA105" i="30"/>
  <c r="AK105" i="30" s="1"/>
  <c r="AA108" i="30"/>
  <c r="AK108" i="30" s="1"/>
  <c r="AA113" i="30"/>
  <c r="AK113" i="30" s="1"/>
  <c r="BR2" i="30"/>
  <c r="AA125" i="30"/>
  <c r="AK125" i="30" s="1"/>
  <c r="AA119" i="30"/>
  <c r="AK119" i="30" s="1"/>
  <c r="AA120" i="30"/>
  <c r="AK120" i="30" s="1"/>
  <c r="AA122" i="30"/>
  <c r="AK122" i="30" s="1"/>
  <c r="AA123" i="30"/>
  <c r="AK123" i="30" s="1"/>
  <c r="AA121" i="30"/>
  <c r="AK121" i="30" s="1"/>
  <c r="AA124" i="30"/>
  <c r="AK124" i="30" s="1"/>
  <c r="BS2" i="30"/>
  <c r="AA128" i="30"/>
  <c r="AK128" i="30" s="1"/>
  <c r="AA126" i="30"/>
  <c r="AK126" i="30" s="1"/>
  <c r="AA127" i="30"/>
  <c r="AK127" i="30" s="1"/>
  <c r="AA130" i="30"/>
  <c r="AK130" i="30" s="1"/>
  <c r="AA131" i="30"/>
  <c r="AK131" i="30" s="1"/>
  <c r="AA129" i="30"/>
  <c r="AK129" i="30" s="1"/>
  <c r="AA132" i="30"/>
  <c r="AK132" i="30" s="1"/>
  <c r="BU2" i="30"/>
  <c r="AA141" i="30"/>
  <c r="AK141" i="30" s="1"/>
  <c r="AA142" i="30"/>
  <c r="AK142" i="30" s="1"/>
  <c r="AA138" i="30"/>
  <c r="AK138" i="30" s="1"/>
  <c r="AA139" i="30"/>
  <c r="AK139" i="30" s="1"/>
  <c r="AA140" i="30"/>
  <c r="AK140" i="30" s="1"/>
  <c r="BZ2" i="30"/>
  <c r="AA165" i="30"/>
  <c r="AK165" i="30" s="1"/>
  <c r="AA166" i="30"/>
  <c r="AK166" i="30" s="1"/>
  <c r="AA163" i="30"/>
  <c r="AK163" i="30" s="1"/>
  <c r="AA164" i="30"/>
  <c r="AK164" i="30" s="1"/>
  <c r="BT2" i="30"/>
  <c r="AA133" i="30"/>
  <c r="AK133" i="30" s="1"/>
  <c r="AA135" i="30"/>
  <c r="AK135" i="30" s="1"/>
  <c r="AA134" i="30"/>
  <c r="AK134" i="30" s="1"/>
  <c r="AA136" i="30"/>
  <c r="AK136" i="30" s="1"/>
  <c r="AA137" i="30"/>
  <c r="AK137" i="30" s="1"/>
  <c r="BV2" i="30"/>
  <c r="AA144" i="30"/>
  <c r="AK144" i="30" s="1"/>
  <c r="AA143" i="30"/>
  <c r="AK143" i="30" s="1"/>
  <c r="AA146" i="30"/>
  <c r="AK146" i="30" s="1"/>
  <c r="AA147" i="30"/>
  <c r="AK147" i="30" s="1"/>
  <c r="AA145" i="30"/>
  <c r="AK145" i="30" s="1"/>
  <c r="BY2" i="30"/>
  <c r="AA160" i="30"/>
  <c r="AK160" i="30" s="1"/>
  <c r="AA158" i="30"/>
  <c r="AK158" i="30" s="1"/>
  <c r="AA159" i="30"/>
  <c r="AK159" i="30" s="1"/>
  <c r="AA162" i="30"/>
  <c r="AK162" i="30" s="1"/>
  <c r="AA161" i="30"/>
  <c r="AK161" i="30" s="1"/>
  <c r="BQ32" i="30"/>
  <c r="BQ2" i="30"/>
  <c r="BQ26" i="30"/>
  <c r="BQ18" i="30"/>
  <c r="BQ10" i="30"/>
  <c r="BR34" i="30"/>
  <c r="BS42" i="30"/>
  <c r="BT51" i="30"/>
  <c r="BV61" i="30"/>
  <c r="BX69" i="30"/>
  <c r="BZ77" i="30"/>
  <c r="BQ25" i="30"/>
  <c r="BQ17" i="30"/>
  <c r="BQ9" i="30"/>
  <c r="BR35" i="30"/>
  <c r="BS43" i="30"/>
  <c r="BU54" i="30"/>
  <c r="BW62" i="30"/>
  <c r="BX70" i="30"/>
  <c r="BZ78" i="30"/>
  <c r="BR36" i="30"/>
  <c r="BS44" i="30"/>
  <c r="BU55" i="30"/>
  <c r="BW63" i="30"/>
  <c r="BX71" i="30"/>
  <c r="BZ79" i="30"/>
  <c r="BQ8" i="30"/>
  <c r="BQ31" i="30"/>
  <c r="BQ23" i="30"/>
  <c r="BQ15" i="30"/>
  <c r="BQ7" i="30"/>
  <c r="BR37" i="30"/>
  <c r="BS45" i="30"/>
  <c r="BU56" i="30"/>
  <c r="BW64" i="30"/>
  <c r="BY72" i="30"/>
  <c r="BZ80" i="30"/>
  <c r="BQ30" i="30"/>
  <c r="BQ22" i="30"/>
  <c r="BQ14" i="30"/>
  <c r="BQ6" i="30"/>
  <c r="BR38" i="30"/>
  <c r="BS46" i="30"/>
  <c r="BV57" i="30"/>
  <c r="BW65" i="30"/>
  <c r="BY73" i="30"/>
  <c r="BZ81" i="30"/>
  <c r="BQ29" i="30"/>
  <c r="BQ21" i="30"/>
  <c r="BQ13" i="30"/>
  <c r="BQ5" i="30"/>
  <c r="BR39" i="30"/>
  <c r="BT47" i="30"/>
  <c r="BV58" i="30"/>
  <c r="BW66" i="30"/>
  <c r="BY74" i="30"/>
  <c r="BQ24" i="30"/>
  <c r="BQ28" i="30"/>
  <c r="BQ20" i="30"/>
  <c r="BQ12" i="30"/>
  <c r="BQ4" i="30"/>
  <c r="BS40" i="30"/>
  <c r="BT48" i="30"/>
  <c r="BV59" i="30"/>
  <c r="BX67" i="30"/>
  <c r="BY75" i="30"/>
  <c r="BQ16" i="30"/>
  <c r="BQ27" i="30"/>
  <c r="BQ19" i="30"/>
  <c r="BQ11" i="30"/>
  <c r="BQ3" i="30"/>
  <c r="BR33" i="30"/>
  <c r="BS41" i="30"/>
  <c r="BT49" i="30"/>
  <c r="BV60" i="30"/>
  <c r="BX68" i="30"/>
  <c r="BY76" i="30"/>
  <c r="C92" i="20"/>
  <c r="C64" i="20"/>
  <c r="C32" i="20"/>
  <c r="BZ430" i="29"/>
  <c r="BY430" i="29"/>
  <c r="BZ429" i="29"/>
  <c r="BY429" i="29"/>
  <c r="BZ428" i="29"/>
  <c r="BY428" i="29"/>
  <c r="BZ427" i="29"/>
  <c r="BY427" i="29"/>
  <c r="BZ426" i="29"/>
  <c r="BY426" i="29"/>
  <c r="BZ425" i="29"/>
  <c r="BY425" i="29"/>
  <c r="BZ424" i="29"/>
  <c r="BY424" i="29"/>
  <c r="BZ423" i="29"/>
  <c r="BY423" i="29"/>
  <c r="BZ422" i="29"/>
  <c r="BY422" i="29"/>
  <c r="BZ421" i="29"/>
  <c r="BY421" i="29"/>
  <c r="BZ420" i="29"/>
  <c r="BY420" i="29"/>
  <c r="BZ419" i="29"/>
  <c r="BY419" i="29"/>
  <c r="BZ418" i="29"/>
  <c r="BY418" i="29"/>
  <c r="BZ417" i="29"/>
  <c r="BY417" i="29"/>
  <c r="BZ416" i="29"/>
  <c r="BY416" i="29"/>
  <c r="BZ415" i="29"/>
  <c r="BY415" i="29"/>
  <c r="BZ414" i="29"/>
  <c r="BY414" i="29"/>
  <c r="BZ413" i="29"/>
  <c r="BY413" i="29"/>
  <c r="BZ412" i="29"/>
  <c r="BY412" i="29"/>
  <c r="BZ411" i="29"/>
  <c r="BY411" i="29"/>
  <c r="BZ410" i="29"/>
  <c r="BY410" i="29"/>
  <c r="BZ409" i="29"/>
  <c r="BY409" i="29"/>
  <c r="BZ408" i="29"/>
  <c r="BY408" i="29"/>
  <c r="BZ407" i="29"/>
  <c r="BY407" i="29"/>
  <c r="BZ406" i="29"/>
  <c r="BY406" i="29"/>
  <c r="BZ405" i="29"/>
  <c r="BY405" i="29"/>
  <c r="BZ404" i="29"/>
  <c r="BY404" i="29"/>
  <c r="BZ403" i="29"/>
  <c r="BY403" i="29"/>
  <c r="BZ402" i="29"/>
  <c r="BY402" i="29"/>
  <c r="BZ401" i="29"/>
  <c r="BY401" i="29"/>
  <c r="BZ400" i="29"/>
  <c r="BY400" i="29"/>
  <c r="BZ399" i="29"/>
  <c r="BY399" i="29"/>
  <c r="BZ398" i="29"/>
  <c r="BY398" i="29"/>
  <c r="BZ397" i="29"/>
  <c r="BY397" i="29"/>
  <c r="BZ396" i="29"/>
  <c r="BY396" i="29"/>
  <c r="BZ395" i="29"/>
  <c r="BY395" i="29"/>
  <c r="BZ394" i="29"/>
  <c r="BY394" i="29"/>
  <c r="BZ393" i="29"/>
  <c r="BY393" i="29"/>
  <c r="BZ392" i="29"/>
  <c r="BY392" i="29"/>
  <c r="BZ391" i="29"/>
  <c r="BY391" i="29"/>
  <c r="BZ390" i="29"/>
  <c r="BY390" i="29"/>
  <c r="BZ389" i="29"/>
  <c r="BY389" i="29"/>
  <c r="BZ388" i="29"/>
  <c r="BY388" i="29"/>
  <c r="BZ387" i="29"/>
  <c r="BY387" i="29"/>
  <c r="BZ386" i="29"/>
  <c r="BY386" i="29"/>
  <c r="BZ385" i="29"/>
  <c r="BY385" i="29"/>
  <c r="BZ384" i="29"/>
  <c r="BY384" i="29"/>
  <c r="BZ383" i="29"/>
  <c r="BY383" i="29"/>
  <c r="BZ382" i="29"/>
  <c r="BY382" i="29"/>
  <c r="BZ381" i="29"/>
  <c r="BY381" i="29"/>
  <c r="BZ380" i="29"/>
  <c r="BY380" i="29"/>
  <c r="BZ379" i="29"/>
  <c r="BY379" i="29"/>
  <c r="BZ378" i="29"/>
  <c r="BY378" i="29"/>
  <c r="BZ377" i="29"/>
  <c r="BY377" i="29"/>
  <c r="BZ376" i="29"/>
  <c r="BY376" i="29"/>
  <c r="BZ375" i="29"/>
  <c r="BY375" i="29"/>
  <c r="BZ374" i="29"/>
  <c r="BY374" i="29"/>
  <c r="BZ373" i="29"/>
  <c r="BY373" i="29"/>
  <c r="BZ372" i="29"/>
  <c r="BY372" i="29"/>
  <c r="BZ371" i="29"/>
  <c r="BY371" i="29"/>
  <c r="BZ370" i="29"/>
  <c r="BY370" i="29"/>
  <c r="BZ369" i="29"/>
  <c r="BY369" i="29"/>
  <c r="BZ368" i="29"/>
  <c r="BY368" i="29"/>
  <c r="BZ367" i="29"/>
  <c r="BY367" i="29"/>
  <c r="BZ366" i="29"/>
  <c r="BY366" i="29"/>
  <c r="BZ365" i="29"/>
  <c r="BY365" i="29"/>
  <c r="BZ364" i="29"/>
  <c r="BY364" i="29"/>
  <c r="BZ363" i="29"/>
  <c r="BY363" i="29"/>
  <c r="BZ362" i="29"/>
  <c r="BY362" i="29"/>
  <c r="BZ361" i="29"/>
  <c r="BY361" i="29"/>
  <c r="BZ360" i="29"/>
  <c r="BY360" i="29"/>
  <c r="BZ359" i="29"/>
  <c r="BY359" i="29"/>
  <c r="BZ358" i="29"/>
  <c r="BY358" i="29"/>
  <c r="BZ357" i="29"/>
  <c r="BY357" i="29"/>
  <c r="BZ356" i="29"/>
  <c r="BY356" i="29"/>
  <c r="BZ355" i="29"/>
  <c r="BY355" i="29"/>
  <c r="BZ354" i="29"/>
  <c r="BY354" i="29"/>
  <c r="BZ353" i="29"/>
  <c r="BY353" i="29"/>
  <c r="BZ352" i="29"/>
  <c r="BY352" i="29"/>
  <c r="BZ351" i="29"/>
  <c r="BY351" i="29"/>
  <c r="BZ350" i="29"/>
  <c r="BY350" i="29"/>
  <c r="BZ349" i="29"/>
  <c r="BY349" i="29"/>
  <c r="BZ348" i="29"/>
  <c r="BY348" i="29"/>
  <c r="BZ347" i="29"/>
  <c r="BY347" i="29"/>
  <c r="BZ346" i="29"/>
  <c r="BY346" i="29"/>
  <c r="BZ345" i="29"/>
  <c r="BY345" i="29"/>
  <c r="BZ344" i="29"/>
  <c r="BY344" i="29"/>
  <c r="BZ342" i="29"/>
  <c r="BY342" i="29"/>
  <c r="BZ341" i="29"/>
  <c r="BY341" i="29"/>
  <c r="BZ340" i="29"/>
  <c r="BY340" i="29"/>
  <c r="BZ339" i="29"/>
  <c r="BY339" i="29"/>
  <c r="BZ338" i="29"/>
  <c r="BY338" i="29"/>
  <c r="BZ336" i="29"/>
  <c r="BY336" i="29"/>
  <c r="BZ334" i="29"/>
  <c r="BY334" i="29"/>
  <c r="BZ330" i="29"/>
  <c r="BY330" i="29"/>
  <c r="BZ291" i="29"/>
  <c r="BY291" i="29"/>
  <c r="BZ287" i="29"/>
  <c r="BY287" i="29"/>
  <c r="BZ286" i="29"/>
  <c r="BY286" i="29"/>
  <c r="BZ285" i="29"/>
  <c r="BY285" i="29"/>
  <c r="BZ283" i="29"/>
  <c r="BY283" i="29"/>
  <c r="BZ282" i="29"/>
  <c r="BY282" i="29"/>
  <c r="BZ281" i="29"/>
  <c r="BY281" i="29"/>
  <c r="BZ280" i="29"/>
  <c r="BY280" i="29"/>
  <c r="BZ279" i="29"/>
  <c r="BY279" i="29"/>
  <c r="BZ278" i="29"/>
  <c r="BY278" i="29"/>
  <c r="BZ277" i="29"/>
  <c r="BY277" i="29"/>
  <c r="BZ276" i="29"/>
  <c r="BY276" i="29"/>
  <c r="BZ275" i="29"/>
  <c r="BY275" i="29"/>
  <c r="BZ274" i="29"/>
  <c r="BY274" i="29"/>
  <c r="BZ273" i="29"/>
  <c r="BY273" i="29"/>
  <c r="BZ272" i="29"/>
  <c r="BY272" i="29"/>
  <c r="BZ271" i="29"/>
  <c r="BY271" i="29"/>
  <c r="BZ270" i="29"/>
  <c r="BY270" i="29"/>
  <c r="BZ269" i="29"/>
  <c r="BY269" i="29"/>
  <c r="BZ268" i="29"/>
  <c r="BY268" i="29"/>
  <c r="BZ267" i="29"/>
  <c r="BY267" i="29"/>
  <c r="BZ266" i="29"/>
  <c r="BY266" i="29"/>
  <c r="BZ265" i="29"/>
  <c r="BY265" i="29"/>
  <c r="BZ264" i="29"/>
  <c r="BY264" i="29"/>
  <c r="BZ263" i="29"/>
  <c r="BY263" i="29"/>
  <c r="BZ262" i="29"/>
  <c r="BY262" i="29"/>
  <c r="BZ261" i="29"/>
  <c r="BY261" i="29"/>
  <c r="BZ260" i="29"/>
  <c r="BY260" i="29"/>
  <c r="BZ259" i="29"/>
  <c r="BY259" i="29"/>
  <c r="BZ258" i="29"/>
  <c r="BY258" i="29"/>
  <c r="BZ257" i="29"/>
  <c r="BY257" i="29"/>
  <c r="BZ256" i="29"/>
  <c r="BY256" i="29"/>
  <c r="BZ255" i="29"/>
  <c r="BY255" i="29"/>
  <c r="BZ254" i="29"/>
  <c r="BY254" i="29"/>
  <c r="BZ253" i="29"/>
  <c r="BY253" i="29"/>
  <c r="BZ252" i="29"/>
  <c r="BY252" i="29"/>
  <c r="BZ251" i="29"/>
  <c r="BY251" i="29"/>
  <c r="BZ250" i="29"/>
  <c r="BY250" i="29"/>
  <c r="BZ249" i="29"/>
  <c r="BY249" i="29"/>
  <c r="BZ248" i="29"/>
  <c r="BY248" i="29"/>
  <c r="BZ247" i="29"/>
  <c r="BY247" i="29"/>
  <c r="BZ246" i="29"/>
  <c r="BY246" i="29"/>
  <c r="BZ245" i="29"/>
  <c r="BY245" i="29"/>
  <c r="BZ244" i="29"/>
  <c r="BY244" i="29"/>
  <c r="BZ243" i="29"/>
  <c r="BY243" i="29"/>
  <c r="BZ242" i="29"/>
  <c r="BY242" i="29"/>
  <c r="BZ167" i="29"/>
  <c r="BY167" i="29"/>
  <c r="BZ166" i="29"/>
  <c r="BY166" i="29"/>
  <c r="BZ165" i="29"/>
  <c r="BY165" i="29"/>
  <c r="BZ164" i="29"/>
  <c r="BY164" i="29"/>
  <c r="BZ163" i="29"/>
  <c r="BY163" i="29"/>
  <c r="BZ162" i="29"/>
  <c r="BY162" i="29"/>
  <c r="BZ161" i="29"/>
  <c r="BY161" i="29"/>
  <c r="BZ160" i="29"/>
  <c r="BY160" i="29"/>
  <c r="BZ159" i="29"/>
  <c r="BY159" i="29"/>
  <c r="BZ158" i="29"/>
  <c r="BY158" i="29"/>
  <c r="BZ157" i="29"/>
  <c r="BY157" i="29"/>
  <c r="BZ156" i="29"/>
  <c r="BY156" i="29"/>
  <c r="BZ155" i="29"/>
  <c r="BY155" i="29"/>
  <c r="BZ154" i="29"/>
  <c r="BY154" i="29"/>
  <c r="BZ153" i="29"/>
  <c r="BY153" i="29"/>
  <c r="BZ152" i="29"/>
  <c r="BY152" i="29"/>
  <c r="BZ151" i="29"/>
  <c r="BY151" i="29"/>
  <c r="BZ150" i="29"/>
  <c r="BY150" i="29"/>
  <c r="BZ149" i="29"/>
  <c r="BY149" i="29"/>
  <c r="BZ148" i="29"/>
  <c r="BY148" i="29"/>
  <c r="BZ147" i="29"/>
  <c r="BY147" i="29"/>
  <c r="BZ146" i="29"/>
  <c r="BY146" i="29"/>
  <c r="BZ145" i="29"/>
  <c r="BY145" i="29"/>
  <c r="BZ144" i="29"/>
  <c r="BY144" i="29"/>
  <c r="BZ143" i="29"/>
  <c r="BY143" i="29"/>
  <c r="BZ142" i="29"/>
  <c r="BY142" i="29"/>
  <c r="BZ141" i="29"/>
  <c r="BY141" i="29"/>
  <c r="BZ140" i="29"/>
  <c r="BY140" i="29"/>
  <c r="BZ139" i="29"/>
  <c r="BY139" i="29"/>
  <c r="BZ138" i="29"/>
  <c r="BY138" i="29"/>
  <c r="BZ137" i="29"/>
  <c r="BY137" i="29"/>
  <c r="BZ136" i="29"/>
  <c r="BY136" i="29"/>
  <c r="BZ135" i="29"/>
  <c r="BY135" i="29"/>
  <c r="BZ134" i="29"/>
  <c r="BY134" i="29"/>
  <c r="BZ133" i="29"/>
  <c r="BY133" i="29"/>
  <c r="BZ132" i="29"/>
  <c r="BY132" i="29"/>
  <c r="BZ131" i="29"/>
  <c r="BY131" i="29"/>
  <c r="BZ130" i="29"/>
  <c r="BY130" i="29"/>
  <c r="BZ129" i="29"/>
  <c r="BY129" i="29"/>
  <c r="BZ128" i="29"/>
  <c r="BY128" i="29"/>
  <c r="BZ127" i="29"/>
  <c r="BY127" i="29"/>
  <c r="BZ126" i="29"/>
  <c r="BY126" i="29"/>
  <c r="BZ125" i="29"/>
  <c r="BY125" i="29"/>
  <c r="BZ124" i="29"/>
  <c r="BY124" i="29"/>
  <c r="BZ123" i="29"/>
  <c r="BY123" i="29"/>
  <c r="BZ122" i="29"/>
  <c r="BY122" i="29"/>
  <c r="BZ121" i="29"/>
  <c r="BY121" i="29"/>
  <c r="BZ120" i="29"/>
  <c r="BY120" i="29"/>
  <c r="BZ119" i="29"/>
  <c r="BY119" i="29"/>
  <c r="BZ118" i="29"/>
  <c r="BY118" i="29"/>
  <c r="BZ117" i="29"/>
  <c r="BY117" i="29"/>
  <c r="BZ116" i="29"/>
  <c r="BY116" i="29"/>
  <c r="BZ115" i="29"/>
  <c r="BY115" i="29"/>
  <c r="BZ114" i="29"/>
  <c r="BY114" i="29"/>
  <c r="BZ113" i="29"/>
  <c r="BY113" i="29"/>
  <c r="BZ112" i="29"/>
  <c r="BY112" i="29"/>
  <c r="BZ111" i="29"/>
  <c r="BY111" i="29"/>
  <c r="BZ110" i="29"/>
  <c r="BY110" i="29"/>
  <c r="BZ109" i="29"/>
  <c r="BY109" i="29"/>
  <c r="BZ108" i="29"/>
  <c r="BY108" i="29"/>
  <c r="BZ107" i="29"/>
  <c r="BY107" i="29"/>
  <c r="BZ106" i="29"/>
  <c r="BY106" i="29"/>
  <c r="BZ105" i="29"/>
  <c r="BY105" i="29"/>
  <c r="BZ104" i="29"/>
  <c r="BY104" i="29"/>
  <c r="BZ103" i="29"/>
  <c r="BY103" i="29"/>
  <c r="BZ101" i="29"/>
  <c r="BY101" i="29"/>
  <c r="BZ94" i="29"/>
  <c r="BY94" i="29"/>
  <c r="BZ75" i="29"/>
  <c r="BY75" i="29"/>
  <c r="BZ74" i="29"/>
  <c r="BY74" i="29"/>
  <c r="BZ72" i="29"/>
  <c r="BY72" i="29"/>
  <c r="BZ71" i="29"/>
  <c r="BY71" i="29"/>
  <c r="BZ70" i="29"/>
  <c r="BY70" i="29"/>
  <c r="BZ69" i="29"/>
  <c r="BY69" i="29"/>
  <c r="BZ68" i="29"/>
  <c r="BY68" i="29"/>
  <c r="BZ67" i="29"/>
  <c r="BY67" i="29"/>
  <c r="BZ66" i="29"/>
  <c r="BY66" i="29"/>
  <c r="BZ65" i="29"/>
  <c r="BY65" i="29"/>
  <c r="BZ64" i="29"/>
  <c r="BY64" i="29"/>
  <c r="BZ63" i="29"/>
  <c r="BY63" i="29"/>
  <c r="BZ62" i="29"/>
  <c r="BY62" i="29"/>
  <c r="BZ61" i="29"/>
  <c r="BY61" i="29"/>
  <c r="BZ60" i="29"/>
  <c r="BY60" i="29"/>
  <c r="BZ59" i="29"/>
  <c r="BY59" i="29"/>
  <c r="BZ58" i="29"/>
  <c r="BY58" i="29"/>
  <c r="BZ57" i="29"/>
  <c r="BY57" i="29"/>
  <c r="BZ56" i="29"/>
  <c r="BY56" i="29"/>
  <c r="BZ55" i="29"/>
  <c r="BY55" i="29"/>
  <c r="BZ54" i="29"/>
  <c r="BY54" i="29"/>
  <c r="BZ51" i="29"/>
  <c r="BY51" i="29"/>
  <c r="BZ49" i="29"/>
  <c r="BY49" i="29"/>
  <c r="BZ48" i="29"/>
  <c r="BY48" i="29"/>
  <c r="BZ47" i="29"/>
  <c r="BY47" i="29"/>
  <c r="BZ46" i="29"/>
  <c r="BY46" i="29"/>
  <c r="BZ45" i="29"/>
  <c r="BY45" i="29"/>
  <c r="BZ44" i="29"/>
  <c r="BY44" i="29"/>
  <c r="BZ43" i="29"/>
  <c r="BY43" i="29"/>
  <c r="BZ42" i="29"/>
  <c r="BY42" i="29"/>
  <c r="BZ41" i="29"/>
  <c r="BY41" i="29"/>
  <c r="BZ40" i="29"/>
  <c r="BY40" i="29"/>
  <c r="BZ39" i="29"/>
  <c r="BY39" i="29"/>
  <c r="BZ38" i="29"/>
  <c r="BY38" i="29"/>
  <c r="BZ37" i="29"/>
  <c r="BY37" i="29"/>
  <c r="BZ36" i="29"/>
  <c r="BY36" i="29"/>
  <c r="BZ35" i="29"/>
  <c r="BY35" i="29"/>
  <c r="BZ34" i="29"/>
  <c r="BY34" i="29"/>
  <c r="BZ33" i="29"/>
  <c r="BY33" i="29"/>
  <c r="BZ32" i="29"/>
  <c r="BY32" i="29"/>
  <c r="BZ31" i="29"/>
  <c r="BY31" i="29"/>
  <c r="BZ6" i="29"/>
  <c r="BY6" i="29"/>
  <c r="BZ5" i="29"/>
  <c r="BY5" i="29"/>
  <c r="BZ4" i="29"/>
  <c r="BY4" i="29"/>
  <c r="BZ3" i="29"/>
  <c r="BY3" i="29"/>
  <c r="BZ2" i="29"/>
  <c r="BY2" i="29"/>
  <c r="BR430" i="29"/>
  <c r="BQ430" i="29"/>
  <c r="BR429" i="29"/>
  <c r="BQ429" i="29"/>
  <c r="BR428" i="29"/>
  <c r="BQ428" i="29"/>
  <c r="BR427" i="29"/>
  <c r="BQ427" i="29"/>
  <c r="BR426" i="29"/>
  <c r="BQ426" i="29"/>
  <c r="BR425" i="29"/>
  <c r="BQ425" i="29"/>
  <c r="BR424" i="29"/>
  <c r="BQ424" i="29"/>
  <c r="BR423" i="29"/>
  <c r="BQ423" i="29"/>
  <c r="BR422" i="29"/>
  <c r="BQ422" i="29"/>
  <c r="BR421" i="29"/>
  <c r="BQ421" i="29"/>
  <c r="BR420" i="29"/>
  <c r="BQ420" i="29"/>
  <c r="BR419" i="29"/>
  <c r="BQ419" i="29"/>
  <c r="BR418" i="29"/>
  <c r="BQ418" i="29"/>
  <c r="BR417" i="29"/>
  <c r="BQ417" i="29"/>
  <c r="BR416" i="29"/>
  <c r="BQ416" i="29"/>
  <c r="BR415" i="29"/>
  <c r="BQ415" i="29"/>
  <c r="BR414" i="29"/>
  <c r="BQ414" i="29"/>
  <c r="BR413" i="29"/>
  <c r="BQ413" i="29"/>
  <c r="BR412" i="29"/>
  <c r="BQ412" i="29"/>
  <c r="BR411" i="29"/>
  <c r="BQ411" i="29"/>
  <c r="BR410" i="29"/>
  <c r="BQ410" i="29"/>
  <c r="BR409" i="29"/>
  <c r="BQ409" i="29"/>
  <c r="BR408" i="29"/>
  <c r="BQ408" i="29"/>
  <c r="BR407" i="29"/>
  <c r="BQ407" i="29"/>
  <c r="BR406" i="29"/>
  <c r="BQ406" i="29"/>
  <c r="BR405" i="29"/>
  <c r="BQ405" i="29"/>
  <c r="BR404" i="29"/>
  <c r="BQ404" i="29"/>
  <c r="BR403" i="29"/>
  <c r="BQ403" i="29"/>
  <c r="BR402" i="29"/>
  <c r="BQ402" i="29"/>
  <c r="BR401" i="29"/>
  <c r="BQ401" i="29"/>
  <c r="BR400" i="29"/>
  <c r="BQ400" i="29"/>
  <c r="BR399" i="29"/>
  <c r="BQ399" i="29"/>
  <c r="BR398" i="29"/>
  <c r="BQ398" i="29"/>
  <c r="BR397" i="29"/>
  <c r="BQ397" i="29"/>
  <c r="BR396" i="29"/>
  <c r="BQ396" i="29"/>
  <c r="BR395" i="29"/>
  <c r="BQ395" i="29"/>
  <c r="BR394" i="29"/>
  <c r="BQ394" i="29"/>
  <c r="BR393" i="29"/>
  <c r="BQ393" i="29"/>
  <c r="BR392" i="29"/>
  <c r="BQ392" i="29"/>
  <c r="BR391" i="29"/>
  <c r="BQ391" i="29"/>
  <c r="BR390" i="29"/>
  <c r="BQ390" i="29"/>
  <c r="BR389" i="29"/>
  <c r="BQ389" i="29"/>
  <c r="BR388" i="29"/>
  <c r="BQ388" i="29"/>
  <c r="BR387" i="29"/>
  <c r="BQ387" i="29"/>
  <c r="BR386" i="29"/>
  <c r="BQ386" i="29"/>
  <c r="BR385" i="29"/>
  <c r="BQ385" i="29"/>
  <c r="BR384" i="29"/>
  <c r="BQ384" i="29"/>
  <c r="BR383" i="29"/>
  <c r="BQ383" i="29"/>
  <c r="BR382" i="29"/>
  <c r="BQ382" i="29"/>
  <c r="BR381" i="29"/>
  <c r="BQ381" i="29"/>
  <c r="BR380" i="29"/>
  <c r="BQ380" i="29"/>
  <c r="BR379" i="29"/>
  <c r="BQ379" i="29"/>
  <c r="BR378" i="29"/>
  <c r="BQ378" i="29"/>
  <c r="BR377" i="29"/>
  <c r="BQ377" i="29"/>
  <c r="BR376" i="29"/>
  <c r="BQ376" i="29"/>
  <c r="BR375" i="29"/>
  <c r="BQ375" i="29"/>
  <c r="BR374" i="29"/>
  <c r="BQ374" i="29"/>
  <c r="BR373" i="29"/>
  <c r="BQ373" i="29"/>
  <c r="BR372" i="29"/>
  <c r="BQ372" i="29"/>
  <c r="BR371" i="29"/>
  <c r="BQ371" i="29"/>
  <c r="BR370" i="29"/>
  <c r="BQ370" i="29"/>
  <c r="BR369" i="29"/>
  <c r="BQ369" i="29"/>
  <c r="BR368" i="29"/>
  <c r="BQ368" i="29"/>
  <c r="BR367" i="29"/>
  <c r="BQ367" i="29"/>
  <c r="BR366" i="29"/>
  <c r="BQ366" i="29"/>
  <c r="BR365" i="29"/>
  <c r="BQ365" i="29"/>
  <c r="BR364" i="29"/>
  <c r="BQ364" i="29"/>
  <c r="BR363" i="29"/>
  <c r="BQ363" i="29"/>
  <c r="BR362" i="29"/>
  <c r="BQ362" i="29"/>
  <c r="BR361" i="29"/>
  <c r="BQ361" i="29"/>
  <c r="BR360" i="29"/>
  <c r="BQ360" i="29"/>
  <c r="BR359" i="29"/>
  <c r="BQ359" i="29"/>
  <c r="BR358" i="29"/>
  <c r="BQ358" i="29"/>
  <c r="BR357" i="29"/>
  <c r="BQ357" i="29"/>
  <c r="BR356" i="29"/>
  <c r="BQ356" i="29"/>
  <c r="BR355" i="29"/>
  <c r="BQ355" i="29"/>
  <c r="BR354" i="29"/>
  <c r="BQ354" i="29"/>
  <c r="BR353" i="29"/>
  <c r="BQ353" i="29"/>
  <c r="BR352" i="29"/>
  <c r="BQ352" i="29"/>
  <c r="BR351" i="29"/>
  <c r="BQ351" i="29"/>
  <c r="BR350" i="29"/>
  <c r="BQ350" i="29"/>
  <c r="BR349" i="29"/>
  <c r="BQ349" i="29"/>
  <c r="BR348" i="29"/>
  <c r="BQ348" i="29"/>
  <c r="BR347" i="29"/>
  <c r="BQ347" i="29"/>
  <c r="BR346" i="29"/>
  <c r="BQ346" i="29"/>
  <c r="BR345" i="29"/>
  <c r="BQ345" i="29"/>
  <c r="BR344" i="29"/>
  <c r="BQ344" i="29"/>
  <c r="BR342" i="29"/>
  <c r="BQ342" i="29"/>
  <c r="BR341" i="29"/>
  <c r="BQ341" i="29"/>
  <c r="BR339" i="29"/>
  <c r="BQ339" i="29"/>
  <c r="BR338" i="29"/>
  <c r="BQ338" i="29"/>
  <c r="BR336" i="29"/>
  <c r="BQ336" i="29"/>
  <c r="BR334" i="29"/>
  <c r="BQ334" i="29"/>
  <c r="BR291" i="29"/>
  <c r="BQ291" i="29"/>
  <c r="BR287" i="29"/>
  <c r="BQ287" i="29"/>
  <c r="BR286" i="29"/>
  <c r="BQ286" i="29"/>
  <c r="BR285" i="29"/>
  <c r="BQ285" i="29"/>
  <c r="BR283" i="29"/>
  <c r="BQ283" i="29"/>
  <c r="BR282" i="29"/>
  <c r="BQ282" i="29"/>
  <c r="BR281" i="29"/>
  <c r="BQ281" i="29"/>
  <c r="BR280" i="29"/>
  <c r="BQ280" i="29"/>
  <c r="BR279" i="29"/>
  <c r="BQ279" i="29"/>
  <c r="BR278" i="29"/>
  <c r="BQ278" i="29"/>
  <c r="BR277" i="29"/>
  <c r="BQ277" i="29"/>
  <c r="BR276" i="29"/>
  <c r="BQ276" i="29"/>
  <c r="BR275" i="29"/>
  <c r="BQ275" i="29"/>
  <c r="BR274" i="29"/>
  <c r="BQ274" i="29"/>
  <c r="BR273" i="29"/>
  <c r="BQ273" i="29"/>
  <c r="BR272" i="29"/>
  <c r="BQ272" i="29"/>
  <c r="BR271" i="29"/>
  <c r="BQ271" i="29"/>
  <c r="BR270" i="29"/>
  <c r="BQ270" i="29"/>
  <c r="BR269" i="29"/>
  <c r="BQ269" i="29"/>
  <c r="BR268" i="29"/>
  <c r="BQ268" i="29"/>
  <c r="BR267" i="29"/>
  <c r="BQ267" i="29"/>
  <c r="BR266" i="29"/>
  <c r="BQ266" i="29"/>
  <c r="BR265" i="29"/>
  <c r="BQ265" i="29"/>
  <c r="BR264" i="29"/>
  <c r="BQ264" i="29"/>
  <c r="BR263" i="29"/>
  <c r="BQ263" i="29"/>
  <c r="BR262" i="29"/>
  <c r="BQ262" i="29"/>
  <c r="BR261" i="29"/>
  <c r="BQ261" i="29"/>
  <c r="BR260" i="29"/>
  <c r="BQ260" i="29"/>
  <c r="BR259" i="29"/>
  <c r="BQ259" i="29"/>
  <c r="BR258" i="29"/>
  <c r="BQ258" i="29"/>
  <c r="BR257" i="29"/>
  <c r="BQ257" i="29"/>
  <c r="BR256" i="29"/>
  <c r="BQ256" i="29"/>
  <c r="BR255" i="29"/>
  <c r="BQ255" i="29"/>
  <c r="BR254" i="29"/>
  <c r="BQ254" i="29"/>
  <c r="BR253" i="29"/>
  <c r="BQ253" i="29"/>
  <c r="BR252" i="29"/>
  <c r="BQ252" i="29"/>
  <c r="BR251" i="29"/>
  <c r="BQ251" i="29"/>
  <c r="BR250" i="29"/>
  <c r="BQ250" i="29"/>
  <c r="BR249" i="29"/>
  <c r="BQ249" i="29"/>
  <c r="BR248" i="29"/>
  <c r="BQ248" i="29"/>
  <c r="BR247" i="29"/>
  <c r="BQ247" i="29"/>
  <c r="BR246" i="29"/>
  <c r="BQ246" i="29"/>
  <c r="BR245" i="29"/>
  <c r="BQ245" i="29"/>
  <c r="BR244" i="29"/>
  <c r="BQ244" i="29"/>
  <c r="BR243" i="29"/>
  <c r="BQ243" i="29"/>
  <c r="BR242" i="29"/>
  <c r="BQ242" i="29"/>
  <c r="BR167" i="29"/>
  <c r="BQ167" i="29"/>
  <c r="BR166" i="29"/>
  <c r="BQ166" i="29"/>
  <c r="BR165" i="29"/>
  <c r="BQ165" i="29"/>
  <c r="BR164" i="29"/>
  <c r="BQ164" i="29"/>
  <c r="BR163" i="29"/>
  <c r="BQ163" i="29"/>
  <c r="BR162" i="29"/>
  <c r="BQ162" i="29"/>
  <c r="BR161" i="29"/>
  <c r="BQ161" i="29"/>
  <c r="BR160" i="29"/>
  <c r="BQ160" i="29"/>
  <c r="BR159" i="29"/>
  <c r="BQ159" i="29"/>
  <c r="BR158" i="29"/>
  <c r="BQ158" i="29"/>
  <c r="BR157" i="29"/>
  <c r="BQ157" i="29"/>
  <c r="BR156" i="29"/>
  <c r="BQ156" i="29"/>
  <c r="BR155" i="29"/>
  <c r="BQ155" i="29"/>
  <c r="BR154" i="29"/>
  <c r="BQ154" i="29"/>
  <c r="BR153" i="29"/>
  <c r="BQ153" i="29"/>
  <c r="BR152" i="29"/>
  <c r="BQ152" i="29"/>
  <c r="BR151" i="29"/>
  <c r="BQ151" i="29"/>
  <c r="BR150" i="29"/>
  <c r="BQ150" i="29"/>
  <c r="BR149" i="29"/>
  <c r="BQ149" i="29"/>
  <c r="BR148" i="29"/>
  <c r="BQ148" i="29"/>
  <c r="BR147" i="29"/>
  <c r="BQ147" i="29"/>
  <c r="BR146" i="29"/>
  <c r="BQ146" i="29"/>
  <c r="BR145" i="29"/>
  <c r="BQ145" i="29"/>
  <c r="BR144" i="29"/>
  <c r="BQ144" i="29"/>
  <c r="BR143" i="29"/>
  <c r="BQ143" i="29"/>
  <c r="BR142" i="29"/>
  <c r="BQ142" i="29"/>
  <c r="BR141" i="29"/>
  <c r="BQ141" i="29"/>
  <c r="BR140" i="29"/>
  <c r="BQ140" i="29"/>
  <c r="BR139" i="29"/>
  <c r="BQ139" i="29"/>
  <c r="BR138" i="29"/>
  <c r="BQ138" i="29"/>
  <c r="BR137" i="29"/>
  <c r="BQ137" i="29"/>
  <c r="BR136" i="29"/>
  <c r="BQ136" i="29"/>
  <c r="BR135" i="29"/>
  <c r="BQ135" i="29"/>
  <c r="BR134" i="29"/>
  <c r="BQ134" i="29"/>
  <c r="BR133" i="29"/>
  <c r="BQ133" i="29"/>
  <c r="BR132" i="29"/>
  <c r="BQ132" i="29"/>
  <c r="BR131" i="29"/>
  <c r="BQ131" i="29"/>
  <c r="BR130" i="29"/>
  <c r="BQ130" i="29"/>
  <c r="BR129" i="29"/>
  <c r="BQ129" i="29"/>
  <c r="BR128" i="29"/>
  <c r="BQ128" i="29"/>
  <c r="BR127" i="29"/>
  <c r="BQ127" i="29"/>
  <c r="BR126" i="29"/>
  <c r="BQ126" i="29"/>
  <c r="BR125" i="29"/>
  <c r="BQ125" i="29"/>
  <c r="BR124" i="29"/>
  <c r="BQ124" i="29"/>
  <c r="BR123" i="29"/>
  <c r="BQ123" i="29"/>
  <c r="BR122" i="29"/>
  <c r="BQ122" i="29"/>
  <c r="BR121" i="29"/>
  <c r="BQ121" i="29"/>
  <c r="BR120" i="29"/>
  <c r="BQ120" i="29"/>
  <c r="BR119" i="29"/>
  <c r="BQ119" i="29"/>
  <c r="BR118" i="29"/>
  <c r="BQ118" i="29"/>
  <c r="BR117" i="29"/>
  <c r="BQ117" i="29"/>
  <c r="BR116" i="29"/>
  <c r="BQ116" i="29"/>
  <c r="BR115" i="29"/>
  <c r="BQ115" i="29"/>
  <c r="BR114" i="29"/>
  <c r="BQ114" i="29"/>
  <c r="BR113" i="29"/>
  <c r="BQ113" i="29"/>
  <c r="BR112" i="29"/>
  <c r="BQ112" i="29"/>
  <c r="BR111" i="29"/>
  <c r="BQ111" i="29"/>
  <c r="BR110" i="29"/>
  <c r="BQ110" i="29"/>
  <c r="BR109" i="29"/>
  <c r="BQ109" i="29"/>
  <c r="BR108" i="29"/>
  <c r="BQ108" i="29"/>
  <c r="BR107" i="29"/>
  <c r="BQ107" i="29"/>
  <c r="BR106" i="29"/>
  <c r="BQ106" i="29"/>
  <c r="BR105" i="29"/>
  <c r="BQ105" i="29"/>
  <c r="BR104" i="29"/>
  <c r="BQ104" i="29"/>
  <c r="BR101" i="29"/>
  <c r="BQ101" i="29"/>
  <c r="BR94" i="29"/>
  <c r="BQ94" i="29"/>
  <c r="BR74" i="29"/>
  <c r="BQ74" i="29"/>
  <c r="BR72" i="29"/>
  <c r="BQ72" i="29"/>
  <c r="BR71" i="29"/>
  <c r="BQ71" i="29"/>
  <c r="BR70" i="29"/>
  <c r="BQ70" i="29"/>
  <c r="BR69" i="29"/>
  <c r="BQ69" i="29"/>
  <c r="BR68" i="29"/>
  <c r="BQ68" i="29"/>
  <c r="BR67" i="29"/>
  <c r="BQ67" i="29"/>
  <c r="BR66" i="29"/>
  <c r="BQ66" i="29"/>
  <c r="BR65" i="29"/>
  <c r="BQ65" i="29"/>
  <c r="BR64" i="29"/>
  <c r="BQ64" i="29"/>
  <c r="BR63" i="29"/>
  <c r="BQ63" i="29"/>
  <c r="BR62" i="29"/>
  <c r="BQ62" i="29"/>
  <c r="BR61" i="29"/>
  <c r="BQ61" i="29"/>
  <c r="BR60" i="29"/>
  <c r="BQ60" i="29"/>
  <c r="BR59" i="29"/>
  <c r="BQ59" i="29"/>
  <c r="BR58" i="29"/>
  <c r="BQ58" i="29"/>
  <c r="BR57" i="29"/>
  <c r="BQ57" i="29"/>
  <c r="BR56" i="29"/>
  <c r="BQ56" i="29"/>
  <c r="BR55" i="29"/>
  <c r="BQ55" i="29"/>
  <c r="BR54" i="29"/>
  <c r="BQ54" i="29"/>
  <c r="BR51" i="29"/>
  <c r="BQ51" i="29"/>
  <c r="BR49" i="29"/>
  <c r="BQ49" i="29"/>
  <c r="BR48" i="29"/>
  <c r="BQ48" i="29"/>
  <c r="BR47" i="29"/>
  <c r="BQ47" i="29"/>
  <c r="BR46" i="29"/>
  <c r="BQ46" i="29"/>
  <c r="BR45" i="29"/>
  <c r="BQ45" i="29"/>
  <c r="BR44" i="29"/>
  <c r="BQ44" i="29"/>
  <c r="BR43" i="29"/>
  <c r="BQ43" i="29"/>
  <c r="BR42" i="29"/>
  <c r="BQ42" i="29"/>
  <c r="BR41" i="29"/>
  <c r="BQ41" i="29"/>
  <c r="BR40" i="29"/>
  <c r="BQ40" i="29"/>
  <c r="BR39" i="29"/>
  <c r="BQ39" i="29"/>
  <c r="BR38" i="29"/>
  <c r="BQ38" i="29"/>
  <c r="BR37" i="29"/>
  <c r="BQ37" i="29"/>
  <c r="BR36" i="29"/>
  <c r="BQ36" i="29"/>
  <c r="BR35" i="29"/>
  <c r="BQ35" i="29"/>
  <c r="BR34" i="29"/>
  <c r="BQ34" i="29"/>
  <c r="BR33" i="29"/>
  <c r="BQ33" i="29"/>
  <c r="BR32" i="29"/>
  <c r="BQ32" i="29"/>
  <c r="BR31" i="29"/>
  <c r="BQ31" i="29"/>
  <c r="BR5" i="29"/>
  <c r="BQ5" i="29"/>
  <c r="BR4" i="29"/>
  <c r="BQ4" i="29"/>
  <c r="BR3" i="29"/>
  <c r="BQ3" i="29"/>
  <c r="BR2" i="29"/>
  <c r="BQ2" i="29"/>
  <c r="BJ430" i="29"/>
  <c r="BI430" i="29"/>
  <c r="BJ429" i="29"/>
  <c r="BI429" i="29"/>
  <c r="BJ428" i="29"/>
  <c r="BI428" i="29"/>
  <c r="BJ427" i="29"/>
  <c r="BI427" i="29"/>
  <c r="BJ426" i="29"/>
  <c r="BI426" i="29"/>
  <c r="BJ425" i="29"/>
  <c r="BI425" i="29"/>
  <c r="BJ424" i="29"/>
  <c r="BI424" i="29"/>
  <c r="BJ423" i="29"/>
  <c r="BI423" i="29"/>
  <c r="BJ422" i="29"/>
  <c r="BI422" i="29"/>
  <c r="BJ421" i="29"/>
  <c r="BI421" i="29"/>
  <c r="BJ420" i="29"/>
  <c r="BI420" i="29"/>
  <c r="BJ419" i="29"/>
  <c r="BI419" i="29"/>
  <c r="BJ418" i="29"/>
  <c r="BI418" i="29"/>
  <c r="BJ417" i="29"/>
  <c r="BI417" i="29"/>
  <c r="BJ416" i="29"/>
  <c r="BI416" i="29"/>
  <c r="BJ415" i="29"/>
  <c r="BI415" i="29"/>
  <c r="BJ414" i="29"/>
  <c r="BI414" i="29"/>
  <c r="BJ413" i="29"/>
  <c r="BI413" i="29"/>
  <c r="BJ412" i="29"/>
  <c r="BI412" i="29"/>
  <c r="BJ411" i="29"/>
  <c r="BI411" i="29"/>
  <c r="BJ410" i="29"/>
  <c r="BI410" i="29"/>
  <c r="BJ409" i="29"/>
  <c r="BI409" i="29"/>
  <c r="BJ408" i="29"/>
  <c r="BI408" i="29"/>
  <c r="BJ407" i="29"/>
  <c r="BI407" i="29"/>
  <c r="BJ406" i="29"/>
  <c r="BI406" i="29"/>
  <c r="BJ405" i="29"/>
  <c r="BI405" i="29"/>
  <c r="BJ404" i="29"/>
  <c r="BI404" i="29"/>
  <c r="BJ403" i="29"/>
  <c r="BI403" i="29"/>
  <c r="BJ402" i="29"/>
  <c r="BI402" i="29"/>
  <c r="BJ401" i="29"/>
  <c r="BI401" i="29"/>
  <c r="BJ400" i="29"/>
  <c r="BI400" i="29"/>
  <c r="BJ399" i="29"/>
  <c r="BI399" i="29"/>
  <c r="BJ398" i="29"/>
  <c r="BI398" i="29"/>
  <c r="BJ397" i="29"/>
  <c r="BI397" i="29"/>
  <c r="BJ396" i="29"/>
  <c r="BI396" i="29"/>
  <c r="BJ395" i="29"/>
  <c r="BI395" i="29"/>
  <c r="BJ394" i="29"/>
  <c r="BI394" i="29"/>
  <c r="BJ393" i="29"/>
  <c r="BI393" i="29"/>
  <c r="BJ392" i="29"/>
  <c r="BI392" i="29"/>
  <c r="BJ391" i="29"/>
  <c r="BI391" i="29"/>
  <c r="BJ390" i="29"/>
  <c r="BI390" i="29"/>
  <c r="BJ389" i="29"/>
  <c r="BI389" i="29"/>
  <c r="BJ388" i="29"/>
  <c r="BI388" i="29"/>
  <c r="BJ387" i="29"/>
  <c r="BI387" i="29"/>
  <c r="BJ386" i="29"/>
  <c r="BI386" i="29"/>
  <c r="BJ385" i="29"/>
  <c r="BI385" i="29"/>
  <c r="BJ384" i="29"/>
  <c r="BI384" i="29"/>
  <c r="BJ383" i="29"/>
  <c r="BI383" i="29"/>
  <c r="BJ382" i="29"/>
  <c r="BI382" i="29"/>
  <c r="BJ381" i="29"/>
  <c r="BI381" i="29"/>
  <c r="BJ380" i="29"/>
  <c r="BI380" i="29"/>
  <c r="BJ379" i="29"/>
  <c r="BI379" i="29"/>
  <c r="BJ378" i="29"/>
  <c r="BI378" i="29"/>
  <c r="BJ377" i="29"/>
  <c r="BI377" i="29"/>
  <c r="BJ376" i="29"/>
  <c r="BI376" i="29"/>
  <c r="BJ375" i="29"/>
  <c r="BI375" i="29"/>
  <c r="BJ374" i="29"/>
  <c r="BI374" i="29"/>
  <c r="BJ373" i="29"/>
  <c r="BI373" i="29"/>
  <c r="BJ372" i="29"/>
  <c r="BI372" i="29"/>
  <c r="BJ371" i="29"/>
  <c r="BI371" i="29"/>
  <c r="BJ370" i="29"/>
  <c r="BI370" i="29"/>
  <c r="BJ369" i="29"/>
  <c r="BI369" i="29"/>
  <c r="BJ368" i="29"/>
  <c r="BI368" i="29"/>
  <c r="BJ367" i="29"/>
  <c r="BI367" i="29"/>
  <c r="BJ366" i="29"/>
  <c r="BI366" i="29"/>
  <c r="BJ365" i="29"/>
  <c r="BI365" i="29"/>
  <c r="BJ364" i="29"/>
  <c r="BI364" i="29"/>
  <c r="BJ363" i="29"/>
  <c r="BI363" i="29"/>
  <c r="BJ362" i="29"/>
  <c r="BI362" i="29"/>
  <c r="BJ361" i="29"/>
  <c r="BI361" i="29"/>
  <c r="BJ360" i="29"/>
  <c r="BI360" i="29"/>
  <c r="BJ359" i="29"/>
  <c r="BI359" i="29"/>
  <c r="BJ358" i="29"/>
  <c r="BI358" i="29"/>
  <c r="BJ357" i="29"/>
  <c r="BI357" i="29"/>
  <c r="BJ356" i="29"/>
  <c r="BI356" i="29"/>
  <c r="BJ355" i="29"/>
  <c r="BI355" i="29"/>
  <c r="BJ354" i="29"/>
  <c r="BI354" i="29"/>
  <c r="BJ353" i="29"/>
  <c r="BI353" i="29"/>
  <c r="BJ352" i="29"/>
  <c r="BI352" i="29"/>
  <c r="BJ351" i="29"/>
  <c r="BI351" i="29"/>
  <c r="BJ350" i="29"/>
  <c r="BI350" i="29"/>
  <c r="BJ349" i="29"/>
  <c r="BI349" i="29"/>
  <c r="BJ348" i="29"/>
  <c r="BI348" i="29"/>
  <c r="BJ347" i="29"/>
  <c r="BI347" i="29"/>
  <c r="BJ346" i="29"/>
  <c r="BI346" i="29"/>
  <c r="BJ345" i="29"/>
  <c r="BI345" i="29"/>
  <c r="BJ344" i="29"/>
  <c r="BI344" i="29"/>
  <c r="BJ342" i="29"/>
  <c r="BI342" i="29"/>
  <c r="BJ339" i="29"/>
  <c r="BI339" i="29"/>
  <c r="BJ336" i="29"/>
  <c r="BI336" i="29"/>
  <c r="BJ291" i="29"/>
  <c r="BI291" i="29"/>
  <c r="BJ286" i="29"/>
  <c r="BI286" i="29"/>
  <c r="BJ282" i="29"/>
  <c r="BI282" i="29"/>
  <c r="BJ280" i="29"/>
  <c r="BI280" i="29"/>
  <c r="BJ279" i="29"/>
  <c r="BI279" i="29"/>
  <c r="BJ278" i="29"/>
  <c r="BI278" i="29"/>
  <c r="BJ277" i="29"/>
  <c r="BI277" i="29"/>
  <c r="BJ276" i="29"/>
  <c r="BI276" i="29"/>
  <c r="BJ275" i="29"/>
  <c r="BI275" i="29"/>
  <c r="BJ274" i="29"/>
  <c r="BI274" i="29"/>
  <c r="BJ273" i="29"/>
  <c r="BI273" i="29"/>
  <c r="BJ272" i="29"/>
  <c r="BI272" i="29"/>
  <c r="BJ271" i="29"/>
  <c r="BI271" i="29"/>
  <c r="BJ270" i="29"/>
  <c r="BI270" i="29"/>
  <c r="BJ269" i="29"/>
  <c r="BI269" i="29"/>
  <c r="BJ268" i="29"/>
  <c r="BI268" i="29"/>
  <c r="BJ267" i="29"/>
  <c r="BI267" i="29"/>
  <c r="BJ266" i="29"/>
  <c r="BI266" i="29"/>
  <c r="BJ265" i="29"/>
  <c r="BI265" i="29"/>
  <c r="BJ264" i="29"/>
  <c r="BI264" i="29"/>
  <c r="BJ263" i="29"/>
  <c r="BI263" i="29"/>
  <c r="BJ262" i="29"/>
  <c r="BI262" i="29"/>
  <c r="BJ261" i="29"/>
  <c r="BI261" i="29"/>
  <c r="BJ260" i="29"/>
  <c r="BI260" i="29"/>
  <c r="BJ259" i="29"/>
  <c r="BI259" i="29"/>
  <c r="BJ258" i="29"/>
  <c r="BI258" i="29"/>
  <c r="BJ257" i="29"/>
  <c r="BI257" i="29"/>
  <c r="BJ256" i="29"/>
  <c r="BI256" i="29"/>
  <c r="BJ255" i="29"/>
  <c r="BI255" i="29"/>
  <c r="BJ254" i="29"/>
  <c r="BI254" i="29"/>
  <c r="BJ253" i="29"/>
  <c r="BI253" i="29"/>
  <c r="BJ252" i="29"/>
  <c r="BI252" i="29"/>
  <c r="BJ251" i="29"/>
  <c r="BI251" i="29"/>
  <c r="BJ250" i="29"/>
  <c r="BI250" i="29"/>
  <c r="BJ249" i="29"/>
  <c r="BI249" i="29"/>
  <c r="BJ248" i="29"/>
  <c r="BI248" i="29"/>
  <c r="BJ247" i="29"/>
  <c r="BI247" i="29"/>
  <c r="BJ246" i="29"/>
  <c r="BI246" i="29"/>
  <c r="BJ245" i="29"/>
  <c r="BI245" i="29"/>
  <c r="BJ244" i="29"/>
  <c r="BI244" i="29"/>
  <c r="BJ243" i="29"/>
  <c r="BI243" i="29"/>
  <c r="BJ242" i="29"/>
  <c r="BI242" i="29"/>
  <c r="BJ167" i="29"/>
  <c r="BI167" i="29"/>
  <c r="BJ166" i="29"/>
  <c r="BI166" i="29"/>
  <c r="BJ165" i="29"/>
  <c r="BI165" i="29"/>
  <c r="BJ164" i="29"/>
  <c r="BI164" i="29"/>
  <c r="BJ163" i="29"/>
  <c r="BI163" i="29"/>
  <c r="BJ162" i="29"/>
  <c r="BI162" i="29"/>
  <c r="BJ161" i="29"/>
  <c r="BI161" i="29"/>
  <c r="BJ160" i="29"/>
  <c r="BI160" i="29"/>
  <c r="BJ159" i="29"/>
  <c r="BI159" i="29"/>
  <c r="BJ158" i="29"/>
  <c r="BI158" i="29"/>
  <c r="BJ157" i="29"/>
  <c r="BI157" i="29"/>
  <c r="BJ156" i="29"/>
  <c r="BI156" i="29"/>
  <c r="BJ155" i="29"/>
  <c r="BI155" i="29"/>
  <c r="BJ154" i="29"/>
  <c r="BI154" i="29"/>
  <c r="BJ153" i="29"/>
  <c r="BI153" i="29"/>
  <c r="BJ152" i="29"/>
  <c r="BI152" i="29"/>
  <c r="BJ151" i="29"/>
  <c r="BI151" i="29"/>
  <c r="BJ150" i="29"/>
  <c r="BI150" i="29"/>
  <c r="BJ149" i="29"/>
  <c r="BI149" i="29"/>
  <c r="BJ148" i="29"/>
  <c r="BI148" i="29"/>
  <c r="BJ147" i="29"/>
  <c r="BI147" i="29"/>
  <c r="BJ146" i="29"/>
  <c r="BI146" i="29"/>
  <c r="BJ145" i="29"/>
  <c r="BI145" i="29"/>
  <c r="BJ144" i="29"/>
  <c r="BI144" i="29"/>
  <c r="BJ143" i="29"/>
  <c r="BI143" i="29"/>
  <c r="BJ142" i="29"/>
  <c r="BI142" i="29"/>
  <c r="BJ141" i="29"/>
  <c r="BI141" i="29"/>
  <c r="BJ140" i="29"/>
  <c r="BI140" i="29"/>
  <c r="BJ139" i="29"/>
  <c r="BI139" i="29"/>
  <c r="BJ138" i="29"/>
  <c r="BI138" i="29"/>
  <c r="BJ137" i="29"/>
  <c r="BI137" i="29"/>
  <c r="BJ136" i="29"/>
  <c r="BI136" i="29"/>
  <c r="BJ135" i="29"/>
  <c r="BI135" i="29"/>
  <c r="BJ134" i="29"/>
  <c r="BI134" i="29"/>
  <c r="BJ133" i="29"/>
  <c r="BI133" i="29"/>
  <c r="BJ132" i="29"/>
  <c r="BI132" i="29"/>
  <c r="BJ131" i="29"/>
  <c r="BI131" i="29"/>
  <c r="BJ130" i="29"/>
  <c r="BI130" i="29"/>
  <c r="BJ129" i="29"/>
  <c r="BI129" i="29"/>
  <c r="BJ128" i="29"/>
  <c r="BI128" i="29"/>
  <c r="BJ127" i="29"/>
  <c r="BI127" i="29"/>
  <c r="BJ126" i="29"/>
  <c r="BI126" i="29"/>
  <c r="BJ125" i="29"/>
  <c r="BI125" i="29"/>
  <c r="BJ124" i="29"/>
  <c r="BI124" i="29"/>
  <c r="BJ123" i="29"/>
  <c r="BI123" i="29"/>
  <c r="BJ122" i="29"/>
  <c r="BI122" i="29"/>
  <c r="BJ121" i="29"/>
  <c r="BI121" i="29"/>
  <c r="BJ120" i="29"/>
  <c r="BI120" i="29"/>
  <c r="BJ119" i="29"/>
  <c r="BI119" i="29"/>
  <c r="BJ118" i="29"/>
  <c r="BI118" i="29"/>
  <c r="BJ117" i="29"/>
  <c r="BI117" i="29"/>
  <c r="BJ116" i="29"/>
  <c r="BI116" i="29"/>
  <c r="BJ115" i="29"/>
  <c r="BI115" i="29"/>
  <c r="BJ114" i="29"/>
  <c r="BI114" i="29"/>
  <c r="BJ113" i="29"/>
  <c r="BI113" i="29"/>
  <c r="BJ112" i="29"/>
  <c r="BI112" i="29"/>
  <c r="BJ111" i="29"/>
  <c r="BI111" i="29"/>
  <c r="BJ110" i="29"/>
  <c r="BI110" i="29"/>
  <c r="BJ109" i="29"/>
  <c r="BI109" i="29"/>
  <c r="BJ108" i="29"/>
  <c r="BI108" i="29"/>
  <c r="BJ107" i="29"/>
  <c r="BI107" i="29"/>
  <c r="BJ106" i="29"/>
  <c r="BI106" i="29"/>
  <c r="BJ104" i="29"/>
  <c r="BI104" i="29"/>
  <c r="BJ101" i="29"/>
  <c r="BI101" i="29"/>
  <c r="BJ74" i="29"/>
  <c r="BI74" i="29"/>
  <c r="BJ71" i="29"/>
  <c r="BI71" i="29"/>
  <c r="BJ70" i="29"/>
  <c r="BI70" i="29"/>
  <c r="BJ69" i="29"/>
  <c r="BI69" i="29"/>
  <c r="BJ68" i="29"/>
  <c r="BI68" i="29"/>
  <c r="BJ67" i="29"/>
  <c r="BI67" i="29"/>
  <c r="BJ66" i="29"/>
  <c r="BI66" i="29"/>
  <c r="BJ65" i="29"/>
  <c r="BI65" i="29"/>
  <c r="BJ64" i="29"/>
  <c r="BI64" i="29"/>
  <c r="BJ63" i="29"/>
  <c r="BI63" i="29"/>
  <c r="BJ62" i="29"/>
  <c r="BI62" i="29"/>
  <c r="BJ61" i="29"/>
  <c r="BI61" i="29"/>
  <c r="BJ60" i="29"/>
  <c r="BI60" i="29"/>
  <c r="BJ59" i="29"/>
  <c r="BI59" i="29"/>
  <c r="BJ58" i="29"/>
  <c r="BI58" i="29"/>
  <c r="BJ57" i="29"/>
  <c r="BI57" i="29"/>
  <c r="BJ56" i="29"/>
  <c r="BI56" i="29"/>
  <c r="BJ55" i="29"/>
  <c r="BI55" i="29"/>
  <c r="BJ54" i="29"/>
  <c r="BI54" i="29"/>
  <c r="BJ51" i="29"/>
  <c r="BI51" i="29"/>
  <c r="BJ49" i="29"/>
  <c r="BI49" i="29"/>
  <c r="BJ48" i="29"/>
  <c r="BI48" i="29"/>
  <c r="BJ47" i="29"/>
  <c r="BI47" i="29"/>
  <c r="BJ46" i="29"/>
  <c r="BI46" i="29"/>
  <c r="BJ45" i="29"/>
  <c r="BI45" i="29"/>
  <c r="BJ44" i="29"/>
  <c r="BI44" i="29"/>
  <c r="BJ43" i="29"/>
  <c r="BI43" i="29"/>
  <c r="BJ42" i="29"/>
  <c r="BI42" i="29"/>
  <c r="BJ41" i="29"/>
  <c r="BI41" i="29"/>
  <c r="BJ40" i="29"/>
  <c r="BI40" i="29"/>
  <c r="BJ39" i="29"/>
  <c r="BI39" i="29"/>
  <c r="BJ38" i="29"/>
  <c r="BI38" i="29"/>
  <c r="BJ37" i="29"/>
  <c r="BI37" i="29"/>
  <c r="BJ36" i="29"/>
  <c r="BI36" i="29"/>
  <c r="BJ35" i="29"/>
  <c r="BI35" i="29"/>
  <c r="BJ34" i="29"/>
  <c r="BI34" i="29"/>
  <c r="BJ33" i="29"/>
  <c r="BI33" i="29"/>
  <c r="BJ32" i="29"/>
  <c r="BI32" i="29"/>
  <c r="BJ31" i="29"/>
  <c r="BI31" i="29"/>
  <c r="BJ5" i="29"/>
  <c r="BI5" i="29"/>
  <c r="BJ4" i="29"/>
  <c r="BI4" i="29"/>
  <c r="BJ3" i="29"/>
  <c r="BI3" i="29"/>
  <c r="BJ2" i="29"/>
  <c r="BI2" i="29"/>
  <c r="BB430" i="29"/>
  <c r="BA430" i="29"/>
  <c r="BB429" i="29"/>
  <c r="BA429" i="29"/>
  <c r="BB428" i="29"/>
  <c r="BA428" i="29"/>
  <c r="BB427" i="29"/>
  <c r="BA427" i="29"/>
  <c r="BB426" i="29"/>
  <c r="BA426" i="29"/>
  <c r="BB425" i="29"/>
  <c r="BA425" i="29"/>
  <c r="BB424" i="29"/>
  <c r="BA424" i="29"/>
  <c r="BB423" i="29"/>
  <c r="BA423" i="29"/>
  <c r="BB422" i="29"/>
  <c r="BA422" i="29"/>
  <c r="BB421" i="29"/>
  <c r="BA421" i="29"/>
  <c r="BB420" i="29"/>
  <c r="BA420" i="29"/>
  <c r="BB419" i="29"/>
  <c r="BA419" i="29"/>
  <c r="BB418" i="29"/>
  <c r="BA418" i="29"/>
  <c r="BB417" i="29"/>
  <c r="BA417" i="29"/>
  <c r="BB416" i="29"/>
  <c r="BA416" i="29"/>
  <c r="BB415" i="29"/>
  <c r="BA415" i="29"/>
  <c r="BB414" i="29"/>
  <c r="BA414" i="29"/>
  <c r="BB413" i="29"/>
  <c r="BA413" i="29"/>
  <c r="BB412" i="29"/>
  <c r="BA412" i="29"/>
  <c r="BB411" i="29"/>
  <c r="BA411" i="29"/>
  <c r="BB410" i="29"/>
  <c r="BA410" i="29"/>
  <c r="BB409" i="29"/>
  <c r="BA409" i="29"/>
  <c r="BB408" i="29"/>
  <c r="BA408" i="29"/>
  <c r="BB407" i="29"/>
  <c r="BA407" i="29"/>
  <c r="BB406" i="29"/>
  <c r="BA406" i="29"/>
  <c r="BB405" i="29"/>
  <c r="BA405" i="29"/>
  <c r="BB404" i="29"/>
  <c r="BA404" i="29"/>
  <c r="BB403" i="29"/>
  <c r="BA403" i="29"/>
  <c r="BB402" i="29"/>
  <c r="BA402" i="29"/>
  <c r="BB401" i="29"/>
  <c r="BA401" i="29"/>
  <c r="BB400" i="29"/>
  <c r="BA400" i="29"/>
  <c r="BB399" i="29"/>
  <c r="BA399" i="29"/>
  <c r="BB398" i="29"/>
  <c r="BA398" i="29"/>
  <c r="BB397" i="29"/>
  <c r="BA397" i="29"/>
  <c r="BB396" i="29"/>
  <c r="BA396" i="29"/>
  <c r="BB395" i="29"/>
  <c r="BA395" i="29"/>
  <c r="BB394" i="29"/>
  <c r="BA394" i="29"/>
  <c r="BB393" i="29"/>
  <c r="BA393" i="29"/>
  <c r="BB392" i="29"/>
  <c r="BA392" i="29"/>
  <c r="BB391" i="29"/>
  <c r="BA391" i="29"/>
  <c r="BB390" i="29"/>
  <c r="BA390" i="29"/>
  <c r="BB389" i="29"/>
  <c r="BA389" i="29"/>
  <c r="BB388" i="29"/>
  <c r="BA388" i="29"/>
  <c r="BB387" i="29"/>
  <c r="BA387" i="29"/>
  <c r="BB386" i="29"/>
  <c r="BA386" i="29"/>
  <c r="BB385" i="29"/>
  <c r="BA385" i="29"/>
  <c r="BB384" i="29"/>
  <c r="BA384" i="29"/>
  <c r="BB383" i="29"/>
  <c r="BA383" i="29"/>
  <c r="BB382" i="29"/>
  <c r="BA382" i="29"/>
  <c r="BB381" i="29"/>
  <c r="BA381" i="29"/>
  <c r="BB380" i="29"/>
  <c r="BA380" i="29"/>
  <c r="BB379" i="29"/>
  <c r="BA379" i="29"/>
  <c r="BB378" i="29"/>
  <c r="BA378" i="29"/>
  <c r="BB377" i="29"/>
  <c r="BA377" i="29"/>
  <c r="BB376" i="29"/>
  <c r="BA376" i="29"/>
  <c r="BB375" i="29"/>
  <c r="BA375" i="29"/>
  <c r="BB374" i="29"/>
  <c r="BA374" i="29"/>
  <c r="BB373" i="29"/>
  <c r="BA373" i="29"/>
  <c r="BB372" i="29"/>
  <c r="BA372" i="29"/>
  <c r="BB371" i="29"/>
  <c r="BA371" i="29"/>
  <c r="BB370" i="29"/>
  <c r="BA370" i="29"/>
  <c r="BB369" i="29"/>
  <c r="BA369" i="29"/>
  <c r="BB368" i="29"/>
  <c r="BA368" i="29"/>
  <c r="BB367" i="29"/>
  <c r="BA367" i="29"/>
  <c r="BB366" i="29"/>
  <c r="BA366" i="29"/>
  <c r="BB365" i="29"/>
  <c r="BA365" i="29"/>
  <c r="BB364" i="29"/>
  <c r="BA364" i="29"/>
  <c r="BB363" i="29"/>
  <c r="BA363" i="29"/>
  <c r="BB362" i="29"/>
  <c r="BA362" i="29"/>
  <c r="BB361" i="29"/>
  <c r="BA361" i="29"/>
  <c r="BB360" i="29"/>
  <c r="BA360" i="29"/>
  <c r="BB359" i="29"/>
  <c r="BA359" i="29"/>
  <c r="BB358" i="29"/>
  <c r="BA358" i="29"/>
  <c r="BB357" i="29"/>
  <c r="BA357" i="29"/>
  <c r="BB356" i="29"/>
  <c r="BA356" i="29"/>
  <c r="BB355" i="29"/>
  <c r="BA355" i="29"/>
  <c r="BB354" i="29"/>
  <c r="BA354" i="29"/>
  <c r="BB353" i="29"/>
  <c r="BA353" i="29"/>
  <c r="BB352" i="29"/>
  <c r="BA352" i="29"/>
  <c r="BB351" i="29"/>
  <c r="BA351" i="29"/>
  <c r="BB350" i="29"/>
  <c r="BA350" i="29"/>
  <c r="BB349" i="29"/>
  <c r="BA349" i="29"/>
  <c r="BB348" i="29"/>
  <c r="BA348" i="29"/>
  <c r="BB347" i="29"/>
  <c r="BA347" i="29"/>
  <c r="BB345" i="29"/>
  <c r="BA345" i="29"/>
  <c r="BB344" i="29"/>
  <c r="BA344" i="29"/>
  <c r="BB342" i="29"/>
  <c r="BA342" i="29"/>
  <c r="BB339" i="29"/>
  <c r="BA339" i="29"/>
  <c r="BB336" i="29"/>
  <c r="BA336" i="29"/>
  <c r="BB282" i="29"/>
  <c r="BA282" i="29"/>
  <c r="BB279" i="29"/>
  <c r="BA279" i="29"/>
  <c r="BB278" i="29"/>
  <c r="BA278" i="29"/>
  <c r="BB277" i="29"/>
  <c r="BA277" i="29"/>
  <c r="BB276" i="29"/>
  <c r="BA276" i="29"/>
  <c r="BB275" i="29"/>
  <c r="BA275" i="29"/>
  <c r="BB274" i="29"/>
  <c r="BA274" i="29"/>
  <c r="BB273" i="29"/>
  <c r="BA273" i="29"/>
  <c r="BB272" i="29"/>
  <c r="BA272" i="29"/>
  <c r="BB271" i="29"/>
  <c r="BA271" i="29"/>
  <c r="BB270" i="29"/>
  <c r="BA270" i="29"/>
  <c r="BB269" i="29"/>
  <c r="BA269" i="29"/>
  <c r="BB268" i="29"/>
  <c r="BA268" i="29"/>
  <c r="BB267" i="29"/>
  <c r="BA267" i="29"/>
  <c r="BB266" i="29"/>
  <c r="BA266" i="29"/>
  <c r="BB265" i="29"/>
  <c r="BA265" i="29"/>
  <c r="BB264" i="29"/>
  <c r="BA264" i="29"/>
  <c r="BB263" i="29"/>
  <c r="BA263" i="29"/>
  <c r="BB262" i="29"/>
  <c r="BA262" i="29"/>
  <c r="BB261" i="29"/>
  <c r="BA261" i="29"/>
  <c r="BB260" i="29"/>
  <c r="BA260" i="29"/>
  <c r="BB259" i="29"/>
  <c r="BA259" i="29"/>
  <c r="BB258" i="29"/>
  <c r="BA258" i="29"/>
  <c r="BB257" i="29"/>
  <c r="BA257" i="29"/>
  <c r="BB256" i="29"/>
  <c r="BA256" i="29"/>
  <c r="BB255" i="29"/>
  <c r="BA255" i="29"/>
  <c r="BB254" i="29"/>
  <c r="BA254" i="29"/>
  <c r="BB253" i="29"/>
  <c r="BA253" i="29"/>
  <c r="BB252" i="29"/>
  <c r="BA252" i="29"/>
  <c r="BB251" i="29"/>
  <c r="BA251" i="29"/>
  <c r="BB250" i="29"/>
  <c r="BA250" i="29"/>
  <c r="BB249" i="29"/>
  <c r="BA249" i="29"/>
  <c r="BB248" i="29"/>
  <c r="BA248" i="29"/>
  <c r="BB247" i="29"/>
  <c r="BA247" i="29"/>
  <c r="BB246" i="29"/>
  <c r="BA246" i="29"/>
  <c r="BB245" i="29"/>
  <c r="BA245" i="29"/>
  <c r="BB244" i="29"/>
  <c r="BA244" i="29"/>
  <c r="BB243" i="29"/>
  <c r="BA243" i="29"/>
  <c r="BB242" i="29"/>
  <c r="BA242" i="29"/>
  <c r="BB167" i="29"/>
  <c r="BA167" i="29"/>
  <c r="BB166" i="29"/>
  <c r="BA166" i="29"/>
  <c r="BB165" i="29"/>
  <c r="BA165" i="29"/>
  <c r="BB164" i="29"/>
  <c r="BA164" i="29"/>
  <c r="BB163" i="29"/>
  <c r="BA163" i="29"/>
  <c r="BB162" i="29"/>
  <c r="BA162" i="29"/>
  <c r="BB161" i="29"/>
  <c r="BA161" i="29"/>
  <c r="BB160" i="29"/>
  <c r="BA160" i="29"/>
  <c r="BB159" i="29"/>
  <c r="BA159" i="29"/>
  <c r="BB158" i="29"/>
  <c r="BA158" i="29"/>
  <c r="BB157" i="29"/>
  <c r="BA157" i="29"/>
  <c r="BB156" i="29"/>
  <c r="BA156" i="29"/>
  <c r="BB155" i="29"/>
  <c r="BA155" i="29"/>
  <c r="BB154" i="29"/>
  <c r="BA154" i="29"/>
  <c r="BB153" i="29"/>
  <c r="BA153" i="29"/>
  <c r="BB152" i="29"/>
  <c r="BA152" i="29"/>
  <c r="BB151" i="29"/>
  <c r="BA151" i="29"/>
  <c r="BB150" i="29"/>
  <c r="BA150" i="29"/>
  <c r="BB149" i="29"/>
  <c r="BA149" i="29"/>
  <c r="BB148" i="29"/>
  <c r="BA148" i="29"/>
  <c r="BB147" i="29"/>
  <c r="BA147" i="29"/>
  <c r="BB146" i="29"/>
  <c r="BA146" i="29"/>
  <c r="BB145" i="29"/>
  <c r="BA145" i="29"/>
  <c r="BB144" i="29"/>
  <c r="BA144" i="29"/>
  <c r="BB143" i="29"/>
  <c r="BA143" i="29"/>
  <c r="BB142" i="29"/>
  <c r="BA142" i="29"/>
  <c r="BB141" i="29"/>
  <c r="BA141" i="29"/>
  <c r="BB140" i="29"/>
  <c r="BA140" i="29"/>
  <c r="BB139" i="29"/>
  <c r="BA139" i="29"/>
  <c r="BB138" i="29"/>
  <c r="BA138" i="29"/>
  <c r="BB137" i="29"/>
  <c r="BA137" i="29"/>
  <c r="BB136" i="29"/>
  <c r="BA136" i="29"/>
  <c r="BB135" i="29"/>
  <c r="BA135" i="29"/>
  <c r="BB134" i="29"/>
  <c r="BA134" i="29"/>
  <c r="BB133" i="29"/>
  <c r="BA133" i="29"/>
  <c r="BB132" i="29"/>
  <c r="BA132" i="29"/>
  <c r="BB131" i="29"/>
  <c r="BA131" i="29"/>
  <c r="BB130" i="29"/>
  <c r="BA130" i="29"/>
  <c r="BB129" i="29"/>
  <c r="BA129" i="29"/>
  <c r="BB128" i="29"/>
  <c r="BA128" i="29"/>
  <c r="BB127" i="29"/>
  <c r="BA127" i="29"/>
  <c r="BB126" i="29"/>
  <c r="BA126" i="29"/>
  <c r="BB125" i="29"/>
  <c r="BA125" i="29"/>
  <c r="BB124" i="29"/>
  <c r="BA124" i="29"/>
  <c r="BB123" i="29"/>
  <c r="BA123" i="29"/>
  <c r="BB122" i="29"/>
  <c r="BA122" i="29"/>
  <c r="BB121" i="29"/>
  <c r="BA121" i="29"/>
  <c r="BB120" i="29"/>
  <c r="BA120" i="29"/>
  <c r="BB119" i="29"/>
  <c r="BA119" i="29"/>
  <c r="BB118" i="29"/>
  <c r="BA118" i="29"/>
  <c r="BB117" i="29"/>
  <c r="BA117" i="29"/>
  <c r="BB116" i="29"/>
  <c r="BA116" i="29"/>
  <c r="BB115" i="29"/>
  <c r="BA115" i="29"/>
  <c r="BB114" i="29"/>
  <c r="BA114" i="29"/>
  <c r="BB113" i="29"/>
  <c r="BA113" i="29"/>
  <c r="BB112" i="29"/>
  <c r="BA112" i="29"/>
  <c r="BB111" i="29"/>
  <c r="BA111" i="29"/>
  <c r="BB110" i="29"/>
  <c r="BA110" i="29"/>
  <c r="BB109" i="29"/>
  <c r="BA109" i="29"/>
  <c r="BB108" i="29"/>
  <c r="BA108" i="29"/>
  <c r="BB107" i="29"/>
  <c r="BA107" i="29"/>
  <c r="BB106" i="29"/>
  <c r="BA106" i="29"/>
  <c r="BB104" i="29"/>
  <c r="BA104" i="29"/>
  <c r="BB74" i="29"/>
  <c r="BA74" i="29"/>
  <c r="BB69" i="29"/>
  <c r="BA69" i="29"/>
  <c r="BB68" i="29"/>
  <c r="BA68" i="29"/>
  <c r="BB67" i="29"/>
  <c r="BA67" i="29"/>
  <c r="BB66" i="29"/>
  <c r="BA66" i="29"/>
  <c r="BB65" i="29"/>
  <c r="BA65" i="29"/>
  <c r="BB64" i="29"/>
  <c r="BA64" i="29"/>
  <c r="BB63" i="29"/>
  <c r="BA63" i="29"/>
  <c r="BB62" i="29"/>
  <c r="BA62" i="29"/>
  <c r="BB61" i="29"/>
  <c r="BA61" i="29"/>
  <c r="BB60" i="29"/>
  <c r="BA60" i="29"/>
  <c r="BB59" i="29"/>
  <c r="BA59" i="29"/>
  <c r="BB58" i="29"/>
  <c r="BA58" i="29"/>
  <c r="BB57" i="29"/>
  <c r="BA57" i="29"/>
  <c r="BB56" i="29"/>
  <c r="BA56" i="29"/>
  <c r="BB55" i="29"/>
  <c r="BA55" i="29"/>
  <c r="BB54" i="29"/>
  <c r="BA54" i="29"/>
  <c r="BB51" i="29"/>
  <c r="BA51" i="29"/>
  <c r="BB49" i="29"/>
  <c r="BA49" i="29"/>
  <c r="BB48" i="29"/>
  <c r="BA48" i="29"/>
  <c r="BB47" i="29"/>
  <c r="BA47" i="29"/>
  <c r="BB46" i="29"/>
  <c r="BA46" i="29"/>
  <c r="BB45" i="29"/>
  <c r="BA45" i="29"/>
  <c r="BB44" i="29"/>
  <c r="BA44" i="29"/>
  <c r="BB43" i="29"/>
  <c r="BA43" i="29"/>
  <c r="BB42" i="29"/>
  <c r="BA42" i="29"/>
  <c r="BB41" i="29"/>
  <c r="BA41" i="29"/>
  <c r="BB40" i="29"/>
  <c r="BA40" i="29"/>
  <c r="BB39" i="29"/>
  <c r="BA39" i="29"/>
  <c r="BB38" i="29"/>
  <c r="BA38" i="29"/>
  <c r="BB37" i="29"/>
  <c r="BA37" i="29"/>
  <c r="BB36" i="29"/>
  <c r="BA36" i="29"/>
  <c r="BB35" i="29"/>
  <c r="BA35" i="29"/>
  <c r="BB34" i="29"/>
  <c r="BA34" i="29"/>
  <c r="BB33" i="29"/>
  <c r="BA33" i="29"/>
  <c r="BB32" i="29"/>
  <c r="BA32" i="29"/>
  <c r="BB4" i="29"/>
  <c r="BA4" i="29"/>
  <c r="BB3" i="29"/>
  <c r="BA3" i="29"/>
  <c r="BB2" i="29"/>
  <c r="BA2" i="29"/>
  <c r="AT430" i="29"/>
  <c r="AS430" i="29"/>
  <c r="AT429" i="29"/>
  <c r="AS429" i="29"/>
  <c r="AT428" i="29"/>
  <c r="AS428" i="29"/>
  <c r="AT427" i="29"/>
  <c r="AS427" i="29"/>
  <c r="AT426" i="29"/>
  <c r="AS426" i="29"/>
  <c r="AT425" i="29"/>
  <c r="AS425" i="29"/>
  <c r="AT424" i="29"/>
  <c r="AS424" i="29"/>
  <c r="AT423" i="29"/>
  <c r="AS423" i="29"/>
  <c r="AT422" i="29"/>
  <c r="AS422" i="29"/>
  <c r="AT421" i="29"/>
  <c r="AS421" i="29"/>
  <c r="AT420" i="29"/>
  <c r="AS420" i="29"/>
  <c r="AT419" i="29"/>
  <c r="AS419" i="29"/>
  <c r="AT418" i="29"/>
  <c r="AS418" i="29"/>
  <c r="AT417" i="29"/>
  <c r="AS417" i="29"/>
  <c r="AT416" i="29"/>
  <c r="AS416" i="29"/>
  <c r="AT415" i="29"/>
  <c r="AS415" i="29"/>
  <c r="AT414" i="29"/>
  <c r="AS414" i="29"/>
  <c r="AT413" i="29"/>
  <c r="AS413" i="29"/>
  <c r="AT412" i="29"/>
  <c r="AS412" i="29"/>
  <c r="AT411" i="29"/>
  <c r="AS411" i="29"/>
  <c r="AT410" i="29"/>
  <c r="AS410" i="29"/>
  <c r="AT409" i="29"/>
  <c r="AS409" i="29"/>
  <c r="AT408" i="29"/>
  <c r="AS408" i="29"/>
  <c r="AT407" i="29"/>
  <c r="AS407" i="29"/>
  <c r="AT406" i="29"/>
  <c r="AS406" i="29"/>
  <c r="AT405" i="29"/>
  <c r="AS405" i="29"/>
  <c r="AT404" i="29"/>
  <c r="AS404" i="29"/>
  <c r="AT403" i="29"/>
  <c r="AS403" i="29"/>
  <c r="AT402" i="29"/>
  <c r="AS402" i="29"/>
  <c r="AT401" i="29"/>
  <c r="AS401" i="29"/>
  <c r="AT400" i="29"/>
  <c r="AS400" i="29"/>
  <c r="AT399" i="29"/>
  <c r="AS399" i="29"/>
  <c r="AT398" i="29"/>
  <c r="AS398" i="29"/>
  <c r="AT397" i="29"/>
  <c r="AS397" i="29"/>
  <c r="AT396" i="29"/>
  <c r="AS396" i="29"/>
  <c r="AT395" i="29"/>
  <c r="AS395" i="29"/>
  <c r="AT394" i="29"/>
  <c r="AS394" i="29"/>
  <c r="AT393" i="29"/>
  <c r="AS393" i="29"/>
  <c r="AT392" i="29"/>
  <c r="AS392" i="29"/>
  <c r="AT391" i="29"/>
  <c r="AS391" i="29"/>
  <c r="AT390" i="29"/>
  <c r="AS390" i="29"/>
  <c r="AT389" i="29"/>
  <c r="AS389" i="29"/>
  <c r="AT388" i="29"/>
  <c r="AS388" i="29"/>
  <c r="AT387" i="29"/>
  <c r="AS387" i="29"/>
  <c r="AT386" i="29"/>
  <c r="AS386" i="29"/>
  <c r="AT385" i="29"/>
  <c r="AS385" i="29"/>
  <c r="AT384" i="29"/>
  <c r="AS384" i="29"/>
  <c r="AT383" i="29"/>
  <c r="AS383" i="29"/>
  <c r="AT382" i="29"/>
  <c r="AS382" i="29"/>
  <c r="AT381" i="29"/>
  <c r="AS381" i="29"/>
  <c r="AT380" i="29"/>
  <c r="AS380" i="29"/>
  <c r="AT379" i="29"/>
  <c r="AS379" i="29"/>
  <c r="AT378" i="29"/>
  <c r="AS378" i="29"/>
  <c r="AT377" i="29"/>
  <c r="AS377" i="29"/>
  <c r="AT376" i="29"/>
  <c r="AS376" i="29"/>
  <c r="AT375" i="29"/>
  <c r="AS375" i="29"/>
  <c r="AT374" i="29"/>
  <c r="AS374" i="29"/>
  <c r="AT373" i="29"/>
  <c r="AS373" i="29"/>
  <c r="AT372" i="29"/>
  <c r="AS372" i="29"/>
  <c r="AT371" i="29"/>
  <c r="AS371" i="29"/>
  <c r="AT370" i="29"/>
  <c r="AS370" i="29"/>
  <c r="AT369" i="29"/>
  <c r="AS369" i="29"/>
  <c r="AT368" i="29"/>
  <c r="AS368" i="29"/>
  <c r="AT367" i="29"/>
  <c r="AS367" i="29"/>
  <c r="AT366" i="29"/>
  <c r="AS366" i="29"/>
  <c r="AT365" i="29"/>
  <c r="AS365" i="29"/>
  <c r="AT364" i="29"/>
  <c r="AS364" i="29"/>
  <c r="AT363" i="29"/>
  <c r="AS363" i="29"/>
  <c r="AT362" i="29"/>
  <c r="AS362" i="29"/>
  <c r="AT361" i="29"/>
  <c r="AS361" i="29"/>
  <c r="AT360" i="29"/>
  <c r="AS360" i="29"/>
  <c r="AT359" i="29"/>
  <c r="AS359" i="29"/>
  <c r="AT358" i="29"/>
  <c r="AS358" i="29"/>
  <c r="AT357" i="29"/>
  <c r="AS357" i="29"/>
  <c r="AT356" i="29"/>
  <c r="AS356" i="29"/>
  <c r="AT355" i="29"/>
  <c r="AS355" i="29"/>
  <c r="AT354" i="29"/>
  <c r="AS354" i="29"/>
  <c r="AT353" i="29"/>
  <c r="AS353" i="29"/>
  <c r="AT352" i="29"/>
  <c r="AS352" i="29"/>
  <c r="AT351" i="29"/>
  <c r="AS351" i="29"/>
  <c r="AT350" i="29"/>
  <c r="AS350" i="29"/>
  <c r="AT349" i="29"/>
  <c r="AS349" i="29"/>
  <c r="AT348" i="29"/>
  <c r="AS348" i="29"/>
  <c r="AT347" i="29"/>
  <c r="AS347" i="29"/>
  <c r="AT345" i="29"/>
  <c r="AS345" i="29"/>
  <c r="AT344" i="29"/>
  <c r="AS344" i="29"/>
  <c r="AT282" i="29"/>
  <c r="AS282" i="29"/>
  <c r="AT279" i="29"/>
  <c r="AS279" i="29"/>
  <c r="AT278" i="29"/>
  <c r="AS278" i="29"/>
  <c r="AT277" i="29"/>
  <c r="AS277" i="29"/>
  <c r="AT276" i="29"/>
  <c r="AS276" i="29"/>
  <c r="AT275" i="29"/>
  <c r="AS275" i="29"/>
  <c r="AT274" i="29"/>
  <c r="AS274" i="29"/>
  <c r="AT272" i="29"/>
  <c r="AS272" i="29"/>
  <c r="AT271" i="29"/>
  <c r="AS271" i="29"/>
  <c r="AT270" i="29"/>
  <c r="AS270" i="29"/>
  <c r="AT269" i="29"/>
  <c r="AS269" i="29"/>
  <c r="AT268" i="29"/>
  <c r="AS268" i="29"/>
  <c r="AT267" i="29"/>
  <c r="AS267" i="29"/>
  <c r="AT266" i="29"/>
  <c r="AS266" i="29"/>
  <c r="AT265" i="29"/>
  <c r="AS265" i="29"/>
  <c r="AT264" i="29"/>
  <c r="AS264" i="29"/>
  <c r="AT263" i="29"/>
  <c r="AS263" i="29"/>
  <c r="AT262" i="29"/>
  <c r="AS262" i="29"/>
  <c r="AT261" i="29"/>
  <c r="AS261" i="29"/>
  <c r="AT260" i="29"/>
  <c r="AS260" i="29"/>
  <c r="AT259" i="29"/>
  <c r="AS259" i="29"/>
  <c r="AT258" i="29"/>
  <c r="AS258" i="29"/>
  <c r="AT257" i="29"/>
  <c r="AS257" i="29"/>
  <c r="AT256" i="29"/>
  <c r="AS256" i="29"/>
  <c r="AT255" i="29"/>
  <c r="AS255" i="29"/>
  <c r="AT254" i="29"/>
  <c r="AS254" i="29"/>
  <c r="AT253" i="29"/>
  <c r="AS253" i="29"/>
  <c r="AT252" i="29"/>
  <c r="AS252" i="29"/>
  <c r="AT251" i="29"/>
  <c r="AS251" i="29"/>
  <c r="AT250" i="29"/>
  <c r="AS250" i="29"/>
  <c r="AT249" i="29"/>
  <c r="AS249" i="29"/>
  <c r="AT248" i="29"/>
  <c r="AS248" i="29"/>
  <c r="AT247" i="29"/>
  <c r="AS247" i="29"/>
  <c r="AT246" i="29"/>
  <c r="AS246" i="29"/>
  <c r="AT245" i="29"/>
  <c r="AS245" i="29"/>
  <c r="AT244" i="29"/>
  <c r="AS244" i="29"/>
  <c r="AT243" i="29"/>
  <c r="AS243" i="29"/>
  <c r="AT242" i="29"/>
  <c r="AS242" i="29"/>
  <c r="AT167" i="29"/>
  <c r="AS167" i="29"/>
  <c r="AT166" i="29"/>
  <c r="AS166" i="29"/>
  <c r="AT165" i="29"/>
  <c r="AS165" i="29"/>
  <c r="AT164" i="29"/>
  <c r="AS164" i="29"/>
  <c r="AT163" i="29"/>
  <c r="AS163" i="29"/>
  <c r="AT162" i="29"/>
  <c r="AS162" i="29"/>
  <c r="AT161" i="29"/>
  <c r="AS161" i="29"/>
  <c r="AT160" i="29"/>
  <c r="AS160" i="29"/>
  <c r="AT159" i="29"/>
  <c r="AS159" i="29"/>
  <c r="AT158" i="29"/>
  <c r="AS158" i="29"/>
  <c r="AT157" i="29"/>
  <c r="AS157" i="29"/>
  <c r="AT156" i="29"/>
  <c r="AS156" i="29"/>
  <c r="AT155" i="29"/>
  <c r="AS155" i="29"/>
  <c r="AT154" i="29"/>
  <c r="AS154" i="29"/>
  <c r="AT153" i="29"/>
  <c r="AS153" i="29"/>
  <c r="AT152" i="29"/>
  <c r="AS152" i="29"/>
  <c r="AT151" i="29"/>
  <c r="AS151" i="29"/>
  <c r="AT150" i="29"/>
  <c r="AS150" i="29"/>
  <c r="AT149" i="29"/>
  <c r="AS149" i="29"/>
  <c r="AT148" i="29"/>
  <c r="AS148" i="29"/>
  <c r="AT147" i="29"/>
  <c r="AS147" i="29"/>
  <c r="AT146" i="29"/>
  <c r="AS146" i="29"/>
  <c r="AT145" i="29"/>
  <c r="AS145" i="29"/>
  <c r="AT144" i="29"/>
  <c r="AS144" i="29"/>
  <c r="AT143" i="29"/>
  <c r="AS143" i="29"/>
  <c r="AT142" i="29"/>
  <c r="AS142" i="29"/>
  <c r="AT141" i="29"/>
  <c r="AS141" i="29"/>
  <c r="AT140" i="29"/>
  <c r="AS140" i="29"/>
  <c r="AT139" i="29"/>
  <c r="AS139" i="29"/>
  <c r="AT138" i="29"/>
  <c r="AS138" i="29"/>
  <c r="AT137" i="29"/>
  <c r="AS137" i="29"/>
  <c r="AT136" i="29"/>
  <c r="AS136" i="29"/>
  <c r="AT135" i="29"/>
  <c r="AS135" i="29"/>
  <c r="AT134" i="29"/>
  <c r="AS134" i="29"/>
  <c r="AT133" i="29"/>
  <c r="AS133" i="29"/>
  <c r="AT132" i="29"/>
  <c r="AS132" i="29"/>
  <c r="AT131" i="29"/>
  <c r="AS131" i="29"/>
  <c r="AT130" i="29"/>
  <c r="AS130" i="29"/>
  <c r="AT129" i="29"/>
  <c r="AS129" i="29"/>
  <c r="AT128" i="29"/>
  <c r="AS128" i="29"/>
  <c r="AT127" i="29"/>
  <c r="AS127" i="29"/>
  <c r="AT126" i="29"/>
  <c r="AS126" i="29"/>
  <c r="AT125" i="29"/>
  <c r="AS125" i="29"/>
  <c r="AT124" i="29"/>
  <c r="AS124" i="29"/>
  <c r="AT123" i="29"/>
  <c r="AS123" i="29"/>
  <c r="AT122" i="29"/>
  <c r="AS122" i="29"/>
  <c r="AT121" i="29"/>
  <c r="AS121" i="29"/>
  <c r="AT120" i="29"/>
  <c r="AS120" i="29"/>
  <c r="AT119" i="29"/>
  <c r="AS119" i="29"/>
  <c r="AT118" i="29"/>
  <c r="AS118" i="29"/>
  <c r="AT117" i="29"/>
  <c r="AS117" i="29"/>
  <c r="AT116" i="29"/>
  <c r="AS116" i="29"/>
  <c r="AT115" i="29"/>
  <c r="AS115" i="29"/>
  <c r="AT114" i="29"/>
  <c r="AS114" i="29"/>
  <c r="AT113" i="29"/>
  <c r="AS113" i="29"/>
  <c r="AT112" i="29"/>
  <c r="AS112" i="29"/>
  <c r="AT111" i="29"/>
  <c r="AS111" i="29"/>
  <c r="AT110" i="29"/>
  <c r="AS110" i="29"/>
  <c r="AT109" i="29"/>
  <c r="AS109" i="29"/>
  <c r="AT108" i="29"/>
  <c r="AS108" i="29"/>
  <c r="AT107" i="29"/>
  <c r="AS107" i="29"/>
  <c r="AT104" i="29"/>
  <c r="AS104" i="29"/>
  <c r="AT74" i="29"/>
  <c r="AS74" i="29"/>
  <c r="AT68" i="29"/>
  <c r="AS68" i="29"/>
  <c r="AT67" i="29"/>
  <c r="AS67" i="29"/>
  <c r="AT66" i="29"/>
  <c r="AS66" i="29"/>
  <c r="AT65" i="29"/>
  <c r="AS65" i="29"/>
  <c r="AT64" i="29"/>
  <c r="AS64" i="29"/>
  <c r="AT63" i="29"/>
  <c r="AS63" i="29"/>
  <c r="AT62" i="29"/>
  <c r="AS62" i="29"/>
  <c r="AT61" i="29"/>
  <c r="AS61" i="29"/>
  <c r="AT60" i="29"/>
  <c r="AS60" i="29"/>
  <c r="AT59" i="29"/>
  <c r="AS59" i="29"/>
  <c r="AT58" i="29"/>
  <c r="AS58" i="29"/>
  <c r="AT57" i="29"/>
  <c r="AS57" i="29"/>
  <c r="AT56" i="29"/>
  <c r="AS56" i="29"/>
  <c r="AT55" i="29"/>
  <c r="AS55" i="29"/>
  <c r="AT54" i="29"/>
  <c r="AS54" i="29"/>
  <c r="AT51" i="29"/>
  <c r="AS51" i="29"/>
  <c r="AT49" i="29"/>
  <c r="AS49" i="29"/>
  <c r="AT48" i="29"/>
  <c r="AS48" i="29"/>
  <c r="AT47" i="29"/>
  <c r="AS47" i="29"/>
  <c r="AT46" i="29"/>
  <c r="AS46" i="29"/>
  <c r="AT45" i="29"/>
  <c r="AS45" i="29"/>
  <c r="AT44" i="29"/>
  <c r="AS44" i="29"/>
  <c r="AT43" i="29"/>
  <c r="AS43" i="29"/>
  <c r="AT42" i="29"/>
  <c r="AS42" i="29"/>
  <c r="AT41" i="29"/>
  <c r="AS41" i="29"/>
  <c r="AT40" i="29"/>
  <c r="AS40" i="29"/>
  <c r="AT39" i="29"/>
  <c r="AS39" i="29"/>
  <c r="AT38" i="29"/>
  <c r="AS38" i="29"/>
  <c r="AT37" i="29"/>
  <c r="AS37" i="29"/>
  <c r="AT36" i="29"/>
  <c r="AS36" i="29"/>
  <c r="AT35" i="29"/>
  <c r="AS35" i="29"/>
  <c r="AT34" i="29"/>
  <c r="AS34" i="29"/>
  <c r="AT33" i="29"/>
  <c r="AS33" i="29"/>
  <c r="AT32" i="29"/>
  <c r="AS32" i="29"/>
  <c r="AT4" i="29"/>
  <c r="AS4" i="29"/>
  <c r="AT3" i="29"/>
  <c r="AS3" i="29"/>
  <c r="AT2" i="29"/>
  <c r="AS2" i="29"/>
  <c r="AL430" i="29"/>
  <c r="AK430" i="29"/>
  <c r="AL429" i="29"/>
  <c r="AK429" i="29"/>
  <c r="AL428" i="29"/>
  <c r="AK428" i="29"/>
  <c r="AL427" i="29"/>
  <c r="AK427" i="29"/>
  <c r="AL426" i="29"/>
  <c r="AK426" i="29"/>
  <c r="AL425" i="29"/>
  <c r="AK425" i="29"/>
  <c r="AL424" i="29"/>
  <c r="AK424" i="29"/>
  <c r="AL423" i="29"/>
  <c r="AK423" i="29"/>
  <c r="AL422" i="29"/>
  <c r="AK422" i="29"/>
  <c r="AL421" i="29"/>
  <c r="AK421" i="29"/>
  <c r="AL420" i="29"/>
  <c r="AK420" i="29"/>
  <c r="AL419" i="29"/>
  <c r="AK419" i="29"/>
  <c r="AL418" i="29"/>
  <c r="AK418" i="29"/>
  <c r="AL417" i="29"/>
  <c r="AK417" i="29"/>
  <c r="AL416" i="29"/>
  <c r="AK416" i="29"/>
  <c r="AL415" i="29"/>
  <c r="AK415" i="29"/>
  <c r="AL414" i="29"/>
  <c r="AK414" i="29"/>
  <c r="AL413" i="29"/>
  <c r="AK413" i="29"/>
  <c r="AL412" i="29"/>
  <c r="AK412" i="29"/>
  <c r="AL411" i="29"/>
  <c r="AK411" i="29"/>
  <c r="AL410" i="29"/>
  <c r="AK410" i="29"/>
  <c r="AL409" i="29"/>
  <c r="AK409" i="29"/>
  <c r="AL408" i="29"/>
  <c r="AK408" i="29"/>
  <c r="AL407" i="29"/>
  <c r="AK407" i="29"/>
  <c r="AL406" i="29"/>
  <c r="AK406" i="29"/>
  <c r="AL405" i="29"/>
  <c r="AK405" i="29"/>
  <c r="AL404" i="29"/>
  <c r="AK404" i="29"/>
  <c r="AL403" i="29"/>
  <c r="AK403" i="29"/>
  <c r="AL402" i="29"/>
  <c r="AK402" i="29"/>
  <c r="AL401" i="29"/>
  <c r="AK401" i="29"/>
  <c r="AL400" i="29"/>
  <c r="AK400" i="29"/>
  <c r="AL399" i="29"/>
  <c r="AK399" i="29"/>
  <c r="AL398" i="29"/>
  <c r="AK398" i="29"/>
  <c r="AL397" i="29"/>
  <c r="AK397" i="29"/>
  <c r="AL396" i="29"/>
  <c r="AK396" i="29"/>
  <c r="AL395" i="29"/>
  <c r="AK395" i="29"/>
  <c r="AL394" i="29"/>
  <c r="AK394" i="29"/>
  <c r="AL393" i="29"/>
  <c r="AK393" i="29"/>
  <c r="AL392" i="29"/>
  <c r="AK392" i="29"/>
  <c r="AL391" i="29"/>
  <c r="AK391" i="29"/>
  <c r="AL390" i="29"/>
  <c r="AK390" i="29"/>
  <c r="AL389" i="29"/>
  <c r="AK389" i="29"/>
  <c r="AL388" i="29"/>
  <c r="AK388" i="29"/>
  <c r="AL387" i="29"/>
  <c r="AK387" i="29"/>
  <c r="AL386" i="29"/>
  <c r="AK386" i="29"/>
  <c r="AL385" i="29"/>
  <c r="AK385" i="29"/>
  <c r="AL384" i="29"/>
  <c r="AK384" i="29"/>
  <c r="AL383" i="29"/>
  <c r="AK383" i="29"/>
  <c r="AL382" i="29"/>
  <c r="AK382" i="29"/>
  <c r="AL381" i="29"/>
  <c r="AK381" i="29"/>
  <c r="AL380" i="29"/>
  <c r="AK380" i="29"/>
  <c r="AL379" i="29"/>
  <c r="AK379" i="29"/>
  <c r="AL378" i="29"/>
  <c r="AK378" i="29"/>
  <c r="AL377" i="29"/>
  <c r="AK377" i="29"/>
  <c r="AL376" i="29"/>
  <c r="AK376" i="29"/>
  <c r="AL375" i="29"/>
  <c r="AK375" i="29"/>
  <c r="AL374" i="29"/>
  <c r="AK374" i="29"/>
  <c r="AL373" i="29"/>
  <c r="AK373" i="29"/>
  <c r="AL372" i="29"/>
  <c r="AK372" i="29"/>
  <c r="AL371" i="29"/>
  <c r="AK371" i="29"/>
  <c r="AL370" i="29"/>
  <c r="AK370" i="29"/>
  <c r="AL369" i="29"/>
  <c r="AK369" i="29"/>
  <c r="AL368" i="29"/>
  <c r="AK368" i="29"/>
  <c r="AL367" i="29"/>
  <c r="AK367" i="29"/>
  <c r="AL366" i="29"/>
  <c r="AK366" i="29"/>
  <c r="AL365" i="29"/>
  <c r="AK365" i="29"/>
  <c r="AL364" i="29"/>
  <c r="AK364" i="29"/>
  <c r="AL363" i="29"/>
  <c r="AK363" i="29"/>
  <c r="AL362" i="29"/>
  <c r="AK362" i="29"/>
  <c r="AL361" i="29"/>
  <c r="AK361" i="29"/>
  <c r="AL360" i="29"/>
  <c r="AK360" i="29"/>
  <c r="AL359" i="29"/>
  <c r="AK359" i="29"/>
  <c r="AL358" i="29"/>
  <c r="AK358" i="29"/>
  <c r="AL357" i="29"/>
  <c r="AK357" i="29"/>
  <c r="AL355" i="29"/>
  <c r="AK355" i="29"/>
  <c r="AL354" i="29"/>
  <c r="AK354" i="29"/>
  <c r="AL353" i="29"/>
  <c r="AK353" i="29"/>
  <c r="AL352" i="29"/>
  <c r="AK352" i="29"/>
  <c r="AL351" i="29"/>
  <c r="AK351" i="29"/>
  <c r="AL350" i="29"/>
  <c r="AK350" i="29"/>
  <c r="AL349" i="29"/>
  <c r="AK349" i="29"/>
  <c r="AL348" i="29"/>
  <c r="AK348" i="29"/>
  <c r="AL282" i="29"/>
  <c r="AK282" i="29"/>
  <c r="AL279" i="29"/>
  <c r="AK279" i="29"/>
  <c r="AL278" i="29"/>
  <c r="AK278" i="29"/>
  <c r="AL277" i="29"/>
  <c r="AK277" i="29"/>
  <c r="AL276" i="29"/>
  <c r="AK276" i="29"/>
  <c r="AL275" i="29"/>
  <c r="AK275" i="29"/>
  <c r="AL274" i="29"/>
  <c r="AK274" i="29"/>
  <c r="AL272" i="29"/>
  <c r="AK272" i="29"/>
  <c r="AL271" i="29"/>
  <c r="AK271" i="29"/>
  <c r="AL270" i="29"/>
  <c r="AK270" i="29"/>
  <c r="AL269" i="29"/>
  <c r="AK269" i="29"/>
  <c r="AL268" i="29"/>
  <c r="AK268" i="29"/>
  <c r="AL267" i="29"/>
  <c r="AK267" i="29"/>
  <c r="AL266" i="29"/>
  <c r="AK266" i="29"/>
  <c r="AL265" i="29"/>
  <c r="AK265" i="29"/>
  <c r="AL264" i="29"/>
  <c r="AK264" i="29"/>
  <c r="AL263" i="29"/>
  <c r="AK263" i="29"/>
  <c r="AL262" i="29"/>
  <c r="AK262" i="29"/>
  <c r="AL261" i="29"/>
  <c r="AK261" i="29"/>
  <c r="AL260" i="29"/>
  <c r="AK260" i="29"/>
  <c r="AL259" i="29"/>
  <c r="AK259" i="29"/>
  <c r="AL258" i="29"/>
  <c r="AK258" i="29"/>
  <c r="AL257" i="29"/>
  <c r="AK257" i="29"/>
  <c r="AL256" i="29"/>
  <c r="AK256" i="29"/>
  <c r="AL255" i="29"/>
  <c r="AK255" i="29"/>
  <c r="AL254" i="29"/>
  <c r="AK254" i="29"/>
  <c r="AL253" i="29"/>
  <c r="AK253" i="29"/>
  <c r="AL252" i="29"/>
  <c r="AK252" i="29"/>
  <c r="AL251" i="29"/>
  <c r="AK251" i="29"/>
  <c r="AL250" i="29"/>
  <c r="AK250" i="29"/>
  <c r="AL249" i="29"/>
  <c r="AK249" i="29"/>
  <c r="AL248" i="29"/>
  <c r="AK248" i="29"/>
  <c r="AL247" i="29"/>
  <c r="AK247" i="29"/>
  <c r="AL246" i="29"/>
  <c r="AK246" i="29"/>
  <c r="AL245" i="29"/>
  <c r="AK245" i="29"/>
  <c r="AL244" i="29"/>
  <c r="AK244" i="29"/>
  <c r="AL243" i="29"/>
  <c r="AK243" i="29"/>
  <c r="AL242" i="29"/>
  <c r="AK242" i="29"/>
  <c r="AL167" i="29"/>
  <c r="AK167" i="29"/>
  <c r="AL166" i="29"/>
  <c r="AK166" i="29"/>
  <c r="AL165" i="29"/>
  <c r="AK165" i="29"/>
  <c r="AL164" i="29"/>
  <c r="AK164" i="29"/>
  <c r="AL163" i="29"/>
  <c r="AK163" i="29"/>
  <c r="AL162" i="29"/>
  <c r="AK162" i="29"/>
  <c r="AL161" i="29"/>
  <c r="AK161" i="29"/>
  <c r="AL160" i="29"/>
  <c r="AK160" i="29"/>
  <c r="AL159" i="29"/>
  <c r="AK159" i="29"/>
  <c r="AL158" i="29"/>
  <c r="AK158" i="29"/>
  <c r="AL157" i="29"/>
  <c r="AK157" i="29"/>
  <c r="AL156" i="29"/>
  <c r="AK156" i="29"/>
  <c r="AL155" i="29"/>
  <c r="AK155" i="29"/>
  <c r="AL154" i="29"/>
  <c r="AK154" i="29"/>
  <c r="AL153" i="29"/>
  <c r="AK153" i="29"/>
  <c r="AL152" i="29"/>
  <c r="AK152" i="29"/>
  <c r="AL151" i="29"/>
  <c r="AK151" i="29"/>
  <c r="AL150" i="29"/>
  <c r="AK150" i="29"/>
  <c r="AL149" i="29"/>
  <c r="AK149" i="29"/>
  <c r="AL148" i="29"/>
  <c r="AK148" i="29"/>
  <c r="AL147" i="29"/>
  <c r="AK147" i="29"/>
  <c r="AL146" i="29"/>
  <c r="AK146" i="29"/>
  <c r="AL145" i="29"/>
  <c r="AK145" i="29"/>
  <c r="AL144" i="29"/>
  <c r="AK144" i="29"/>
  <c r="AL143" i="29"/>
  <c r="AK143" i="29"/>
  <c r="AL142" i="29"/>
  <c r="AK142" i="29"/>
  <c r="AL141" i="29"/>
  <c r="AK141" i="29"/>
  <c r="AL140" i="29"/>
  <c r="AK140" i="29"/>
  <c r="AL139" i="29"/>
  <c r="AK139" i="29"/>
  <c r="AL138" i="29"/>
  <c r="AK138" i="29"/>
  <c r="AL137" i="29"/>
  <c r="AK137" i="29"/>
  <c r="AL136" i="29"/>
  <c r="AK136" i="29"/>
  <c r="AL135" i="29"/>
  <c r="AK135" i="29"/>
  <c r="AL134" i="29"/>
  <c r="AK134" i="29"/>
  <c r="AL133" i="29"/>
  <c r="AK133" i="29"/>
  <c r="AL132" i="29"/>
  <c r="AK132" i="29"/>
  <c r="AL131" i="29"/>
  <c r="AK131" i="29"/>
  <c r="AL130" i="29"/>
  <c r="AK130" i="29"/>
  <c r="AL129" i="29"/>
  <c r="AK129" i="29"/>
  <c r="AL128" i="29"/>
  <c r="AK128" i="29"/>
  <c r="AL127" i="29"/>
  <c r="AK127" i="29"/>
  <c r="AL126" i="29"/>
  <c r="AK126" i="29"/>
  <c r="AL125" i="29"/>
  <c r="AK125" i="29"/>
  <c r="AL124" i="29"/>
  <c r="AK124" i="29"/>
  <c r="AL123" i="29"/>
  <c r="AK123" i="29"/>
  <c r="AL122" i="29"/>
  <c r="AK122" i="29"/>
  <c r="AL121" i="29"/>
  <c r="AK121" i="29"/>
  <c r="AL120" i="29"/>
  <c r="AK120" i="29"/>
  <c r="AL119" i="29"/>
  <c r="AK119" i="29"/>
  <c r="AL118" i="29"/>
  <c r="AK118" i="29"/>
  <c r="AL117" i="29"/>
  <c r="AK117" i="29"/>
  <c r="AL116" i="29"/>
  <c r="AK116" i="29"/>
  <c r="AL115" i="29"/>
  <c r="AK115" i="29"/>
  <c r="AL114" i="29"/>
  <c r="AK114" i="29"/>
  <c r="AL113" i="29"/>
  <c r="AK113" i="29"/>
  <c r="AL112" i="29"/>
  <c r="AK112" i="29"/>
  <c r="AL111" i="29"/>
  <c r="AK111" i="29"/>
  <c r="AL108" i="29"/>
  <c r="AK108" i="29"/>
  <c r="AL107" i="29"/>
  <c r="AK107" i="29"/>
  <c r="AL104" i="29"/>
  <c r="AK104" i="29"/>
  <c r="AL74" i="29"/>
  <c r="AK74" i="29"/>
  <c r="AL68" i="29"/>
  <c r="AK68" i="29"/>
  <c r="AL67" i="29"/>
  <c r="AK67" i="29"/>
  <c r="AL66" i="29"/>
  <c r="AK66" i="29"/>
  <c r="AL65" i="29"/>
  <c r="AK65" i="29"/>
  <c r="AL64" i="29"/>
  <c r="AK64" i="29"/>
  <c r="AL63" i="29"/>
  <c r="AK63" i="29"/>
  <c r="AL62" i="29"/>
  <c r="AK62" i="29"/>
  <c r="AL61" i="29"/>
  <c r="AK61" i="29"/>
  <c r="AL60" i="29"/>
  <c r="AK60" i="29"/>
  <c r="AL59" i="29"/>
  <c r="AK59" i="29"/>
  <c r="AL58" i="29"/>
  <c r="AK58" i="29"/>
  <c r="AL57" i="29"/>
  <c r="AK57" i="29"/>
  <c r="AL56" i="29"/>
  <c r="AK56" i="29"/>
  <c r="AL55" i="29"/>
  <c r="AK55" i="29"/>
  <c r="AL54" i="29"/>
  <c r="AK54" i="29"/>
  <c r="AL51" i="29"/>
  <c r="AK51" i="29"/>
  <c r="AL49" i="29"/>
  <c r="AK49" i="29"/>
  <c r="AL48" i="29"/>
  <c r="AK48" i="29"/>
  <c r="AL47" i="29"/>
  <c r="AK47" i="29"/>
  <c r="AL46" i="29"/>
  <c r="AK46" i="29"/>
  <c r="AL45" i="29"/>
  <c r="AK45" i="29"/>
  <c r="AL44" i="29"/>
  <c r="AK44" i="29"/>
  <c r="AL43" i="29"/>
  <c r="AK43" i="29"/>
  <c r="AL42" i="29"/>
  <c r="AK42" i="29"/>
  <c r="AL41" i="29"/>
  <c r="AK41" i="29"/>
  <c r="AL40" i="29"/>
  <c r="AK40" i="29"/>
  <c r="AL39" i="29"/>
  <c r="AK39" i="29"/>
  <c r="AL38" i="29"/>
  <c r="AK38" i="29"/>
  <c r="AL37" i="29"/>
  <c r="AK37" i="29"/>
  <c r="AL36" i="29"/>
  <c r="AK36" i="29"/>
  <c r="AL35" i="29"/>
  <c r="AK35" i="29"/>
  <c r="AL34" i="29"/>
  <c r="AK34" i="29"/>
  <c r="AL33" i="29"/>
  <c r="AK33" i="29"/>
  <c r="AL4" i="29"/>
  <c r="AK4" i="29"/>
  <c r="AL3" i="29"/>
  <c r="AK3" i="29"/>
  <c r="AL2" i="29"/>
  <c r="AK2" i="29"/>
  <c r="AD430" i="29"/>
  <c r="AC430" i="29"/>
  <c r="AD429" i="29"/>
  <c r="AC429" i="29"/>
  <c r="AD428" i="29"/>
  <c r="AC428" i="29"/>
  <c r="AD427" i="29"/>
  <c r="AC427" i="29"/>
  <c r="AD426" i="29"/>
  <c r="AC426" i="29"/>
  <c r="AD425" i="29"/>
  <c r="AC425" i="29"/>
  <c r="AD424" i="29"/>
  <c r="AC424" i="29"/>
  <c r="AD423" i="29"/>
  <c r="AC423" i="29"/>
  <c r="AD422" i="29"/>
  <c r="AC422" i="29"/>
  <c r="AD421" i="29"/>
  <c r="AC421" i="29"/>
  <c r="AD420" i="29"/>
  <c r="AC420" i="29"/>
  <c r="AD419" i="29"/>
  <c r="AC419" i="29"/>
  <c r="AD418" i="29"/>
  <c r="AC418" i="29"/>
  <c r="AD417" i="29"/>
  <c r="AC417" i="29"/>
  <c r="AD416" i="29"/>
  <c r="AC416" i="29"/>
  <c r="AD415" i="29"/>
  <c r="AC415" i="29"/>
  <c r="AD414" i="29"/>
  <c r="AC414" i="29"/>
  <c r="AD413" i="29"/>
  <c r="AC413" i="29"/>
  <c r="AD412" i="29"/>
  <c r="AC412" i="29"/>
  <c r="AD411" i="29"/>
  <c r="AC411" i="29"/>
  <c r="AD410" i="29"/>
  <c r="AC410" i="29"/>
  <c r="AD409" i="29"/>
  <c r="AC409" i="29"/>
  <c r="AD408" i="29"/>
  <c r="AC408" i="29"/>
  <c r="AD407" i="29"/>
  <c r="AC407" i="29"/>
  <c r="AD406" i="29"/>
  <c r="AC406" i="29"/>
  <c r="AD405" i="29"/>
  <c r="AC405" i="29"/>
  <c r="AD404" i="29"/>
  <c r="AC404" i="29"/>
  <c r="AD403" i="29"/>
  <c r="AC403" i="29"/>
  <c r="AD402" i="29"/>
  <c r="AC402" i="29"/>
  <c r="AD401" i="29"/>
  <c r="AC401" i="29"/>
  <c r="AD400" i="29"/>
  <c r="AC400" i="29"/>
  <c r="AD399" i="29"/>
  <c r="AC399" i="29"/>
  <c r="AD398" i="29"/>
  <c r="AC398" i="29"/>
  <c r="AD397" i="29"/>
  <c r="AC397" i="29"/>
  <c r="AD396" i="29"/>
  <c r="AC396" i="29"/>
  <c r="AD395" i="29"/>
  <c r="AC395" i="29"/>
  <c r="AD394" i="29"/>
  <c r="AC394" i="29"/>
  <c r="AD393" i="29"/>
  <c r="AC393" i="29"/>
  <c r="AD392" i="29"/>
  <c r="AC392" i="29"/>
  <c r="AD391" i="29"/>
  <c r="AC391" i="29"/>
  <c r="AD390" i="29"/>
  <c r="AC390" i="29"/>
  <c r="AD389" i="29"/>
  <c r="AC389" i="29"/>
  <c r="AD388" i="29"/>
  <c r="AC388" i="29"/>
  <c r="AD387" i="29"/>
  <c r="AC387" i="29"/>
  <c r="AD386" i="29"/>
  <c r="AC386" i="29"/>
  <c r="AD385" i="29"/>
  <c r="AC385" i="29"/>
  <c r="AD384" i="29"/>
  <c r="AC384" i="29"/>
  <c r="AD383" i="29"/>
  <c r="AC383" i="29"/>
  <c r="AD382" i="29"/>
  <c r="AC382" i="29"/>
  <c r="AD381" i="29"/>
  <c r="AC381" i="29"/>
  <c r="AD380" i="29"/>
  <c r="AC380" i="29"/>
  <c r="AD379" i="29"/>
  <c r="AC379" i="29"/>
  <c r="AD378" i="29"/>
  <c r="AC378" i="29"/>
  <c r="AD377" i="29"/>
  <c r="AC377" i="29"/>
  <c r="AD376" i="29"/>
  <c r="AC376" i="29"/>
  <c r="AD375" i="29"/>
  <c r="AC375" i="29"/>
  <c r="AD374" i="29"/>
  <c r="AC374" i="29"/>
  <c r="AD373" i="29"/>
  <c r="AC373" i="29"/>
  <c r="AD372" i="29"/>
  <c r="AC372" i="29"/>
  <c r="AD371" i="29"/>
  <c r="AC371" i="29"/>
  <c r="AD370" i="29"/>
  <c r="AC370" i="29"/>
  <c r="AD369" i="29"/>
  <c r="AC369" i="29"/>
  <c r="AD368" i="29"/>
  <c r="AC368" i="29"/>
  <c r="AD367" i="29"/>
  <c r="AC367" i="29"/>
  <c r="AD366" i="29"/>
  <c r="AC366" i="29"/>
  <c r="AD365" i="29"/>
  <c r="AC365" i="29"/>
  <c r="AD364" i="29"/>
  <c r="AC364" i="29"/>
  <c r="AD363" i="29"/>
  <c r="AC363" i="29"/>
  <c r="AD362" i="29"/>
  <c r="AC362" i="29"/>
  <c r="AD361" i="29"/>
  <c r="AC361" i="29"/>
  <c r="AD360" i="29"/>
  <c r="AC360" i="29"/>
  <c r="AD359" i="29"/>
  <c r="AC359" i="29"/>
  <c r="AD358" i="29"/>
  <c r="AC358" i="29"/>
  <c r="AD357" i="29"/>
  <c r="AC357" i="29"/>
  <c r="AD355" i="29"/>
  <c r="AC355" i="29"/>
  <c r="AD354" i="29"/>
  <c r="AC354" i="29"/>
  <c r="AD353" i="29"/>
  <c r="AC353" i="29"/>
  <c r="AD352" i="29"/>
  <c r="AC352" i="29"/>
  <c r="AD351" i="29"/>
  <c r="AC351" i="29"/>
  <c r="AD349" i="29"/>
  <c r="AC349" i="29"/>
  <c r="AD348" i="29"/>
  <c r="AC348" i="29"/>
  <c r="AD282" i="29"/>
  <c r="AC282" i="29"/>
  <c r="AD278" i="29"/>
  <c r="AC278" i="29"/>
  <c r="AD276" i="29"/>
  <c r="AC276" i="29"/>
  <c r="AD275" i="29"/>
  <c r="AC275" i="29"/>
  <c r="AD274" i="29"/>
  <c r="AC274" i="29"/>
  <c r="AD272" i="29"/>
  <c r="AC272" i="29"/>
  <c r="AD271" i="29"/>
  <c r="AC271" i="29"/>
  <c r="AD270" i="29"/>
  <c r="AC270" i="29"/>
  <c r="AD269" i="29"/>
  <c r="AC269" i="29"/>
  <c r="AD268" i="29"/>
  <c r="AC268" i="29"/>
  <c r="AD267" i="29"/>
  <c r="AC267" i="29"/>
  <c r="AD266" i="29"/>
  <c r="AC266" i="29"/>
  <c r="AD265" i="29"/>
  <c r="AC265" i="29"/>
  <c r="AD264" i="29"/>
  <c r="AC264" i="29"/>
  <c r="AD263" i="29"/>
  <c r="AC263" i="29"/>
  <c r="AD262" i="29"/>
  <c r="AC262" i="29"/>
  <c r="AD261" i="29"/>
  <c r="AC261" i="29"/>
  <c r="AD260" i="29"/>
  <c r="AC260" i="29"/>
  <c r="AD259" i="29"/>
  <c r="AC259" i="29"/>
  <c r="AD258" i="29"/>
  <c r="AC258" i="29"/>
  <c r="AD257" i="29"/>
  <c r="AC257" i="29"/>
  <c r="AD256" i="29"/>
  <c r="AC256" i="29"/>
  <c r="AD255" i="29"/>
  <c r="AC255" i="29"/>
  <c r="AD254" i="29"/>
  <c r="AC254" i="29"/>
  <c r="AD253" i="29"/>
  <c r="AC253" i="29"/>
  <c r="AD252" i="29"/>
  <c r="AC252" i="29"/>
  <c r="AD251" i="29"/>
  <c r="AC251" i="29"/>
  <c r="AD250" i="29"/>
  <c r="AC250" i="29"/>
  <c r="AD249" i="29"/>
  <c r="AC249" i="29"/>
  <c r="AD248" i="29"/>
  <c r="AC248" i="29"/>
  <c r="AD247" i="29"/>
  <c r="AC247" i="29"/>
  <c r="AD246" i="29"/>
  <c r="AC246" i="29"/>
  <c r="AD245" i="29"/>
  <c r="AC245" i="29"/>
  <c r="AD244" i="29"/>
  <c r="AC244" i="29"/>
  <c r="AD243" i="29"/>
  <c r="AC243" i="29"/>
  <c r="AD242" i="29"/>
  <c r="AC242" i="29"/>
  <c r="AD167" i="29"/>
  <c r="AC167" i="29"/>
  <c r="AD166" i="29"/>
  <c r="AC166" i="29"/>
  <c r="AD165" i="29"/>
  <c r="AC165" i="29"/>
  <c r="AD164" i="29"/>
  <c r="AC164" i="29"/>
  <c r="AD163" i="29"/>
  <c r="AC163" i="29"/>
  <c r="AD162" i="29"/>
  <c r="AC162" i="29"/>
  <c r="AD161" i="29"/>
  <c r="AC161" i="29"/>
  <c r="AD160" i="29"/>
  <c r="AC160" i="29"/>
  <c r="AD159" i="29"/>
  <c r="AC159" i="29"/>
  <c r="AD158" i="29"/>
  <c r="AC158" i="29"/>
  <c r="AD157" i="29"/>
  <c r="AC157" i="29"/>
  <c r="AD156" i="29"/>
  <c r="AC156" i="29"/>
  <c r="AD155" i="29"/>
  <c r="AC155" i="29"/>
  <c r="AD154" i="29"/>
  <c r="AC154" i="29"/>
  <c r="AD153" i="29"/>
  <c r="AC153" i="29"/>
  <c r="AD152" i="29"/>
  <c r="AC152" i="29"/>
  <c r="AD151" i="29"/>
  <c r="AC151" i="29"/>
  <c r="AD150" i="29"/>
  <c r="AC150" i="29"/>
  <c r="AD149" i="29"/>
  <c r="AC149" i="29"/>
  <c r="AD148" i="29"/>
  <c r="AC148" i="29"/>
  <c r="AD147" i="29"/>
  <c r="AC147" i="29"/>
  <c r="AD146" i="29"/>
  <c r="AC146" i="29"/>
  <c r="AD145" i="29"/>
  <c r="AC145" i="29"/>
  <c r="AD144" i="29"/>
  <c r="AC144" i="29"/>
  <c r="AD143" i="29"/>
  <c r="AC143" i="29"/>
  <c r="AD142" i="29"/>
  <c r="AC142" i="29"/>
  <c r="AD141" i="29"/>
  <c r="AC141" i="29"/>
  <c r="AD140" i="29"/>
  <c r="AC140" i="29"/>
  <c r="AD139" i="29"/>
  <c r="AC139" i="29"/>
  <c r="AD138" i="29"/>
  <c r="AC138" i="29"/>
  <c r="AD137" i="29"/>
  <c r="AC137" i="29"/>
  <c r="AD136" i="29"/>
  <c r="AC136" i="29"/>
  <c r="AD135" i="29"/>
  <c r="AC135" i="29"/>
  <c r="AD134" i="29"/>
  <c r="AC134" i="29"/>
  <c r="AD133" i="29"/>
  <c r="AC133" i="29"/>
  <c r="AD132" i="29"/>
  <c r="AC132" i="29"/>
  <c r="AD131" i="29"/>
  <c r="AC131" i="29"/>
  <c r="AD130" i="29"/>
  <c r="AC130" i="29"/>
  <c r="AD129" i="29"/>
  <c r="AC129" i="29"/>
  <c r="AD128" i="29"/>
  <c r="AC128" i="29"/>
  <c r="AD127" i="29"/>
  <c r="AC127" i="29"/>
  <c r="AD126" i="29"/>
  <c r="AC126" i="29"/>
  <c r="AD125" i="29"/>
  <c r="AC125" i="29"/>
  <c r="AD124" i="29"/>
  <c r="AC124" i="29"/>
  <c r="AD123" i="29"/>
  <c r="AC123" i="29"/>
  <c r="AD122" i="29"/>
  <c r="AC122" i="29"/>
  <c r="AD121" i="29"/>
  <c r="AC121" i="29"/>
  <c r="AD120" i="29"/>
  <c r="AC120" i="29"/>
  <c r="AD119" i="29"/>
  <c r="AC119" i="29"/>
  <c r="AD118" i="29"/>
  <c r="AC118" i="29"/>
  <c r="AD117" i="29"/>
  <c r="AC117" i="29"/>
  <c r="AD116" i="29"/>
  <c r="AC116" i="29"/>
  <c r="AD115" i="29"/>
  <c r="AC115" i="29"/>
  <c r="AD114" i="29"/>
  <c r="AC114" i="29"/>
  <c r="AD113" i="29"/>
  <c r="AC113" i="29"/>
  <c r="AD112" i="29"/>
  <c r="AC112" i="29"/>
  <c r="AD107" i="29"/>
  <c r="AC107" i="29"/>
  <c r="AD68" i="29"/>
  <c r="AC68" i="29"/>
  <c r="AD65" i="29"/>
  <c r="AC65" i="29"/>
  <c r="AD64" i="29"/>
  <c r="AC64" i="29"/>
  <c r="AD63" i="29"/>
  <c r="AC63" i="29"/>
  <c r="AD62" i="29"/>
  <c r="AC62" i="29"/>
  <c r="AD61" i="29"/>
  <c r="AC61" i="29"/>
  <c r="AD60" i="29"/>
  <c r="AC60" i="29"/>
  <c r="AD59" i="29"/>
  <c r="AC59" i="29"/>
  <c r="AD58" i="29"/>
  <c r="AC58" i="29"/>
  <c r="AD57" i="29"/>
  <c r="AC57" i="29"/>
  <c r="AD56" i="29"/>
  <c r="AC56" i="29"/>
  <c r="AD55" i="29"/>
  <c r="AC55" i="29"/>
  <c r="AD54" i="29"/>
  <c r="AC54" i="29"/>
  <c r="AD51" i="29"/>
  <c r="AC51" i="29"/>
  <c r="AD49" i="29"/>
  <c r="AC49" i="29"/>
  <c r="AD48" i="29"/>
  <c r="AC48" i="29"/>
  <c r="AD47" i="29"/>
  <c r="AC47" i="29"/>
  <c r="AD46" i="29"/>
  <c r="AC46" i="29"/>
  <c r="AD45" i="29"/>
  <c r="AC45" i="29"/>
  <c r="AD44" i="29"/>
  <c r="AC44" i="29"/>
  <c r="AD43" i="29"/>
  <c r="AC43" i="29"/>
  <c r="AD42" i="29"/>
  <c r="AC42" i="29"/>
  <c r="AD41" i="29"/>
  <c r="AC41" i="29"/>
  <c r="AD40" i="29"/>
  <c r="AC40" i="29"/>
  <c r="AD39" i="29"/>
  <c r="AC39" i="29"/>
  <c r="AD38" i="29"/>
  <c r="AC38" i="29"/>
  <c r="AD37" i="29"/>
  <c r="AC37" i="29"/>
  <c r="AD36" i="29"/>
  <c r="AC36" i="29"/>
  <c r="AD35" i="29"/>
  <c r="AC35" i="29"/>
  <c r="AD34" i="29"/>
  <c r="AC34" i="29"/>
  <c r="AD4" i="29"/>
  <c r="AC4" i="29"/>
  <c r="AD3" i="29"/>
  <c r="AC3" i="29"/>
  <c r="AD2" i="29"/>
  <c r="AC2" i="29"/>
  <c r="V430" i="29"/>
  <c r="U430" i="29"/>
  <c r="V429" i="29"/>
  <c r="U429" i="29"/>
  <c r="V428" i="29"/>
  <c r="U428" i="29"/>
  <c r="V427" i="29"/>
  <c r="U427" i="29"/>
  <c r="V426" i="29"/>
  <c r="U426" i="29"/>
  <c r="V425" i="29"/>
  <c r="U425" i="29"/>
  <c r="V424" i="29"/>
  <c r="U424" i="29"/>
  <c r="V423" i="29"/>
  <c r="U423" i="29"/>
  <c r="V422" i="29"/>
  <c r="U422" i="29"/>
  <c r="V421" i="29"/>
  <c r="U421" i="29"/>
  <c r="V420" i="29"/>
  <c r="U420" i="29"/>
  <c r="V419" i="29"/>
  <c r="U419" i="29"/>
  <c r="V418" i="29"/>
  <c r="U418" i="29"/>
  <c r="V417" i="29"/>
  <c r="U417" i="29"/>
  <c r="V416" i="29"/>
  <c r="U416" i="29"/>
  <c r="V415" i="29"/>
  <c r="U415" i="29"/>
  <c r="V414" i="29"/>
  <c r="U414" i="29"/>
  <c r="V413" i="29"/>
  <c r="U413" i="29"/>
  <c r="V412" i="29"/>
  <c r="U412" i="29"/>
  <c r="V411" i="29"/>
  <c r="U411" i="29"/>
  <c r="V410" i="29"/>
  <c r="U410" i="29"/>
  <c r="V409" i="29"/>
  <c r="U409" i="29"/>
  <c r="V408" i="29"/>
  <c r="U408" i="29"/>
  <c r="V407" i="29"/>
  <c r="U407" i="29"/>
  <c r="V406" i="29"/>
  <c r="U406" i="29"/>
  <c r="V405" i="29"/>
  <c r="U405" i="29"/>
  <c r="V404" i="29"/>
  <c r="U404" i="29"/>
  <c r="V403" i="29"/>
  <c r="U403" i="29"/>
  <c r="V402" i="29"/>
  <c r="U402" i="29"/>
  <c r="V401" i="29"/>
  <c r="U401" i="29"/>
  <c r="V400" i="29"/>
  <c r="U400" i="29"/>
  <c r="V399" i="29"/>
  <c r="U399" i="29"/>
  <c r="V398" i="29"/>
  <c r="U398" i="29"/>
  <c r="V397" i="29"/>
  <c r="U397" i="29"/>
  <c r="V396" i="29"/>
  <c r="U396" i="29"/>
  <c r="V395" i="29"/>
  <c r="U395" i="29"/>
  <c r="V394" i="29"/>
  <c r="U394" i="29"/>
  <c r="V393" i="29"/>
  <c r="U393" i="29"/>
  <c r="V392" i="29"/>
  <c r="U392" i="29"/>
  <c r="V391" i="29"/>
  <c r="U391" i="29"/>
  <c r="V390" i="29"/>
  <c r="U390" i="29"/>
  <c r="V389" i="29"/>
  <c r="U389" i="29"/>
  <c r="V388" i="29"/>
  <c r="U388" i="29"/>
  <c r="V387" i="29"/>
  <c r="U387" i="29"/>
  <c r="V386" i="29"/>
  <c r="U386" i="29"/>
  <c r="V385" i="29"/>
  <c r="U385" i="29"/>
  <c r="V384" i="29"/>
  <c r="U384" i="29"/>
  <c r="V383" i="29"/>
  <c r="U383" i="29"/>
  <c r="V382" i="29"/>
  <c r="U382" i="29"/>
  <c r="V381" i="29"/>
  <c r="U381" i="29"/>
  <c r="V380" i="29"/>
  <c r="U380" i="29"/>
  <c r="V379" i="29"/>
  <c r="U379" i="29"/>
  <c r="V378" i="29"/>
  <c r="U378" i="29"/>
  <c r="V377" i="29"/>
  <c r="U377" i="29"/>
  <c r="V376" i="29"/>
  <c r="U376" i="29"/>
  <c r="V375" i="29"/>
  <c r="U375" i="29"/>
  <c r="V374" i="29"/>
  <c r="U374" i="29"/>
  <c r="V373" i="29"/>
  <c r="U373" i="29"/>
  <c r="V372" i="29"/>
  <c r="U372" i="29"/>
  <c r="V371" i="29"/>
  <c r="U371" i="29"/>
  <c r="V370" i="29"/>
  <c r="U370" i="29"/>
  <c r="V369" i="29"/>
  <c r="U369" i="29"/>
  <c r="V368" i="29"/>
  <c r="U368" i="29"/>
  <c r="V367" i="29"/>
  <c r="U367" i="29"/>
  <c r="V366" i="29"/>
  <c r="U366" i="29"/>
  <c r="V365" i="29"/>
  <c r="U365" i="29"/>
  <c r="V364" i="29"/>
  <c r="U364" i="29"/>
  <c r="V363" i="29"/>
  <c r="U363" i="29"/>
  <c r="V362" i="29"/>
  <c r="U362" i="29"/>
  <c r="V361" i="29"/>
  <c r="U361" i="29"/>
  <c r="V359" i="29"/>
  <c r="U359" i="29"/>
  <c r="V357" i="29"/>
  <c r="U357" i="29"/>
  <c r="V354" i="29"/>
  <c r="U354" i="29"/>
  <c r="V353" i="29"/>
  <c r="U353" i="29"/>
  <c r="V352" i="29"/>
  <c r="U352" i="29"/>
  <c r="V351" i="29"/>
  <c r="U351" i="29"/>
  <c r="V349" i="29"/>
  <c r="U349" i="29"/>
  <c r="V282" i="29"/>
  <c r="U282" i="29"/>
  <c r="V278" i="29"/>
  <c r="U278" i="29"/>
  <c r="V276" i="29"/>
  <c r="U276" i="29"/>
  <c r="V274" i="29"/>
  <c r="U274" i="29"/>
  <c r="V271" i="29"/>
  <c r="U271" i="29"/>
  <c r="V269" i="29"/>
  <c r="U269" i="29"/>
  <c r="V268" i="29"/>
  <c r="U268" i="29"/>
  <c r="V267" i="29"/>
  <c r="U267" i="29"/>
  <c r="V266" i="29"/>
  <c r="U266" i="29"/>
  <c r="V265" i="29"/>
  <c r="U265" i="29"/>
  <c r="V264" i="29"/>
  <c r="U264" i="29"/>
  <c r="V263" i="29"/>
  <c r="U263" i="29"/>
  <c r="V262" i="29"/>
  <c r="U262" i="29"/>
  <c r="V261" i="29"/>
  <c r="U261" i="29"/>
  <c r="V260" i="29"/>
  <c r="U260" i="29"/>
  <c r="V259" i="29"/>
  <c r="U259" i="29"/>
  <c r="V258" i="29"/>
  <c r="U258" i="29"/>
  <c r="V257" i="29"/>
  <c r="U257" i="29"/>
  <c r="V256" i="29"/>
  <c r="U256" i="29"/>
  <c r="V255" i="29"/>
  <c r="U255" i="29"/>
  <c r="V254" i="29"/>
  <c r="U254" i="29"/>
  <c r="V253" i="29"/>
  <c r="U253" i="29"/>
  <c r="V252" i="29"/>
  <c r="U252" i="29"/>
  <c r="V251" i="29"/>
  <c r="U251" i="29"/>
  <c r="V250" i="29"/>
  <c r="U250" i="29"/>
  <c r="V249" i="29"/>
  <c r="U249" i="29"/>
  <c r="V248" i="29"/>
  <c r="U248" i="29"/>
  <c r="V247" i="29"/>
  <c r="U247" i="29"/>
  <c r="V246" i="29"/>
  <c r="U246" i="29"/>
  <c r="V245" i="29"/>
  <c r="U245" i="29"/>
  <c r="V244" i="29"/>
  <c r="U244" i="29"/>
  <c r="V243" i="29"/>
  <c r="U243" i="29"/>
  <c r="V242" i="29"/>
  <c r="U242" i="29"/>
  <c r="V167" i="29"/>
  <c r="U167" i="29"/>
  <c r="V166" i="29"/>
  <c r="U166" i="29"/>
  <c r="V165" i="29"/>
  <c r="U165" i="29"/>
  <c r="V164" i="29"/>
  <c r="U164" i="29"/>
  <c r="V163" i="29"/>
  <c r="U163" i="29"/>
  <c r="V162" i="29"/>
  <c r="U162" i="29"/>
  <c r="V161" i="29"/>
  <c r="U161" i="29"/>
  <c r="V160" i="29"/>
  <c r="U160" i="29"/>
  <c r="V159" i="29"/>
  <c r="U159" i="29"/>
  <c r="V158" i="29"/>
  <c r="U158" i="29"/>
  <c r="V157" i="29"/>
  <c r="U157" i="29"/>
  <c r="V156" i="29"/>
  <c r="U156" i="29"/>
  <c r="V155" i="29"/>
  <c r="U155" i="29"/>
  <c r="V154" i="29"/>
  <c r="U154" i="29"/>
  <c r="V153" i="29"/>
  <c r="U153" i="29"/>
  <c r="V152" i="29"/>
  <c r="U152" i="29"/>
  <c r="V151" i="29"/>
  <c r="U151" i="29"/>
  <c r="V150" i="29"/>
  <c r="U150" i="29"/>
  <c r="V149" i="29"/>
  <c r="U149" i="29"/>
  <c r="V148" i="29"/>
  <c r="U148" i="29"/>
  <c r="V147" i="29"/>
  <c r="U147" i="29"/>
  <c r="V146" i="29"/>
  <c r="U146" i="29"/>
  <c r="V145" i="29"/>
  <c r="U145" i="29"/>
  <c r="V144" i="29"/>
  <c r="U144" i="29"/>
  <c r="V143" i="29"/>
  <c r="U143" i="29"/>
  <c r="V142" i="29"/>
  <c r="U142" i="29"/>
  <c r="V141" i="29"/>
  <c r="U141" i="29"/>
  <c r="V140" i="29"/>
  <c r="U140" i="29"/>
  <c r="V139" i="29"/>
  <c r="U139" i="29"/>
  <c r="V138" i="29"/>
  <c r="U138" i="29"/>
  <c r="V137" i="29"/>
  <c r="U137" i="29"/>
  <c r="V136" i="29"/>
  <c r="U136" i="29"/>
  <c r="V135" i="29"/>
  <c r="U135" i="29"/>
  <c r="V134" i="29"/>
  <c r="U134" i="29"/>
  <c r="V133" i="29"/>
  <c r="U133" i="29"/>
  <c r="V132" i="29"/>
  <c r="U132" i="29"/>
  <c r="V131" i="29"/>
  <c r="U131" i="29"/>
  <c r="V130" i="29"/>
  <c r="U130" i="29"/>
  <c r="V129" i="29"/>
  <c r="U129" i="29"/>
  <c r="V128" i="29"/>
  <c r="U128" i="29"/>
  <c r="V127" i="29"/>
  <c r="U127" i="29"/>
  <c r="V126" i="29"/>
  <c r="U126" i="29"/>
  <c r="V125" i="29"/>
  <c r="U125" i="29"/>
  <c r="V124" i="29"/>
  <c r="U124" i="29"/>
  <c r="V123" i="29"/>
  <c r="U123" i="29"/>
  <c r="V122" i="29"/>
  <c r="U122" i="29"/>
  <c r="V121" i="29"/>
  <c r="U121" i="29"/>
  <c r="V120" i="29"/>
  <c r="U120" i="29"/>
  <c r="V119" i="29"/>
  <c r="U119" i="29"/>
  <c r="V118" i="29"/>
  <c r="U118" i="29"/>
  <c r="V117" i="29"/>
  <c r="U117" i="29"/>
  <c r="V116" i="29"/>
  <c r="U116" i="29"/>
  <c r="V115" i="29"/>
  <c r="U115" i="29"/>
  <c r="V113" i="29"/>
  <c r="U113" i="29"/>
  <c r="V112" i="29"/>
  <c r="U112" i="29"/>
  <c r="V68" i="29"/>
  <c r="U68" i="29"/>
  <c r="V65" i="29"/>
  <c r="U65" i="29"/>
  <c r="V64" i="29"/>
  <c r="U64" i="29"/>
  <c r="V63" i="29"/>
  <c r="U63" i="29"/>
  <c r="V62" i="29"/>
  <c r="U62" i="29"/>
  <c r="V61" i="29"/>
  <c r="U61" i="29"/>
  <c r="V59" i="29"/>
  <c r="U59" i="29"/>
  <c r="V58" i="29"/>
  <c r="U58" i="29"/>
  <c r="V57" i="29"/>
  <c r="U57" i="29"/>
  <c r="V56" i="29"/>
  <c r="U56" i="29"/>
  <c r="V55" i="29"/>
  <c r="U55" i="29"/>
  <c r="V54" i="29"/>
  <c r="U54" i="29"/>
  <c r="V51" i="29"/>
  <c r="U51" i="29"/>
  <c r="V49" i="29"/>
  <c r="U49" i="29"/>
  <c r="V48" i="29"/>
  <c r="U48" i="29"/>
  <c r="V47" i="29"/>
  <c r="U47" i="29"/>
  <c r="V46" i="29"/>
  <c r="U46" i="29"/>
  <c r="V45" i="29"/>
  <c r="U45" i="29"/>
  <c r="V44" i="29"/>
  <c r="U44" i="29"/>
  <c r="V43" i="29"/>
  <c r="U43" i="29"/>
  <c r="V42" i="29"/>
  <c r="U42" i="29"/>
  <c r="V41" i="29"/>
  <c r="U41" i="29"/>
  <c r="V40" i="29"/>
  <c r="U40" i="29"/>
  <c r="V39" i="29"/>
  <c r="U39" i="29"/>
  <c r="V37" i="29"/>
  <c r="U37" i="29"/>
  <c r="V36" i="29"/>
  <c r="U36" i="29"/>
  <c r="V35" i="29"/>
  <c r="U35" i="29"/>
  <c r="V34" i="29"/>
  <c r="U34" i="29"/>
  <c r="V3" i="29"/>
  <c r="U3" i="29"/>
  <c r="V2" i="29"/>
  <c r="U2" i="29"/>
  <c r="N430" i="29"/>
  <c r="M430" i="29"/>
  <c r="N429" i="29"/>
  <c r="M429" i="29"/>
  <c r="N428" i="29"/>
  <c r="M428" i="29"/>
  <c r="N427" i="29"/>
  <c r="M427" i="29"/>
  <c r="N426" i="29"/>
  <c r="M426" i="29"/>
  <c r="N425" i="29"/>
  <c r="M425" i="29"/>
  <c r="N424" i="29"/>
  <c r="M424" i="29"/>
  <c r="N423" i="29"/>
  <c r="M423" i="29"/>
  <c r="N422" i="29"/>
  <c r="M422" i="29"/>
  <c r="N421" i="29"/>
  <c r="M421" i="29"/>
  <c r="N420" i="29"/>
  <c r="M420" i="29"/>
  <c r="N419" i="29"/>
  <c r="M419" i="29"/>
  <c r="N418" i="29"/>
  <c r="M418" i="29"/>
  <c r="N417" i="29"/>
  <c r="M417" i="29"/>
  <c r="N416" i="29"/>
  <c r="M416" i="29"/>
  <c r="N415" i="29"/>
  <c r="M415" i="29"/>
  <c r="N414" i="29"/>
  <c r="M414" i="29"/>
  <c r="N413" i="29"/>
  <c r="M413" i="29"/>
  <c r="N412" i="29"/>
  <c r="M412" i="29"/>
  <c r="N411" i="29"/>
  <c r="M411" i="29"/>
  <c r="N410" i="29"/>
  <c r="M410" i="29"/>
  <c r="N409" i="29"/>
  <c r="M409" i="29"/>
  <c r="N408" i="29"/>
  <c r="M408" i="29"/>
  <c r="N407" i="29"/>
  <c r="M407" i="29"/>
  <c r="N406" i="29"/>
  <c r="M406" i="29"/>
  <c r="N405" i="29"/>
  <c r="M405" i="29"/>
  <c r="N404" i="29"/>
  <c r="M404" i="29"/>
  <c r="N403" i="29"/>
  <c r="M403" i="29"/>
  <c r="N402" i="29"/>
  <c r="M402" i="29"/>
  <c r="N401" i="29"/>
  <c r="M401" i="29"/>
  <c r="N400" i="29"/>
  <c r="M400" i="29"/>
  <c r="N399" i="29"/>
  <c r="M399" i="29"/>
  <c r="N398" i="29"/>
  <c r="M398" i="29"/>
  <c r="N397" i="29"/>
  <c r="M397" i="29"/>
  <c r="N396" i="29"/>
  <c r="M396" i="29"/>
  <c r="N395" i="29"/>
  <c r="M395" i="29"/>
  <c r="N394" i="29"/>
  <c r="M394" i="29"/>
  <c r="N393" i="29"/>
  <c r="M393" i="29"/>
  <c r="N392" i="29"/>
  <c r="M392" i="29"/>
  <c r="N391" i="29"/>
  <c r="M391" i="29"/>
  <c r="N390" i="29"/>
  <c r="M390" i="29"/>
  <c r="N389" i="29"/>
  <c r="M389" i="29"/>
  <c r="N388" i="29"/>
  <c r="M388" i="29"/>
  <c r="N387" i="29"/>
  <c r="M387" i="29"/>
  <c r="N386" i="29"/>
  <c r="M386" i="29"/>
  <c r="N385" i="29"/>
  <c r="M385" i="29"/>
  <c r="N384" i="29"/>
  <c r="M384" i="29"/>
  <c r="N383" i="29"/>
  <c r="M383" i="29"/>
  <c r="N382" i="29"/>
  <c r="M382" i="29"/>
  <c r="N381" i="29"/>
  <c r="M381" i="29"/>
  <c r="N380" i="29"/>
  <c r="M380" i="29"/>
  <c r="N379" i="29"/>
  <c r="M379" i="29"/>
  <c r="N378" i="29"/>
  <c r="M378" i="29"/>
  <c r="N377" i="29"/>
  <c r="M377" i="29"/>
  <c r="N376" i="29"/>
  <c r="M376" i="29"/>
  <c r="N375" i="29"/>
  <c r="M375" i="29"/>
  <c r="N374" i="29"/>
  <c r="M374" i="29"/>
  <c r="N373" i="29"/>
  <c r="M373" i="29"/>
  <c r="N372" i="29"/>
  <c r="M372" i="29"/>
  <c r="N371" i="29"/>
  <c r="M371" i="29"/>
  <c r="N370" i="29"/>
  <c r="M370" i="29"/>
  <c r="N369" i="29"/>
  <c r="M369" i="29"/>
  <c r="N367" i="29"/>
  <c r="M367" i="29"/>
  <c r="N366" i="29"/>
  <c r="M366" i="29"/>
  <c r="N365" i="29"/>
  <c r="M365" i="29"/>
  <c r="N364" i="29"/>
  <c r="M364" i="29"/>
  <c r="N363" i="29"/>
  <c r="M363" i="29"/>
  <c r="N362" i="29"/>
  <c r="M362" i="29"/>
  <c r="N361" i="29"/>
  <c r="M361" i="29"/>
  <c r="N359" i="29"/>
  <c r="M359" i="29"/>
  <c r="N357" i="29"/>
  <c r="M357" i="29"/>
  <c r="N354" i="29"/>
  <c r="M354" i="29"/>
  <c r="N353" i="29"/>
  <c r="M353" i="29"/>
  <c r="N352" i="29"/>
  <c r="M352" i="29"/>
  <c r="N276" i="29"/>
  <c r="M276" i="29"/>
  <c r="N271" i="29"/>
  <c r="M271" i="29"/>
  <c r="N269" i="29"/>
  <c r="M269" i="29"/>
  <c r="N266" i="29"/>
  <c r="M266" i="29"/>
  <c r="N265" i="29"/>
  <c r="M265" i="29"/>
  <c r="N264" i="29"/>
  <c r="M264" i="29"/>
  <c r="N263" i="29"/>
  <c r="M263" i="29"/>
  <c r="N262" i="29"/>
  <c r="M262" i="29"/>
  <c r="N261" i="29"/>
  <c r="M261" i="29"/>
  <c r="N260" i="29"/>
  <c r="M260" i="29"/>
  <c r="N259" i="29"/>
  <c r="M259" i="29"/>
  <c r="N258" i="29"/>
  <c r="M258" i="29"/>
  <c r="N257" i="29"/>
  <c r="M257" i="29"/>
  <c r="N256" i="29"/>
  <c r="M256" i="29"/>
  <c r="N255" i="29"/>
  <c r="M255" i="29"/>
  <c r="N254" i="29"/>
  <c r="M254" i="29"/>
  <c r="N253" i="29"/>
  <c r="M253" i="29"/>
  <c r="N252" i="29"/>
  <c r="M252" i="29"/>
  <c r="N251" i="29"/>
  <c r="M251" i="29"/>
  <c r="N250" i="29"/>
  <c r="M250" i="29"/>
  <c r="N249" i="29"/>
  <c r="M249" i="29"/>
  <c r="N248" i="29"/>
  <c r="M248" i="29"/>
  <c r="N247" i="29"/>
  <c r="M247" i="29"/>
  <c r="N246" i="29"/>
  <c r="M246" i="29"/>
  <c r="N245" i="29"/>
  <c r="M245" i="29"/>
  <c r="N244" i="29"/>
  <c r="M244" i="29"/>
  <c r="N243" i="29"/>
  <c r="M243" i="29"/>
  <c r="N242" i="29"/>
  <c r="M242" i="29"/>
  <c r="N167" i="29"/>
  <c r="M167" i="29"/>
  <c r="N166" i="29"/>
  <c r="M166" i="29"/>
  <c r="N165" i="29"/>
  <c r="M165" i="29"/>
  <c r="N164" i="29"/>
  <c r="M164" i="29"/>
  <c r="N163" i="29"/>
  <c r="M163" i="29"/>
  <c r="N162" i="29"/>
  <c r="M162" i="29"/>
  <c r="N161" i="29"/>
  <c r="M161" i="29"/>
  <c r="N160" i="29"/>
  <c r="M160" i="29"/>
  <c r="N159" i="29"/>
  <c r="M159" i="29"/>
  <c r="N158" i="29"/>
  <c r="M158" i="29"/>
  <c r="N157" i="29"/>
  <c r="M157" i="29"/>
  <c r="N156" i="29"/>
  <c r="M156" i="29"/>
  <c r="N155" i="29"/>
  <c r="M155" i="29"/>
  <c r="N154" i="29"/>
  <c r="M154" i="29"/>
  <c r="N153" i="29"/>
  <c r="M153" i="29"/>
  <c r="N152" i="29"/>
  <c r="M152" i="29"/>
  <c r="N151" i="29"/>
  <c r="M151" i="29"/>
  <c r="N150" i="29"/>
  <c r="M150" i="29"/>
  <c r="N149" i="29"/>
  <c r="M149" i="29"/>
  <c r="N148" i="29"/>
  <c r="M148" i="29"/>
  <c r="N147" i="29"/>
  <c r="M147" i="29"/>
  <c r="N146" i="29"/>
  <c r="M146" i="29"/>
  <c r="N145" i="29"/>
  <c r="M145" i="29"/>
  <c r="N144" i="29"/>
  <c r="M144" i="29"/>
  <c r="N143" i="29"/>
  <c r="M143" i="29"/>
  <c r="N142" i="29"/>
  <c r="M142" i="29"/>
  <c r="N141" i="29"/>
  <c r="M141" i="29"/>
  <c r="N140" i="29"/>
  <c r="M140" i="29"/>
  <c r="N139" i="29"/>
  <c r="M139" i="29"/>
  <c r="N138" i="29"/>
  <c r="M138" i="29"/>
  <c r="N137" i="29"/>
  <c r="M137" i="29"/>
  <c r="N136" i="29"/>
  <c r="M136" i="29"/>
  <c r="N135" i="29"/>
  <c r="M135" i="29"/>
  <c r="N134" i="29"/>
  <c r="M134" i="29"/>
  <c r="N133" i="29"/>
  <c r="M133" i="29"/>
  <c r="N132" i="29"/>
  <c r="M132" i="29"/>
  <c r="N131" i="29"/>
  <c r="M131" i="29"/>
  <c r="N130" i="29"/>
  <c r="M130" i="29"/>
  <c r="N129" i="29"/>
  <c r="M129" i="29"/>
  <c r="N128" i="29"/>
  <c r="M128" i="29"/>
  <c r="N127" i="29"/>
  <c r="M127" i="29"/>
  <c r="N126" i="29"/>
  <c r="M126" i="29"/>
  <c r="N125" i="29"/>
  <c r="M125" i="29"/>
  <c r="N124" i="29"/>
  <c r="M124" i="29"/>
  <c r="N123" i="29"/>
  <c r="M123" i="29"/>
  <c r="N121" i="29"/>
  <c r="M121" i="29"/>
  <c r="N120" i="29"/>
  <c r="M120" i="29"/>
  <c r="N119" i="29"/>
  <c r="M119" i="29"/>
  <c r="N117" i="29"/>
  <c r="M117" i="29"/>
  <c r="N115" i="29"/>
  <c r="M115" i="29"/>
  <c r="N112" i="29"/>
  <c r="M112" i="29"/>
  <c r="N68" i="29"/>
  <c r="M68" i="29"/>
  <c r="N59" i="29"/>
  <c r="M59" i="29"/>
  <c r="N58" i="29"/>
  <c r="M58" i="29"/>
  <c r="N57" i="29"/>
  <c r="M57" i="29"/>
  <c r="N56" i="29"/>
  <c r="M56" i="29"/>
  <c r="N55" i="29"/>
  <c r="M55" i="29"/>
  <c r="N54" i="29"/>
  <c r="M54" i="29"/>
  <c r="N51" i="29"/>
  <c r="M51" i="29"/>
  <c r="N49" i="29"/>
  <c r="M49" i="29"/>
  <c r="N48" i="29"/>
  <c r="M48" i="29"/>
  <c r="N47" i="29"/>
  <c r="M47" i="29"/>
  <c r="N46" i="29"/>
  <c r="M46" i="29"/>
  <c r="N45" i="29"/>
  <c r="M45" i="29"/>
  <c r="N44" i="29"/>
  <c r="M44" i="29"/>
  <c r="N43" i="29"/>
  <c r="M43" i="29"/>
  <c r="N42" i="29"/>
  <c r="M42" i="29"/>
  <c r="N41" i="29"/>
  <c r="M41" i="29"/>
  <c r="N40" i="29"/>
  <c r="M40" i="29"/>
  <c r="N39" i="29"/>
  <c r="M39" i="29"/>
  <c r="N35" i="29"/>
  <c r="M35" i="29"/>
  <c r="N2" i="29"/>
  <c r="M2" i="29"/>
  <c r="E243" i="29"/>
  <c r="F243" i="29"/>
  <c r="E244" i="29"/>
  <c r="F244" i="29"/>
  <c r="E245" i="29"/>
  <c r="F245" i="29"/>
  <c r="E246" i="29"/>
  <c r="F246" i="29"/>
  <c r="E247" i="29"/>
  <c r="F247" i="29"/>
  <c r="E248" i="29"/>
  <c r="F248" i="29"/>
  <c r="E249" i="29"/>
  <c r="F249" i="29"/>
  <c r="E250" i="29"/>
  <c r="F250" i="29"/>
  <c r="E251" i="29"/>
  <c r="F251" i="29"/>
  <c r="E252" i="29"/>
  <c r="F252" i="29"/>
  <c r="E253" i="29"/>
  <c r="F253" i="29"/>
  <c r="E254" i="29"/>
  <c r="F254" i="29"/>
  <c r="E255" i="29"/>
  <c r="F255" i="29"/>
  <c r="E256" i="29"/>
  <c r="F256" i="29"/>
  <c r="E257" i="29"/>
  <c r="F257" i="29"/>
  <c r="E258" i="29"/>
  <c r="F258" i="29"/>
  <c r="E259" i="29"/>
  <c r="F259" i="29"/>
  <c r="E260" i="29"/>
  <c r="F260" i="29"/>
  <c r="E261" i="29"/>
  <c r="F261" i="29"/>
  <c r="E262" i="29"/>
  <c r="F262" i="29"/>
  <c r="E263" i="29"/>
  <c r="F263" i="29"/>
  <c r="E264" i="29"/>
  <c r="F264" i="29"/>
  <c r="E265" i="29"/>
  <c r="F265" i="29"/>
  <c r="E266" i="29"/>
  <c r="F266" i="29"/>
  <c r="E271" i="29"/>
  <c r="F271" i="29"/>
  <c r="E364" i="29"/>
  <c r="F364" i="29"/>
  <c r="E365" i="29"/>
  <c r="F365" i="29"/>
  <c r="E366" i="29"/>
  <c r="F366" i="29"/>
  <c r="E369" i="29"/>
  <c r="F369" i="29"/>
  <c r="E371" i="29"/>
  <c r="F371" i="29"/>
  <c r="E372" i="29"/>
  <c r="F372" i="29"/>
  <c r="E373" i="29"/>
  <c r="F373" i="29"/>
  <c r="E374" i="29"/>
  <c r="F374" i="29"/>
  <c r="E375" i="29"/>
  <c r="F375" i="29"/>
  <c r="E376" i="29"/>
  <c r="F376" i="29"/>
  <c r="E377" i="29"/>
  <c r="F377" i="29"/>
  <c r="E379" i="29"/>
  <c r="F379" i="29"/>
  <c r="E380" i="29"/>
  <c r="F380" i="29"/>
  <c r="E381" i="29"/>
  <c r="F381" i="29"/>
  <c r="E382" i="29"/>
  <c r="F382" i="29"/>
  <c r="E383" i="29"/>
  <c r="F383" i="29"/>
  <c r="E385" i="29"/>
  <c r="F385" i="29"/>
  <c r="E386" i="29"/>
  <c r="F386" i="29"/>
  <c r="E387" i="29"/>
  <c r="F387" i="29"/>
  <c r="E388" i="29"/>
  <c r="F388" i="29"/>
  <c r="E389" i="29"/>
  <c r="F389" i="29"/>
  <c r="E390" i="29"/>
  <c r="F390" i="29"/>
  <c r="E391" i="29"/>
  <c r="F391" i="29"/>
  <c r="E392" i="29"/>
  <c r="F392" i="29"/>
  <c r="E393" i="29"/>
  <c r="F393" i="29"/>
  <c r="E394" i="29"/>
  <c r="F394" i="29"/>
  <c r="E395" i="29"/>
  <c r="F395" i="29"/>
  <c r="E396" i="29"/>
  <c r="F396" i="29"/>
  <c r="E397" i="29"/>
  <c r="F397" i="29"/>
  <c r="E398" i="29"/>
  <c r="F398" i="29"/>
  <c r="E399" i="29"/>
  <c r="F399" i="29"/>
  <c r="E400" i="29"/>
  <c r="F400" i="29"/>
  <c r="E401" i="29"/>
  <c r="F401" i="29"/>
  <c r="E402" i="29"/>
  <c r="F402" i="29"/>
  <c r="E403" i="29"/>
  <c r="F403" i="29"/>
  <c r="E404" i="29"/>
  <c r="F404" i="29"/>
  <c r="E405" i="29"/>
  <c r="F405" i="29"/>
  <c r="E406" i="29"/>
  <c r="F406" i="29"/>
  <c r="E407" i="29"/>
  <c r="F407" i="29"/>
  <c r="E408" i="29"/>
  <c r="F408" i="29"/>
  <c r="E409" i="29"/>
  <c r="F409" i="29"/>
  <c r="E410" i="29"/>
  <c r="F410" i="29"/>
  <c r="E411" i="29"/>
  <c r="F411" i="29"/>
  <c r="E412" i="29"/>
  <c r="F412" i="29"/>
  <c r="E413" i="29"/>
  <c r="F413" i="29"/>
  <c r="E414" i="29"/>
  <c r="F414" i="29"/>
  <c r="E415" i="29"/>
  <c r="F415" i="29"/>
  <c r="E416" i="29"/>
  <c r="F416" i="29"/>
  <c r="E417" i="29"/>
  <c r="F417" i="29"/>
  <c r="E418" i="29"/>
  <c r="F418" i="29"/>
  <c r="E419" i="29"/>
  <c r="F419" i="29"/>
  <c r="E420" i="29"/>
  <c r="F420" i="29"/>
  <c r="E421" i="29"/>
  <c r="F421" i="29"/>
  <c r="E422" i="29"/>
  <c r="F422" i="29"/>
  <c r="E423" i="29"/>
  <c r="F423" i="29"/>
  <c r="E424" i="29"/>
  <c r="F424" i="29"/>
  <c r="E425" i="29"/>
  <c r="F425" i="29"/>
  <c r="E426" i="29"/>
  <c r="F426" i="29"/>
  <c r="E427" i="29"/>
  <c r="F427" i="29"/>
  <c r="E428" i="29"/>
  <c r="F428" i="29"/>
  <c r="E429" i="29"/>
  <c r="F429" i="29"/>
  <c r="E430" i="29"/>
  <c r="F430" i="29"/>
  <c r="F242" i="29"/>
  <c r="E242" i="29"/>
  <c r="E56" i="29"/>
  <c r="F56" i="29"/>
  <c r="E57" i="29"/>
  <c r="F57" i="29"/>
  <c r="E58" i="29"/>
  <c r="F58" i="29"/>
  <c r="E59" i="29"/>
  <c r="F59" i="29"/>
  <c r="E119" i="29"/>
  <c r="F119" i="29"/>
  <c r="E121" i="29"/>
  <c r="F121" i="29"/>
  <c r="E123" i="29"/>
  <c r="F123" i="29"/>
  <c r="E125" i="29"/>
  <c r="F125" i="29"/>
  <c r="E126" i="29"/>
  <c r="F126" i="29"/>
  <c r="E127" i="29"/>
  <c r="F127" i="29"/>
  <c r="E128" i="29"/>
  <c r="F128" i="29"/>
  <c r="E129" i="29"/>
  <c r="F129" i="29"/>
  <c r="E130" i="29"/>
  <c r="F130" i="29"/>
  <c r="E131" i="29"/>
  <c r="F131" i="29"/>
  <c r="E132" i="29"/>
  <c r="F132" i="29"/>
  <c r="E133" i="29"/>
  <c r="F133" i="29"/>
  <c r="E134" i="29"/>
  <c r="F134" i="29"/>
  <c r="E135" i="29"/>
  <c r="F135" i="29"/>
  <c r="E136" i="29"/>
  <c r="F136" i="29"/>
  <c r="E137" i="29"/>
  <c r="F137" i="29"/>
  <c r="E138" i="29"/>
  <c r="F138" i="29"/>
  <c r="E139" i="29"/>
  <c r="F139" i="29"/>
  <c r="E140" i="29"/>
  <c r="F140" i="29"/>
  <c r="E141" i="29"/>
  <c r="F141" i="29"/>
  <c r="E142" i="29"/>
  <c r="F142" i="29"/>
  <c r="E143" i="29"/>
  <c r="F143" i="29"/>
  <c r="E144" i="29"/>
  <c r="F144" i="29"/>
  <c r="E145" i="29"/>
  <c r="F145" i="29"/>
  <c r="E146" i="29"/>
  <c r="F146" i="29"/>
  <c r="E147" i="29"/>
  <c r="F147" i="29"/>
  <c r="E148" i="29"/>
  <c r="F148" i="29"/>
  <c r="E149" i="29"/>
  <c r="F149" i="29"/>
  <c r="E150" i="29"/>
  <c r="F150" i="29"/>
  <c r="E151" i="29"/>
  <c r="F151" i="29"/>
  <c r="E152" i="29"/>
  <c r="F152" i="29"/>
  <c r="E153" i="29"/>
  <c r="F153" i="29"/>
  <c r="E154" i="29"/>
  <c r="F154" i="29"/>
  <c r="E155" i="29"/>
  <c r="F155" i="29"/>
  <c r="E156" i="29"/>
  <c r="F156" i="29"/>
  <c r="E157" i="29"/>
  <c r="F157" i="29"/>
  <c r="E158" i="29"/>
  <c r="F158" i="29"/>
  <c r="E159" i="29"/>
  <c r="F159" i="29"/>
  <c r="E160" i="29"/>
  <c r="F160" i="29"/>
  <c r="E161" i="29"/>
  <c r="F161" i="29"/>
  <c r="E162" i="29"/>
  <c r="F162" i="29"/>
  <c r="E163" i="29"/>
  <c r="F163" i="29"/>
  <c r="E164" i="29"/>
  <c r="F164" i="29"/>
  <c r="E165" i="29"/>
  <c r="F165" i="29"/>
  <c r="E166" i="29"/>
  <c r="F166" i="29"/>
  <c r="E167" i="29"/>
  <c r="F167" i="29"/>
  <c r="F54" i="29"/>
  <c r="E54" i="29"/>
  <c r="F51" i="29"/>
  <c r="E51" i="29"/>
  <c r="E39" i="29"/>
  <c r="F39" i="29"/>
  <c r="E41" i="29"/>
  <c r="F41" i="29"/>
  <c r="E42" i="29"/>
  <c r="F42" i="29"/>
  <c r="E43" i="29"/>
  <c r="F43" i="29"/>
  <c r="E44" i="29"/>
  <c r="F44" i="29"/>
  <c r="E45" i="29"/>
  <c r="F45" i="29"/>
  <c r="E46" i="29"/>
  <c r="F46" i="29"/>
  <c r="E47" i="29"/>
  <c r="F47" i="29"/>
  <c r="E48" i="29"/>
  <c r="F48" i="29"/>
  <c r="E49" i="29"/>
  <c r="F49" i="29"/>
  <c r="F2" i="29"/>
  <c r="E2" i="29"/>
  <c r="BW430" i="29"/>
  <c r="BW429" i="29"/>
  <c r="BW428" i="29"/>
  <c r="BW427" i="29"/>
  <c r="BW426" i="29"/>
  <c r="BW425" i="29"/>
  <c r="BW424" i="29"/>
  <c r="BW423" i="29"/>
  <c r="BW422" i="29"/>
  <c r="BW421" i="29"/>
  <c r="BW420" i="29"/>
  <c r="BW419" i="29"/>
  <c r="BW418" i="29"/>
  <c r="BW417" i="29"/>
  <c r="BW416" i="29"/>
  <c r="BW415" i="29"/>
  <c r="BW414" i="29"/>
  <c r="BW413" i="29"/>
  <c r="BW412" i="29"/>
  <c r="BW411" i="29"/>
  <c r="BW410" i="29"/>
  <c r="BW409" i="29"/>
  <c r="BW408" i="29"/>
  <c r="BW407" i="29"/>
  <c r="BW406" i="29"/>
  <c r="BW405" i="29"/>
  <c r="BW404" i="29"/>
  <c r="BW403" i="29"/>
  <c r="BW402" i="29"/>
  <c r="BW401" i="29"/>
  <c r="BW400" i="29"/>
  <c r="BW399" i="29"/>
  <c r="BW398" i="29"/>
  <c r="BW397" i="29"/>
  <c r="BW396" i="29"/>
  <c r="BW395" i="29"/>
  <c r="BW394" i="29"/>
  <c r="BW393" i="29"/>
  <c r="BW392" i="29"/>
  <c r="BW391" i="29"/>
  <c r="BW390" i="29"/>
  <c r="BW389" i="29"/>
  <c r="BW388" i="29"/>
  <c r="BW387" i="29"/>
  <c r="BW386" i="29"/>
  <c r="BW385" i="29"/>
  <c r="BW384" i="29"/>
  <c r="BW383" i="29"/>
  <c r="BW382" i="29"/>
  <c r="BW381" i="29"/>
  <c r="BW380" i="29"/>
  <c r="BW379" i="29"/>
  <c r="BW378" i="29"/>
  <c r="BW377" i="29"/>
  <c r="BW376" i="29"/>
  <c r="BW375" i="29"/>
  <c r="BW374" i="29"/>
  <c r="BW373" i="29"/>
  <c r="BW372" i="29"/>
  <c r="BW371" i="29"/>
  <c r="BW370" i="29"/>
  <c r="BW369" i="29"/>
  <c r="BW368" i="29"/>
  <c r="BW367" i="29"/>
  <c r="BW366" i="29"/>
  <c r="BW365" i="29"/>
  <c r="BW364" i="29"/>
  <c r="BW363" i="29"/>
  <c r="BW362" i="29"/>
  <c r="BW361" i="29"/>
  <c r="BW360" i="29"/>
  <c r="BW359" i="29"/>
  <c r="BW358" i="29"/>
  <c r="BW357" i="29"/>
  <c r="BW356" i="29"/>
  <c r="BW355" i="29"/>
  <c r="BW354" i="29"/>
  <c r="BW353" i="29"/>
  <c r="BW352" i="29"/>
  <c r="BW351" i="29"/>
  <c r="BW350" i="29"/>
  <c r="BW349" i="29"/>
  <c r="BW348" i="29"/>
  <c r="BW347" i="29"/>
  <c r="BW346" i="29"/>
  <c r="BW345" i="29"/>
  <c r="BW344" i="29"/>
  <c r="BW343" i="29"/>
  <c r="BW342" i="29"/>
  <c r="BW341" i="29"/>
  <c r="BW340" i="29"/>
  <c r="BW339" i="29"/>
  <c r="BW338" i="29"/>
  <c r="BW337" i="29"/>
  <c r="BW336" i="29"/>
  <c r="BW335" i="29"/>
  <c r="BW334" i="29"/>
  <c r="BW333" i="29"/>
  <c r="BW332" i="29"/>
  <c r="BW331" i="29"/>
  <c r="BW330" i="29"/>
  <c r="BW329" i="29"/>
  <c r="BW328" i="29"/>
  <c r="BW327" i="29"/>
  <c r="BW326" i="29"/>
  <c r="BW325" i="29"/>
  <c r="BW324" i="29"/>
  <c r="BW323" i="29"/>
  <c r="BW322" i="29"/>
  <c r="BW321" i="29"/>
  <c r="BW320" i="29"/>
  <c r="BW319" i="29"/>
  <c r="BW318" i="29"/>
  <c r="BW317" i="29"/>
  <c r="BW316" i="29"/>
  <c r="BW315" i="29"/>
  <c r="BW314" i="29"/>
  <c r="BW313" i="29"/>
  <c r="BW312" i="29"/>
  <c r="BW311" i="29"/>
  <c r="BW310" i="29"/>
  <c r="BW309" i="29"/>
  <c r="BW308" i="29"/>
  <c r="BW307" i="29"/>
  <c r="BW306" i="29"/>
  <c r="BW305" i="29"/>
  <c r="BW304" i="29"/>
  <c r="BW303" i="29"/>
  <c r="BW302" i="29"/>
  <c r="BW301" i="29"/>
  <c r="BW300" i="29"/>
  <c r="BW299" i="29"/>
  <c r="BW298" i="29"/>
  <c r="BW297" i="29"/>
  <c r="BW296" i="29"/>
  <c r="BW295" i="29"/>
  <c r="BW294" i="29"/>
  <c r="BW293" i="29"/>
  <c r="BW292" i="29"/>
  <c r="BW291" i="29"/>
  <c r="BW290" i="29"/>
  <c r="BW289" i="29"/>
  <c r="BW288" i="29"/>
  <c r="BW287" i="29"/>
  <c r="BW286" i="29"/>
  <c r="BW285" i="29"/>
  <c r="BW284" i="29"/>
  <c r="BW283" i="29"/>
  <c r="BW282" i="29"/>
  <c r="BW281" i="29"/>
  <c r="BW280" i="29"/>
  <c r="BW279" i="29"/>
  <c r="BW278" i="29"/>
  <c r="BW277" i="29"/>
  <c r="BW276" i="29"/>
  <c r="BW275" i="29"/>
  <c r="BW274" i="29"/>
  <c r="BW273" i="29"/>
  <c r="BW272" i="29"/>
  <c r="BW271" i="29"/>
  <c r="BW270" i="29"/>
  <c r="BW269" i="29"/>
  <c r="BW268" i="29"/>
  <c r="BW267" i="29"/>
  <c r="BW266" i="29"/>
  <c r="BW265" i="29"/>
  <c r="BW264" i="29"/>
  <c r="BW263" i="29"/>
  <c r="BW262" i="29"/>
  <c r="BW261" i="29"/>
  <c r="BW260" i="29"/>
  <c r="BW259" i="29"/>
  <c r="BW258" i="29"/>
  <c r="BW257" i="29"/>
  <c r="BW256" i="29"/>
  <c r="BW255" i="29"/>
  <c r="BW254" i="29"/>
  <c r="BW253" i="29"/>
  <c r="BW252" i="29"/>
  <c r="BW251" i="29"/>
  <c r="BW250" i="29"/>
  <c r="BW249" i="29"/>
  <c r="BW248" i="29"/>
  <c r="BW247" i="29"/>
  <c r="BW246" i="29"/>
  <c r="BW245" i="29"/>
  <c r="BW244" i="29"/>
  <c r="BW243" i="29"/>
  <c r="BW242" i="29"/>
  <c r="BW167" i="29"/>
  <c r="BW166" i="29"/>
  <c r="BW165" i="29"/>
  <c r="BW164" i="29"/>
  <c r="BW163" i="29"/>
  <c r="BW162" i="29"/>
  <c r="BW161" i="29"/>
  <c r="BW160" i="29"/>
  <c r="BW159" i="29"/>
  <c r="BW158" i="29"/>
  <c r="BW157" i="29"/>
  <c r="BW156" i="29"/>
  <c r="BW155" i="29"/>
  <c r="BW154" i="29"/>
  <c r="BW153" i="29"/>
  <c r="BW152" i="29"/>
  <c r="BW151" i="29"/>
  <c r="BW150" i="29"/>
  <c r="BW149" i="29"/>
  <c r="BW148" i="29"/>
  <c r="BW147" i="29"/>
  <c r="BW146" i="29"/>
  <c r="BW145" i="29"/>
  <c r="BW144" i="29"/>
  <c r="BW143" i="29"/>
  <c r="BW142" i="29"/>
  <c r="BW141" i="29"/>
  <c r="BW140" i="29"/>
  <c r="BW139" i="29"/>
  <c r="BW138" i="29"/>
  <c r="BW137" i="29"/>
  <c r="BW136" i="29"/>
  <c r="BW135" i="29"/>
  <c r="BW134" i="29"/>
  <c r="BW133" i="29"/>
  <c r="BW132" i="29"/>
  <c r="BW131" i="29"/>
  <c r="BW130" i="29"/>
  <c r="BW129" i="29"/>
  <c r="BW128" i="29"/>
  <c r="BW127" i="29"/>
  <c r="BW126" i="29"/>
  <c r="BW125" i="29"/>
  <c r="BW124" i="29"/>
  <c r="BW123" i="29"/>
  <c r="BW122" i="29"/>
  <c r="BW121" i="29"/>
  <c r="BW120" i="29"/>
  <c r="BW119" i="29"/>
  <c r="BW118" i="29"/>
  <c r="BW117" i="29"/>
  <c r="BW116" i="29"/>
  <c r="BW115" i="29"/>
  <c r="BW114" i="29"/>
  <c r="BW113" i="29"/>
  <c r="BW112" i="29"/>
  <c r="BW111" i="29"/>
  <c r="BW110" i="29"/>
  <c r="BW109" i="29"/>
  <c r="BW108" i="29"/>
  <c r="BW107" i="29"/>
  <c r="BW106" i="29"/>
  <c r="BW105" i="29"/>
  <c r="BW104" i="29"/>
  <c r="BW103" i="29"/>
  <c r="BW102" i="29"/>
  <c r="BW101" i="29"/>
  <c r="BW100" i="29"/>
  <c r="BW99" i="29"/>
  <c r="BW98" i="29"/>
  <c r="BW97" i="29"/>
  <c r="BW96" i="29"/>
  <c r="BW95" i="29"/>
  <c r="BW94" i="29"/>
  <c r="BW93" i="29"/>
  <c r="BW92" i="29"/>
  <c r="BW91" i="29"/>
  <c r="BW90" i="29"/>
  <c r="BW89" i="29"/>
  <c r="BW88" i="29"/>
  <c r="BW87" i="29"/>
  <c r="BW86" i="29"/>
  <c r="BW85" i="29"/>
  <c r="BW84" i="29"/>
  <c r="BW83" i="29"/>
  <c r="BW82" i="29"/>
  <c r="BW81" i="29"/>
  <c r="BW80" i="29"/>
  <c r="BW79" i="29"/>
  <c r="BW78" i="29"/>
  <c r="BW77" i="29"/>
  <c r="BW76" i="29"/>
  <c r="BW75" i="29"/>
  <c r="BW74" i="29"/>
  <c r="BW73" i="29"/>
  <c r="BW72" i="29"/>
  <c r="BW71" i="29"/>
  <c r="BW70" i="29"/>
  <c r="BW69" i="29"/>
  <c r="BW68" i="29"/>
  <c r="BW67" i="29"/>
  <c r="BW66" i="29"/>
  <c r="BW65" i="29"/>
  <c r="BW64" i="29"/>
  <c r="BW63" i="29"/>
  <c r="BW62" i="29"/>
  <c r="BW61" i="29"/>
  <c r="BW60" i="29"/>
  <c r="BW59" i="29"/>
  <c r="BW58" i="29"/>
  <c r="BW57" i="29"/>
  <c r="BW56" i="29"/>
  <c r="BW55" i="29"/>
  <c r="BW54" i="29"/>
  <c r="BW51" i="29"/>
  <c r="BW49" i="29"/>
  <c r="BW48" i="29"/>
  <c r="BW47" i="29"/>
  <c r="BW46" i="29"/>
  <c r="BW45" i="29"/>
  <c r="BW44" i="29"/>
  <c r="BW43" i="29"/>
  <c r="BW42" i="29"/>
  <c r="BW41" i="29"/>
  <c r="BW40" i="29"/>
  <c r="BW39" i="29"/>
  <c r="BW38" i="29"/>
  <c r="BW37" i="29"/>
  <c r="BW36" i="29"/>
  <c r="BW35" i="29"/>
  <c r="BW34" i="29"/>
  <c r="BW33" i="29"/>
  <c r="BW32" i="29"/>
  <c r="BW31" i="29"/>
  <c r="BW30" i="29"/>
  <c r="BW29" i="29"/>
  <c r="BW28" i="29"/>
  <c r="BW27" i="29"/>
  <c r="BW26" i="29"/>
  <c r="BW25" i="29"/>
  <c r="BW24" i="29"/>
  <c r="BW23" i="29"/>
  <c r="BW22" i="29"/>
  <c r="BW21" i="29"/>
  <c r="BW20" i="29"/>
  <c r="BW19" i="29"/>
  <c r="BW18" i="29"/>
  <c r="BW17" i="29"/>
  <c r="BW16" i="29"/>
  <c r="BW15" i="29"/>
  <c r="BW14" i="29"/>
  <c r="BW13" i="29"/>
  <c r="BW12" i="29"/>
  <c r="BW11" i="29"/>
  <c r="BW10" i="29"/>
  <c r="BW9" i="29"/>
  <c r="BW8" i="29"/>
  <c r="BW7" i="29"/>
  <c r="BW6" i="29"/>
  <c r="BW5" i="29"/>
  <c r="BW4" i="29"/>
  <c r="BW3" i="29"/>
  <c r="BW2" i="29"/>
  <c r="BO430" i="29"/>
  <c r="BO429" i="29"/>
  <c r="BO428" i="29"/>
  <c r="BO427" i="29"/>
  <c r="BO426" i="29"/>
  <c r="BO425" i="29"/>
  <c r="BO424" i="29"/>
  <c r="BO423" i="29"/>
  <c r="BO422" i="29"/>
  <c r="BO421" i="29"/>
  <c r="BO420" i="29"/>
  <c r="BO419" i="29"/>
  <c r="BO418" i="29"/>
  <c r="BO417" i="29"/>
  <c r="BO416" i="29"/>
  <c r="BO415" i="29"/>
  <c r="BO414" i="29"/>
  <c r="BO413" i="29"/>
  <c r="BO412" i="29"/>
  <c r="BO411" i="29"/>
  <c r="BO410" i="29"/>
  <c r="BO409" i="29"/>
  <c r="BO408" i="29"/>
  <c r="BO407" i="29"/>
  <c r="BO406" i="29"/>
  <c r="BO405" i="29"/>
  <c r="BO404" i="29"/>
  <c r="BO403" i="29"/>
  <c r="BO402" i="29"/>
  <c r="BO401" i="29"/>
  <c r="BO400" i="29"/>
  <c r="BO399" i="29"/>
  <c r="BO398" i="29"/>
  <c r="BO397" i="29"/>
  <c r="BO396" i="29"/>
  <c r="BO395" i="29"/>
  <c r="BO394" i="29"/>
  <c r="BO393" i="29"/>
  <c r="BO392" i="29"/>
  <c r="BO391" i="29"/>
  <c r="BO390" i="29"/>
  <c r="BO389" i="29"/>
  <c r="BO388" i="29"/>
  <c r="BO387" i="29"/>
  <c r="BO386" i="29"/>
  <c r="BO385" i="29"/>
  <c r="BO384" i="29"/>
  <c r="BO383" i="29"/>
  <c r="BO382" i="29"/>
  <c r="BO381" i="29"/>
  <c r="BO380" i="29"/>
  <c r="BO379" i="29"/>
  <c r="BO378" i="29"/>
  <c r="BO377" i="29"/>
  <c r="BO376" i="29"/>
  <c r="BO375" i="29"/>
  <c r="BO374" i="29"/>
  <c r="BO373" i="29"/>
  <c r="BO372" i="29"/>
  <c r="BO371" i="29"/>
  <c r="BO370" i="29"/>
  <c r="BO369" i="29"/>
  <c r="BO368" i="29"/>
  <c r="BO367" i="29"/>
  <c r="BO366" i="29"/>
  <c r="BO365" i="29"/>
  <c r="BO364" i="29"/>
  <c r="BO363" i="29"/>
  <c r="BO362" i="29"/>
  <c r="BO361" i="29"/>
  <c r="BO360" i="29"/>
  <c r="BO359" i="29"/>
  <c r="BO358" i="29"/>
  <c r="BO357" i="29"/>
  <c r="BO356" i="29"/>
  <c r="BO355" i="29"/>
  <c r="BO354" i="29"/>
  <c r="BO353" i="29"/>
  <c r="BO352" i="29"/>
  <c r="BO351" i="29"/>
  <c r="BO350" i="29"/>
  <c r="BO349" i="29"/>
  <c r="BO348" i="29"/>
  <c r="BO347" i="29"/>
  <c r="BO346" i="29"/>
  <c r="BO345" i="29"/>
  <c r="BO344" i="29"/>
  <c r="BO343" i="29"/>
  <c r="BO342" i="29"/>
  <c r="BO341" i="29"/>
  <c r="BO340" i="29"/>
  <c r="BO339" i="29"/>
  <c r="BO338" i="29"/>
  <c r="BO337" i="29"/>
  <c r="BO336" i="29"/>
  <c r="BO335" i="29"/>
  <c r="BO334" i="29"/>
  <c r="BO333" i="29"/>
  <c r="BO332" i="29"/>
  <c r="BO331" i="29"/>
  <c r="BO330" i="29"/>
  <c r="BO329" i="29"/>
  <c r="BO328" i="29"/>
  <c r="BO327" i="29"/>
  <c r="BO326" i="29"/>
  <c r="BO325" i="29"/>
  <c r="BO324" i="29"/>
  <c r="BO323" i="29"/>
  <c r="BO322" i="29"/>
  <c r="BO321" i="29"/>
  <c r="BO320" i="29"/>
  <c r="BO319" i="29"/>
  <c r="BO318" i="29"/>
  <c r="BO317" i="29"/>
  <c r="BO316" i="29"/>
  <c r="BO315" i="29"/>
  <c r="BO314" i="29"/>
  <c r="BO313" i="29"/>
  <c r="BO312" i="29"/>
  <c r="BO311" i="29"/>
  <c r="BO310" i="29"/>
  <c r="BO309" i="29"/>
  <c r="BO308" i="29"/>
  <c r="BO307" i="29"/>
  <c r="BO306" i="29"/>
  <c r="BO305" i="29"/>
  <c r="BO304" i="29"/>
  <c r="BO303" i="29"/>
  <c r="BO302" i="29"/>
  <c r="BO301" i="29"/>
  <c r="BO300" i="29"/>
  <c r="BO299" i="29"/>
  <c r="BO298" i="29"/>
  <c r="BO297" i="29"/>
  <c r="BO296" i="29"/>
  <c r="BO295" i="29"/>
  <c r="BO294" i="29"/>
  <c r="BO293" i="29"/>
  <c r="BO292" i="29"/>
  <c r="BO291" i="29"/>
  <c r="BO290" i="29"/>
  <c r="BO289" i="29"/>
  <c r="BO288" i="29"/>
  <c r="BO287" i="29"/>
  <c r="BO286" i="29"/>
  <c r="BO285" i="29"/>
  <c r="BO284" i="29"/>
  <c r="BO283" i="29"/>
  <c r="BO282" i="29"/>
  <c r="BO281" i="29"/>
  <c r="BO280" i="29"/>
  <c r="BO279" i="29"/>
  <c r="BO278" i="29"/>
  <c r="BO277" i="29"/>
  <c r="BO276" i="29"/>
  <c r="BO275" i="29"/>
  <c r="BO274" i="29"/>
  <c r="BO273" i="29"/>
  <c r="BO272" i="29"/>
  <c r="BO271" i="29"/>
  <c r="BO270" i="29"/>
  <c r="BO269" i="29"/>
  <c r="BO268" i="29"/>
  <c r="BO267" i="29"/>
  <c r="BO266" i="29"/>
  <c r="BO265" i="29"/>
  <c r="BO264" i="29"/>
  <c r="BO263" i="29"/>
  <c r="BO262" i="29"/>
  <c r="BO261" i="29"/>
  <c r="BO260" i="29"/>
  <c r="BO259" i="29"/>
  <c r="BO258" i="29"/>
  <c r="BO257" i="29"/>
  <c r="BO256" i="29"/>
  <c r="BO255" i="29"/>
  <c r="BO254" i="29"/>
  <c r="BO253" i="29"/>
  <c r="BO252" i="29"/>
  <c r="BO251" i="29"/>
  <c r="BO250" i="29"/>
  <c r="BO249" i="29"/>
  <c r="BO248" i="29"/>
  <c r="BO247" i="29"/>
  <c r="BO246" i="29"/>
  <c r="BO245" i="29"/>
  <c r="BO244" i="29"/>
  <c r="BO243" i="29"/>
  <c r="BO242" i="29"/>
  <c r="BO167" i="29"/>
  <c r="BO166" i="29"/>
  <c r="BO165" i="29"/>
  <c r="BO164" i="29"/>
  <c r="BO163" i="29"/>
  <c r="BO162" i="29"/>
  <c r="BO161" i="29"/>
  <c r="BO160" i="29"/>
  <c r="BO159" i="29"/>
  <c r="BO158" i="29"/>
  <c r="BO157" i="29"/>
  <c r="BO156" i="29"/>
  <c r="BO155" i="29"/>
  <c r="BO154" i="29"/>
  <c r="BO153" i="29"/>
  <c r="BO152" i="29"/>
  <c r="BO151" i="29"/>
  <c r="BO150" i="29"/>
  <c r="BO149" i="29"/>
  <c r="BO148" i="29"/>
  <c r="BO147" i="29"/>
  <c r="BO146" i="29"/>
  <c r="BO145" i="29"/>
  <c r="BO144" i="29"/>
  <c r="BO143" i="29"/>
  <c r="BO142" i="29"/>
  <c r="BO141" i="29"/>
  <c r="BO140" i="29"/>
  <c r="BO139" i="29"/>
  <c r="BO138" i="29"/>
  <c r="BO137" i="29"/>
  <c r="BO136" i="29"/>
  <c r="BO135" i="29"/>
  <c r="BO134" i="29"/>
  <c r="BO133" i="29"/>
  <c r="BO132" i="29"/>
  <c r="BO131" i="29"/>
  <c r="BO130" i="29"/>
  <c r="BO129" i="29"/>
  <c r="BO128" i="29"/>
  <c r="BO127" i="29"/>
  <c r="BO126" i="29"/>
  <c r="BO125" i="29"/>
  <c r="BO124" i="29"/>
  <c r="BO123" i="29"/>
  <c r="BO122" i="29"/>
  <c r="BO121" i="29"/>
  <c r="BO120" i="29"/>
  <c r="BO119" i="29"/>
  <c r="BO118" i="29"/>
  <c r="BO117" i="29"/>
  <c r="BO116" i="29"/>
  <c r="BO115" i="29"/>
  <c r="BO114" i="29"/>
  <c r="BO113" i="29"/>
  <c r="BO112" i="29"/>
  <c r="BO111" i="29"/>
  <c r="BO110" i="29"/>
  <c r="BO109" i="29"/>
  <c r="BO108" i="29"/>
  <c r="BO107" i="29"/>
  <c r="BO106" i="29"/>
  <c r="BO105" i="29"/>
  <c r="BO104" i="29"/>
  <c r="BO103" i="29"/>
  <c r="BO102" i="29"/>
  <c r="BO101" i="29"/>
  <c r="BO100" i="29"/>
  <c r="BO99" i="29"/>
  <c r="BO98" i="29"/>
  <c r="BO97" i="29"/>
  <c r="BO96" i="29"/>
  <c r="BO95" i="29"/>
  <c r="BO94" i="29"/>
  <c r="BO93" i="29"/>
  <c r="BO92" i="29"/>
  <c r="BO91" i="29"/>
  <c r="BO90" i="29"/>
  <c r="BO89" i="29"/>
  <c r="BO88" i="29"/>
  <c r="BO87" i="29"/>
  <c r="BO86" i="29"/>
  <c r="BO85" i="29"/>
  <c r="BO84" i="29"/>
  <c r="BO83" i="29"/>
  <c r="BO82" i="29"/>
  <c r="BO81" i="29"/>
  <c r="BO80" i="29"/>
  <c r="BO79" i="29"/>
  <c r="BO78" i="29"/>
  <c r="BO77" i="29"/>
  <c r="BO76" i="29"/>
  <c r="BO75" i="29"/>
  <c r="BO74" i="29"/>
  <c r="BO73" i="29"/>
  <c r="BO72" i="29"/>
  <c r="BO71" i="29"/>
  <c r="BO70" i="29"/>
  <c r="BO69" i="29"/>
  <c r="BO68" i="29"/>
  <c r="BO67" i="29"/>
  <c r="BO66" i="29"/>
  <c r="BO65" i="29"/>
  <c r="BO64" i="29"/>
  <c r="BO63" i="29"/>
  <c r="BO62" i="29"/>
  <c r="BO61" i="29"/>
  <c r="BO60" i="29"/>
  <c r="BO59" i="29"/>
  <c r="BO58" i="29"/>
  <c r="BO57" i="29"/>
  <c r="BO56" i="29"/>
  <c r="BO55" i="29"/>
  <c r="BO54" i="29"/>
  <c r="BO51" i="29"/>
  <c r="BO49" i="29"/>
  <c r="BO48" i="29"/>
  <c r="BO47" i="29"/>
  <c r="BO46" i="29"/>
  <c r="BO45" i="29"/>
  <c r="BO44" i="29"/>
  <c r="BO43" i="29"/>
  <c r="BO42" i="29"/>
  <c r="BO41" i="29"/>
  <c r="BO40" i="29"/>
  <c r="BO39" i="29"/>
  <c r="BO38" i="29"/>
  <c r="BO37" i="29"/>
  <c r="BO36" i="29"/>
  <c r="BO35" i="29"/>
  <c r="BO34" i="29"/>
  <c r="BO33" i="29"/>
  <c r="BO32" i="29"/>
  <c r="BO31" i="29"/>
  <c r="BO30" i="29"/>
  <c r="BO29" i="29"/>
  <c r="BO28" i="29"/>
  <c r="BO27" i="29"/>
  <c r="BO26" i="29"/>
  <c r="BO25" i="29"/>
  <c r="BO24" i="29"/>
  <c r="BO23" i="29"/>
  <c r="BO22" i="29"/>
  <c r="BO21" i="29"/>
  <c r="BO20" i="29"/>
  <c r="BO19" i="29"/>
  <c r="BO18" i="29"/>
  <c r="BO17" i="29"/>
  <c r="BO16" i="29"/>
  <c r="BO15" i="29"/>
  <c r="BO14" i="29"/>
  <c r="BO13" i="29"/>
  <c r="BO12" i="29"/>
  <c r="BO11" i="29"/>
  <c r="BO10" i="29"/>
  <c r="BO9" i="29"/>
  <c r="BO8" i="29"/>
  <c r="BO7" i="29"/>
  <c r="BO6" i="29"/>
  <c r="BO5" i="29"/>
  <c r="BO4" i="29"/>
  <c r="BO3" i="29"/>
  <c r="BO2" i="29"/>
  <c r="BG430" i="29"/>
  <c r="BG429" i="29"/>
  <c r="BG428" i="29"/>
  <c r="BG427" i="29"/>
  <c r="BG426" i="29"/>
  <c r="BG425" i="29"/>
  <c r="BG424" i="29"/>
  <c r="BG423" i="29"/>
  <c r="BG422" i="29"/>
  <c r="BG421" i="29"/>
  <c r="BG420" i="29"/>
  <c r="BG419" i="29"/>
  <c r="BG418" i="29"/>
  <c r="BG417" i="29"/>
  <c r="BG416" i="29"/>
  <c r="BG415" i="29"/>
  <c r="BG414" i="29"/>
  <c r="BG413" i="29"/>
  <c r="BG412" i="29"/>
  <c r="BG411" i="29"/>
  <c r="BG410" i="29"/>
  <c r="BG409" i="29"/>
  <c r="BG408" i="29"/>
  <c r="BG407" i="29"/>
  <c r="BG406" i="29"/>
  <c r="BG405" i="29"/>
  <c r="BG404" i="29"/>
  <c r="BG403" i="29"/>
  <c r="BG402" i="29"/>
  <c r="BG401" i="29"/>
  <c r="BG400" i="29"/>
  <c r="BG399" i="29"/>
  <c r="BG398" i="29"/>
  <c r="BG397" i="29"/>
  <c r="BG396" i="29"/>
  <c r="BG395" i="29"/>
  <c r="BG394" i="29"/>
  <c r="BG393" i="29"/>
  <c r="BG392" i="29"/>
  <c r="BG391" i="29"/>
  <c r="BG390" i="29"/>
  <c r="BG389" i="29"/>
  <c r="BG388" i="29"/>
  <c r="BG387" i="29"/>
  <c r="BG386" i="29"/>
  <c r="BG385" i="29"/>
  <c r="BG384" i="29"/>
  <c r="BG383" i="29"/>
  <c r="BG382" i="29"/>
  <c r="BG381" i="29"/>
  <c r="BG380" i="29"/>
  <c r="BG379" i="29"/>
  <c r="BG378" i="29"/>
  <c r="BG377" i="29"/>
  <c r="BG376" i="29"/>
  <c r="BG375" i="29"/>
  <c r="BG374" i="29"/>
  <c r="BG373" i="29"/>
  <c r="BG372" i="29"/>
  <c r="BG371" i="29"/>
  <c r="BG370" i="29"/>
  <c r="BG369" i="29"/>
  <c r="BG368" i="29"/>
  <c r="BG367" i="29"/>
  <c r="BG366" i="29"/>
  <c r="BG365" i="29"/>
  <c r="BG364" i="29"/>
  <c r="BG363" i="29"/>
  <c r="BG362" i="29"/>
  <c r="BG361" i="29"/>
  <c r="BG360" i="29"/>
  <c r="BG359" i="29"/>
  <c r="BG358" i="29"/>
  <c r="BG357" i="29"/>
  <c r="BG356" i="29"/>
  <c r="BG355" i="29"/>
  <c r="BG354" i="29"/>
  <c r="BG353" i="29"/>
  <c r="BG352" i="29"/>
  <c r="BG351" i="29"/>
  <c r="BG350" i="29"/>
  <c r="BG349" i="29"/>
  <c r="BG348" i="29"/>
  <c r="BG347" i="29"/>
  <c r="BG346" i="29"/>
  <c r="BG345" i="29"/>
  <c r="BG344" i="29"/>
  <c r="BG343" i="29"/>
  <c r="BG342" i="29"/>
  <c r="BG341" i="29"/>
  <c r="BG340" i="29"/>
  <c r="BG339" i="29"/>
  <c r="BG338" i="29"/>
  <c r="BG337" i="29"/>
  <c r="BG336" i="29"/>
  <c r="BG335" i="29"/>
  <c r="BG334" i="29"/>
  <c r="BG333" i="29"/>
  <c r="BG332" i="29"/>
  <c r="BG331" i="29"/>
  <c r="BG330" i="29"/>
  <c r="BG329" i="29"/>
  <c r="BG328" i="29"/>
  <c r="BG327" i="29"/>
  <c r="BG326" i="29"/>
  <c r="BG325" i="29"/>
  <c r="BG324" i="29"/>
  <c r="BG323" i="29"/>
  <c r="BG322" i="29"/>
  <c r="BG321" i="29"/>
  <c r="BG320" i="29"/>
  <c r="BG319" i="29"/>
  <c r="BG318" i="29"/>
  <c r="BG317" i="29"/>
  <c r="BG316" i="29"/>
  <c r="BG315" i="29"/>
  <c r="BG314" i="29"/>
  <c r="BG313" i="29"/>
  <c r="BG312" i="29"/>
  <c r="BG311" i="29"/>
  <c r="BG310" i="29"/>
  <c r="BG309" i="29"/>
  <c r="BG308" i="29"/>
  <c r="BG307" i="29"/>
  <c r="BG306" i="29"/>
  <c r="BG305" i="29"/>
  <c r="BG304" i="29"/>
  <c r="BG303" i="29"/>
  <c r="BG302" i="29"/>
  <c r="BG301" i="29"/>
  <c r="BG300" i="29"/>
  <c r="BG299" i="29"/>
  <c r="BG298" i="29"/>
  <c r="BG297" i="29"/>
  <c r="BG296" i="29"/>
  <c r="BG295" i="29"/>
  <c r="BG294" i="29"/>
  <c r="BG293" i="29"/>
  <c r="BG292" i="29"/>
  <c r="BG291" i="29"/>
  <c r="BG290" i="29"/>
  <c r="BG289" i="29"/>
  <c r="BG288" i="29"/>
  <c r="BG287" i="29"/>
  <c r="BG286" i="29"/>
  <c r="BG285" i="29"/>
  <c r="BG284" i="29"/>
  <c r="BG283" i="29"/>
  <c r="BG282" i="29"/>
  <c r="BG281" i="29"/>
  <c r="BG280" i="29"/>
  <c r="BG279" i="29"/>
  <c r="BG278" i="29"/>
  <c r="BG277" i="29"/>
  <c r="BG276" i="29"/>
  <c r="BG275" i="29"/>
  <c r="BG274" i="29"/>
  <c r="BG273" i="29"/>
  <c r="BG272" i="29"/>
  <c r="BG271" i="29"/>
  <c r="BG270" i="29"/>
  <c r="BG269" i="29"/>
  <c r="BG268" i="29"/>
  <c r="BG267" i="29"/>
  <c r="BG266" i="29"/>
  <c r="BG265" i="29"/>
  <c r="BG264" i="29"/>
  <c r="BG263" i="29"/>
  <c r="BG262" i="29"/>
  <c r="BG261" i="29"/>
  <c r="BG260" i="29"/>
  <c r="BG259" i="29"/>
  <c r="BG258" i="29"/>
  <c r="BG257" i="29"/>
  <c r="BG256" i="29"/>
  <c r="BG255" i="29"/>
  <c r="BG254" i="29"/>
  <c r="BG253" i="29"/>
  <c r="BG252" i="29"/>
  <c r="BG251" i="29"/>
  <c r="BG250" i="29"/>
  <c r="BG249" i="29"/>
  <c r="BG248" i="29"/>
  <c r="BG247" i="29"/>
  <c r="BG246" i="29"/>
  <c r="BG245" i="29"/>
  <c r="BG244" i="29"/>
  <c r="BG243" i="29"/>
  <c r="BG242" i="29"/>
  <c r="BG167" i="29"/>
  <c r="BG166" i="29"/>
  <c r="BG165" i="29"/>
  <c r="BG164" i="29"/>
  <c r="BG163" i="29"/>
  <c r="BG162" i="29"/>
  <c r="BG161" i="29"/>
  <c r="BG160" i="29"/>
  <c r="BG159" i="29"/>
  <c r="BG158" i="29"/>
  <c r="BG157" i="29"/>
  <c r="BG156" i="29"/>
  <c r="BG155" i="29"/>
  <c r="BG154" i="29"/>
  <c r="BG153" i="29"/>
  <c r="BG152" i="29"/>
  <c r="BG151" i="29"/>
  <c r="BG150" i="29"/>
  <c r="BG149" i="29"/>
  <c r="BG148" i="29"/>
  <c r="BG147" i="29"/>
  <c r="BG146" i="29"/>
  <c r="BG145" i="29"/>
  <c r="BG144" i="29"/>
  <c r="BG143" i="29"/>
  <c r="BG142" i="29"/>
  <c r="BG141" i="29"/>
  <c r="BG140" i="29"/>
  <c r="BG139" i="29"/>
  <c r="BG138" i="29"/>
  <c r="BG137" i="29"/>
  <c r="BG136" i="29"/>
  <c r="BG135" i="29"/>
  <c r="BG134" i="29"/>
  <c r="BG133" i="29"/>
  <c r="BG132" i="29"/>
  <c r="BG131" i="29"/>
  <c r="BG130" i="29"/>
  <c r="BG129" i="29"/>
  <c r="BG128" i="29"/>
  <c r="BG127" i="29"/>
  <c r="BG126" i="29"/>
  <c r="BG125" i="29"/>
  <c r="BG124" i="29"/>
  <c r="BG123" i="29"/>
  <c r="BG122" i="29"/>
  <c r="BG121" i="29"/>
  <c r="BG120" i="29"/>
  <c r="BG119" i="29"/>
  <c r="BG118" i="29"/>
  <c r="BG117" i="29"/>
  <c r="BG116" i="29"/>
  <c r="BG115" i="29"/>
  <c r="BG114" i="29"/>
  <c r="BG113" i="29"/>
  <c r="BG112" i="29"/>
  <c r="BG111" i="29"/>
  <c r="BG110" i="29"/>
  <c r="BG109" i="29"/>
  <c r="BG108" i="29"/>
  <c r="BG107" i="29"/>
  <c r="BG106" i="29"/>
  <c r="BG105" i="29"/>
  <c r="BG104" i="29"/>
  <c r="BG103" i="29"/>
  <c r="BG102" i="29"/>
  <c r="BG101" i="29"/>
  <c r="BG100" i="29"/>
  <c r="BG99" i="29"/>
  <c r="BG98" i="29"/>
  <c r="BG97" i="29"/>
  <c r="BG96" i="29"/>
  <c r="BG95" i="29"/>
  <c r="BG94" i="29"/>
  <c r="BG93" i="29"/>
  <c r="BG92" i="29"/>
  <c r="BG91" i="29"/>
  <c r="BG90" i="29"/>
  <c r="BG89" i="29"/>
  <c r="BG88" i="29"/>
  <c r="BG87" i="29"/>
  <c r="BG86" i="29"/>
  <c r="BG85" i="29"/>
  <c r="BG84" i="29"/>
  <c r="BG83" i="29"/>
  <c r="BG82" i="29"/>
  <c r="BG81" i="29"/>
  <c r="BG80" i="29"/>
  <c r="BG79" i="29"/>
  <c r="BG78" i="29"/>
  <c r="BG77" i="29"/>
  <c r="BG76" i="29"/>
  <c r="BG75" i="29"/>
  <c r="BG74" i="29"/>
  <c r="BG73" i="29"/>
  <c r="BG72" i="29"/>
  <c r="BG71" i="29"/>
  <c r="BG70" i="29"/>
  <c r="BG69" i="29"/>
  <c r="BG68" i="29"/>
  <c r="BG67" i="29"/>
  <c r="BG66" i="29"/>
  <c r="BG65" i="29"/>
  <c r="BG64" i="29"/>
  <c r="BG63" i="29"/>
  <c r="BG62" i="29"/>
  <c r="BG61" i="29"/>
  <c r="BG60" i="29"/>
  <c r="BG59" i="29"/>
  <c r="BG58" i="29"/>
  <c r="BG57" i="29"/>
  <c r="BG56" i="29"/>
  <c r="BG55" i="29"/>
  <c r="BG54" i="29"/>
  <c r="BG51" i="29"/>
  <c r="BG49" i="29"/>
  <c r="BG48" i="29"/>
  <c r="BG47" i="29"/>
  <c r="BG46" i="29"/>
  <c r="BG45" i="29"/>
  <c r="BG44" i="29"/>
  <c r="BG43" i="29"/>
  <c r="BG42" i="29"/>
  <c r="BG41" i="29"/>
  <c r="BG40" i="29"/>
  <c r="BG39" i="29"/>
  <c r="BG38" i="29"/>
  <c r="BG37" i="29"/>
  <c r="BG36" i="29"/>
  <c r="BG35" i="29"/>
  <c r="BG34" i="29"/>
  <c r="BG33" i="29"/>
  <c r="BG32" i="29"/>
  <c r="BG31" i="29"/>
  <c r="BG30" i="29"/>
  <c r="BG29" i="29"/>
  <c r="BG28" i="29"/>
  <c r="BG27" i="29"/>
  <c r="BG26" i="29"/>
  <c r="BG25" i="29"/>
  <c r="BG24" i="29"/>
  <c r="BG23" i="29"/>
  <c r="BG22" i="29"/>
  <c r="BG21" i="29"/>
  <c r="BG20" i="29"/>
  <c r="BG19" i="29"/>
  <c r="BG18" i="29"/>
  <c r="BG17" i="29"/>
  <c r="BG16" i="29"/>
  <c r="BG15" i="29"/>
  <c r="BG14" i="29"/>
  <c r="BG13" i="29"/>
  <c r="BG12" i="29"/>
  <c r="BG11" i="29"/>
  <c r="BG10" i="29"/>
  <c r="BG9" i="29"/>
  <c r="BG8" i="29"/>
  <c r="BG7" i="29"/>
  <c r="BG6" i="29"/>
  <c r="BG5" i="29"/>
  <c r="BG4" i="29"/>
  <c r="BG3" i="29"/>
  <c r="BG2" i="29"/>
  <c r="AY430" i="29"/>
  <c r="AY429" i="29"/>
  <c r="AY428" i="29"/>
  <c r="AY427" i="29"/>
  <c r="AY426" i="29"/>
  <c r="AY425" i="29"/>
  <c r="AY424" i="29"/>
  <c r="AY423" i="29"/>
  <c r="AY422" i="29"/>
  <c r="AY421" i="29"/>
  <c r="AY420" i="29"/>
  <c r="AY419" i="29"/>
  <c r="AY418" i="29"/>
  <c r="AY417" i="29"/>
  <c r="AY416" i="29"/>
  <c r="AY415" i="29"/>
  <c r="AY414" i="29"/>
  <c r="AY413" i="29"/>
  <c r="AY412" i="29"/>
  <c r="AY411" i="29"/>
  <c r="AY410" i="29"/>
  <c r="AY409" i="29"/>
  <c r="AY408" i="29"/>
  <c r="AY407" i="29"/>
  <c r="AY406" i="29"/>
  <c r="AY405" i="29"/>
  <c r="AY404" i="29"/>
  <c r="AY403" i="29"/>
  <c r="AY402" i="29"/>
  <c r="AY401" i="29"/>
  <c r="AY400" i="29"/>
  <c r="AY399" i="29"/>
  <c r="AY398" i="29"/>
  <c r="AY397" i="29"/>
  <c r="AY396" i="29"/>
  <c r="AY395" i="29"/>
  <c r="AY394" i="29"/>
  <c r="AY393" i="29"/>
  <c r="AY392" i="29"/>
  <c r="AY391" i="29"/>
  <c r="AY390" i="29"/>
  <c r="AY389" i="29"/>
  <c r="AY388" i="29"/>
  <c r="AY387" i="29"/>
  <c r="AY386" i="29"/>
  <c r="AY385" i="29"/>
  <c r="AY384" i="29"/>
  <c r="AY383" i="29"/>
  <c r="AY382" i="29"/>
  <c r="AY381" i="29"/>
  <c r="AY380" i="29"/>
  <c r="AY379" i="29"/>
  <c r="AY378" i="29"/>
  <c r="AY377" i="29"/>
  <c r="AY376" i="29"/>
  <c r="AY375" i="29"/>
  <c r="AY374" i="29"/>
  <c r="AY373" i="29"/>
  <c r="AY372" i="29"/>
  <c r="AY371" i="29"/>
  <c r="AY370" i="29"/>
  <c r="AY369" i="29"/>
  <c r="AY368" i="29"/>
  <c r="AY367" i="29"/>
  <c r="AY366" i="29"/>
  <c r="AY365" i="29"/>
  <c r="AY364" i="29"/>
  <c r="AY363" i="29"/>
  <c r="AY362" i="29"/>
  <c r="AY361" i="29"/>
  <c r="AY360" i="29"/>
  <c r="AY359" i="29"/>
  <c r="AY358" i="29"/>
  <c r="AY357" i="29"/>
  <c r="AY356" i="29"/>
  <c r="AY355" i="29"/>
  <c r="AY354" i="29"/>
  <c r="AY353" i="29"/>
  <c r="AY352" i="29"/>
  <c r="AY351" i="29"/>
  <c r="AY350" i="29"/>
  <c r="AY349" i="29"/>
  <c r="AY348" i="29"/>
  <c r="AY347" i="29"/>
  <c r="AY346" i="29"/>
  <c r="AY345" i="29"/>
  <c r="AY344" i="29"/>
  <c r="AY343" i="29"/>
  <c r="AY342" i="29"/>
  <c r="AY341" i="29"/>
  <c r="AY340" i="29"/>
  <c r="AY339" i="29"/>
  <c r="AY338" i="29"/>
  <c r="AY337" i="29"/>
  <c r="AY336" i="29"/>
  <c r="AY335" i="29"/>
  <c r="AY334" i="29"/>
  <c r="AY333" i="29"/>
  <c r="AY332" i="29"/>
  <c r="AY331" i="29"/>
  <c r="AY330" i="29"/>
  <c r="AY329" i="29"/>
  <c r="AY328" i="29"/>
  <c r="AY327" i="29"/>
  <c r="AY326" i="29"/>
  <c r="AY325" i="29"/>
  <c r="AY324" i="29"/>
  <c r="AY323" i="29"/>
  <c r="AY322" i="29"/>
  <c r="AY321" i="29"/>
  <c r="AY320" i="29"/>
  <c r="AY319" i="29"/>
  <c r="AY318" i="29"/>
  <c r="AY317" i="29"/>
  <c r="AY316" i="29"/>
  <c r="AY315" i="29"/>
  <c r="AY314" i="29"/>
  <c r="AY313" i="29"/>
  <c r="AY312" i="29"/>
  <c r="AY311" i="29"/>
  <c r="AY310" i="29"/>
  <c r="AY309" i="29"/>
  <c r="AY308" i="29"/>
  <c r="AY307" i="29"/>
  <c r="AY306" i="29"/>
  <c r="AY305" i="29"/>
  <c r="AY304" i="29"/>
  <c r="AY303" i="29"/>
  <c r="AY302" i="29"/>
  <c r="AY301" i="29"/>
  <c r="AY300" i="29"/>
  <c r="AY299" i="29"/>
  <c r="AY298" i="29"/>
  <c r="AY297" i="29"/>
  <c r="AY296" i="29"/>
  <c r="AY295" i="29"/>
  <c r="AY294" i="29"/>
  <c r="AY293" i="29"/>
  <c r="AY292" i="29"/>
  <c r="AY291" i="29"/>
  <c r="AY290" i="29"/>
  <c r="AY289" i="29"/>
  <c r="AY288" i="29"/>
  <c r="AY287" i="29"/>
  <c r="AY286" i="29"/>
  <c r="AY285" i="29"/>
  <c r="AY284" i="29"/>
  <c r="AY283" i="29"/>
  <c r="AY282" i="29"/>
  <c r="AY281" i="29"/>
  <c r="AY280" i="29"/>
  <c r="AY279" i="29"/>
  <c r="AY278" i="29"/>
  <c r="AY277" i="29"/>
  <c r="AY276" i="29"/>
  <c r="AY275" i="29"/>
  <c r="AY274" i="29"/>
  <c r="AY273" i="29"/>
  <c r="AY272" i="29"/>
  <c r="AY271" i="29"/>
  <c r="AY270" i="29"/>
  <c r="AY269" i="29"/>
  <c r="AY268" i="29"/>
  <c r="AY267" i="29"/>
  <c r="AY266" i="29"/>
  <c r="AY265" i="29"/>
  <c r="AY264" i="29"/>
  <c r="AY263" i="29"/>
  <c r="AY262" i="29"/>
  <c r="AY261" i="29"/>
  <c r="AY260" i="29"/>
  <c r="AY259" i="29"/>
  <c r="AY258" i="29"/>
  <c r="AY257" i="29"/>
  <c r="AY256" i="29"/>
  <c r="AY255" i="29"/>
  <c r="AY254" i="29"/>
  <c r="AY253" i="29"/>
  <c r="AY252" i="29"/>
  <c r="AY251" i="29"/>
  <c r="AY250" i="29"/>
  <c r="AY249" i="29"/>
  <c r="AY248" i="29"/>
  <c r="AY247" i="29"/>
  <c r="AY246" i="29"/>
  <c r="AY245" i="29"/>
  <c r="AY244" i="29"/>
  <c r="AY243" i="29"/>
  <c r="AY242" i="29"/>
  <c r="AY167" i="29"/>
  <c r="AY166" i="29"/>
  <c r="AY165" i="29"/>
  <c r="AY164" i="29"/>
  <c r="AY163" i="29"/>
  <c r="AY162" i="29"/>
  <c r="AY161" i="29"/>
  <c r="AY160" i="29"/>
  <c r="AY159" i="29"/>
  <c r="AY158" i="29"/>
  <c r="AY157" i="29"/>
  <c r="AY156" i="29"/>
  <c r="AY155" i="29"/>
  <c r="AY154" i="29"/>
  <c r="AY153" i="29"/>
  <c r="AY152" i="29"/>
  <c r="AY151" i="29"/>
  <c r="AY150" i="29"/>
  <c r="AY149" i="29"/>
  <c r="AY148" i="29"/>
  <c r="AY147" i="29"/>
  <c r="AY146" i="29"/>
  <c r="AY145" i="29"/>
  <c r="AY144" i="29"/>
  <c r="AY143" i="29"/>
  <c r="AY142" i="29"/>
  <c r="AY141" i="29"/>
  <c r="AY140" i="29"/>
  <c r="AY139" i="29"/>
  <c r="AY138" i="29"/>
  <c r="AY137" i="29"/>
  <c r="AY136" i="29"/>
  <c r="AY135" i="29"/>
  <c r="AY134" i="29"/>
  <c r="AY133" i="29"/>
  <c r="AY132" i="29"/>
  <c r="AY131" i="29"/>
  <c r="AY130" i="29"/>
  <c r="AY129" i="29"/>
  <c r="AY128" i="29"/>
  <c r="AY127" i="29"/>
  <c r="AY126" i="29"/>
  <c r="AY125" i="29"/>
  <c r="AY124" i="29"/>
  <c r="AY123" i="29"/>
  <c r="AY122" i="29"/>
  <c r="AY121" i="29"/>
  <c r="AY120" i="29"/>
  <c r="AY119" i="29"/>
  <c r="AY118" i="29"/>
  <c r="AY117" i="29"/>
  <c r="AY116" i="29"/>
  <c r="AY115" i="29"/>
  <c r="AY114" i="29"/>
  <c r="AY113" i="29"/>
  <c r="AY112" i="29"/>
  <c r="AY111" i="29"/>
  <c r="AY110" i="29"/>
  <c r="AY109" i="29"/>
  <c r="AY108" i="29"/>
  <c r="AY107" i="29"/>
  <c r="AY106" i="29"/>
  <c r="AY105" i="29"/>
  <c r="AY104" i="29"/>
  <c r="AY103" i="29"/>
  <c r="AY102" i="29"/>
  <c r="AY101" i="29"/>
  <c r="AY100" i="29"/>
  <c r="AY99" i="29"/>
  <c r="AY98" i="29"/>
  <c r="AY97" i="29"/>
  <c r="AY96" i="29"/>
  <c r="AY95" i="29"/>
  <c r="AY94" i="29"/>
  <c r="AY93" i="29"/>
  <c r="AY92" i="29"/>
  <c r="AY91" i="29"/>
  <c r="AY90" i="29"/>
  <c r="AY89" i="29"/>
  <c r="AY88" i="29"/>
  <c r="AY87" i="29"/>
  <c r="AY86" i="29"/>
  <c r="AY85" i="29"/>
  <c r="AY84" i="29"/>
  <c r="AY83" i="29"/>
  <c r="AY82" i="29"/>
  <c r="AY81" i="29"/>
  <c r="AY80" i="29"/>
  <c r="AY79" i="29"/>
  <c r="AY78" i="29"/>
  <c r="AY77" i="29"/>
  <c r="AY76" i="29"/>
  <c r="AY75" i="29"/>
  <c r="AY74" i="29"/>
  <c r="AY73" i="29"/>
  <c r="AY72" i="29"/>
  <c r="AY71" i="29"/>
  <c r="AY70" i="29"/>
  <c r="AY69" i="29"/>
  <c r="AY68" i="29"/>
  <c r="AY67" i="29"/>
  <c r="AY66" i="29"/>
  <c r="AY65" i="29"/>
  <c r="AY64" i="29"/>
  <c r="AY63" i="29"/>
  <c r="AY62" i="29"/>
  <c r="AY61" i="29"/>
  <c r="AY60" i="29"/>
  <c r="AY59" i="29"/>
  <c r="AY58" i="29"/>
  <c r="AY57" i="29"/>
  <c r="AY56" i="29"/>
  <c r="AY55" i="29"/>
  <c r="AY54" i="29"/>
  <c r="AY51" i="29"/>
  <c r="AY49" i="29"/>
  <c r="AY48" i="29"/>
  <c r="AY47" i="29"/>
  <c r="AY46" i="29"/>
  <c r="AY45" i="29"/>
  <c r="AY44" i="29"/>
  <c r="AY43" i="29"/>
  <c r="AY42" i="29"/>
  <c r="AY41" i="29"/>
  <c r="AY40" i="29"/>
  <c r="AY39" i="29"/>
  <c r="AY38" i="29"/>
  <c r="AY37" i="29"/>
  <c r="AY36" i="29"/>
  <c r="AY35" i="29"/>
  <c r="AY34" i="29"/>
  <c r="AY33" i="29"/>
  <c r="AY32" i="29"/>
  <c r="AY31" i="29"/>
  <c r="AY30" i="29"/>
  <c r="AY29" i="29"/>
  <c r="AY28" i="29"/>
  <c r="AY27" i="29"/>
  <c r="AY26" i="29"/>
  <c r="AY25" i="29"/>
  <c r="AY24" i="29"/>
  <c r="AY23" i="29"/>
  <c r="AY22" i="29"/>
  <c r="AY21" i="29"/>
  <c r="AY20" i="29"/>
  <c r="AY19" i="29"/>
  <c r="AY18" i="29"/>
  <c r="AY17" i="29"/>
  <c r="AY16" i="29"/>
  <c r="AY15" i="29"/>
  <c r="AY14" i="29"/>
  <c r="AY13" i="29"/>
  <c r="AY12" i="29"/>
  <c r="AY11" i="29"/>
  <c r="AY10" i="29"/>
  <c r="AY9" i="29"/>
  <c r="AY8" i="29"/>
  <c r="AY7" i="29"/>
  <c r="AY6" i="29"/>
  <c r="AY5" i="29"/>
  <c r="AY4" i="29"/>
  <c r="AY3" i="29"/>
  <c r="AY2" i="29"/>
  <c r="AQ430" i="29"/>
  <c r="AQ429" i="29"/>
  <c r="AQ428" i="29"/>
  <c r="AQ427" i="29"/>
  <c r="AQ426" i="29"/>
  <c r="AQ425" i="29"/>
  <c r="AQ424" i="29"/>
  <c r="AQ423" i="29"/>
  <c r="AQ422" i="29"/>
  <c r="AQ421" i="29"/>
  <c r="AQ420" i="29"/>
  <c r="AQ419" i="29"/>
  <c r="AQ418" i="29"/>
  <c r="AQ417" i="29"/>
  <c r="AQ416" i="29"/>
  <c r="AQ415" i="29"/>
  <c r="AQ414" i="29"/>
  <c r="AQ413" i="29"/>
  <c r="AQ412" i="29"/>
  <c r="AQ411" i="29"/>
  <c r="AQ410" i="29"/>
  <c r="AQ409" i="29"/>
  <c r="AQ408" i="29"/>
  <c r="AQ407" i="29"/>
  <c r="AQ406" i="29"/>
  <c r="AQ405" i="29"/>
  <c r="AQ404" i="29"/>
  <c r="AQ403" i="29"/>
  <c r="AQ402" i="29"/>
  <c r="AQ401" i="29"/>
  <c r="AQ400" i="29"/>
  <c r="AQ399" i="29"/>
  <c r="AQ398" i="29"/>
  <c r="AQ397" i="29"/>
  <c r="AQ396" i="29"/>
  <c r="AQ395" i="29"/>
  <c r="AQ394" i="29"/>
  <c r="AQ393" i="29"/>
  <c r="AQ392" i="29"/>
  <c r="AQ391" i="29"/>
  <c r="AQ390" i="29"/>
  <c r="AQ389" i="29"/>
  <c r="AQ388" i="29"/>
  <c r="AQ387" i="29"/>
  <c r="AQ386" i="29"/>
  <c r="AQ385" i="29"/>
  <c r="AQ384" i="29"/>
  <c r="AQ383" i="29"/>
  <c r="AQ382" i="29"/>
  <c r="AQ381" i="29"/>
  <c r="AQ380" i="29"/>
  <c r="AQ379" i="29"/>
  <c r="AQ378" i="29"/>
  <c r="AQ377" i="29"/>
  <c r="AQ376" i="29"/>
  <c r="AQ375" i="29"/>
  <c r="AQ374" i="29"/>
  <c r="AQ373" i="29"/>
  <c r="AQ372" i="29"/>
  <c r="AQ371" i="29"/>
  <c r="AQ370" i="29"/>
  <c r="AQ369" i="29"/>
  <c r="AQ368" i="29"/>
  <c r="AQ367" i="29"/>
  <c r="AQ366" i="29"/>
  <c r="AQ365" i="29"/>
  <c r="AQ364" i="29"/>
  <c r="AQ363" i="29"/>
  <c r="AQ362" i="29"/>
  <c r="AQ361" i="29"/>
  <c r="AQ360" i="29"/>
  <c r="AQ359" i="29"/>
  <c r="AQ358" i="29"/>
  <c r="AQ357" i="29"/>
  <c r="AQ356" i="29"/>
  <c r="AQ355" i="29"/>
  <c r="AQ354" i="29"/>
  <c r="AQ353" i="29"/>
  <c r="AQ352" i="29"/>
  <c r="AQ351" i="29"/>
  <c r="AQ350" i="29"/>
  <c r="AQ349" i="29"/>
  <c r="AQ348" i="29"/>
  <c r="AQ347" i="29"/>
  <c r="AQ346" i="29"/>
  <c r="AQ345" i="29"/>
  <c r="AQ344" i="29"/>
  <c r="AQ343" i="29"/>
  <c r="AQ342" i="29"/>
  <c r="AQ341" i="29"/>
  <c r="AQ340" i="29"/>
  <c r="AQ339" i="29"/>
  <c r="AQ338" i="29"/>
  <c r="AQ337" i="29"/>
  <c r="AQ336" i="29"/>
  <c r="AQ335" i="29"/>
  <c r="AQ334" i="29"/>
  <c r="AQ333" i="29"/>
  <c r="AQ332" i="29"/>
  <c r="AQ331" i="29"/>
  <c r="AQ330" i="29"/>
  <c r="AQ329" i="29"/>
  <c r="AQ328" i="29"/>
  <c r="AQ327" i="29"/>
  <c r="AQ326" i="29"/>
  <c r="AQ325" i="29"/>
  <c r="AQ324" i="29"/>
  <c r="AQ323" i="29"/>
  <c r="AQ322" i="29"/>
  <c r="AQ321" i="29"/>
  <c r="AQ320" i="29"/>
  <c r="AQ319" i="29"/>
  <c r="AQ318" i="29"/>
  <c r="AQ317" i="29"/>
  <c r="AQ316" i="29"/>
  <c r="AQ315" i="29"/>
  <c r="AQ314" i="29"/>
  <c r="AQ313" i="29"/>
  <c r="AQ312" i="29"/>
  <c r="AQ311" i="29"/>
  <c r="AQ310" i="29"/>
  <c r="AQ309" i="29"/>
  <c r="AQ308" i="29"/>
  <c r="AQ307" i="29"/>
  <c r="AQ306" i="29"/>
  <c r="AQ305" i="29"/>
  <c r="AQ304" i="29"/>
  <c r="AQ303" i="29"/>
  <c r="AQ302" i="29"/>
  <c r="AQ301" i="29"/>
  <c r="AQ300" i="29"/>
  <c r="AQ299" i="29"/>
  <c r="AQ298" i="29"/>
  <c r="AQ297" i="29"/>
  <c r="AQ296" i="29"/>
  <c r="AQ295" i="29"/>
  <c r="AQ294" i="29"/>
  <c r="AQ293" i="29"/>
  <c r="AQ292" i="29"/>
  <c r="AQ291" i="29"/>
  <c r="AQ290" i="29"/>
  <c r="AQ289" i="29"/>
  <c r="AQ288" i="29"/>
  <c r="AQ287" i="29"/>
  <c r="AQ286" i="29"/>
  <c r="AQ285" i="29"/>
  <c r="AQ284" i="29"/>
  <c r="AQ283" i="29"/>
  <c r="AQ282" i="29"/>
  <c r="AQ281" i="29"/>
  <c r="AQ280" i="29"/>
  <c r="AQ279" i="29"/>
  <c r="AQ278" i="29"/>
  <c r="AQ277" i="29"/>
  <c r="AQ276" i="29"/>
  <c r="AQ275" i="29"/>
  <c r="AQ274" i="29"/>
  <c r="AQ273" i="29"/>
  <c r="AQ272" i="29"/>
  <c r="AQ271" i="29"/>
  <c r="AQ270" i="29"/>
  <c r="AQ269" i="29"/>
  <c r="AQ268" i="29"/>
  <c r="AQ267" i="29"/>
  <c r="AQ266" i="29"/>
  <c r="AQ265" i="29"/>
  <c r="AQ264" i="29"/>
  <c r="AQ263" i="29"/>
  <c r="AQ262" i="29"/>
  <c r="AQ261" i="29"/>
  <c r="AQ260" i="29"/>
  <c r="AQ259" i="29"/>
  <c r="AQ258" i="29"/>
  <c r="AQ257" i="29"/>
  <c r="AQ256" i="29"/>
  <c r="AQ255" i="29"/>
  <c r="AQ254" i="29"/>
  <c r="AQ253" i="29"/>
  <c r="AQ252" i="29"/>
  <c r="AQ251" i="29"/>
  <c r="AQ250" i="29"/>
  <c r="AQ249" i="29"/>
  <c r="AQ248" i="29"/>
  <c r="AQ247" i="29"/>
  <c r="AQ246" i="29"/>
  <c r="AQ245" i="29"/>
  <c r="AQ244" i="29"/>
  <c r="AQ243" i="29"/>
  <c r="AQ242" i="29"/>
  <c r="AQ167" i="29"/>
  <c r="AQ166" i="29"/>
  <c r="AQ165" i="29"/>
  <c r="AQ164" i="29"/>
  <c r="AQ163" i="29"/>
  <c r="AQ162" i="29"/>
  <c r="AQ161" i="29"/>
  <c r="AQ160" i="29"/>
  <c r="AQ159" i="29"/>
  <c r="AQ158" i="29"/>
  <c r="AQ157" i="29"/>
  <c r="AQ156" i="29"/>
  <c r="AQ155" i="29"/>
  <c r="AQ154" i="29"/>
  <c r="AQ153" i="29"/>
  <c r="AQ152" i="29"/>
  <c r="AQ151" i="29"/>
  <c r="AQ150" i="29"/>
  <c r="AQ149" i="29"/>
  <c r="AQ148" i="29"/>
  <c r="AQ147" i="29"/>
  <c r="AQ146" i="29"/>
  <c r="AQ145" i="29"/>
  <c r="AQ144" i="29"/>
  <c r="AQ143" i="29"/>
  <c r="AQ142" i="29"/>
  <c r="AQ141" i="29"/>
  <c r="AQ140" i="29"/>
  <c r="AQ139" i="29"/>
  <c r="AQ138" i="29"/>
  <c r="AQ137" i="29"/>
  <c r="AQ136" i="29"/>
  <c r="AQ135" i="29"/>
  <c r="AQ134" i="29"/>
  <c r="AQ133" i="29"/>
  <c r="AQ132" i="29"/>
  <c r="AQ131" i="29"/>
  <c r="AQ130" i="29"/>
  <c r="AQ129" i="29"/>
  <c r="AQ128" i="29"/>
  <c r="AQ127" i="29"/>
  <c r="AQ126" i="29"/>
  <c r="AQ125" i="29"/>
  <c r="AQ124" i="29"/>
  <c r="AQ123" i="29"/>
  <c r="AQ122" i="29"/>
  <c r="AQ121" i="29"/>
  <c r="AQ120" i="29"/>
  <c r="AQ119" i="29"/>
  <c r="AQ118" i="29"/>
  <c r="AQ117" i="29"/>
  <c r="AQ116" i="29"/>
  <c r="AQ115" i="29"/>
  <c r="AQ114" i="29"/>
  <c r="AQ113" i="29"/>
  <c r="AQ112" i="29"/>
  <c r="AQ111" i="29"/>
  <c r="AQ110" i="29"/>
  <c r="AQ109" i="29"/>
  <c r="AQ108" i="29"/>
  <c r="AQ107" i="29"/>
  <c r="AQ106" i="29"/>
  <c r="AQ105" i="29"/>
  <c r="AQ104" i="29"/>
  <c r="AQ103" i="29"/>
  <c r="AQ102" i="29"/>
  <c r="AQ101" i="29"/>
  <c r="AQ100" i="29"/>
  <c r="AQ99" i="29"/>
  <c r="AQ98" i="29"/>
  <c r="AQ97" i="29"/>
  <c r="AQ96" i="29"/>
  <c r="AQ95" i="29"/>
  <c r="AQ94" i="29"/>
  <c r="AQ93" i="29"/>
  <c r="AQ92" i="29"/>
  <c r="AQ91" i="29"/>
  <c r="AQ90" i="29"/>
  <c r="AQ89" i="29"/>
  <c r="AQ88" i="29"/>
  <c r="AQ87" i="29"/>
  <c r="AQ86" i="29"/>
  <c r="AQ85" i="29"/>
  <c r="AQ84" i="29"/>
  <c r="AQ83" i="29"/>
  <c r="AQ82" i="29"/>
  <c r="AQ81" i="29"/>
  <c r="AQ80" i="29"/>
  <c r="AQ79" i="29"/>
  <c r="AQ78" i="29"/>
  <c r="AQ77" i="29"/>
  <c r="AQ76" i="29"/>
  <c r="AQ75" i="29"/>
  <c r="AQ74" i="29"/>
  <c r="AQ73" i="29"/>
  <c r="AQ72" i="29"/>
  <c r="AQ71" i="29"/>
  <c r="AQ70" i="29"/>
  <c r="AQ69" i="29"/>
  <c r="AQ68" i="29"/>
  <c r="AQ67" i="29"/>
  <c r="AQ66" i="29"/>
  <c r="AQ65" i="29"/>
  <c r="AQ64" i="29"/>
  <c r="AQ63" i="29"/>
  <c r="AQ62" i="29"/>
  <c r="AQ61" i="29"/>
  <c r="AQ60" i="29"/>
  <c r="AQ59" i="29"/>
  <c r="AQ58" i="29"/>
  <c r="AQ57" i="29"/>
  <c r="AQ56" i="29"/>
  <c r="AQ55" i="29"/>
  <c r="AQ54" i="29"/>
  <c r="AQ51" i="29"/>
  <c r="AQ49" i="29"/>
  <c r="AQ48" i="29"/>
  <c r="AQ47" i="29"/>
  <c r="AQ46" i="29"/>
  <c r="AQ45" i="29"/>
  <c r="AQ44" i="29"/>
  <c r="AQ43" i="29"/>
  <c r="AQ42" i="29"/>
  <c r="AQ41" i="29"/>
  <c r="AQ40" i="29"/>
  <c r="AQ39" i="29"/>
  <c r="AQ38" i="29"/>
  <c r="AQ37" i="29"/>
  <c r="AQ36" i="29"/>
  <c r="AQ35" i="29"/>
  <c r="AQ34" i="29"/>
  <c r="AQ33" i="29"/>
  <c r="AQ32" i="29"/>
  <c r="AQ31" i="29"/>
  <c r="AQ30" i="29"/>
  <c r="AQ29" i="29"/>
  <c r="AQ28" i="29"/>
  <c r="AQ27" i="29"/>
  <c r="AQ26" i="29"/>
  <c r="AQ25" i="29"/>
  <c r="AQ24" i="29"/>
  <c r="AQ23" i="29"/>
  <c r="AQ22" i="29"/>
  <c r="AQ21" i="29"/>
  <c r="AQ20" i="29"/>
  <c r="AQ19" i="29"/>
  <c r="AQ18" i="29"/>
  <c r="AQ17" i="29"/>
  <c r="AQ16" i="29"/>
  <c r="AQ15" i="29"/>
  <c r="AQ14" i="29"/>
  <c r="AQ13" i="29"/>
  <c r="AQ12" i="29"/>
  <c r="AQ11" i="29"/>
  <c r="AQ10" i="29"/>
  <c r="AQ9" i="29"/>
  <c r="AQ8" i="29"/>
  <c r="AQ7" i="29"/>
  <c r="AQ6" i="29"/>
  <c r="AQ5" i="29"/>
  <c r="AQ4" i="29"/>
  <c r="AQ3" i="29"/>
  <c r="AQ2" i="29"/>
  <c r="AI430" i="29"/>
  <c r="AI429" i="29"/>
  <c r="AI428" i="29"/>
  <c r="AI427" i="29"/>
  <c r="AI426" i="29"/>
  <c r="AI425" i="29"/>
  <c r="AI424" i="29"/>
  <c r="AI423" i="29"/>
  <c r="AI422" i="29"/>
  <c r="AI421" i="29"/>
  <c r="AI420" i="29"/>
  <c r="AI419" i="29"/>
  <c r="AI418" i="29"/>
  <c r="AI417" i="29"/>
  <c r="AI416" i="29"/>
  <c r="AI415" i="29"/>
  <c r="AI414" i="29"/>
  <c r="AI413" i="29"/>
  <c r="AI412" i="29"/>
  <c r="AI411" i="29"/>
  <c r="AI410" i="29"/>
  <c r="AI409" i="29"/>
  <c r="AI408" i="29"/>
  <c r="AI407" i="29"/>
  <c r="AI406" i="29"/>
  <c r="AI405" i="29"/>
  <c r="AI404" i="29"/>
  <c r="AI403" i="29"/>
  <c r="AI402" i="29"/>
  <c r="AI401" i="29"/>
  <c r="AI400" i="29"/>
  <c r="AI399" i="29"/>
  <c r="AI398" i="29"/>
  <c r="AI397" i="29"/>
  <c r="AI396" i="29"/>
  <c r="AI395" i="29"/>
  <c r="AI394" i="29"/>
  <c r="AI393" i="29"/>
  <c r="AI392" i="29"/>
  <c r="AI391" i="29"/>
  <c r="AI390" i="29"/>
  <c r="AI389" i="29"/>
  <c r="AI388" i="29"/>
  <c r="AI387" i="29"/>
  <c r="AI386" i="29"/>
  <c r="AI385" i="29"/>
  <c r="AI384" i="29"/>
  <c r="AI383" i="29"/>
  <c r="AI382" i="29"/>
  <c r="AI381" i="29"/>
  <c r="AI380" i="29"/>
  <c r="AI379" i="29"/>
  <c r="AI378" i="29"/>
  <c r="AI377" i="29"/>
  <c r="AI376" i="29"/>
  <c r="AI375" i="29"/>
  <c r="AI374" i="29"/>
  <c r="AI373" i="29"/>
  <c r="AI372" i="29"/>
  <c r="AI371" i="29"/>
  <c r="AI370" i="29"/>
  <c r="AI369" i="29"/>
  <c r="AI368" i="29"/>
  <c r="AI367" i="29"/>
  <c r="AI366" i="29"/>
  <c r="AI365" i="29"/>
  <c r="AI364" i="29"/>
  <c r="AI363" i="29"/>
  <c r="AI362" i="29"/>
  <c r="AI361" i="29"/>
  <c r="AI360" i="29"/>
  <c r="AI359" i="29"/>
  <c r="AI358" i="29"/>
  <c r="AI357" i="29"/>
  <c r="AI356" i="29"/>
  <c r="AI355" i="29"/>
  <c r="AI354" i="29"/>
  <c r="AI353" i="29"/>
  <c r="AI352" i="29"/>
  <c r="AI351" i="29"/>
  <c r="AI350" i="29"/>
  <c r="AI349" i="29"/>
  <c r="AI348" i="29"/>
  <c r="AI347" i="29"/>
  <c r="AI346" i="29"/>
  <c r="AI345" i="29"/>
  <c r="AI344" i="29"/>
  <c r="AI343" i="29"/>
  <c r="AI342" i="29"/>
  <c r="AI341" i="29"/>
  <c r="AI340" i="29"/>
  <c r="AI339" i="29"/>
  <c r="AI338" i="29"/>
  <c r="AI337" i="29"/>
  <c r="AI336" i="29"/>
  <c r="AI335" i="29"/>
  <c r="AI334" i="29"/>
  <c r="AI333" i="29"/>
  <c r="AI332" i="29"/>
  <c r="AI331" i="29"/>
  <c r="AI330" i="29"/>
  <c r="AI329" i="29"/>
  <c r="AI328" i="29"/>
  <c r="AI327" i="29"/>
  <c r="AI326" i="29"/>
  <c r="AI325" i="29"/>
  <c r="AI324" i="29"/>
  <c r="AI323" i="29"/>
  <c r="AI322" i="29"/>
  <c r="AI321" i="29"/>
  <c r="AI320" i="29"/>
  <c r="AI319" i="29"/>
  <c r="AI318" i="29"/>
  <c r="AI317" i="29"/>
  <c r="AI316" i="29"/>
  <c r="AI315" i="29"/>
  <c r="AI314" i="29"/>
  <c r="AI313" i="29"/>
  <c r="AI312" i="29"/>
  <c r="AI311" i="29"/>
  <c r="AI310" i="29"/>
  <c r="AI309" i="29"/>
  <c r="AI308" i="29"/>
  <c r="AI307" i="29"/>
  <c r="AI306" i="29"/>
  <c r="AI305" i="29"/>
  <c r="AI304" i="29"/>
  <c r="AI303" i="29"/>
  <c r="AI302" i="29"/>
  <c r="AI301" i="29"/>
  <c r="AI300" i="29"/>
  <c r="AI299" i="29"/>
  <c r="AI298" i="29"/>
  <c r="AI297" i="29"/>
  <c r="AI296" i="29"/>
  <c r="AI295" i="29"/>
  <c r="AI294" i="29"/>
  <c r="AI293" i="29"/>
  <c r="AI292" i="29"/>
  <c r="AI291" i="29"/>
  <c r="AI290" i="29"/>
  <c r="AI289" i="29"/>
  <c r="AI288" i="29"/>
  <c r="AI287" i="29"/>
  <c r="AI286" i="29"/>
  <c r="AI285" i="29"/>
  <c r="AI284" i="29"/>
  <c r="AI283" i="29"/>
  <c r="AI282" i="29"/>
  <c r="AI281" i="29"/>
  <c r="AI280" i="29"/>
  <c r="AI279" i="29"/>
  <c r="AI278" i="29"/>
  <c r="AI277" i="29"/>
  <c r="AI276" i="29"/>
  <c r="AI275" i="29"/>
  <c r="AI274" i="29"/>
  <c r="AI273" i="29"/>
  <c r="AI272" i="29"/>
  <c r="AI271" i="29"/>
  <c r="AI270" i="29"/>
  <c r="AI269" i="29"/>
  <c r="AI268" i="29"/>
  <c r="AI267" i="29"/>
  <c r="AI266" i="29"/>
  <c r="AI265" i="29"/>
  <c r="AI264" i="29"/>
  <c r="AI263" i="29"/>
  <c r="AI262" i="29"/>
  <c r="AI261" i="29"/>
  <c r="AI260" i="29"/>
  <c r="AI259" i="29"/>
  <c r="AI258" i="29"/>
  <c r="AI257" i="29"/>
  <c r="AI256" i="29"/>
  <c r="AI255" i="29"/>
  <c r="AI254" i="29"/>
  <c r="AI253" i="29"/>
  <c r="AI252" i="29"/>
  <c r="AI251" i="29"/>
  <c r="AI250" i="29"/>
  <c r="AI249" i="29"/>
  <c r="AI248" i="29"/>
  <c r="AI247" i="29"/>
  <c r="AI246" i="29"/>
  <c r="AI245" i="29"/>
  <c r="AI244" i="29"/>
  <c r="AI243" i="29"/>
  <c r="AI242" i="29"/>
  <c r="AI167" i="29"/>
  <c r="AI166" i="29"/>
  <c r="AI165" i="29"/>
  <c r="AI164" i="29"/>
  <c r="AI163" i="29"/>
  <c r="AI162" i="29"/>
  <c r="AI161" i="29"/>
  <c r="AI160" i="29"/>
  <c r="AI159" i="29"/>
  <c r="AI158" i="29"/>
  <c r="AI157" i="29"/>
  <c r="AI156" i="29"/>
  <c r="AI155" i="29"/>
  <c r="AI154" i="29"/>
  <c r="AI153" i="29"/>
  <c r="AI152" i="29"/>
  <c r="AI151" i="29"/>
  <c r="AI150" i="29"/>
  <c r="AI149" i="29"/>
  <c r="AI148" i="29"/>
  <c r="AI147" i="29"/>
  <c r="AI146" i="29"/>
  <c r="AI145" i="29"/>
  <c r="AI144" i="29"/>
  <c r="AI143" i="29"/>
  <c r="AI142" i="29"/>
  <c r="AI141" i="29"/>
  <c r="AI140" i="29"/>
  <c r="AI139" i="29"/>
  <c r="AI138" i="29"/>
  <c r="AI137" i="29"/>
  <c r="AI136" i="29"/>
  <c r="AI135" i="29"/>
  <c r="AI134" i="29"/>
  <c r="AI133" i="29"/>
  <c r="AI132" i="29"/>
  <c r="AI131" i="29"/>
  <c r="AI130" i="29"/>
  <c r="AI129" i="29"/>
  <c r="AI128" i="29"/>
  <c r="AI127" i="29"/>
  <c r="AI126" i="29"/>
  <c r="AI125" i="29"/>
  <c r="AI124" i="29"/>
  <c r="AI123" i="29"/>
  <c r="AI122" i="29"/>
  <c r="AI121" i="29"/>
  <c r="AI120" i="29"/>
  <c r="AI119" i="29"/>
  <c r="AI118" i="29"/>
  <c r="AI117" i="29"/>
  <c r="AI116" i="29"/>
  <c r="AI115" i="29"/>
  <c r="AI114" i="29"/>
  <c r="AI113" i="29"/>
  <c r="AI112" i="29"/>
  <c r="AI111" i="29"/>
  <c r="AI110" i="29"/>
  <c r="AI109" i="29"/>
  <c r="AI108" i="29"/>
  <c r="AI107" i="29"/>
  <c r="AI106" i="29"/>
  <c r="AI105" i="29"/>
  <c r="AI104" i="29"/>
  <c r="AI103" i="29"/>
  <c r="AI102" i="29"/>
  <c r="AI101" i="29"/>
  <c r="AI100" i="29"/>
  <c r="AI99" i="29"/>
  <c r="AI98" i="29"/>
  <c r="AI97" i="29"/>
  <c r="AI96" i="29"/>
  <c r="AI95" i="29"/>
  <c r="AI94" i="29"/>
  <c r="AI93" i="29"/>
  <c r="AI92" i="29"/>
  <c r="AI91" i="29"/>
  <c r="AI90" i="29"/>
  <c r="AI89" i="29"/>
  <c r="AI88" i="29"/>
  <c r="AI87" i="29"/>
  <c r="AI86" i="29"/>
  <c r="AI85" i="29"/>
  <c r="AI84" i="29"/>
  <c r="AI83" i="29"/>
  <c r="AI82" i="29"/>
  <c r="AI81" i="29"/>
  <c r="AI80" i="29"/>
  <c r="AI79" i="29"/>
  <c r="AI78" i="29"/>
  <c r="AI77" i="29"/>
  <c r="AI76" i="29"/>
  <c r="AI75" i="29"/>
  <c r="AI74" i="29"/>
  <c r="AI73" i="29"/>
  <c r="AI72" i="29"/>
  <c r="AI71" i="29"/>
  <c r="AI70" i="29"/>
  <c r="AI69" i="29"/>
  <c r="AI68" i="29"/>
  <c r="AI67" i="29"/>
  <c r="AI66" i="29"/>
  <c r="AI65" i="29"/>
  <c r="AI64" i="29"/>
  <c r="AI63" i="29"/>
  <c r="AI62" i="29"/>
  <c r="AI61" i="29"/>
  <c r="AI60" i="29"/>
  <c r="AI59" i="29"/>
  <c r="AI58" i="29"/>
  <c r="AI57" i="29"/>
  <c r="AI56" i="29"/>
  <c r="AI55" i="29"/>
  <c r="AI54" i="29"/>
  <c r="AI51" i="29"/>
  <c r="AI49" i="29"/>
  <c r="AI48" i="29"/>
  <c r="AI47" i="29"/>
  <c r="AI46" i="29"/>
  <c r="AI45" i="29"/>
  <c r="AI44" i="29"/>
  <c r="AI43" i="29"/>
  <c r="AI42" i="29"/>
  <c r="AI41" i="29"/>
  <c r="AI40" i="29"/>
  <c r="AI39" i="29"/>
  <c r="AI38" i="29"/>
  <c r="AI37" i="29"/>
  <c r="AI36" i="29"/>
  <c r="AI35" i="29"/>
  <c r="AI34" i="29"/>
  <c r="AI33" i="29"/>
  <c r="AI32" i="29"/>
  <c r="AI31" i="29"/>
  <c r="AI30" i="29"/>
  <c r="AI29" i="29"/>
  <c r="AI28" i="29"/>
  <c r="AI27" i="29"/>
  <c r="AI26" i="29"/>
  <c r="AI25" i="29"/>
  <c r="AI24" i="29"/>
  <c r="AI23" i="29"/>
  <c r="AI22" i="29"/>
  <c r="AI21" i="29"/>
  <c r="AI20" i="29"/>
  <c r="AI19" i="29"/>
  <c r="AI18" i="29"/>
  <c r="AI17" i="29"/>
  <c r="AI16" i="29"/>
  <c r="AI15" i="29"/>
  <c r="AI14" i="29"/>
  <c r="AI13" i="29"/>
  <c r="AI12" i="29"/>
  <c r="AI11" i="29"/>
  <c r="AI10" i="29"/>
  <c r="AI9" i="29"/>
  <c r="AI8" i="29"/>
  <c r="AI7" i="29"/>
  <c r="AI6" i="29"/>
  <c r="AI5" i="29"/>
  <c r="AI4" i="29"/>
  <c r="AI3" i="29"/>
  <c r="AI2" i="29"/>
  <c r="AA430" i="29"/>
  <c r="AA429" i="29"/>
  <c r="AA428" i="29"/>
  <c r="AA427" i="29"/>
  <c r="AA426" i="29"/>
  <c r="AA425" i="29"/>
  <c r="AA424" i="29"/>
  <c r="AA423" i="29"/>
  <c r="AA422" i="29"/>
  <c r="AA421" i="29"/>
  <c r="AA420" i="29"/>
  <c r="AA419" i="29"/>
  <c r="AA418" i="29"/>
  <c r="AA417" i="29"/>
  <c r="AA416" i="29"/>
  <c r="AA415" i="29"/>
  <c r="AA414" i="29"/>
  <c r="AA413" i="29"/>
  <c r="AA412" i="29"/>
  <c r="AA411" i="29"/>
  <c r="AA410" i="29"/>
  <c r="AA409" i="29"/>
  <c r="AA408" i="29"/>
  <c r="AA407" i="29"/>
  <c r="AA406" i="29"/>
  <c r="AA405" i="29"/>
  <c r="AA404" i="29"/>
  <c r="AA403" i="29"/>
  <c r="AA402" i="29"/>
  <c r="AA401" i="29"/>
  <c r="AA400" i="29"/>
  <c r="AA399" i="29"/>
  <c r="AA398" i="29"/>
  <c r="AA397" i="29"/>
  <c r="AA396" i="29"/>
  <c r="AA395" i="29"/>
  <c r="AA394" i="29"/>
  <c r="AA393" i="29"/>
  <c r="AA392" i="29"/>
  <c r="AA391" i="29"/>
  <c r="AA390" i="29"/>
  <c r="AA389" i="29"/>
  <c r="AA388" i="29"/>
  <c r="AA387" i="29"/>
  <c r="AA386" i="29"/>
  <c r="AA385" i="29"/>
  <c r="AA384" i="29"/>
  <c r="AA383" i="29"/>
  <c r="AA382" i="29"/>
  <c r="AA381" i="29"/>
  <c r="AA380" i="29"/>
  <c r="AA379" i="29"/>
  <c r="AA378" i="29"/>
  <c r="AA377" i="29"/>
  <c r="AA376" i="29"/>
  <c r="AA375" i="29"/>
  <c r="AA374" i="29"/>
  <c r="AA373" i="29"/>
  <c r="AA372" i="29"/>
  <c r="AA371" i="29"/>
  <c r="AA370" i="29"/>
  <c r="AA369" i="29"/>
  <c r="AA368" i="29"/>
  <c r="AA367" i="29"/>
  <c r="AA366" i="29"/>
  <c r="AA365" i="29"/>
  <c r="AA364" i="29"/>
  <c r="AA363" i="29"/>
  <c r="AA362" i="29"/>
  <c r="AA361" i="29"/>
  <c r="AA360" i="29"/>
  <c r="AA359" i="29"/>
  <c r="AA358" i="29"/>
  <c r="AA357" i="29"/>
  <c r="AA356" i="29"/>
  <c r="AA355" i="29"/>
  <c r="AA354" i="29"/>
  <c r="AA353" i="29"/>
  <c r="AA352" i="29"/>
  <c r="AA351" i="29"/>
  <c r="AA350" i="29"/>
  <c r="AA349" i="29"/>
  <c r="AA348" i="29"/>
  <c r="AA347" i="29"/>
  <c r="AA346" i="29"/>
  <c r="AA345" i="29"/>
  <c r="AA344" i="29"/>
  <c r="AA343" i="29"/>
  <c r="AA342" i="29"/>
  <c r="AA341" i="29"/>
  <c r="AA340" i="29"/>
  <c r="AA339" i="29"/>
  <c r="AA338" i="29"/>
  <c r="AA337" i="29"/>
  <c r="AA336" i="29"/>
  <c r="AA335" i="29"/>
  <c r="AA334" i="29"/>
  <c r="AA333" i="29"/>
  <c r="AA332" i="29"/>
  <c r="AA331" i="29"/>
  <c r="AA330" i="29"/>
  <c r="AA329" i="29"/>
  <c r="AA328" i="29"/>
  <c r="AA327" i="29"/>
  <c r="AA326" i="29"/>
  <c r="AA325" i="29"/>
  <c r="AA324" i="29"/>
  <c r="AA323" i="29"/>
  <c r="AA322" i="29"/>
  <c r="AA321" i="29"/>
  <c r="AA320" i="29"/>
  <c r="AA319" i="29"/>
  <c r="AA318" i="29"/>
  <c r="AA317" i="29"/>
  <c r="AA316" i="29"/>
  <c r="AA315" i="29"/>
  <c r="AA314" i="29"/>
  <c r="AA313" i="29"/>
  <c r="AA312" i="29"/>
  <c r="AA311" i="29"/>
  <c r="AA310" i="29"/>
  <c r="AA309" i="29"/>
  <c r="AA308" i="29"/>
  <c r="AA307" i="29"/>
  <c r="AA306" i="29"/>
  <c r="AA305" i="29"/>
  <c r="AA304" i="29"/>
  <c r="AA303" i="29"/>
  <c r="AA302" i="29"/>
  <c r="AA301" i="29"/>
  <c r="AA300" i="29"/>
  <c r="AA299" i="29"/>
  <c r="AA298" i="29"/>
  <c r="AA297" i="29"/>
  <c r="AA296" i="29"/>
  <c r="AA295" i="29"/>
  <c r="AA294" i="29"/>
  <c r="AA293" i="29"/>
  <c r="AA292" i="29"/>
  <c r="AA291" i="29"/>
  <c r="AA290" i="29"/>
  <c r="AA289" i="29"/>
  <c r="AA288" i="29"/>
  <c r="AA287" i="29"/>
  <c r="AA286" i="29"/>
  <c r="AA285" i="29"/>
  <c r="AA284" i="29"/>
  <c r="AA283" i="29"/>
  <c r="AA282" i="29"/>
  <c r="AA281" i="29"/>
  <c r="AA280" i="29"/>
  <c r="AA279" i="29"/>
  <c r="AA278" i="29"/>
  <c r="AA277" i="29"/>
  <c r="AA276" i="29"/>
  <c r="AA275" i="29"/>
  <c r="AA274" i="29"/>
  <c r="AA273" i="29"/>
  <c r="AA272" i="29"/>
  <c r="AA271" i="29"/>
  <c r="AA270" i="29"/>
  <c r="AA269" i="29"/>
  <c r="AA268" i="29"/>
  <c r="AA267" i="29"/>
  <c r="AA266" i="29"/>
  <c r="AA265" i="29"/>
  <c r="AA264" i="29"/>
  <c r="AA263" i="29"/>
  <c r="AA262" i="29"/>
  <c r="AA261" i="29"/>
  <c r="AA260" i="29"/>
  <c r="AA259" i="29"/>
  <c r="AA258" i="29"/>
  <c r="AA257" i="29"/>
  <c r="AA256" i="29"/>
  <c r="AA255" i="29"/>
  <c r="AA254" i="29"/>
  <c r="AA253" i="29"/>
  <c r="AA252" i="29"/>
  <c r="AA251" i="29"/>
  <c r="AA250" i="29"/>
  <c r="AA249" i="29"/>
  <c r="AA248" i="29"/>
  <c r="AA247" i="29"/>
  <c r="AA246" i="29"/>
  <c r="AA245" i="29"/>
  <c r="AA244" i="29"/>
  <c r="AA243" i="29"/>
  <c r="AA242" i="29"/>
  <c r="AA167" i="29"/>
  <c r="AA166" i="29"/>
  <c r="AA165" i="29"/>
  <c r="AA164" i="29"/>
  <c r="AA163" i="29"/>
  <c r="AA162" i="29"/>
  <c r="AA161" i="29"/>
  <c r="AA160" i="29"/>
  <c r="AA159" i="29"/>
  <c r="AA158" i="29"/>
  <c r="AA157" i="29"/>
  <c r="AA156" i="29"/>
  <c r="AA155" i="29"/>
  <c r="AA154" i="29"/>
  <c r="AA153" i="29"/>
  <c r="AA152" i="29"/>
  <c r="AA151" i="29"/>
  <c r="AA150" i="29"/>
  <c r="AA149" i="29"/>
  <c r="AA148" i="29"/>
  <c r="AA147" i="29"/>
  <c r="AA146" i="29"/>
  <c r="AA145" i="29"/>
  <c r="AA144" i="29"/>
  <c r="AA143" i="29"/>
  <c r="AA142" i="29"/>
  <c r="AA141" i="29"/>
  <c r="AA140" i="29"/>
  <c r="AA139" i="29"/>
  <c r="AA138" i="29"/>
  <c r="AA137" i="29"/>
  <c r="AA136" i="29"/>
  <c r="AA135" i="29"/>
  <c r="AA134" i="29"/>
  <c r="AA133" i="29"/>
  <c r="AA132" i="29"/>
  <c r="AA131" i="29"/>
  <c r="AA130" i="29"/>
  <c r="AA129" i="29"/>
  <c r="AA128" i="29"/>
  <c r="AA127" i="29"/>
  <c r="AA126" i="29"/>
  <c r="AA125" i="29"/>
  <c r="AA124" i="29"/>
  <c r="AA123" i="29"/>
  <c r="AA122" i="29"/>
  <c r="AA121" i="29"/>
  <c r="AA120" i="29"/>
  <c r="AA119" i="29"/>
  <c r="AA118" i="29"/>
  <c r="AA117" i="29"/>
  <c r="AA116" i="29"/>
  <c r="AA115" i="29"/>
  <c r="AA114" i="29"/>
  <c r="AA113" i="29"/>
  <c r="AA112" i="29"/>
  <c r="AA111" i="29"/>
  <c r="AA110" i="29"/>
  <c r="AA109" i="29"/>
  <c r="AA108" i="29"/>
  <c r="AA107" i="29"/>
  <c r="AA106" i="29"/>
  <c r="AA105" i="29"/>
  <c r="AA104" i="29"/>
  <c r="AA103" i="29"/>
  <c r="AA102" i="29"/>
  <c r="AA101" i="29"/>
  <c r="AA100" i="29"/>
  <c r="AA99" i="29"/>
  <c r="AA98" i="29"/>
  <c r="AA97" i="29"/>
  <c r="AA96" i="29"/>
  <c r="AA95" i="29"/>
  <c r="AA94" i="29"/>
  <c r="AA93" i="29"/>
  <c r="AA92" i="29"/>
  <c r="AA91" i="29"/>
  <c r="AA90" i="29"/>
  <c r="AA89" i="29"/>
  <c r="AA88" i="29"/>
  <c r="AA87" i="29"/>
  <c r="AA86" i="29"/>
  <c r="AA85" i="29"/>
  <c r="AA84" i="29"/>
  <c r="AA83" i="29"/>
  <c r="AA82" i="29"/>
  <c r="AA81" i="29"/>
  <c r="AA80" i="29"/>
  <c r="AA79" i="29"/>
  <c r="AA78" i="29"/>
  <c r="AA77" i="29"/>
  <c r="AA76" i="29"/>
  <c r="AA75" i="29"/>
  <c r="AA74" i="29"/>
  <c r="AA73" i="29"/>
  <c r="AA72" i="29"/>
  <c r="AA71" i="29"/>
  <c r="AA70" i="29"/>
  <c r="AA69" i="29"/>
  <c r="AA68" i="29"/>
  <c r="AA67" i="29"/>
  <c r="AA66" i="29"/>
  <c r="AA65" i="29"/>
  <c r="AA64" i="29"/>
  <c r="AA63" i="29"/>
  <c r="AA62" i="29"/>
  <c r="AA61" i="29"/>
  <c r="AA60" i="29"/>
  <c r="AA59" i="29"/>
  <c r="AA58" i="29"/>
  <c r="AA57" i="29"/>
  <c r="AA56" i="29"/>
  <c r="AA55" i="29"/>
  <c r="AA54" i="29"/>
  <c r="AA51" i="29"/>
  <c r="AA49" i="29"/>
  <c r="AA48" i="29"/>
  <c r="AA47" i="29"/>
  <c r="AA46" i="29"/>
  <c r="AA45" i="29"/>
  <c r="AA44" i="29"/>
  <c r="AA43" i="29"/>
  <c r="AA42" i="29"/>
  <c r="AA41" i="29"/>
  <c r="AA40" i="29"/>
  <c r="AA39" i="29"/>
  <c r="AA38" i="29"/>
  <c r="AA37" i="29"/>
  <c r="AA36" i="29"/>
  <c r="AA35" i="29"/>
  <c r="AA34" i="29"/>
  <c r="AA33" i="29"/>
  <c r="AA32" i="29"/>
  <c r="AA31" i="29"/>
  <c r="AA30" i="29"/>
  <c r="AA29" i="29"/>
  <c r="AA28" i="29"/>
  <c r="AA27" i="29"/>
  <c r="AA26" i="29"/>
  <c r="AA25" i="29"/>
  <c r="AA24" i="29"/>
  <c r="AA23" i="29"/>
  <c r="AA22" i="29"/>
  <c r="AA21" i="29"/>
  <c r="AA20" i="29"/>
  <c r="AA19" i="29"/>
  <c r="AA18" i="29"/>
  <c r="AA17" i="29"/>
  <c r="AA16" i="29"/>
  <c r="AA15" i="29"/>
  <c r="AA14" i="29"/>
  <c r="AA13" i="29"/>
  <c r="AA12" i="29"/>
  <c r="AA11" i="29"/>
  <c r="AA10" i="29"/>
  <c r="AA9" i="29"/>
  <c r="AA8" i="29"/>
  <c r="AA7" i="29"/>
  <c r="AA6" i="29"/>
  <c r="AA5" i="29"/>
  <c r="AA4" i="29"/>
  <c r="AA3" i="29"/>
  <c r="AA2" i="29"/>
  <c r="S430" i="29"/>
  <c r="S429" i="29"/>
  <c r="S428" i="29"/>
  <c r="S427" i="29"/>
  <c r="S426" i="29"/>
  <c r="S425" i="29"/>
  <c r="S424" i="29"/>
  <c r="S423" i="29"/>
  <c r="S422" i="29"/>
  <c r="S421" i="29"/>
  <c r="S420" i="29"/>
  <c r="S419" i="29"/>
  <c r="S418" i="29"/>
  <c r="S417" i="29"/>
  <c r="S416" i="29"/>
  <c r="S415" i="29"/>
  <c r="S414" i="29"/>
  <c r="S413" i="29"/>
  <c r="S412" i="29"/>
  <c r="S411" i="29"/>
  <c r="S410" i="29"/>
  <c r="S409" i="29"/>
  <c r="S408" i="29"/>
  <c r="S407" i="29"/>
  <c r="S406" i="29"/>
  <c r="S405" i="29"/>
  <c r="S404" i="29"/>
  <c r="S403" i="29"/>
  <c r="S402" i="29"/>
  <c r="S401" i="29"/>
  <c r="S400" i="29"/>
  <c r="S399" i="29"/>
  <c r="S398" i="29"/>
  <c r="S397" i="29"/>
  <c r="S396" i="29"/>
  <c r="S395" i="29"/>
  <c r="S394" i="29"/>
  <c r="S393" i="29"/>
  <c r="S392" i="29"/>
  <c r="S391" i="29"/>
  <c r="S390" i="29"/>
  <c r="S389" i="29"/>
  <c r="S388" i="29"/>
  <c r="S387" i="29"/>
  <c r="S386" i="29"/>
  <c r="S385" i="29"/>
  <c r="S384" i="29"/>
  <c r="S383" i="29"/>
  <c r="S382" i="29"/>
  <c r="S381" i="29"/>
  <c r="S380" i="29"/>
  <c r="S379" i="29"/>
  <c r="S378" i="29"/>
  <c r="S377" i="29"/>
  <c r="S376" i="29"/>
  <c r="S375" i="29"/>
  <c r="S374" i="29"/>
  <c r="S373" i="29"/>
  <c r="S372" i="29"/>
  <c r="S371" i="29"/>
  <c r="S370" i="29"/>
  <c r="S369" i="29"/>
  <c r="S368" i="29"/>
  <c r="S367" i="29"/>
  <c r="S366" i="29"/>
  <c r="S365" i="29"/>
  <c r="S364" i="29"/>
  <c r="S363" i="29"/>
  <c r="S362" i="29"/>
  <c r="S361" i="29"/>
  <c r="S360" i="29"/>
  <c r="S359" i="29"/>
  <c r="S358" i="29"/>
  <c r="S357" i="29"/>
  <c r="S356" i="29"/>
  <c r="S355" i="29"/>
  <c r="S354" i="29"/>
  <c r="S353" i="29"/>
  <c r="S352" i="29"/>
  <c r="S351" i="29"/>
  <c r="S350" i="29"/>
  <c r="S349" i="29"/>
  <c r="S348" i="29"/>
  <c r="S347" i="29"/>
  <c r="S346" i="29"/>
  <c r="S345" i="29"/>
  <c r="S344" i="29"/>
  <c r="S343" i="29"/>
  <c r="S342" i="29"/>
  <c r="S341" i="29"/>
  <c r="S340" i="29"/>
  <c r="S339" i="29"/>
  <c r="S338" i="29"/>
  <c r="S337" i="29"/>
  <c r="S336" i="29"/>
  <c r="S335" i="29"/>
  <c r="S334" i="29"/>
  <c r="S333" i="29"/>
  <c r="S332" i="29"/>
  <c r="S331" i="29"/>
  <c r="S330" i="29"/>
  <c r="S329" i="29"/>
  <c r="S328" i="29"/>
  <c r="S327" i="29"/>
  <c r="S326" i="29"/>
  <c r="S325" i="29"/>
  <c r="S324" i="29"/>
  <c r="S323" i="29"/>
  <c r="S322" i="29"/>
  <c r="S321" i="29"/>
  <c r="S320" i="29"/>
  <c r="S319" i="29"/>
  <c r="S318" i="29"/>
  <c r="S317" i="29"/>
  <c r="S316" i="29"/>
  <c r="S315" i="29"/>
  <c r="S314" i="29"/>
  <c r="S313" i="29"/>
  <c r="S312" i="29"/>
  <c r="S311" i="29"/>
  <c r="S310" i="29"/>
  <c r="S309" i="29"/>
  <c r="S308" i="29"/>
  <c r="S307" i="29"/>
  <c r="S306" i="29"/>
  <c r="S305" i="29"/>
  <c r="S304" i="29"/>
  <c r="S303" i="29"/>
  <c r="S302" i="29"/>
  <c r="S301" i="29"/>
  <c r="S300" i="29"/>
  <c r="S299" i="29"/>
  <c r="S298" i="29"/>
  <c r="S297" i="29"/>
  <c r="S296" i="29"/>
  <c r="S295" i="29"/>
  <c r="S294" i="29"/>
  <c r="S293" i="29"/>
  <c r="S292" i="29"/>
  <c r="S291" i="29"/>
  <c r="S290" i="29"/>
  <c r="S289" i="29"/>
  <c r="S288" i="29"/>
  <c r="S287" i="29"/>
  <c r="S286" i="29"/>
  <c r="S285" i="29"/>
  <c r="S284" i="29"/>
  <c r="S283" i="29"/>
  <c r="S282" i="29"/>
  <c r="S281" i="29"/>
  <c r="S280" i="29"/>
  <c r="S279" i="29"/>
  <c r="S278" i="29"/>
  <c r="S277" i="29"/>
  <c r="S276" i="29"/>
  <c r="S275" i="29"/>
  <c r="S274" i="29"/>
  <c r="S273" i="29"/>
  <c r="S272" i="29"/>
  <c r="S271" i="29"/>
  <c r="S270" i="29"/>
  <c r="S269" i="29"/>
  <c r="S268" i="29"/>
  <c r="S267" i="29"/>
  <c r="S266" i="29"/>
  <c r="S265" i="29"/>
  <c r="S264" i="29"/>
  <c r="S263" i="29"/>
  <c r="S262" i="29"/>
  <c r="S261" i="29"/>
  <c r="S260" i="29"/>
  <c r="S259" i="29"/>
  <c r="S258" i="29"/>
  <c r="S257" i="29"/>
  <c r="S256" i="29"/>
  <c r="S255" i="29"/>
  <c r="S254" i="29"/>
  <c r="S253" i="29"/>
  <c r="S252" i="29"/>
  <c r="S251" i="29"/>
  <c r="S250" i="29"/>
  <c r="S249" i="29"/>
  <c r="S248" i="29"/>
  <c r="S247" i="29"/>
  <c r="S246" i="29"/>
  <c r="S245" i="29"/>
  <c r="S244" i="29"/>
  <c r="S243" i="29"/>
  <c r="S242" i="29"/>
  <c r="S167" i="29"/>
  <c r="S166" i="29"/>
  <c r="S165" i="29"/>
  <c r="S164" i="29"/>
  <c r="S163" i="29"/>
  <c r="S162" i="29"/>
  <c r="S161" i="29"/>
  <c r="S160" i="29"/>
  <c r="S159" i="29"/>
  <c r="S158" i="29"/>
  <c r="S157" i="29"/>
  <c r="S156" i="29"/>
  <c r="S155" i="29"/>
  <c r="S154" i="29"/>
  <c r="S153" i="29"/>
  <c r="S152" i="29"/>
  <c r="S151" i="29"/>
  <c r="S150" i="29"/>
  <c r="S149" i="29"/>
  <c r="S148" i="29"/>
  <c r="S147" i="29"/>
  <c r="S146" i="29"/>
  <c r="S145" i="29"/>
  <c r="S144" i="29"/>
  <c r="S143" i="29"/>
  <c r="S142" i="29"/>
  <c r="S141" i="29"/>
  <c r="S140" i="29"/>
  <c r="S139" i="29"/>
  <c r="S138" i="29"/>
  <c r="S137" i="29"/>
  <c r="S136" i="29"/>
  <c r="S135" i="29"/>
  <c r="S134" i="29"/>
  <c r="S133" i="29"/>
  <c r="S132" i="29"/>
  <c r="S131" i="29"/>
  <c r="S130" i="29"/>
  <c r="S129" i="29"/>
  <c r="S128" i="29"/>
  <c r="S127" i="29"/>
  <c r="S126" i="29"/>
  <c r="S125" i="29"/>
  <c r="S124" i="29"/>
  <c r="S123" i="29"/>
  <c r="S122" i="29"/>
  <c r="S121" i="29"/>
  <c r="S120" i="29"/>
  <c r="S119" i="29"/>
  <c r="S118" i="29"/>
  <c r="S117" i="29"/>
  <c r="S116" i="29"/>
  <c r="S115" i="29"/>
  <c r="S114" i="29"/>
  <c r="S113" i="29"/>
  <c r="S112" i="29"/>
  <c r="S111" i="29"/>
  <c r="S110" i="29"/>
  <c r="S109" i="29"/>
  <c r="S108" i="29"/>
  <c r="S107" i="29"/>
  <c r="S106" i="29"/>
  <c r="S105" i="29"/>
  <c r="S104" i="29"/>
  <c r="S103" i="29"/>
  <c r="S102" i="29"/>
  <c r="S101" i="29"/>
  <c r="S100" i="29"/>
  <c r="S99" i="29"/>
  <c r="S98" i="29"/>
  <c r="S97" i="29"/>
  <c r="S96" i="29"/>
  <c r="S95" i="29"/>
  <c r="S94" i="29"/>
  <c r="S93" i="29"/>
  <c r="S92" i="29"/>
  <c r="S91" i="29"/>
  <c r="S90" i="29"/>
  <c r="S89" i="29"/>
  <c r="S88" i="29"/>
  <c r="S87" i="29"/>
  <c r="S86" i="29"/>
  <c r="S85" i="29"/>
  <c r="S84" i="29"/>
  <c r="S83" i="29"/>
  <c r="S82" i="29"/>
  <c r="S81" i="29"/>
  <c r="S80" i="29"/>
  <c r="S79" i="29"/>
  <c r="S78" i="29"/>
  <c r="S77" i="29"/>
  <c r="S76" i="29"/>
  <c r="S75" i="29"/>
  <c r="S74" i="29"/>
  <c r="S73" i="29"/>
  <c r="S72" i="29"/>
  <c r="S71" i="29"/>
  <c r="S70" i="29"/>
  <c r="S69" i="29"/>
  <c r="S68" i="29"/>
  <c r="S67" i="29"/>
  <c r="S66" i="29"/>
  <c r="S65" i="29"/>
  <c r="S64" i="29"/>
  <c r="S63" i="29"/>
  <c r="S62" i="29"/>
  <c r="S61" i="29"/>
  <c r="S60" i="29"/>
  <c r="S59" i="29"/>
  <c r="S58" i="29"/>
  <c r="S57" i="29"/>
  <c r="S56" i="29"/>
  <c r="S55" i="29"/>
  <c r="S54" i="29"/>
  <c r="S51" i="29"/>
  <c r="S49" i="29"/>
  <c r="S48" i="29"/>
  <c r="S47" i="29"/>
  <c r="S46" i="29"/>
  <c r="S45" i="29"/>
  <c r="S44" i="29"/>
  <c r="S43" i="29"/>
  <c r="S42" i="29"/>
  <c r="S41" i="29"/>
  <c r="S40" i="29"/>
  <c r="S39" i="29"/>
  <c r="S38" i="29"/>
  <c r="S37" i="29"/>
  <c r="S36" i="29"/>
  <c r="S35" i="29"/>
  <c r="S34" i="29"/>
  <c r="S33" i="29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K430" i="29"/>
  <c r="K429" i="29"/>
  <c r="K428" i="29"/>
  <c r="K427" i="29"/>
  <c r="K426" i="29"/>
  <c r="K425" i="29"/>
  <c r="K424" i="29"/>
  <c r="K423" i="29"/>
  <c r="K422" i="29"/>
  <c r="K421" i="29"/>
  <c r="K420" i="29"/>
  <c r="K419" i="29"/>
  <c r="K418" i="29"/>
  <c r="K417" i="29"/>
  <c r="K416" i="29"/>
  <c r="K415" i="29"/>
  <c r="K414" i="29"/>
  <c r="K413" i="29"/>
  <c r="K412" i="29"/>
  <c r="K411" i="29"/>
  <c r="K410" i="29"/>
  <c r="K409" i="29"/>
  <c r="K408" i="29"/>
  <c r="K407" i="29"/>
  <c r="K406" i="29"/>
  <c r="K405" i="29"/>
  <c r="K404" i="29"/>
  <c r="K403" i="29"/>
  <c r="K402" i="29"/>
  <c r="K401" i="29"/>
  <c r="K400" i="29"/>
  <c r="K399" i="29"/>
  <c r="K398" i="29"/>
  <c r="K397" i="29"/>
  <c r="K396" i="29"/>
  <c r="K395" i="29"/>
  <c r="K394" i="29"/>
  <c r="K393" i="29"/>
  <c r="K392" i="29"/>
  <c r="K391" i="29"/>
  <c r="K390" i="29"/>
  <c r="K389" i="29"/>
  <c r="K388" i="29"/>
  <c r="K387" i="29"/>
  <c r="K386" i="29"/>
  <c r="K385" i="29"/>
  <c r="K384" i="29"/>
  <c r="K383" i="29"/>
  <c r="K382" i="29"/>
  <c r="K381" i="29"/>
  <c r="K380" i="29"/>
  <c r="K379" i="29"/>
  <c r="K378" i="29"/>
  <c r="K377" i="29"/>
  <c r="K376" i="29"/>
  <c r="K375" i="29"/>
  <c r="K374" i="29"/>
  <c r="K373" i="29"/>
  <c r="K372" i="29"/>
  <c r="K371" i="29"/>
  <c r="K370" i="29"/>
  <c r="K369" i="29"/>
  <c r="K368" i="29"/>
  <c r="K367" i="29"/>
  <c r="K366" i="29"/>
  <c r="K365" i="29"/>
  <c r="K364" i="29"/>
  <c r="K363" i="29"/>
  <c r="K362" i="29"/>
  <c r="K361" i="29"/>
  <c r="K360" i="29"/>
  <c r="K359" i="29"/>
  <c r="K358" i="29"/>
  <c r="K357" i="29"/>
  <c r="K356" i="29"/>
  <c r="K355" i="29"/>
  <c r="K354" i="29"/>
  <c r="K353" i="29"/>
  <c r="K352" i="29"/>
  <c r="K351" i="29"/>
  <c r="K350" i="29"/>
  <c r="K349" i="29"/>
  <c r="K348" i="29"/>
  <c r="K347" i="29"/>
  <c r="K346" i="29"/>
  <c r="K345" i="29"/>
  <c r="K344" i="29"/>
  <c r="K343" i="29"/>
  <c r="K342" i="29"/>
  <c r="K341" i="29"/>
  <c r="K340" i="29"/>
  <c r="K339" i="29"/>
  <c r="K338" i="29"/>
  <c r="K337" i="29"/>
  <c r="K336" i="29"/>
  <c r="K335" i="29"/>
  <c r="K334" i="29"/>
  <c r="K333" i="29"/>
  <c r="K332" i="29"/>
  <c r="K331" i="29"/>
  <c r="K330" i="29"/>
  <c r="K329" i="29"/>
  <c r="K328" i="29"/>
  <c r="K327" i="29"/>
  <c r="K326" i="29"/>
  <c r="K325" i="29"/>
  <c r="K324" i="29"/>
  <c r="K323" i="29"/>
  <c r="K322" i="29"/>
  <c r="K321" i="29"/>
  <c r="K320" i="29"/>
  <c r="K319" i="29"/>
  <c r="K318" i="29"/>
  <c r="K317" i="29"/>
  <c r="K316" i="29"/>
  <c r="M316" i="29" s="1"/>
  <c r="K315" i="29"/>
  <c r="K314" i="29"/>
  <c r="K313" i="29"/>
  <c r="K312" i="29"/>
  <c r="K311" i="29"/>
  <c r="K310" i="29"/>
  <c r="M310" i="29" s="1"/>
  <c r="K309" i="29"/>
  <c r="K308" i="29"/>
  <c r="K307" i="29"/>
  <c r="K306" i="29"/>
  <c r="K305" i="29"/>
  <c r="K304" i="29"/>
  <c r="M304" i="29" s="1"/>
  <c r="K303" i="29"/>
  <c r="K302" i="29"/>
  <c r="K301" i="29"/>
  <c r="K300" i="29"/>
  <c r="K299" i="29"/>
  <c r="K298" i="29"/>
  <c r="M298" i="29" s="1"/>
  <c r="K297" i="29"/>
  <c r="K296" i="29"/>
  <c r="K295" i="29"/>
  <c r="K294" i="29"/>
  <c r="K293" i="29"/>
  <c r="M293" i="29" s="1"/>
  <c r="K292" i="29"/>
  <c r="M292" i="29" s="1"/>
  <c r="K291" i="29"/>
  <c r="K290" i="29"/>
  <c r="M290" i="29" s="1"/>
  <c r="K289" i="29"/>
  <c r="K288" i="29"/>
  <c r="K287" i="29"/>
  <c r="M287" i="29" s="1"/>
  <c r="K286" i="29"/>
  <c r="M286" i="29" s="1"/>
  <c r="K285" i="29"/>
  <c r="K284" i="29"/>
  <c r="M284" i="29" s="1"/>
  <c r="K283" i="29"/>
  <c r="K282" i="29"/>
  <c r="K281" i="29"/>
  <c r="M281" i="29" s="1"/>
  <c r="K280" i="29"/>
  <c r="M280" i="29" s="1"/>
  <c r="K279" i="29"/>
  <c r="M279" i="29" s="1"/>
  <c r="K278" i="29"/>
  <c r="M278" i="29" s="1"/>
  <c r="K277" i="29"/>
  <c r="K276" i="29"/>
  <c r="K275" i="29"/>
  <c r="M275" i="29" s="1"/>
  <c r="K274" i="29"/>
  <c r="M274" i="29" s="1"/>
  <c r="K273" i="29"/>
  <c r="M273" i="29" s="1"/>
  <c r="K272" i="29"/>
  <c r="M272" i="29" s="1"/>
  <c r="K271" i="29"/>
  <c r="K270" i="29"/>
  <c r="K269" i="29"/>
  <c r="K268" i="29"/>
  <c r="M268" i="29" s="1"/>
  <c r="K267" i="29"/>
  <c r="M267" i="29" s="1"/>
  <c r="K266" i="29"/>
  <c r="K265" i="29"/>
  <c r="K264" i="29"/>
  <c r="K263" i="29"/>
  <c r="K262" i="29"/>
  <c r="K261" i="29"/>
  <c r="K260" i="29"/>
  <c r="K259" i="29"/>
  <c r="K258" i="29"/>
  <c r="K257" i="29"/>
  <c r="K256" i="29"/>
  <c r="K255" i="29"/>
  <c r="K254" i="29"/>
  <c r="K253" i="29"/>
  <c r="K252" i="29"/>
  <c r="K251" i="29"/>
  <c r="K250" i="29"/>
  <c r="K249" i="29"/>
  <c r="K248" i="29"/>
  <c r="K247" i="29"/>
  <c r="K246" i="29"/>
  <c r="K245" i="29"/>
  <c r="K244" i="29"/>
  <c r="K243" i="29"/>
  <c r="K242" i="29"/>
  <c r="K167" i="29"/>
  <c r="K166" i="29"/>
  <c r="K165" i="29"/>
  <c r="K164" i="29"/>
  <c r="K163" i="29"/>
  <c r="K162" i="29"/>
  <c r="K161" i="29"/>
  <c r="K160" i="29"/>
  <c r="K159" i="29"/>
  <c r="K158" i="29"/>
  <c r="K157" i="29"/>
  <c r="K156" i="29"/>
  <c r="K155" i="29"/>
  <c r="K154" i="29"/>
  <c r="K153" i="29"/>
  <c r="K152" i="29"/>
  <c r="K151" i="29"/>
  <c r="K150" i="29"/>
  <c r="K149" i="29"/>
  <c r="K148" i="29"/>
  <c r="K147" i="29"/>
  <c r="K146" i="29"/>
  <c r="K145" i="29"/>
  <c r="K144" i="29"/>
  <c r="K143" i="29"/>
  <c r="K142" i="29"/>
  <c r="K141" i="29"/>
  <c r="K140" i="29"/>
  <c r="K139" i="29"/>
  <c r="K138" i="29"/>
  <c r="K137" i="29"/>
  <c r="K136" i="29"/>
  <c r="K135" i="29"/>
  <c r="K134" i="29"/>
  <c r="K133" i="29"/>
  <c r="K132" i="29"/>
  <c r="K131" i="29"/>
  <c r="K130" i="29"/>
  <c r="K129" i="29"/>
  <c r="K128" i="29"/>
  <c r="K127" i="29"/>
  <c r="K126" i="29"/>
  <c r="K125" i="29"/>
  <c r="K124" i="29"/>
  <c r="K123" i="29"/>
  <c r="K122" i="29"/>
  <c r="M122" i="29" s="1"/>
  <c r="K121" i="29"/>
  <c r="K120" i="29"/>
  <c r="K119" i="29"/>
  <c r="K118" i="29"/>
  <c r="K117" i="29"/>
  <c r="K116" i="29"/>
  <c r="M116" i="29" s="1"/>
  <c r="K115" i="29"/>
  <c r="K114" i="29"/>
  <c r="N114" i="29" s="1"/>
  <c r="K113" i="29"/>
  <c r="M113" i="29" s="1"/>
  <c r="K112" i="29"/>
  <c r="K111" i="29"/>
  <c r="M111" i="29" s="1"/>
  <c r="K110" i="29"/>
  <c r="M110" i="29" s="1"/>
  <c r="K109" i="29"/>
  <c r="M109" i="29" s="1"/>
  <c r="K108" i="29"/>
  <c r="N108" i="29" s="1"/>
  <c r="K107" i="29"/>
  <c r="M107" i="29" s="1"/>
  <c r="K106" i="29"/>
  <c r="K105" i="29"/>
  <c r="M105" i="29" s="1"/>
  <c r="K104" i="29"/>
  <c r="M104" i="29" s="1"/>
  <c r="K103" i="29"/>
  <c r="M103" i="29" s="1"/>
  <c r="K102" i="29"/>
  <c r="N102" i="29" s="1"/>
  <c r="K101" i="29"/>
  <c r="M101" i="29" s="1"/>
  <c r="K100" i="29"/>
  <c r="K99" i="29"/>
  <c r="N99" i="29" s="1"/>
  <c r="K98" i="29"/>
  <c r="M98" i="29" s="1"/>
  <c r="K97" i="29"/>
  <c r="M97" i="29" s="1"/>
  <c r="K96" i="29"/>
  <c r="N96" i="29" s="1"/>
  <c r="K95" i="29"/>
  <c r="M95" i="29" s="1"/>
  <c r="K94" i="29"/>
  <c r="K93" i="29"/>
  <c r="N93" i="29" s="1"/>
  <c r="K92" i="29"/>
  <c r="M92" i="29" s="1"/>
  <c r="K91" i="29"/>
  <c r="M91" i="29" s="1"/>
  <c r="K90" i="29"/>
  <c r="N90" i="29" s="1"/>
  <c r="K89" i="29"/>
  <c r="M89" i="29" s="1"/>
  <c r="K88" i="29"/>
  <c r="K87" i="29"/>
  <c r="M87" i="29" s="1"/>
  <c r="K86" i="29"/>
  <c r="M86" i="29" s="1"/>
  <c r="K85" i="29"/>
  <c r="N85" i="29" s="1"/>
  <c r="K84" i="29"/>
  <c r="N84" i="29" s="1"/>
  <c r="K83" i="29"/>
  <c r="M83" i="29" s="1"/>
  <c r="K82" i="29"/>
  <c r="N82" i="29" s="1"/>
  <c r="K81" i="29"/>
  <c r="N81" i="29" s="1"/>
  <c r="K80" i="29"/>
  <c r="M80" i="29" s="1"/>
  <c r="K79" i="29"/>
  <c r="M79" i="29" s="1"/>
  <c r="K78" i="29"/>
  <c r="N78" i="29" s="1"/>
  <c r="K77" i="29"/>
  <c r="M77" i="29" s="1"/>
  <c r="K76" i="29"/>
  <c r="N76" i="29" s="1"/>
  <c r="K75" i="29"/>
  <c r="N75" i="29" s="1"/>
  <c r="K74" i="29"/>
  <c r="M74" i="29" s="1"/>
  <c r="K73" i="29"/>
  <c r="N73" i="29" s="1"/>
  <c r="K72" i="29"/>
  <c r="N72" i="29" s="1"/>
  <c r="K71" i="29"/>
  <c r="M71" i="29" s="1"/>
  <c r="K70" i="29"/>
  <c r="N70" i="29" s="1"/>
  <c r="K69" i="29"/>
  <c r="N69" i="29" s="1"/>
  <c r="K68" i="29"/>
  <c r="K67" i="29"/>
  <c r="N67" i="29" s="1"/>
  <c r="K66" i="29"/>
  <c r="N66" i="29" s="1"/>
  <c r="K65" i="29"/>
  <c r="N65" i="29" s="1"/>
  <c r="K64" i="29"/>
  <c r="N64" i="29" s="1"/>
  <c r="K63" i="29"/>
  <c r="N63" i="29" s="1"/>
  <c r="K62" i="29"/>
  <c r="M62" i="29" s="1"/>
  <c r="K61" i="29"/>
  <c r="N61" i="29" s="1"/>
  <c r="K60" i="29"/>
  <c r="N60" i="29" s="1"/>
  <c r="K59" i="29"/>
  <c r="K58" i="29"/>
  <c r="K57" i="29"/>
  <c r="K56" i="29"/>
  <c r="K55" i="29"/>
  <c r="K54" i="29"/>
  <c r="K51" i="29"/>
  <c r="K49" i="29"/>
  <c r="K48" i="29"/>
  <c r="K47" i="29"/>
  <c r="K46" i="29"/>
  <c r="K45" i="29"/>
  <c r="K44" i="29"/>
  <c r="K43" i="29"/>
  <c r="K42" i="29"/>
  <c r="K41" i="29"/>
  <c r="K40" i="29"/>
  <c r="K39" i="29"/>
  <c r="K38" i="29"/>
  <c r="N38" i="29" s="1"/>
  <c r="K37" i="29"/>
  <c r="N37" i="29" s="1"/>
  <c r="K36" i="29"/>
  <c r="M36" i="29" s="1"/>
  <c r="K35" i="29"/>
  <c r="K34" i="29"/>
  <c r="N34" i="29" s="1"/>
  <c r="K33" i="29"/>
  <c r="N33" i="29" s="1"/>
  <c r="K32" i="29"/>
  <c r="N32" i="29" s="1"/>
  <c r="K31" i="29"/>
  <c r="N31" i="29" s="1"/>
  <c r="K30" i="29"/>
  <c r="N30" i="29" s="1"/>
  <c r="K29" i="29"/>
  <c r="M29" i="29" s="1"/>
  <c r="K28" i="29"/>
  <c r="N28" i="29" s="1"/>
  <c r="K27" i="29"/>
  <c r="N27" i="29" s="1"/>
  <c r="K26" i="29"/>
  <c r="N26" i="29" s="1"/>
  <c r="K25" i="29"/>
  <c r="N25" i="29" s="1"/>
  <c r="K24" i="29"/>
  <c r="N24" i="29" s="1"/>
  <c r="K23" i="29"/>
  <c r="M23" i="29" s="1"/>
  <c r="K22" i="29"/>
  <c r="M22" i="29" s="1"/>
  <c r="K21" i="29"/>
  <c r="N21" i="29" s="1"/>
  <c r="K20" i="29"/>
  <c r="N20" i="29" s="1"/>
  <c r="K19" i="29"/>
  <c r="N19" i="29" s="1"/>
  <c r="K18" i="29"/>
  <c r="N18" i="29" s="1"/>
  <c r="K17" i="29"/>
  <c r="M17" i="29" s="1"/>
  <c r="K16" i="29"/>
  <c r="N16" i="29" s="1"/>
  <c r="K15" i="29"/>
  <c r="M15" i="29" s="1"/>
  <c r="K14" i="29"/>
  <c r="N14" i="29" s="1"/>
  <c r="K13" i="29"/>
  <c r="N13" i="29" s="1"/>
  <c r="K12" i="29"/>
  <c r="N12" i="29" s="1"/>
  <c r="K11" i="29"/>
  <c r="M11" i="29" s="1"/>
  <c r="K10" i="29"/>
  <c r="N10" i="29" s="1"/>
  <c r="K9" i="29"/>
  <c r="N9" i="29" s="1"/>
  <c r="K8" i="29"/>
  <c r="M8" i="29" s="1"/>
  <c r="K7" i="29"/>
  <c r="N7" i="29" s="1"/>
  <c r="K6" i="29"/>
  <c r="N6" i="29" s="1"/>
  <c r="K5" i="29"/>
  <c r="M5" i="29" s="1"/>
  <c r="K4" i="29"/>
  <c r="N4" i="29" s="1"/>
  <c r="K3" i="29"/>
  <c r="N3" i="29" s="1"/>
  <c r="K2" i="29"/>
  <c r="V95" i="29" l="1"/>
  <c r="U95" i="29"/>
  <c r="N282" i="29"/>
  <c r="M282" i="29"/>
  <c r="N295" i="29"/>
  <c r="M295" i="29"/>
  <c r="N331" i="29"/>
  <c r="M331" i="29"/>
  <c r="V10" i="29"/>
  <c r="U10" i="29"/>
  <c r="V97" i="29"/>
  <c r="U97" i="29"/>
  <c r="V327" i="29"/>
  <c r="U327" i="29"/>
  <c r="N308" i="29"/>
  <c r="M308" i="29"/>
  <c r="N356" i="29"/>
  <c r="M356" i="29"/>
  <c r="V11" i="29"/>
  <c r="U11" i="29"/>
  <c r="V74" i="29"/>
  <c r="U74" i="29"/>
  <c r="V110" i="29"/>
  <c r="U110" i="29"/>
  <c r="V292" i="29"/>
  <c r="U292" i="29"/>
  <c r="V328" i="29"/>
  <c r="U328" i="29"/>
  <c r="AD31" i="29"/>
  <c r="AC31" i="29"/>
  <c r="AC288" i="29"/>
  <c r="AD288" i="29"/>
  <c r="N285" i="29"/>
  <c r="M285" i="29"/>
  <c r="N309" i="29"/>
  <c r="M309" i="29"/>
  <c r="N345" i="29"/>
  <c r="M345" i="29"/>
  <c r="V12" i="29"/>
  <c r="U12" i="29"/>
  <c r="V87" i="29"/>
  <c r="U87" i="29"/>
  <c r="V111" i="29"/>
  <c r="U111" i="29"/>
  <c r="V293" i="29"/>
  <c r="U293" i="29"/>
  <c r="V317" i="29"/>
  <c r="U317" i="29"/>
  <c r="V341" i="29"/>
  <c r="U341" i="29"/>
  <c r="AD8" i="29"/>
  <c r="AC8" i="29"/>
  <c r="AD20" i="29"/>
  <c r="AC20" i="29"/>
  <c r="AD83" i="29"/>
  <c r="AC83" i="29"/>
  <c r="AD289" i="29"/>
  <c r="AC289" i="29"/>
  <c r="AD313" i="29"/>
  <c r="AC313" i="29"/>
  <c r="AD325" i="29"/>
  <c r="AC325" i="29"/>
  <c r="AL28" i="29"/>
  <c r="AK28" i="29"/>
  <c r="AL79" i="29"/>
  <c r="AK79" i="29"/>
  <c r="AL91" i="29"/>
  <c r="AK91" i="29"/>
  <c r="AL273" i="29"/>
  <c r="AK273" i="29"/>
  <c r="AL297" i="29"/>
  <c r="AK297" i="29"/>
  <c r="AL321" i="29"/>
  <c r="AK321" i="29"/>
  <c r="AL333" i="29"/>
  <c r="AK333" i="29"/>
  <c r="AT12" i="29"/>
  <c r="AS12" i="29"/>
  <c r="AT281" i="29"/>
  <c r="AS281" i="29"/>
  <c r="N322" i="29"/>
  <c r="M322" i="29"/>
  <c r="N334" i="29"/>
  <c r="M334" i="29"/>
  <c r="N346" i="29"/>
  <c r="M346" i="29"/>
  <c r="N358" i="29"/>
  <c r="M358" i="29"/>
  <c r="V13" i="29"/>
  <c r="U13" i="29"/>
  <c r="V25" i="29"/>
  <c r="U25" i="29"/>
  <c r="V76" i="29"/>
  <c r="U76" i="29"/>
  <c r="V88" i="29"/>
  <c r="U88" i="29"/>
  <c r="V100" i="29"/>
  <c r="U100" i="29"/>
  <c r="V270" i="29"/>
  <c r="U270" i="29"/>
  <c r="V294" i="29"/>
  <c r="U294" i="29"/>
  <c r="V306" i="29"/>
  <c r="U306" i="29"/>
  <c r="V318" i="29"/>
  <c r="U318" i="29"/>
  <c r="V330" i="29"/>
  <c r="U330" i="29"/>
  <c r="V342" i="29"/>
  <c r="U342" i="29"/>
  <c r="AD9" i="29"/>
  <c r="AC9" i="29"/>
  <c r="AD21" i="29"/>
  <c r="AC21" i="29"/>
  <c r="AD33" i="29"/>
  <c r="AC33" i="29"/>
  <c r="AC72" i="29"/>
  <c r="AD72" i="29"/>
  <c r="AD84" i="29"/>
  <c r="AC84" i="29"/>
  <c r="AD96" i="29"/>
  <c r="AC96" i="29"/>
  <c r="AD108" i="29"/>
  <c r="AC108" i="29"/>
  <c r="AD290" i="29"/>
  <c r="AC290" i="29"/>
  <c r="AD302" i="29"/>
  <c r="AC302" i="29"/>
  <c r="AD314" i="29"/>
  <c r="AC314" i="29"/>
  <c r="AD326" i="29"/>
  <c r="AC326" i="29"/>
  <c r="AD338" i="29"/>
  <c r="AC338" i="29"/>
  <c r="AD350" i="29"/>
  <c r="AC350" i="29"/>
  <c r="AL5" i="29"/>
  <c r="AK5" i="29"/>
  <c r="AL17" i="29"/>
  <c r="AK17" i="29"/>
  <c r="AL29" i="29"/>
  <c r="AK29" i="29"/>
  <c r="AL80" i="29"/>
  <c r="AK80" i="29"/>
  <c r="AL92" i="29"/>
  <c r="AK92" i="29"/>
  <c r="AL286" i="29"/>
  <c r="AK286" i="29"/>
  <c r="AL298" i="29"/>
  <c r="AK298" i="29"/>
  <c r="AL310" i="29"/>
  <c r="AK310" i="29"/>
  <c r="AL322" i="29"/>
  <c r="AK322" i="29"/>
  <c r="AL334" i="29"/>
  <c r="AK334" i="29"/>
  <c r="AL346" i="29"/>
  <c r="AK346" i="29"/>
  <c r="AT13" i="29"/>
  <c r="AS13" i="29"/>
  <c r="AT25" i="29"/>
  <c r="AS25" i="29"/>
  <c r="AT76" i="29"/>
  <c r="AS76" i="29"/>
  <c r="AT88" i="29"/>
  <c r="AS88" i="29"/>
  <c r="AT100" i="29"/>
  <c r="AS100" i="29"/>
  <c r="AT294" i="29"/>
  <c r="AS294" i="29"/>
  <c r="AT306" i="29"/>
  <c r="AS306" i="29"/>
  <c r="AT318" i="29"/>
  <c r="AS318" i="29"/>
  <c r="AT330" i="29"/>
  <c r="AS330" i="29"/>
  <c r="AT342" i="29"/>
  <c r="AS342" i="29"/>
  <c r="BB9" i="29"/>
  <c r="BA9" i="29"/>
  <c r="BB21" i="29"/>
  <c r="BA21" i="29"/>
  <c r="BB72" i="29"/>
  <c r="BA72" i="29"/>
  <c r="BB84" i="29"/>
  <c r="BA84" i="29"/>
  <c r="BB96" i="29"/>
  <c r="BA96" i="29"/>
  <c r="BA290" i="29"/>
  <c r="BB290" i="29"/>
  <c r="BA302" i="29"/>
  <c r="BB302" i="29"/>
  <c r="BA314" i="29"/>
  <c r="BB314" i="29"/>
  <c r="BA326" i="29"/>
  <c r="BB326" i="29"/>
  <c r="BA338" i="29"/>
  <c r="BB338" i="29"/>
  <c r="BI17" i="29"/>
  <c r="BJ17" i="29"/>
  <c r="BI29" i="29"/>
  <c r="BJ29" i="29"/>
  <c r="BI80" i="29"/>
  <c r="BJ80" i="29"/>
  <c r="BI92" i="29"/>
  <c r="BJ92" i="29"/>
  <c r="BI298" i="29"/>
  <c r="BJ298" i="29"/>
  <c r="BI310" i="29"/>
  <c r="BJ310" i="29"/>
  <c r="BJ322" i="29"/>
  <c r="BI322" i="29"/>
  <c r="BJ334" i="29"/>
  <c r="BI334" i="29"/>
  <c r="BR13" i="29"/>
  <c r="BQ13" i="29"/>
  <c r="BR25" i="29"/>
  <c r="BQ25" i="29"/>
  <c r="BR76" i="29"/>
  <c r="BQ76" i="29"/>
  <c r="BR88" i="29"/>
  <c r="BQ88" i="29"/>
  <c r="BR100" i="29"/>
  <c r="BQ100" i="29"/>
  <c r="BR294" i="29"/>
  <c r="BQ294" i="29"/>
  <c r="BR306" i="29"/>
  <c r="BQ306" i="29"/>
  <c r="BR318" i="29"/>
  <c r="BQ318" i="29"/>
  <c r="BR330" i="29"/>
  <c r="BQ330" i="29"/>
  <c r="BZ9" i="29"/>
  <c r="BY9" i="29"/>
  <c r="BZ21" i="29"/>
  <c r="BY21" i="29"/>
  <c r="BZ84" i="29"/>
  <c r="BY84" i="29"/>
  <c r="BZ96" i="29"/>
  <c r="BY96" i="29"/>
  <c r="BZ290" i="29"/>
  <c r="BY290" i="29"/>
  <c r="BZ302" i="29"/>
  <c r="BY302" i="29"/>
  <c r="BZ314" i="29"/>
  <c r="BY314" i="29"/>
  <c r="BZ326" i="29"/>
  <c r="BY326" i="29"/>
  <c r="N8" i="29"/>
  <c r="N15" i="29"/>
  <c r="N22" i="29"/>
  <c r="M30" i="29"/>
  <c r="N36" i="29"/>
  <c r="M65" i="29"/>
  <c r="M72" i="29"/>
  <c r="N79" i="29"/>
  <c r="N87" i="29"/>
  <c r="N98" i="29"/>
  <c r="N109" i="29"/>
  <c r="N274" i="29"/>
  <c r="N292" i="29"/>
  <c r="V8" i="29"/>
  <c r="U8" i="29"/>
  <c r="V325" i="29"/>
  <c r="U325" i="29"/>
  <c r="N323" i="29"/>
  <c r="M323" i="29"/>
  <c r="V14" i="29"/>
  <c r="U14" i="29"/>
  <c r="V26" i="29"/>
  <c r="U26" i="29"/>
  <c r="V38" i="29"/>
  <c r="U38" i="29"/>
  <c r="V77" i="29"/>
  <c r="U77" i="29"/>
  <c r="V89" i="29"/>
  <c r="U89" i="29"/>
  <c r="V101" i="29"/>
  <c r="U101" i="29"/>
  <c r="V283" i="29"/>
  <c r="U283" i="29"/>
  <c r="V295" i="29"/>
  <c r="U295" i="29"/>
  <c r="V307" i="29"/>
  <c r="U307" i="29"/>
  <c r="V319" i="29"/>
  <c r="U319" i="29"/>
  <c r="V331" i="29"/>
  <c r="U331" i="29"/>
  <c r="V343" i="29"/>
  <c r="U343" i="29"/>
  <c r="V355" i="29"/>
  <c r="U355" i="29"/>
  <c r="AD10" i="29"/>
  <c r="AC10" i="29"/>
  <c r="AD22" i="29"/>
  <c r="AC22" i="29"/>
  <c r="AD73" i="29"/>
  <c r="AC73" i="29"/>
  <c r="AD85" i="29"/>
  <c r="AC85" i="29"/>
  <c r="AD97" i="29"/>
  <c r="AC97" i="29"/>
  <c r="AD109" i="29"/>
  <c r="AC109" i="29"/>
  <c r="AD279" i="29"/>
  <c r="AC279" i="29"/>
  <c r="AD291" i="29"/>
  <c r="AC291" i="29"/>
  <c r="AD303" i="29"/>
  <c r="AC303" i="29"/>
  <c r="AD315" i="29"/>
  <c r="AC315" i="29"/>
  <c r="AD327" i="29"/>
  <c r="AC327" i="29"/>
  <c r="AD339" i="29"/>
  <c r="AC339" i="29"/>
  <c r="AK6" i="29"/>
  <c r="AL6" i="29"/>
  <c r="AL18" i="29"/>
  <c r="AK18" i="29"/>
  <c r="AL30" i="29"/>
  <c r="AK30" i="29"/>
  <c r="AL69" i="29"/>
  <c r="AK69" i="29"/>
  <c r="AL81" i="29"/>
  <c r="AK81" i="29"/>
  <c r="AL93" i="29"/>
  <c r="AK93" i="29"/>
  <c r="AL105" i="29"/>
  <c r="AK105" i="29"/>
  <c r="AL287" i="29"/>
  <c r="AK287" i="29"/>
  <c r="AL299" i="29"/>
  <c r="AK299" i="29"/>
  <c r="AL311" i="29"/>
  <c r="AK311" i="29"/>
  <c r="AL323" i="29"/>
  <c r="AK323" i="29"/>
  <c r="AL335" i="29"/>
  <c r="AK335" i="29"/>
  <c r="AK347" i="29"/>
  <c r="AL347" i="29"/>
  <c r="AT14" i="29"/>
  <c r="AS14" i="29"/>
  <c r="AT26" i="29"/>
  <c r="AS26" i="29"/>
  <c r="AT77" i="29"/>
  <c r="AS77" i="29"/>
  <c r="AT89" i="29"/>
  <c r="AS89" i="29"/>
  <c r="AT101" i="29"/>
  <c r="AS101" i="29"/>
  <c r="AT283" i="29"/>
  <c r="AS283" i="29"/>
  <c r="AS295" i="29"/>
  <c r="AT295" i="29"/>
  <c r="AS307" i="29"/>
  <c r="AT307" i="29"/>
  <c r="AS319" i="29"/>
  <c r="AT319" i="29"/>
  <c r="AS331" i="29"/>
  <c r="AT331" i="29"/>
  <c r="AS343" i="29"/>
  <c r="AT343" i="29"/>
  <c r="BA10" i="29"/>
  <c r="BB10" i="29"/>
  <c r="BA22" i="29"/>
  <c r="BB22" i="29"/>
  <c r="BA73" i="29"/>
  <c r="BB73" i="29"/>
  <c r="BA85" i="29"/>
  <c r="BB85" i="29"/>
  <c r="BA97" i="29"/>
  <c r="BB97" i="29"/>
  <c r="BA291" i="29"/>
  <c r="BB291" i="29"/>
  <c r="BB303" i="29"/>
  <c r="BA303" i="29"/>
  <c r="BB315" i="29"/>
  <c r="BA315" i="29"/>
  <c r="BB327" i="29"/>
  <c r="BA327" i="29"/>
  <c r="BJ6" i="29"/>
  <c r="BI6" i="29"/>
  <c r="BJ18" i="29"/>
  <c r="BI18" i="29"/>
  <c r="BJ30" i="29"/>
  <c r="BI30" i="29"/>
  <c r="BJ81" i="29"/>
  <c r="BI81" i="29"/>
  <c r="BJ93" i="29"/>
  <c r="BI93" i="29"/>
  <c r="BJ105" i="29"/>
  <c r="BI105" i="29"/>
  <c r="BJ287" i="29"/>
  <c r="BI287" i="29"/>
  <c r="BJ299" i="29"/>
  <c r="BI299" i="29"/>
  <c r="BJ311" i="29"/>
  <c r="BI311" i="29"/>
  <c r="BJ323" i="29"/>
  <c r="BI323" i="29"/>
  <c r="BJ335" i="29"/>
  <c r="BI335" i="29"/>
  <c r="BR14" i="29"/>
  <c r="BQ14" i="29"/>
  <c r="BR26" i="29"/>
  <c r="BQ26" i="29"/>
  <c r="BR77" i="29"/>
  <c r="BQ77" i="29"/>
  <c r="BR89" i="29"/>
  <c r="BQ89" i="29"/>
  <c r="BR295" i="29"/>
  <c r="BQ295" i="29"/>
  <c r="BR307" i="29"/>
  <c r="BQ307" i="29"/>
  <c r="BR319" i="29"/>
  <c r="BQ319" i="29"/>
  <c r="BR331" i="29"/>
  <c r="BQ331" i="29"/>
  <c r="BR343" i="29"/>
  <c r="BQ343" i="29"/>
  <c r="BZ10" i="29"/>
  <c r="BY10" i="29"/>
  <c r="BZ22" i="29"/>
  <c r="BY22" i="29"/>
  <c r="BZ73" i="29"/>
  <c r="BY73" i="29"/>
  <c r="BZ85" i="29"/>
  <c r="BY85" i="29"/>
  <c r="BZ97" i="29"/>
  <c r="BY97" i="29"/>
  <c r="BZ303" i="29"/>
  <c r="BY303" i="29"/>
  <c r="BZ315" i="29"/>
  <c r="BY315" i="29"/>
  <c r="BZ327" i="29"/>
  <c r="BY327" i="29"/>
  <c r="M9" i="29"/>
  <c r="M16" i="29"/>
  <c r="N23" i="29"/>
  <c r="M37" i="29"/>
  <c r="N80" i="29"/>
  <c r="N89" i="29"/>
  <c r="M99" i="29"/>
  <c r="N110" i="29"/>
  <c r="N275" i="29"/>
  <c r="N293" i="29"/>
  <c r="N341" i="29"/>
  <c r="M341" i="29"/>
  <c r="V301" i="29"/>
  <c r="U301" i="29"/>
  <c r="AD103" i="29"/>
  <c r="AC103" i="29"/>
  <c r="N311" i="29"/>
  <c r="M311" i="29"/>
  <c r="N300" i="29"/>
  <c r="M300" i="29"/>
  <c r="N360" i="29"/>
  <c r="M360" i="29"/>
  <c r="V27" i="29"/>
  <c r="U27" i="29"/>
  <c r="V90" i="29"/>
  <c r="U90" i="29"/>
  <c r="V272" i="29"/>
  <c r="U272" i="29"/>
  <c r="V308" i="29"/>
  <c r="U308" i="29"/>
  <c r="V320" i="29"/>
  <c r="U320" i="29"/>
  <c r="V332" i="29"/>
  <c r="U332" i="29"/>
  <c r="V356" i="29"/>
  <c r="U356" i="29"/>
  <c r="AD11" i="29"/>
  <c r="AC11" i="29"/>
  <c r="AD23" i="29"/>
  <c r="AC23" i="29"/>
  <c r="AD74" i="29"/>
  <c r="AC74" i="29"/>
  <c r="AC86" i="29"/>
  <c r="AD86" i="29"/>
  <c r="AD98" i="29"/>
  <c r="AC98" i="29"/>
  <c r="AD110" i="29"/>
  <c r="AC110" i="29"/>
  <c r="AD280" i="29"/>
  <c r="AC280" i="29"/>
  <c r="AD292" i="29"/>
  <c r="AC292" i="29"/>
  <c r="AD304" i="29"/>
  <c r="AC304" i="29"/>
  <c r="AD316" i="29"/>
  <c r="AC316" i="29"/>
  <c r="AD328" i="29"/>
  <c r="AC328" i="29"/>
  <c r="AD340" i="29"/>
  <c r="AC340" i="29"/>
  <c r="AL7" i="29"/>
  <c r="AK7" i="29"/>
  <c r="AL19" i="29"/>
  <c r="AK19" i="29"/>
  <c r="AL31" i="29"/>
  <c r="AK31" i="29"/>
  <c r="AL70" i="29"/>
  <c r="AK70" i="29"/>
  <c r="AL82" i="29"/>
  <c r="AK82" i="29"/>
  <c r="AL94" i="29"/>
  <c r="AK94" i="29"/>
  <c r="AL106" i="29"/>
  <c r="AK106" i="29"/>
  <c r="AL288" i="29"/>
  <c r="AK288" i="29"/>
  <c r="AL300" i="29"/>
  <c r="AK300" i="29"/>
  <c r="AL312" i="29"/>
  <c r="AK312" i="29"/>
  <c r="AL324" i="29"/>
  <c r="AK324" i="29"/>
  <c r="AK336" i="29"/>
  <c r="AL336" i="29"/>
  <c r="AT15" i="29"/>
  <c r="AS15" i="29"/>
  <c r="AT27" i="29"/>
  <c r="AS27" i="29"/>
  <c r="AT78" i="29"/>
  <c r="AS78" i="29"/>
  <c r="AT90" i="29"/>
  <c r="AS90" i="29"/>
  <c r="AT102" i="29"/>
  <c r="AS102" i="29"/>
  <c r="AT284" i="29"/>
  <c r="AS284" i="29"/>
  <c r="AT296" i="29"/>
  <c r="AS296" i="29"/>
  <c r="AT308" i="29"/>
  <c r="AS308" i="29"/>
  <c r="AT320" i="29"/>
  <c r="AS320" i="29"/>
  <c r="AT332" i="29"/>
  <c r="AS332" i="29"/>
  <c r="BB11" i="29"/>
  <c r="BA11" i="29"/>
  <c r="BB23" i="29"/>
  <c r="BA23" i="29"/>
  <c r="BB86" i="29"/>
  <c r="BA86" i="29"/>
  <c r="BB98" i="29"/>
  <c r="BA98" i="29"/>
  <c r="BB280" i="29"/>
  <c r="BA280" i="29"/>
  <c r="BA292" i="29"/>
  <c r="BB292" i="29"/>
  <c r="BB304" i="29"/>
  <c r="BA304" i="29"/>
  <c r="BB316" i="29"/>
  <c r="BA316" i="29"/>
  <c r="BB328" i="29"/>
  <c r="BA328" i="29"/>
  <c r="BB340" i="29"/>
  <c r="BA340" i="29"/>
  <c r="BI7" i="29"/>
  <c r="BJ7" i="29"/>
  <c r="BI19" i="29"/>
  <c r="BJ19" i="29"/>
  <c r="BJ82" i="29"/>
  <c r="BI82" i="29"/>
  <c r="BJ94" i="29"/>
  <c r="BI94" i="29"/>
  <c r="BJ288" i="29"/>
  <c r="BI288" i="29"/>
  <c r="BJ300" i="29"/>
  <c r="BI300" i="29"/>
  <c r="BJ312" i="29"/>
  <c r="BI312" i="29"/>
  <c r="BJ324" i="29"/>
  <c r="BI324" i="29"/>
  <c r="BR15" i="29"/>
  <c r="BQ15" i="29"/>
  <c r="BR27" i="29"/>
  <c r="BQ27" i="29"/>
  <c r="BR78" i="29"/>
  <c r="BQ78" i="29"/>
  <c r="BR90" i="29"/>
  <c r="BQ90" i="29"/>
  <c r="BR102" i="29"/>
  <c r="BQ102" i="29"/>
  <c r="BR284" i="29"/>
  <c r="BQ284" i="29"/>
  <c r="BR296" i="29"/>
  <c r="BQ296" i="29"/>
  <c r="BR308" i="29"/>
  <c r="BQ308" i="29"/>
  <c r="BR320" i="29"/>
  <c r="BQ320" i="29"/>
  <c r="BR332" i="29"/>
  <c r="BQ332" i="29"/>
  <c r="BZ11" i="29"/>
  <c r="BY11" i="29"/>
  <c r="BZ23" i="29"/>
  <c r="BY23" i="29"/>
  <c r="BZ86" i="29"/>
  <c r="BY86" i="29"/>
  <c r="BZ98" i="29"/>
  <c r="BY98" i="29"/>
  <c r="BZ292" i="29"/>
  <c r="BY292" i="29"/>
  <c r="BZ304" i="29"/>
  <c r="BY304" i="29"/>
  <c r="BZ316" i="29"/>
  <c r="BY316" i="29"/>
  <c r="BZ328" i="29"/>
  <c r="BY328" i="29"/>
  <c r="M24" i="29"/>
  <c r="M31" i="29"/>
  <c r="M38" i="29"/>
  <c r="M66" i="29"/>
  <c r="M73" i="29"/>
  <c r="M81" i="29"/>
  <c r="M90" i="29"/>
  <c r="N111" i="29"/>
  <c r="N298" i="29"/>
  <c r="V71" i="29"/>
  <c r="U71" i="29"/>
  <c r="N299" i="29"/>
  <c r="M299" i="29"/>
  <c r="N118" i="29"/>
  <c r="M118" i="29"/>
  <c r="N312" i="29"/>
  <c r="M312" i="29"/>
  <c r="N348" i="29"/>
  <c r="M348" i="29"/>
  <c r="V15" i="29"/>
  <c r="U15" i="29"/>
  <c r="V102" i="29"/>
  <c r="U102" i="29"/>
  <c r="V344" i="29"/>
  <c r="U344" i="29"/>
  <c r="N289" i="29"/>
  <c r="M289" i="29"/>
  <c r="N313" i="29"/>
  <c r="M313" i="29"/>
  <c r="N349" i="29"/>
  <c r="M349" i="29"/>
  <c r="V4" i="29"/>
  <c r="U4" i="29"/>
  <c r="V28" i="29"/>
  <c r="U28" i="29"/>
  <c r="V67" i="29"/>
  <c r="U67" i="29"/>
  <c r="V91" i="29"/>
  <c r="U91" i="29"/>
  <c r="V273" i="29"/>
  <c r="U273" i="29"/>
  <c r="V297" i="29"/>
  <c r="U297" i="29"/>
  <c r="V321" i="29"/>
  <c r="U321" i="29"/>
  <c r="V345" i="29"/>
  <c r="U345" i="29"/>
  <c r="AD12" i="29"/>
  <c r="AC12" i="29"/>
  <c r="AD75" i="29"/>
  <c r="AC75" i="29"/>
  <c r="AD99" i="29"/>
  <c r="AC99" i="29"/>
  <c r="AD281" i="29"/>
  <c r="AC281" i="29"/>
  <c r="AD305" i="29"/>
  <c r="AC305" i="29"/>
  <c r="AD329" i="29"/>
  <c r="AC329" i="29"/>
  <c r="AL8" i="29"/>
  <c r="AK8" i="29"/>
  <c r="AL32" i="29"/>
  <c r="AK32" i="29"/>
  <c r="AL83" i="29"/>
  <c r="AK83" i="29"/>
  <c r="AL289" i="29"/>
  <c r="AK289" i="29"/>
  <c r="AL313" i="29"/>
  <c r="AK313" i="29"/>
  <c r="AL337" i="29"/>
  <c r="AK337" i="29"/>
  <c r="AT28" i="29"/>
  <c r="AS28" i="29"/>
  <c r="AT91" i="29"/>
  <c r="AS91" i="29"/>
  <c r="AT273" i="29"/>
  <c r="AS273" i="29"/>
  <c r="AT297" i="29"/>
  <c r="AS297" i="29"/>
  <c r="AT321" i="29"/>
  <c r="AS321" i="29"/>
  <c r="BB24" i="29"/>
  <c r="BA24" i="29"/>
  <c r="BB75" i="29"/>
  <c r="BA75" i="29"/>
  <c r="BB99" i="29"/>
  <c r="BA99" i="29"/>
  <c r="BB281" i="29"/>
  <c r="BA281" i="29"/>
  <c r="BB293" i="29"/>
  <c r="BA293" i="29"/>
  <c r="BB305" i="29"/>
  <c r="BA305" i="29"/>
  <c r="BB329" i="29"/>
  <c r="BA329" i="29"/>
  <c r="BB341" i="29"/>
  <c r="BA341" i="29"/>
  <c r="BJ20" i="29"/>
  <c r="BI20" i="29"/>
  <c r="BJ83" i="29"/>
  <c r="BI83" i="29"/>
  <c r="BJ95" i="29"/>
  <c r="BI95" i="29"/>
  <c r="BJ289" i="29"/>
  <c r="BI289" i="29"/>
  <c r="BJ301" i="29"/>
  <c r="BI301" i="29"/>
  <c r="BJ313" i="29"/>
  <c r="BI313" i="29"/>
  <c r="BJ325" i="29"/>
  <c r="BI325" i="29"/>
  <c r="BJ337" i="29"/>
  <c r="BI337" i="29"/>
  <c r="BR16" i="29"/>
  <c r="BQ16" i="29"/>
  <c r="BR28" i="29"/>
  <c r="BQ28" i="29"/>
  <c r="BR79" i="29"/>
  <c r="BQ79" i="29"/>
  <c r="BR91" i="29"/>
  <c r="BQ91" i="29"/>
  <c r="BR103" i="29"/>
  <c r="BQ103" i="29"/>
  <c r="BR297" i="29"/>
  <c r="BQ297" i="29"/>
  <c r="BR321" i="29"/>
  <c r="BQ321" i="29"/>
  <c r="BR333" i="29"/>
  <c r="BQ333" i="29"/>
  <c r="BZ12" i="29"/>
  <c r="BY12" i="29"/>
  <c r="BZ24" i="29"/>
  <c r="BY24" i="29"/>
  <c r="BZ87" i="29"/>
  <c r="BY87" i="29"/>
  <c r="BZ99" i="29"/>
  <c r="BY99" i="29"/>
  <c r="BZ293" i="29"/>
  <c r="BY293" i="29"/>
  <c r="BZ305" i="29"/>
  <c r="BY305" i="29"/>
  <c r="BZ317" i="29"/>
  <c r="BY317" i="29"/>
  <c r="BZ329" i="29"/>
  <c r="BY329" i="29"/>
  <c r="M3" i="29"/>
  <c r="M10" i="29"/>
  <c r="N17" i="29"/>
  <c r="M32" i="29"/>
  <c r="N101" i="29"/>
  <c r="N304" i="29"/>
  <c r="V83" i="29"/>
  <c r="U83" i="29"/>
  <c r="N347" i="29"/>
  <c r="M347" i="29"/>
  <c r="N94" i="29"/>
  <c r="M94" i="29"/>
  <c r="N288" i="29"/>
  <c r="M288" i="29"/>
  <c r="N336" i="29"/>
  <c r="M336" i="29"/>
  <c r="V78" i="29"/>
  <c r="U78" i="29"/>
  <c r="V296" i="29"/>
  <c r="U296" i="29"/>
  <c r="N277" i="29"/>
  <c r="M277" i="29"/>
  <c r="N301" i="29"/>
  <c r="M301" i="29"/>
  <c r="N325" i="29"/>
  <c r="M325" i="29"/>
  <c r="N337" i="29"/>
  <c r="M337" i="29"/>
  <c r="V16" i="29"/>
  <c r="U16" i="29"/>
  <c r="V79" i="29"/>
  <c r="U79" i="29"/>
  <c r="V103" i="29"/>
  <c r="U103" i="29"/>
  <c r="V285" i="29"/>
  <c r="U285" i="29"/>
  <c r="V309" i="29"/>
  <c r="U309" i="29"/>
  <c r="V333" i="29"/>
  <c r="U333" i="29"/>
  <c r="AD24" i="29"/>
  <c r="AC24" i="29"/>
  <c r="AD87" i="29"/>
  <c r="AC87" i="29"/>
  <c r="AD111" i="29"/>
  <c r="AC111" i="29"/>
  <c r="AD293" i="29"/>
  <c r="AC293" i="29"/>
  <c r="AD317" i="29"/>
  <c r="AC317" i="29"/>
  <c r="AD341" i="29"/>
  <c r="AC341" i="29"/>
  <c r="AL20" i="29"/>
  <c r="AK20" i="29"/>
  <c r="AL71" i="29"/>
  <c r="AK71" i="29"/>
  <c r="AL95" i="29"/>
  <c r="AK95" i="29"/>
  <c r="AL301" i="29"/>
  <c r="AK301" i="29"/>
  <c r="AL325" i="29"/>
  <c r="AK325" i="29"/>
  <c r="AT16" i="29"/>
  <c r="AS16" i="29"/>
  <c r="AT79" i="29"/>
  <c r="AS79" i="29"/>
  <c r="AT103" i="29"/>
  <c r="AS103" i="29"/>
  <c r="AS285" i="29"/>
  <c r="AT285" i="29"/>
  <c r="AT309" i="29"/>
  <c r="AS309" i="29"/>
  <c r="AT333" i="29"/>
  <c r="AS333" i="29"/>
  <c r="BB12" i="29"/>
  <c r="BA12" i="29"/>
  <c r="BB87" i="29"/>
  <c r="BA87" i="29"/>
  <c r="BB317" i="29"/>
  <c r="BA317" i="29"/>
  <c r="BJ8" i="29"/>
  <c r="BI8" i="29"/>
  <c r="BR309" i="29"/>
  <c r="BQ309" i="29"/>
  <c r="N302" i="29"/>
  <c r="M302" i="29"/>
  <c r="N314" i="29"/>
  <c r="M314" i="29"/>
  <c r="N326" i="29"/>
  <c r="M326" i="29"/>
  <c r="N338" i="29"/>
  <c r="M338" i="29"/>
  <c r="N350" i="29"/>
  <c r="M350" i="29"/>
  <c r="V5" i="29"/>
  <c r="U5" i="29"/>
  <c r="V17" i="29"/>
  <c r="U17" i="29"/>
  <c r="V29" i="29"/>
  <c r="U29" i="29"/>
  <c r="V80" i="29"/>
  <c r="U80" i="29"/>
  <c r="V92" i="29"/>
  <c r="U92" i="29"/>
  <c r="V104" i="29"/>
  <c r="U104" i="29"/>
  <c r="V286" i="29"/>
  <c r="U286" i="29"/>
  <c r="V298" i="29"/>
  <c r="U298" i="29"/>
  <c r="V310" i="29"/>
  <c r="U310" i="29"/>
  <c r="V322" i="29"/>
  <c r="U322" i="29"/>
  <c r="V334" i="29"/>
  <c r="U334" i="29"/>
  <c r="V346" i="29"/>
  <c r="U346" i="29"/>
  <c r="V358" i="29"/>
  <c r="U358" i="29"/>
  <c r="AD13" i="29"/>
  <c r="AC13" i="29"/>
  <c r="AD25" i="29"/>
  <c r="AC25" i="29"/>
  <c r="AC76" i="29"/>
  <c r="AD76" i="29"/>
  <c r="AC88" i="29"/>
  <c r="AD88" i="29"/>
  <c r="AC100" i="29"/>
  <c r="AD100" i="29"/>
  <c r="AC294" i="29"/>
  <c r="AD294" i="29"/>
  <c r="AC306" i="29"/>
  <c r="AD306" i="29"/>
  <c r="AC318" i="29"/>
  <c r="AD318" i="29"/>
  <c r="AC330" i="29"/>
  <c r="AD330" i="29"/>
  <c r="AC342" i="29"/>
  <c r="AD342" i="29"/>
  <c r="AK9" i="29"/>
  <c r="AL9" i="29"/>
  <c r="AK21" i="29"/>
  <c r="AL21" i="29"/>
  <c r="AK72" i="29"/>
  <c r="AL72" i="29"/>
  <c r="AK84" i="29"/>
  <c r="AL84" i="29"/>
  <c r="AK96" i="29"/>
  <c r="AL96" i="29"/>
  <c r="AK290" i="29"/>
  <c r="AL290" i="29"/>
  <c r="AK302" i="29"/>
  <c r="AL302" i="29"/>
  <c r="AK314" i="29"/>
  <c r="AL314" i="29"/>
  <c r="AK326" i="29"/>
  <c r="AL326" i="29"/>
  <c r="AK338" i="29"/>
  <c r="AL338" i="29"/>
  <c r="AT5" i="29"/>
  <c r="AS5" i="29"/>
  <c r="AT17" i="29"/>
  <c r="AS17" i="29"/>
  <c r="AT29" i="29"/>
  <c r="AS29" i="29"/>
  <c r="AT80" i="29"/>
  <c r="AS80" i="29"/>
  <c r="AT92" i="29"/>
  <c r="AS92" i="29"/>
  <c r="AS286" i="29"/>
  <c r="AT286" i="29"/>
  <c r="AT298" i="29"/>
  <c r="AS298" i="29"/>
  <c r="AT310" i="29"/>
  <c r="AS310" i="29"/>
  <c r="AT322" i="29"/>
  <c r="AS322" i="29"/>
  <c r="AT334" i="29"/>
  <c r="AS334" i="29"/>
  <c r="AT346" i="29"/>
  <c r="AS346" i="29"/>
  <c r="BB13" i="29"/>
  <c r="BA13" i="29"/>
  <c r="BB25" i="29"/>
  <c r="BA25" i="29"/>
  <c r="BB76" i="29"/>
  <c r="BA76" i="29"/>
  <c r="BB88" i="29"/>
  <c r="BA88" i="29"/>
  <c r="BB100" i="29"/>
  <c r="BA100" i="29"/>
  <c r="BB294" i="29"/>
  <c r="BA294" i="29"/>
  <c r="BB306" i="29"/>
  <c r="BA306" i="29"/>
  <c r="BB318" i="29"/>
  <c r="BA318" i="29"/>
  <c r="BB330" i="29"/>
  <c r="BA330" i="29"/>
  <c r="BJ9" i="29"/>
  <c r="BI9" i="29"/>
  <c r="BJ21" i="29"/>
  <c r="BI21" i="29"/>
  <c r="BJ72" i="29"/>
  <c r="BI72" i="29"/>
  <c r="BJ84" i="29"/>
  <c r="BI84" i="29"/>
  <c r="BJ96" i="29"/>
  <c r="BI96" i="29"/>
  <c r="BJ290" i="29"/>
  <c r="BI290" i="29"/>
  <c r="BJ302" i="29"/>
  <c r="BI302" i="29"/>
  <c r="BI314" i="29"/>
  <c r="BJ314" i="29"/>
  <c r="BJ326" i="29"/>
  <c r="BI326" i="29"/>
  <c r="BJ338" i="29"/>
  <c r="BI338" i="29"/>
  <c r="BR17" i="29"/>
  <c r="BQ17" i="29"/>
  <c r="BR29" i="29"/>
  <c r="BQ29" i="29"/>
  <c r="BR80" i="29"/>
  <c r="BQ80" i="29"/>
  <c r="BR92" i="29"/>
  <c r="BQ92" i="29"/>
  <c r="BR298" i="29"/>
  <c r="BQ298" i="29"/>
  <c r="BR310" i="29"/>
  <c r="BQ310" i="29"/>
  <c r="BR322" i="29"/>
  <c r="BQ322" i="29"/>
  <c r="BZ13" i="29"/>
  <c r="BY13" i="29"/>
  <c r="BZ25" i="29"/>
  <c r="BY25" i="29"/>
  <c r="BZ76" i="29"/>
  <c r="BY76" i="29"/>
  <c r="BZ88" i="29"/>
  <c r="BY88" i="29"/>
  <c r="BZ100" i="29"/>
  <c r="BY100" i="29"/>
  <c r="BZ294" i="29"/>
  <c r="BY294" i="29"/>
  <c r="BZ306" i="29"/>
  <c r="BY306" i="29"/>
  <c r="BZ318" i="29"/>
  <c r="BY318" i="29"/>
  <c r="M18" i="29"/>
  <c r="M25" i="29"/>
  <c r="M60" i="29"/>
  <c r="M67" i="29"/>
  <c r="N74" i="29"/>
  <c r="M82" i="29"/>
  <c r="N91" i="29"/>
  <c r="M102" i="29"/>
  <c r="N267" i="29"/>
  <c r="N278" i="29"/>
  <c r="N310" i="29"/>
  <c r="N305" i="29"/>
  <c r="M305" i="29"/>
  <c r="V107" i="29"/>
  <c r="U107" i="29"/>
  <c r="V337" i="29"/>
  <c r="U337" i="29"/>
  <c r="N335" i="29"/>
  <c r="M335" i="29"/>
  <c r="N106" i="29"/>
  <c r="M106" i="29"/>
  <c r="N324" i="29"/>
  <c r="M324" i="29"/>
  <c r="V66" i="29"/>
  <c r="U66" i="29"/>
  <c r="V114" i="29"/>
  <c r="U114" i="29"/>
  <c r="V284" i="29"/>
  <c r="U284" i="29"/>
  <c r="N291" i="29"/>
  <c r="M291" i="29"/>
  <c r="N303" i="29"/>
  <c r="M303" i="29"/>
  <c r="N315" i="29"/>
  <c r="M315" i="29"/>
  <c r="N327" i="29"/>
  <c r="M327" i="29"/>
  <c r="N339" i="29"/>
  <c r="M339" i="29"/>
  <c r="N351" i="29"/>
  <c r="M351" i="29"/>
  <c r="V6" i="29"/>
  <c r="U6" i="29"/>
  <c r="V18" i="29"/>
  <c r="U18" i="29"/>
  <c r="V30" i="29"/>
  <c r="U30" i="29"/>
  <c r="V69" i="29"/>
  <c r="U69" i="29"/>
  <c r="V81" i="29"/>
  <c r="U81" i="29"/>
  <c r="V93" i="29"/>
  <c r="U93" i="29"/>
  <c r="V105" i="29"/>
  <c r="U105" i="29"/>
  <c r="V275" i="29"/>
  <c r="U275" i="29"/>
  <c r="V287" i="29"/>
  <c r="U287" i="29"/>
  <c r="V299" i="29"/>
  <c r="U299" i="29"/>
  <c r="V311" i="29"/>
  <c r="U311" i="29"/>
  <c r="V323" i="29"/>
  <c r="U323" i="29"/>
  <c r="V335" i="29"/>
  <c r="U335" i="29"/>
  <c r="V347" i="29"/>
  <c r="U347" i="29"/>
  <c r="AD14" i="29"/>
  <c r="AC14" i="29"/>
  <c r="AD26" i="29"/>
  <c r="AC26" i="29"/>
  <c r="AD77" i="29"/>
  <c r="AC77" i="29"/>
  <c r="AD89" i="29"/>
  <c r="AC89" i="29"/>
  <c r="AD101" i="29"/>
  <c r="AC101" i="29"/>
  <c r="AD283" i="29"/>
  <c r="AC283" i="29"/>
  <c r="AD295" i="29"/>
  <c r="AC295" i="29"/>
  <c r="AD307" i="29"/>
  <c r="AC307" i="29"/>
  <c r="AD319" i="29"/>
  <c r="AC319" i="29"/>
  <c r="AD331" i="29"/>
  <c r="AC331" i="29"/>
  <c r="AD343" i="29"/>
  <c r="AC343" i="29"/>
  <c r="AL10" i="29"/>
  <c r="AK10" i="29"/>
  <c r="AL22" i="29"/>
  <c r="AK22" i="29"/>
  <c r="AL73" i="29"/>
  <c r="AK73" i="29"/>
  <c r="AL85" i="29"/>
  <c r="AK85" i="29"/>
  <c r="AL97" i="29"/>
  <c r="AK97" i="29"/>
  <c r="AL109" i="29"/>
  <c r="AK109" i="29"/>
  <c r="AL291" i="29"/>
  <c r="AK291" i="29"/>
  <c r="AL303" i="29"/>
  <c r="AK303" i="29"/>
  <c r="AL315" i="29"/>
  <c r="AK315" i="29"/>
  <c r="AL327" i="29"/>
  <c r="AK327" i="29"/>
  <c r="AL339" i="29"/>
  <c r="AK339" i="29"/>
  <c r="AT6" i="29"/>
  <c r="AS6" i="29"/>
  <c r="AT18" i="29"/>
  <c r="AS18" i="29"/>
  <c r="AT30" i="29"/>
  <c r="AS30" i="29"/>
  <c r="AT69" i="29"/>
  <c r="AS69" i="29"/>
  <c r="AT81" i="29"/>
  <c r="AS81" i="29"/>
  <c r="AT93" i="29"/>
  <c r="AS93" i="29"/>
  <c r="AT105" i="29"/>
  <c r="AS105" i="29"/>
  <c r="AT287" i="29"/>
  <c r="AS287" i="29"/>
  <c r="AT299" i="29"/>
  <c r="AS299" i="29"/>
  <c r="AT311" i="29"/>
  <c r="AS311" i="29"/>
  <c r="AT323" i="29"/>
  <c r="AS323" i="29"/>
  <c r="AT335" i="29"/>
  <c r="AS335" i="29"/>
  <c r="BA14" i="29"/>
  <c r="BB14" i="29"/>
  <c r="BA26" i="29"/>
  <c r="BB26" i="29"/>
  <c r="BA77" i="29"/>
  <c r="BB77" i="29"/>
  <c r="BA89" i="29"/>
  <c r="BB89" i="29"/>
  <c r="BA101" i="29"/>
  <c r="BB101" i="29"/>
  <c r="BA283" i="29"/>
  <c r="BB283" i="29"/>
  <c r="BB295" i="29"/>
  <c r="BA295" i="29"/>
  <c r="BB307" i="29"/>
  <c r="BA307" i="29"/>
  <c r="BB319" i="29"/>
  <c r="BA319" i="29"/>
  <c r="BB331" i="29"/>
  <c r="BA331" i="29"/>
  <c r="BB343" i="29"/>
  <c r="BA343" i="29"/>
  <c r="BJ10" i="29"/>
  <c r="BI10" i="29"/>
  <c r="BJ22" i="29"/>
  <c r="BI22" i="29"/>
  <c r="BJ73" i="29"/>
  <c r="BI73" i="29"/>
  <c r="BJ85" i="29"/>
  <c r="BI85" i="29"/>
  <c r="BJ97" i="29"/>
  <c r="BI97" i="29"/>
  <c r="BJ303" i="29"/>
  <c r="BI303" i="29"/>
  <c r="BJ315" i="29"/>
  <c r="BI315" i="29"/>
  <c r="BJ327" i="29"/>
  <c r="BI327" i="29"/>
  <c r="BR6" i="29"/>
  <c r="BQ6" i="29"/>
  <c r="BQ18" i="29"/>
  <c r="BR18" i="29"/>
  <c r="BQ30" i="29"/>
  <c r="BR30" i="29"/>
  <c r="BQ81" i="29"/>
  <c r="BR81" i="29"/>
  <c r="BQ93" i="29"/>
  <c r="BR93" i="29"/>
  <c r="BQ299" i="29"/>
  <c r="BR299" i="29"/>
  <c r="BQ311" i="29"/>
  <c r="BR311" i="29"/>
  <c r="BR323" i="29"/>
  <c r="BQ323" i="29"/>
  <c r="BR335" i="29"/>
  <c r="BQ335" i="29"/>
  <c r="BZ14" i="29"/>
  <c r="BY14" i="29"/>
  <c r="BZ26" i="29"/>
  <c r="BY26" i="29"/>
  <c r="BZ77" i="29"/>
  <c r="BY77" i="29"/>
  <c r="BZ89" i="29"/>
  <c r="BY89" i="29"/>
  <c r="BZ295" i="29"/>
  <c r="BY295" i="29"/>
  <c r="BZ307" i="29"/>
  <c r="BY307" i="29"/>
  <c r="BZ319" i="29"/>
  <c r="BY319" i="29"/>
  <c r="BZ331" i="29"/>
  <c r="BY331" i="29"/>
  <c r="BZ343" i="29"/>
  <c r="BY343" i="29"/>
  <c r="M4" i="29"/>
  <c r="N11" i="29"/>
  <c r="M26" i="29"/>
  <c r="M33" i="29"/>
  <c r="M75" i="29"/>
  <c r="N83" i="29"/>
  <c r="N92" i="29"/>
  <c r="N113" i="29"/>
  <c r="N268" i="29"/>
  <c r="N279" i="29"/>
  <c r="N316" i="29"/>
  <c r="N328" i="29"/>
  <c r="M328" i="29"/>
  <c r="N340" i="29"/>
  <c r="M340" i="29"/>
  <c r="V7" i="29"/>
  <c r="U7" i="29"/>
  <c r="V19" i="29"/>
  <c r="U19" i="29"/>
  <c r="V31" i="29"/>
  <c r="U31" i="29"/>
  <c r="V70" i="29"/>
  <c r="U70" i="29"/>
  <c r="V82" i="29"/>
  <c r="U82" i="29"/>
  <c r="V94" i="29"/>
  <c r="U94" i="29"/>
  <c r="V106" i="29"/>
  <c r="U106" i="29"/>
  <c r="V288" i="29"/>
  <c r="U288" i="29"/>
  <c r="V300" i="29"/>
  <c r="U300" i="29"/>
  <c r="V312" i="29"/>
  <c r="U312" i="29"/>
  <c r="V324" i="29"/>
  <c r="U324" i="29"/>
  <c r="V336" i="29"/>
  <c r="U336" i="29"/>
  <c r="V348" i="29"/>
  <c r="U348" i="29"/>
  <c r="V360" i="29"/>
  <c r="U360" i="29"/>
  <c r="AD15" i="29"/>
  <c r="AC15" i="29"/>
  <c r="AD27" i="29"/>
  <c r="AC27" i="29"/>
  <c r="AD66" i="29"/>
  <c r="AC66" i="29"/>
  <c r="AD78" i="29"/>
  <c r="AC78" i="29"/>
  <c r="AD90" i="29"/>
  <c r="AC90" i="29"/>
  <c r="AD102" i="29"/>
  <c r="AC102" i="29"/>
  <c r="AD284" i="29"/>
  <c r="AC284" i="29"/>
  <c r="AD296" i="29"/>
  <c r="AC296" i="29"/>
  <c r="AD308" i="29"/>
  <c r="AC308" i="29"/>
  <c r="AD320" i="29"/>
  <c r="AC320" i="29"/>
  <c r="AD332" i="29"/>
  <c r="AC332" i="29"/>
  <c r="AD344" i="29"/>
  <c r="AC344" i="29"/>
  <c r="AD356" i="29"/>
  <c r="AC356" i="29"/>
  <c r="AL11" i="29"/>
  <c r="AK11" i="29"/>
  <c r="AL23" i="29"/>
  <c r="AK23" i="29"/>
  <c r="AL86" i="29"/>
  <c r="AK86" i="29"/>
  <c r="AL98" i="29"/>
  <c r="AK98" i="29"/>
  <c r="AL110" i="29"/>
  <c r="AK110" i="29"/>
  <c r="AL280" i="29"/>
  <c r="AK280" i="29"/>
  <c r="AL292" i="29"/>
  <c r="AK292" i="29"/>
  <c r="AL304" i="29"/>
  <c r="AK304" i="29"/>
  <c r="AL316" i="29"/>
  <c r="AK316" i="29"/>
  <c r="AL328" i="29"/>
  <c r="AK328" i="29"/>
  <c r="AL340" i="29"/>
  <c r="AK340" i="29"/>
  <c r="AT7" i="29"/>
  <c r="AS7" i="29"/>
  <c r="AT19" i="29"/>
  <c r="AS19" i="29"/>
  <c r="AT31" i="29"/>
  <c r="AS31" i="29"/>
  <c r="AT70" i="29"/>
  <c r="AS70" i="29"/>
  <c r="AT82" i="29"/>
  <c r="AS82" i="29"/>
  <c r="AT94" i="29"/>
  <c r="AS94" i="29"/>
  <c r="AT106" i="29"/>
  <c r="AS106" i="29"/>
  <c r="AT288" i="29"/>
  <c r="AS288" i="29"/>
  <c r="AT300" i="29"/>
  <c r="AS300" i="29"/>
  <c r="AT312" i="29"/>
  <c r="AS312" i="29"/>
  <c r="AT324" i="29"/>
  <c r="AS324" i="29"/>
  <c r="AT336" i="29"/>
  <c r="AS336" i="29"/>
  <c r="BB15" i="29"/>
  <c r="BA15" i="29"/>
  <c r="BB27" i="29"/>
  <c r="BA27" i="29"/>
  <c r="BB78" i="29"/>
  <c r="BA78" i="29"/>
  <c r="BB90" i="29"/>
  <c r="BA90" i="29"/>
  <c r="BA102" i="29"/>
  <c r="BB102" i="29"/>
  <c r="BA284" i="29"/>
  <c r="BB284" i="29"/>
  <c r="BA296" i="29"/>
  <c r="BB296" i="29"/>
  <c r="BA308" i="29"/>
  <c r="BB308" i="29"/>
  <c r="BA320" i="29"/>
  <c r="BB320" i="29"/>
  <c r="BA332" i="29"/>
  <c r="BB332" i="29"/>
  <c r="BI11" i="29"/>
  <c r="BJ11" i="29"/>
  <c r="BI23" i="29"/>
  <c r="BJ23" i="29"/>
  <c r="BI86" i="29"/>
  <c r="BJ86" i="29"/>
  <c r="BI98" i="29"/>
  <c r="BJ98" i="29"/>
  <c r="BI292" i="29"/>
  <c r="BJ292" i="29"/>
  <c r="BI304" i="29"/>
  <c r="BJ304" i="29"/>
  <c r="BI316" i="29"/>
  <c r="BJ316" i="29"/>
  <c r="BJ328" i="29"/>
  <c r="BI328" i="29"/>
  <c r="BJ340" i="29"/>
  <c r="BI340" i="29"/>
  <c r="BR7" i="29"/>
  <c r="BQ7" i="29"/>
  <c r="BR19" i="29"/>
  <c r="BQ19" i="29"/>
  <c r="BR82" i="29"/>
  <c r="BQ82" i="29"/>
  <c r="BR288" i="29"/>
  <c r="BQ288" i="29"/>
  <c r="BR300" i="29"/>
  <c r="BQ300" i="29"/>
  <c r="BR312" i="29"/>
  <c r="BQ312" i="29"/>
  <c r="BR324" i="29"/>
  <c r="BQ324" i="29"/>
  <c r="BZ15" i="29"/>
  <c r="BY15" i="29"/>
  <c r="BZ27" i="29"/>
  <c r="BY27" i="29"/>
  <c r="BZ78" i="29"/>
  <c r="BY78" i="29"/>
  <c r="BZ90" i="29"/>
  <c r="BY90" i="29"/>
  <c r="BZ102" i="29"/>
  <c r="BY102" i="29"/>
  <c r="BZ284" i="29"/>
  <c r="BY284" i="29"/>
  <c r="BZ296" i="29"/>
  <c r="BY296" i="29"/>
  <c r="BZ308" i="29"/>
  <c r="BY308" i="29"/>
  <c r="BZ320" i="29"/>
  <c r="BY320" i="29"/>
  <c r="BZ332" i="29"/>
  <c r="BY332" i="29"/>
  <c r="M12" i="29"/>
  <c r="M19" i="29"/>
  <c r="M61" i="29"/>
  <c r="M84" i="29"/>
  <c r="M93" i="29"/>
  <c r="N103" i="29"/>
  <c r="M114" i="29"/>
  <c r="N280" i="29"/>
  <c r="V20" i="29"/>
  <c r="U20" i="29"/>
  <c r="V277" i="29"/>
  <c r="U277" i="29"/>
  <c r="AD16" i="29"/>
  <c r="AC16" i="29"/>
  <c r="AD28" i="29"/>
  <c r="AC28" i="29"/>
  <c r="AC79" i="29"/>
  <c r="AD79" i="29"/>
  <c r="AD273" i="29"/>
  <c r="AC273" i="29"/>
  <c r="AD285" i="29"/>
  <c r="AC285" i="29"/>
  <c r="AD297" i="29"/>
  <c r="AC297" i="29"/>
  <c r="AD309" i="29"/>
  <c r="AC309" i="29"/>
  <c r="AD321" i="29"/>
  <c r="AC321" i="29"/>
  <c r="AD333" i="29"/>
  <c r="AC333" i="29"/>
  <c r="AD345" i="29"/>
  <c r="AC345" i="29"/>
  <c r="AL12" i="29"/>
  <c r="AK12" i="29"/>
  <c r="AK24" i="29"/>
  <c r="AL24" i="29"/>
  <c r="AL75" i="29"/>
  <c r="AK75" i="29"/>
  <c r="AL87" i="29"/>
  <c r="AK87" i="29"/>
  <c r="AL99" i="29"/>
  <c r="AK99" i="29"/>
  <c r="AL281" i="29"/>
  <c r="AK281" i="29"/>
  <c r="AL293" i="29"/>
  <c r="AK293" i="29"/>
  <c r="AL305" i="29"/>
  <c r="AK305" i="29"/>
  <c r="AL317" i="29"/>
  <c r="AK317" i="29"/>
  <c r="AL329" i="29"/>
  <c r="AK329" i="29"/>
  <c r="AL341" i="29"/>
  <c r="AK341" i="29"/>
  <c r="AT8" i="29"/>
  <c r="AS8" i="29"/>
  <c r="AT20" i="29"/>
  <c r="AS20" i="29"/>
  <c r="AT71" i="29"/>
  <c r="AS71" i="29"/>
  <c r="AT83" i="29"/>
  <c r="AS83" i="29"/>
  <c r="AT95" i="29"/>
  <c r="AS95" i="29"/>
  <c r="AS289" i="29"/>
  <c r="AT289" i="29"/>
  <c r="AS301" i="29"/>
  <c r="AT301" i="29"/>
  <c r="AS313" i="29"/>
  <c r="AT313" i="29"/>
  <c r="AS325" i="29"/>
  <c r="AT325" i="29"/>
  <c r="AS337" i="29"/>
  <c r="AT337" i="29"/>
  <c r="BA16" i="29"/>
  <c r="BB16" i="29"/>
  <c r="BA28" i="29"/>
  <c r="BB28" i="29"/>
  <c r="BA79" i="29"/>
  <c r="BB79" i="29"/>
  <c r="BA91" i="29"/>
  <c r="BB91" i="29"/>
  <c r="BA103" i="29"/>
  <c r="BB103" i="29"/>
  <c r="BA285" i="29"/>
  <c r="BB285" i="29"/>
  <c r="BA297" i="29"/>
  <c r="BB297" i="29"/>
  <c r="BB309" i="29"/>
  <c r="BA309" i="29"/>
  <c r="BB321" i="29"/>
  <c r="BA321" i="29"/>
  <c r="BB333" i="29"/>
  <c r="BA333" i="29"/>
  <c r="BJ12" i="29"/>
  <c r="BI12" i="29"/>
  <c r="BJ24" i="29"/>
  <c r="BI24" i="29"/>
  <c r="BJ75" i="29"/>
  <c r="BI75" i="29"/>
  <c r="BJ87" i="29"/>
  <c r="BI87" i="29"/>
  <c r="BJ99" i="29"/>
  <c r="BI99" i="29"/>
  <c r="BJ281" i="29"/>
  <c r="BI281" i="29"/>
  <c r="BJ293" i="29"/>
  <c r="BI293" i="29"/>
  <c r="BJ305" i="29"/>
  <c r="BI305" i="29"/>
  <c r="BJ317" i="29"/>
  <c r="BI317" i="29"/>
  <c r="BJ329" i="29"/>
  <c r="BI329" i="29"/>
  <c r="BJ341" i="29"/>
  <c r="BI341" i="29"/>
  <c r="BR8" i="29"/>
  <c r="BQ8" i="29"/>
  <c r="BR20" i="29"/>
  <c r="BQ20" i="29"/>
  <c r="BR83" i="29"/>
  <c r="BQ83" i="29"/>
  <c r="BR95" i="29"/>
  <c r="BQ95" i="29"/>
  <c r="BR289" i="29"/>
  <c r="BQ289" i="29"/>
  <c r="BR301" i="29"/>
  <c r="BQ301" i="29"/>
  <c r="BR313" i="29"/>
  <c r="BQ313" i="29"/>
  <c r="BR325" i="29"/>
  <c r="BQ325" i="29"/>
  <c r="BR337" i="29"/>
  <c r="BQ337" i="29"/>
  <c r="BZ16" i="29"/>
  <c r="BY16" i="29"/>
  <c r="BZ28" i="29"/>
  <c r="BY28" i="29"/>
  <c r="BZ79" i="29"/>
  <c r="BY79" i="29"/>
  <c r="BZ91" i="29"/>
  <c r="BY91" i="29"/>
  <c r="BZ297" i="29"/>
  <c r="BY297" i="29"/>
  <c r="BZ309" i="29"/>
  <c r="BY309" i="29"/>
  <c r="BZ321" i="29"/>
  <c r="BY321" i="29"/>
  <c r="BZ333" i="29"/>
  <c r="BY333" i="29"/>
  <c r="N5" i="29"/>
  <c r="M20" i="29"/>
  <c r="M27" i="29"/>
  <c r="M34" i="29"/>
  <c r="M76" i="29"/>
  <c r="N104" i="29"/>
  <c r="N122" i="29"/>
  <c r="N281" i="29"/>
  <c r="N329" i="29"/>
  <c r="M329" i="29"/>
  <c r="V313" i="29"/>
  <c r="U313" i="29"/>
  <c r="N318" i="29"/>
  <c r="M318" i="29"/>
  <c r="N342" i="29"/>
  <c r="M342" i="29"/>
  <c r="V9" i="29"/>
  <c r="U9" i="29"/>
  <c r="V21" i="29"/>
  <c r="U21" i="29"/>
  <c r="V33" i="29"/>
  <c r="U33" i="29"/>
  <c r="V60" i="29"/>
  <c r="U60" i="29"/>
  <c r="V72" i="29"/>
  <c r="U72" i="29"/>
  <c r="V84" i="29"/>
  <c r="U84" i="29"/>
  <c r="V96" i="29"/>
  <c r="U96" i="29"/>
  <c r="V108" i="29"/>
  <c r="U108" i="29"/>
  <c r="V290" i="29"/>
  <c r="U290" i="29"/>
  <c r="V302" i="29"/>
  <c r="U302" i="29"/>
  <c r="V314" i="29"/>
  <c r="U314" i="29"/>
  <c r="V326" i="29"/>
  <c r="U326" i="29"/>
  <c r="V338" i="29"/>
  <c r="U338" i="29"/>
  <c r="V350" i="29"/>
  <c r="U350" i="29"/>
  <c r="AD5" i="29"/>
  <c r="AC5" i="29"/>
  <c r="AD17" i="29"/>
  <c r="AC17" i="29"/>
  <c r="AD29" i="29"/>
  <c r="AC29" i="29"/>
  <c r="AD80" i="29"/>
  <c r="AC80" i="29"/>
  <c r="AD92" i="29"/>
  <c r="AC92" i="29"/>
  <c r="AD104" i="29"/>
  <c r="AC104" i="29"/>
  <c r="AD286" i="29"/>
  <c r="AC286" i="29"/>
  <c r="AD298" i="29"/>
  <c r="AC298" i="29"/>
  <c r="AD310" i="29"/>
  <c r="AC310" i="29"/>
  <c r="AD322" i="29"/>
  <c r="AC322" i="29"/>
  <c r="AD334" i="29"/>
  <c r="AC334" i="29"/>
  <c r="AD346" i="29"/>
  <c r="AC346" i="29"/>
  <c r="AL13" i="29"/>
  <c r="AK13" i="29"/>
  <c r="AL25" i="29"/>
  <c r="AK25" i="29"/>
  <c r="AL76" i="29"/>
  <c r="AK76" i="29"/>
  <c r="AL88" i="29"/>
  <c r="AK88" i="29"/>
  <c r="AL100" i="29"/>
  <c r="AK100" i="29"/>
  <c r="AL294" i="29"/>
  <c r="AK294" i="29"/>
  <c r="AL306" i="29"/>
  <c r="AK306" i="29"/>
  <c r="AL318" i="29"/>
  <c r="AK318" i="29"/>
  <c r="AL330" i="29"/>
  <c r="AK330" i="29"/>
  <c r="AL342" i="29"/>
  <c r="AK342" i="29"/>
  <c r="AT9" i="29"/>
  <c r="AS9" i="29"/>
  <c r="AT21" i="29"/>
  <c r="AS21" i="29"/>
  <c r="AT72" i="29"/>
  <c r="AS72" i="29"/>
  <c r="AT84" i="29"/>
  <c r="AS84" i="29"/>
  <c r="AT96" i="29"/>
  <c r="AS96" i="29"/>
  <c r="AT290" i="29"/>
  <c r="AS290" i="29"/>
  <c r="AT302" i="29"/>
  <c r="AS302" i="29"/>
  <c r="AT314" i="29"/>
  <c r="AS314" i="29"/>
  <c r="AT326" i="29"/>
  <c r="AS326" i="29"/>
  <c r="AT338" i="29"/>
  <c r="AS338" i="29"/>
  <c r="BB5" i="29"/>
  <c r="BA5" i="29"/>
  <c r="BB17" i="29"/>
  <c r="BA17" i="29"/>
  <c r="BB29" i="29"/>
  <c r="BA29" i="29"/>
  <c r="BB80" i="29"/>
  <c r="BA80" i="29"/>
  <c r="BB92" i="29"/>
  <c r="BA92" i="29"/>
  <c r="BB286" i="29"/>
  <c r="BA286" i="29"/>
  <c r="BB298" i="29"/>
  <c r="BA298" i="29"/>
  <c r="BB310" i="29"/>
  <c r="BA310" i="29"/>
  <c r="BA322" i="29"/>
  <c r="BB322" i="29"/>
  <c r="BB334" i="29"/>
  <c r="BA334" i="29"/>
  <c r="BB346" i="29"/>
  <c r="BA346" i="29"/>
  <c r="BI13" i="29"/>
  <c r="BJ13" i="29"/>
  <c r="BI25" i="29"/>
  <c r="BJ25" i="29"/>
  <c r="BI76" i="29"/>
  <c r="BJ76" i="29"/>
  <c r="BJ88" i="29"/>
  <c r="BI88" i="29"/>
  <c r="BJ100" i="29"/>
  <c r="BI100" i="29"/>
  <c r="BJ294" i="29"/>
  <c r="BI294" i="29"/>
  <c r="BJ306" i="29"/>
  <c r="BI306" i="29"/>
  <c r="BJ318" i="29"/>
  <c r="BI318" i="29"/>
  <c r="BJ330" i="29"/>
  <c r="BI330" i="29"/>
  <c r="BR9" i="29"/>
  <c r="BQ9" i="29"/>
  <c r="BR21" i="29"/>
  <c r="BQ21" i="29"/>
  <c r="BR84" i="29"/>
  <c r="BQ84" i="29"/>
  <c r="BR96" i="29"/>
  <c r="BQ96" i="29"/>
  <c r="BR290" i="29"/>
  <c r="BQ290" i="29"/>
  <c r="BR302" i="29"/>
  <c r="BQ302" i="29"/>
  <c r="BR314" i="29"/>
  <c r="BQ314" i="29"/>
  <c r="BR326" i="29"/>
  <c r="BQ326" i="29"/>
  <c r="BZ17" i="29"/>
  <c r="BY17" i="29"/>
  <c r="BZ29" i="29"/>
  <c r="BY29" i="29"/>
  <c r="BZ80" i="29"/>
  <c r="BY80" i="29"/>
  <c r="BZ92" i="29"/>
  <c r="BY92" i="29"/>
  <c r="BZ298" i="29"/>
  <c r="BY298" i="29"/>
  <c r="BZ310" i="29"/>
  <c r="BY310" i="29"/>
  <c r="BZ322" i="29"/>
  <c r="BY322" i="29"/>
  <c r="M6" i="29"/>
  <c r="M13" i="29"/>
  <c r="N62" i="29"/>
  <c r="M69" i="29"/>
  <c r="N77" i="29"/>
  <c r="M85" i="29"/>
  <c r="N95" i="29"/>
  <c r="N105" i="29"/>
  <c r="N284" i="29"/>
  <c r="V32" i="29"/>
  <c r="U32" i="29"/>
  <c r="V289" i="29"/>
  <c r="U289" i="29"/>
  <c r="AD91" i="29"/>
  <c r="AC91" i="29"/>
  <c r="N88" i="29"/>
  <c r="M88" i="29"/>
  <c r="N270" i="29"/>
  <c r="M270" i="29"/>
  <c r="N330" i="29"/>
  <c r="M330" i="29"/>
  <c r="N343" i="29"/>
  <c r="M343" i="29"/>
  <c r="V73" i="29"/>
  <c r="U73" i="29"/>
  <c r="V279" i="29"/>
  <c r="U279" i="29"/>
  <c r="V291" i="29"/>
  <c r="U291" i="29"/>
  <c r="V303" i="29"/>
  <c r="U303" i="29"/>
  <c r="AD6" i="29"/>
  <c r="AC6" i="29"/>
  <c r="AD18" i="29"/>
  <c r="AC18" i="29"/>
  <c r="AD30" i="29"/>
  <c r="AC30" i="29"/>
  <c r="AD69" i="29"/>
  <c r="AC69" i="29"/>
  <c r="AD81" i="29"/>
  <c r="AC81" i="29"/>
  <c r="AC93" i="29"/>
  <c r="AD93" i="29"/>
  <c r="AD105" i="29"/>
  <c r="AC105" i="29"/>
  <c r="AD287" i="29"/>
  <c r="AC287" i="29"/>
  <c r="AD299" i="29"/>
  <c r="AC299" i="29"/>
  <c r="AD311" i="29"/>
  <c r="AC311" i="29"/>
  <c r="AD323" i="29"/>
  <c r="AC323" i="29"/>
  <c r="AD335" i="29"/>
  <c r="AC335" i="29"/>
  <c r="AD347" i="29"/>
  <c r="AC347" i="29"/>
  <c r="AL14" i="29"/>
  <c r="AK14" i="29"/>
  <c r="AL26" i="29"/>
  <c r="AK26" i="29"/>
  <c r="AL77" i="29"/>
  <c r="AK77" i="29"/>
  <c r="AL89" i="29"/>
  <c r="AK89" i="29"/>
  <c r="AL101" i="29"/>
  <c r="AK101" i="29"/>
  <c r="AL283" i="29"/>
  <c r="AK283" i="29"/>
  <c r="AL295" i="29"/>
  <c r="AK295" i="29"/>
  <c r="AL307" i="29"/>
  <c r="AK307" i="29"/>
  <c r="AL319" i="29"/>
  <c r="AK319" i="29"/>
  <c r="AL331" i="29"/>
  <c r="AK331" i="29"/>
  <c r="AL343" i="29"/>
  <c r="AK343" i="29"/>
  <c r="AT10" i="29"/>
  <c r="AS10" i="29"/>
  <c r="AT22" i="29"/>
  <c r="AS22" i="29"/>
  <c r="AT73" i="29"/>
  <c r="AS73" i="29"/>
  <c r="AT85" i="29"/>
  <c r="AS85" i="29"/>
  <c r="AT97" i="29"/>
  <c r="AS97" i="29"/>
  <c r="AS291" i="29"/>
  <c r="AT291" i="29"/>
  <c r="AT303" i="29"/>
  <c r="AS303" i="29"/>
  <c r="AT315" i="29"/>
  <c r="AS315" i="29"/>
  <c r="AT327" i="29"/>
  <c r="AS327" i="29"/>
  <c r="AT339" i="29"/>
  <c r="AS339" i="29"/>
  <c r="BB6" i="29"/>
  <c r="BA6" i="29"/>
  <c r="BB18" i="29"/>
  <c r="BA18" i="29"/>
  <c r="BB30" i="29"/>
  <c r="BA30" i="29"/>
  <c r="BB81" i="29"/>
  <c r="BA81" i="29"/>
  <c r="BB93" i="29"/>
  <c r="BA93" i="29"/>
  <c r="BB105" i="29"/>
  <c r="BA105" i="29"/>
  <c r="BB287" i="29"/>
  <c r="BA287" i="29"/>
  <c r="BB299" i="29"/>
  <c r="BA299" i="29"/>
  <c r="BB311" i="29"/>
  <c r="BA311" i="29"/>
  <c r="BB323" i="29"/>
  <c r="BA323" i="29"/>
  <c r="BB335" i="29"/>
  <c r="BA335" i="29"/>
  <c r="BJ14" i="29"/>
  <c r="BI14" i="29"/>
  <c r="BJ26" i="29"/>
  <c r="BI26" i="29"/>
  <c r="BJ77" i="29"/>
  <c r="BI77" i="29"/>
  <c r="BJ89" i="29"/>
  <c r="BI89" i="29"/>
  <c r="BJ283" i="29"/>
  <c r="BI283" i="29"/>
  <c r="BJ295" i="29"/>
  <c r="BI295" i="29"/>
  <c r="BJ307" i="29"/>
  <c r="BI307" i="29"/>
  <c r="BJ319" i="29"/>
  <c r="BI319" i="29"/>
  <c r="BJ331" i="29"/>
  <c r="BI331" i="29"/>
  <c r="BJ343" i="29"/>
  <c r="BI343" i="29"/>
  <c r="BR10" i="29"/>
  <c r="BQ10" i="29"/>
  <c r="BR22" i="29"/>
  <c r="BQ22" i="29"/>
  <c r="BR73" i="29"/>
  <c r="BQ73" i="29"/>
  <c r="BR85" i="29"/>
  <c r="BQ85" i="29"/>
  <c r="BR97" i="29"/>
  <c r="BQ97" i="29"/>
  <c r="BR303" i="29"/>
  <c r="BQ303" i="29"/>
  <c r="BR315" i="29"/>
  <c r="BQ315" i="29"/>
  <c r="BR327" i="29"/>
  <c r="BQ327" i="29"/>
  <c r="BZ18" i="29"/>
  <c r="BY18" i="29"/>
  <c r="BZ30" i="29"/>
  <c r="BY30" i="29"/>
  <c r="BZ81" i="29"/>
  <c r="BY81" i="29"/>
  <c r="BZ93" i="29"/>
  <c r="BY93" i="29"/>
  <c r="BZ299" i="29"/>
  <c r="BY299" i="29"/>
  <c r="BZ311" i="29"/>
  <c r="BY311" i="29"/>
  <c r="BZ323" i="29"/>
  <c r="BY323" i="29"/>
  <c r="BZ335" i="29"/>
  <c r="BY335" i="29"/>
  <c r="M14" i="29"/>
  <c r="M21" i="29"/>
  <c r="M28" i="29"/>
  <c r="M63" i="29"/>
  <c r="M78" i="29"/>
  <c r="M96" i="29"/>
  <c r="N107" i="29"/>
  <c r="N286" i="29"/>
  <c r="N306" i="29"/>
  <c r="M306" i="29"/>
  <c r="N283" i="29"/>
  <c r="M283" i="29"/>
  <c r="N319" i="29"/>
  <c r="M319" i="29"/>
  <c r="V85" i="29"/>
  <c r="U85" i="29"/>
  <c r="V339" i="29"/>
  <c r="U339" i="29"/>
  <c r="N320" i="29"/>
  <c r="M320" i="29"/>
  <c r="N344" i="29"/>
  <c r="M344" i="29"/>
  <c r="V23" i="29"/>
  <c r="U23" i="29"/>
  <c r="V86" i="29"/>
  <c r="U86" i="29"/>
  <c r="V304" i="29"/>
  <c r="U304" i="29"/>
  <c r="V340" i="29"/>
  <c r="U340" i="29"/>
  <c r="AD7" i="29"/>
  <c r="AC7" i="29"/>
  <c r="AC70" i="29"/>
  <c r="AD70" i="29"/>
  <c r="AC82" i="29"/>
  <c r="AD82" i="29"/>
  <c r="AC94" i="29"/>
  <c r="AD94" i="29"/>
  <c r="AC106" i="29"/>
  <c r="AD106" i="29"/>
  <c r="AC300" i="29"/>
  <c r="AD300" i="29"/>
  <c r="AC312" i="29"/>
  <c r="AD312" i="29"/>
  <c r="AC324" i="29"/>
  <c r="AD324" i="29"/>
  <c r="AC336" i="29"/>
  <c r="AD336" i="29"/>
  <c r="AK15" i="29"/>
  <c r="AL15" i="29"/>
  <c r="AK27" i="29"/>
  <c r="AL27" i="29"/>
  <c r="AK78" i="29"/>
  <c r="AL78" i="29"/>
  <c r="AK90" i="29"/>
  <c r="AL90" i="29"/>
  <c r="AK102" i="29"/>
  <c r="AL102" i="29"/>
  <c r="AK284" i="29"/>
  <c r="AL284" i="29"/>
  <c r="AK296" i="29"/>
  <c r="AL296" i="29"/>
  <c r="AK308" i="29"/>
  <c r="AL308" i="29"/>
  <c r="AK320" i="29"/>
  <c r="AL320" i="29"/>
  <c r="AK332" i="29"/>
  <c r="AL332" i="29"/>
  <c r="AK344" i="29"/>
  <c r="AL344" i="29"/>
  <c r="AK356" i="29"/>
  <c r="AL356" i="29"/>
  <c r="AT11" i="29"/>
  <c r="AS11" i="29"/>
  <c r="AT23" i="29"/>
  <c r="AS23" i="29"/>
  <c r="AT86" i="29"/>
  <c r="AS86" i="29"/>
  <c r="AT98" i="29"/>
  <c r="AS98" i="29"/>
  <c r="AT280" i="29"/>
  <c r="AS280" i="29"/>
  <c r="AT292" i="29"/>
  <c r="AS292" i="29"/>
  <c r="AT304" i="29"/>
  <c r="AS304" i="29"/>
  <c r="AT316" i="29"/>
  <c r="AS316" i="29"/>
  <c r="AT328" i="29"/>
  <c r="AS328" i="29"/>
  <c r="AT340" i="29"/>
  <c r="AS340" i="29"/>
  <c r="BB7" i="29"/>
  <c r="BA7" i="29"/>
  <c r="BB19" i="29"/>
  <c r="BA19" i="29"/>
  <c r="BB31" i="29"/>
  <c r="BA31" i="29"/>
  <c r="BB70" i="29"/>
  <c r="BA70" i="29"/>
  <c r="BB82" i="29"/>
  <c r="BA82" i="29"/>
  <c r="BB94" i="29"/>
  <c r="BA94" i="29"/>
  <c r="BA288" i="29"/>
  <c r="BB288" i="29"/>
  <c r="BB300" i="29"/>
  <c r="BA300" i="29"/>
  <c r="BA312" i="29"/>
  <c r="BB312" i="29"/>
  <c r="BB324" i="29"/>
  <c r="BA324" i="29"/>
  <c r="BJ15" i="29"/>
  <c r="BI15" i="29"/>
  <c r="BJ27" i="29"/>
  <c r="BI27" i="29"/>
  <c r="BI78" i="29"/>
  <c r="BJ78" i="29"/>
  <c r="BJ90" i="29"/>
  <c r="BI90" i="29"/>
  <c r="BJ102" i="29"/>
  <c r="BI102" i="29"/>
  <c r="BJ284" i="29"/>
  <c r="BI284" i="29"/>
  <c r="BJ296" i="29"/>
  <c r="BI296" i="29"/>
  <c r="BJ308" i="29"/>
  <c r="BI308" i="29"/>
  <c r="BJ320" i="29"/>
  <c r="BI320" i="29"/>
  <c r="BJ332" i="29"/>
  <c r="BI332" i="29"/>
  <c r="BR11" i="29"/>
  <c r="BQ11" i="29"/>
  <c r="BR23" i="29"/>
  <c r="BQ23" i="29"/>
  <c r="BR86" i="29"/>
  <c r="BQ86" i="29"/>
  <c r="BR98" i="29"/>
  <c r="BQ98" i="29"/>
  <c r="BR292" i="29"/>
  <c r="BQ292" i="29"/>
  <c r="BR304" i="29"/>
  <c r="BQ304" i="29"/>
  <c r="BR316" i="29"/>
  <c r="BQ316" i="29"/>
  <c r="BR328" i="29"/>
  <c r="BQ328" i="29"/>
  <c r="BR340" i="29"/>
  <c r="BQ340" i="29"/>
  <c r="BZ7" i="29"/>
  <c r="BY7" i="29"/>
  <c r="BZ19" i="29"/>
  <c r="BY19" i="29"/>
  <c r="BZ82" i="29"/>
  <c r="BY82" i="29"/>
  <c r="BZ288" i="29"/>
  <c r="BY288" i="29"/>
  <c r="BZ300" i="29"/>
  <c r="BY300" i="29"/>
  <c r="BZ312" i="29"/>
  <c r="BY312" i="29"/>
  <c r="BZ324" i="29"/>
  <c r="BY324" i="29"/>
  <c r="M7" i="29"/>
  <c r="M70" i="29"/>
  <c r="N86" i="29"/>
  <c r="M108" i="29"/>
  <c r="N116" i="29"/>
  <c r="N272" i="29"/>
  <c r="N287" i="29"/>
  <c r="N317" i="29"/>
  <c r="M317" i="29"/>
  <c r="AD67" i="29"/>
  <c r="AC67" i="29"/>
  <c r="N100" i="29"/>
  <c r="M100" i="29"/>
  <c r="N294" i="29"/>
  <c r="M294" i="29"/>
  <c r="N307" i="29"/>
  <c r="M307" i="29"/>
  <c r="N355" i="29"/>
  <c r="M355" i="29"/>
  <c r="V22" i="29"/>
  <c r="U22" i="29"/>
  <c r="V109" i="29"/>
  <c r="U109" i="29"/>
  <c r="V315" i="29"/>
  <c r="U315" i="29"/>
  <c r="N296" i="29"/>
  <c r="M296" i="29"/>
  <c r="N332" i="29"/>
  <c r="M332" i="29"/>
  <c r="N368" i="29"/>
  <c r="M368" i="29"/>
  <c r="V98" i="29"/>
  <c r="U98" i="29"/>
  <c r="V280" i="29"/>
  <c r="U280" i="29"/>
  <c r="V316" i="29"/>
  <c r="U316" i="29"/>
  <c r="AD19" i="29"/>
  <c r="AC19" i="29"/>
  <c r="N297" i="29"/>
  <c r="M297" i="29"/>
  <c r="N321" i="29"/>
  <c r="M321" i="29"/>
  <c r="N333" i="29"/>
  <c r="M333" i="29"/>
  <c r="V24" i="29"/>
  <c r="U24" i="29"/>
  <c r="V75" i="29"/>
  <c r="U75" i="29"/>
  <c r="V99" i="29"/>
  <c r="U99" i="29"/>
  <c r="V281" i="29"/>
  <c r="U281" i="29"/>
  <c r="V305" i="29"/>
  <c r="U305" i="29"/>
  <c r="V329" i="29"/>
  <c r="U329" i="29"/>
  <c r="AD32" i="29"/>
  <c r="AC32" i="29"/>
  <c r="AD71" i="29"/>
  <c r="AC71" i="29"/>
  <c r="AD95" i="29"/>
  <c r="AC95" i="29"/>
  <c r="AD277" i="29"/>
  <c r="AC277" i="29"/>
  <c r="AD301" i="29"/>
  <c r="AC301" i="29"/>
  <c r="AD337" i="29"/>
  <c r="AC337" i="29"/>
  <c r="AL16" i="29"/>
  <c r="AK16" i="29"/>
  <c r="AL103" i="29"/>
  <c r="AK103" i="29"/>
  <c r="AK285" i="29"/>
  <c r="AL285" i="29"/>
  <c r="AL309" i="29"/>
  <c r="AK309" i="29"/>
  <c r="AL345" i="29"/>
  <c r="AK345" i="29"/>
  <c r="AT24" i="29"/>
  <c r="AS24" i="29"/>
  <c r="AT75" i="29"/>
  <c r="AS75" i="29"/>
  <c r="AT87" i="29"/>
  <c r="AS87" i="29"/>
  <c r="AT99" i="29"/>
  <c r="AS99" i="29"/>
  <c r="AS293" i="29"/>
  <c r="AT293" i="29"/>
  <c r="AS305" i="29"/>
  <c r="AT305" i="29"/>
  <c r="AS317" i="29"/>
  <c r="AT317" i="29"/>
  <c r="AS329" i="29"/>
  <c r="AT329" i="29"/>
  <c r="AS341" i="29"/>
  <c r="AT341" i="29"/>
  <c r="BB8" i="29"/>
  <c r="BA8" i="29"/>
  <c r="BB20" i="29"/>
  <c r="BA20" i="29"/>
  <c r="BB71" i="29"/>
  <c r="BA71" i="29"/>
  <c r="BB83" i="29"/>
  <c r="BA83" i="29"/>
  <c r="BB95" i="29"/>
  <c r="BA95" i="29"/>
  <c r="BB289" i="29"/>
  <c r="BA289" i="29"/>
  <c r="BA301" i="29"/>
  <c r="BB301" i="29"/>
  <c r="BB313" i="29"/>
  <c r="BA313" i="29"/>
  <c r="BB325" i="29"/>
  <c r="BA325" i="29"/>
  <c r="BA337" i="29"/>
  <c r="BB337" i="29"/>
  <c r="BJ16" i="29"/>
  <c r="BI16" i="29"/>
  <c r="BJ28" i="29"/>
  <c r="BI28" i="29"/>
  <c r="BJ79" i="29"/>
  <c r="BI79" i="29"/>
  <c r="BI91" i="29"/>
  <c r="BJ91" i="29"/>
  <c r="BI103" i="29"/>
  <c r="BJ103" i="29"/>
  <c r="BI285" i="29"/>
  <c r="BJ285" i="29"/>
  <c r="BJ297" i="29"/>
  <c r="BI297" i="29"/>
  <c r="BJ309" i="29"/>
  <c r="BI309" i="29"/>
  <c r="BJ321" i="29"/>
  <c r="BI321" i="29"/>
  <c r="BJ333" i="29"/>
  <c r="BI333" i="29"/>
  <c r="BQ12" i="29"/>
  <c r="BR12" i="29"/>
  <c r="BQ24" i="29"/>
  <c r="BR24" i="29"/>
  <c r="BQ75" i="29"/>
  <c r="BR75" i="29"/>
  <c r="BQ87" i="29"/>
  <c r="BR87" i="29"/>
  <c r="BQ99" i="29"/>
  <c r="BR99" i="29"/>
  <c r="BQ293" i="29"/>
  <c r="BR293" i="29"/>
  <c r="BQ305" i="29"/>
  <c r="BR305" i="29"/>
  <c r="BQ317" i="29"/>
  <c r="BR317" i="29"/>
  <c r="BR329" i="29"/>
  <c r="BQ329" i="29"/>
  <c r="BZ8" i="29"/>
  <c r="BY8" i="29"/>
  <c r="BZ20" i="29"/>
  <c r="BY20" i="29"/>
  <c r="BZ83" i="29"/>
  <c r="BY83" i="29"/>
  <c r="BZ95" i="29"/>
  <c r="BY95" i="29"/>
  <c r="BZ289" i="29"/>
  <c r="BY289" i="29"/>
  <c r="BZ301" i="29"/>
  <c r="BY301" i="29"/>
  <c r="BZ313" i="29"/>
  <c r="BY313" i="29"/>
  <c r="BZ325" i="29"/>
  <c r="BY325" i="29"/>
  <c r="BZ337" i="29"/>
  <c r="BY337" i="29"/>
  <c r="N29" i="29"/>
  <c r="M64" i="29"/>
  <c r="N71" i="29"/>
  <c r="N97" i="29"/>
  <c r="N273" i="29"/>
  <c r="N290" i="29"/>
  <c r="H92" i="20"/>
  <c r="H64" i="20"/>
  <c r="H32" i="20"/>
  <c r="AC147" i="30"/>
  <c r="AD147" i="30"/>
  <c r="AD135" i="30"/>
  <c r="AC135" i="30"/>
  <c r="AC140" i="30"/>
  <c r="AD140" i="30"/>
  <c r="AC131" i="30"/>
  <c r="AD131" i="30"/>
  <c r="AC105" i="30"/>
  <c r="AC98" i="30"/>
  <c r="AC161" i="30"/>
  <c r="AD161" i="30"/>
  <c r="AC146" i="30"/>
  <c r="AD146" i="30"/>
  <c r="AD133" i="30"/>
  <c r="AC133" i="30"/>
  <c r="AC139" i="30"/>
  <c r="AD139" i="30"/>
  <c r="AC122" i="30"/>
  <c r="AD122" i="30"/>
  <c r="AC104" i="30"/>
  <c r="AC109" i="30"/>
  <c r="AC145" i="30"/>
  <c r="AD145" i="30"/>
  <c r="AD134" i="30"/>
  <c r="AC134" i="30"/>
  <c r="AC129" i="30"/>
  <c r="AD129" i="30"/>
  <c r="AC121" i="30"/>
  <c r="AD121" i="30"/>
  <c r="AD157" i="30"/>
  <c r="AC157" i="30"/>
  <c r="AC138" i="30"/>
  <c r="AD138" i="30"/>
  <c r="AC116" i="30"/>
  <c r="AD116" i="30"/>
  <c r="AC111" i="30"/>
  <c r="AD152" i="30"/>
  <c r="AC152" i="30"/>
  <c r="AC108" i="30"/>
  <c r="AC103" i="30"/>
  <c r="AD127" i="30"/>
  <c r="AC127" i="30"/>
  <c r="AD158" i="30"/>
  <c r="AC158" i="30"/>
  <c r="AC163" i="30"/>
  <c r="AD163" i="30"/>
  <c r="AC112" i="30"/>
  <c r="AC117" i="30"/>
  <c r="AC100" i="30"/>
  <c r="AC148" i="30"/>
  <c r="AD148" i="30"/>
  <c r="AD120" i="30"/>
  <c r="AC120" i="30"/>
  <c r="AC132" i="30"/>
  <c r="AD132" i="30"/>
  <c r="AD142" i="30"/>
  <c r="AC142" i="30"/>
  <c r="AC113" i="30"/>
  <c r="AC99" i="30"/>
  <c r="AC130" i="30"/>
  <c r="AD130" i="30"/>
  <c r="AD119" i="30"/>
  <c r="AC119" i="30"/>
  <c r="AD143" i="30"/>
  <c r="AC143" i="30"/>
  <c r="AC110" i="30"/>
  <c r="AC101" i="30"/>
  <c r="AC153" i="30"/>
  <c r="AD153" i="30"/>
  <c r="AD160" i="30"/>
  <c r="AC160" i="30"/>
  <c r="AD125" i="30"/>
  <c r="AC125" i="30"/>
  <c r="AD149" i="30"/>
  <c r="AC149" i="30"/>
  <c r="AC164" i="30"/>
  <c r="AD164" i="30"/>
  <c r="AC114" i="30"/>
  <c r="AC162" i="30"/>
  <c r="AD162" i="30"/>
  <c r="AC106" i="30"/>
  <c r="AD151" i="30"/>
  <c r="AC151" i="30"/>
  <c r="AC102" i="30"/>
  <c r="AC155" i="30"/>
  <c r="AD155" i="30"/>
  <c r="AD126" i="30"/>
  <c r="AC126" i="30"/>
  <c r="AD159" i="30"/>
  <c r="AC159" i="30"/>
  <c r="AC124" i="30"/>
  <c r="AD124" i="30"/>
  <c r="AD166" i="30"/>
  <c r="AC166" i="30"/>
  <c r="AC137" i="30"/>
  <c r="AD137" i="30"/>
  <c r="AC115" i="30"/>
  <c r="AC123" i="30"/>
  <c r="AD123" i="30"/>
  <c r="AD144" i="30"/>
  <c r="AC144" i="30"/>
  <c r="AC165" i="30"/>
  <c r="AD165" i="30"/>
  <c r="AD128" i="30"/>
  <c r="AC128" i="30"/>
  <c r="AC118" i="30"/>
  <c r="AC154" i="30"/>
  <c r="AD154" i="30"/>
  <c r="AC107" i="30"/>
  <c r="AD150" i="30"/>
  <c r="AC150" i="30"/>
  <c r="AD141" i="30"/>
  <c r="AC141" i="30"/>
  <c r="AC156" i="30"/>
  <c r="AD156" i="30"/>
  <c r="AD136" i="30"/>
  <c r="AC136" i="30"/>
  <c r="C93" i="20"/>
  <c r="C65" i="20"/>
  <c r="C33" i="20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AD106" i="30" s="1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242" i="29"/>
  <c r="C55" i="29"/>
  <c r="AD101" i="30" s="1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AD115" i="30" s="1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54" i="29"/>
  <c r="C51" i="29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2" i="29"/>
  <c r="AD102" i="30" l="1"/>
  <c r="AD112" i="30"/>
  <c r="AD114" i="30"/>
  <c r="AD103" i="30"/>
  <c r="AD118" i="30"/>
  <c r="AD104" i="30"/>
  <c r="AD100" i="30"/>
  <c r="AD110" i="30"/>
  <c r="E79" i="29"/>
  <c r="F79" i="29"/>
  <c r="E360" i="29"/>
  <c r="F360" i="29"/>
  <c r="E288" i="29"/>
  <c r="F288" i="29"/>
  <c r="F31" i="29"/>
  <c r="E31" i="29"/>
  <c r="F114" i="29"/>
  <c r="E114" i="29"/>
  <c r="F78" i="29"/>
  <c r="E78" i="29"/>
  <c r="F359" i="29"/>
  <c r="E359" i="29"/>
  <c r="F323" i="29"/>
  <c r="E323" i="29"/>
  <c r="F287" i="29"/>
  <c r="E287" i="29"/>
  <c r="E30" i="29"/>
  <c r="F30" i="29"/>
  <c r="E18" i="29"/>
  <c r="F18" i="29"/>
  <c r="E113" i="29"/>
  <c r="F113" i="29"/>
  <c r="E89" i="29"/>
  <c r="F89" i="29"/>
  <c r="E65" i="29"/>
  <c r="F65" i="29"/>
  <c r="E370" i="29"/>
  <c r="F370" i="29"/>
  <c r="E346" i="29"/>
  <c r="F346" i="29"/>
  <c r="E322" i="29"/>
  <c r="F322" i="29"/>
  <c r="E298" i="29"/>
  <c r="F298" i="29"/>
  <c r="E274" i="29"/>
  <c r="F274" i="29"/>
  <c r="E29" i="29"/>
  <c r="F29" i="29"/>
  <c r="E17" i="29"/>
  <c r="F17" i="29"/>
  <c r="E5" i="29"/>
  <c r="F5" i="29"/>
  <c r="E124" i="29"/>
  <c r="F124" i="29"/>
  <c r="E112" i="29"/>
  <c r="F112" i="29"/>
  <c r="E100" i="29"/>
  <c r="F100" i="29"/>
  <c r="E88" i="29"/>
  <c r="F88" i="29"/>
  <c r="E76" i="29"/>
  <c r="F76" i="29"/>
  <c r="E64" i="29"/>
  <c r="F64" i="29"/>
  <c r="E357" i="29"/>
  <c r="F357" i="29"/>
  <c r="E345" i="29"/>
  <c r="F345" i="29"/>
  <c r="E333" i="29"/>
  <c r="F333" i="29"/>
  <c r="E321" i="29"/>
  <c r="F321" i="29"/>
  <c r="E309" i="29"/>
  <c r="F309" i="29"/>
  <c r="E297" i="29"/>
  <c r="F297" i="29"/>
  <c r="E285" i="29"/>
  <c r="F285" i="29"/>
  <c r="E273" i="29"/>
  <c r="F273" i="29"/>
  <c r="E20" i="29"/>
  <c r="F20" i="29"/>
  <c r="E115" i="29"/>
  <c r="F115" i="29"/>
  <c r="E324" i="29"/>
  <c r="F324" i="29"/>
  <c r="E40" i="29"/>
  <c r="F40" i="29"/>
  <c r="E16" i="29"/>
  <c r="F16" i="29"/>
  <c r="E99" i="29"/>
  <c r="F99" i="29"/>
  <c r="E75" i="29"/>
  <c r="F75" i="29"/>
  <c r="E356" i="29"/>
  <c r="F356" i="29"/>
  <c r="E332" i="29"/>
  <c r="F332" i="29"/>
  <c r="E308" i="29"/>
  <c r="F308" i="29"/>
  <c r="E284" i="29"/>
  <c r="F284" i="29"/>
  <c r="E15" i="29"/>
  <c r="F15" i="29"/>
  <c r="E122" i="29"/>
  <c r="F122" i="29"/>
  <c r="E98" i="29"/>
  <c r="F98" i="29"/>
  <c r="E62" i="29"/>
  <c r="F62" i="29"/>
  <c r="E355" i="29"/>
  <c r="F355" i="29"/>
  <c r="E319" i="29"/>
  <c r="F319" i="29"/>
  <c r="E295" i="29"/>
  <c r="F295" i="29"/>
  <c r="E91" i="29"/>
  <c r="F91" i="29"/>
  <c r="E384" i="29"/>
  <c r="F384" i="29"/>
  <c r="E300" i="29"/>
  <c r="F300" i="29"/>
  <c r="E38" i="29"/>
  <c r="F38" i="29"/>
  <c r="E14" i="29"/>
  <c r="F14" i="29"/>
  <c r="E97" i="29"/>
  <c r="F97" i="29"/>
  <c r="E61" i="29"/>
  <c r="F61" i="29"/>
  <c r="E378" i="29"/>
  <c r="F378" i="29"/>
  <c r="E354" i="29"/>
  <c r="F354" i="29"/>
  <c r="E318" i="29"/>
  <c r="F318" i="29"/>
  <c r="E294" i="29"/>
  <c r="F294" i="29"/>
  <c r="E270" i="29"/>
  <c r="F270" i="29"/>
  <c r="E28" i="29"/>
  <c r="F28" i="29"/>
  <c r="E4" i="29"/>
  <c r="F4" i="29"/>
  <c r="E111" i="29"/>
  <c r="F111" i="29"/>
  <c r="E87" i="29"/>
  <c r="F87" i="29"/>
  <c r="E63" i="29"/>
  <c r="F63" i="29"/>
  <c r="E368" i="29"/>
  <c r="F368" i="29"/>
  <c r="E344" i="29"/>
  <c r="F344" i="29"/>
  <c r="E320" i="29"/>
  <c r="F320" i="29"/>
  <c r="F296" i="29"/>
  <c r="E296" i="29"/>
  <c r="E272" i="29"/>
  <c r="F272" i="29"/>
  <c r="AD99" i="30"/>
  <c r="E27" i="29"/>
  <c r="F27" i="29"/>
  <c r="E3" i="29"/>
  <c r="F3" i="29"/>
  <c r="E110" i="29"/>
  <c r="F110" i="29"/>
  <c r="E86" i="29"/>
  <c r="F86" i="29"/>
  <c r="E74" i="29"/>
  <c r="F74" i="29"/>
  <c r="E367" i="29"/>
  <c r="F367" i="29"/>
  <c r="E343" i="29"/>
  <c r="F343" i="29"/>
  <c r="E331" i="29"/>
  <c r="F331" i="29"/>
  <c r="E307" i="29"/>
  <c r="F307" i="29"/>
  <c r="E283" i="29"/>
  <c r="F283" i="29"/>
  <c r="E26" i="29"/>
  <c r="F26" i="29"/>
  <c r="E109" i="29"/>
  <c r="F109" i="29"/>
  <c r="E85" i="29"/>
  <c r="F85" i="29"/>
  <c r="E73" i="29"/>
  <c r="F73" i="29"/>
  <c r="E342" i="29"/>
  <c r="F342" i="29"/>
  <c r="E330" i="29"/>
  <c r="F330" i="29"/>
  <c r="E306" i="29"/>
  <c r="F306" i="29"/>
  <c r="F282" i="29"/>
  <c r="E282" i="29"/>
  <c r="F13" i="29"/>
  <c r="E13" i="29"/>
  <c r="F108" i="29"/>
  <c r="E108" i="29"/>
  <c r="F72" i="29"/>
  <c r="E72" i="29"/>
  <c r="F341" i="29"/>
  <c r="E341" i="29"/>
  <c r="F317" i="29"/>
  <c r="E317" i="29"/>
  <c r="F281" i="29"/>
  <c r="E281" i="29"/>
  <c r="AD108" i="30"/>
  <c r="E67" i="29"/>
  <c r="F67" i="29"/>
  <c r="E348" i="29"/>
  <c r="F348" i="29"/>
  <c r="E276" i="29"/>
  <c r="F276" i="29"/>
  <c r="F37" i="29"/>
  <c r="E37" i="29"/>
  <c r="F25" i="29"/>
  <c r="E25" i="29"/>
  <c r="F120" i="29"/>
  <c r="E120" i="29"/>
  <c r="F96" i="29"/>
  <c r="E96" i="29"/>
  <c r="F84" i="29"/>
  <c r="E84" i="29"/>
  <c r="F60" i="29"/>
  <c r="E60" i="29"/>
  <c r="F353" i="29"/>
  <c r="E353" i="29"/>
  <c r="F329" i="29"/>
  <c r="E329" i="29"/>
  <c r="F305" i="29"/>
  <c r="E305" i="29"/>
  <c r="F293" i="29"/>
  <c r="E293" i="29"/>
  <c r="F269" i="29"/>
  <c r="E269" i="29"/>
  <c r="E36" i="29"/>
  <c r="F36" i="29"/>
  <c r="E24" i="29"/>
  <c r="F24" i="29"/>
  <c r="E12" i="29"/>
  <c r="F12" i="29"/>
  <c r="E107" i="29"/>
  <c r="F107" i="29"/>
  <c r="E95" i="29"/>
  <c r="F95" i="29"/>
  <c r="E83" i="29"/>
  <c r="F83" i="29"/>
  <c r="E71" i="29"/>
  <c r="F71" i="29"/>
  <c r="E352" i="29"/>
  <c r="F352" i="29"/>
  <c r="E340" i="29"/>
  <c r="F340" i="29"/>
  <c r="E328" i="29"/>
  <c r="F328" i="29"/>
  <c r="E316" i="29"/>
  <c r="F316" i="29"/>
  <c r="E304" i="29"/>
  <c r="F304" i="29"/>
  <c r="E292" i="29"/>
  <c r="F292" i="29"/>
  <c r="E280" i="29"/>
  <c r="F280" i="29"/>
  <c r="E268" i="29"/>
  <c r="F268" i="29"/>
  <c r="AD113" i="30"/>
  <c r="E8" i="29"/>
  <c r="F8" i="29"/>
  <c r="E35" i="29"/>
  <c r="F35" i="29"/>
  <c r="E23" i="29"/>
  <c r="F23" i="29"/>
  <c r="E11" i="29"/>
  <c r="F11" i="29"/>
  <c r="E118" i="29"/>
  <c r="F118" i="29"/>
  <c r="E106" i="29"/>
  <c r="F106" i="29"/>
  <c r="E94" i="29"/>
  <c r="F94" i="29"/>
  <c r="E82" i="29"/>
  <c r="F82" i="29"/>
  <c r="E70" i="29"/>
  <c r="F70" i="29"/>
  <c r="E363" i="29"/>
  <c r="F363" i="29"/>
  <c r="E351" i="29"/>
  <c r="F351" i="29"/>
  <c r="E339" i="29"/>
  <c r="F339" i="29"/>
  <c r="E327" i="29"/>
  <c r="F327" i="29"/>
  <c r="E315" i="29"/>
  <c r="F315" i="29"/>
  <c r="E303" i="29"/>
  <c r="F303" i="29"/>
  <c r="E291" i="29"/>
  <c r="F291" i="29"/>
  <c r="E279" i="29"/>
  <c r="F279" i="29"/>
  <c r="E267" i="29"/>
  <c r="F267" i="29"/>
  <c r="E103" i="29"/>
  <c r="F103" i="29"/>
  <c r="E336" i="29"/>
  <c r="F336" i="29"/>
  <c r="E34" i="29"/>
  <c r="F34" i="29"/>
  <c r="E22" i="29"/>
  <c r="F22" i="29"/>
  <c r="E10" i="29"/>
  <c r="F10" i="29"/>
  <c r="E117" i="29"/>
  <c r="F117" i="29"/>
  <c r="E105" i="29"/>
  <c r="F105" i="29"/>
  <c r="E93" i="29"/>
  <c r="F93" i="29"/>
  <c r="E81" i="29"/>
  <c r="F81" i="29"/>
  <c r="E69" i="29"/>
  <c r="F69" i="29"/>
  <c r="E362" i="29"/>
  <c r="F362" i="29"/>
  <c r="E350" i="29"/>
  <c r="F350" i="29"/>
  <c r="E338" i="29"/>
  <c r="F338" i="29"/>
  <c r="E326" i="29"/>
  <c r="F326" i="29"/>
  <c r="E314" i="29"/>
  <c r="F314" i="29"/>
  <c r="E302" i="29"/>
  <c r="F302" i="29"/>
  <c r="E290" i="29"/>
  <c r="F290" i="29"/>
  <c r="E278" i="29"/>
  <c r="F278" i="29"/>
  <c r="E33" i="29"/>
  <c r="F33" i="29"/>
  <c r="E21" i="29"/>
  <c r="F21" i="29"/>
  <c r="E9" i="29"/>
  <c r="F9" i="29"/>
  <c r="E116" i="29"/>
  <c r="F116" i="29"/>
  <c r="E104" i="29"/>
  <c r="F104" i="29"/>
  <c r="E92" i="29"/>
  <c r="F92" i="29"/>
  <c r="E80" i="29"/>
  <c r="F80" i="29"/>
  <c r="E68" i="29"/>
  <c r="F68" i="29"/>
  <c r="E361" i="29"/>
  <c r="F361" i="29"/>
  <c r="E349" i="29"/>
  <c r="F349" i="29"/>
  <c r="E337" i="29"/>
  <c r="F337" i="29"/>
  <c r="E325" i="29"/>
  <c r="F325" i="29"/>
  <c r="E313" i="29"/>
  <c r="F313" i="29"/>
  <c r="E301" i="29"/>
  <c r="F301" i="29"/>
  <c r="F289" i="29"/>
  <c r="E289" i="29"/>
  <c r="E277" i="29"/>
  <c r="F277" i="29"/>
  <c r="AD98" i="30"/>
  <c r="E32" i="29"/>
  <c r="F32" i="29"/>
  <c r="E55" i="29"/>
  <c r="F55" i="29"/>
  <c r="E312" i="29"/>
  <c r="F312" i="29"/>
  <c r="F7" i="29"/>
  <c r="E7" i="29"/>
  <c r="F90" i="29"/>
  <c r="E90" i="29"/>
  <c r="F335" i="29"/>
  <c r="E335" i="29"/>
  <c r="F275" i="29"/>
  <c r="E275" i="29"/>
  <c r="F19" i="29"/>
  <c r="E19" i="29"/>
  <c r="F102" i="29"/>
  <c r="E102" i="29"/>
  <c r="F66" i="29"/>
  <c r="E66" i="29"/>
  <c r="F347" i="29"/>
  <c r="E347" i="29"/>
  <c r="F311" i="29"/>
  <c r="E311" i="29"/>
  <c r="F299" i="29"/>
  <c r="E299" i="29"/>
  <c r="AD107" i="30"/>
  <c r="E6" i="29"/>
  <c r="F6" i="29"/>
  <c r="E101" i="29"/>
  <c r="F101" i="29"/>
  <c r="E77" i="29"/>
  <c r="F77" i="29"/>
  <c r="E358" i="29"/>
  <c r="F358" i="29"/>
  <c r="E334" i="29"/>
  <c r="F334" i="29"/>
  <c r="F310" i="29"/>
  <c r="E310" i="29"/>
  <c r="E286" i="29"/>
  <c r="F286" i="29"/>
  <c r="AD117" i="30"/>
  <c r="AD111" i="30"/>
  <c r="AD109" i="30"/>
  <c r="AD105" i="30"/>
  <c r="AC71" i="30"/>
  <c r="AC70" i="30"/>
  <c r="AH65" i="30"/>
  <c r="AC64" i="30"/>
  <c r="AC65" i="30"/>
  <c r="AC58" i="30"/>
  <c r="AC66" i="30"/>
  <c r="AC59" i="30"/>
  <c r="AC67" i="30"/>
  <c r="AC60" i="30"/>
  <c r="AC68" i="30"/>
  <c r="AC61" i="30"/>
  <c r="AC69" i="30"/>
  <c r="AC62" i="30"/>
  <c r="AC63" i="30"/>
  <c r="AC57" i="30"/>
  <c r="AH72" i="30"/>
  <c r="AH73" i="30"/>
  <c r="H93" i="20"/>
  <c r="H65" i="20"/>
  <c r="H33" i="20"/>
  <c r="C94" i="20"/>
  <c r="C66" i="20"/>
  <c r="C34" i="20"/>
  <c r="H94" i="20" l="1"/>
  <c r="H66" i="20"/>
  <c r="H34" i="20"/>
  <c r="C95" i="20"/>
  <c r="C67" i="20"/>
  <c r="C35" i="20"/>
  <c r="AC76" i="30"/>
  <c r="AC74" i="30"/>
  <c r="AC75" i="30"/>
  <c r="AC86" i="30"/>
  <c r="AC87" i="30"/>
  <c r="AC88" i="30"/>
  <c r="H95" i="20" l="1"/>
  <c r="H67" i="20"/>
  <c r="H35" i="20"/>
  <c r="C96" i="20"/>
  <c r="C68" i="20"/>
  <c r="C36" i="20"/>
  <c r="H96" i="20" l="1"/>
  <c r="H68" i="20"/>
  <c r="H36" i="20"/>
  <c r="C97" i="20"/>
  <c r="C69" i="20"/>
  <c r="C70" i="20"/>
  <c r="C37" i="20"/>
  <c r="Z393" i="30"/>
  <c r="H97" i="20" l="1"/>
  <c r="H69" i="20"/>
  <c r="H70" i="20"/>
  <c r="H37" i="20"/>
  <c r="C98" i="20"/>
  <c r="BE2" i="30"/>
  <c r="BE3" i="30"/>
  <c r="BE4" i="30"/>
  <c r="BE5" i="30"/>
  <c r="BE6" i="30"/>
  <c r="BE7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E39" i="30"/>
  <c r="BE40" i="30"/>
  <c r="BE41" i="30"/>
  <c r="BE42" i="30"/>
  <c r="BE43" i="30"/>
  <c r="BE44" i="30"/>
  <c r="BE45" i="30"/>
  <c r="BE46" i="30"/>
  <c r="BE47" i="30"/>
  <c r="BE48" i="30"/>
  <c r="BE49" i="30"/>
  <c r="BE51" i="30"/>
  <c r="BE54" i="30"/>
  <c r="BE55" i="30"/>
  <c r="BE56" i="30"/>
  <c r="BE57" i="30"/>
  <c r="BE58" i="30"/>
  <c r="BE59" i="30"/>
  <c r="BE60" i="30"/>
  <c r="BE61" i="30"/>
  <c r="BE62" i="30"/>
  <c r="BE63" i="30"/>
  <c r="BE64" i="30"/>
  <c r="BE65" i="30"/>
  <c r="BE66" i="30"/>
  <c r="BE67" i="30"/>
  <c r="BE68" i="30"/>
  <c r="BE69" i="30"/>
  <c r="BE70" i="30"/>
  <c r="BE71" i="30"/>
  <c r="BE72" i="30"/>
  <c r="BE73" i="30"/>
  <c r="BE74" i="30"/>
  <c r="BE75" i="30"/>
  <c r="BE76" i="30"/>
  <c r="BE77" i="30"/>
  <c r="BE78" i="30"/>
  <c r="BE79" i="30"/>
  <c r="BE80" i="30"/>
  <c r="BE81" i="30"/>
  <c r="BE82" i="30"/>
  <c r="BE83" i="30"/>
  <c r="BE84" i="30"/>
  <c r="BE85" i="30"/>
  <c r="BE86" i="30"/>
  <c r="BE87" i="30"/>
  <c r="BE88" i="30"/>
  <c r="BE89" i="30"/>
  <c r="BE90" i="30"/>
  <c r="BE91" i="30"/>
  <c r="BE92" i="30"/>
  <c r="BE93" i="30"/>
  <c r="BE94" i="30"/>
  <c r="BE95" i="30"/>
  <c r="BE96" i="30"/>
  <c r="BE97" i="30"/>
  <c r="BE98" i="30"/>
  <c r="BE99" i="30"/>
  <c r="BE100" i="30"/>
  <c r="BE101" i="30"/>
  <c r="BE102" i="30"/>
  <c r="BE103" i="30"/>
  <c r="BE104" i="30"/>
  <c r="BE105" i="30"/>
  <c r="BE106" i="30"/>
  <c r="BE107" i="30"/>
  <c r="BE108" i="30"/>
  <c r="BE109" i="30"/>
  <c r="BE110" i="30"/>
  <c r="BE111" i="30"/>
  <c r="BE112" i="30"/>
  <c r="BE113" i="30"/>
  <c r="BE114" i="30"/>
  <c r="BE115" i="30"/>
  <c r="BE116" i="30"/>
  <c r="BE117" i="30"/>
  <c r="BE118" i="30"/>
  <c r="BE119" i="30"/>
  <c r="BE120" i="30"/>
  <c r="BE121" i="30"/>
  <c r="BE122" i="30"/>
  <c r="BE123" i="30"/>
  <c r="BE124" i="30"/>
  <c r="BE125" i="30"/>
  <c r="BE126" i="30"/>
  <c r="BE127" i="30"/>
  <c r="BE128" i="30"/>
  <c r="BE129" i="30"/>
  <c r="BE130" i="30"/>
  <c r="BE131" i="30"/>
  <c r="BE132" i="30"/>
  <c r="BE133" i="30"/>
  <c r="BE134" i="30"/>
  <c r="BE135" i="30"/>
  <c r="BE136" i="30"/>
  <c r="BE137" i="30"/>
  <c r="BE138" i="30"/>
  <c r="BE139" i="30"/>
  <c r="BE140" i="30"/>
  <c r="BE141" i="30"/>
  <c r="BE142" i="30"/>
  <c r="BE143" i="30"/>
  <c r="BE144" i="30"/>
  <c r="BE145" i="30"/>
  <c r="BE146" i="30"/>
  <c r="BE147" i="30"/>
  <c r="BE148" i="30"/>
  <c r="BE149" i="30"/>
  <c r="BE150" i="30"/>
  <c r="BE151" i="30"/>
  <c r="BE152" i="30"/>
  <c r="BE153" i="30"/>
  <c r="BE154" i="30"/>
  <c r="BE155" i="30"/>
  <c r="BE156" i="30"/>
  <c r="BE157" i="30"/>
  <c r="BE158" i="30"/>
  <c r="BE159" i="30"/>
  <c r="BE160" i="30"/>
  <c r="BE161" i="30"/>
  <c r="BE162" i="30"/>
  <c r="BE163" i="30"/>
  <c r="BE164" i="30"/>
  <c r="BE165" i="30"/>
  <c r="BE166" i="30"/>
  <c r="BE167" i="30"/>
  <c r="BE242" i="30"/>
  <c r="BE243" i="30"/>
  <c r="BE244" i="30"/>
  <c r="BE245" i="30"/>
  <c r="BE246" i="30"/>
  <c r="BE247" i="30"/>
  <c r="BE248" i="30"/>
  <c r="BE249" i="30"/>
  <c r="BE250" i="30"/>
  <c r="BE251" i="30"/>
  <c r="BE252" i="30"/>
  <c r="BE253" i="30"/>
  <c r="BE254" i="30"/>
  <c r="BE255" i="30"/>
  <c r="BE256" i="30"/>
  <c r="BE257" i="30"/>
  <c r="BE258" i="30"/>
  <c r="BE259" i="30"/>
  <c r="BE260" i="30"/>
  <c r="BE261" i="30"/>
  <c r="BE262" i="30"/>
  <c r="BE263" i="30"/>
  <c r="BE264" i="30"/>
  <c r="BE265" i="30"/>
  <c r="BE266" i="30"/>
  <c r="BE267" i="30"/>
  <c r="BE268" i="30"/>
  <c r="BE269" i="30"/>
  <c r="BE270" i="30"/>
  <c r="BE271" i="30"/>
  <c r="BE272" i="30"/>
  <c r="BE273" i="30"/>
  <c r="BE274" i="30"/>
  <c r="BE275" i="30"/>
  <c r="BE276" i="30"/>
  <c r="BE277" i="30"/>
  <c r="BE278" i="30"/>
  <c r="BE279" i="30"/>
  <c r="BE280" i="30"/>
  <c r="BE281" i="30"/>
  <c r="BE282" i="30"/>
  <c r="BE283" i="30"/>
  <c r="BE284" i="30"/>
  <c r="BE285" i="30"/>
  <c r="BE286" i="30"/>
  <c r="BE287" i="30"/>
  <c r="BE288" i="30"/>
  <c r="BE289" i="30"/>
  <c r="BE290" i="30"/>
  <c r="BE291" i="30"/>
  <c r="BE292" i="30"/>
  <c r="BE293" i="30"/>
  <c r="BE294" i="30"/>
  <c r="BE295" i="30"/>
  <c r="BE296" i="30"/>
  <c r="BE297" i="30"/>
  <c r="BE298" i="30"/>
  <c r="BE299" i="30"/>
  <c r="BE300" i="30"/>
  <c r="BE301" i="30"/>
  <c r="BE302" i="30"/>
  <c r="BE303" i="30"/>
  <c r="BE304" i="30"/>
  <c r="BE305" i="30"/>
  <c r="BE306" i="30"/>
  <c r="BE307" i="30"/>
  <c r="BE308" i="30"/>
  <c r="BE309" i="30"/>
  <c r="BE310" i="30"/>
  <c r="BE311" i="30"/>
  <c r="BE312" i="30"/>
  <c r="BE313" i="30"/>
  <c r="BE314" i="30"/>
  <c r="BE315" i="30"/>
  <c r="BE316" i="30"/>
  <c r="BE317" i="30"/>
  <c r="BE318" i="30"/>
  <c r="BE319" i="30"/>
  <c r="BE320" i="30"/>
  <c r="BE321" i="30"/>
  <c r="BE322" i="30"/>
  <c r="BE323" i="30"/>
  <c r="BE324" i="30"/>
  <c r="BE325" i="30"/>
  <c r="BE326" i="30"/>
  <c r="BE327" i="30"/>
  <c r="BE328" i="30"/>
  <c r="BE329" i="30"/>
  <c r="BE330" i="30"/>
  <c r="BE331" i="30"/>
  <c r="BE332" i="30"/>
  <c r="BE333" i="30"/>
  <c r="BE334" i="30"/>
  <c r="BE335" i="30"/>
  <c r="BE336" i="30"/>
  <c r="BE337" i="30"/>
  <c r="BE338" i="30"/>
  <c r="BE339" i="30"/>
  <c r="BE340" i="30"/>
  <c r="BE341" i="30"/>
  <c r="BE342" i="30"/>
  <c r="BE343" i="30"/>
  <c r="BE344" i="30"/>
  <c r="BE345" i="30"/>
  <c r="BE346" i="30"/>
  <c r="BE347" i="30"/>
  <c r="BE348" i="30"/>
  <c r="BE349" i="30"/>
  <c r="BE350" i="30"/>
  <c r="BE351" i="30"/>
  <c r="BE352" i="30"/>
  <c r="BE353" i="30"/>
  <c r="BE354" i="30"/>
  <c r="BE355" i="30"/>
  <c r="BE356" i="30"/>
  <c r="BE357" i="30"/>
  <c r="BE358" i="30"/>
  <c r="BE359" i="30"/>
  <c r="BE360" i="30"/>
  <c r="BE361" i="30"/>
  <c r="BE362" i="30"/>
  <c r="BE363" i="30"/>
  <c r="BE364" i="30"/>
  <c r="BE365" i="30"/>
  <c r="BE366" i="30"/>
  <c r="BE367" i="30"/>
  <c r="BE368" i="30"/>
  <c r="BE369" i="30"/>
  <c r="BE370" i="30"/>
  <c r="BE371" i="30"/>
  <c r="BE372" i="30"/>
  <c r="BE373" i="30"/>
  <c r="BE374" i="30"/>
  <c r="BE375" i="30"/>
  <c r="BE376" i="30"/>
  <c r="BE377" i="30"/>
  <c r="BE378" i="30"/>
  <c r="BE379" i="30"/>
  <c r="BE380" i="30"/>
  <c r="BE381" i="30"/>
  <c r="BE382" i="30"/>
  <c r="BE383" i="30"/>
  <c r="BE384" i="30"/>
  <c r="BE385" i="30"/>
  <c r="BE386" i="30"/>
  <c r="BE387" i="30"/>
  <c r="BE388" i="30"/>
  <c r="BE389" i="30"/>
  <c r="BE390" i="30"/>
  <c r="BE391" i="30"/>
  <c r="BE392" i="30"/>
  <c r="BE393" i="30"/>
  <c r="BE394" i="30"/>
  <c r="BE395" i="30"/>
  <c r="BE396" i="30"/>
  <c r="BE397" i="30"/>
  <c r="BE398" i="30"/>
  <c r="BE399" i="30"/>
  <c r="BE400" i="30"/>
  <c r="BE401" i="30"/>
  <c r="BE402" i="30"/>
  <c r="BE403" i="30"/>
  <c r="BE404" i="30"/>
  <c r="BE405" i="30"/>
  <c r="BE406" i="30"/>
  <c r="BE407" i="30"/>
  <c r="BE408" i="30"/>
  <c r="BE409" i="30"/>
  <c r="BE410" i="30"/>
  <c r="BE411" i="30"/>
  <c r="BE412" i="30"/>
  <c r="BE413" i="30"/>
  <c r="BE414" i="30"/>
  <c r="BE415" i="30"/>
  <c r="BE416" i="30"/>
  <c r="BE417" i="30"/>
  <c r="BE418" i="30"/>
  <c r="BE419" i="30"/>
  <c r="BE420" i="30"/>
  <c r="BE421" i="30"/>
  <c r="BE422" i="30"/>
  <c r="BE423" i="30"/>
  <c r="BE424" i="30"/>
  <c r="BE425" i="30"/>
  <c r="BE426" i="30"/>
  <c r="BE427" i="30"/>
  <c r="BE428" i="30"/>
  <c r="BE429" i="30"/>
  <c r="BE430" i="30"/>
  <c r="H98" i="20" l="1"/>
  <c r="C99" i="20"/>
  <c r="AC89" i="30"/>
  <c r="H99" i="20" l="1"/>
  <c r="C100" i="20"/>
  <c r="Z57" i="30"/>
  <c r="Z29" i="30"/>
  <c r="H100" i="20" l="1"/>
  <c r="C101" i="20"/>
  <c r="AC72" i="30"/>
  <c r="AA72" i="30"/>
  <c r="H101" i="20" l="1"/>
  <c r="AE37" i="30"/>
  <c r="AA37" i="30"/>
  <c r="AA44" i="30" l="1"/>
  <c r="AG45" i="30"/>
  <c r="BA1" i="30" l="1"/>
  <c r="AA46" i="30"/>
  <c r="AE44" i="30" l="1"/>
  <c r="Z158" i="30" l="1"/>
  <c r="Z157" i="30"/>
  <c r="Z156" i="30"/>
  <c r="P156" i="30"/>
  <c r="Q156" i="30"/>
  <c r="R156" i="30"/>
  <c r="S156" i="30"/>
  <c r="T156" i="30"/>
  <c r="U156" i="30"/>
  <c r="V156" i="30"/>
  <c r="W156" i="30"/>
  <c r="X156" i="30"/>
  <c r="Y156" i="30"/>
  <c r="P157" i="30"/>
  <c r="Q157" i="30"/>
  <c r="R157" i="30"/>
  <c r="S157" i="30"/>
  <c r="T157" i="30"/>
  <c r="U157" i="30"/>
  <c r="V157" i="30"/>
  <c r="W157" i="30"/>
  <c r="X157" i="30"/>
  <c r="Y157" i="30"/>
  <c r="P158" i="30"/>
  <c r="Q158" i="30"/>
  <c r="R158" i="30"/>
  <c r="S158" i="30"/>
  <c r="T158" i="30"/>
  <c r="U158" i="30"/>
  <c r="V158" i="30"/>
  <c r="W158" i="30"/>
  <c r="X158" i="30"/>
  <c r="Y158" i="30"/>
  <c r="O158" i="30"/>
  <c r="O157" i="30"/>
  <c r="O156" i="30"/>
  <c r="Z159" i="30" l="1"/>
  <c r="P159" i="30" l="1"/>
  <c r="Q159" i="30"/>
  <c r="R159" i="30"/>
  <c r="S159" i="30"/>
  <c r="T159" i="30"/>
  <c r="U159" i="30"/>
  <c r="V159" i="30"/>
  <c r="W159" i="30"/>
  <c r="X159" i="30"/>
  <c r="Y159" i="30"/>
  <c r="O159" i="30"/>
  <c r="AI44" i="30" l="1"/>
  <c r="AG44" i="30"/>
  <c r="AP29" i="4" l="1"/>
  <c r="AP32" i="4"/>
  <c r="AP35" i="4"/>
  <c r="AP28" i="4"/>
  <c r="AP31" i="4"/>
  <c r="AP34" i="4"/>
  <c r="AP27" i="4"/>
  <c r="AP30" i="4"/>
  <c r="Q244" i="30" l="1"/>
  <c r="R244" i="30"/>
  <c r="S244" i="30"/>
  <c r="T244" i="30"/>
  <c r="U244" i="30"/>
  <c r="V244" i="30"/>
  <c r="W244" i="30"/>
  <c r="X244" i="30"/>
  <c r="Y244" i="30"/>
  <c r="Q245" i="30"/>
  <c r="R245" i="30"/>
  <c r="S245" i="30"/>
  <c r="T245" i="30"/>
  <c r="U245" i="30"/>
  <c r="V245" i="30"/>
  <c r="W245" i="30"/>
  <c r="X245" i="30"/>
  <c r="Y245" i="30"/>
  <c r="P245" i="30"/>
  <c r="P244" i="30"/>
  <c r="Z245" i="30"/>
  <c r="Z244" i="30"/>
  <c r="Z243" i="30"/>
  <c r="Q243" i="30"/>
  <c r="R243" i="30"/>
  <c r="S243" i="30"/>
  <c r="T243" i="30"/>
  <c r="U243" i="30"/>
  <c r="V243" i="30"/>
  <c r="W243" i="30"/>
  <c r="X243" i="30"/>
  <c r="Y243" i="30"/>
  <c r="P243" i="30"/>
  <c r="BF1" i="30" l="1"/>
  <c r="BQ1" i="30" s="1"/>
  <c r="BG1" i="30"/>
  <c r="BR1" i="30" s="1"/>
  <c r="BH1" i="30"/>
  <c r="BS1" i="30" s="1"/>
  <c r="BI1" i="30"/>
  <c r="BT1" i="30" s="1"/>
  <c r="BJ1" i="30"/>
  <c r="BU1" i="30" s="1"/>
  <c r="BK1" i="30"/>
  <c r="BV1" i="30" s="1"/>
  <c r="BL1" i="30"/>
  <c r="BW1" i="30" s="1"/>
  <c r="BM1" i="30"/>
  <c r="BX1" i="30" s="1"/>
  <c r="BN1" i="30"/>
  <c r="BY1" i="30" s="1"/>
  <c r="BO1" i="30"/>
  <c r="BZ1" i="30" s="1"/>
  <c r="X307" i="30" l="1"/>
  <c r="BD1" i="30" l="1"/>
  <c r="BC243" i="30"/>
  <c r="BC244" i="30"/>
  <c r="BC245" i="30"/>
  <c r="BC246" i="30"/>
  <c r="BC247" i="30"/>
  <c r="BC248" i="30"/>
  <c r="BC249" i="30"/>
  <c r="BC250" i="30"/>
  <c r="BC251" i="30"/>
  <c r="BC252" i="30"/>
  <c r="BC253" i="30"/>
  <c r="BC254" i="30"/>
  <c r="BC255" i="30"/>
  <c r="BC256" i="30"/>
  <c r="BC257" i="30"/>
  <c r="BC258" i="30"/>
  <c r="BC259" i="30"/>
  <c r="BC260" i="30"/>
  <c r="BC261" i="30"/>
  <c r="BC262" i="30"/>
  <c r="BC263" i="30"/>
  <c r="BC264" i="30"/>
  <c r="BC265" i="30"/>
  <c r="BC266" i="30"/>
  <c r="BC267" i="30"/>
  <c r="BC268" i="30"/>
  <c r="BC269" i="30"/>
  <c r="BC270" i="30"/>
  <c r="BC271" i="30"/>
  <c r="BC272" i="30"/>
  <c r="BC273" i="30"/>
  <c r="BC274" i="30"/>
  <c r="BC275" i="30"/>
  <c r="BC276" i="30"/>
  <c r="BC277" i="30"/>
  <c r="BC278" i="30"/>
  <c r="BC279" i="30"/>
  <c r="BC280" i="30"/>
  <c r="BC281" i="30"/>
  <c r="BC282" i="30"/>
  <c r="BC283" i="30"/>
  <c r="BC284" i="30"/>
  <c r="BC285" i="30"/>
  <c r="BC286" i="30"/>
  <c r="BC287" i="30"/>
  <c r="BC288" i="30"/>
  <c r="BC289" i="30"/>
  <c r="BC290" i="30"/>
  <c r="BC291" i="30"/>
  <c r="BC292" i="30"/>
  <c r="BC293" i="30"/>
  <c r="BC294" i="30"/>
  <c r="BC295" i="30"/>
  <c r="BC296" i="30"/>
  <c r="BC297" i="30"/>
  <c r="BC298" i="30"/>
  <c r="BC299" i="30"/>
  <c r="BC300" i="30"/>
  <c r="BC301" i="30"/>
  <c r="BC302" i="30"/>
  <c r="BC303" i="30"/>
  <c r="BC304" i="30"/>
  <c r="BC305" i="30"/>
  <c r="BC306" i="30"/>
  <c r="BC307" i="30"/>
  <c r="BC308" i="30"/>
  <c r="BC309" i="30"/>
  <c r="BC310" i="30"/>
  <c r="BC311" i="30"/>
  <c r="BC312" i="30"/>
  <c r="BC313" i="30"/>
  <c r="BC314" i="30"/>
  <c r="BC315" i="30"/>
  <c r="BC316" i="30"/>
  <c r="BC317" i="30"/>
  <c r="BC318" i="30"/>
  <c r="BC319" i="30"/>
  <c r="BC320" i="30"/>
  <c r="BC321" i="30"/>
  <c r="BC322" i="30"/>
  <c r="BC323" i="30"/>
  <c r="BC324" i="30"/>
  <c r="BC325" i="30"/>
  <c r="BC326" i="30"/>
  <c r="BC327" i="30"/>
  <c r="BC328" i="30"/>
  <c r="BC329" i="30"/>
  <c r="BC330" i="30"/>
  <c r="BC331" i="30"/>
  <c r="BC332" i="30"/>
  <c r="BC333" i="30"/>
  <c r="BC334" i="30"/>
  <c r="BC335" i="30"/>
  <c r="BC336" i="30"/>
  <c r="BC337" i="30"/>
  <c r="BC338" i="30"/>
  <c r="BC339" i="30"/>
  <c r="BC340" i="30"/>
  <c r="BC341" i="30"/>
  <c r="BC342" i="30"/>
  <c r="BC343" i="30"/>
  <c r="BC344" i="30"/>
  <c r="BC345" i="30"/>
  <c r="BC346" i="30"/>
  <c r="BC347" i="30"/>
  <c r="BC348" i="30"/>
  <c r="BC349" i="30"/>
  <c r="BC350" i="30"/>
  <c r="BC351" i="30"/>
  <c r="BC352" i="30"/>
  <c r="BC353" i="30"/>
  <c r="BC354" i="30"/>
  <c r="BC355" i="30"/>
  <c r="BC356" i="30"/>
  <c r="BC357" i="30"/>
  <c r="BC358" i="30"/>
  <c r="BC359" i="30"/>
  <c r="BC360" i="30"/>
  <c r="BC361" i="30"/>
  <c r="BC362" i="30"/>
  <c r="BC363" i="30"/>
  <c r="BC364" i="30"/>
  <c r="BC365" i="30"/>
  <c r="BC366" i="30"/>
  <c r="BC367" i="30"/>
  <c r="BC368" i="30"/>
  <c r="BC369" i="30"/>
  <c r="BC370" i="30"/>
  <c r="BC371" i="30"/>
  <c r="BC372" i="30"/>
  <c r="BC373" i="30"/>
  <c r="BC374" i="30"/>
  <c r="BC375" i="30"/>
  <c r="BC376" i="30"/>
  <c r="BC377" i="30"/>
  <c r="BC378" i="30"/>
  <c r="BC379" i="30"/>
  <c r="BC380" i="30"/>
  <c r="BC381" i="30"/>
  <c r="BC382" i="30"/>
  <c r="BC383" i="30"/>
  <c r="BC384" i="30"/>
  <c r="BC385" i="30"/>
  <c r="BC386" i="30"/>
  <c r="BC387" i="30"/>
  <c r="BC388" i="30"/>
  <c r="BC389" i="30"/>
  <c r="BC390" i="30"/>
  <c r="BC391" i="30"/>
  <c r="BC392" i="30"/>
  <c r="BC393" i="30"/>
  <c r="BC394" i="30"/>
  <c r="BC395" i="30"/>
  <c r="BC396" i="30"/>
  <c r="BC397" i="30"/>
  <c r="BC398" i="30"/>
  <c r="BC399" i="30"/>
  <c r="BC400" i="30"/>
  <c r="BC401" i="30"/>
  <c r="BC402" i="30"/>
  <c r="BC403" i="30"/>
  <c r="BC404" i="30"/>
  <c r="BC405" i="30"/>
  <c r="BC406" i="30"/>
  <c r="BC407" i="30"/>
  <c r="BC408" i="30"/>
  <c r="BC409" i="30"/>
  <c r="BC410" i="30"/>
  <c r="BC411" i="30"/>
  <c r="BC412" i="30"/>
  <c r="BC413" i="30"/>
  <c r="BC414" i="30"/>
  <c r="BC415" i="30"/>
  <c r="BC416" i="30"/>
  <c r="BC417" i="30"/>
  <c r="BC418" i="30"/>
  <c r="BC419" i="30"/>
  <c r="BC420" i="30"/>
  <c r="BC421" i="30"/>
  <c r="BC422" i="30"/>
  <c r="BC423" i="30"/>
  <c r="BC424" i="30"/>
  <c r="BC425" i="30"/>
  <c r="BC426" i="30"/>
  <c r="BC427" i="30"/>
  <c r="BC428" i="30"/>
  <c r="BC429" i="30"/>
  <c r="BC430" i="30"/>
  <c r="BC242" i="30"/>
  <c r="BC55" i="30"/>
  <c r="BC56" i="30"/>
  <c r="BC57" i="30"/>
  <c r="BC58" i="30"/>
  <c r="BC59" i="30"/>
  <c r="BC60" i="30"/>
  <c r="BC61" i="30"/>
  <c r="BC62" i="30"/>
  <c r="BC63" i="30"/>
  <c r="BC64" i="30"/>
  <c r="BC65" i="30"/>
  <c r="BC66" i="30"/>
  <c r="BC67" i="30"/>
  <c r="BC68" i="30"/>
  <c r="BC69" i="30"/>
  <c r="BC70" i="30"/>
  <c r="BC71" i="30"/>
  <c r="BC72" i="30"/>
  <c r="BC73" i="30"/>
  <c r="BC74" i="30"/>
  <c r="BC75" i="30"/>
  <c r="BC76" i="30"/>
  <c r="BC77" i="30"/>
  <c r="BC78" i="30"/>
  <c r="BC79" i="30"/>
  <c r="BC80" i="30"/>
  <c r="BC81" i="30"/>
  <c r="BC82" i="30"/>
  <c r="BC83" i="30"/>
  <c r="BC84" i="30"/>
  <c r="BC85" i="30"/>
  <c r="BC86" i="30"/>
  <c r="BC87" i="30"/>
  <c r="BC88" i="30"/>
  <c r="BC89" i="30"/>
  <c r="BC90" i="30"/>
  <c r="BC91" i="30"/>
  <c r="BC92" i="30"/>
  <c r="BC93" i="30"/>
  <c r="BC94" i="30"/>
  <c r="BC95" i="30"/>
  <c r="BC96" i="30"/>
  <c r="BC97" i="30"/>
  <c r="BC98" i="30"/>
  <c r="BC99" i="30"/>
  <c r="BC100" i="30"/>
  <c r="BC101" i="30"/>
  <c r="BC102" i="30"/>
  <c r="BC103" i="30"/>
  <c r="BC104" i="30"/>
  <c r="BC105" i="30"/>
  <c r="BC106" i="30"/>
  <c r="BC107" i="30"/>
  <c r="BC108" i="30"/>
  <c r="BC109" i="30"/>
  <c r="BC110" i="30"/>
  <c r="BC111" i="30"/>
  <c r="BC112" i="30"/>
  <c r="BC113" i="30"/>
  <c r="BC114" i="30"/>
  <c r="BC115" i="30"/>
  <c r="BC116" i="30"/>
  <c r="BC117" i="30"/>
  <c r="BC118" i="30"/>
  <c r="BC119" i="30"/>
  <c r="BC120" i="30"/>
  <c r="BC121" i="30"/>
  <c r="BC122" i="30"/>
  <c r="BC123" i="30"/>
  <c r="BC124" i="30"/>
  <c r="BC125" i="30"/>
  <c r="BC126" i="30"/>
  <c r="BC127" i="30"/>
  <c r="BC128" i="30"/>
  <c r="BC129" i="30"/>
  <c r="BC130" i="30"/>
  <c r="BC131" i="30"/>
  <c r="BC132" i="30"/>
  <c r="BC133" i="30"/>
  <c r="BC134" i="30"/>
  <c r="BC135" i="30"/>
  <c r="BC136" i="30"/>
  <c r="BC137" i="30"/>
  <c r="BC138" i="30"/>
  <c r="BC139" i="30"/>
  <c r="BC140" i="30"/>
  <c r="BC141" i="30"/>
  <c r="BC142" i="30"/>
  <c r="BC143" i="30"/>
  <c r="BC144" i="30"/>
  <c r="BC145" i="30"/>
  <c r="BC146" i="30"/>
  <c r="BC147" i="30"/>
  <c r="BC148" i="30"/>
  <c r="BC149" i="30"/>
  <c r="BC150" i="30"/>
  <c r="BC151" i="30"/>
  <c r="BC152" i="30"/>
  <c r="BC153" i="30"/>
  <c r="BC154" i="30"/>
  <c r="BC155" i="30"/>
  <c r="BC156" i="30"/>
  <c r="BC157" i="30"/>
  <c r="BC158" i="30"/>
  <c r="BC159" i="30"/>
  <c r="BC160" i="30"/>
  <c r="BC161" i="30"/>
  <c r="BC162" i="30"/>
  <c r="BC163" i="30"/>
  <c r="BC164" i="30"/>
  <c r="BC165" i="30"/>
  <c r="BC166" i="30"/>
  <c r="BC167" i="30"/>
  <c r="BC54" i="30"/>
  <c r="BC51" i="30"/>
  <c r="BC3" i="30"/>
  <c r="BC4" i="30"/>
  <c r="BC5" i="30"/>
  <c r="BC6" i="30"/>
  <c r="BC7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C39" i="30"/>
  <c r="BC40" i="30"/>
  <c r="BC41" i="30"/>
  <c r="BC42" i="30"/>
  <c r="BC43" i="30"/>
  <c r="BC44" i="30"/>
  <c r="BC45" i="30"/>
  <c r="BC46" i="30"/>
  <c r="BC47" i="30"/>
  <c r="BC48" i="30"/>
  <c r="BC49" i="30"/>
  <c r="BC2" i="30"/>
  <c r="BB1" i="30"/>
  <c r="BC1" i="30"/>
  <c r="AZ1" i="30" l="1"/>
  <c r="AZ243" i="30" l="1"/>
  <c r="AZ244" i="30"/>
  <c r="AZ245" i="30"/>
  <c r="AZ246" i="30"/>
  <c r="AZ247" i="30"/>
  <c r="AZ248" i="30"/>
  <c r="AZ249" i="30"/>
  <c r="AZ250" i="30"/>
  <c r="AZ251" i="30"/>
  <c r="AZ252" i="30"/>
  <c r="AZ253" i="30"/>
  <c r="AZ254" i="30"/>
  <c r="AZ255" i="30"/>
  <c r="AZ256" i="30"/>
  <c r="AZ257" i="30"/>
  <c r="AZ258" i="30"/>
  <c r="AZ259" i="30"/>
  <c r="AZ260" i="30"/>
  <c r="AZ261" i="30"/>
  <c r="AZ262" i="30"/>
  <c r="AZ263" i="30"/>
  <c r="AZ264" i="30"/>
  <c r="AZ265" i="30"/>
  <c r="AZ266" i="30"/>
  <c r="AZ267" i="30"/>
  <c r="AZ268" i="30"/>
  <c r="AZ269" i="30"/>
  <c r="AZ270" i="30"/>
  <c r="AZ27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299" i="30"/>
  <c r="AZ300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3" i="30"/>
  <c r="AZ324" i="30"/>
  <c r="AZ325" i="30"/>
  <c r="AZ326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39" i="30"/>
  <c r="AZ340" i="30"/>
  <c r="AZ341" i="30"/>
  <c r="AZ342" i="30"/>
  <c r="AZ343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59" i="30"/>
  <c r="AZ360" i="30"/>
  <c r="AZ361" i="30"/>
  <c r="AZ362" i="30"/>
  <c r="AZ363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242" i="30"/>
  <c r="AZ55" i="30"/>
  <c r="AZ56" i="30"/>
  <c r="AZ57" i="30"/>
  <c r="AZ58" i="30"/>
  <c r="AZ59" i="30"/>
  <c r="AZ60" i="30"/>
  <c r="AZ61" i="30"/>
  <c r="AZ62" i="30"/>
  <c r="AZ63" i="30"/>
  <c r="AZ64" i="30"/>
  <c r="AZ65" i="30"/>
  <c r="AZ66" i="30"/>
  <c r="AZ67" i="30"/>
  <c r="AZ68" i="30"/>
  <c r="AZ69" i="30"/>
  <c r="AZ70" i="30"/>
  <c r="AZ71" i="30"/>
  <c r="AZ72" i="30"/>
  <c r="AZ73" i="30"/>
  <c r="AZ74" i="30"/>
  <c r="AZ75" i="30"/>
  <c r="AZ76" i="30"/>
  <c r="AZ77" i="30"/>
  <c r="AZ78" i="30"/>
  <c r="AZ79" i="30"/>
  <c r="AZ80" i="30"/>
  <c r="AZ81" i="30"/>
  <c r="AZ82" i="30"/>
  <c r="AZ83" i="30"/>
  <c r="AZ84" i="30"/>
  <c r="AZ85" i="30"/>
  <c r="AZ86" i="30"/>
  <c r="AZ87" i="30"/>
  <c r="AZ88" i="30"/>
  <c r="AZ89" i="30"/>
  <c r="AZ90" i="30"/>
  <c r="AZ91" i="30"/>
  <c r="AZ92" i="30"/>
  <c r="AZ93" i="30"/>
  <c r="AZ94" i="30"/>
  <c r="AZ95" i="30"/>
  <c r="AZ96" i="30"/>
  <c r="AZ97" i="30"/>
  <c r="AZ98" i="30"/>
  <c r="AZ99" i="30"/>
  <c r="AZ100" i="30"/>
  <c r="AZ101" i="30"/>
  <c r="AZ102" i="30"/>
  <c r="AZ103" i="30"/>
  <c r="AZ104" i="30"/>
  <c r="AZ105" i="30"/>
  <c r="AZ106" i="30"/>
  <c r="AZ107" i="30"/>
  <c r="AZ108" i="30"/>
  <c r="AZ109" i="30"/>
  <c r="AZ110" i="30"/>
  <c r="AZ111" i="30"/>
  <c r="AZ112" i="30"/>
  <c r="AZ113" i="30"/>
  <c r="AZ114" i="30"/>
  <c r="AZ115" i="30"/>
  <c r="AZ116" i="30"/>
  <c r="AZ117" i="30"/>
  <c r="AZ118" i="30"/>
  <c r="AZ119" i="30"/>
  <c r="AZ120" i="30"/>
  <c r="AZ121" i="30"/>
  <c r="AZ122" i="30"/>
  <c r="AZ123" i="30"/>
  <c r="AZ124" i="30"/>
  <c r="AZ125" i="30"/>
  <c r="AZ126" i="30"/>
  <c r="AZ127" i="30"/>
  <c r="AZ128" i="30"/>
  <c r="AZ129" i="30"/>
  <c r="AZ130" i="30"/>
  <c r="AZ131" i="30"/>
  <c r="AZ132" i="30"/>
  <c r="AZ133" i="30"/>
  <c r="AZ134" i="30"/>
  <c r="AZ135" i="30"/>
  <c r="AZ136" i="30"/>
  <c r="AZ137" i="30"/>
  <c r="AZ138" i="30"/>
  <c r="AZ139" i="30"/>
  <c r="AZ140" i="30"/>
  <c r="AZ141" i="30"/>
  <c r="AZ142" i="30"/>
  <c r="AZ143" i="30"/>
  <c r="AZ144" i="30"/>
  <c r="AZ145" i="30"/>
  <c r="AZ146" i="30"/>
  <c r="AZ147" i="30"/>
  <c r="AZ148" i="30"/>
  <c r="AZ149" i="30"/>
  <c r="AZ150" i="30"/>
  <c r="AZ151" i="30"/>
  <c r="AZ152" i="30"/>
  <c r="AZ153" i="30"/>
  <c r="AZ154" i="30"/>
  <c r="AZ155" i="30"/>
  <c r="AZ156" i="30"/>
  <c r="AZ157" i="30"/>
  <c r="AZ158" i="30"/>
  <c r="AZ159" i="30"/>
  <c r="AZ160" i="30"/>
  <c r="AZ161" i="30"/>
  <c r="AZ162" i="30"/>
  <c r="AZ163" i="30"/>
  <c r="AZ164" i="30"/>
  <c r="AZ165" i="30"/>
  <c r="AZ166" i="30"/>
  <c r="AZ167" i="30"/>
  <c r="AZ54" i="30"/>
  <c r="AZ51" i="30"/>
  <c r="AZ38" i="30"/>
  <c r="AZ39" i="30"/>
  <c r="AZ40" i="30"/>
  <c r="AZ41" i="30"/>
  <c r="AZ42" i="30"/>
  <c r="AZ43" i="30"/>
  <c r="AZ44" i="30"/>
  <c r="AZ45" i="30"/>
  <c r="AZ46" i="30"/>
  <c r="AZ47" i="30"/>
  <c r="AZ48" i="30"/>
  <c r="AZ49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" i="30"/>
  <c r="AZ4" i="30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" i="30"/>
  <c r="AY1" i="30"/>
  <c r="AJ33" i="4" l="1"/>
  <c r="BD1" i="9" l="1"/>
  <c r="BC1" i="18" l="1"/>
  <c r="BE1" i="35"/>
  <c r="BE1" i="34"/>
  <c r="R307" i="30" l="1"/>
  <c r="M1" i="30"/>
  <c r="BC1" i="9" l="1"/>
  <c r="BB1" i="9"/>
  <c r="X1" i="18" l="1"/>
  <c r="Z1" i="34"/>
  <c r="AA1" i="9"/>
  <c r="Z1" i="35"/>
  <c r="AC1" i="35" l="1"/>
  <c r="AB1" i="35"/>
  <c r="AB1" i="34"/>
  <c r="AC1" i="34"/>
  <c r="Z1" i="18"/>
  <c r="AA1" i="18"/>
  <c r="AD1" i="34" l="1"/>
  <c r="AB1" i="18"/>
  <c r="AD1" i="35"/>
  <c r="AH1" i="4" l="1"/>
  <c r="AI1" i="4"/>
  <c r="I1" i="29" l="1"/>
  <c r="Q1" i="29" s="1"/>
  <c r="Y1" i="29" s="1"/>
  <c r="AG1" i="29" s="1"/>
  <c r="AO1" i="29" s="1"/>
  <c r="AW1" i="29" s="1"/>
  <c r="BE1" i="29" s="1"/>
  <c r="BM1" i="29" s="1"/>
  <c r="BU1" i="29" s="1"/>
  <c r="J1" i="21"/>
  <c r="A1" i="21"/>
  <c r="N1" i="20"/>
  <c r="R1" i="20" s="1"/>
  <c r="V1" i="20" s="1"/>
  <c r="Z1" i="20" s="1"/>
  <c r="AD1" i="20" s="1"/>
  <c r="I1" i="20"/>
  <c r="M1" i="20" s="1"/>
  <c r="Q1" i="20" s="1"/>
  <c r="U1" i="20" s="1"/>
  <c r="Y1" i="20" s="1"/>
  <c r="AC1" i="20" s="1"/>
  <c r="H1" i="20"/>
  <c r="P363" i="30" s="1"/>
  <c r="P378" i="30" s="1"/>
  <c r="A67" i="37"/>
  <c r="A68" i="37"/>
  <c r="A69" i="37"/>
  <c r="A70" i="37"/>
  <c r="A71" i="37"/>
  <c r="A72" i="37"/>
  <c r="A73" i="37"/>
  <c r="A74" i="37"/>
  <c r="A75" i="37"/>
  <c r="A66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56" i="37"/>
  <c r="A57" i="37"/>
  <c r="A58" i="37"/>
  <c r="A59" i="37"/>
  <c r="A60" i="37"/>
  <c r="A61" i="37"/>
  <c r="A62" i="37"/>
  <c r="A63" i="37"/>
  <c r="A64" i="37"/>
  <c r="A65" i="37"/>
  <c r="A42" i="37"/>
  <c r="A3" i="37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31" i="37"/>
  <c r="A32" i="37"/>
  <c r="A33" i="37"/>
  <c r="A34" i="37"/>
  <c r="A35" i="37"/>
  <c r="A36" i="37"/>
  <c r="A37" i="37"/>
  <c r="A38" i="37"/>
  <c r="A39" i="37"/>
  <c r="A40" i="37"/>
  <c r="A41" i="37"/>
  <c r="A2" i="37"/>
  <c r="A1" i="37"/>
  <c r="BB1" i="18"/>
  <c r="BA1" i="18"/>
  <c r="BD1" i="35"/>
  <c r="BC1" i="35"/>
  <c r="A1" i="23" l="1"/>
  <c r="K1" i="23" s="1"/>
  <c r="L1" i="26"/>
  <c r="U1" i="21"/>
  <c r="A1" i="22"/>
  <c r="K1" i="21"/>
  <c r="BD1" i="34"/>
  <c r="BC1" i="34"/>
  <c r="U1" i="23" l="1"/>
  <c r="X1" i="26"/>
  <c r="AJ1" i="26"/>
  <c r="U1" i="22"/>
  <c r="K1" i="22"/>
  <c r="Z160" i="30"/>
  <c r="AL1" i="30"/>
  <c r="AP1" i="9" l="1"/>
  <c r="P307" i="30"/>
  <c r="O377" i="30" l="1"/>
  <c r="AO1" i="18"/>
  <c r="AQ1" i="35"/>
  <c r="AQ1" i="34"/>
  <c r="U307" i="30"/>
  <c r="T307" i="30"/>
  <c r="S307" i="30"/>
  <c r="V86" i="30" l="1"/>
  <c r="U86" i="30"/>
  <c r="O86" i="30"/>
  <c r="D1" i="9" l="1"/>
  <c r="AE1" i="9"/>
  <c r="AD1" i="9"/>
  <c r="AD13" i="9" s="1"/>
  <c r="C1" i="9"/>
  <c r="B1" i="9"/>
  <c r="C1" i="34" s="1"/>
  <c r="A1" i="9"/>
  <c r="AK1" i="4"/>
  <c r="AJ12" i="4"/>
  <c r="AJ9" i="4"/>
  <c r="AJ7" i="4"/>
  <c r="AJ4" i="4"/>
  <c r="AJ1" i="4"/>
  <c r="A1" i="34" l="1"/>
  <c r="B1" i="34"/>
  <c r="D1" i="35"/>
  <c r="B1" i="18"/>
  <c r="AE1" i="35"/>
  <c r="AE12" i="35" s="1"/>
  <c r="AC1" i="18"/>
  <c r="AC12" i="18" s="1"/>
  <c r="AE1" i="34"/>
  <c r="AE14" i="34" s="1"/>
  <c r="E1" i="34"/>
  <c r="E1" i="35"/>
  <c r="C1" i="18"/>
  <c r="A1" i="35"/>
  <c r="A1" i="18"/>
  <c r="AF1" i="35"/>
  <c r="AF1" i="34"/>
  <c r="AD1" i="18"/>
  <c r="C1" i="35"/>
  <c r="B1" i="35"/>
  <c r="D1" i="34"/>
  <c r="AJ21" i="4"/>
  <c r="AJ27" i="4"/>
  <c r="AJ24" i="4"/>
  <c r="A1" i="33"/>
  <c r="AH97" i="30"/>
  <c r="AH242" i="30" s="1"/>
  <c r="AG97" i="30"/>
  <c r="AG242" i="30" s="1"/>
  <c r="AA97" i="30"/>
  <c r="AA242" i="30" s="1"/>
  <c r="O27" i="30"/>
  <c r="O26" i="30"/>
  <c r="O25" i="30"/>
  <c r="Q411" i="30" l="1"/>
  <c r="U411" i="30"/>
  <c r="P411" i="30"/>
  <c r="T411" i="30"/>
  <c r="R411" i="30"/>
  <c r="V411" i="30"/>
  <c r="Q111" i="30"/>
  <c r="V111" i="30" s="1"/>
  <c r="P111" i="30"/>
  <c r="T111" i="30" s="1"/>
  <c r="R111" i="30"/>
  <c r="X111" i="30" s="1"/>
  <c r="O303" i="30"/>
  <c r="O331" i="30"/>
  <c r="O359" i="30"/>
  <c r="O305" i="30"/>
  <c r="O361" i="30"/>
  <c r="O333" i="30"/>
  <c r="O304" i="30"/>
  <c r="O360" i="30"/>
  <c r="O332" i="30"/>
  <c r="AA52" i="30"/>
  <c r="AA51" i="30"/>
  <c r="AA50" i="30"/>
  <c r="AA49" i="30"/>
  <c r="AL70" i="30" l="1"/>
  <c r="AL69" i="30"/>
  <c r="AL71" i="30"/>
  <c r="AL72" i="30"/>
  <c r="AL74" i="30"/>
  <c r="AL77" i="30"/>
  <c r="AL78" i="30"/>
  <c r="AL79" i="30"/>
  <c r="AL81" i="30"/>
  <c r="AL80" i="30"/>
  <c r="AL82" i="30"/>
  <c r="AL76" i="30"/>
  <c r="AL75" i="30"/>
  <c r="AL73" i="30"/>
  <c r="AL68" i="30"/>
  <c r="AL67" i="30"/>
  <c r="AL63" i="30"/>
  <c r="AL59" i="30"/>
  <c r="AL55" i="30"/>
  <c r="AE38" i="20" l="1"/>
  <c r="AA38" i="20"/>
  <c r="W38" i="20"/>
  <c r="AL46" i="30"/>
  <c r="AL45" i="30"/>
  <c r="AL44" i="30"/>
  <c r="N1" i="30"/>
  <c r="AG49" i="30" s="1"/>
  <c r="O362" i="30"/>
  <c r="AG50" i="30" s="1"/>
  <c r="AL42" i="30" l="1"/>
  <c r="AL43" i="30"/>
  <c r="AA48" i="30"/>
  <c r="AA47" i="30"/>
  <c r="AL41" i="30"/>
  <c r="O55" i="30"/>
  <c r="O54" i="30"/>
  <c r="O53" i="30"/>
  <c r="O56" i="30"/>
  <c r="Z1" i="30"/>
  <c r="O1" i="30"/>
  <c r="Q307" i="30"/>
  <c r="L1" i="30"/>
  <c r="O111" i="30" s="1"/>
  <c r="O363" i="30" l="1"/>
  <c r="O378" i="30" s="1"/>
  <c r="O393" i="30"/>
  <c r="Z335" i="30"/>
  <c r="Z279" i="30"/>
  <c r="O1" i="20"/>
  <c r="S1" i="20" s="1"/>
  <c r="W1" i="20" s="1"/>
  <c r="AA1" i="20" s="1"/>
  <c r="AE1" i="20" s="1"/>
  <c r="O245" i="30" l="1"/>
  <c r="O244" i="30"/>
  <c r="O243" i="30"/>
  <c r="Z249" i="30" l="1"/>
  <c r="Z248" i="30"/>
  <c r="Z247" i="30"/>
  <c r="Z246" i="30"/>
  <c r="Z242" i="30"/>
  <c r="Z167" i="30"/>
  <c r="Z166" i="30"/>
  <c r="Z165" i="30"/>
  <c r="Z164" i="30"/>
  <c r="Z163" i="30"/>
  <c r="Z162" i="30"/>
  <c r="Z161" i="30"/>
  <c r="P160" i="30" l="1"/>
  <c r="Q160" i="30"/>
  <c r="R160" i="30"/>
  <c r="S160" i="30"/>
  <c r="T160" i="30"/>
  <c r="U160" i="30"/>
  <c r="V160" i="30"/>
  <c r="W160" i="30"/>
  <c r="X160" i="30"/>
  <c r="Y160" i="30"/>
  <c r="P161" i="30"/>
  <c r="Q161" i="30"/>
  <c r="R161" i="30"/>
  <c r="S161" i="30"/>
  <c r="T161" i="30"/>
  <c r="U161" i="30"/>
  <c r="V161" i="30"/>
  <c r="W161" i="30"/>
  <c r="X161" i="30"/>
  <c r="Y161" i="30"/>
  <c r="P162" i="30"/>
  <c r="Q162" i="30"/>
  <c r="R162" i="30"/>
  <c r="S162" i="30"/>
  <c r="T162" i="30"/>
  <c r="U162" i="30"/>
  <c r="V162" i="30"/>
  <c r="W162" i="30"/>
  <c r="X162" i="30"/>
  <c r="Y162" i="30"/>
  <c r="P163" i="30"/>
  <c r="Q163" i="30"/>
  <c r="R163" i="30"/>
  <c r="S163" i="30"/>
  <c r="T163" i="30"/>
  <c r="U163" i="30"/>
  <c r="V163" i="30"/>
  <c r="W163" i="30"/>
  <c r="X163" i="30"/>
  <c r="Y163" i="30"/>
  <c r="P164" i="30"/>
  <c r="Q164" i="30"/>
  <c r="R164" i="30"/>
  <c r="S164" i="30"/>
  <c r="T164" i="30"/>
  <c r="U164" i="30"/>
  <c r="V164" i="30"/>
  <c r="W164" i="30"/>
  <c r="X164" i="30"/>
  <c r="Y164" i="30"/>
  <c r="P165" i="30"/>
  <c r="Q165" i="30"/>
  <c r="R165" i="30"/>
  <c r="S165" i="30"/>
  <c r="T165" i="30"/>
  <c r="U165" i="30"/>
  <c r="V165" i="30"/>
  <c r="W165" i="30"/>
  <c r="X165" i="30"/>
  <c r="Y165" i="30"/>
  <c r="P166" i="30"/>
  <c r="Q166" i="30"/>
  <c r="R166" i="30"/>
  <c r="S166" i="30"/>
  <c r="T166" i="30"/>
  <c r="U166" i="30"/>
  <c r="V166" i="30"/>
  <c r="W166" i="30"/>
  <c r="X166" i="30"/>
  <c r="Y166" i="30"/>
  <c r="P167" i="30"/>
  <c r="Q167" i="30"/>
  <c r="R167" i="30"/>
  <c r="S167" i="30"/>
  <c r="T167" i="30"/>
  <c r="U167" i="30"/>
  <c r="V167" i="30"/>
  <c r="W167" i="30"/>
  <c r="X167" i="30"/>
  <c r="Y167" i="30"/>
  <c r="P242" i="30"/>
  <c r="Q242" i="30"/>
  <c r="R242" i="30"/>
  <c r="S242" i="30"/>
  <c r="T242" i="30"/>
  <c r="U242" i="30"/>
  <c r="V242" i="30"/>
  <c r="W242" i="30"/>
  <c r="X242" i="30"/>
  <c r="Y242" i="30"/>
  <c r="P246" i="30"/>
  <c r="Q246" i="30"/>
  <c r="R246" i="30"/>
  <c r="S246" i="30"/>
  <c r="T246" i="30"/>
  <c r="U246" i="30"/>
  <c r="V246" i="30"/>
  <c r="W246" i="30"/>
  <c r="X246" i="30"/>
  <c r="Y246" i="30"/>
  <c r="P247" i="30"/>
  <c r="Q247" i="30"/>
  <c r="R247" i="30"/>
  <c r="S247" i="30"/>
  <c r="T247" i="30"/>
  <c r="U247" i="30"/>
  <c r="V247" i="30"/>
  <c r="W247" i="30"/>
  <c r="X247" i="30"/>
  <c r="Y247" i="30"/>
  <c r="P248" i="30"/>
  <c r="Q248" i="30"/>
  <c r="R248" i="30"/>
  <c r="S248" i="30"/>
  <c r="T248" i="30"/>
  <c r="U248" i="30"/>
  <c r="V248" i="30"/>
  <c r="W248" i="30"/>
  <c r="X248" i="30"/>
  <c r="Y248" i="30"/>
  <c r="P249" i="30"/>
  <c r="Q249" i="30"/>
  <c r="R249" i="30"/>
  <c r="S249" i="30"/>
  <c r="T249" i="30"/>
  <c r="U249" i="30"/>
  <c r="V249" i="30"/>
  <c r="W249" i="30"/>
  <c r="X249" i="30"/>
  <c r="Y249" i="30"/>
  <c r="O249" i="30"/>
  <c r="O248" i="30"/>
  <c r="O247" i="30"/>
  <c r="O246" i="30"/>
  <c r="O242" i="30"/>
  <c r="O167" i="30"/>
  <c r="O166" i="30"/>
  <c r="O165" i="30"/>
  <c r="O164" i="30"/>
  <c r="O163" i="30"/>
  <c r="O162" i="30"/>
  <c r="O161" i="30"/>
  <c r="O160" i="30"/>
  <c r="Q330" i="30" l="1"/>
  <c r="Q319" i="30"/>
  <c r="AK24" i="30"/>
  <c r="AK13" i="30"/>
  <c r="AK27" i="30"/>
  <c r="AK26" i="30"/>
  <c r="BK422" i="29" l="1"/>
  <c r="AE424" i="29"/>
  <c r="O425" i="29"/>
  <c r="AU165" i="29" l="1"/>
  <c r="AS428" i="30"/>
  <c r="AM428" i="29"/>
  <c r="BJ428" i="30" s="1"/>
  <c r="BX427" i="29"/>
  <c r="K427" i="30" s="1"/>
  <c r="CA427" i="29"/>
  <c r="L427" i="29"/>
  <c r="C427" i="30" s="1"/>
  <c r="O427" i="29"/>
  <c r="BG427" i="30" s="1"/>
  <c r="AZ426" i="29"/>
  <c r="H426" i="30" s="1"/>
  <c r="BC426" i="29"/>
  <c r="AR425" i="30"/>
  <c r="AE425" i="29"/>
  <c r="BI425" i="30" s="1"/>
  <c r="AW424" i="30"/>
  <c r="BS424" i="29"/>
  <c r="AT423" i="30"/>
  <c r="AU423" i="29"/>
  <c r="BK423" i="30" s="1"/>
  <c r="AQ422" i="30"/>
  <c r="W422" i="29"/>
  <c r="BH422" i="30" s="1"/>
  <c r="AV421" i="30"/>
  <c r="BK421" i="29"/>
  <c r="BM421" i="30" s="1"/>
  <c r="AJ430" i="29"/>
  <c r="F430" i="30" s="1"/>
  <c r="AM430" i="29"/>
  <c r="AU167" i="29"/>
  <c r="CA163" i="29"/>
  <c r="BK167" i="29"/>
  <c r="AM166" i="29"/>
  <c r="BX165" i="29"/>
  <c r="K165" i="30" s="1"/>
  <c r="CA165" i="29"/>
  <c r="O165" i="29"/>
  <c r="AZ164" i="29"/>
  <c r="H164" i="30" s="1"/>
  <c r="BC164" i="29"/>
  <c r="BL164" i="30" s="1"/>
  <c r="AE163" i="29"/>
  <c r="BP162" i="29"/>
  <c r="BS162" i="29"/>
  <c r="BN162" i="30" s="1"/>
  <c r="AU161" i="29"/>
  <c r="BK161" i="30" s="1"/>
  <c r="T160" i="29"/>
  <c r="W160" i="29"/>
  <c r="BH160" i="30" s="1"/>
  <c r="BK429" i="29"/>
  <c r="W167" i="29"/>
  <c r="BK166" i="29"/>
  <c r="BM166" i="30" s="1"/>
  <c r="AJ165" i="29"/>
  <c r="F165" i="30" s="1"/>
  <c r="AM165" i="29"/>
  <c r="BJ165" i="30" s="1"/>
  <c r="CA164" i="29"/>
  <c r="O164" i="29"/>
  <c r="AZ163" i="29"/>
  <c r="H163" i="30" s="1"/>
  <c r="BC163" i="29"/>
  <c r="BL163" i="30" s="1"/>
  <c r="AE162" i="29"/>
  <c r="BP161" i="29"/>
  <c r="BS161" i="29"/>
  <c r="AU160" i="29"/>
  <c r="T429" i="29"/>
  <c r="D429" i="30" s="1"/>
  <c r="W429" i="29"/>
  <c r="BH429" i="30" s="1"/>
  <c r="BH428" i="29"/>
  <c r="I428" i="30" s="1"/>
  <c r="BK428" i="29"/>
  <c r="BM428" i="30" s="1"/>
  <c r="AJ427" i="29"/>
  <c r="F427" i="30" s="1"/>
  <c r="AM427" i="29"/>
  <c r="BX426" i="29"/>
  <c r="K426" i="30" s="1"/>
  <c r="CA426" i="29"/>
  <c r="AP426" i="30"/>
  <c r="O426" i="29"/>
  <c r="BG426" i="30" s="1"/>
  <c r="AU425" i="30"/>
  <c r="BC425" i="29"/>
  <c r="BL425" i="30" s="1"/>
  <c r="AW423" i="30"/>
  <c r="BS423" i="29"/>
  <c r="AT422" i="30"/>
  <c r="AU422" i="29"/>
  <c r="BK422" i="30" s="1"/>
  <c r="T421" i="29"/>
  <c r="D421" i="30" s="1"/>
  <c r="W421" i="29"/>
  <c r="BH421" i="30" s="1"/>
  <c r="BH430" i="29"/>
  <c r="I430" i="30" s="1"/>
  <c r="BK430" i="29"/>
  <c r="BM430" i="30" s="1"/>
  <c r="AX425" i="30"/>
  <c r="CA425" i="29"/>
  <c r="T166" i="29"/>
  <c r="D166" i="30" s="1"/>
  <c r="W166" i="29"/>
  <c r="BK165" i="29"/>
  <c r="BM165" i="30" s="1"/>
  <c r="AJ164" i="29"/>
  <c r="F164" i="30" s="1"/>
  <c r="AM164" i="29"/>
  <c r="BJ164" i="30" s="1"/>
  <c r="O163" i="29"/>
  <c r="AZ162" i="29"/>
  <c r="H162" i="30" s="1"/>
  <c r="BC162" i="29"/>
  <c r="AE161" i="29"/>
  <c r="BI161" i="30" s="1"/>
  <c r="BP160" i="29"/>
  <c r="BS160" i="29"/>
  <c r="BN160" i="30" s="1"/>
  <c r="AR429" i="29"/>
  <c r="G429" i="30" s="1"/>
  <c r="AU429" i="29"/>
  <c r="T428" i="29"/>
  <c r="D428" i="30" s="1"/>
  <c r="W428" i="29"/>
  <c r="BH427" i="29"/>
  <c r="I427" i="30" s="1"/>
  <c r="BK427" i="29"/>
  <c r="BM427" i="30" s="1"/>
  <c r="AJ426" i="29"/>
  <c r="F426" i="30" s="1"/>
  <c r="AM426" i="29"/>
  <c r="BJ426" i="30" s="1"/>
  <c r="AU424" i="30"/>
  <c r="BC424" i="29"/>
  <c r="BL424" i="30" s="1"/>
  <c r="AR423" i="30"/>
  <c r="AE423" i="29"/>
  <c r="AW422" i="30"/>
  <c r="BS422" i="29"/>
  <c r="BN422" i="30" s="1"/>
  <c r="AT421" i="30"/>
  <c r="AU421" i="29"/>
  <c r="BK421" i="30" s="1"/>
  <c r="T430" i="29"/>
  <c r="D430" i="30" s="1"/>
  <c r="W430" i="29"/>
  <c r="BH430" i="30" s="1"/>
  <c r="BS167" i="29"/>
  <c r="AU166" i="29"/>
  <c r="BK166" i="30" s="1"/>
  <c r="T165" i="29"/>
  <c r="D165" i="30" s="1"/>
  <c r="W165" i="29"/>
  <c r="BH165" i="30" s="1"/>
  <c r="BK164" i="29"/>
  <c r="AM163" i="29"/>
  <c r="BX162" i="29"/>
  <c r="K162" i="30" s="1"/>
  <c r="CA162" i="29"/>
  <c r="BO162" i="30" s="1"/>
  <c r="L162" i="29"/>
  <c r="C162" i="30" s="1"/>
  <c r="O162" i="29"/>
  <c r="BG162" i="30" s="1"/>
  <c r="AZ161" i="29"/>
  <c r="H161" i="30" s="1"/>
  <c r="BC161" i="29"/>
  <c r="AB160" i="29"/>
  <c r="AE160" i="29"/>
  <c r="BP429" i="29"/>
  <c r="BS429" i="29"/>
  <c r="BN429" i="30" s="1"/>
  <c r="AR428" i="29"/>
  <c r="G428" i="30" s="1"/>
  <c r="AU428" i="29"/>
  <c r="BK428" i="30" s="1"/>
  <c r="T427" i="29"/>
  <c r="D427" i="30" s="1"/>
  <c r="W427" i="29"/>
  <c r="BH427" i="30" s="1"/>
  <c r="BH426" i="29"/>
  <c r="I426" i="30" s="1"/>
  <c r="BK426" i="29"/>
  <c r="AS425" i="30"/>
  <c r="AM425" i="29"/>
  <c r="BJ425" i="30" s="1"/>
  <c r="AX424" i="30"/>
  <c r="CA424" i="29"/>
  <c r="BO424" i="30" s="1"/>
  <c r="AP424" i="30"/>
  <c r="O424" i="29"/>
  <c r="BG424" i="30" s="1"/>
  <c r="AU423" i="30"/>
  <c r="BC423" i="29"/>
  <c r="AR422" i="30"/>
  <c r="AE422" i="29"/>
  <c r="BI422" i="30" s="1"/>
  <c r="AW421" i="30"/>
  <c r="BS421" i="29"/>
  <c r="BN421" i="30" s="1"/>
  <c r="AR430" i="29"/>
  <c r="G430" i="30" s="1"/>
  <c r="AU430" i="29"/>
  <c r="AM162" i="29"/>
  <c r="BX161" i="29"/>
  <c r="K161" i="30" s="1"/>
  <c r="CA161" i="29"/>
  <c r="BO161" i="30" s="1"/>
  <c r="L161" i="29"/>
  <c r="C161" i="30" s="1"/>
  <c r="O161" i="29"/>
  <c r="BG161" i="30" s="1"/>
  <c r="AB429" i="29"/>
  <c r="AE429" i="29"/>
  <c r="BP428" i="29"/>
  <c r="BS428" i="29"/>
  <c r="AR427" i="29"/>
  <c r="G427" i="30" s="1"/>
  <c r="AU427" i="29"/>
  <c r="BK427" i="30" s="1"/>
  <c r="T426" i="29"/>
  <c r="D426" i="30" s="1"/>
  <c r="W426" i="29"/>
  <c r="BH426" i="30" s="1"/>
  <c r="AV425" i="30"/>
  <c r="BK425" i="29"/>
  <c r="AS424" i="30"/>
  <c r="AM424" i="29"/>
  <c r="BJ424" i="30" s="1"/>
  <c r="AX423" i="30"/>
  <c r="CA423" i="29"/>
  <c r="BO423" i="30" s="1"/>
  <c r="AP423" i="30"/>
  <c r="O423" i="29"/>
  <c r="BG423" i="30" s="1"/>
  <c r="AU422" i="30"/>
  <c r="BC422" i="29"/>
  <c r="AB421" i="29"/>
  <c r="AE421" i="29"/>
  <c r="BP430" i="29"/>
  <c r="BS430" i="29"/>
  <c r="BN430" i="30" s="1"/>
  <c r="AJ161" i="29"/>
  <c r="F161" i="30" s="1"/>
  <c r="AM161" i="29"/>
  <c r="BJ161" i="30" s="1"/>
  <c r="AR426" i="29"/>
  <c r="G426" i="30" s="1"/>
  <c r="AU426" i="29"/>
  <c r="AQ425" i="30"/>
  <c r="W425" i="29"/>
  <c r="AX422" i="30"/>
  <c r="CA422" i="29"/>
  <c r="BO422" i="30" s="1"/>
  <c r="AP422" i="30"/>
  <c r="O422" i="29"/>
  <c r="BG422" i="30" s="1"/>
  <c r="AU421" i="30"/>
  <c r="BC421" i="29"/>
  <c r="AB430" i="29"/>
  <c r="AE430" i="29"/>
  <c r="BP165" i="29"/>
  <c r="BS165" i="29"/>
  <c r="BN165" i="30" s="1"/>
  <c r="AR164" i="29"/>
  <c r="G164" i="30" s="1"/>
  <c r="AU164" i="29"/>
  <c r="BK164" i="30" s="1"/>
  <c r="W163" i="29"/>
  <c r="BH162" i="29"/>
  <c r="I162" i="30" s="1"/>
  <c r="BK162" i="29"/>
  <c r="BX160" i="29"/>
  <c r="CA160" i="29"/>
  <c r="BO160" i="30" s="1"/>
  <c r="L160" i="29"/>
  <c r="O160" i="29"/>
  <c r="BG160" i="30" s="1"/>
  <c r="AZ429" i="29"/>
  <c r="H429" i="30" s="1"/>
  <c r="BC429" i="29"/>
  <c r="AB428" i="29"/>
  <c r="AE428" i="29"/>
  <c r="BP427" i="29"/>
  <c r="BS427" i="29"/>
  <c r="BN427" i="30" s="1"/>
  <c r="AV424" i="30"/>
  <c r="BK424" i="29"/>
  <c r="BM424" i="30" s="1"/>
  <c r="AS423" i="30"/>
  <c r="AM423" i="29"/>
  <c r="CA167" i="29"/>
  <c r="O167" i="29"/>
  <c r="BG167" i="30" s="1"/>
  <c r="BC166" i="29"/>
  <c r="AB165" i="29"/>
  <c r="AE165" i="29"/>
  <c r="BS164" i="29"/>
  <c r="AU163" i="29"/>
  <c r="BK163" i="30" s="1"/>
  <c r="T162" i="29"/>
  <c r="D162" i="30" s="1"/>
  <c r="W162" i="29"/>
  <c r="BH162" i="30" s="1"/>
  <c r="BH161" i="29"/>
  <c r="I161" i="30" s="1"/>
  <c r="BK161" i="29"/>
  <c r="AJ160" i="29"/>
  <c r="AM160" i="29"/>
  <c r="CA429" i="29"/>
  <c r="BO429" i="30" s="1"/>
  <c r="O429" i="29"/>
  <c r="AZ428" i="29"/>
  <c r="H428" i="30" s="1"/>
  <c r="BC428" i="29"/>
  <c r="BL428" i="30" s="1"/>
  <c r="AB427" i="29"/>
  <c r="AE427" i="29"/>
  <c r="BP426" i="29"/>
  <c r="BS426" i="29"/>
  <c r="BN426" i="30" s="1"/>
  <c r="AT425" i="30"/>
  <c r="AU425" i="29"/>
  <c r="BK425" i="30" s="1"/>
  <c r="AQ424" i="30"/>
  <c r="W424" i="29"/>
  <c r="AV423" i="30"/>
  <c r="BK423" i="29"/>
  <c r="BM423" i="30" s="1"/>
  <c r="AS422" i="30"/>
  <c r="AM422" i="29"/>
  <c r="BJ422" i="30" s="1"/>
  <c r="AX421" i="30"/>
  <c r="CA421" i="29"/>
  <c r="BO421" i="30" s="1"/>
  <c r="L421" i="29"/>
  <c r="C421" i="30" s="1"/>
  <c r="O421" i="29"/>
  <c r="BG421" i="30" s="1"/>
  <c r="AZ430" i="29"/>
  <c r="H430" i="30" s="1"/>
  <c r="BC430" i="29"/>
  <c r="BL430" i="30" s="1"/>
  <c r="AE167" i="29"/>
  <c r="BI167" i="30" s="1"/>
  <c r="BS166" i="29"/>
  <c r="W164" i="29"/>
  <c r="BH163" i="29"/>
  <c r="I163" i="30" s="1"/>
  <c r="BK163" i="29"/>
  <c r="BM163" i="30" s="1"/>
  <c r="AZ160" i="29"/>
  <c r="BC160" i="29"/>
  <c r="BL160" i="30" s="1"/>
  <c r="BC167" i="29"/>
  <c r="AE166" i="29"/>
  <c r="AM167" i="29"/>
  <c r="CA166" i="29"/>
  <c r="BO166" i="30" s="1"/>
  <c r="L166" i="29"/>
  <c r="C166" i="30" s="1"/>
  <c r="O166" i="29"/>
  <c r="BG166" i="30" s="1"/>
  <c r="BC165" i="29"/>
  <c r="AB164" i="29"/>
  <c r="AE164" i="29"/>
  <c r="BP163" i="29"/>
  <c r="BS163" i="29"/>
  <c r="BN163" i="30" s="1"/>
  <c r="AU162" i="29"/>
  <c r="BK162" i="30" s="1"/>
  <c r="T161" i="29"/>
  <c r="D161" i="30" s="1"/>
  <c r="W161" i="29"/>
  <c r="BK160" i="29"/>
  <c r="AM429" i="29"/>
  <c r="BJ429" i="30" s="1"/>
  <c r="CA428" i="29"/>
  <c r="BO428" i="30" s="1"/>
  <c r="L428" i="29"/>
  <c r="C428" i="30" s="1"/>
  <c r="O428" i="29"/>
  <c r="AU427" i="30"/>
  <c r="BC427" i="29"/>
  <c r="AB426" i="29"/>
  <c r="AE426" i="29"/>
  <c r="BI426" i="30" s="1"/>
  <c r="AW425" i="30"/>
  <c r="BS425" i="29"/>
  <c r="BN425" i="30" s="1"/>
  <c r="AT424" i="30"/>
  <c r="AU424" i="29"/>
  <c r="AQ423" i="30"/>
  <c r="W423" i="29"/>
  <c r="AS421" i="30"/>
  <c r="AM421" i="29"/>
  <c r="BJ421" i="30" s="1"/>
  <c r="BX430" i="29"/>
  <c r="K430" i="30" s="1"/>
  <c r="CA430" i="29"/>
  <c r="BO430" i="30" s="1"/>
  <c r="L430" i="29"/>
  <c r="C430" i="30" s="1"/>
  <c r="O430" i="29"/>
  <c r="G167" i="29"/>
  <c r="D163" i="29"/>
  <c r="B163" i="30" s="1"/>
  <c r="N163" i="30" s="1"/>
  <c r="G163" i="29"/>
  <c r="BF163" i="30" s="1"/>
  <c r="D429" i="29"/>
  <c r="B429" i="30" s="1"/>
  <c r="N429" i="30" s="1"/>
  <c r="G429" i="29"/>
  <c r="BF429" i="30" s="1"/>
  <c r="AO425" i="30"/>
  <c r="G425" i="29"/>
  <c r="D421" i="29"/>
  <c r="B421" i="30" s="1"/>
  <c r="N421" i="30" s="1"/>
  <c r="G421" i="29"/>
  <c r="D166" i="29"/>
  <c r="B166" i="30" s="1"/>
  <c r="N166" i="30" s="1"/>
  <c r="G166" i="29"/>
  <c r="BF166" i="30" s="1"/>
  <c r="D162" i="29"/>
  <c r="B162" i="30" s="1"/>
  <c r="N162" i="30" s="1"/>
  <c r="G162" i="29"/>
  <c r="BF162" i="30" s="1"/>
  <c r="D428" i="29"/>
  <c r="B428" i="30" s="1"/>
  <c r="N428" i="30" s="1"/>
  <c r="G428" i="29"/>
  <c r="AO424" i="30"/>
  <c r="G424" i="29"/>
  <c r="D430" i="29"/>
  <c r="B430" i="30" s="1"/>
  <c r="N430" i="30" s="1"/>
  <c r="G430" i="29"/>
  <c r="BF430" i="30" s="1"/>
  <c r="D165" i="29"/>
  <c r="B165" i="30" s="1"/>
  <c r="N165" i="30" s="1"/>
  <c r="G165" i="29"/>
  <c r="BF165" i="30" s="1"/>
  <c r="G161" i="29"/>
  <c r="D427" i="29"/>
  <c r="B427" i="30" s="1"/>
  <c r="N427" i="30" s="1"/>
  <c r="G427" i="29"/>
  <c r="BF427" i="30" s="1"/>
  <c r="AO423" i="30"/>
  <c r="G423" i="29"/>
  <c r="BF423" i="30" s="1"/>
  <c r="G164" i="29"/>
  <c r="BF164" i="30" s="1"/>
  <c r="D160" i="29"/>
  <c r="G160" i="29"/>
  <c r="AO426" i="30"/>
  <c r="G426" i="29"/>
  <c r="BF426" i="30" s="1"/>
  <c r="AO422" i="30"/>
  <c r="G422" i="29"/>
  <c r="BF422" i="30" s="1"/>
  <c r="BD165" i="30"/>
  <c r="BD161" i="30"/>
  <c r="BD427" i="30"/>
  <c r="BD423" i="30"/>
  <c r="BD164" i="30"/>
  <c r="BD160" i="30"/>
  <c r="BD426" i="30"/>
  <c r="BD422" i="30"/>
  <c r="BD167" i="30"/>
  <c r="BD163" i="30"/>
  <c r="BD429" i="30"/>
  <c r="BD425" i="30"/>
  <c r="BD421" i="30"/>
  <c r="BD166" i="30"/>
  <c r="BD162" i="30"/>
  <c r="BD428" i="30"/>
  <c r="BD424" i="30"/>
  <c r="BD430" i="30"/>
  <c r="AW430" i="30"/>
  <c r="AU166" i="30"/>
  <c r="AO428" i="30"/>
  <c r="AS426" i="30"/>
  <c r="AO430" i="30"/>
  <c r="AQ427" i="30"/>
  <c r="AP430" i="30"/>
  <c r="AR421" i="30"/>
  <c r="AT428" i="30"/>
  <c r="AX426" i="30"/>
  <c r="AT430" i="30"/>
  <c r="AO429" i="30"/>
  <c r="AW429" i="30"/>
  <c r="AU426" i="30"/>
  <c r="AQ428" i="30"/>
  <c r="AQ430" i="30"/>
  <c r="AS427" i="30"/>
  <c r="AO421" i="30"/>
  <c r="AR427" i="30"/>
  <c r="AX430" i="30"/>
  <c r="AX428" i="30"/>
  <c r="AP428" i="30"/>
  <c r="AV430" i="30"/>
  <c r="AP160" i="30"/>
  <c r="AS430" i="30"/>
  <c r="AQ421" i="30"/>
  <c r="AV428" i="30"/>
  <c r="AR426" i="30"/>
  <c r="AP161" i="30"/>
  <c r="AT429" i="30"/>
  <c r="AX429" i="30"/>
  <c r="AV165" i="30"/>
  <c r="AW166" i="30"/>
  <c r="AO166" i="30"/>
  <c r="AU430" i="30"/>
  <c r="AQ165" i="30"/>
  <c r="AW161" i="30"/>
  <c r="AT161" i="30"/>
  <c r="AQ160" i="30"/>
  <c r="AR164" i="30"/>
  <c r="AQ164" i="30"/>
  <c r="AU167" i="30"/>
  <c r="AR163" i="30"/>
  <c r="AU162" i="30"/>
  <c r="AV167" i="30"/>
  <c r="AQ167" i="30"/>
  <c r="AU165" i="30"/>
  <c r="AS429" i="30"/>
  <c r="AP429" i="30"/>
  <c r="AW164" i="30"/>
  <c r="AT160" i="30"/>
  <c r="L429" i="29"/>
  <c r="C429" i="30" s="1"/>
  <c r="AP165" i="30"/>
  <c r="AS162" i="30"/>
  <c r="AO164" i="30"/>
  <c r="AW160" i="30"/>
  <c r="AQ163" i="30"/>
  <c r="AR167" i="30"/>
  <c r="AR428" i="30"/>
  <c r="T167" i="29"/>
  <c r="D167" i="30" s="1"/>
  <c r="AV429" i="30"/>
  <c r="AP167" i="30"/>
  <c r="AV426" i="30"/>
  <c r="AV161" i="30"/>
  <c r="AZ167" i="29"/>
  <c r="H167" i="30" s="1"/>
  <c r="AR160" i="29"/>
  <c r="AS161" i="30"/>
  <c r="AT427" i="30"/>
  <c r="AW427" i="30"/>
  <c r="AT167" i="30"/>
  <c r="BX167" i="29"/>
  <c r="K167" i="30" s="1"/>
  <c r="L165" i="29"/>
  <c r="C165" i="30" s="1"/>
  <c r="BH167" i="29"/>
  <c r="I167" i="30" s="1"/>
  <c r="AR162" i="30"/>
  <c r="AP163" i="30"/>
  <c r="AV164" i="30"/>
  <c r="AV160" i="30"/>
  <c r="AU428" i="30"/>
  <c r="BX166" i="29"/>
  <c r="K166" i="30" s="1"/>
  <c r="AB161" i="29"/>
  <c r="BH429" i="29"/>
  <c r="I429" i="30" s="1"/>
  <c r="D161" i="29"/>
  <c r="B161" i="30" s="1"/>
  <c r="AJ429" i="29"/>
  <c r="F429" i="30" s="1"/>
  <c r="AU160" i="30"/>
  <c r="AX167" i="30"/>
  <c r="AT162" i="30"/>
  <c r="AR161" i="30"/>
  <c r="AR160" i="30"/>
  <c r="AR429" i="30"/>
  <c r="AT165" i="30"/>
  <c r="AS166" i="30"/>
  <c r="AO165" i="30"/>
  <c r="AU163" i="30"/>
  <c r="AO161" i="30"/>
  <c r="AO427" i="30"/>
  <c r="L167" i="29"/>
  <c r="C167" i="30" s="1"/>
  <c r="BX428" i="29"/>
  <c r="K428" i="30" s="1"/>
  <c r="AX166" i="30"/>
  <c r="AX163" i="30"/>
  <c r="AR166" i="30"/>
  <c r="AX164" i="30"/>
  <c r="AT163" i="30"/>
  <c r="AX161" i="30"/>
  <c r="AX160" i="30"/>
  <c r="AV166" i="30"/>
  <c r="AO160" i="30"/>
  <c r="AX427" i="30"/>
  <c r="BH166" i="29"/>
  <c r="I166" i="30" s="1"/>
  <c r="AJ163" i="29"/>
  <c r="F163" i="30" s="1"/>
  <c r="L163" i="29"/>
  <c r="C163" i="30" s="1"/>
  <c r="AS167" i="30"/>
  <c r="AT166" i="30"/>
  <c r="AW162" i="30"/>
  <c r="AU161" i="30"/>
  <c r="AR167" i="29"/>
  <c r="G167" i="30" s="1"/>
  <c r="BP166" i="29"/>
  <c r="AR163" i="29"/>
  <c r="G163" i="30" s="1"/>
  <c r="AQ429" i="30"/>
  <c r="AT426" i="30"/>
  <c r="AB167" i="29"/>
  <c r="AB166" i="29"/>
  <c r="AS163" i="30"/>
  <c r="AR161" i="29"/>
  <c r="G161" i="30" s="1"/>
  <c r="BH160" i="29"/>
  <c r="BX429" i="29"/>
  <c r="K429" i="30" s="1"/>
  <c r="AS164" i="30"/>
  <c r="AP427" i="30"/>
  <c r="AQ426" i="30"/>
  <c r="AP421" i="30"/>
  <c r="AQ161" i="30"/>
  <c r="AW428" i="30"/>
  <c r="AJ166" i="29"/>
  <c r="F166" i="30" s="1"/>
  <c r="T164" i="29"/>
  <c r="D164" i="30" s="1"/>
  <c r="BX163" i="29"/>
  <c r="K163" i="30" s="1"/>
  <c r="AO162" i="30"/>
  <c r="AS160" i="30"/>
  <c r="AU429" i="30"/>
  <c r="AP164" i="30"/>
  <c r="AR430" i="30"/>
  <c r="AW167" i="30"/>
  <c r="AO167" i="30"/>
  <c r="BH164" i="29"/>
  <c r="I164" i="30" s="1"/>
  <c r="AV162" i="30"/>
  <c r="AV427" i="30"/>
  <c r="AX165" i="30"/>
  <c r="AW165" i="30"/>
  <c r="AW426" i="30"/>
  <c r="AR165" i="29"/>
  <c r="G165" i="30" s="1"/>
  <c r="AB162" i="29"/>
  <c r="BP167" i="29"/>
  <c r="AJ167" i="29"/>
  <c r="F167" i="30" s="1"/>
  <c r="D167" i="29"/>
  <c r="B167" i="30" s="1"/>
  <c r="AZ166" i="29"/>
  <c r="H166" i="30" s="1"/>
  <c r="BL426" i="30"/>
  <c r="AZ165" i="29"/>
  <c r="H165" i="30" s="1"/>
  <c r="BP164" i="29"/>
  <c r="D164" i="29"/>
  <c r="B164" i="30" s="1"/>
  <c r="T163" i="29"/>
  <c r="D163" i="30" s="1"/>
  <c r="AJ162" i="29"/>
  <c r="F162" i="30" s="1"/>
  <c r="AR166" i="29"/>
  <c r="G166" i="30" s="1"/>
  <c r="BH165" i="29"/>
  <c r="I165" i="30" s="1"/>
  <c r="BX164" i="29"/>
  <c r="K164" i="30" s="1"/>
  <c r="L164" i="29"/>
  <c r="C164" i="30" s="1"/>
  <c r="AB163" i="29"/>
  <c r="AR162" i="29"/>
  <c r="G162" i="30" s="1"/>
  <c r="AB424" i="29"/>
  <c r="BI424" i="30"/>
  <c r="BX425" i="29"/>
  <c r="K425" i="30" s="1"/>
  <c r="L425" i="29"/>
  <c r="C425" i="30" s="1"/>
  <c r="BG425" i="30"/>
  <c r="AR423" i="29"/>
  <c r="G423" i="30" s="1"/>
  <c r="BH422" i="29"/>
  <c r="I422" i="30" s="1"/>
  <c r="BM422" i="30"/>
  <c r="BX421" i="29"/>
  <c r="K421" i="30" s="1"/>
  <c r="AV422" i="30"/>
  <c r="AU164" i="30"/>
  <c r="AQ162" i="30"/>
  <c r="AZ427" i="29"/>
  <c r="H427" i="30" s="1"/>
  <c r="AP425" i="30"/>
  <c r="AS165" i="30"/>
  <c r="AO163" i="30"/>
  <c r="AR165" i="30"/>
  <c r="AV163" i="30"/>
  <c r="AP162" i="30"/>
  <c r="AJ428" i="29"/>
  <c r="F428" i="30" s="1"/>
  <c r="AR424" i="30"/>
  <c r="AQ166" i="30"/>
  <c r="AW163" i="30"/>
  <c r="AP166" i="30"/>
  <c r="AT164" i="30"/>
  <c r="AX162" i="30"/>
  <c r="AJ425" i="29"/>
  <c r="F425" i="30" s="1"/>
  <c r="AZ424" i="29"/>
  <c r="H424" i="30" s="1"/>
  <c r="BP423" i="29"/>
  <c r="D423" i="29"/>
  <c r="B423" i="30" s="1"/>
  <c r="T422" i="29"/>
  <c r="D422" i="30" s="1"/>
  <c r="AJ421" i="29"/>
  <c r="F421" i="30" s="1"/>
  <c r="BH425" i="29"/>
  <c r="I425" i="30" s="1"/>
  <c r="BX424" i="29"/>
  <c r="K424" i="30" s="1"/>
  <c r="L424" i="29"/>
  <c r="C424" i="30" s="1"/>
  <c r="AB423" i="29"/>
  <c r="AR422" i="29"/>
  <c r="G422" i="30" s="1"/>
  <c r="BH421" i="29"/>
  <c r="I421" i="30" s="1"/>
  <c r="D426" i="29"/>
  <c r="B426" i="30" s="1"/>
  <c r="N426" i="30" s="1"/>
  <c r="T425" i="29"/>
  <c r="D425" i="30" s="1"/>
  <c r="AJ424" i="29"/>
  <c r="F424" i="30" s="1"/>
  <c r="AZ423" i="29"/>
  <c r="H423" i="30" s="1"/>
  <c r="BP422" i="29"/>
  <c r="D422" i="29"/>
  <c r="B422" i="30" s="1"/>
  <c r="AR425" i="29"/>
  <c r="G425" i="30" s="1"/>
  <c r="BH424" i="29"/>
  <c r="I424" i="30" s="1"/>
  <c r="BX423" i="29"/>
  <c r="K423" i="30" s="1"/>
  <c r="L423" i="29"/>
  <c r="C423" i="30" s="1"/>
  <c r="AB422" i="29"/>
  <c r="AR421" i="29"/>
  <c r="G421" i="30" s="1"/>
  <c r="BP425" i="29"/>
  <c r="D425" i="29"/>
  <c r="B425" i="30" s="1"/>
  <c r="T424" i="29"/>
  <c r="D424" i="30" s="1"/>
  <c r="AJ423" i="29"/>
  <c r="F423" i="30" s="1"/>
  <c r="AZ422" i="29"/>
  <c r="H422" i="30" s="1"/>
  <c r="BP421" i="29"/>
  <c r="L426" i="29"/>
  <c r="C426" i="30" s="1"/>
  <c r="AB425" i="29"/>
  <c r="AR424" i="29"/>
  <c r="G424" i="30" s="1"/>
  <c r="BH423" i="29"/>
  <c r="I423" i="30" s="1"/>
  <c r="BX422" i="29"/>
  <c r="K422" i="30" s="1"/>
  <c r="L422" i="29"/>
  <c r="C422" i="30" s="1"/>
  <c r="AZ425" i="29"/>
  <c r="H425" i="30" s="1"/>
  <c r="BP424" i="29"/>
  <c r="D424" i="29"/>
  <c r="B424" i="30" s="1"/>
  <c r="T423" i="29"/>
  <c r="D423" i="30" s="1"/>
  <c r="AJ422" i="29"/>
  <c r="F422" i="30" s="1"/>
  <c r="AZ421" i="29"/>
  <c r="H421" i="30" s="1"/>
  <c r="E161" i="30" l="1"/>
  <c r="J428" i="30"/>
  <c r="J162" i="30"/>
  <c r="E422" i="30"/>
  <c r="E428" i="30"/>
  <c r="J161" i="30"/>
  <c r="J422" i="30"/>
  <c r="E167" i="30"/>
  <c r="E423" i="30"/>
  <c r="J423" i="30"/>
  <c r="E424" i="30"/>
  <c r="J167" i="30"/>
  <c r="E426" i="30"/>
  <c r="E429" i="30"/>
  <c r="E163" i="30"/>
  <c r="J164" i="30"/>
  <c r="E162" i="30"/>
  <c r="J166" i="30"/>
  <c r="J421" i="30"/>
  <c r="E427" i="30"/>
  <c r="E421" i="30"/>
  <c r="E425" i="30"/>
  <c r="J429" i="30"/>
  <c r="E164" i="30"/>
  <c r="J424" i="30"/>
  <c r="J425" i="30"/>
  <c r="J163" i="30"/>
  <c r="J426" i="30"/>
  <c r="E165" i="30"/>
  <c r="J165" i="30"/>
  <c r="J430" i="30"/>
  <c r="E430" i="30"/>
  <c r="E166" i="30"/>
  <c r="J427" i="30"/>
  <c r="BO427" i="30"/>
  <c r="BN423" i="30"/>
  <c r="BJ427" i="30"/>
  <c r="BK429" i="30"/>
  <c r="BI429" i="30"/>
  <c r="BL161" i="30"/>
  <c r="BO425" i="30"/>
  <c r="BG430" i="30"/>
  <c r="BK424" i="30"/>
  <c r="BL422" i="30"/>
  <c r="BL429" i="30"/>
  <c r="BM161" i="30"/>
  <c r="BL165" i="30"/>
  <c r="BI166" i="30"/>
  <c r="BH164" i="30"/>
  <c r="BH163" i="30"/>
  <c r="BM164" i="30"/>
  <c r="BG163" i="30"/>
  <c r="BO164" i="30"/>
  <c r="BM429" i="30"/>
  <c r="BI163" i="30"/>
  <c r="BJ166" i="30"/>
  <c r="BJ430" i="30"/>
  <c r="BN424" i="30"/>
  <c r="BN161" i="30"/>
  <c r="BK430" i="30"/>
  <c r="BJ423" i="30"/>
  <c r="BH161" i="30"/>
  <c r="BK426" i="30"/>
  <c r="BL421" i="30"/>
  <c r="BM425" i="30"/>
  <c r="BG428" i="30"/>
  <c r="BH424" i="30"/>
  <c r="BI165" i="30"/>
  <c r="BL423" i="30"/>
  <c r="BJ160" i="30"/>
  <c r="BL162" i="30"/>
  <c r="BI427" i="30"/>
  <c r="BF167" i="30"/>
  <c r="BM160" i="30"/>
  <c r="BJ167" i="30"/>
  <c r="BN164" i="30"/>
  <c r="BO167" i="30"/>
  <c r="BJ162" i="30"/>
  <c r="BJ163" i="30"/>
  <c r="BN167" i="30"/>
  <c r="BK160" i="30"/>
  <c r="BG164" i="30"/>
  <c r="BH167" i="30"/>
  <c r="BK167" i="30"/>
  <c r="BH423" i="30"/>
  <c r="BI430" i="30"/>
  <c r="BM426" i="30"/>
  <c r="BM162" i="30"/>
  <c r="BH425" i="30"/>
  <c r="BO426" i="30"/>
  <c r="BL167" i="30"/>
  <c r="BN166" i="30"/>
  <c r="BG429" i="30"/>
  <c r="BL166" i="30"/>
  <c r="BI162" i="30"/>
  <c r="BM167" i="30"/>
  <c r="BF421" i="30"/>
  <c r="BF424" i="30"/>
  <c r="BI423" i="30"/>
  <c r="BH166" i="30"/>
  <c r="BI421" i="30"/>
  <c r="BI428" i="30"/>
  <c r="BH428" i="30"/>
  <c r="BO165" i="30"/>
  <c r="BI160" i="30"/>
  <c r="BI164" i="30"/>
  <c r="BL427" i="30"/>
  <c r="BN428" i="30"/>
  <c r="BG165" i="30"/>
  <c r="BO163" i="30"/>
  <c r="BK165" i="30"/>
  <c r="BF161" i="30"/>
  <c r="BF160" i="30"/>
  <c r="BF425" i="30"/>
  <c r="BF428" i="30"/>
  <c r="N164" i="30"/>
  <c r="N161" i="30"/>
  <c r="N423" i="30"/>
  <c r="N424" i="30"/>
  <c r="N425" i="30"/>
  <c r="N422" i="30"/>
  <c r="N167" i="30"/>
  <c r="K31" i="20" l="1"/>
  <c r="K32" i="20"/>
  <c r="K33" i="20"/>
  <c r="K34" i="20"/>
  <c r="K39" i="20"/>
  <c r="K40" i="20"/>
  <c r="K41" i="20"/>
  <c r="K42" i="20"/>
  <c r="K43" i="20"/>
  <c r="K44" i="20"/>
  <c r="K63" i="20"/>
  <c r="K64" i="20"/>
  <c r="K65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2" i="20"/>
  <c r="W3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9" i="20"/>
  <c r="W40" i="20"/>
  <c r="W41" i="20"/>
  <c r="W42" i="20"/>
  <c r="W43" i="20"/>
  <c r="W44" i="20"/>
  <c r="W45" i="20"/>
  <c r="W46" i="20"/>
  <c r="W47" i="20"/>
  <c r="W48" i="20"/>
  <c r="W49" i="20"/>
  <c r="W50" i="20"/>
  <c r="W51" i="20"/>
  <c r="W52" i="20"/>
  <c r="W53" i="20"/>
  <c r="W54" i="20"/>
  <c r="W55" i="20"/>
  <c r="W56" i="20"/>
  <c r="W57" i="20"/>
  <c r="W58" i="20"/>
  <c r="W59" i="20"/>
  <c r="W60" i="20"/>
  <c r="W61" i="20"/>
  <c r="W62" i="20"/>
  <c r="W63" i="20"/>
  <c r="W64" i="20"/>
  <c r="W65" i="20"/>
  <c r="W66" i="20"/>
  <c r="W67" i="20"/>
  <c r="W68" i="20"/>
  <c r="W69" i="20"/>
  <c r="W70" i="20"/>
  <c r="W71" i="20"/>
  <c r="W72" i="20"/>
  <c r="W73" i="20"/>
  <c r="W74" i="20"/>
  <c r="W75" i="20"/>
  <c r="W76" i="20"/>
  <c r="W77" i="20"/>
  <c r="W78" i="20"/>
  <c r="W79" i="20"/>
  <c r="W80" i="20"/>
  <c r="W81" i="20"/>
  <c r="W82" i="20"/>
  <c r="W83" i="20"/>
  <c r="W84" i="20"/>
  <c r="W85" i="20"/>
  <c r="W86" i="20"/>
  <c r="W87" i="20"/>
  <c r="W88" i="20"/>
  <c r="W89" i="20"/>
  <c r="W90" i="20"/>
  <c r="W91" i="20"/>
  <c r="W92" i="20"/>
  <c r="W93" i="20"/>
  <c r="W94" i="20"/>
  <c r="W95" i="20"/>
  <c r="W96" i="20"/>
  <c r="W97" i="20"/>
  <c r="W98" i="20"/>
  <c r="W99" i="20"/>
  <c r="W100" i="20"/>
  <c r="W101" i="20"/>
  <c r="W2" i="20"/>
  <c r="S31" i="20"/>
  <c r="S32" i="20"/>
  <c r="S33" i="20"/>
  <c r="S34" i="20"/>
  <c r="S35" i="20"/>
  <c r="S39" i="20"/>
  <c r="S40" i="20"/>
  <c r="S41" i="20"/>
  <c r="S42" i="20"/>
  <c r="S43" i="20"/>
  <c r="S46" i="20"/>
  <c r="S63" i="20"/>
  <c r="S64" i="20"/>
  <c r="S65" i="20"/>
  <c r="S71" i="20"/>
  <c r="S72" i="20"/>
  <c r="S73" i="20"/>
  <c r="S74" i="20"/>
  <c r="S75" i="20"/>
  <c r="S76" i="20"/>
  <c r="S83" i="20"/>
  <c r="S84" i="20"/>
  <c r="S91" i="20"/>
  <c r="S92" i="20"/>
  <c r="S93" i="20"/>
  <c r="O31" i="20"/>
  <c r="O32" i="20"/>
  <c r="O33" i="20"/>
  <c r="O34" i="20"/>
  <c r="O39" i="20"/>
  <c r="O40" i="20"/>
  <c r="O41" i="20"/>
  <c r="O42" i="20"/>
  <c r="O43" i="20"/>
  <c r="O44" i="20"/>
  <c r="O45" i="20"/>
  <c r="O63" i="20"/>
  <c r="O64" i="20"/>
  <c r="L27" i="26" l="1"/>
  <c r="X27" i="26"/>
  <c r="AJ27" i="26"/>
  <c r="L28" i="26"/>
  <c r="X28" i="26"/>
  <c r="AJ28" i="26"/>
  <c r="L29" i="26"/>
  <c r="X29" i="26"/>
  <c r="AJ29" i="26"/>
  <c r="L30" i="26"/>
  <c r="X30" i="26"/>
  <c r="AJ30" i="26"/>
  <c r="L31" i="26"/>
  <c r="X31" i="26"/>
  <c r="AJ31" i="26"/>
  <c r="L32" i="26"/>
  <c r="X32" i="26"/>
  <c r="AJ32" i="26"/>
  <c r="L33" i="26"/>
  <c r="X33" i="26"/>
  <c r="AJ33" i="26"/>
  <c r="L34" i="26"/>
  <c r="X34" i="26"/>
  <c r="AJ34" i="26"/>
  <c r="L35" i="26"/>
  <c r="X35" i="26"/>
  <c r="AJ35" i="26"/>
  <c r="L36" i="26"/>
  <c r="X36" i="26"/>
  <c r="AJ36" i="26"/>
  <c r="L37" i="26"/>
  <c r="X37" i="26"/>
  <c r="AJ37" i="26"/>
  <c r="L38" i="26"/>
  <c r="X38" i="26"/>
  <c r="AJ38" i="26"/>
  <c r="L39" i="26"/>
  <c r="X39" i="26"/>
  <c r="AJ39" i="26"/>
  <c r="L40" i="26"/>
  <c r="X40" i="26"/>
  <c r="AJ40" i="26"/>
  <c r="L41" i="26"/>
  <c r="X41" i="26"/>
  <c r="AJ41" i="26"/>
  <c r="BD40" i="30" l="1"/>
  <c r="BD144" i="30"/>
  <c r="BD88" i="30"/>
  <c r="S398" i="30" s="1"/>
  <c r="BD399" i="30"/>
  <c r="BD343" i="30"/>
  <c r="Q409" i="30" s="1"/>
  <c r="BD279" i="30"/>
  <c r="W402" i="30" s="1"/>
  <c r="BD47" i="30"/>
  <c r="BD39" i="30"/>
  <c r="BD31" i="30"/>
  <c r="BD23" i="30"/>
  <c r="S395" i="30" s="1"/>
  <c r="BD15" i="30"/>
  <c r="U394" i="30" s="1"/>
  <c r="BD7" i="30"/>
  <c r="BD159" i="30"/>
  <c r="BD151" i="30"/>
  <c r="BD143" i="30"/>
  <c r="BD135" i="30"/>
  <c r="BD127" i="30"/>
  <c r="BD119" i="30"/>
  <c r="T401" i="30" s="1"/>
  <c r="BD111" i="30"/>
  <c r="V400" i="30" s="1"/>
  <c r="BD103" i="30"/>
  <c r="X399" i="30" s="1"/>
  <c r="BD95" i="30"/>
  <c r="BD87" i="30"/>
  <c r="R398" i="30" s="1"/>
  <c r="BD79" i="30"/>
  <c r="T397" i="30" s="1"/>
  <c r="BD71" i="30"/>
  <c r="V396" i="30" s="1"/>
  <c r="BD63" i="30"/>
  <c r="BD55" i="30"/>
  <c r="BD414" i="30"/>
  <c r="BD406" i="30"/>
  <c r="BD398" i="30"/>
  <c r="BD390" i="30"/>
  <c r="BD382" i="30"/>
  <c r="BD374" i="30"/>
  <c r="BD366" i="30"/>
  <c r="BD358" i="30"/>
  <c r="V410" i="30" s="1"/>
  <c r="BD350" i="30"/>
  <c r="X409" i="30" s="1"/>
  <c r="BD342" i="30"/>
  <c r="BD334" i="30"/>
  <c r="R408" i="30" s="1"/>
  <c r="BD326" i="30"/>
  <c r="T407" i="30" s="1"/>
  <c r="BD318" i="30"/>
  <c r="V406" i="30" s="1"/>
  <c r="BD310" i="30"/>
  <c r="X405" i="30" s="1"/>
  <c r="BD302" i="30"/>
  <c r="BD294" i="30"/>
  <c r="R404" i="30" s="1"/>
  <c r="BD286" i="30"/>
  <c r="T403" i="30" s="1"/>
  <c r="BD278" i="30"/>
  <c r="V402" i="30" s="1"/>
  <c r="BD270" i="30"/>
  <c r="BD262" i="30"/>
  <c r="BD254" i="30"/>
  <c r="BD246" i="30"/>
  <c r="BD24" i="30"/>
  <c r="T395" i="30" s="1"/>
  <c r="BD120" i="30"/>
  <c r="U401" i="30" s="1"/>
  <c r="BD56" i="30"/>
  <c r="BD359" i="30"/>
  <c r="W410" i="30" s="1"/>
  <c r="BD303" i="30"/>
  <c r="Q405" i="30" s="1"/>
  <c r="BD255" i="30"/>
  <c r="BD158" i="30"/>
  <c r="BD150" i="30"/>
  <c r="BD142" i="30"/>
  <c r="BD134" i="30"/>
  <c r="BD126" i="30"/>
  <c r="BD118" i="30"/>
  <c r="S401" i="30" s="1"/>
  <c r="BD110" i="30"/>
  <c r="U400" i="30" s="1"/>
  <c r="BD102" i="30"/>
  <c r="W399" i="30" s="1"/>
  <c r="BD94" i="30"/>
  <c r="Y398" i="30" s="1"/>
  <c r="BD86" i="30"/>
  <c r="Q398" i="30" s="1"/>
  <c r="BD78" i="30"/>
  <c r="S397" i="30" s="1"/>
  <c r="BD70" i="30"/>
  <c r="U396" i="30" s="1"/>
  <c r="BD62" i="30"/>
  <c r="BD242" i="30"/>
  <c r="BD413" i="30"/>
  <c r="BD405" i="30"/>
  <c r="BD397" i="30"/>
  <c r="BD389" i="30"/>
  <c r="BD381" i="30"/>
  <c r="BD373" i="30"/>
  <c r="BD365" i="30"/>
  <c r="BD357" i="30"/>
  <c r="U410" i="30" s="1"/>
  <c r="BD349" i="30"/>
  <c r="W409" i="30" s="1"/>
  <c r="BD341" i="30"/>
  <c r="Y408" i="30" s="1"/>
  <c r="BD333" i="30"/>
  <c r="Q408" i="30" s="1"/>
  <c r="BD325" i="30"/>
  <c r="S407" i="30" s="1"/>
  <c r="BD317" i="30"/>
  <c r="U406" i="30" s="1"/>
  <c r="BD309" i="30"/>
  <c r="W405" i="30" s="1"/>
  <c r="BD301" i="30"/>
  <c r="Y404" i="30" s="1"/>
  <c r="BD293" i="30"/>
  <c r="Q404" i="30" s="1"/>
  <c r="BD285" i="30"/>
  <c r="S403" i="30" s="1"/>
  <c r="BD277" i="30"/>
  <c r="U402" i="30" s="1"/>
  <c r="BD269" i="30"/>
  <c r="BD261" i="30"/>
  <c r="BD253" i="30"/>
  <c r="BD245" i="30"/>
  <c r="BD32" i="30"/>
  <c r="BD136" i="30"/>
  <c r="BD80" i="30"/>
  <c r="U397" i="30" s="1"/>
  <c r="BD383" i="30"/>
  <c r="BD319" i="30"/>
  <c r="W406" i="30" s="1"/>
  <c r="BD30" i="30"/>
  <c r="BD45" i="30"/>
  <c r="BD37" i="30"/>
  <c r="BD29" i="30"/>
  <c r="Y395" i="30" s="1"/>
  <c r="BD21" i="30"/>
  <c r="Q395" i="30" s="1"/>
  <c r="BD13" i="30"/>
  <c r="S394" i="30" s="1"/>
  <c r="BD5" i="30"/>
  <c r="BD157" i="30"/>
  <c r="BD149" i="30"/>
  <c r="BD141" i="30"/>
  <c r="BD133" i="30"/>
  <c r="BD125" i="30"/>
  <c r="BD117" i="30"/>
  <c r="R401" i="30" s="1"/>
  <c r="BD109" i="30"/>
  <c r="T400" i="30" s="1"/>
  <c r="BD101" i="30"/>
  <c r="V399" i="30" s="1"/>
  <c r="BD93" i="30"/>
  <c r="X398" i="30" s="1"/>
  <c r="BD85" i="30"/>
  <c r="BD77" i="30"/>
  <c r="R397" i="30" s="1"/>
  <c r="BD69" i="30"/>
  <c r="T396" i="30" s="1"/>
  <c r="BD61" i="30"/>
  <c r="BD420" i="30"/>
  <c r="BD412" i="30"/>
  <c r="BD404" i="30"/>
  <c r="BD396" i="30"/>
  <c r="BD388" i="30"/>
  <c r="BD380" i="30"/>
  <c r="BD372" i="30"/>
  <c r="BD364" i="30"/>
  <c r="BD356" i="30"/>
  <c r="T410" i="30" s="1"/>
  <c r="BD348" i="30"/>
  <c r="V409" i="30" s="1"/>
  <c r="BD340" i="30"/>
  <c r="X408" i="30" s="1"/>
  <c r="BD332" i="30"/>
  <c r="BD324" i="30"/>
  <c r="R407" i="30" s="1"/>
  <c r="BD316" i="30"/>
  <c r="T406" i="30" s="1"/>
  <c r="BD308" i="30"/>
  <c r="V405" i="30" s="1"/>
  <c r="BD300" i="30"/>
  <c r="X404" i="30" s="1"/>
  <c r="BD292" i="30"/>
  <c r="BD284" i="30"/>
  <c r="R403" i="30" s="1"/>
  <c r="BD276" i="30"/>
  <c r="T402" i="30" s="1"/>
  <c r="BD268" i="30"/>
  <c r="BD260" i="30"/>
  <c r="BD252" i="30"/>
  <c r="BD244" i="30"/>
  <c r="BD16" i="30"/>
  <c r="V394" i="30" s="1"/>
  <c r="BD128" i="30"/>
  <c r="BD72" i="30"/>
  <c r="W396" i="30" s="1"/>
  <c r="BD391" i="30"/>
  <c r="BD335" i="30"/>
  <c r="S408" i="30" s="1"/>
  <c r="BD287" i="30"/>
  <c r="U403" i="30" s="1"/>
  <c r="BD247" i="30"/>
  <c r="BD14" i="30"/>
  <c r="T394" i="30" s="1"/>
  <c r="BD44" i="30"/>
  <c r="BD36" i="30"/>
  <c r="BD28" i="30"/>
  <c r="X395" i="30" s="1"/>
  <c r="BD20" i="30"/>
  <c r="P395" i="30" s="1"/>
  <c r="BD12" i="30"/>
  <c r="R394" i="30" s="1"/>
  <c r="BD4" i="30"/>
  <c r="BD156" i="30"/>
  <c r="BD148" i="30"/>
  <c r="BD140" i="30"/>
  <c r="BD132" i="30"/>
  <c r="BD124" i="30"/>
  <c r="Y401" i="30" s="1"/>
  <c r="BD116" i="30"/>
  <c r="Q401" i="30" s="1"/>
  <c r="BD108" i="30"/>
  <c r="S400" i="30" s="1"/>
  <c r="BD100" i="30"/>
  <c r="U399" i="30" s="1"/>
  <c r="BD92" i="30"/>
  <c r="W398" i="30" s="1"/>
  <c r="BD84" i="30"/>
  <c r="Y397" i="30" s="1"/>
  <c r="BD76" i="30"/>
  <c r="Q397" i="30" s="1"/>
  <c r="BD68" i="30"/>
  <c r="S396" i="30" s="1"/>
  <c r="BD60" i="30"/>
  <c r="BD419" i="30"/>
  <c r="BD411" i="30"/>
  <c r="BD403" i="30"/>
  <c r="BD395" i="30"/>
  <c r="BD387" i="30"/>
  <c r="BD379" i="30"/>
  <c r="BD371" i="30"/>
  <c r="BD363" i="30"/>
  <c r="BD355" i="30"/>
  <c r="S410" i="30" s="1"/>
  <c r="BD347" i="30"/>
  <c r="U409" i="30" s="1"/>
  <c r="BD339" i="30"/>
  <c r="W408" i="30" s="1"/>
  <c r="BD331" i="30"/>
  <c r="Y407" i="30" s="1"/>
  <c r="BD323" i="30"/>
  <c r="Q407" i="30" s="1"/>
  <c r="BD315" i="30"/>
  <c r="S406" i="30" s="1"/>
  <c r="BD307" i="30"/>
  <c r="U405" i="30" s="1"/>
  <c r="BD299" i="30"/>
  <c r="W404" i="30" s="1"/>
  <c r="BD291" i="30"/>
  <c r="Y403" i="30" s="1"/>
  <c r="BD283" i="30"/>
  <c r="Q403" i="30" s="1"/>
  <c r="BD275" i="30"/>
  <c r="S402" i="30" s="1"/>
  <c r="BD267" i="30"/>
  <c r="BD259" i="30"/>
  <c r="BD251" i="30"/>
  <c r="BD243" i="30"/>
  <c r="BD48" i="30"/>
  <c r="BD152" i="30"/>
  <c r="BD96" i="30"/>
  <c r="Q399" i="30" s="1"/>
  <c r="BD407" i="30"/>
  <c r="BD351" i="30"/>
  <c r="Y409" i="30" s="1"/>
  <c r="BD295" i="30"/>
  <c r="S404" i="30" s="1"/>
  <c r="BD38" i="30"/>
  <c r="BD43" i="30"/>
  <c r="BD35" i="30"/>
  <c r="BD27" i="30"/>
  <c r="W395" i="30" s="1"/>
  <c r="BD19" i="30"/>
  <c r="Y394" i="30" s="1"/>
  <c r="BD11" i="30"/>
  <c r="Q394" i="30" s="1"/>
  <c r="BD3" i="30"/>
  <c r="BD155" i="30"/>
  <c r="BD147" i="30"/>
  <c r="BD139" i="30"/>
  <c r="BD131" i="30"/>
  <c r="BD123" i="30"/>
  <c r="X401" i="30" s="1"/>
  <c r="BD115" i="30"/>
  <c r="BD107" i="30"/>
  <c r="R400" i="30" s="1"/>
  <c r="BD99" i="30"/>
  <c r="T399" i="30" s="1"/>
  <c r="BD91" i="30"/>
  <c r="V398" i="30" s="1"/>
  <c r="BD83" i="30"/>
  <c r="X397" i="30" s="1"/>
  <c r="BD75" i="30"/>
  <c r="BD67" i="30"/>
  <c r="R396" i="30" s="1"/>
  <c r="BD59" i="30"/>
  <c r="BD418" i="30"/>
  <c r="BD410" i="30"/>
  <c r="BD402" i="30"/>
  <c r="BD394" i="30"/>
  <c r="BD386" i="30"/>
  <c r="BD378" i="30"/>
  <c r="BD370" i="30"/>
  <c r="BD362" i="30"/>
  <c r="BD354" i="30"/>
  <c r="R410" i="30" s="1"/>
  <c r="BD346" i="30"/>
  <c r="T409" i="30" s="1"/>
  <c r="BD338" i="30"/>
  <c r="V408" i="30" s="1"/>
  <c r="BD330" i="30"/>
  <c r="X407" i="30" s="1"/>
  <c r="BD322" i="30"/>
  <c r="BD314" i="30"/>
  <c r="R406" i="30" s="1"/>
  <c r="BD306" i="30"/>
  <c r="T405" i="30" s="1"/>
  <c r="BD298" i="30"/>
  <c r="V404" i="30" s="1"/>
  <c r="BD290" i="30"/>
  <c r="X403" i="30" s="1"/>
  <c r="BD282" i="30"/>
  <c r="BD274" i="30"/>
  <c r="R402" i="30" s="1"/>
  <c r="BD266" i="30"/>
  <c r="BD258" i="30"/>
  <c r="BD250" i="30"/>
  <c r="BD8" i="30"/>
  <c r="BD104" i="30"/>
  <c r="Y399" i="30" s="1"/>
  <c r="BD415" i="30"/>
  <c r="BD367" i="30"/>
  <c r="BD311" i="30"/>
  <c r="Y405" i="30" s="1"/>
  <c r="BD271" i="30"/>
  <c r="BD46" i="30"/>
  <c r="BD22" i="30"/>
  <c r="R395" i="30" s="1"/>
  <c r="BD42" i="30"/>
  <c r="BD34" i="30"/>
  <c r="BD26" i="30"/>
  <c r="V395" i="30" s="1"/>
  <c r="BD18" i="30"/>
  <c r="X394" i="30" s="1"/>
  <c r="BD10" i="30"/>
  <c r="P394" i="30" s="1"/>
  <c r="BD49" i="30"/>
  <c r="BD154" i="30"/>
  <c r="BD146" i="30"/>
  <c r="BD138" i="30"/>
  <c r="BD130" i="30"/>
  <c r="BD122" i="30"/>
  <c r="W401" i="30" s="1"/>
  <c r="BD114" i="30"/>
  <c r="Y400" i="30" s="1"/>
  <c r="BD106" i="30"/>
  <c r="Q400" i="30" s="1"/>
  <c r="BD98" i="30"/>
  <c r="S399" i="30" s="1"/>
  <c r="BD90" i="30"/>
  <c r="U398" i="30" s="1"/>
  <c r="BD82" i="30"/>
  <c r="W397" i="30" s="1"/>
  <c r="BD74" i="30"/>
  <c r="Y396" i="30" s="1"/>
  <c r="BD66" i="30"/>
  <c r="Q396" i="30" s="1"/>
  <c r="BD58" i="30"/>
  <c r="BD417" i="30"/>
  <c r="BD409" i="30"/>
  <c r="BD401" i="30"/>
  <c r="BD393" i="30"/>
  <c r="BD385" i="30"/>
  <c r="BD377" i="30"/>
  <c r="BD369" i="30"/>
  <c r="BD361" i="30"/>
  <c r="Y410" i="30" s="1"/>
  <c r="BD353" i="30"/>
  <c r="Q410" i="30" s="1"/>
  <c r="BD345" i="30"/>
  <c r="S409" i="30" s="1"/>
  <c r="BD337" i="30"/>
  <c r="U408" i="30" s="1"/>
  <c r="BD329" i="30"/>
  <c r="W407" i="30" s="1"/>
  <c r="BD321" i="30"/>
  <c r="Y406" i="30" s="1"/>
  <c r="BD313" i="30"/>
  <c r="Q406" i="30" s="1"/>
  <c r="BD305" i="30"/>
  <c r="S405" i="30" s="1"/>
  <c r="BD297" i="30"/>
  <c r="U404" i="30" s="1"/>
  <c r="BD289" i="30"/>
  <c r="W403" i="30" s="1"/>
  <c r="BD281" i="30"/>
  <c r="Y402" i="30" s="1"/>
  <c r="BD273" i="30"/>
  <c r="Q402" i="30" s="1"/>
  <c r="BD265" i="30"/>
  <c r="BD257" i="30"/>
  <c r="BD249" i="30"/>
  <c r="BD54" i="30"/>
  <c r="BD112" i="30"/>
  <c r="W400" i="30" s="1"/>
  <c r="BD64" i="30"/>
  <c r="BD375" i="30"/>
  <c r="BD327" i="30"/>
  <c r="U407" i="30" s="1"/>
  <c r="BD263" i="30"/>
  <c r="BD41" i="30"/>
  <c r="BD33" i="30"/>
  <c r="BD25" i="30"/>
  <c r="U395" i="30" s="1"/>
  <c r="BD17" i="30"/>
  <c r="W394" i="30" s="1"/>
  <c r="BD9" i="30"/>
  <c r="BD51" i="30"/>
  <c r="BD153" i="30"/>
  <c r="BD145" i="30"/>
  <c r="BD137" i="30"/>
  <c r="BD129" i="30"/>
  <c r="BD121" i="30"/>
  <c r="V401" i="30" s="1"/>
  <c r="BD113" i="30"/>
  <c r="X400" i="30" s="1"/>
  <c r="BD105" i="30"/>
  <c r="BD97" i="30"/>
  <c r="R399" i="30" s="1"/>
  <c r="BD89" i="30"/>
  <c r="T398" i="30" s="1"/>
  <c r="BD81" i="30"/>
  <c r="V397" i="30" s="1"/>
  <c r="BD73" i="30"/>
  <c r="X396" i="30" s="1"/>
  <c r="BD65" i="30"/>
  <c r="BD57" i="30"/>
  <c r="BD416" i="30"/>
  <c r="BD408" i="30"/>
  <c r="BD400" i="30"/>
  <c r="BD392" i="30"/>
  <c r="BD384" i="30"/>
  <c r="BD376" i="30"/>
  <c r="BD368" i="30"/>
  <c r="BD360" i="30"/>
  <c r="X410" i="30" s="1"/>
  <c r="BD352" i="30"/>
  <c r="BD344" i="30"/>
  <c r="R409" i="30" s="1"/>
  <c r="BD336" i="30"/>
  <c r="T408" i="30" s="1"/>
  <c r="BD328" i="30"/>
  <c r="V407" i="30" s="1"/>
  <c r="BD320" i="30"/>
  <c r="X406" i="30" s="1"/>
  <c r="BD312" i="30"/>
  <c r="BD304" i="30"/>
  <c r="R405" i="30" s="1"/>
  <c r="BD296" i="30"/>
  <c r="T404" i="30" s="1"/>
  <c r="BD288" i="30"/>
  <c r="V403" i="30" s="1"/>
  <c r="BD280" i="30"/>
  <c r="X402" i="30" s="1"/>
  <c r="BD272" i="30"/>
  <c r="BD264" i="30"/>
  <c r="BD256" i="30"/>
  <c r="BD248" i="30"/>
  <c r="BD2" i="30"/>
  <c r="BD6" i="30"/>
  <c r="Z326" i="30" l="1"/>
  <c r="Z394" i="30"/>
  <c r="Z395" i="30"/>
  <c r="Y323" i="30"/>
  <c r="Y320" i="30"/>
  <c r="Z320" i="30" s="1"/>
  <c r="AE399" i="30"/>
  <c r="AE394" i="30"/>
  <c r="AC399" i="30"/>
  <c r="AC394" i="30"/>
  <c r="Y317" i="30"/>
  <c r="P400" i="30"/>
  <c r="Z400" i="30" s="1"/>
  <c r="X322" i="30"/>
  <c r="P403" i="30"/>
  <c r="Z403" i="30" s="1"/>
  <c r="X315" i="30"/>
  <c r="P398" i="30"/>
  <c r="Z398" i="30" s="1"/>
  <c r="Y329" i="30"/>
  <c r="X329" i="30" s="1"/>
  <c r="P410" i="30"/>
  <c r="Z410" i="30" s="1"/>
  <c r="Y318" i="30"/>
  <c r="Z318" i="30" s="1"/>
  <c r="P401" i="30"/>
  <c r="Z401" i="30" s="1"/>
  <c r="Z327" i="30"/>
  <c r="P408" i="30"/>
  <c r="Z408" i="30" s="1"/>
  <c r="Y330" i="30"/>
  <c r="X330" i="30" s="1"/>
  <c r="Z316" i="30"/>
  <c r="P399" i="30"/>
  <c r="Z399" i="30" s="1"/>
  <c r="X325" i="30"/>
  <c r="P406" i="30"/>
  <c r="Z406" i="30" s="1"/>
  <c r="X323" i="30"/>
  <c r="P404" i="30"/>
  <c r="Z404" i="30" s="1"/>
  <c r="X328" i="30"/>
  <c r="P409" i="30"/>
  <c r="Z409" i="30" s="1"/>
  <c r="X326" i="30"/>
  <c r="P407" i="30"/>
  <c r="Z407" i="30" s="1"/>
  <c r="Y319" i="30"/>
  <c r="Y321" i="30"/>
  <c r="X321" i="30" s="1"/>
  <c r="P402" i="30"/>
  <c r="Z402" i="30" s="1"/>
  <c r="Y324" i="30"/>
  <c r="P405" i="30"/>
  <c r="Z405" i="30" s="1"/>
  <c r="Y311" i="30"/>
  <c r="X311" i="30" s="1"/>
  <c r="X313" i="30"/>
  <c r="P396" i="30"/>
  <c r="Z396" i="30" s="1"/>
  <c r="X314" i="30"/>
  <c r="P397" i="30"/>
  <c r="Z397" i="30" s="1"/>
  <c r="Y312" i="30"/>
  <c r="Y310" i="30"/>
  <c r="Y314" i="30"/>
  <c r="Z309" i="30"/>
  <c r="Y315" i="30"/>
  <c r="Y326" i="30"/>
  <c r="Y325" i="30"/>
  <c r="Y322" i="30"/>
  <c r="Z314" i="30"/>
  <c r="Z310" i="30"/>
  <c r="Z323" i="30"/>
  <c r="X309" i="30"/>
  <c r="Z325" i="30"/>
  <c r="X310" i="30"/>
  <c r="Y327" i="30"/>
  <c r="X327" i="30"/>
  <c r="Z315" i="30"/>
  <c r="Z317" i="30"/>
  <c r="Z324" i="30"/>
  <c r="Z322" i="30"/>
  <c r="Z328" i="30"/>
  <c r="Y328" i="30"/>
  <c r="X317" i="30"/>
  <c r="Y316" i="30"/>
  <c r="X316" i="30"/>
  <c r="Y308" i="30"/>
  <c r="X308" i="30" s="1"/>
  <c r="Y313" i="30"/>
  <c r="Z313" i="30"/>
  <c r="Y309" i="30"/>
  <c r="X324" i="30"/>
  <c r="X320" i="30" l="1"/>
  <c r="X333" i="30" s="1"/>
  <c r="AC402" i="30"/>
  <c r="AE402" i="30"/>
  <c r="AE397" i="30"/>
  <c r="AC397" i="30"/>
  <c r="AG394" i="30"/>
  <c r="AG399" i="30"/>
  <c r="AE400" i="30"/>
  <c r="AE395" i="30"/>
  <c r="AC400" i="30"/>
  <c r="AC395" i="30"/>
  <c r="AE401" i="30"/>
  <c r="AC401" i="30"/>
  <c r="AE396" i="30"/>
  <c r="AC396" i="30"/>
  <c r="Y332" i="30"/>
  <c r="X318" i="30"/>
  <c r="Z321" i="30"/>
  <c r="Z329" i="30"/>
  <c r="Y333" i="30"/>
  <c r="Z330" i="30"/>
  <c r="X319" i="30"/>
  <c r="Z319" i="30"/>
  <c r="X312" i="30"/>
  <c r="Z312" i="30"/>
  <c r="Z311" i="30"/>
  <c r="X331" i="30"/>
  <c r="Z308" i="30"/>
  <c r="Y331" i="30"/>
  <c r="Y334" i="30"/>
  <c r="Z331" i="30" l="1"/>
  <c r="Z333" i="30"/>
  <c r="Z332" i="30"/>
  <c r="AG397" i="30"/>
  <c r="AG402" i="30"/>
  <c r="X332" i="30"/>
  <c r="X334" i="30" s="1"/>
  <c r="AG395" i="30"/>
  <c r="AG401" i="30"/>
  <c r="AG400" i="30"/>
  <c r="AG396" i="3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71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46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9" i="20"/>
  <c r="D40" i="20"/>
  <c r="D41" i="20"/>
  <c r="D42" i="20"/>
  <c r="D43" i="20"/>
  <c r="D44" i="20"/>
  <c r="D45" i="20"/>
  <c r="D2" i="20"/>
  <c r="Z334" i="30" l="1"/>
  <c r="P332" i="30" l="1"/>
  <c r="P333" i="30"/>
  <c r="R315" i="30"/>
  <c r="R323" i="30"/>
  <c r="R319" i="30"/>
  <c r="R327" i="30"/>
  <c r="R324" i="30"/>
  <c r="R328" i="30"/>
  <c r="R313" i="30"/>
  <c r="R317" i="30"/>
  <c r="R321" i="30"/>
  <c r="R325" i="30"/>
  <c r="R329" i="30"/>
  <c r="R314" i="30"/>
  <c r="R318" i="30"/>
  <c r="R322" i="30"/>
  <c r="R326" i="30"/>
  <c r="R330" i="30"/>
  <c r="R312" i="30"/>
  <c r="R316" i="30"/>
  <c r="R320" i="30"/>
  <c r="O307" i="30"/>
  <c r="A45" i="9" l="1"/>
  <c r="A34" i="34" l="1"/>
  <c r="A31" i="35"/>
  <c r="A41" i="35" l="1"/>
  <c r="A45" i="34"/>
  <c r="B45" i="9"/>
  <c r="A44" i="9" s="1"/>
  <c r="A23" i="34"/>
  <c r="C34" i="34"/>
  <c r="C45" i="34" s="1"/>
  <c r="C31" i="35"/>
  <c r="C41" i="35" s="1"/>
  <c r="A21" i="35"/>
  <c r="B44" i="9" l="1"/>
  <c r="B43" i="9" s="1"/>
  <c r="B34" i="34"/>
  <c r="A12" i="34"/>
  <c r="A11" i="35"/>
  <c r="B31" i="35"/>
  <c r="C21" i="35"/>
  <c r="C11" i="35" s="1"/>
  <c r="C23" i="34"/>
  <c r="C12" i="34" s="1"/>
  <c r="AX31" i="35" l="1"/>
  <c r="AU31" i="35"/>
  <c r="AW31" i="35"/>
  <c r="AV31" i="35"/>
  <c r="AY31" i="35"/>
  <c r="AR31" i="35"/>
  <c r="BA31" i="35"/>
  <c r="AZ31" i="35"/>
  <c r="AT31" i="35"/>
  <c r="AS31" i="35"/>
  <c r="AZ34" i="34"/>
  <c r="AW34" i="34"/>
  <c r="AS34" i="34"/>
  <c r="BA34" i="34"/>
  <c r="AU34" i="34"/>
  <c r="AT34" i="34"/>
  <c r="AR34" i="34"/>
  <c r="AV34" i="34"/>
  <c r="AX34" i="34"/>
  <c r="AY34" i="34"/>
  <c r="E31" i="35"/>
  <c r="J31" i="35"/>
  <c r="M31" i="35"/>
  <c r="G31" i="35"/>
  <c r="I31" i="35"/>
  <c r="K31" i="35"/>
  <c r="F31" i="35"/>
  <c r="L31" i="35"/>
  <c r="H31" i="35"/>
  <c r="I34" i="34"/>
  <c r="K34" i="34"/>
  <c r="F34" i="34"/>
  <c r="L34" i="34"/>
  <c r="H34" i="34"/>
  <c r="E34" i="34"/>
  <c r="J34" i="34"/>
  <c r="M34" i="34"/>
  <c r="G34" i="34"/>
  <c r="A43" i="9"/>
  <c r="A42" i="9" s="1"/>
  <c r="B41" i="35"/>
  <c r="B40" i="35" s="1"/>
  <c r="B45" i="34"/>
  <c r="B44" i="34" s="1"/>
  <c r="B42" i="9"/>
  <c r="B30" i="35"/>
  <c r="B21" i="35"/>
  <c r="A30" i="35"/>
  <c r="A33" i="34"/>
  <c r="B23" i="34"/>
  <c r="B33" i="34"/>
  <c r="BB31" i="35" l="1"/>
  <c r="AX21" i="35"/>
  <c r="AT21" i="35"/>
  <c r="AS21" i="35"/>
  <c r="AZ21" i="35"/>
  <c r="AY21" i="35"/>
  <c r="AR21" i="35"/>
  <c r="AU21" i="35"/>
  <c r="AV21" i="35"/>
  <c r="BA21" i="35"/>
  <c r="AW21" i="35"/>
  <c r="AZ23" i="34"/>
  <c r="AX23" i="34"/>
  <c r="AS23" i="34"/>
  <c r="BA23" i="34"/>
  <c r="AU23" i="34"/>
  <c r="AY23" i="34"/>
  <c r="AT23" i="34"/>
  <c r="AR23" i="34"/>
  <c r="AV23" i="34"/>
  <c r="AW23" i="34"/>
  <c r="BB34" i="34"/>
  <c r="H23" i="34"/>
  <c r="G23" i="34"/>
  <c r="I23" i="34"/>
  <c r="J23" i="34"/>
  <c r="K23" i="34"/>
  <c r="E23" i="34"/>
  <c r="L23" i="34"/>
  <c r="F23" i="34"/>
  <c r="M23" i="34"/>
  <c r="N34" i="34"/>
  <c r="H21" i="35"/>
  <c r="J21" i="35"/>
  <c r="I21" i="35"/>
  <c r="K21" i="35"/>
  <c r="G21" i="35"/>
  <c r="L21" i="35"/>
  <c r="F21" i="35"/>
  <c r="E21" i="35"/>
  <c r="M21" i="35"/>
  <c r="A44" i="34"/>
  <c r="A43" i="34" s="1"/>
  <c r="A40" i="35"/>
  <c r="A39" i="35" s="1"/>
  <c r="C40" i="35"/>
  <c r="B39" i="35"/>
  <c r="C44" i="34"/>
  <c r="B43" i="34"/>
  <c r="B41" i="9"/>
  <c r="A41" i="9"/>
  <c r="A20" i="35"/>
  <c r="B11" i="35"/>
  <c r="C30" i="35"/>
  <c r="I30" i="35" s="1"/>
  <c r="B29" i="35"/>
  <c r="B20" i="35"/>
  <c r="B10" i="35" s="1"/>
  <c r="A29" i="35"/>
  <c r="B32" i="34"/>
  <c r="B22" i="34"/>
  <c r="B11" i="34" s="1"/>
  <c r="C33" i="34"/>
  <c r="J33" i="34" s="1"/>
  <c r="A32" i="34"/>
  <c r="B12" i="34"/>
  <c r="A22" i="34"/>
  <c r="BB21" i="35" l="1"/>
  <c r="BA30" i="35"/>
  <c r="AY30" i="35"/>
  <c r="AW30" i="35"/>
  <c r="AV30" i="35"/>
  <c r="AX30" i="35"/>
  <c r="AT30" i="35"/>
  <c r="AE11" i="35"/>
  <c r="AR11" i="35"/>
  <c r="AW11" i="35"/>
  <c r="AW41" i="35" s="1"/>
  <c r="AZ11" i="35"/>
  <c r="AZ41" i="35" s="1"/>
  <c r="AU11" i="35"/>
  <c r="AV11" i="35"/>
  <c r="AX11" i="35"/>
  <c r="AX41" i="35" s="1"/>
  <c r="AY11" i="35"/>
  <c r="AY41" i="35" s="1"/>
  <c r="BA11" i="35"/>
  <c r="BA41" i="35" s="1"/>
  <c r="AS11" i="35"/>
  <c r="AT11" i="35"/>
  <c r="AS30" i="35"/>
  <c r="AZ30" i="35"/>
  <c r="AU30" i="35"/>
  <c r="AR30" i="35"/>
  <c r="BB23" i="34"/>
  <c r="AX33" i="34"/>
  <c r="BA33" i="34"/>
  <c r="AU33" i="34"/>
  <c r="AW33" i="34"/>
  <c r="AZ33" i="34"/>
  <c r="AV33" i="34"/>
  <c r="AR33" i="34"/>
  <c r="AE12" i="34"/>
  <c r="AR12" i="34"/>
  <c r="AX12" i="34"/>
  <c r="AX45" i="34" s="1"/>
  <c r="AZ12" i="34"/>
  <c r="AZ45" i="34" s="1"/>
  <c r="AY12" i="34"/>
  <c r="AY45" i="34" s="1"/>
  <c r="AT12" i="34"/>
  <c r="AV12" i="34"/>
  <c r="AS12" i="34"/>
  <c r="BA12" i="34"/>
  <c r="BA45" i="34" s="1"/>
  <c r="AU12" i="34"/>
  <c r="AW12" i="34"/>
  <c r="AW45" i="34" s="1"/>
  <c r="AY33" i="34"/>
  <c r="AT33" i="34"/>
  <c r="AS33" i="34"/>
  <c r="H30" i="35"/>
  <c r="M33" i="34"/>
  <c r="N23" i="34"/>
  <c r="G30" i="35"/>
  <c r="E33" i="34"/>
  <c r="F30" i="35"/>
  <c r="L33" i="34"/>
  <c r="M30" i="35"/>
  <c r="I33" i="34"/>
  <c r="N33" i="34" s="1"/>
  <c r="J12" i="34"/>
  <c r="E12" i="34"/>
  <c r="K12" i="34"/>
  <c r="L12" i="34"/>
  <c r="I12" i="34"/>
  <c r="F12" i="34"/>
  <c r="M12" i="34"/>
  <c r="G12" i="34"/>
  <c r="H12" i="34"/>
  <c r="E30" i="35"/>
  <c r="G33" i="34"/>
  <c r="K30" i="35"/>
  <c r="L30" i="35"/>
  <c r="K33" i="34"/>
  <c r="J30" i="35"/>
  <c r="F33" i="34"/>
  <c r="H33" i="34"/>
  <c r="F11" i="35"/>
  <c r="G11" i="35"/>
  <c r="I11" i="35"/>
  <c r="H11" i="35"/>
  <c r="J11" i="35"/>
  <c r="K11" i="35"/>
  <c r="E11" i="35"/>
  <c r="L11" i="35"/>
  <c r="M11" i="35"/>
  <c r="A40" i="9"/>
  <c r="B40" i="9"/>
  <c r="A38" i="35"/>
  <c r="B38" i="35"/>
  <c r="C39" i="35"/>
  <c r="C20" i="35"/>
  <c r="C10" i="35" s="1"/>
  <c r="A42" i="34"/>
  <c r="B42" i="34"/>
  <c r="C43" i="34"/>
  <c r="C22" i="34"/>
  <c r="C11" i="34" s="1"/>
  <c r="C29" i="35"/>
  <c r="M29" i="35" s="1"/>
  <c r="A28" i="35"/>
  <c r="B28" i="35"/>
  <c r="B19" i="35"/>
  <c r="B9" i="35" s="1"/>
  <c r="A19" i="35"/>
  <c r="A10" i="35"/>
  <c r="A11" i="34"/>
  <c r="B21" i="34"/>
  <c r="B10" i="34" s="1"/>
  <c r="B31" i="34"/>
  <c r="A31" i="34"/>
  <c r="C32" i="34"/>
  <c r="F32" i="34" s="1"/>
  <c r="A21" i="34"/>
  <c r="AE21" i="35" l="1"/>
  <c r="AE31" i="35" s="1"/>
  <c r="AE41" i="35" s="1"/>
  <c r="AE22" i="35"/>
  <c r="AE32" i="35" s="1"/>
  <c r="AE23" i="34"/>
  <c r="AE34" i="34" s="1"/>
  <c r="AE45" i="34" s="1"/>
  <c r="AE25" i="34"/>
  <c r="AE36" i="34" s="1"/>
  <c r="L29" i="35"/>
  <c r="BA32" i="34"/>
  <c r="AU32" i="34"/>
  <c r="AS20" i="35"/>
  <c r="AX20" i="35"/>
  <c r="AS29" i="35"/>
  <c r="AT20" i="35"/>
  <c r="AZ29" i="35"/>
  <c r="BA20" i="35"/>
  <c r="AZ20" i="35"/>
  <c r="AR29" i="35"/>
  <c r="AU29" i="35"/>
  <c r="AE10" i="35"/>
  <c r="AE20" i="35" s="1"/>
  <c r="AE30" i="35" s="1"/>
  <c r="AE40" i="35" s="1"/>
  <c r="AT10" i="35"/>
  <c r="AX10" i="35"/>
  <c r="AW10" i="35"/>
  <c r="AY10" i="35"/>
  <c r="AZ10" i="35"/>
  <c r="BA10" i="35"/>
  <c r="AR10" i="35"/>
  <c r="AS10" i="35"/>
  <c r="AV10" i="35"/>
  <c r="AU10" i="35"/>
  <c r="AY20" i="35"/>
  <c r="AR20" i="35"/>
  <c r="BA29" i="35"/>
  <c r="AV29" i="35"/>
  <c r="AW20" i="35"/>
  <c r="AY29" i="35"/>
  <c r="AT29" i="35"/>
  <c r="AV20" i="35"/>
  <c r="BB11" i="35"/>
  <c r="AX29" i="35"/>
  <c r="BB30" i="35"/>
  <c r="AU20" i="35"/>
  <c r="AW29" i="35"/>
  <c r="AU22" i="34"/>
  <c r="AE11" i="34"/>
  <c r="AT11" i="34"/>
  <c r="AU11" i="34"/>
  <c r="AV11" i="34"/>
  <c r="AW11" i="34"/>
  <c r="AX11" i="34"/>
  <c r="AY11" i="34"/>
  <c r="BA11" i="34"/>
  <c r="AS11" i="34"/>
  <c r="AR11" i="34"/>
  <c r="AZ11" i="34"/>
  <c r="AT32" i="34"/>
  <c r="BA22" i="34"/>
  <c r="AV22" i="34"/>
  <c r="AZ32" i="34"/>
  <c r="AZ22" i="34"/>
  <c r="AT22" i="34"/>
  <c r="AR32" i="34"/>
  <c r="AY22" i="34"/>
  <c r="AY32" i="34"/>
  <c r="BB12" i="34"/>
  <c r="AS22" i="34"/>
  <c r="AX32" i="34"/>
  <c r="AR22" i="34"/>
  <c r="AW32" i="34"/>
  <c r="BB33" i="34"/>
  <c r="AX22" i="34"/>
  <c r="AS32" i="34"/>
  <c r="AV32" i="34"/>
  <c r="AW22" i="34"/>
  <c r="E29" i="35"/>
  <c r="M32" i="34"/>
  <c r="I20" i="35"/>
  <c r="N12" i="34"/>
  <c r="K29" i="35"/>
  <c r="E32" i="34"/>
  <c r="H22" i="34"/>
  <c r="H20" i="35"/>
  <c r="G22" i="34"/>
  <c r="J29" i="35"/>
  <c r="L32" i="34"/>
  <c r="F22" i="34"/>
  <c r="G20" i="35"/>
  <c r="I22" i="34"/>
  <c r="F11" i="34"/>
  <c r="G11" i="34"/>
  <c r="H11" i="34"/>
  <c r="I11" i="34"/>
  <c r="M11" i="34"/>
  <c r="J11" i="34"/>
  <c r="K11" i="34"/>
  <c r="L11" i="34"/>
  <c r="E11" i="34"/>
  <c r="I29" i="35"/>
  <c r="K32" i="34"/>
  <c r="M22" i="34"/>
  <c r="F20" i="35"/>
  <c r="H29" i="35"/>
  <c r="H32" i="34"/>
  <c r="I32" i="34"/>
  <c r="E22" i="34"/>
  <c r="M20" i="35"/>
  <c r="G29" i="35"/>
  <c r="G32" i="34"/>
  <c r="L22" i="34"/>
  <c r="E20" i="35"/>
  <c r="F29" i="35"/>
  <c r="J32" i="34"/>
  <c r="K22" i="34"/>
  <c r="L20" i="35"/>
  <c r="I10" i="35"/>
  <c r="J10" i="35"/>
  <c r="K10" i="35"/>
  <c r="L10" i="35"/>
  <c r="E10" i="35"/>
  <c r="M10" i="35"/>
  <c r="F10" i="35"/>
  <c r="G10" i="35"/>
  <c r="H10" i="35"/>
  <c r="J22" i="34"/>
  <c r="J20" i="35"/>
  <c r="K20" i="35"/>
  <c r="V33" i="34"/>
  <c r="P33" i="34"/>
  <c r="W33" i="34"/>
  <c r="V30" i="35"/>
  <c r="W30" i="35"/>
  <c r="P30" i="35"/>
  <c r="A39" i="9"/>
  <c r="B39" i="9"/>
  <c r="B37" i="35"/>
  <c r="C38" i="35"/>
  <c r="A37" i="35"/>
  <c r="C19" i="35"/>
  <c r="C9" i="35" s="1"/>
  <c r="B41" i="34"/>
  <c r="C42" i="34"/>
  <c r="A41" i="34"/>
  <c r="C21" i="34"/>
  <c r="C10" i="34" s="1"/>
  <c r="S33" i="34"/>
  <c r="AA30" i="35"/>
  <c r="N30" i="35"/>
  <c r="S30" i="35" s="1"/>
  <c r="R30" i="35"/>
  <c r="A27" i="35"/>
  <c r="B27" i="35"/>
  <c r="C28" i="35"/>
  <c r="K28" i="35" s="1"/>
  <c r="B18" i="35"/>
  <c r="B8" i="35" s="1"/>
  <c r="A9" i="35"/>
  <c r="O30" i="35"/>
  <c r="A18" i="35"/>
  <c r="A20" i="34"/>
  <c r="A10" i="34"/>
  <c r="C31" i="34"/>
  <c r="G31" i="34" s="1"/>
  <c r="A30" i="34"/>
  <c r="B20" i="34"/>
  <c r="B9" i="34" s="1"/>
  <c r="B30" i="34"/>
  <c r="O33" i="34"/>
  <c r="R33" i="34"/>
  <c r="AA33" i="34"/>
  <c r="AE22" i="34" l="1"/>
  <c r="AE33" i="34" s="1"/>
  <c r="AE44" i="34" s="1"/>
  <c r="AE24" i="34"/>
  <c r="AE35" i="34" s="1"/>
  <c r="AF30" i="35"/>
  <c r="AT31" i="34"/>
  <c r="AF22" i="34"/>
  <c r="BA31" i="34"/>
  <c r="AX31" i="34"/>
  <c r="AF33" i="34"/>
  <c r="AV31" i="34"/>
  <c r="AU31" i="34"/>
  <c r="AZ40" i="35"/>
  <c r="BA40" i="35"/>
  <c r="AX40" i="35"/>
  <c r="AR19" i="35"/>
  <c r="BA19" i="35"/>
  <c r="AV19" i="35"/>
  <c r="AY40" i="35"/>
  <c r="AT28" i="35"/>
  <c r="AR28" i="35"/>
  <c r="AE9" i="35"/>
  <c r="AE19" i="35" s="1"/>
  <c r="AE29" i="35" s="1"/>
  <c r="AE39" i="35" s="1"/>
  <c r="AV9" i="35"/>
  <c r="AR9" i="35"/>
  <c r="AZ9" i="35"/>
  <c r="AW9" i="35"/>
  <c r="AX9" i="35"/>
  <c r="AY9" i="35"/>
  <c r="BA9" i="35"/>
  <c r="AS9" i="35"/>
  <c r="AT9" i="35"/>
  <c r="AU9" i="35"/>
  <c r="AY19" i="35"/>
  <c r="AT19" i="35"/>
  <c r="AW40" i="35"/>
  <c r="AZ28" i="35"/>
  <c r="AX28" i="35"/>
  <c r="BA44" i="34"/>
  <c r="AX19" i="35"/>
  <c r="BA28" i="35"/>
  <c r="AV28" i="35"/>
  <c r="AY44" i="34"/>
  <c r="AW19" i="35"/>
  <c r="AY28" i="35"/>
  <c r="AU19" i="35"/>
  <c r="AW28" i="35"/>
  <c r="AS19" i="35"/>
  <c r="BB10" i="35"/>
  <c r="AU28" i="35"/>
  <c r="BB20" i="35"/>
  <c r="AZ19" i="35"/>
  <c r="BB29" i="35"/>
  <c r="AS28" i="35"/>
  <c r="AS31" i="34"/>
  <c r="AT21" i="34"/>
  <c r="AW21" i="34"/>
  <c r="AX44" i="34"/>
  <c r="AX21" i="34"/>
  <c r="AE10" i="34"/>
  <c r="AE21" i="34" s="1"/>
  <c r="AE32" i="34" s="1"/>
  <c r="AE43" i="34" s="1"/>
  <c r="AV10" i="34"/>
  <c r="AX10" i="34"/>
  <c r="AW10" i="34"/>
  <c r="AZ10" i="34"/>
  <c r="AY10" i="34"/>
  <c r="AR10" i="34"/>
  <c r="AS10" i="34"/>
  <c r="AT10" i="34"/>
  <c r="AU10" i="34"/>
  <c r="BA10" i="34"/>
  <c r="AR31" i="34"/>
  <c r="AS21" i="34"/>
  <c r="AV21" i="34"/>
  <c r="AW44" i="34"/>
  <c r="AY31" i="34"/>
  <c r="BA21" i="34"/>
  <c r="AZ31" i="34"/>
  <c r="BB22" i="34"/>
  <c r="AU21" i="34"/>
  <c r="BB32" i="34"/>
  <c r="AZ44" i="34"/>
  <c r="AZ21" i="34"/>
  <c r="BB11" i="34"/>
  <c r="AW31" i="34"/>
  <c r="AR21" i="34"/>
  <c r="AY21" i="34"/>
  <c r="I31" i="34"/>
  <c r="M19" i="35"/>
  <c r="J28" i="35"/>
  <c r="H21" i="34"/>
  <c r="J21" i="34"/>
  <c r="G21" i="34"/>
  <c r="F31" i="34"/>
  <c r="E19" i="35"/>
  <c r="I28" i="35"/>
  <c r="F21" i="34"/>
  <c r="M31" i="34"/>
  <c r="K19" i="35"/>
  <c r="L19" i="35"/>
  <c r="H28" i="35"/>
  <c r="N11" i="34"/>
  <c r="S11" i="34" s="1"/>
  <c r="I21" i="34"/>
  <c r="E31" i="34"/>
  <c r="J19" i="35"/>
  <c r="G28" i="35"/>
  <c r="M21" i="34"/>
  <c r="K31" i="34"/>
  <c r="I19" i="35"/>
  <c r="M28" i="35"/>
  <c r="F28" i="35"/>
  <c r="E21" i="34"/>
  <c r="L31" i="34"/>
  <c r="J31" i="34"/>
  <c r="H19" i="35"/>
  <c r="N32" i="34"/>
  <c r="S32" i="34" s="1"/>
  <c r="E28" i="35"/>
  <c r="I9" i="35"/>
  <c r="J9" i="35"/>
  <c r="K9" i="35"/>
  <c r="E9" i="35"/>
  <c r="L9" i="35"/>
  <c r="M9" i="35"/>
  <c r="F9" i="35"/>
  <c r="G9" i="35"/>
  <c r="H9" i="35"/>
  <c r="G10" i="34"/>
  <c r="H10" i="34"/>
  <c r="I10" i="34"/>
  <c r="J10" i="34"/>
  <c r="K10" i="34"/>
  <c r="L10" i="34"/>
  <c r="F10" i="34"/>
  <c r="E10" i="34"/>
  <c r="M10" i="34"/>
  <c r="L21" i="34"/>
  <c r="H31" i="34"/>
  <c r="G19" i="35"/>
  <c r="L28" i="35"/>
  <c r="N22" i="34"/>
  <c r="S22" i="34" s="1"/>
  <c r="K21" i="34"/>
  <c r="F19" i="35"/>
  <c r="V20" i="35"/>
  <c r="W22" i="34"/>
  <c r="W32" i="34"/>
  <c r="P32" i="34"/>
  <c r="V32" i="34"/>
  <c r="W29" i="35"/>
  <c r="P20" i="35"/>
  <c r="P22" i="34"/>
  <c r="W10" i="35"/>
  <c r="V22" i="34"/>
  <c r="P11" i="34"/>
  <c r="W11" i="34"/>
  <c r="V11" i="34"/>
  <c r="V10" i="35"/>
  <c r="V29" i="35"/>
  <c r="W20" i="35"/>
  <c r="P29" i="35"/>
  <c r="P10" i="35"/>
  <c r="AA22" i="34"/>
  <c r="AA20" i="35"/>
  <c r="AF20" i="35"/>
  <c r="O20" i="35"/>
  <c r="A38" i="9"/>
  <c r="B38" i="9"/>
  <c r="N20" i="35"/>
  <c r="S20" i="35" s="1"/>
  <c r="R20" i="35"/>
  <c r="R22" i="34"/>
  <c r="O22" i="34"/>
  <c r="A36" i="35"/>
  <c r="C37" i="35"/>
  <c r="B36" i="35"/>
  <c r="C18" i="35"/>
  <c r="C8" i="35" s="1"/>
  <c r="B40" i="34"/>
  <c r="C41" i="34"/>
  <c r="A40" i="34"/>
  <c r="C20" i="34"/>
  <c r="C9" i="34" s="1"/>
  <c r="Z33" i="34"/>
  <c r="AB33" i="34"/>
  <c r="AD33" i="34" s="1"/>
  <c r="AA29" i="35"/>
  <c r="AF10" i="35"/>
  <c r="O29" i="35"/>
  <c r="N29" i="35"/>
  <c r="S29" i="35" s="1"/>
  <c r="Z30" i="35"/>
  <c r="N10" i="35"/>
  <c r="S10" i="35" s="1"/>
  <c r="R29" i="35"/>
  <c r="R10" i="35"/>
  <c r="T30" i="35"/>
  <c r="U30" i="35" s="1"/>
  <c r="O10" i="35"/>
  <c r="AB30" i="35"/>
  <c r="AD30" i="35" s="1"/>
  <c r="AA10" i="35"/>
  <c r="C27" i="35"/>
  <c r="G27" i="35" s="1"/>
  <c r="A26" i="35"/>
  <c r="B17" i="35"/>
  <c r="B7" i="35" s="1"/>
  <c r="B26" i="35"/>
  <c r="X30" i="35"/>
  <c r="A8" i="35"/>
  <c r="Q30" i="35"/>
  <c r="Y30" i="35" s="1"/>
  <c r="AC30" i="35"/>
  <c r="A17" i="35"/>
  <c r="R32" i="34"/>
  <c r="AA32" i="34"/>
  <c r="AF11" i="34"/>
  <c r="O32" i="34"/>
  <c r="R11" i="34"/>
  <c r="X33" i="34"/>
  <c r="Q33" i="34"/>
  <c r="Y33" i="34" s="1"/>
  <c r="AC33" i="34"/>
  <c r="AA11" i="34"/>
  <c r="A19" i="34"/>
  <c r="A29" i="34"/>
  <c r="C30" i="34"/>
  <c r="J30" i="34" s="1"/>
  <c r="B19" i="34"/>
  <c r="B8" i="34" s="1"/>
  <c r="B29" i="34"/>
  <c r="O11" i="34"/>
  <c r="T33" i="34"/>
  <c r="U33" i="34" s="1"/>
  <c r="A9" i="34"/>
  <c r="AY30" i="34" l="1"/>
  <c r="AF29" i="35"/>
  <c r="AT30" i="34"/>
  <c r="AX27" i="35"/>
  <c r="AZ30" i="34"/>
  <c r="AT18" i="35"/>
  <c r="AW27" i="35"/>
  <c r="BA39" i="35"/>
  <c r="AW39" i="35"/>
  <c r="AX43" i="34"/>
  <c r="AF32" i="34"/>
  <c r="AU27" i="35"/>
  <c r="AW18" i="35"/>
  <c r="AX18" i="35"/>
  <c r="AE8" i="35"/>
  <c r="AE18" i="35" s="1"/>
  <c r="AE28" i="35" s="1"/>
  <c r="AE38" i="35" s="1"/>
  <c r="AX8" i="35"/>
  <c r="AT8" i="35"/>
  <c r="AV8" i="35"/>
  <c r="AW8" i="35"/>
  <c r="AZ8" i="35"/>
  <c r="BA8" i="35"/>
  <c r="AR8" i="35"/>
  <c r="AU8" i="35"/>
  <c r="AY8" i="35"/>
  <c r="AS8" i="35"/>
  <c r="AT27" i="35"/>
  <c r="AU18" i="35"/>
  <c r="AV18" i="35"/>
  <c r="BB28" i="35"/>
  <c r="AY43" i="34"/>
  <c r="AS27" i="35"/>
  <c r="AY18" i="35"/>
  <c r="AY39" i="35"/>
  <c r="BB21" i="34"/>
  <c r="BA27" i="35"/>
  <c r="AS18" i="35"/>
  <c r="AX39" i="35"/>
  <c r="AV27" i="35"/>
  <c r="AR18" i="35"/>
  <c r="BA43" i="34"/>
  <c r="AZ27" i="35"/>
  <c r="BA18" i="35"/>
  <c r="AZ39" i="35"/>
  <c r="AY27" i="35"/>
  <c r="AR27" i="35"/>
  <c r="AZ18" i="35"/>
  <c r="BB9" i="35"/>
  <c r="BB19" i="35"/>
  <c r="AV30" i="34"/>
  <c r="AX30" i="34"/>
  <c r="AY20" i="34"/>
  <c r="AR20" i="34"/>
  <c r="AU30" i="34"/>
  <c r="AW30" i="34"/>
  <c r="AW20" i="34"/>
  <c r="AZ20" i="34"/>
  <c r="AE9" i="34"/>
  <c r="AE20" i="34" s="1"/>
  <c r="AE31" i="34" s="1"/>
  <c r="AE42" i="34" s="1"/>
  <c r="AX9" i="34"/>
  <c r="AR9" i="34"/>
  <c r="AY9" i="34"/>
  <c r="AZ9" i="34"/>
  <c r="AS9" i="34"/>
  <c r="BA9" i="34"/>
  <c r="AT9" i="34"/>
  <c r="AV9" i="34"/>
  <c r="AW9" i="34"/>
  <c r="AU9" i="34"/>
  <c r="I20" i="34"/>
  <c r="BA30" i="34"/>
  <c r="AV20" i="34"/>
  <c r="AX20" i="34"/>
  <c r="H20" i="34"/>
  <c r="AS30" i="34"/>
  <c r="AU20" i="34"/>
  <c r="BB10" i="34"/>
  <c r="AT20" i="34"/>
  <c r="BA20" i="34"/>
  <c r="AZ43" i="34"/>
  <c r="AR30" i="34"/>
  <c r="AS20" i="34"/>
  <c r="BB31" i="34"/>
  <c r="AW43" i="34"/>
  <c r="N31" i="34"/>
  <c r="Z31" i="34" s="1"/>
  <c r="N21" i="34"/>
  <c r="S21" i="34" s="1"/>
  <c r="M20" i="34"/>
  <c r="G18" i="35"/>
  <c r="L20" i="34"/>
  <c r="M27" i="35"/>
  <c r="K30" i="34"/>
  <c r="F20" i="34"/>
  <c r="I30" i="34"/>
  <c r="N30" i="34" s="1"/>
  <c r="F18" i="35"/>
  <c r="E27" i="35"/>
  <c r="H30" i="34"/>
  <c r="M18" i="35"/>
  <c r="L27" i="35"/>
  <c r="H9" i="34"/>
  <c r="I9" i="34"/>
  <c r="J9" i="34"/>
  <c r="K9" i="34"/>
  <c r="G9" i="34"/>
  <c r="L9" i="34"/>
  <c r="E9" i="34"/>
  <c r="M9" i="34"/>
  <c r="F9" i="34"/>
  <c r="K20" i="34"/>
  <c r="E20" i="34"/>
  <c r="F30" i="34"/>
  <c r="L18" i="35"/>
  <c r="E18" i="35"/>
  <c r="K27" i="35"/>
  <c r="I8" i="35"/>
  <c r="J8" i="35"/>
  <c r="E8" i="35"/>
  <c r="K8" i="35"/>
  <c r="L8" i="35"/>
  <c r="M8" i="35"/>
  <c r="F8" i="35"/>
  <c r="G8" i="35"/>
  <c r="H8" i="35"/>
  <c r="J20" i="34"/>
  <c r="G30" i="34"/>
  <c r="K18" i="35"/>
  <c r="J27" i="35"/>
  <c r="M30" i="34"/>
  <c r="J18" i="35"/>
  <c r="I27" i="35"/>
  <c r="L30" i="34"/>
  <c r="E30" i="34"/>
  <c r="I18" i="35"/>
  <c r="H27" i="35"/>
  <c r="G20" i="34"/>
  <c r="N10" i="34"/>
  <c r="S10" i="34" s="1"/>
  <c r="H18" i="35"/>
  <c r="F27" i="35"/>
  <c r="A40" i="20"/>
  <c r="A46" i="20"/>
  <c r="AI243" i="30"/>
  <c r="AI253" i="30"/>
  <c r="AI252" i="30"/>
  <c r="AI244" i="30"/>
  <c r="AI249" i="30"/>
  <c r="AI247" i="30"/>
  <c r="AI246" i="30"/>
  <c r="AI248" i="30"/>
  <c r="AI251" i="30"/>
  <c r="AI245" i="30"/>
  <c r="AI250" i="30"/>
  <c r="AI255" i="30"/>
  <c r="AI254" i="30"/>
  <c r="AI261" i="30"/>
  <c r="AI257" i="30"/>
  <c r="AI259" i="30"/>
  <c r="AI258" i="30"/>
  <c r="AI260" i="30"/>
  <c r="AI256" i="30"/>
  <c r="AI262" i="30"/>
  <c r="V10" i="34"/>
  <c r="W28" i="35"/>
  <c r="W21" i="34"/>
  <c r="V21" i="34"/>
  <c r="AC22" i="34"/>
  <c r="P10" i="34"/>
  <c r="P21" i="34"/>
  <c r="V9" i="35"/>
  <c r="W19" i="35"/>
  <c r="Z20" i="35"/>
  <c r="V31" i="34"/>
  <c r="P19" i="35"/>
  <c r="P31" i="34"/>
  <c r="W10" i="34"/>
  <c r="W31" i="34"/>
  <c r="V19" i="35"/>
  <c r="W9" i="35"/>
  <c r="V28" i="35"/>
  <c r="P28" i="35"/>
  <c r="P9" i="35"/>
  <c r="AB22" i="34"/>
  <c r="AD22" i="34" s="1"/>
  <c r="N19" i="35"/>
  <c r="Z19" i="35" s="1"/>
  <c r="O21" i="34"/>
  <c r="A37" i="9"/>
  <c r="B37" i="9"/>
  <c r="O19" i="35"/>
  <c r="T20" i="35"/>
  <c r="U20" i="35" s="1"/>
  <c r="AB20" i="35"/>
  <c r="AD20" i="35" s="1"/>
  <c r="AC20" i="35"/>
  <c r="Q20" i="35"/>
  <c r="Y20" i="35" s="1"/>
  <c r="X20" i="35"/>
  <c r="R19" i="35"/>
  <c r="AA19" i="35"/>
  <c r="AF21" i="34"/>
  <c r="AF19" i="35"/>
  <c r="Z22" i="34"/>
  <c r="X22" i="34"/>
  <c r="Q22" i="34"/>
  <c r="Y22" i="34" s="1"/>
  <c r="T22" i="34"/>
  <c r="U22" i="34" s="1"/>
  <c r="B35" i="35"/>
  <c r="A35" i="35"/>
  <c r="C36" i="35"/>
  <c r="AA21" i="34"/>
  <c r="C17" i="35"/>
  <c r="C7" i="35" s="1"/>
  <c r="R21" i="34"/>
  <c r="A39" i="34"/>
  <c r="B39" i="34"/>
  <c r="C40" i="34"/>
  <c r="C19" i="34"/>
  <c r="C8" i="34" s="1"/>
  <c r="AC29" i="35"/>
  <c r="T29" i="35"/>
  <c r="U29" i="35" s="1"/>
  <c r="X29" i="35"/>
  <c r="R28" i="35"/>
  <c r="Z29" i="35"/>
  <c r="Q29" i="35"/>
  <c r="Y29" i="35" s="1"/>
  <c r="AB29" i="35"/>
  <c r="AD29" i="35" s="1"/>
  <c r="T10" i="35"/>
  <c r="U10" i="35" s="1"/>
  <c r="Z10" i="35"/>
  <c r="X10" i="35"/>
  <c r="N28" i="35"/>
  <c r="S28" i="35" s="1"/>
  <c r="AA28" i="35"/>
  <c r="AA9" i="35"/>
  <c r="C26" i="35"/>
  <c r="E26" i="35" s="1"/>
  <c r="B25" i="35"/>
  <c r="A25" i="35"/>
  <c r="B16" i="35"/>
  <c r="B6" i="35" s="1"/>
  <c r="A16" i="35"/>
  <c r="AB10" i="35"/>
  <c r="AD10" i="35" s="1"/>
  <c r="R9" i="35"/>
  <c r="Q10" i="35"/>
  <c r="Y10" i="35" s="1"/>
  <c r="AC10" i="35"/>
  <c r="O28" i="35"/>
  <c r="AF9" i="35"/>
  <c r="O9" i="35"/>
  <c r="N9" i="35"/>
  <c r="S9" i="35" s="1"/>
  <c r="A7" i="35"/>
  <c r="AA31" i="34"/>
  <c r="Z32" i="34"/>
  <c r="AC32" i="34"/>
  <c r="X32" i="34"/>
  <c r="AB32" i="34"/>
  <c r="AD32" i="34" s="1"/>
  <c r="T32" i="34"/>
  <c r="U32" i="34" s="1"/>
  <c r="R31" i="34"/>
  <c r="Q32" i="34"/>
  <c r="Y32" i="34" s="1"/>
  <c r="O31" i="34"/>
  <c r="AA10" i="34"/>
  <c r="Z11" i="34"/>
  <c r="AF10" i="34"/>
  <c r="T11" i="34"/>
  <c r="U11" i="34" s="1"/>
  <c r="AB11" i="34"/>
  <c r="AD11" i="34" s="1"/>
  <c r="X11" i="34"/>
  <c r="B28" i="34"/>
  <c r="B18" i="34"/>
  <c r="B7" i="34" s="1"/>
  <c r="C29" i="34"/>
  <c r="K29" i="34" s="1"/>
  <c r="A28" i="34"/>
  <c r="A8" i="34"/>
  <c r="O10" i="34"/>
  <c r="AC11" i="34"/>
  <c r="Q11" i="34"/>
  <c r="Y11" i="34" s="1"/>
  <c r="A18" i="34"/>
  <c r="R10" i="34"/>
  <c r="AW42" i="34" l="1"/>
  <c r="AF20" i="34"/>
  <c r="N20" i="34"/>
  <c r="AY29" i="34"/>
  <c r="AV19" i="34"/>
  <c r="AT26" i="35"/>
  <c r="AW17" i="35"/>
  <c r="AW29" i="34"/>
  <c r="AF31" i="34"/>
  <c r="AX38" i="35"/>
  <c r="AF28" i="35"/>
  <c r="BE28" i="35" s="1"/>
  <c r="BB27" i="35"/>
  <c r="AV17" i="35"/>
  <c r="AU26" i="35"/>
  <c r="AZ26" i="35"/>
  <c r="AZ17" i="35"/>
  <c r="AS26" i="35"/>
  <c r="AR26" i="35"/>
  <c r="AY38" i="35"/>
  <c r="AT17" i="35"/>
  <c r="AR17" i="35"/>
  <c r="AV26" i="35"/>
  <c r="BB18" i="35"/>
  <c r="BB30" i="34"/>
  <c r="AU17" i="35"/>
  <c r="AX17" i="35"/>
  <c r="BA26" i="35"/>
  <c r="BB8" i="35"/>
  <c r="AS17" i="35"/>
  <c r="AY26" i="35"/>
  <c r="BA38" i="35"/>
  <c r="AE7" i="35"/>
  <c r="AE17" i="35" s="1"/>
  <c r="AE27" i="35" s="1"/>
  <c r="AE37" i="35" s="1"/>
  <c r="AX7" i="35"/>
  <c r="AR7" i="35"/>
  <c r="AZ7" i="35"/>
  <c r="AV7" i="35"/>
  <c r="AT7" i="35"/>
  <c r="AU7" i="35"/>
  <c r="AY7" i="35"/>
  <c r="BA7" i="35"/>
  <c r="AW7" i="35"/>
  <c r="AS7" i="35"/>
  <c r="BA17" i="35"/>
  <c r="AW26" i="35"/>
  <c r="AZ38" i="35"/>
  <c r="AY17" i="35"/>
  <c r="AX26" i="35"/>
  <c r="AW38" i="35"/>
  <c r="AU19" i="34"/>
  <c r="AU29" i="34"/>
  <c r="BA42" i="34"/>
  <c r="AE8" i="34"/>
  <c r="AE19" i="34" s="1"/>
  <c r="AE30" i="34" s="1"/>
  <c r="AE41" i="34" s="1"/>
  <c r="AR8" i="34"/>
  <c r="AZ8" i="34"/>
  <c r="AS8" i="34"/>
  <c r="BA8" i="34"/>
  <c r="AT8" i="34"/>
  <c r="AU8" i="34"/>
  <c r="AV8" i="34"/>
  <c r="AW8" i="34"/>
  <c r="AY8" i="34"/>
  <c r="AX8" i="34"/>
  <c r="BA19" i="34"/>
  <c r="AV29" i="34"/>
  <c r="AS19" i="34"/>
  <c r="AT29" i="34"/>
  <c r="AZ42" i="34"/>
  <c r="AT19" i="34"/>
  <c r="BA29" i="34"/>
  <c r="AY42" i="34"/>
  <c r="BB20" i="34"/>
  <c r="AX19" i="34"/>
  <c r="AZ19" i="34"/>
  <c r="AS29" i="34"/>
  <c r="BB9" i="34"/>
  <c r="AW19" i="34"/>
  <c r="AR19" i="34"/>
  <c r="AZ29" i="34"/>
  <c r="AX42" i="34"/>
  <c r="AY19" i="34"/>
  <c r="AX29" i="34"/>
  <c r="AR29" i="34"/>
  <c r="L26" i="35"/>
  <c r="K17" i="35"/>
  <c r="E19" i="34"/>
  <c r="F19" i="34"/>
  <c r="N9" i="34"/>
  <c r="S9" i="34" s="1"/>
  <c r="K26" i="35"/>
  <c r="K19" i="34"/>
  <c r="J17" i="35"/>
  <c r="I29" i="34"/>
  <c r="J26" i="35"/>
  <c r="L19" i="34"/>
  <c r="I17" i="35"/>
  <c r="H29" i="34"/>
  <c r="J29" i="34"/>
  <c r="I26" i="35"/>
  <c r="J19" i="34"/>
  <c r="H17" i="35"/>
  <c r="G29" i="34"/>
  <c r="J8" i="34"/>
  <c r="K8" i="34"/>
  <c r="E8" i="34"/>
  <c r="L8" i="34"/>
  <c r="F8" i="34"/>
  <c r="M8" i="34"/>
  <c r="I8" i="34"/>
  <c r="G8" i="34"/>
  <c r="H8" i="34"/>
  <c r="I7" i="35"/>
  <c r="E7" i="35"/>
  <c r="J7" i="35"/>
  <c r="K7" i="35"/>
  <c r="L7" i="35"/>
  <c r="M7" i="35"/>
  <c r="F7" i="35"/>
  <c r="G7" i="35"/>
  <c r="H7" i="35"/>
  <c r="G26" i="35"/>
  <c r="H26" i="35"/>
  <c r="I19" i="34"/>
  <c r="G17" i="35"/>
  <c r="F29" i="34"/>
  <c r="F26" i="35"/>
  <c r="H19" i="34"/>
  <c r="M17" i="35"/>
  <c r="F17" i="35"/>
  <c r="M29" i="34"/>
  <c r="M26" i="35"/>
  <c r="G19" i="34"/>
  <c r="E17" i="35"/>
  <c r="L29" i="34"/>
  <c r="E29" i="34"/>
  <c r="M19" i="34"/>
  <c r="L17" i="35"/>
  <c r="A47" i="20"/>
  <c r="H46" i="20"/>
  <c r="A41" i="20"/>
  <c r="H40" i="20"/>
  <c r="W18" i="35"/>
  <c r="V30" i="34"/>
  <c r="W30" i="34"/>
  <c r="V20" i="34"/>
  <c r="P30" i="34"/>
  <c r="P20" i="34"/>
  <c r="W20" i="34"/>
  <c r="P9" i="34"/>
  <c r="V8" i="35"/>
  <c r="V9" i="34"/>
  <c r="W9" i="34"/>
  <c r="W8" i="35"/>
  <c r="V18" i="35"/>
  <c r="W27" i="35"/>
  <c r="P8" i="35"/>
  <c r="V27" i="35"/>
  <c r="P27" i="35"/>
  <c r="P18" i="35"/>
  <c r="S19" i="35"/>
  <c r="X19" i="35" s="1"/>
  <c r="T19" i="35"/>
  <c r="U19" i="35" s="1"/>
  <c r="AC21" i="34"/>
  <c r="B36" i="9"/>
  <c r="A36" i="9"/>
  <c r="AC19" i="35"/>
  <c r="Q19" i="35"/>
  <c r="Y19" i="35" s="1"/>
  <c r="AA18" i="35"/>
  <c r="AF18" i="35"/>
  <c r="BE18" i="35" s="1"/>
  <c r="R18" i="35"/>
  <c r="R20" i="34"/>
  <c r="AB21" i="34"/>
  <c r="AD21" i="34" s="1"/>
  <c r="Z20" i="34"/>
  <c r="N18" i="35"/>
  <c r="S18" i="35" s="1"/>
  <c r="AB19" i="35"/>
  <c r="AD19" i="35" s="1"/>
  <c r="O18" i="35"/>
  <c r="O20" i="34"/>
  <c r="AA20" i="34"/>
  <c r="X21" i="34"/>
  <c r="Q21" i="34"/>
  <c r="Y21" i="34" s="1"/>
  <c r="T21" i="34"/>
  <c r="U21" i="34" s="1"/>
  <c r="B34" i="35"/>
  <c r="C35" i="35"/>
  <c r="A34" i="35"/>
  <c r="Z21" i="34"/>
  <c r="C16" i="35"/>
  <c r="C6" i="35" s="1"/>
  <c r="C39" i="34"/>
  <c r="A38" i="34"/>
  <c r="B38" i="34"/>
  <c r="C18" i="34"/>
  <c r="C7" i="34" s="1"/>
  <c r="AC31" i="34"/>
  <c r="X28" i="35"/>
  <c r="AB28" i="35"/>
  <c r="AD28" i="35" s="1"/>
  <c r="AF8" i="35"/>
  <c r="BE8" i="35" s="1"/>
  <c r="N27" i="35"/>
  <c r="S27" i="35" s="1"/>
  <c r="Z28" i="35"/>
  <c r="R27" i="35"/>
  <c r="AA27" i="35"/>
  <c r="AB9" i="35"/>
  <c r="AD9" i="35" s="1"/>
  <c r="AA8" i="35"/>
  <c r="R8" i="35"/>
  <c r="Z9" i="35"/>
  <c r="X9" i="35"/>
  <c r="O8" i="35"/>
  <c r="AC28" i="35"/>
  <c r="Q28" i="35"/>
  <c r="Y28" i="35" s="1"/>
  <c r="T28" i="35"/>
  <c r="U28" i="35" s="1"/>
  <c r="N8" i="35"/>
  <c r="S8" i="35" s="1"/>
  <c r="A6" i="35"/>
  <c r="A15" i="35"/>
  <c r="AC9" i="35"/>
  <c r="Q9" i="35"/>
  <c r="Y9" i="35" s="1"/>
  <c r="O27" i="35"/>
  <c r="T9" i="35"/>
  <c r="U9" i="35" s="1"/>
  <c r="A24" i="35"/>
  <c r="C25" i="35"/>
  <c r="G25" i="35" s="1"/>
  <c r="B24" i="35"/>
  <c r="B15" i="35"/>
  <c r="B5" i="35" s="1"/>
  <c r="AB31" i="34"/>
  <c r="AD31" i="34" s="1"/>
  <c r="S31" i="34"/>
  <c r="X31" i="34" s="1"/>
  <c r="AA30" i="34"/>
  <c r="T31" i="34"/>
  <c r="U31" i="34" s="1"/>
  <c r="Q31" i="34"/>
  <c r="Y31" i="34" s="1"/>
  <c r="AA9" i="34"/>
  <c r="T10" i="34"/>
  <c r="U10" i="34" s="1"/>
  <c r="Z30" i="34"/>
  <c r="Z10" i="34"/>
  <c r="A17" i="34"/>
  <c r="X10" i="34"/>
  <c r="AF9" i="34"/>
  <c r="O9" i="34"/>
  <c r="O30" i="34"/>
  <c r="AB10" i="34"/>
  <c r="AD10" i="34" s="1"/>
  <c r="R9" i="34"/>
  <c r="A7" i="34"/>
  <c r="AC10" i="34"/>
  <c r="Q10" i="34"/>
  <c r="Y10" i="34" s="1"/>
  <c r="R30" i="34"/>
  <c r="B17" i="34"/>
  <c r="B6" i="34" s="1"/>
  <c r="C28" i="34"/>
  <c r="J28" i="34" s="1"/>
  <c r="A27" i="34"/>
  <c r="B27" i="34"/>
  <c r="A35" i="9" l="1"/>
  <c r="B35" i="9"/>
  <c r="AW37" i="35"/>
  <c r="AF30" i="34"/>
  <c r="AF17" i="35"/>
  <c r="BE17" i="35" s="1"/>
  <c r="AF27" i="35"/>
  <c r="BE27" i="35" s="1"/>
  <c r="AS16" i="35"/>
  <c r="BA16" i="35"/>
  <c r="AZ16" i="35"/>
  <c r="AR16" i="35"/>
  <c r="AW25" i="35"/>
  <c r="AZ37" i="35"/>
  <c r="AX37" i="35"/>
  <c r="AY37" i="35"/>
  <c r="AX16" i="35"/>
  <c r="AY25" i="35"/>
  <c r="AT16" i="35"/>
  <c r="BA37" i="35"/>
  <c r="AX25" i="35"/>
  <c r="AY16" i="35"/>
  <c r="BB17" i="35"/>
  <c r="AZ25" i="35"/>
  <c r="AW16" i="35"/>
  <c r="AR25" i="35"/>
  <c r="AU25" i="35"/>
  <c r="AV16" i="35"/>
  <c r="AS25" i="35"/>
  <c r="AV25" i="35"/>
  <c r="AE6" i="35"/>
  <c r="AE16" i="35" s="1"/>
  <c r="AE26" i="35" s="1"/>
  <c r="AE36" i="35" s="1"/>
  <c r="AR6" i="35"/>
  <c r="AZ6" i="35"/>
  <c r="AT6" i="35"/>
  <c r="AX6" i="35"/>
  <c r="AS6" i="35"/>
  <c r="AV6" i="35"/>
  <c r="AW6" i="35"/>
  <c r="AY6" i="35"/>
  <c r="BA6" i="35"/>
  <c r="AU6" i="35"/>
  <c r="BA41" i="34"/>
  <c r="AU16" i="35"/>
  <c r="BB7" i="35"/>
  <c r="BB26" i="35"/>
  <c r="BA25" i="35"/>
  <c r="AT25" i="35"/>
  <c r="AE7" i="34"/>
  <c r="AE18" i="34" s="1"/>
  <c r="AE29" i="34" s="1"/>
  <c r="AE40" i="34" s="1"/>
  <c r="AT7" i="34"/>
  <c r="AV7" i="34"/>
  <c r="AU7" i="34"/>
  <c r="AW7" i="34"/>
  <c r="AX7" i="34"/>
  <c r="AS7" i="34"/>
  <c r="AY7" i="34"/>
  <c r="AZ7" i="34"/>
  <c r="BA7" i="34"/>
  <c r="AR7" i="34"/>
  <c r="BA18" i="34"/>
  <c r="AU18" i="34"/>
  <c r="AX28" i="34"/>
  <c r="BB29" i="34"/>
  <c r="AZ18" i="34"/>
  <c r="AT18" i="34"/>
  <c r="AW28" i="34"/>
  <c r="AX41" i="34"/>
  <c r="AZ41" i="34"/>
  <c r="AV18" i="34"/>
  <c r="AY28" i="34"/>
  <c r="AY18" i="34"/>
  <c r="AV28" i="34"/>
  <c r="AY41" i="34"/>
  <c r="BB8" i="34"/>
  <c r="AS18" i="34"/>
  <c r="AU28" i="34"/>
  <c r="AW41" i="34"/>
  <c r="AR18" i="34"/>
  <c r="AT28" i="34"/>
  <c r="AX18" i="34"/>
  <c r="AZ28" i="34"/>
  <c r="BA28" i="34"/>
  <c r="BB19" i="34"/>
  <c r="AW18" i="34"/>
  <c r="AR28" i="34"/>
  <c r="AS28" i="34"/>
  <c r="F25" i="35"/>
  <c r="I16" i="35"/>
  <c r="M28" i="34"/>
  <c r="N19" i="34"/>
  <c r="S19" i="34" s="1"/>
  <c r="N8" i="34"/>
  <c r="I6" i="35"/>
  <c r="J6" i="35"/>
  <c r="K6" i="35"/>
  <c r="L6" i="35"/>
  <c r="M6" i="35"/>
  <c r="F6" i="35"/>
  <c r="G6" i="35"/>
  <c r="H6" i="35"/>
  <c r="E6" i="35"/>
  <c r="M25" i="35"/>
  <c r="L18" i="34"/>
  <c r="H16" i="35"/>
  <c r="I28" i="34"/>
  <c r="N28" i="34" s="1"/>
  <c r="E25" i="35"/>
  <c r="K18" i="34"/>
  <c r="F16" i="35"/>
  <c r="G16" i="35"/>
  <c r="G28" i="34"/>
  <c r="K7" i="34"/>
  <c r="L7" i="34"/>
  <c r="E7" i="34"/>
  <c r="M7" i="34"/>
  <c r="F7" i="34"/>
  <c r="J7" i="34"/>
  <c r="G7" i="34"/>
  <c r="H7" i="34"/>
  <c r="I7" i="34"/>
  <c r="L25" i="35"/>
  <c r="F18" i="34"/>
  <c r="M16" i="35"/>
  <c r="L28" i="34"/>
  <c r="F28" i="34"/>
  <c r="K25" i="35"/>
  <c r="J18" i="34"/>
  <c r="E16" i="35"/>
  <c r="AF16" i="35" s="1"/>
  <c r="BE16" i="35" s="1"/>
  <c r="H28" i="34"/>
  <c r="N29" i="34"/>
  <c r="Z29" i="34" s="1"/>
  <c r="J25" i="35"/>
  <c r="I18" i="34"/>
  <c r="L16" i="35"/>
  <c r="E28" i="34"/>
  <c r="E18" i="34"/>
  <c r="AF18" i="34" s="1"/>
  <c r="BE18" i="34" s="1"/>
  <c r="H25" i="35"/>
  <c r="I25" i="35"/>
  <c r="H18" i="34"/>
  <c r="K16" i="35"/>
  <c r="K28" i="34"/>
  <c r="M18" i="34"/>
  <c r="G18" i="34"/>
  <c r="J16" i="35"/>
  <c r="A48" i="20"/>
  <c r="H47" i="20"/>
  <c r="A42" i="20"/>
  <c r="H41" i="20"/>
  <c r="A71" i="20"/>
  <c r="AI263" i="30"/>
  <c r="AI269" i="30"/>
  <c r="AI271" i="30"/>
  <c r="AI270" i="30"/>
  <c r="AI265" i="30"/>
  <c r="AI264" i="30"/>
  <c r="AI268" i="30"/>
  <c r="AI272" i="30"/>
  <c r="AI267" i="30"/>
  <c r="AI266" i="30"/>
  <c r="V19" i="34"/>
  <c r="W19" i="34"/>
  <c r="P19" i="34"/>
  <c r="V7" i="35"/>
  <c r="P7" i="35"/>
  <c r="W7" i="35"/>
  <c r="V8" i="34"/>
  <c r="P8" i="34"/>
  <c r="W26" i="35"/>
  <c r="V29" i="34"/>
  <c r="P29" i="34"/>
  <c r="V17" i="35"/>
  <c r="W29" i="34"/>
  <c r="W8" i="34"/>
  <c r="V26" i="35"/>
  <c r="W17" i="35"/>
  <c r="P26" i="35"/>
  <c r="P17" i="35"/>
  <c r="AC18" i="35"/>
  <c r="AB18" i="35"/>
  <c r="AD18" i="35" s="1"/>
  <c r="X18" i="35"/>
  <c r="O17" i="35"/>
  <c r="Z18" i="35"/>
  <c r="R17" i="35"/>
  <c r="T20" i="34"/>
  <c r="U20" i="34" s="1"/>
  <c r="N17" i="35"/>
  <c r="S17" i="35" s="1"/>
  <c r="S20" i="34"/>
  <c r="X20" i="34" s="1"/>
  <c r="R19" i="34"/>
  <c r="AA17" i="35"/>
  <c r="Q18" i="35"/>
  <c r="Y18" i="35" s="1"/>
  <c r="T18" i="35"/>
  <c r="U18" i="35" s="1"/>
  <c r="Q20" i="34"/>
  <c r="Y20" i="34" s="1"/>
  <c r="AB20" i="34"/>
  <c r="AD20" i="34" s="1"/>
  <c r="AC20" i="34"/>
  <c r="B33" i="35"/>
  <c r="C34" i="35"/>
  <c r="A33" i="35"/>
  <c r="C15" i="35"/>
  <c r="C5" i="35" s="1"/>
  <c r="AA19" i="34"/>
  <c r="AF19" i="34"/>
  <c r="O19" i="34"/>
  <c r="A37" i="34"/>
  <c r="B37" i="34"/>
  <c r="C38" i="34"/>
  <c r="C17" i="34"/>
  <c r="C6" i="34" s="1"/>
  <c r="Z27" i="35"/>
  <c r="AA26" i="35"/>
  <c r="R26" i="35"/>
  <c r="O26" i="35"/>
  <c r="X27" i="35"/>
  <c r="N26" i="35"/>
  <c r="S26" i="35" s="1"/>
  <c r="AB30" i="34"/>
  <c r="AD30" i="34" s="1"/>
  <c r="AB8" i="35"/>
  <c r="AD8" i="35" s="1"/>
  <c r="X8" i="35"/>
  <c r="R7" i="35"/>
  <c r="AA7" i="35"/>
  <c r="Z8" i="35"/>
  <c r="T27" i="35"/>
  <c r="U27" i="35" s="1"/>
  <c r="A5" i="35"/>
  <c r="AB27" i="35"/>
  <c r="AD27" i="35" s="1"/>
  <c r="O7" i="35"/>
  <c r="N7" i="35"/>
  <c r="S7" i="35" s="1"/>
  <c r="A14" i="35"/>
  <c r="AC27" i="35"/>
  <c r="Q27" i="35"/>
  <c r="Y27" i="35" s="1"/>
  <c r="B23" i="35"/>
  <c r="A23" i="35"/>
  <c r="C24" i="35"/>
  <c r="E24" i="35" s="1"/>
  <c r="B14" i="35"/>
  <c r="B4" i="35" s="1"/>
  <c r="AF7" i="35"/>
  <c r="BE7" i="35" s="1"/>
  <c r="Q8" i="35"/>
  <c r="Y8" i="35" s="1"/>
  <c r="AC8" i="35"/>
  <c r="T8" i="35"/>
  <c r="U8" i="35" s="1"/>
  <c r="Z9" i="34"/>
  <c r="B26" i="34"/>
  <c r="A26" i="34"/>
  <c r="AB9" i="34"/>
  <c r="AD9" i="34" s="1"/>
  <c r="AA29" i="34"/>
  <c r="O29" i="34"/>
  <c r="T9" i="34"/>
  <c r="U9" i="34" s="1"/>
  <c r="S30" i="34"/>
  <c r="X30" i="34" s="1"/>
  <c r="AA8" i="34"/>
  <c r="O8" i="34"/>
  <c r="A6" i="34"/>
  <c r="C27" i="34"/>
  <c r="G27" i="34" s="1"/>
  <c r="B16" i="34"/>
  <c r="B5" i="34" s="1"/>
  <c r="R8" i="34"/>
  <c r="AC30" i="34"/>
  <c r="Q30" i="34"/>
  <c r="Y30" i="34" s="1"/>
  <c r="AC9" i="34"/>
  <c r="Q9" i="34"/>
  <c r="Y9" i="34" s="1"/>
  <c r="A16" i="34"/>
  <c r="R29" i="34"/>
  <c r="S8" i="34"/>
  <c r="AF8" i="34"/>
  <c r="X9" i="34"/>
  <c r="T30" i="34"/>
  <c r="U30" i="34" s="1"/>
  <c r="A32" i="35" l="1"/>
  <c r="B32" i="35"/>
  <c r="C32" i="35" s="1"/>
  <c r="A22" i="35"/>
  <c r="B22" i="35"/>
  <c r="A25" i="34"/>
  <c r="B25" i="34"/>
  <c r="A36" i="34"/>
  <c r="B36" i="34"/>
  <c r="AF26" i="35"/>
  <c r="BE26" i="35" s="1"/>
  <c r="AZ36" i="35"/>
  <c r="BA36" i="35"/>
  <c r="AX15" i="35"/>
  <c r="AR24" i="35"/>
  <c r="AX36" i="35"/>
  <c r="AY36" i="35"/>
  <c r="BB16" i="35"/>
  <c r="AW36" i="35"/>
  <c r="BA15" i="35"/>
  <c r="AV15" i="35"/>
  <c r="AU24" i="35"/>
  <c r="AY15" i="35"/>
  <c r="AT15" i="35"/>
  <c r="AS24" i="35"/>
  <c r="BB6" i="35"/>
  <c r="AW15" i="35"/>
  <c r="BB25" i="35"/>
  <c r="AT24" i="35"/>
  <c r="AU15" i="35"/>
  <c r="BA24" i="35"/>
  <c r="AX24" i="35"/>
  <c r="AF29" i="34"/>
  <c r="BE29" i="34" s="1"/>
  <c r="AS15" i="35"/>
  <c r="AZ24" i="35"/>
  <c r="AV24" i="35"/>
  <c r="AE5" i="35"/>
  <c r="AE15" i="35" s="1"/>
  <c r="AE25" i="35" s="1"/>
  <c r="AE35" i="35" s="1"/>
  <c r="AT5" i="35"/>
  <c r="AV5" i="35"/>
  <c r="AR5" i="35"/>
  <c r="AZ5" i="35"/>
  <c r="BA5" i="35"/>
  <c r="AS5" i="35"/>
  <c r="AU5" i="35"/>
  <c r="AW5" i="35"/>
  <c r="AX5" i="35"/>
  <c r="AY5" i="35"/>
  <c r="AX40" i="34"/>
  <c r="AZ15" i="35"/>
  <c r="AY24" i="35"/>
  <c r="AR15" i="35"/>
  <c r="AW24" i="35"/>
  <c r="AT17" i="34"/>
  <c r="AE6" i="34"/>
  <c r="AE17" i="34" s="1"/>
  <c r="AE28" i="34" s="1"/>
  <c r="AE39" i="34" s="1"/>
  <c r="AV6" i="34"/>
  <c r="AW6" i="34"/>
  <c r="AX6" i="34"/>
  <c r="AY6" i="34"/>
  <c r="AR6" i="34"/>
  <c r="AZ6" i="34"/>
  <c r="BA6" i="34"/>
  <c r="AS6" i="34"/>
  <c r="AT6" i="34"/>
  <c r="AU6" i="34"/>
  <c r="AR27" i="34"/>
  <c r="AW40" i="34"/>
  <c r="BA17" i="34"/>
  <c r="AY27" i="34"/>
  <c r="AZ17" i="34"/>
  <c r="AZ27" i="34"/>
  <c r="BB7" i="34"/>
  <c r="AR17" i="34"/>
  <c r="AS27" i="34"/>
  <c r="AX27" i="34"/>
  <c r="BA40" i="34"/>
  <c r="AY17" i="34"/>
  <c r="AW27" i="34"/>
  <c r="AZ40" i="34"/>
  <c r="AW17" i="34"/>
  <c r="BB18" i="34"/>
  <c r="AT27" i="34"/>
  <c r="AV27" i="34"/>
  <c r="AY40" i="34"/>
  <c r="AS17" i="34"/>
  <c r="AX17" i="34"/>
  <c r="BB28" i="34"/>
  <c r="BA27" i="34"/>
  <c r="AU27" i="34"/>
  <c r="AU17" i="34"/>
  <c r="AV17" i="34"/>
  <c r="F27" i="34"/>
  <c r="H15" i="35"/>
  <c r="I24" i="35"/>
  <c r="H24" i="35"/>
  <c r="F17" i="34"/>
  <c r="M17" i="34"/>
  <c r="J24" i="35"/>
  <c r="G15" i="35"/>
  <c r="I27" i="34"/>
  <c r="F15" i="35"/>
  <c r="N7" i="34"/>
  <c r="Z7" i="34" s="1"/>
  <c r="E27" i="34"/>
  <c r="L24" i="35"/>
  <c r="I17" i="34"/>
  <c r="J15" i="35"/>
  <c r="L27" i="34"/>
  <c r="K24" i="35"/>
  <c r="G17" i="34"/>
  <c r="H17" i="34"/>
  <c r="I15" i="35"/>
  <c r="K27" i="34"/>
  <c r="G24" i="35"/>
  <c r="E17" i="34"/>
  <c r="M15" i="35"/>
  <c r="N18" i="34"/>
  <c r="Z18" i="34" s="1"/>
  <c r="J27" i="34"/>
  <c r="F24" i="35"/>
  <c r="L17" i="34"/>
  <c r="E15" i="35"/>
  <c r="H27" i="34"/>
  <c r="M24" i="35"/>
  <c r="K17" i="34"/>
  <c r="L15" i="35"/>
  <c r="L6" i="34"/>
  <c r="E6" i="34"/>
  <c r="M6" i="34"/>
  <c r="F6" i="34"/>
  <c r="G6" i="34"/>
  <c r="H6" i="34"/>
  <c r="I6" i="34"/>
  <c r="K6" i="34"/>
  <c r="J6" i="34"/>
  <c r="I5" i="35"/>
  <c r="J5" i="35"/>
  <c r="K5" i="35"/>
  <c r="L5" i="35"/>
  <c r="M5" i="35"/>
  <c r="F5" i="35"/>
  <c r="G5" i="35"/>
  <c r="E5" i="35"/>
  <c r="H5" i="35"/>
  <c r="M27" i="34"/>
  <c r="J17" i="34"/>
  <c r="K15" i="35"/>
  <c r="H71" i="20"/>
  <c r="A49" i="20"/>
  <c r="H48" i="20"/>
  <c r="A43" i="20"/>
  <c r="H42" i="20"/>
  <c r="W18" i="34"/>
  <c r="P16" i="35"/>
  <c r="P25" i="35"/>
  <c r="W25" i="35"/>
  <c r="W16" i="35"/>
  <c r="V16" i="35"/>
  <c r="P18" i="34"/>
  <c r="W28" i="34"/>
  <c r="P28" i="34"/>
  <c r="P7" i="34"/>
  <c r="V7" i="34"/>
  <c r="W7" i="34"/>
  <c r="V25" i="35"/>
  <c r="V28" i="34"/>
  <c r="V18" i="34"/>
  <c r="V6" i="35"/>
  <c r="W6" i="35"/>
  <c r="P6" i="35"/>
  <c r="N16" i="35"/>
  <c r="S16" i="35" s="1"/>
  <c r="AC17" i="35"/>
  <c r="R16" i="35"/>
  <c r="T17" i="35"/>
  <c r="U17" i="35" s="1"/>
  <c r="Z19" i="34"/>
  <c r="Z17" i="35"/>
  <c r="AC19" i="34"/>
  <c r="AA16" i="35"/>
  <c r="O16" i="35"/>
  <c r="AB17" i="35"/>
  <c r="AD17" i="35" s="1"/>
  <c r="AA18" i="34"/>
  <c r="O18" i="34"/>
  <c r="X19" i="34"/>
  <c r="X17" i="35"/>
  <c r="Q17" i="35"/>
  <c r="Y17" i="35" s="1"/>
  <c r="R18" i="34"/>
  <c r="C33" i="35"/>
  <c r="C14" i="35"/>
  <c r="C4" i="35" s="1"/>
  <c r="T19" i="34"/>
  <c r="U19" i="34" s="1"/>
  <c r="Q19" i="34"/>
  <c r="Y19" i="34" s="1"/>
  <c r="AB19" i="34"/>
  <c r="AD19" i="34" s="1"/>
  <c r="C37" i="34"/>
  <c r="C16" i="34"/>
  <c r="C5" i="34" s="1"/>
  <c r="Q26" i="35"/>
  <c r="Y26" i="35" s="1"/>
  <c r="T26" i="35"/>
  <c r="U26" i="35" s="1"/>
  <c r="AC26" i="35"/>
  <c r="AF6" i="35"/>
  <c r="BE6" i="35" s="1"/>
  <c r="AB26" i="35"/>
  <c r="AD26" i="35" s="1"/>
  <c r="X26" i="35"/>
  <c r="T7" i="35"/>
  <c r="U7" i="35" s="1"/>
  <c r="AB7" i="35"/>
  <c r="AD7" i="35" s="1"/>
  <c r="N25" i="35"/>
  <c r="S25" i="35" s="1"/>
  <c r="Z26" i="35"/>
  <c r="R25" i="35"/>
  <c r="X7" i="35"/>
  <c r="N6" i="35"/>
  <c r="S6" i="35" s="1"/>
  <c r="Z7" i="35"/>
  <c r="AA25" i="35"/>
  <c r="C23" i="35"/>
  <c r="L23" i="35" s="1"/>
  <c r="B13" i="35"/>
  <c r="B3" i="35" s="1"/>
  <c r="A4" i="35"/>
  <c r="O25" i="35"/>
  <c r="O6" i="35"/>
  <c r="AA6" i="35"/>
  <c r="Q7" i="35"/>
  <c r="Y7" i="35" s="1"/>
  <c r="AC7" i="35"/>
  <c r="A13" i="35"/>
  <c r="R6" i="35"/>
  <c r="S29" i="34"/>
  <c r="X29" i="34" s="1"/>
  <c r="Q29" i="34"/>
  <c r="Y29" i="34" s="1"/>
  <c r="S28" i="34"/>
  <c r="A15" i="34"/>
  <c r="B15" i="34"/>
  <c r="B4" i="34" s="1"/>
  <c r="C26" i="34"/>
  <c r="E26" i="34" s="1"/>
  <c r="T29" i="34"/>
  <c r="U29" i="34" s="1"/>
  <c r="AB29" i="34"/>
  <c r="AD29" i="34" s="1"/>
  <c r="AC29" i="34"/>
  <c r="AB8" i="34"/>
  <c r="AD8" i="34" s="1"/>
  <c r="T8" i="34"/>
  <c r="U8" i="34" s="1"/>
  <c r="R28" i="34"/>
  <c r="O28" i="34"/>
  <c r="R7" i="34"/>
  <c r="AA7" i="34"/>
  <c r="X8" i="34"/>
  <c r="O7" i="34"/>
  <c r="AA28" i="34"/>
  <c r="AF7" i="34"/>
  <c r="BE7" i="34" s="1"/>
  <c r="Z8" i="34"/>
  <c r="A5" i="34"/>
  <c r="AC8" i="34"/>
  <c r="Q8" i="34"/>
  <c r="Y8" i="34" s="1"/>
  <c r="C36" i="34" l="1"/>
  <c r="B35" i="34"/>
  <c r="C35" i="34" s="1"/>
  <c r="A35" i="34"/>
  <c r="A24" i="34"/>
  <c r="B24" i="34"/>
  <c r="B12" i="35"/>
  <c r="B2" i="35" s="1"/>
  <c r="C22" i="35"/>
  <c r="C12" i="35" s="1"/>
  <c r="C2" i="35" s="1"/>
  <c r="A12" i="35"/>
  <c r="F22" i="35"/>
  <c r="G22" i="35"/>
  <c r="K22" i="35"/>
  <c r="AJ22" i="35"/>
  <c r="AV22" i="35"/>
  <c r="AX22" i="35"/>
  <c r="AZ22" i="35"/>
  <c r="AG22" i="35"/>
  <c r="M22" i="35"/>
  <c r="W22" i="35" s="1"/>
  <c r="AW22" i="35"/>
  <c r="AL22" i="35"/>
  <c r="AM22" i="35"/>
  <c r="AY22" i="35"/>
  <c r="AS22" i="35"/>
  <c r="J22" i="35"/>
  <c r="E22" i="35"/>
  <c r="AF22" i="35" s="1"/>
  <c r="BE22" i="35" s="1"/>
  <c r="AO22" i="35"/>
  <c r="BA22" i="35"/>
  <c r="AR22" i="35"/>
  <c r="AH22" i="35"/>
  <c r="B14" i="34"/>
  <c r="B3" i="34" s="1"/>
  <c r="C25" i="34"/>
  <c r="C14" i="34" s="1"/>
  <c r="C3" i="34" s="1"/>
  <c r="A14" i="34"/>
  <c r="BA25" i="34"/>
  <c r="AX35" i="35"/>
  <c r="AY35" i="35"/>
  <c r="AU23" i="35"/>
  <c r="AU26" i="34"/>
  <c r="BA35" i="35"/>
  <c r="AR14" i="35"/>
  <c r="BA14" i="35"/>
  <c r="AW23" i="35"/>
  <c r="AW35" i="35"/>
  <c r="AF25" i="35"/>
  <c r="BE25" i="35" s="1"/>
  <c r="AZ35" i="35"/>
  <c r="BB24" i="35"/>
  <c r="AZ39" i="34"/>
  <c r="AS23" i="35"/>
  <c r="AT14" i="35"/>
  <c r="BB5" i="35"/>
  <c r="AE4" i="35"/>
  <c r="AE14" i="35" s="1"/>
  <c r="AE24" i="35" s="1"/>
  <c r="AE34" i="35" s="1"/>
  <c r="AV4" i="35"/>
  <c r="AX4" i="35"/>
  <c r="AT4" i="35"/>
  <c r="AY4" i="35"/>
  <c r="AZ4" i="35"/>
  <c r="BA4" i="35"/>
  <c r="AR4" i="35"/>
  <c r="AW4" i="35"/>
  <c r="AS4" i="35"/>
  <c r="AU4" i="35"/>
  <c r="BB15" i="35"/>
  <c r="BA23" i="35"/>
  <c r="AY14" i="35"/>
  <c r="AX14" i="35"/>
  <c r="AY23" i="35"/>
  <c r="AZ23" i="35"/>
  <c r="AW14" i="35"/>
  <c r="AV14" i="35"/>
  <c r="BB17" i="34"/>
  <c r="AX23" i="35"/>
  <c r="AT23" i="35"/>
  <c r="AZ14" i="35"/>
  <c r="AR23" i="35"/>
  <c r="AU14" i="35"/>
  <c r="AF28" i="34"/>
  <c r="BE28" i="34" s="1"/>
  <c r="AV23" i="35"/>
  <c r="AS14" i="35"/>
  <c r="AZ16" i="34"/>
  <c r="BB27" i="34"/>
  <c r="AV26" i="34"/>
  <c r="BB6" i="34"/>
  <c r="AE5" i="34"/>
  <c r="AE16" i="34" s="1"/>
  <c r="AE27" i="34" s="1"/>
  <c r="AE38" i="34" s="1"/>
  <c r="AX5" i="34"/>
  <c r="AZ5" i="34"/>
  <c r="AY5" i="34"/>
  <c r="AR5" i="34"/>
  <c r="AS5" i="34"/>
  <c r="BA5" i="34"/>
  <c r="AT5" i="34"/>
  <c r="AU5" i="34"/>
  <c r="AV5" i="34"/>
  <c r="AW5" i="34"/>
  <c r="AY16" i="34"/>
  <c r="AS26" i="34"/>
  <c r="AR26" i="34"/>
  <c r="AY39" i="34"/>
  <c r="AS16" i="34"/>
  <c r="AW16" i="34"/>
  <c r="AR16" i="34"/>
  <c r="BA26" i="34"/>
  <c r="AT26" i="34"/>
  <c r="AX39" i="34"/>
  <c r="AV16" i="34"/>
  <c r="AX16" i="34"/>
  <c r="AZ26" i="34"/>
  <c r="AW39" i="34"/>
  <c r="AU16" i="34"/>
  <c r="AY26" i="34"/>
  <c r="AT16" i="34"/>
  <c r="AW26" i="34"/>
  <c r="BA16" i="34"/>
  <c r="AX26" i="34"/>
  <c r="BA39" i="34"/>
  <c r="H14" i="35"/>
  <c r="N27" i="34"/>
  <c r="S27" i="34" s="1"/>
  <c r="I14" i="35"/>
  <c r="K16" i="34"/>
  <c r="F23" i="35"/>
  <c r="H26" i="34"/>
  <c r="N17" i="34"/>
  <c r="S17" i="34" s="1"/>
  <c r="E23" i="35"/>
  <c r="L26" i="34"/>
  <c r="M26" i="34"/>
  <c r="K14" i="35"/>
  <c r="L16" i="34"/>
  <c r="M23" i="35"/>
  <c r="G26" i="34"/>
  <c r="J14" i="35"/>
  <c r="E16" i="34"/>
  <c r="G23" i="35"/>
  <c r="K26" i="34"/>
  <c r="G14" i="35"/>
  <c r="H16" i="34"/>
  <c r="J16" i="34"/>
  <c r="E5" i="34"/>
  <c r="M5" i="34"/>
  <c r="F5" i="34"/>
  <c r="G5" i="34"/>
  <c r="H5" i="34"/>
  <c r="I5" i="34"/>
  <c r="J5" i="34"/>
  <c r="K5" i="34"/>
  <c r="L5" i="34"/>
  <c r="I4" i="35"/>
  <c r="J4" i="35"/>
  <c r="K4" i="35"/>
  <c r="L4" i="35"/>
  <c r="M4" i="35"/>
  <c r="F4" i="35"/>
  <c r="E4" i="35"/>
  <c r="G4" i="35"/>
  <c r="H4" i="35"/>
  <c r="I23" i="35"/>
  <c r="H23" i="35"/>
  <c r="F26" i="34"/>
  <c r="F14" i="35"/>
  <c r="I16" i="34"/>
  <c r="J23" i="35"/>
  <c r="I26" i="34"/>
  <c r="M14" i="35"/>
  <c r="G16" i="34"/>
  <c r="K23" i="35"/>
  <c r="J26" i="34"/>
  <c r="E14" i="35"/>
  <c r="M16" i="34"/>
  <c r="N6" i="34"/>
  <c r="S6" i="34" s="1"/>
  <c r="L14" i="35"/>
  <c r="F16" i="34"/>
  <c r="A50" i="20"/>
  <c r="H49" i="20"/>
  <c r="H43" i="20"/>
  <c r="A44" i="20"/>
  <c r="W17" i="34"/>
  <c r="P6" i="34"/>
  <c r="W6" i="34"/>
  <c r="V17" i="34"/>
  <c r="V6" i="34"/>
  <c r="W27" i="34"/>
  <c r="P17" i="34"/>
  <c r="P27" i="34"/>
  <c r="P5" i="35"/>
  <c r="W5" i="35"/>
  <c r="V27" i="34"/>
  <c r="V15" i="35"/>
  <c r="W15" i="35"/>
  <c r="W24" i="35"/>
  <c r="V5" i="35"/>
  <c r="P15" i="35"/>
  <c r="V24" i="35"/>
  <c r="P24" i="35"/>
  <c r="Z16" i="35"/>
  <c r="X16" i="35"/>
  <c r="S18" i="34"/>
  <c r="X18" i="34" s="1"/>
  <c r="T16" i="35"/>
  <c r="U16" i="35" s="1"/>
  <c r="Q16" i="35"/>
  <c r="Y16" i="35" s="1"/>
  <c r="R17" i="34"/>
  <c r="T18" i="34"/>
  <c r="U18" i="34" s="1"/>
  <c r="N15" i="35"/>
  <c r="S15" i="35" s="1"/>
  <c r="O15" i="35"/>
  <c r="AF15" i="35"/>
  <c r="BE15" i="35" s="1"/>
  <c r="AB16" i="35"/>
  <c r="AD16" i="35" s="1"/>
  <c r="AA15" i="35"/>
  <c r="AC16" i="35"/>
  <c r="R15" i="35"/>
  <c r="Q18" i="34"/>
  <c r="Y18" i="34" s="1"/>
  <c r="AB18" i="34"/>
  <c r="AD18" i="34" s="1"/>
  <c r="AC18" i="34"/>
  <c r="C13" i="35"/>
  <c r="C3" i="35" s="1"/>
  <c r="AF17" i="34"/>
  <c r="BE17" i="34" s="1"/>
  <c r="O17" i="34"/>
  <c r="AA17" i="34"/>
  <c r="C15" i="34"/>
  <c r="C4" i="34" s="1"/>
  <c r="AF5" i="35"/>
  <c r="BE5" i="35" s="1"/>
  <c r="Z25" i="35"/>
  <c r="X25" i="35"/>
  <c r="X6" i="35"/>
  <c r="Z6" i="35"/>
  <c r="AA24" i="35"/>
  <c r="T25" i="35"/>
  <c r="U25" i="35" s="1"/>
  <c r="AC28" i="34"/>
  <c r="AB25" i="35"/>
  <c r="AD25" i="35" s="1"/>
  <c r="N24" i="35"/>
  <c r="S24" i="35" s="1"/>
  <c r="AB6" i="35"/>
  <c r="AD6" i="35" s="1"/>
  <c r="A3" i="35"/>
  <c r="AC6" i="35"/>
  <c r="Q6" i="35"/>
  <c r="Y6" i="35" s="1"/>
  <c r="R5" i="35"/>
  <c r="Q25" i="35"/>
  <c r="Y25" i="35" s="1"/>
  <c r="AC25" i="35"/>
  <c r="R24" i="35"/>
  <c r="O5" i="35"/>
  <c r="AA5" i="35"/>
  <c r="T6" i="35"/>
  <c r="U6" i="35" s="1"/>
  <c r="O24" i="35"/>
  <c r="N5" i="35"/>
  <c r="S5" i="35" s="1"/>
  <c r="AB7" i="34"/>
  <c r="AD7" i="34" s="1"/>
  <c r="Z28" i="34"/>
  <c r="X28" i="34"/>
  <c r="A4" i="34"/>
  <c r="R27" i="34"/>
  <c r="Q28" i="34"/>
  <c r="Y28" i="34" s="1"/>
  <c r="O27" i="34"/>
  <c r="AA27" i="34"/>
  <c r="AA6" i="34"/>
  <c r="T28" i="34"/>
  <c r="U28" i="34" s="1"/>
  <c r="AB28" i="34"/>
  <c r="AD28" i="34" s="1"/>
  <c r="S7" i="34"/>
  <c r="X7" i="34" s="1"/>
  <c r="O6" i="34"/>
  <c r="AC7" i="34"/>
  <c r="Q7" i="34"/>
  <c r="Y7" i="34" s="1"/>
  <c r="R6" i="34"/>
  <c r="T7" i="34"/>
  <c r="U7" i="34" s="1"/>
  <c r="AF6" i="34"/>
  <c r="BE6" i="34" s="1"/>
  <c r="AO25" i="34" l="1"/>
  <c r="R22" i="35"/>
  <c r="AT25" i="34"/>
  <c r="B13" i="34"/>
  <c r="B2" i="34" s="1"/>
  <c r="C24" i="34"/>
  <c r="C13" i="34" s="1"/>
  <c r="C2" i="34" s="1"/>
  <c r="A13" i="34"/>
  <c r="AP24" i="34"/>
  <c r="AM24" i="34"/>
  <c r="AL24" i="34"/>
  <c r="AX24" i="34"/>
  <c r="BA24" i="34"/>
  <c r="AN22" i="35"/>
  <c r="L22" i="35"/>
  <c r="V22" i="35" s="1"/>
  <c r="AU22" i="35"/>
  <c r="AI22" i="35"/>
  <c r="AT22" i="35"/>
  <c r="BB22" i="35" s="1"/>
  <c r="I22" i="35"/>
  <c r="N22" i="35" s="1"/>
  <c r="S22" i="35" s="1"/>
  <c r="X22" i="35" s="1"/>
  <c r="AK22" i="35"/>
  <c r="H22" i="35"/>
  <c r="AA22" i="35" s="1"/>
  <c r="AB22" i="35" s="1"/>
  <c r="AD22" i="35" s="1"/>
  <c r="P22" i="35"/>
  <c r="AP22" i="35"/>
  <c r="O22" i="35"/>
  <c r="AL12" i="35"/>
  <c r="AX12" i="35"/>
  <c r="AM12" i="35"/>
  <c r="AY12" i="35"/>
  <c r="AN12" i="35"/>
  <c r="AZ12" i="35"/>
  <c r="E12" i="35"/>
  <c r="AF12" i="35" s="1"/>
  <c r="BE12" i="35" s="1"/>
  <c r="AO12" i="35"/>
  <c r="F12" i="35"/>
  <c r="G12" i="35"/>
  <c r="H12" i="35"/>
  <c r="AR12" i="35"/>
  <c r="J12" i="35"/>
  <c r="AT12" i="35"/>
  <c r="K12" i="35"/>
  <c r="R12" i="35" s="1"/>
  <c r="AU12" i="35"/>
  <c r="L12" i="35"/>
  <c r="V12" i="35" s="1"/>
  <c r="AJ12" i="35"/>
  <c r="A2" i="35"/>
  <c r="AP12" i="35"/>
  <c r="I12" i="35"/>
  <c r="AG12" i="35"/>
  <c r="AS12" i="35"/>
  <c r="AH12" i="35"/>
  <c r="AI12" i="35"/>
  <c r="AV12" i="35"/>
  <c r="BA12" i="35"/>
  <c r="M12" i="35"/>
  <c r="AK12" i="35"/>
  <c r="AW12" i="35"/>
  <c r="AV25" i="34"/>
  <c r="J25" i="34"/>
  <c r="AJ25" i="34"/>
  <c r="AS25" i="34"/>
  <c r="L25" i="34"/>
  <c r="AG25" i="34"/>
  <c r="I25" i="34"/>
  <c r="E25" i="34"/>
  <c r="AF25" i="34" s="1"/>
  <c r="BE25" i="34" s="1"/>
  <c r="AW25" i="34"/>
  <c r="AR25" i="34"/>
  <c r="AN25" i="34"/>
  <c r="M25" i="34"/>
  <c r="H25" i="34"/>
  <c r="AA25" i="34" s="1"/>
  <c r="AY25" i="34"/>
  <c r="AU25" i="34"/>
  <c r="G25" i="34"/>
  <c r="AM25" i="34"/>
  <c r="AI25" i="34"/>
  <c r="AP25" i="34"/>
  <c r="AX25" i="34"/>
  <c r="K25" i="34"/>
  <c r="F25" i="34"/>
  <c r="AL25" i="34"/>
  <c r="AK25" i="34"/>
  <c r="AL14" i="34"/>
  <c r="AX14" i="34"/>
  <c r="AM14" i="34"/>
  <c r="AY14" i="34"/>
  <c r="AN14" i="34"/>
  <c r="AZ14" i="34"/>
  <c r="E14" i="34"/>
  <c r="AF14" i="34" s="1"/>
  <c r="BE14" i="34" s="1"/>
  <c r="AO14" i="34"/>
  <c r="BA14" i="34"/>
  <c r="A3" i="34"/>
  <c r="F14" i="34"/>
  <c r="AP14" i="34"/>
  <c r="AW14" i="34"/>
  <c r="G14" i="34"/>
  <c r="I14" i="34"/>
  <c r="AG14" i="34"/>
  <c r="H14" i="34"/>
  <c r="AR14" i="34"/>
  <c r="AS14" i="34"/>
  <c r="AV14" i="34"/>
  <c r="M14" i="34"/>
  <c r="J14" i="34"/>
  <c r="AH14" i="34"/>
  <c r="AT14" i="34"/>
  <c r="AI14" i="34"/>
  <c r="AJ14" i="34"/>
  <c r="AK14" i="34"/>
  <c r="K14" i="34"/>
  <c r="AU14" i="34"/>
  <c r="L14" i="34"/>
  <c r="AZ25" i="34"/>
  <c r="AH25" i="34"/>
  <c r="BA34" i="35"/>
  <c r="AF24" i="35"/>
  <c r="BE24" i="35" s="1"/>
  <c r="AF16" i="34"/>
  <c r="BE16" i="34" s="1"/>
  <c r="AF27" i="34"/>
  <c r="BE27" i="34" s="1"/>
  <c r="AW34" i="35"/>
  <c r="BA38" i="34"/>
  <c r="BB14" i="35"/>
  <c r="AW13" i="35"/>
  <c r="AX34" i="35"/>
  <c r="AE3" i="35"/>
  <c r="AE13" i="35" s="1"/>
  <c r="AE23" i="35" s="1"/>
  <c r="AE33" i="35" s="1"/>
  <c r="AV3" i="35"/>
  <c r="AX3" i="35"/>
  <c r="AY3" i="35"/>
  <c r="AZ3" i="35"/>
  <c r="BA3" i="35"/>
  <c r="AS3" i="35"/>
  <c r="AU3" i="35"/>
  <c r="AW3" i="35"/>
  <c r="AT3" i="35"/>
  <c r="AR3" i="35"/>
  <c r="BB23" i="35"/>
  <c r="AU13" i="35"/>
  <c r="AT13" i="35"/>
  <c r="BB4" i="35"/>
  <c r="AZ13" i="35"/>
  <c r="AR13" i="35"/>
  <c r="BA13" i="35"/>
  <c r="AZ34" i="35"/>
  <c r="AF14" i="35"/>
  <c r="BE14" i="35" s="1"/>
  <c r="AV13" i="35"/>
  <c r="AS13" i="35"/>
  <c r="AY34" i="35"/>
  <c r="BB16" i="34"/>
  <c r="AX38" i="34"/>
  <c r="AY13" i="35"/>
  <c r="AX13" i="35"/>
  <c r="AY38" i="34"/>
  <c r="AV15" i="34"/>
  <c r="AW38" i="34"/>
  <c r="AZ38" i="34"/>
  <c r="AY15" i="34"/>
  <c r="BA15" i="34"/>
  <c r="AS15" i="34"/>
  <c r="AE4" i="34"/>
  <c r="AE15" i="34" s="1"/>
  <c r="AE26" i="34" s="1"/>
  <c r="AE37" i="34" s="1"/>
  <c r="AX4" i="34"/>
  <c r="AZ4" i="34"/>
  <c r="AY4" i="34"/>
  <c r="AR4" i="34"/>
  <c r="AS4" i="34"/>
  <c r="BA4" i="34"/>
  <c r="AT4" i="34"/>
  <c r="AW4" i="34"/>
  <c r="AU4" i="34"/>
  <c r="AV4" i="34"/>
  <c r="AX15" i="34"/>
  <c r="AZ15" i="34"/>
  <c r="AW15" i="34"/>
  <c r="AU15" i="34"/>
  <c r="AT15" i="34"/>
  <c r="BB26" i="34"/>
  <c r="AR15" i="34"/>
  <c r="BB5" i="34"/>
  <c r="G15" i="34"/>
  <c r="E15" i="34"/>
  <c r="E13" i="35"/>
  <c r="M13" i="35"/>
  <c r="N5" i="34"/>
  <c r="Z5" i="34" s="1"/>
  <c r="F13" i="35"/>
  <c r="N16" i="34"/>
  <c r="S16" i="34" s="1"/>
  <c r="H15" i="34"/>
  <c r="G13" i="35"/>
  <c r="M15" i="34"/>
  <c r="J3" i="35"/>
  <c r="I3" i="35"/>
  <c r="H3" i="35"/>
  <c r="G3" i="35"/>
  <c r="F3" i="35"/>
  <c r="M3" i="35"/>
  <c r="E3" i="35"/>
  <c r="L3" i="35"/>
  <c r="K3" i="35"/>
  <c r="H13" i="35"/>
  <c r="I15" i="34"/>
  <c r="J13" i="35"/>
  <c r="I13" i="35"/>
  <c r="J15" i="34"/>
  <c r="K13" i="35"/>
  <c r="K15" i="34"/>
  <c r="G4" i="34"/>
  <c r="F4" i="34"/>
  <c r="M4" i="34"/>
  <c r="E4" i="34"/>
  <c r="L4" i="34"/>
  <c r="K4" i="34"/>
  <c r="H4" i="34"/>
  <c r="J4" i="34"/>
  <c r="I4" i="34"/>
  <c r="L13" i="35"/>
  <c r="F15" i="34"/>
  <c r="L15" i="34"/>
  <c r="A51" i="20"/>
  <c r="H50" i="20"/>
  <c r="H44" i="20"/>
  <c r="A45" i="20"/>
  <c r="V14" i="35"/>
  <c r="P26" i="34"/>
  <c r="V16" i="34"/>
  <c r="V26" i="34"/>
  <c r="P5" i="34"/>
  <c r="W5" i="34"/>
  <c r="W14" i="35"/>
  <c r="P16" i="34"/>
  <c r="W4" i="35"/>
  <c r="P23" i="35"/>
  <c r="V23" i="35"/>
  <c r="W26" i="34"/>
  <c r="V5" i="34"/>
  <c r="W23" i="35"/>
  <c r="W16" i="34"/>
  <c r="V4" i="35"/>
  <c r="P4" i="35"/>
  <c r="P14" i="35"/>
  <c r="Z17" i="34"/>
  <c r="AB15" i="35"/>
  <c r="AD15" i="35" s="1"/>
  <c r="X17" i="34"/>
  <c r="X15" i="35"/>
  <c r="AC15" i="35"/>
  <c r="AA14" i="35"/>
  <c r="O14" i="35"/>
  <c r="Z15" i="35"/>
  <c r="Q15" i="35"/>
  <c r="Y15" i="35" s="1"/>
  <c r="T15" i="35"/>
  <c r="U15" i="35" s="1"/>
  <c r="R14" i="35"/>
  <c r="N14" i="35"/>
  <c r="S14" i="35" s="1"/>
  <c r="R16" i="34"/>
  <c r="AC17" i="34"/>
  <c r="AB24" i="35"/>
  <c r="AD24" i="35" s="1"/>
  <c r="AA16" i="34"/>
  <c r="O16" i="34"/>
  <c r="T17" i="34"/>
  <c r="U17" i="34" s="1"/>
  <c r="Q17" i="34"/>
  <c r="Y17" i="34" s="1"/>
  <c r="AB17" i="34"/>
  <c r="AD17" i="34" s="1"/>
  <c r="AF4" i="35"/>
  <c r="BE4" i="35" s="1"/>
  <c r="AA26" i="34"/>
  <c r="N23" i="35"/>
  <c r="Z23" i="35" s="1"/>
  <c r="Z24" i="35"/>
  <c r="T5" i="35"/>
  <c r="U5" i="35" s="1"/>
  <c r="AA23" i="35"/>
  <c r="R4" i="35"/>
  <c r="X24" i="35"/>
  <c r="Z5" i="35"/>
  <c r="O23" i="35"/>
  <c r="AA4" i="35"/>
  <c r="X5" i="35"/>
  <c r="AC24" i="35"/>
  <c r="Q24" i="35"/>
  <c r="Y24" i="35" s="1"/>
  <c r="O4" i="35"/>
  <c r="T24" i="35"/>
  <c r="U24" i="35" s="1"/>
  <c r="AB5" i="35"/>
  <c r="AD5" i="35" s="1"/>
  <c r="N4" i="35"/>
  <c r="S4" i="35" s="1"/>
  <c r="R23" i="35"/>
  <c r="Q5" i="35"/>
  <c r="Y5" i="35" s="1"/>
  <c r="AC5" i="35"/>
  <c r="N26" i="34"/>
  <c r="Z26" i="34" s="1"/>
  <c r="Z27" i="34"/>
  <c r="AF5" i="34"/>
  <c r="BE5" i="34" s="1"/>
  <c r="AB6" i="34"/>
  <c r="AD6" i="34" s="1"/>
  <c r="Z6" i="34"/>
  <c r="T27" i="34"/>
  <c r="U27" i="34" s="1"/>
  <c r="X27" i="34"/>
  <c r="O26" i="34"/>
  <c r="R26" i="34"/>
  <c r="X6" i="34"/>
  <c r="AC27" i="34"/>
  <c r="Q27" i="34"/>
  <c r="Y27" i="34" s="1"/>
  <c r="AB27" i="34"/>
  <c r="AD27" i="34" s="1"/>
  <c r="T6" i="34"/>
  <c r="U6" i="34" s="1"/>
  <c r="AA5" i="34"/>
  <c r="R5" i="34"/>
  <c r="O5" i="34"/>
  <c r="AC6" i="34"/>
  <c r="Q6" i="34"/>
  <c r="Y6" i="34" s="1"/>
  <c r="AK24" i="34" l="1"/>
  <c r="L24" i="34"/>
  <c r="J24" i="34"/>
  <c r="AN24" i="34"/>
  <c r="M24" i="34"/>
  <c r="AY24" i="34"/>
  <c r="AW24" i="34"/>
  <c r="AU24" i="34"/>
  <c r="AS24" i="34"/>
  <c r="AG24" i="34"/>
  <c r="AA14" i="34"/>
  <c r="V25" i="34"/>
  <c r="AA12" i="35"/>
  <c r="Z22" i="35"/>
  <c r="AO24" i="34"/>
  <c r="AI24" i="34"/>
  <c r="I24" i="34"/>
  <c r="N24" i="34" s="1"/>
  <c r="R14" i="34"/>
  <c r="P25" i="34"/>
  <c r="P12" i="35"/>
  <c r="E24" i="34"/>
  <c r="AF24" i="34" s="1"/>
  <c r="BE24" i="34" s="1"/>
  <c r="AT24" i="34"/>
  <c r="AM13" i="34"/>
  <c r="AY13" i="34"/>
  <c r="AN13" i="34"/>
  <c r="AZ13" i="34"/>
  <c r="E13" i="34"/>
  <c r="AF13" i="34" s="1"/>
  <c r="BE13" i="34" s="1"/>
  <c r="AO13" i="34"/>
  <c r="BA13" i="34"/>
  <c r="A2" i="34"/>
  <c r="F13" i="34"/>
  <c r="AP13" i="34"/>
  <c r="AG13" i="34"/>
  <c r="AV13" i="34"/>
  <c r="G13" i="34"/>
  <c r="I13" i="34"/>
  <c r="AL13" i="34"/>
  <c r="H13" i="34"/>
  <c r="AR13" i="34"/>
  <c r="AS13" i="34"/>
  <c r="AJ13" i="34"/>
  <c r="J13" i="34"/>
  <c r="AH13" i="34"/>
  <c r="AT13" i="34"/>
  <c r="K13" i="34"/>
  <c r="R13" i="34" s="1"/>
  <c r="AI13" i="34"/>
  <c r="AU13" i="34"/>
  <c r="L13" i="34"/>
  <c r="M13" i="34"/>
  <c r="AK13" i="34"/>
  <c r="AW13" i="34"/>
  <c r="AX13" i="34"/>
  <c r="F24" i="34"/>
  <c r="AH24" i="34"/>
  <c r="AR24" i="34"/>
  <c r="H24" i="34"/>
  <c r="AA24" i="34" s="1"/>
  <c r="G24" i="34"/>
  <c r="P24" i="34" s="1"/>
  <c r="W12" i="35"/>
  <c r="AQ22" i="35"/>
  <c r="BC22" i="35" s="1"/>
  <c r="BD22" i="35" s="1"/>
  <c r="K24" i="34"/>
  <c r="AV24" i="34"/>
  <c r="W14" i="34"/>
  <c r="AZ24" i="34"/>
  <c r="AJ24" i="34"/>
  <c r="N12" i="35"/>
  <c r="S12" i="35" s="1"/>
  <c r="O12" i="35"/>
  <c r="P14" i="34"/>
  <c r="T22" i="35"/>
  <c r="U22" i="35" s="1"/>
  <c r="AB25" i="34"/>
  <c r="J2" i="35"/>
  <c r="AH2" i="35"/>
  <c r="AH32" i="35" s="1"/>
  <c r="AT2" i="35"/>
  <c r="AT32" i="35" s="1"/>
  <c r="K2" i="35"/>
  <c r="AI2" i="35"/>
  <c r="AI32" i="35" s="1"/>
  <c r="AU2" i="35"/>
  <c r="AU32" i="35" s="1"/>
  <c r="L2" i="35"/>
  <c r="AJ2" i="35"/>
  <c r="AJ32" i="35" s="1"/>
  <c r="AV2" i="35"/>
  <c r="AV32" i="35" s="1"/>
  <c r="AM2" i="35"/>
  <c r="AM32" i="35" s="1"/>
  <c r="AY2" i="35"/>
  <c r="AY32" i="35" s="1"/>
  <c r="AN2" i="35"/>
  <c r="AN32" i="35" s="1"/>
  <c r="AZ2" i="35"/>
  <c r="AZ32" i="35" s="1"/>
  <c r="AP2" i="35"/>
  <c r="AP32" i="35" s="1"/>
  <c r="AR2" i="35"/>
  <c r="AK2" i="35"/>
  <c r="AK32" i="35" s="1"/>
  <c r="AX2" i="35"/>
  <c r="AX32" i="35" s="1"/>
  <c r="E2" i="35"/>
  <c r="AO2" i="35"/>
  <c r="AO32" i="35" s="1"/>
  <c r="BA2" i="35"/>
  <c r="BA32" i="35" s="1"/>
  <c r="F2" i="35"/>
  <c r="G2" i="35"/>
  <c r="AE2" i="35"/>
  <c r="H2" i="35"/>
  <c r="I2" i="35"/>
  <c r="N2" i="35" s="1"/>
  <c r="S2" i="35" s="1"/>
  <c r="AG2" i="35"/>
  <c r="AS2" i="35"/>
  <c r="AS32" i="35" s="1"/>
  <c r="M2" i="35"/>
  <c r="AW2" i="35"/>
  <c r="AW32" i="35" s="1"/>
  <c r="AL2" i="35"/>
  <c r="AL32" i="35" s="1"/>
  <c r="R25" i="34"/>
  <c r="X12" i="35"/>
  <c r="V14" i="34"/>
  <c r="BB12" i="35"/>
  <c r="Q22" i="35"/>
  <c r="Y22" i="35" s="1"/>
  <c r="AC22" i="35"/>
  <c r="AB14" i="34"/>
  <c r="AD14" i="34" s="1"/>
  <c r="AQ12" i="35"/>
  <c r="T12" i="35"/>
  <c r="U12" i="35" s="1"/>
  <c r="W25" i="34"/>
  <c r="O14" i="34"/>
  <c r="J3" i="34"/>
  <c r="AH3" i="34"/>
  <c r="AH36" i="34" s="1"/>
  <c r="AT3" i="34"/>
  <c r="AT36" i="34" s="1"/>
  <c r="K3" i="34"/>
  <c r="AI3" i="34"/>
  <c r="AI36" i="34" s="1"/>
  <c r="AU3" i="34"/>
  <c r="AU36" i="34" s="1"/>
  <c r="L3" i="34"/>
  <c r="AJ3" i="34"/>
  <c r="AJ36" i="34" s="1"/>
  <c r="AV3" i="34"/>
  <c r="AV36" i="34" s="1"/>
  <c r="M3" i="34"/>
  <c r="AK3" i="34"/>
  <c r="AK36" i="34" s="1"/>
  <c r="AW3" i="34"/>
  <c r="AW36" i="34" s="1"/>
  <c r="AL3" i="34"/>
  <c r="AL36" i="34" s="1"/>
  <c r="AX3" i="34"/>
  <c r="AX36" i="34" s="1"/>
  <c r="H3" i="34"/>
  <c r="AM3" i="34"/>
  <c r="AM36" i="34" s="1"/>
  <c r="AY3" i="34"/>
  <c r="AY36" i="34" s="1"/>
  <c r="AN3" i="34"/>
  <c r="AN36" i="34" s="1"/>
  <c r="AZ3" i="34"/>
  <c r="AZ36" i="34" s="1"/>
  <c r="BA3" i="34"/>
  <c r="BA36" i="34" s="1"/>
  <c r="AR3" i="34"/>
  <c r="AG3" i="34"/>
  <c r="E3" i="34"/>
  <c r="AF3" i="34" s="1"/>
  <c r="BE3" i="34" s="1"/>
  <c r="AO3" i="34"/>
  <c r="AO36" i="34" s="1"/>
  <c r="F3" i="34"/>
  <c r="AP3" i="34"/>
  <c r="AP36" i="34" s="1"/>
  <c r="AS3" i="34"/>
  <c r="AS36" i="34" s="1"/>
  <c r="G3" i="34"/>
  <c r="P3" i="34" s="1"/>
  <c r="AE3" i="34"/>
  <c r="I3" i="34"/>
  <c r="Z25" i="34"/>
  <c r="O25" i="34"/>
  <c r="T25" i="34" s="1"/>
  <c r="U25" i="34" s="1"/>
  <c r="BB25" i="34"/>
  <c r="N25" i="34"/>
  <c r="S25" i="34" s="1"/>
  <c r="BB14" i="34"/>
  <c r="AQ25" i="34"/>
  <c r="BC25" i="34" s="1"/>
  <c r="BD25" i="34" s="1"/>
  <c r="X14" i="34"/>
  <c r="AQ14" i="34"/>
  <c r="N14" i="34"/>
  <c r="S14" i="34" s="1"/>
  <c r="T14" i="34"/>
  <c r="U14" i="34" s="1"/>
  <c r="BA37" i="34"/>
  <c r="AW33" i="35"/>
  <c r="AX37" i="34"/>
  <c r="AF23" i="35"/>
  <c r="BE23" i="35" s="1"/>
  <c r="AZ37" i="34"/>
  <c r="AY33" i="35"/>
  <c r="BA33" i="35"/>
  <c r="AZ33" i="35"/>
  <c r="BB3" i="35"/>
  <c r="AX33" i="35"/>
  <c r="AF15" i="34"/>
  <c r="BE15" i="34" s="1"/>
  <c r="BB13" i="35"/>
  <c r="AF26" i="34"/>
  <c r="BE26" i="34" s="1"/>
  <c r="BB4" i="34"/>
  <c r="AY37" i="34"/>
  <c r="BB15" i="34"/>
  <c r="AW37" i="34"/>
  <c r="H51" i="20"/>
  <c r="H45" i="20"/>
  <c r="V15" i="34"/>
  <c r="AA13" i="35"/>
  <c r="P4" i="34"/>
  <c r="V13" i="35"/>
  <c r="W13" i="35"/>
  <c r="V4" i="34"/>
  <c r="P13" i="35"/>
  <c r="P15" i="34"/>
  <c r="W4" i="34"/>
  <c r="W15" i="34"/>
  <c r="P3" i="35"/>
  <c r="W3" i="35"/>
  <c r="V3" i="35"/>
  <c r="AC14" i="35"/>
  <c r="Q14" i="35"/>
  <c r="Y14" i="35" s="1"/>
  <c r="AB14" i="35"/>
  <c r="AD14" i="35" s="1"/>
  <c r="T14" i="35"/>
  <c r="U14" i="35" s="1"/>
  <c r="O15" i="34"/>
  <c r="X14" i="35"/>
  <c r="Z14" i="35"/>
  <c r="AA15" i="34"/>
  <c r="X16" i="34"/>
  <c r="Z16" i="34"/>
  <c r="N13" i="35"/>
  <c r="S13" i="35" s="1"/>
  <c r="AC16" i="34"/>
  <c r="AF13" i="35"/>
  <c r="BE13" i="35" s="1"/>
  <c r="T16" i="34"/>
  <c r="U16" i="34" s="1"/>
  <c r="AB16" i="34"/>
  <c r="AD16" i="34" s="1"/>
  <c r="Q16" i="34"/>
  <c r="Y16" i="34" s="1"/>
  <c r="O13" i="35"/>
  <c r="R13" i="35"/>
  <c r="N15" i="34"/>
  <c r="S15" i="34" s="1"/>
  <c r="R15" i="34"/>
  <c r="AB4" i="35"/>
  <c r="AD4" i="35" s="1"/>
  <c r="S23" i="35"/>
  <c r="X23" i="35" s="1"/>
  <c r="AB26" i="34"/>
  <c r="AD26" i="34" s="1"/>
  <c r="AB23" i="35"/>
  <c r="AD23" i="35" s="1"/>
  <c r="X4" i="35"/>
  <c r="AA3" i="35"/>
  <c r="Z4" i="35"/>
  <c r="O3" i="35"/>
  <c r="T4" i="35"/>
  <c r="U4" i="35" s="1"/>
  <c r="AC23" i="35"/>
  <c r="Q23" i="35"/>
  <c r="Y23" i="35" s="1"/>
  <c r="T23" i="35"/>
  <c r="U23" i="35" s="1"/>
  <c r="R3" i="35"/>
  <c r="AF3" i="35"/>
  <c r="BE3" i="35" s="1"/>
  <c r="Q4" i="35"/>
  <c r="Y4" i="35" s="1"/>
  <c r="AC4" i="35"/>
  <c r="N3" i="35"/>
  <c r="S3" i="35" s="1"/>
  <c r="S26" i="34"/>
  <c r="X26" i="34" s="1"/>
  <c r="T26" i="34"/>
  <c r="U26" i="34" s="1"/>
  <c r="R4" i="34"/>
  <c r="AF4" i="34"/>
  <c r="BE4" i="34" s="1"/>
  <c r="AA4" i="34"/>
  <c r="N4" i="34"/>
  <c r="S4" i="34" s="1"/>
  <c r="O4" i="34"/>
  <c r="Q26" i="34"/>
  <c r="Y26" i="34" s="1"/>
  <c r="AC26" i="34"/>
  <c r="S5" i="34"/>
  <c r="X5" i="34" s="1"/>
  <c r="AB5" i="34"/>
  <c r="AD5" i="34" s="1"/>
  <c r="AC5" i="34"/>
  <c r="Q5" i="34"/>
  <c r="Y5" i="34" s="1"/>
  <c r="T5" i="34"/>
  <c r="U5" i="34" s="1"/>
  <c r="AQ13" i="34" l="1"/>
  <c r="P2" i="35"/>
  <c r="BB24" i="34"/>
  <c r="AA13" i="34"/>
  <c r="W2" i="35"/>
  <c r="W13" i="34"/>
  <c r="O24" i="34"/>
  <c r="T24" i="34" s="1"/>
  <c r="U24" i="34" s="1"/>
  <c r="Z24" i="34"/>
  <c r="S24" i="34"/>
  <c r="AF2" i="35"/>
  <c r="BE2" i="35" s="1"/>
  <c r="BB13" i="34"/>
  <c r="BC13" i="34" s="1"/>
  <c r="BD13" i="34" s="1"/>
  <c r="R24" i="34"/>
  <c r="AB12" i="35"/>
  <c r="AD12" i="35" s="1"/>
  <c r="V13" i="34"/>
  <c r="N13" i="34"/>
  <c r="S13" i="34" s="1"/>
  <c r="X13" i="34" s="1"/>
  <c r="P13" i="34"/>
  <c r="AA2" i="35"/>
  <c r="AB2" i="35" s="1"/>
  <c r="W24" i="34"/>
  <c r="AQ24" i="34"/>
  <c r="V24" i="34"/>
  <c r="AB24" i="34"/>
  <c r="AD24" i="34" s="1"/>
  <c r="O13" i="34"/>
  <c r="K2" i="34"/>
  <c r="AI2" i="34"/>
  <c r="AI35" i="34" s="1"/>
  <c r="AU2" i="34"/>
  <c r="AU35" i="34" s="1"/>
  <c r="L2" i="34"/>
  <c r="AJ2" i="34"/>
  <c r="AJ35" i="34" s="1"/>
  <c r="AV2" i="34"/>
  <c r="AV35" i="34" s="1"/>
  <c r="M2" i="34"/>
  <c r="AK2" i="34"/>
  <c r="AK35" i="34" s="1"/>
  <c r="AW2" i="34"/>
  <c r="AW35" i="34" s="1"/>
  <c r="E2" i="34"/>
  <c r="AF2" i="34" s="1"/>
  <c r="BE2" i="34" s="1"/>
  <c r="AO2" i="34"/>
  <c r="AO35" i="34" s="1"/>
  <c r="J2" i="34"/>
  <c r="AL2" i="34"/>
  <c r="AL35" i="34" s="1"/>
  <c r="AX2" i="34"/>
  <c r="AX35" i="34" s="1"/>
  <c r="H2" i="34"/>
  <c r="AA2" i="34" s="1"/>
  <c r="AM2" i="34"/>
  <c r="AM35" i="34" s="1"/>
  <c r="AY2" i="34"/>
  <c r="AY35" i="34" s="1"/>
  <c r="AR2" i="34"/>
  <c r="AN2" i="34"/>
  <c r="AN35" i="34" s="1"/>
  <c r="AZ2" i="34"/>
  <c r="AZ35" i="34" s="1"/>
  <c r="BA2" i="34"/>
  <c r="BA35" i="34" s="1"/>
  <c r="AT2" i="34"/>
  <c r="AT35" i="34" s="1"/>
  <c r="F2" i="34"/>
  <c r="AP2" i="34"/>
  <c r="AP35" i="34" s="1"/>
  <c r="G2" i="34"/>
  <c r="AE2" i="34"/>
  <c r="I2" i="34"/>
  <c r="N2" i="34" s="1"/>
  <c r="AG2" i="34"/>
  <c r="AS2" i="34"/>
  <c r="AS35" i="34" s="1"/>
  <c r="AH2" i="34"/>
  <c r="AH35" i="34" s="1"/>
  <c r="R2" i="35"/>
  <c r="X2" i="35" s="1"/>
  <c r="AR32" i="35"/>
  <c r="BB32" i="35" s="1"/>
  <c r="BB2" i="35"/>
  <c r="X25" i="34"/>
  <c r="BC12" i="35"/>
  <c r="BD12" i="35" s="1"/>
  <c r="AG32" i="35"/>
  <c r="AQ32" i="35" s="1"/>
  <c r="BC32" i="35" s="1"/>
  <c r="BD32" i="35" s="1"/>
  <c r="AQ2" i="35"/>
  <c r="AD25" i="34"/>
  <c r="N3" i="34"/>
  <c r="S3" i="34" s="1"/>
  <c r="T2" i="35"/>
  <c r="U2" i="35" s="1"/>
  <c r="Z2" i="35"/>
  <c r="O2" i="35"/>
  <c r="AC12" i="35"/>
  <c r="Q12" i="35"/>
  <c r="Y12" i="35" s="1"/>
  <c r="Z12" i="35"/>
  <c r="BC14" i="34"/>
  <c r="BD14" i="34" s="1"/>
  <c r="V2" i="35"/>
  <c r="AG36" i="34"/>
  <c r="AQ36" i="34" s="1"/>
  <c r="AQ3" i="34"/>
  <c r="AR36" i="34"/>
  <c r="BB36" i="34" s="1"/>
  <c r="BB3" i="34"/>
  <c r="Q25" i="34"/>
  <c r="Y25" i="34" s="1"/>
  <c r="AC25" i="34"/>
  <c r="V3" i="34"/>
  <c r="R3" i="34"/>
  <c r="AA3" i="34"/>
  <c r="AB3" i="34" s="1"/>
  <c r="O3" i="34"/>
  <c r="T3" i="34" s="1"/>
  <c r="U3" i="34" s="1"/>
  <c r="Q14" i="34"/>
  <c r="Y14" i="34" s="1"/>
  <c r="AC14" i="34"/>
  <c r="Z14" i="34"/>
  <c r="W3" i="34"/>
  <c r="AB13" i="35"/>
  <c r="AD13" i="35" s="1"/>
  <c r="AC13" i="35"/>
  <c r="AB15" i="34"/>
  <c r="AD15" i="34" s="1"/>
  <c r="T15" i="34"/>
  <c r="U15" i="34" s="1"/>
  <c r="Z13" i="35"/>
  <c r="Q15" i="34"/>
  <c r="Y15" i="34" s="1"/>
  <c r="AC15" i="34"/>
  <c r="Z15" i="34"/>
  <c r="Q13" i="35"/>
  <c r="Y13" i="35" s="1"/>
  <c r="X15" i="34"/>
  <c r="T13" i="35"/>
  <c r="U13" i="35" s="1"/>
  <c r="X13" i="35"/>
  <c r="AB3" i="35"/>
  <c r="AD3" i="35" s="1"/>
  <c r="T3" i="35"/>
  <c r="U3" i="35" s="1"/>
  <c r="X3" i="35"/>
  <c r="Z3" i="35"/>
  <c r="Q3" i="35"/>
  <c r="Y3" i="35" s="1"/>
  <c r="AC3" i="35"/>
  <c r="X4" i="34"/>
  <c r="Z4" i="34"/>
  <c r="AB4" i="34"/>
  <c r="AD4" i="34" s="1"/>
  <c r="Q4" i="34"/>
  <c r="Y4" i="34" s="1"/>
  <c r="AC4" i="34"/>
  <c r="T4" i="34"/>
  <c r="U4" i="34" s="1"/>
  <c r="P2" i="34" l="1"/>
  <c r="AB2" i="34" s="1"/>
  <c r="AD3" i="34"/>
  <c r="W2" i="34"/>
  <c r="BC24" i="34"/>
  <c r="BD24" i="34" s="1"/>
  <c r="V2" i="34"/>
  <c r="Z13" i="34"/>
  <c r="S2" i="34"/>
  <c r="T13" i="34"/>
  <c r="U13" i="34" s="1"/>
  <c r="R2" i="34"/>
  <c r="X2" i="34" s="1"/>
  <c r="Z2" i="34"/>
  <c r="O2" i="34"/>
  <c r="Q13" i="34"/>
  <c r="Y13" i="34" s="1"/>
  <c r="AC13" i="34"/>
  <c r="X24" i="34"/>
  <c r="AB13" i="34"/>
  <c r="AD13" i="34" s="1"/>
  <c r="AG35" i="34"/>
  <c r="AQ35" i="34" s="1"/>
  <c r="BC35" i="34" s="1"/>
  <c r="BD35" i="34" s="1"/>
  <c r="AQ2" i="34"/>
  <c r="Z3" i="34"/>
  <c r="AR35" i="34"/>
  <c r="BB35" i="34" s="1"/>
  <c r="BB2" i="34"/>
  <c r="Q24" i="34"/>
  <c r="Y24" i="34" s="1"/>
  <c r="AC24" i="34"/>
  <c r="Q2" i="35"/>
  <c r="Y2" i="35" s="1"/>
  <c r="AC2" i="35"/>
  <c r="BC3" i="34"/>
  <c r="BD3" i="34" s="1"/>
  <c r="AD2" i="35"/>
  <c r="BC36" i="34"/>
  <c r="BD36" i="34" s="1"/>
  <c r="BC2" i="35"/>
  <c r="BD2" i="35" s="1"/>
  <c r="Q3" i="34"/>
  <c r="Y3" i="34" s="1"/>
  <c r="AC3" i="34"/>
  <c r="X3" i="34"/>
  <c r="S330" i="30"/>
  <c r="Q329" i="30"/>
  <c r="S329" i="30" s="1"/>
  <c r="Q328" i="30"/>
  <c r="S328" i="30" s="1"/>
  <c r="Q327" i="30"/>
  <c r="S327" i="30" s="1"/>
  <c r="Q326" i="30"/>
  <c r="S326" i="30" s="1"/>
  <c r="Q325" i="30"/>
  <c r="S325" i="30" s="1"/>
  <c r="Q324" i="30"/>
  <c r="S324" i="30" s="1"/>
  <c r="Q323" i="30"/>
  <c r="S323" i="30" s="1"/>
  <c r="Q322" i="30"/>
  <c r="S322" i="30" s="1"/>
  <c r="Q321" i="30"/>
  <c r="S321" i="30" s="1"/>
  <c r="Q320" i="30"/>
  <c r="S320" i="30" s="1"/>
  <c r="S319" i="30"/>
  <c r="Q318" i="30"/>
  <c r="S318" i="30" s="1"/>
  <c r="Q317" i="30"/>
  <c r="S317" i="30" s="1"/>
  <c r="Q316" i="30"/>
  <c r="S316" i="30" s="1"/>
  <c r="Q315" i="30"/>
  <c r="S315" i="30" s="1"/>
  <c r="Q314" i="30"/>
  <c r="S314" i="30" s="1"/>
  <c r="Q313" i="30"/>
  <c r="S313" i="30" s="1"/>
  <c r="Q312" i="30"/>
  <c r="S312" i="30" s="1"/>
  <c r="Q311" i="30"/>
  <c r="Q310" i="30"/>
  <c r="Q309" i="30"/>
  <c r="Q308" i="30"/>
  <c r="T2" i="34" l="1"/>
  <c r="U2" i="34" s="1"/>
  <c r="AD2" i="34"/>
  <c r="BC2" i="34"/>
  <c r="BD2" i="34" s="1"/>
  <c r="AC2" i="34"/>
  <c r="Q2" i="34"/>
  <c r="Y2" i="34" s="1"/>
  <c r="P331" i="30"/>
  <c r="AF34" i="34"/>
  <c r="AF31" i="35"/>
  <c r="AF21" i="35"/>
  <c r="AF23" i="34"/>
  <c r="AF12" i="34"/>
  <c r="AF11" i="35"/>
  <c r="O279" i="30"/>
  <c r="P34" i="34" l="1"/>
  <c r="P334" i="30"/>
  <c r="AG37" i="30" s="1"/>
  <c r="W21" i="35"/>
  <c r="V34" i="34"/>
  <c r="V11" i="35"/>
  <c r="V12" i="34"/>
  <c r="AA34" i="34"/>
  <c r="P12" i="34"/>
  <c r="AA12" i="34"/>
  <c r="R31" i="35"/>
  <c r="R23" i="34"/>
  <c r="W34" i="34"/>
  <c r="P11" i="35"/>
  <c r="O12" i="34"/>
  <c r="R34" i="34"/>
  <c r="P21" i="35"/>
  <c r="P23" i="34"/>
  <c r="W23" i="34"/>
  <c r="V23" i="34"/>
  <c r="V21" i="35"/>
  <c r="N11" i="35"/>
  <c r="Z11" i="35" s="1"/>
  <c r="AA21" i="35"/>
  <c r="AA23" i="34"/>
  <c r="N31" i="35"/>
  <c r="S31" i="35" s="1"/>
  <c r="R12" i="34"/>
  <c r="R21" i="35"/>
  <c r="V31" i="35"/>
  <c r="W12" i="34"/>
  <c r="S23" i="34"/>
  <c r="O34" i="34"/>
  <c r="AA31" i="35"/>
  <c r="O21" i="35"/>
  <c r="W11" i="35"/>
  <c r="AA11" i="35"/>
  <c r="O23" i="34"/>
  <c r="N21" i="35"/>
  <c r="S21" i="35" s="1"/>
  <c r="O11" i="35"/>
  <c r="R11" i="35"/>
  <c r="S34" i="34"/>
  <c r="P31" i="35"/>
  <c r="U34" i="9"/>
  <c r="W31" i="35"/>
  <c r="O31" i="35"/>
  <c r="V34" i="9"/>
  <c r="R308" i="30"/>
  <c r="S308" i="30" s="1"/>
  <c r="R310" i="30"/>
  <c r="S310" i="30" s="1"/>
  <c r="R309" i="30"/>
  <c r="S309" i="30" s="1"/>
  <c r="R311" i="30"/>
  <c r="S311" i="30" s="1"/>
  <c r="U1" i="30"/>
  <c r="V1" i="30"/>
  <c r="W1" i="30"/>
  <c r="X1" i="30"/>
  <c r="Y1" i="30"/>
  <c r="AB34" i="34" l="1"/>
  <c r="AD34" i="34" s="1"/>
  <c r="T34" i="34"/>
  <c r="U34" i="34" s="1"/>
  <c r="Y335" i="30"/>
  <c r="Y29" i="30"/>
  <c r="W335" i="30"/>
  <c r="W29" i="30"/>
  <c r="X335" i="30"/>
  <c r="X29" i="30"/>
  <c r="V335" i="30"/>
  <c r="V29" i="30"/>
  <c r="U335" i="30"/>
  <c r="U29" i="30"/>
  <c r="X31" i="35"/>
  <c r="AB12" i="34"/>
  <c r="AD12" i="34" s="1"/>
  <c r="AC12" i="34"/>
  <c r="X23" i="34"/>
  <c r="S11" i="35"/>
  <c r="X11" i="35" s="1"/>
  <c r="AB11" i="35"/>
  <c r="AD11" i="35" s="1"/>
  <c r="Z31" i="35"/>
  <c r="T12" i="34"/>
  <c r="U12" i="34" s="1"/>
  <c r="Q12" i="34"/>
  <c r="Y12" i="34" s="1"/>
  <c r="AB21" i="35"/>
  <c r="AD21" i="35" s="1"/>
  <c r="T23" i="34"/>
  <c r="U23" i="34" s="1"/>
  <c r="Z23" i="34"/>
  <c r="X34" i="34"/>
  <c r="T21" i="35"/>
  <c r="U21" i="35" s="1"/>
  <c r="AB23" i="34"/>
  <c r="AD23" i="34" s="1"/>
  <c r="Z21" i="35"/>
  <c r="AB31" i="35"/>
  <c r="AD31" i="35" s="1"/>
  <c r="AC11" i="35"/>
  <c r="Q11" i="35"/>
  <c r="Y11" i="35" s="1"/>
  <c r="AC21" i="35"/>
  <c r="Q21" i="35"/>
  <c r="Y21" i="35" s="1"/>
  <c r="T31" i="35"/>
  <c r="U31" i="35" s="1"/>
  <c r="Z34" i="34"/>
  <c r="X21" i="35"/>
  <c r="AC34" i="34"/>
  <c r="Q34" i="34"/>
  <c r="Y34" i="34" s="1"/>
  <c r="AC23" i="34"/>
  <c r="Q23" i="34"/>
  <c r="Y23" i="34" s="1"/>
  <c r="Z12" i="34"/>
  <c r="S12" i="34"/>
  <c r="X12" i="34" s="1"/>
  <c r="AC31" i="35"/>
  <c r="Q31" i="35"/>
  <c r="Y31" i="35" s="1"/>
  <c r="T11" i="35"/>
  <c r="U11" i="35" s="1"/>
  <c r="V279" i="30"/>
  <c r="V57" i="30"/>
  <c r="X279" i="30"/>
  <c r="X57" i="30"/>
  <c r="W279" i="30"/>
  <c r="W57" i="30"/>
  <c r="Y279" i="30"/>
  <c r="Y57" i="30"/>
  <c r="U279" i="30"/>
  <c r="U57" i="30"/>
  <c r="BK420" i="29"/>
  <c r="BC420" i="29"/>
  <c r="CA419" i="29"/>
  <c r="BS419" i="29"/>
  <c r="AU419" i="29"/>
  <c r="CA418" i="29"/>
  <c r="BC418" i="29"/>
  <c r="AU418" i="29"/>
  <c r="BS417" i="29"/>
  <c r="BC417" i="29"/>
  <c r="AU417" i="29"/>
  <c r="BK416" i="29"/>
  <c r="CA415" i="29"/>
  <c r="BS415" i="29"/>
  <c r="BC415" i="29"/>
  <c r="CA414" i="29"/>
  <c r="BC414" i="29"/>
  <c r="AU414" i="29"/>
  <c r="CA413" i="29"/>
  <c r="BK413" i="29"/>
  <c r="BC413" i="29"/>
  <c r="CA412" i="29"/>
  <c r="BK412" i="29"/>
  <c r="BS411" i="29"/>
  <c r="BC411" i="29"/>
  <c r="AU411" i="29"/>
  <c r="CA410" i="29"/>
  <c r="BS410" i="29"/>
  <c r="AU410" i="29"/>
  <c r="BS409" i="29"/>
  <c r="BK409" i="29"/>
  <c r="BC409" i="29"/>
  <c r="BS408" i="29"/>
  <c r="BK408" i="29"/>
  <c r="AU408" i="29"/>
  <c r="BS407" i="29"/>
  <c r="BK407" i="29"/>
  <c r="AU407" i="29"/>
  <c r="CA406" i="29"/>
  <c r="BK406" i="29"/>
  <c r="BC406" i="29"/>
  <c r="AU406" i="29"/>
  <c r="CA405" i="29"/>
  <c r="BK405" i="29"/>
  <c r="AU405" i="29"/>
  <c r="BS404" i="29"/>
  <c r="BK404" i="29"/>
  <c r="BC404" i="29"/>
  <c r="AU404" i="29"/>
  <c r="BK403" i="29"/>
  <c r="AU403" i="29"/>
  <c r="CA402" i="29"/>
  <c r="BS402" i="29"/>
  <c r="BC402" i="29"/>
  <c r="CA401" i="29"/>
  <c r="BK401" i="29"/>
  <c r="BC401" i="29"/>
  <c r="AU401" i="29"/>
  <c r="BC400" i="29"/>
  <c r="AU400" i="29"/>
  <c r="CA399" i="29"/>
  <c r="BS399" i="29"/>
  <c r="BK399" i="29"/>
  <c r="AU399" i="29"/>
  <c r="BS398" i="29"/>
  <c r="BC398" i="29"/>
  <c r="AU398" i="29"/>
  <c r="CA397" i="29"/>
  <c r="BS397" i="29"/>
  <c r="BK397" i="29"/>
  <c r="AU397" i="29"/>
  <c r="BS396" i="29"/>
  <c r="BK396" i="29"/>
  <c r="BC396" i="29"/>
  <c r="CA395" i="29"/>
  <c r="BK395" i="29"/>
  <c r="AU395" i="29"/>
  <c r="CA394" i="29"/>
  <c r="BS394" i="29"/>
  <c r="BC394" i="29"/>
  <c r="CA393" i="29"/>
  <c r="BS393" i="29"/>
  <c r="BK393" i="29"/>
  <c r="BC393" i="29"/>
  <c r="AU393" i="29"/>
  <c r="BS392" i="29"/>
  <c r="BC392" i="29"/>
  <c r="CA391" i="29"/>
  <c r="BS391" i="29"/>
  <c r="BK391" i="29"/>
  <c r="BC391" i="29"/>
  <c r="BS390" i="29"/>
  <c r="BC390" i="29"/>
  <c r="AU390" i="29"/>
  <c r="CA389" i="29"/>
  <c r="BK389" i="29"/>
  <c r="AU389" i="29"/>
  <c r="CA388" i="29"/>
  <c r="BS388" i="29"/>
  <c r="BK388" i="29"/>
  <c r="BC388" i="29"/>
  <c r="BK387" i="29"/>
  <c r="BC387" i="29"/>
  <c r="AU387" i="29"/>
  <c r="CA386" i="29"/>
  <c r="BS386" i="29"/>
  <c r="BK386" i="29"/>
  <c r="BC386" i="29"/>
  <c r="CA385" i="29"/>
  <c r="BK385" i="29"/>
  <c r="BC385" i="29"/>
  <c r="AU385" i="29"/>
  <c r="CA384" i="29"/>
  <c r="BS384" i="29"/>
  <c r="BC384" i="29"/>
  <c r="AU384" i="29"/>
  <c r="CA383" i="29"/>
  <c r="BS383" i="29"/>
  <c r="BK383" i="29"/>
  <c r="AU383" i="29"/>
  <c r="BS382" i="29"/>
  <c r="BK382" i="29"/>
  <c r="BC382" i="29"/>
  <c r="AU382" i="29"/>
  <c r="CA381" i="29"/>
  <c r="BK381" i="29"/>
  <c r="AU381" i="29"/>
  <c r="CA380" i="29"/>
  <c r="BS380" i="29"/>
  <c r="BK380" i="29"/>
  <c r="BC380" i="29"/>
  <c r="CA379" i="29"/>
  <c r="BK379" i="29"/>
  <c r="AU379" i="29"/>
  <c r="BS378" i="29"/>
  <c r="AU378" i="29"/>
  <c r="CA377" i="29"/>
  <c r="BK377" i="29"/>
  <c r="AU377" i="29"/>
  <c r="BS376" i="29"/>
  <c r="BC376" i="29"/>
  <c r="AU376" i="29"/>
  <c r="CA375" i="29"/>
  <c r="BK375" i="29"/>
  <c r="CA374" i="29"/>
  <c r="BS374" i="29"/>
  <c r="BC374" i="29"/>
  <c r="CA373" i="29"/>
  <c r="BK373" i="29"/>
  <c r="AU373" i="29"/>
  <c r="BS372" i="29"/>
  <c r="BK372" i="29"/>
  <c r="CA371" i="29"/>
  <c r="BS371" i="29"/>
  <c r="CA370" i="29"/>
  <c r="BC370" i="29"/>
  <c r="AU370" i="29"/>
  <c r="BC369" i="29"/>
  <c r="CA368" i="29"/>
  <c r="BS368" i="29"/>
  <c r="BK368" i="29"/>
  <c r="BC368" i="29"/>
  <c r="BS367" i="29"/>
  <c r="BK367" i="29"/>
  <c r="BC367" i="29"/>
  <c r="AU367" i="29"/>
  <c r="CA366" i="29"/>
  <c r="AU366" i="29"/>
  <c r="BK365" i="29"/>
  <c r="BC365" i="29"/>
  <c r="BK364" i="29"/>
  <c r="BC364" i="29"/>
  <c r="CA363" i="29"/>
  <c r="BS363" i="29"/>
  <c r="BK363" i="29"/>
  <c r="BC363" i="29"/>
  <c r="CA362" i="29"/>
  <c r="BS362" i="29"/>
  <c r="BC362" i="29"/>
  <c r="AU362" i="29"/>
  <c r="CA361" i="29"/>
  <c r="BC361" i="29"/>
  <c r="BK360" i="29"/>
  <c r="AU360" i="29"/>
  <c r="BS359" i="29"/>
  <c r="BK359" i="29"/>
  <c r="BC359" i="29"/>
  <c r="AU359" i="29"/>
  <c r="CA358" i="29"/>
  <c r="AU358" i="29"/>
  <c r="BC357" i="29"/>
  <c r="CA356" i="29"/>
  <c r="BK356" i="29"/>
  <c r="BC356" i="29"/>
  <c r="AU356" i="29"/>
  <c r="CA355" i="29"/>
  <c r="BK355" i="29"/>
  <c r="BC355" i="29"/>
  <c r="CA354" i="29"/>
  <c r="BK354" i="29"/>
  <c r="BC354" i="29"/>
  <c r="CA353" i="29"/>
  <c r="BS353" i="29"/>
  <c r="BC353" i="29"/>
  <c r="CA352" i="29"/>
  <c r="BS352" i="29"/>
  <c r="BC352" i="29"/>
  <c r="AU352" i="29"/>
  <c r="BS351" i="29"/>
  <c r="BC351" i="29"/>
  <c r="AU351" i="29"/>
  <c r="BK350" i="29"/>
  <c r="AU350" i="29"/>
  <c r="BS349" i="29"/>
  <c r="BK349" i="29"/>
  <c r="AU349" i="29"/>
  <c r="CA348" i="29"/>
  <c r="BK348" i="29"/>
  <c r="BC348" i="29"/>
  <c r="AU348" i="29"/>
  <c r="CA347" i="29"/>
  <c r="BC347" i="29"/>
  <c r="CA346" i="29"/>
  <c r="BK346" i="29"/>
  <c r="BC346" i="29"/>
  <c r="CA345" i="29"/>
  <c r="BS345" i="29"/>
  <c r="BK345" i="29"/>
  <c r="BC345" i="29"/>
  <c r="AU345" i="29"/>
  <c r="CA344" i="29"/>
  <c r="BS344" i="29"/>
  <c r="AU344" i="29"/>
  <c r="CA343" i="29"/>
  <c r="BK343" i="29"/>
  <c r="BC343" i="29"/>
  <c r="AU343" i="29"/>
  <c r="BK342" i="29"/>
  <c r="BC342" i="29"/>
  <c r="AU342" i="29"/>
  <c r="BS341" i="29"/>
  <c r="BK341" i="29"/>
  <c r="CA340" i="29"/>
  <c r="BS340" i="29"/>
  <c r="AU340" i="29"/>
  <c r="CA339" i="29"/>
  <c r="BK339" i="29"/>
  <c r="BC339" i="29"/>
  <c r="AU339" i="29"/>
  <c r="CA338" i="29"/>
  <c r="BS338" i="29"/>
  <c r="BK338" i="29"/>
  <c r="BC338" i="29"/>
  <c r="BS337" i="29"/>
  <c r="BK337" i="29"/>
  <c r="AU337" i="29"/>
  <c r="CA336" i="29"/>
  <c r="BS336" i="29"/>
  <c r="BC336" i="29"/>
  <c r="AU336" i="29"/>
  <c r="CA335" i="29"/>
  <c r="BS335" i="29"/>
  <c r="BC335" i="29"/>
  <c r="BS334" i="29"/>
  <c r="BK334" i="29"/>
  <c r="CA333" i="29"/>
  <c r="BS333" i="29"/>
  <c r="CA332" i="29"/>
  <c r="AU332" i="29"/>
  <c r="BK331" i="29"/>
  <c r="BC331" i="29"/>
  <c r="BK330" i="29"/>
  <c r="BS329" i="29"/>
  <c r="AU329" i="29"/>
  <c r="CA328" i="29"/>
  <c r="BC328" i="29"/>
  <c r="AU328" i="29"/>
  <c r="BK327" i="29"/>
  <c r="BC327" i="29"/>
  <c r="BK326" i="29"/>
  <c r="BS325" i="29"/>
  <c r="CA324" i="29"/>
  <c r="BC324" i="29"/>
  <c r="AU324" i="29"/>
  <c r="BC323" i="29"/>
  <c r="BS322" i="29"/>
  <c r="BK322" i="29"/>
  <c r="AU322" i="29"/>
  <c r="BS321" i="29"/>
  <c r="CA320" i="29"/>
  <c r="BK320" i="29"/>
  <c r="BC320" i="29"/>
  <c r="AU320" i="29"/>
  <c r="BC319" i="29"/>
  <c r="CA318" i="29"/>
  <c r="BK318" i="29"/>
  <c r="BS317" i="29"/>
  <c r="BK317" i="29"/>
  <c r="BC317" i="29"/>
  <c r="AU317" i="29"/>
  <c r="CA316" i="29"/>
  <c r="AU316" i="29"/>
  <c r="BS315" i="29"/>
  <c r="BC315" i="29"/>
  <c r="BK314" i="29"/>
  <c r="AU314" i="29"/>
  <c r="CA313" i="29"/>
  <c r="BS313" i="29"/>
  <c r="BC313" i="29"/>
  <c r="CA312" i="29"/>
  <c r="BK312" i="29"/>
  <c r="AU312" i="29"/>
  <c r="BK311" i="29"/>
  <c r="BC311" i="29"/>
  <c r="CA310" i="29"/>
  <c r="BS310" i="29"/>
  <c r="BK310" i="29"/>
  <c r="CA309" i="29"/>
  <c r="BS309" i="29"/>
  <c r="BC309" i="29"/>
  <c r="CA308" i="29"/>
  <c r="BK308" i="29"/>
  <c r="AU308" i="29"/>
  <c r="BS307" i="29"/>
  <c r="BK307" i="29"/>
  <c r="BC307" i="29"/>
  <c r="BK306" i="29"/>
  <c r="AU306" i="29"/>
  <c r="BS305" i="29"/>
  <c r="CA304" i="29"/>
  <c r="BS304" i="29"/>
  <c r="BK304" i="29"/>
  <c r="BC304" i="29"/>
  <c r="AU304" i="29"/>
  <c r="BC303" i="29"/>
  <c r="AU303" i="29"/>
  <c r="CA302" i="29"/>
  <c r="BK302" i="29"/>
  <c r="BS301" i="29"/>
  <c r="BC301" i="29"/>
  <c r="CA300" i="29"/>
  <c r="BK300" i="29"/>
  <c r="AU300" i="29"/>
  <c r="BS299" i="29"/>
  <c r="BC299" i="29"/>
  <c r="CA298" i="29"/>
  <c r="BK298" i="29"/>
  <c r="AU298" i="29"/>
  <c r="BS297" i="29"/>
  <c r="BC297" i="29"/>
  <c r="CA296" i="29"/>
  <c r="BK296" i="29"/>
  <c r="AU296" i="29"/>
  <c r="BS295" i="29"/>
  <c r="BC295" i="29"/>
  <c r="CA294" i="29"/>
  <c r="BK294" i="29"/>
  <c r="AU294" i="29"/>
  <c r="BS293" i="29"/>
  <c r="BC293" i="29"/>
  <c r="CA292" i="29"/>
  <c r="BK292" i="29"/>
  <c r="AU292" i="29"/>
  <c r="BS291" i="29"/>
  <c r="BC291" i="29"/>
  <c r="CA290" i="29"/>
  <c r="BK290" i="29"/>
  <c r="BC290" i="29"/>
  <c r="AU290" i="29"/>
  <c r="BS289" i="29"/>
  <c r="BC289" i="29"/>
  <c r="CA288" i="29"/>
  <c r="BK288" i="29"/>
  <c r="AU288" i="29"/>
  <c r="BS287" i="29"/>
  <c r="BC287" i="29"/>
  <c r="AU287" i="29"/>
  <c r="CA286" i="29"/>
  <c r="BK286" i="29"/>
  <c r="AU286" i="29"/>
  <c r="BS285" i="29"/>
  <c r="BC285" i="29"/>
  <c r="CA284" i="29"/>
  <c r="BK284" i="29"/>
  <c r="AU284" i="29"/>
  <c r="CA283" i="29"/>
  <c r="BS283" i="29"/>
  <c r="BC283" i="29"/>
  <c r="CA282" i="29"/>
  <c r="BK282" i="29"/>
  <c r="AU282" i="29"/>
  <c r="BS281" i="29"/>
  <c r="BC281" i="29"/>
  <c r="CA280" i="29"/>
  <c r="BS280" i="29"/>
  <c r="BK280" i="29"/>
  <c r="AU280" i="29"/>
  <c r="BS279" i="29"/>
  <c r="BC279" i="29"/>
  <c r="CA278" i="29"/>
  <c r="BK278" i="29"/>
  <c r="AU278" i="29"/>
  <c r="BS277" i="29"/>
  <c r="BK277" i="29"/>
  <c r="BC277" i="29"/>
  <c r="CA276" i="29"/>
  <c r="BK276" i="29"/>
  <c r="AU276" i="29"/>
  <c r="BS275" i="29"/>
  <c r="BC275" i="29"/>
  <c r="CA274" i="29"/>
  <c r="BK274" i="29"/>
  <c r="BC274" i="29"/>
  <c r="AU274" i="29"/>
  <c r="BS273" i="29"/>
  <c r="BC273" i="29"/>
  <c r="CA272" i="29"/>
  <c r="BK272" i="29"/>
  <c r="AU272" i="29"/>
  <c r="BS271" i="29"/>
  <c r="BC271" i="29"/>
  <c r="AU271" i="29"/>
  <c r="CA270" i="29"/>
  <c r="BK270" i="29"/>
  <c r="AU270" i="29"/>
  <c r="BS269" i="29"/>
  <c r="BC269" i="29"/>
  <c r="CA268" i="29"/>
  <c r="BK268" i="29"/>
  <c r="BC268" i="29"/>
  <c r="AU268" i="29"/>
  <c r="BS267" i="29"/>
  <c r="BK267" i="29"/>
  <c r="AU267" i="29"/>
  <c r="CA266" i="29"/>
  <c r="BK266" i="29"/>
  <c r="AU266" i="29"/>
  <c r="CA265" i="29"/>
  <c r="BC265" i="29"/>
  <c r="AU265" i="29"/>
  <c r="CA264" i="29"/>
  <c r="BK264" i="29"/>
  <c r="CA263" i="29"/>
  <c r="BS263" i="29"/>
  <c r="BC263" i="29"/>
  <c r="AU263" i="29"/>
  <c r="CA262" i="29"/>
  <c r="BC262" i="29"/>
  <c r="AU262" i="29"/>
  <c r="BS261" i="29"/>
  <c r="BC261" i="29"/>
  <c r="AU261" i="29"/>
  <c r="CA260" i="29"/>
  <c r="BS260" i="29"/>
  <c r="BC260" i="29"/>
  <c r="AU260" i="29"/>
  <c r="CA259" i="29"/>
  <c r="BK259" i="29"/>
  <c r="AU259" i="29"/>
  <c r="BS258" i="29"/>
  <c r="BK258" i="29"/>
  <c r="BC258" i="29"/>
  <c r="CA257" i="29"/>
  <c r="BK257" i="29"/>
  <c r="AU257" i="29"/>
  <c r="BS256" i="29"/>
  <c r="BK256" i="29"/>
  <c r="BC256" i="29"/>
  <c r="CA255" i="29"/>
  <c r="BK255" i="29"/>
  <c r="BC255" i="29"/>
  <c r="AU255" i="29"/>
  <c r="BS254" i="29"/>
  <c r="BK254" i="29"/>
  <c r="BC254" i="29"/>
  <c r="CA253" i="29"/>
  <c r="BK253" i="29"/>
  <c r="AU253" i="29"/>
  <c r="BS252" i="29"/>
  <c r="BC252" i="29"/>
  <c r="AU252" i="29"/>
  <c r="CA251" i="29"/>
  <c r="BK251" i="29"/>
  <c r="AU251" i="29"/>
  <c r="BS250" i="29"/>
  <c r="BC250" i="29"/>
  <c r="AU250" i="29"/>
  <c r="CA249" i="29"/>
  <c r="BS249" i="29"/>
  <c r="BK249" i="29"/>
  <c r="AU249" i="29"/>
  <c r="BS248" i="29"/>
  <c r="BK248" i="29"/>
  <c r="BC248" i="29"/>
  <c r="CA247" i="29"/>
  <c r="BK247" i="29"/>
  <c r="AU247" i="29"/>
  <c r="CA246" i="29"/>
  <c r="BS246" i="29"/>
  <c r="BC246" i="29"/>
  <c r="AU246" i="29"/>
  <c r="CA245" i="29"/>
  <c r="BK245" i="29"/>
  <c r="BC245" i="29"/>
  <c r="AU245" i="29"/>
  <c r="BS244" i="29"/>
  <c r="BC244" i="29"/>
  <c r="CA243" i="29"/>
  <c r="BS243" i="29"/>
  <c r="BK243" i="29"/>
  <c r="BC243" i="29"/>
  <c r="AU243" i="29"/>
  <c r="BS242" i="29"/>
  <c r="BC242" i="29"/>
  <c r="AU242" i="29"/>
  <c r="BS159" i="29"/>
  <c r="BK159" i="29"/>
  <c r="BC159" i="29"/>
  <c r="CA158" i="29"/>
  <c r="BS158" i="29"/>
  <c r="BK158" i="29"/>
  <c r="AU158" i="29"/>
  <c r="CA157" i="29"/>
  <c r="BC157" i="29"/>
  <c r="CA156" i="29"/>
  <c r="BK156" i="29"/>
  <c r="BC156" i="29"/>
  <c r="AU156" i="29"/>
  <c r="CA155" i="29"/>
  <c r="BS155" i="29"/>
  <c r="BC155" i="29"/>
  <c r="CA154" i="29"/>
  <c r="BS154" i="29"/>
  <c r="BK154" i="29"/>
  <c r="AU154" i="29"/>
  <c r="BS153" i="29"/>
  <c r="BC153" i="29"/>
  <c r="AU153" i="29"/>
  <c r="CA152" i="29"/>
  <c r="BK152" i="29"/>
  <c r="AU152" i="29"/>
  <c r="BS151" i="29"/>
  <c r="BK151" i="29"/>
  <c r="BC151" i="29"/>
  <c r="CA150" i="29"/>
  <c r="BK150" i="29"/>
  <c r="AU150" i="29"/>
  <c r="CA149" i="29"/>
  <c r="BS149" i="29"/>
  <c r="BC149" i="29"/>
  <c r="CA148" i="29"/>
  <c r="BK148" i="29"/>
  <c r="BC148" i="29"/>
  <c r="AU148" i="29"/>
  <c r="BS147" i="29"/>
  <c r="BC147" i="29"/>
  <c r="CA146" i="29"/>
  <c r="BS146" i="29"/>
  <c r="BK146" i="29"/>
  <c r="AU146" i="29"/>
  <c r="BS145" i="29"/>
  <c r="BC145" i="29"/>
  <c r="AU145" i="29"/>
  <c r="CA144" i="29"/>
  <c r="BK144" i="29"/>
  <c r="AU144" i="29"/>
  <c r="CA143" i="29"/>
  <c r="BS143" i="29"/>
  <c r="BC143" i="29"/>
  <c r="CA142" i="29"/>
  <c r="BK142" i="29"/>
  <c r="BC142" i="29"/>
  <c r="AU142" i="29"/>
  <c r="BS141" i="29"/>
  <c r="BC141" i="29"/>
  <c r="CA140" i="29"/>
  <c r="BS140" i="29"/>
  <c r="BK140" i="29"/>
  <c r="AU140" i="29"/>
  <c r="BS139" i="29"/>
  <c r="BC139" i="29"/>
  <c r="CA138" i="29"/>
  <c r="BK138" i="29"/>
  <c r="AU138" i="29"/>
  <c r="CA137" i="29"/>
  <c r="BS137" i="29"/>
  <c r="BC137" i="29"/>
  <c r="CA136" i="29"/>
  <c r="BK136" i="29"/>
  <c r="AU136" i="29"/>
  <c r="BS135" i="29"/>
  <c r="BC135" i="29"/>
  <c r="CA134" i="29"/>
  <c r="BS134" i="29"/>
  <c r="BK134" i="29"/>
  <c r="AU134" i="29"/>
  <c r="BS133" i="29"/>
  <c r="BC133" i="29"/>
  <c r="CA132" i="29"/>
  <c r="BK132" i="29"/>
  <c r="AU132" i="29"/>
  <c r="BS131" i="29"/>
  <c r="BK131" i="29"/>
  <c r="BC131" i="29"/>
  <c r="CA130" i="29"/>
  <c r="BK130" i="29"/>
  <c r="AU130" i="29"/>
  <c r="BS129" i="29"/>
  <c r="BC129" i="29"/>
  <c r="CA128" i="29"/>
  <c r="BK128" i="29"/>
  <c r="BC128" i="29"/>
  <c r="AU128" i="29"/>
  <c r="BS127" i="29"/>
  <c r="BC127" i="29"/>
  <c r="CA126" i="29"/>
  <c r="BK126" i="29"/>
  <c r="AU126" i="29"/>
  <c r="BS125" i="29"/>
  <c r="BC125" i="29"/>
  <c r="AU125" i="29"/>
  <c r="CA124" i="29"/>
  <c r="BK124" i="29"/>
  <c r="AU124" i="29"/>
  <c r="BS123" i="29"/>
  <c r="BC123" i="29"/>
  <c r="CA122" i="29"/>
  <c r="BK122" i="29"/>
  <c r="AU122" i="29"/>
  <c r="CA121" i="29"/>
  <c r="BS121" i="29"/>
  <c r="BC121" i="29"/>
  <c r="CA120" i="29"/>
  <c r="BK120" i="29"/>
  <c r="AU120" i="29"/>
  <c r="BS119" i="29"/>
  <c r="BC119" i="29"/>
  <c r="CA118" i="29"/>
  <c r="BS118" i="29"/>
  <c r="BK118" i="29"/>
  <c r="AU118" i="29"/>
  <c r="BS117" i="29"/>
  <c r="BC117" i="29"/>
  <c r="CA116" i="29"/>
  <c r="BK116" i="29"/>
  <c r="AU116" i="29"/>
  <c r="BS115" i="29"/>
  <c r="BK115" i="29"/>
  <c r="BC115" i="29"/>
  <c r="CA114" i="29"/>
  <c r="BK114" i="29"/>
  <c r="AU114" i="29"/>
  <c r="BS113" i="29"/>
  <c r="BC113" i="29"/>
  <c r="CA112" i="29"/>
  <c r="BK112" i="29"/>
  <c r="BC112" i="29"/>
  <c r="AU112" i="29"/>
  <c r="BS111" i="29"/>
  <c r="BC111" i="29"/>
  <c r="CA110" i="29"/>
  <c r="BK110" i="29"/>
  <c r="AU110" i="29"/>
  <c r="BS109" i="29"/>
  <c r="BC109" i="29"/>
  <c r="CA108" i="29"/>
  <c r="BK108" i="29"/>
  <c r="AU108" i="29"/>
  <c r="BS107" i="29"/>
  <c r="BC107" i="29"/>
  <c r="CA106" i="29"/>
  <c r="BK106" i="29"/>
  <c r="AU106" i="29"/>
  <c r="BS105" i="29"/>
  <c r="BC105" i="29"/>
  <c r="CA104" i="29"/>
  <c r="BK104" i="29"/>
  <c r="AU104" i="29"/>
  <c r="BS103" i="29"/>
  <c r="BC103" i="29"/>
  <c r="CA102" i="29"/>
  <c r="BK102" i="29"/>
  <c r="AU102" i="29"/>
  <c r="BS101" i="29"/>
  <c r="BC101" i="29"/>
  <c r="CA100" i="29"/>
  <c r="BK100" i="29"/>
  <c r="AU100" i="29"/>
  <c r="BS99" i="29"/>
  <c r="BC99" i="29"/>
  <c r="CA98" i="29"/>
  <c r="BK98" i="29"/>
  <c r="AU98" i="29"/>
  <c r="BS97" i="29"/>
  <c r="BC97" i="29"/>
  <c r="CA96" i="29"/>
  <c r="BK96" i="29"/>
  <c r="AU96" i="29"/>
  <c r="BS95" i="29"/>
  <c r="BC95" i="29"/>
  <c r="CA94" i="29"/>
  <c r="BK94" i="29"/>
  <c r="AU94" i="29"/>
  <c r="BS93" i="29"/>
  <c r="BC93" i="29"/>
  <c r="CA92" i="29"/>
  <c r="BK92" i="29"/>
  <c r="AU92" i="29"/>
  <c r="BS91" i="29"/>
  <c r="BC91" i="29"/>
  <c r="CA90" i="29"/>
  <c r="BK90" i="29"/>
  <c r="AU90" i="29"/>
  <c r="BS89" i="29"/>
  <c r="BC89" i="29"/>
  <c r="CA88" i="29"/>
  <c r="BK88" i="29"/>
  <c r="AU88" i="29"/>
  <c r="BS87" i="29"/>
  <c r="BC87" i="29"/>
  <c r="CA86" i="29"/>
  <c r="BK86" i="29"/>
  <c r="AU86" i="29"/>
  <c r="BS85" i="29"/>
  <c r="BC85" i="29"/>
  <c r="CA84" i="29"/>
  <c r="BK84" i="29"/>
  <c r="AU84" i="29"/>
  <c r="BS83" i="29"/>
  <c r="BC83" i="29"/>
  <c r="CA82" i="29"/>
  <c r="BK82" i="29"/>
  <c r="AU82" i="29"/>
  <c r="BS81" i="29"/>
  <c r="BC81" i="29"/>
  <c r="CA80" i="29"/>
  <c r="BK80" i="29"/>
  <c r="AU80" i="29"/>
  <c r="BS79" i="29"/>
  <c r="BC79" i="29"/>
  <c r="CA78" i="29"/>
  <c r="BK78" i="29"/>
  <c r="AU78" i="29"/>
  <c r="BS77" i="29"/>
  <c r="BC77" i="29"/>
  <c r="CA76" i="29"/>
  <c r="BK76" i="29"/>
  <c r="AU76" i="29"/>
  <c r="CA75" i="29"/>
  <c r="BS75" i="29"/>
  <c r="BC75" i="29"/>
  <c r="CA74" i="29"/>
  <c r="BK74" i="29"/>
  <c r="BC74" i="29"/>
  <c r="AU74" i="29"/>
  <c r="BS73" i="29"/>
  <c r="BC73" i="29"/>
  <c r="CA72" i="29"/>
  <c r="BS72" i="29"/>
  <c r="BK72" i="29"/>
  <c r="AU72" i="29"/>
  <c r="BS71" i="29"/>
  <c r="BC71" i="29"/>
  <c r="AU71" i="29"/>
  <c r="CA70" i="29"/>
  <c r="BK70" i="29"/>
  <c r="AU70" i="29"/>
  <c r="BS69" i="29"/>
  <c r="BK69" i="29"/>
  <c r="BC69" i="29"/>
  <c r="CA68" i="29"/>
  <c r="BK68" i="29"/>
  <c r="BS67" i="29"/>
  <c r="AU67" i="29"/>
  <c r="CA66" i="29"/>
  <c r="AU66" i="29"/>
  <c r="BS65" i="29"/>
  <c r="BK65" i="29"/>
  <c r="BC65" i="29"/>
  <c r="BK64" i="29"/>
  <c r="CA63" i="29"/>
  <c r="BS63" i="29"/>
  <c r="CA62" i="29"/>
  <c r="BS62" i="29"/>
  <c r="BC62" i="29"/>
  <c r="AU62" i="29"/>
  <c r="BC61" i="29"/>
  <c r="CA60" i="29"/>
  <c r="BK60" i="29"/>
  <c r="BS59" i="29"/>
  <c r="CA58" i="29"/>
  <c r="AT3" i="30" l="1"/>
  <c r="AU3" i="29"/>
  <c r="AW4" i="30"/>
  <c r="BS4" i="29"/>
  <c r="AV5" i="30"/>
  <c r="BK5" i="29"/>
  <c r="AT7" i="30"/>
  <c r="AU7" i="29"/>
  <c r="AW8" i="30"/>
  <c r="BS8" i="29"/>
  <c r="AU10" i="30"/>
  <c r="BC10" i="29"/>
  <c r="BL10" i="30" s="1"/>
  <c r="BC2" i="29"/>
  <c r="AX3" i="30"/>
  <c r="CA3" i="29"/>
  <c r="AU6" i="30"/>
  <c r="BC6" i="29"/>
  <c r="AX7" i="30"/>
  <c r="CA7" i="29"/>
  <c r="AV9" i="30"/>
  <c r="BK9" i="29"/>
  <c r="BK2" i="29"/>
  <c r="AU3" i="30"/>
  <c r="BC3" i="29"/>
  <c r="AT4" i="30"/>
  <c r="AU4" i="29"/>
  <c r="AX4" i="30"/>
  <c r="CA4" i="29"/>
  <c r="AW5" i="30"/>
  <c r="BS5" i="29"/>
  <c r="AV6" i="30"/>
  <c r="BK6" i="29"/>
  <c r="AU7" i="30"/>
  <c r="BC7" i="29"/>
  <c r="AT8" i="30"/>
  <c r="AU8" i="29"/>
  <c r="AX8" i="30"/>
  <c r="CA8" i="29"/>
  <c r="AW9" i="30"/>
  <c r="BS9" i="29"/>
  <c r="AV10" i="30"/>
  <c r="BK10" i="29"/>
  <c r="BM10" i="30" s="1"/>
  <c r="AU11" i="30"/>
  <c r="BC11" i="29"/>
  <c r="BL11" i="30" s="1"/>
  <c r="AT12" i="30"/>
  <c r="AU12" i="29"/>
  <c r="BK12" i="30" s="1"/>
  <c r="AX12" i="30"/>
  <c r="CA12" i="29"/>
  <c r="BO12" i="30" s="1"/>
  <c r="AW13" i="30"/>
  <c r="BS13" i="29"/>
  <c r="BN13" i="30" s="1"/>
  <c r="AV14" i="30"/>
  <c r="BK14" i="29"/>
  <c r="BM14" i="30" s="1"/>
  <c r="AU15" i="30"/>
  <c r="BC15" i="29"/>
  <c r="BL15" i="30" s="1"/>
  <c r="AT16" i="30"/>
  <c r="AU16" i="29"/>
  <c r="BK16" i="30" s="1"/>
  <c r="AX16" i="30"/>
  <c r="CA16" i="29"/>
  <c r="BO16" i="30" s="1"/>
  <c r="AW17" i="30"/>
  <c r="BS17" i="29"/>
  <c r="BN17" i="30" s="1"/>
  <c r="AV18" i="30"/>
  <c r="BK18" i="29"/>
  <c r="BM18" i="30" s="1"/>
  <c r="AU19" i="30"/>
  <c r="BC19" i="29"/>
  <c r="BL19" i="30" s="1"/>
  <c r="AU20" i="29"/>
  <c r="AX20" i="30"/>
  <c r="CA20" i="29"/>
  <c r="BO20" i="30" s="1"/>
  <c r="AW21" i="30"/>
  <c r="BS21" i="29"/>
  <c r="BN21" i="30" s="1"/>
  <c r="AV22" i="30"/>
  <c r="BK22" i="29"/>
  <c r="BM22" i="30" s="1"/>
  <c r="AU23" i="30"/>
  <c r="BC23" i="29"/>
  <c r="BL23" i="30" s="1"/>
  <c r="AT24" i="30"/>
  <c r="AU24" i="29"/>
  <c r="BK24" i="30" s="1"/>
  <c r="AX24" i="30"/>
  <c r="CA24" i="29"/>
  <c r="BO24" i="30" s="1"/>
  <c r="AW25" i="30"/>
  <c r="BS25" i="29"/>
  <c r="BN25" i="30" s="1"/>
  <c r="AV26" i="30"/>
  <c r="BK26" i="29"/>
  <c r="AU27" i="30"/>
  <c r="BC27" i="29"/>
  <c r="BL27" i="30" s="1"/>
  <c r="AT28" i="30"/>
  <c r="AU28" i="29"/>
  <c r="BK28" i="30" s="1"/>
  <c r="AX28" i="30"/>
  <c r="CA28" i="29"/>
  <c r="BO28" i="30" s="1"/>
  <c r="AW29" i="30"/>
  <c r="BS29" i="29"/>
  <c r="BN29" i="30" s="1"/>
  <c r="AV30" i="30"/>
  <c r="BK30" i="29"/>
  <c r="BM30" i="30" s="1"/>
  <c r="AU31" i="30"/>
  <c r="BC31" i="29"/>
  <c r="BL31" i="30" s="1"/>
  <c r="AT32" i="30"/>
  <c r="AU32" i="29"/>
  <c r="BK32" i="30" s="1"/>
  <c r="AX32" i="30"/>
  <c r="CA32" i="29"/>
  <c r="BO32" i="30" s="1"/>
  <c r="AW33" i="30"/>
  <c r="BS33" i="29"/>
  <c r="BN33" i="30" s="1"/>
  <c r="AV34" i="30"/>
  <c r="BK34" i="29"/>
  <c r="BM34" i="30" s="1"/>
  <c r="AU35" i="30"/>
  <c r="BC35" i="29"/>
  <c r="BL35" i="30" s="1"/>
  <c r="AT36" i="30"/>
  <c r="AU36" i="29"/>
  <c r="AX36" i="30"/>
  <c r="CA36" i="29"/>
  <c r="BO36" i="30" s="1"/>
  <c r="AW37" i="30"/>
  <c r="BS37" i="29"/>
  <c r="BN37" i="30" s="1"/>
  <c r="AV38" i="30"/>
  <c r="BK38" i="29"/>
  <c r="BM38" i="30" s="1"/>
  <c r="AU39" i="30"/>
  <c r="BC39" i="29"/>
  <c r="AT40" i="30"/>
  <c r="AU40" i="29"/>
  <c r="BK40" i="30" s="1"/>
  <c r="AX40" i="30"/>
  <c r="CA40" i="29"/>
  <c r="BO40" i="30" s="1"/>
  <c r="AW41" i="30"/>
  <c r="BS41" i="29"/>
  <c r="BN41" i="30" s="1"/>
  <c r="AV42" i="30"/>
  <c r="BK42" i="29"/>
  <c r="AU43" i="30"/>
  <c r="BC43" i="29"/>
  <c r="BL43" i="30" s="1"/>
  <c r="AT44" i="30"/>
  <c r="AU44" i="29"/>
  <c r="BK44" i="30" s="1"/>
  <c r="AX44" i="30"/>
  <c r="CA44" i="29"/>
  <c r="BO44" i="30" s="1"/>
  <c r="AW45" i="30"/>
  <c r="BS45" i="29"/>
  <c r="BN45" i="30" s="1"/>
  <c r="AV46" i="30"/>
  <c r="BK46" i="29"/>
  <c r="BM46" i="30" s="1"/>
  <c r="AU47" i="30"/>
  <c r="BC47" i="29"/>
  <c r="BL47" i="30" s="1"/>
  <c r="AT48" i="30"/>
  <c r="AU48" i="29"/>
  <c r="BK48" i="30" s="1"/>
  <c r="AX48" i="30"/>
  <c r="CA48" i="29"/>
  <c r="BO48" i="30" s="1"/>
  <c r="AW49" i="30"/>
  <c r="BS49" i="29"/>
  <c r="BN49" i="30" s="1"/>
  <c r="AV51" i="30"/>
  <c r="BK51" i="29"/>
  <c r="BM51" i="30" s="1"/>
  <c r="AU54" i="30"/>
  <c r="BC54" i="29"/>
  <c r="BL54" i="30" s="1"/>
  <c r="AT55" i="30"/>
  <c r="AU55" i="29"/>
  <c r="BK55" i="30" s="1"/>
  <c r="AX55" i="30"/>
  <c r="CA55" i="29"/>
  <c r="BO55" i="30" s="1"/>
  <c r="AW56" i="30"/>
  <c r="BS56" i="29"/>
  <c r="BN56" i="30" s="1"/>
  <c r="AV57" i="30"/>
  <c r="BK57" i="29"/>
  <c r="BM57" i="30" s="1"/>
  <c r="AU58" i="30"/>
  <c r="BC58" i="29"/>
  <c r="AT59" i="30"/>
  <c r="AU59" i="29"/>
  <c r="BK59" i="30" s="1"/>
  <c r="AX59" i="30"/>
  <c r="CA59" i="29"/>
  <c r="BO59" i="30" s="1"/>
  <c r="AW60" i="30"/>
  <c r="BS60" i="29"/>
  <c r="BN60" i="30" s="1"/>
  <c r="AV61" i="30"/>
  <c r="BK61" i="29"/>
  <c r="BM61" i="30" s="1"/>
  <c r="AT63" i="30"/>
  <c r="AU63" i="29"/>
  <c r="BK63" i="30" s="1"/>
  <c r="AW64" i="30"/>
  <c r="BS64" i="29"/>
  <c r="BN64" i="30" s="1"/>
  <c r="AU66" i="30"/>
  <c r="BC66" i="29"/>
  <c r="BL66" i="30" s="1"/>
  <c r="AX67" i="30"/>
  <c r="CA67" i="29"/>
  <c r="BO67" i="30" s="1"/>
  <c r="BS68" i="29"/>
  <c r="BC70" i="29"/>
  <c r="CA71" i="29"/>
  <c r="BK73" i="29"/>
  <c r="AU75" i="29"/>
  <c r="AW76" i="30"/>
  <c r="BS76" i="29"/>
  <c r="BN76" i="30" s="1"/>
  <c r="AV77" i="30"/>
  <c r="BK77" i="29"/>
  <c r="BM77" i="30" s="1"/>
  <c r="AU78" i="30"/>
  <c r="BC78" i="29"/>
  <c r="BL78" i="30" s="1"/>
  <c r="AT79" i="30"/>
  <c r="AU79" i="29"/>
  <c r="BK79" i="30" s="1"/>
  <c r="AX79" i="30"/>
  <c r="CA79" i="29"/>
  <c r="BO79" i="30" s="1"/>
  <c r="AW80" i="30"/>
  <c r="BS80" i="29"/>
  <c r="BN80" i="30" s="1"/>
  <c r="AV81" i="30"/>
  <c r="BK81" i="29"/>
  <c r="BM81" i="30" s="1"/>
  <c r="AU82" i="30"/>
  <c r="BC82" i="29"/>
  <c r="BL82" i="30" s="1"/>
  <c r="AT83" i="30"/>
  <c r="AU83" i="29"/>
  <c r="BK83" i="30" s="1"/>
  <c r="AX83" i="30"/>
  <c r="CA83" i="29"/>
  <c r="BO83" i="30" s="1"/>
  <c r="AW84" i="30"/>
  <c r="BS84" i="29"/>
  <c r="BN84" i="30" s="1"/>
  <c r="AV85" i="30"/>
  <c r="BK85" i="29"/>
  <c r="BM85" i="30" s="1"/>
  <c r="AU86" i="30"/>
  <c r="BC86" i="29"/>
  <c r="BL86" i="30" s="1"/>
  <c r="AT87" i="30"/>
  <c r="AU87" i="29"/>
  <c r="BK87" i="30" s="1"/>
  <c r="AX87" i="30"/>
  <c r="CA87" i="29"/>
  <c r="BO87" i="30" s="1"/>
  <c r="AW88" i="30"/>
  <c r="BS88" i="29"/>
  <c r="BN88" i="30" s="1"/>
  <c r="AV89" i="30"/>
  <c r="BK89" i="29"/>
  <c r="BM89" i="30" s="1"/>
  <c r="AU90" i="30"/>
  <c r="BC90" i="29"/>
  <c r="BL90" i="30" s="1"/>
  <c r="AT91" i="30"/>
  <c r="AU91" i="29"/>
  <c r="BK91" i="30" s="1"/>
  <c r="AX91" i="30"/>
  <c r="CA91" i="29"/>
  <c r="BO91" i="30" s="1"/>
  <c r="AW92" i="30"/>
  <c r="BS92" i="29"/>
  <c r="BN92" i="30" s="1"/>
  <c r="AV93" i="30"/>
  <c r="BK93" i="29"/>
  <c r="BM93" i="30" s="1"/>
  <c r="AU94" i="30"/>
  <c r="BC94" i="29"/>
  <c r="BL94" i="30" s="1"/>
  <c r="AT95" i="30"/>
  <c r="AU95" i="29"/>
  <c r="BK95" i="30" s="1"/>
  <c r="AX95" i="30"/>
  <c r="CA95" i="29"/>
  <c r="BO95" i="30" s="1"/>
  <c r="AW96" i="30"/>
  <c r="BS96" i="29"/>
  <c r="BN96" i="30" s="1"/>
  <c r="AV97" i="30"/>
  <c r="BK97" i="29"/>
  <c r="BM97" i="30" s="1"/>
  <c r="AU98" i="30"/>
  <c r="BC98" i="29"/>
  <c r="BL98" i="30" s="1"/>
  <c r="AT99" i="30"/>
  <c r="AU99" i="29"/>
  <c r="BK99" i="30" s="1"/>
  <c r="AX99" i="30"/>
  <c r="CA99" i="29"/>
  <c r="BO99" i="30" s="1"/>
  <c r="AW100" i="30"/>
  <c r="BS100" i="29"/>
  <c r="BN100" i="30" s="1"/>
  <c r="AV101" i="30"/>
  <c r="BK101" i="29"/>
  <c r="BM101" i="30" s="1"/>
  <c r="AU102" i="30"/>
  <c r="BC102" i="29"/>
  <c r="BL102" i="30" s="1"/>
  <c r="AT103" i="30"/>
  <c r="AU103" i="29"/>
  <c r="BK103" i="30" s="1"/>
  <c r="AX103" i="30"/>
  <c r="CA103" i="29"/>
  <c r="BO103" i="30" s="1"/>
  <c r="AW104" i="30"/>
  <c r="BS104" i="29"/>
  <c r="BN104" i="30" s="1"/>
  <c r="AV105" i="30"/>
  <c r="BK105" i="29"/>
  <c r="BM105" i="30" s="1"/>
  <c r="AU106" i="30"/>
  <c r="BC106" i="29"/>
  <c r="BL106" i="30" s="1"/>
  <c r="AT107" i="30"/>
  <c r="AU107" i="29"/>
  <c r="BK107" i="30" s="1"/>
  <c r="AX107" i="30"/>
  <c r="CA107" i="29"/>
  <c r="BO107" i="30" s="1"/>
  <c r="AW108" i="30"/>
  <c r="BS108" i="29"/>
  <c r="BN108" i="30" s="1"/>
  <c r="AV109" i="30"/>
  <c r="BK109" i="29"/>
  <c r="BM109" i="30" s="1"/>
  <c r="AU110" i="30"/>
  <c r="BC110" i="29"/>
  <c r="BL110" i="30" s="1"/>
  <c r="AT111" i="30"/>
  <c r="AU111" i="29"/>
  <c r="BK111" i="30" s="1"/>
  <c r="AX111" i="30"/>
  <c r="CA111" i="29"/>
  <c r="BO111" i="30" s="1"/>
  <c r="AW112" i="30"/>
  <c r="BS112" i="29"/>
  <c r="BN112" i="30" s="1"/>
  <c r="AV113" i="30"/>
  <c r="BK113" i="29"/>
  <c r="BM113" i="30" s="1"/>
  <c r="AU114" i="30"/>
  <c r="BC114" i="29"/>
  <c r="BL114" i="30" s="1"/>
  <c r="AT115" i="30"/>
  <c r="AU115" i="29"/>
  <c r="BK115" i="30" s="1"/>
  <c r="AX115" i="30"/>
  <c r="CA115" i="29"/>
  <c r="BO115" i="30" s="1"/>
  <c r="AW116" i="30"/>
  <c r="BS116" i="29"/>
  <c r="BN116" i="30" s="1"/>
  <c r="AV117" i="30"/>
  <c r="BK117" i="29"/>
  <c r="BM117" i="30" s="1"/>
  <c r="AU118" i="30"/>
  <c r="BC118" i="29"/>
  <c r="BL118" i="30" s="1"/>
  <c r="AT119" i="30"/>
  <c r="AU119" i="29"/>
  <c r="BK119" i="30" s="1"/>
  <c r="AX119" i="30"/>
  <c r="CA119" i="29"/>
  <c r="BO119" i="30" s="1"/>
  <c r="AW120" i="30"/>
  <c r="BS120" i="29"/>
  <c r="BN120" i="30" s="1"/>
  <c r="AV121" i="30"/>
  <c r="BK121" i="29"/>
  <c r="BM121" i="30" s="1"/>
  <c r="AU122" i="30"/>
  <c r="BC122" i="29"/>
  <c r="BL122" i="30" s="1"/>
  <c r="AT123" i="30"/>
  <c r="AU123" i="29"/>
  <c r="BK123" i="30" s="1"/>
  <c r="AX123" i="30"/>
  <c r="CA123" i="29"/>
  <c r="BO123" i="30" s="1"/>
  <c r="AW124" i="30"/>
  <c r="BS124" i="29"/>
  <c r="BN124" i="30" s="1"/>
  <c r="AV125" i="30"/>
  <c r="BK125" i="29"/>
  <c r="BM125" i="30" s="1"/>
  <c r="AU126" i="30"/>
  <c r="BC126" i="29"/>
  <c r="BL126" i="30" s="1"/>
  <c r="AT127" i="30"/>
  <c r="AU127" i="29"/>
  <c r="BK127" i="30" s="1"/>
  <c r="AX127" i="30"/>
  <c r="CA127" i="29"/>
  <c r="AW128" i="30"/>
  <c r="BS128" i="29"/>
  <c r="BN128" i="30" s="1"/>
  <c r="AV129" i="30"/>
  <c r="BK129" i="29"/>
  <c r="BM129" i="30" s="1"/>
  <c r="AU130" i="30"/>
  <c r="BC130" i="29"/>
  <c r="BL130" i="30" s="1"/>
  <c r="AT131" i="30"/>
  <c r="AU131" i="29"/>
  <c r="BK131" i="30" s="1"/>
  <c r="AX131" i="30"/>
  <c r="CA131" i="29"/>
  <c r="BO131" i="30" s="1"/>
  <c r="AW132" i="30"/>
  <c r="BS132" i="29"/>
  <c r="BN132" i="30" s="1"/>
  <c r="AV133" i="30"/>
  <c r="BK133" i="29"/>
  <c r="BM133" i="30" s="1"/>
  <c r="AU134" i="30"/>
  <c r="BC134" i="29"/>
  <c r="AT135" i="30"/>
  <c r="AU135" i="29"/>
  <c r="BK135" i="30" s="1"/>
  <c r="AX135" i="30"/>
  <c r="CA135" i="29"/>
  <c r="BO135" i="30" s="1"/>
  <c r="AW136" i="30"/>
  <c r="BS136" i="29"/>
  <c r="BN136" i="30" s="1"/>
  <c r="AV137" i="30"/>
  <c r="BK137" i="29"/>
  <c r="BM137" i="30" s="1"/>
  <c r="AU138" i="30"/>
  <c r="BC138" i="29"/>
  <c r="AT139" i="30"/>
  <c r="AU139" i="29"/>
  <c r="BK139" i="30" s="1"/>
  <c r="AX139" i="30"/>
  <c r="CA139" i="29"/>
  <c r="BO139" i="30" s="1"/>
  <c r="AV141" i="30"/>
  <c r="BK141" i="29"/>
  <c r="AT143" i="30"/>
  <c r="AU143" i="29"/>
  <c r="BK143" i="30" s="1"/>
  <c r="AW144" i="30"/>
  <c r="BS144" i="29"/>
  <c r="BN144" i="30" s="1"/>
  <c r="AV145" i="30"/>
  <c r="BK145" i="29"/>
  <c r="BM145" i="30" s="1"/>
  <c r="AU146" i="30"/>
  <c r="BC146" i="29"/>
  <c r="AT147" i="30"/>
  <c r="AU147" i="29"/>
  <c r="BK147" i="30" s="1"/>
  <c r="AX147" i="30"/>
  <c r="CA147" i="29"/>
  <c r="BO147" i="30" s="1"/>
  <c r="AW148" i="30"/>
  <c r="BS148" i="29"/>
  <c r="BN148" i="30" s="1"/>
  <c r="AV149" i="30"/>
  <c r="BK149" i="29"/>
  <c r="AU150" i="30"/>
  <c r="BC150" i="29"/>
  <c r="BL150" i="30" s="1"/>
  <c r="AT151" i="30"/>
  <c r="AU151" i="29"/>
  <c r="BK151" i="30" s="1"/>
  <c r="AX151" i="30"/>
  <c r="CA151" i="29"/>
  <c r="BO151" i="30" s="1"/>
  <c r="AW152" i="30"/>
  <c r="BS152" i="29"/>
  <c r="AV153" i="30"/>
  <c r="BK153" i="29"/>
  <c r="BM153" i="30" s="1"/>
  <c r="AU154" i="30"/>
  <c r="BC154" i="29"/>
  <c r="BL154" i="30" s="1"/>
  <c r="AT155" i="30"/>
  <c r="AU155" i="29"/>
  <c r="BK155" i="30" s="1"/>
  <c r="AW156" i="30"/>
  <c r="BS156" i="29"/>
  <c r="BN156" i="30" s="1"/>
  <c r="AV157" i="30"/>
  <c r="BK157" i="29"/>
  <c r="BM157" i="30" s="1"/>
  <c r="AU158" i="30"/>
  <c r="BC158" i="29"/>
  <c r="BL158" i="30" s="1"/>
  <c r="AT159" i="30"/>
  <c r="AU159" i="29"/>
  <c r="BK159" i="30" s="1"/>
  <c r="AX159" i="30"/>
  <c r="CA159" i="29"/>
  <c r="CA261" i="29"/>
  <c r="AW262" i="30"/>
  <c r="BS262" i="29"/>
  <c r="BN262" i="30" s="1"/>
  <c r="BK263" i="29"/>
  <c r="AU264" i="30"/>
  <c r="BC264" i="29"/>
  <c r="AW266" i="30"/>
  <c r="BS266" i="29"/>
  <c r="BN266" i="30" s="1"/>
  <c r="AT269" i="30"/>
  <c r="AU269" i="29"/>
  <c r="BK269" i="30" s="1"/>
  <c r="AX269" i="30"/>
  <c r="CA269" i="29"/>
  <c r="BO269" i="30" s="1"/>
  <c r="AW270" i="30"/>
  <c r="BS270" i="29"/>
  <c r="AV271" i="30"/>
  <c r="BK271" i="29"/>
  <c r="BM271" i="30" s="1"/>
  <c r="AU272" i="30"/>
  <c r="BC272" i="29"/>
  <c r="BL272" i="30" s="1"/>
  <c r="AT273" i="30"/>
  <c r="AU273" i="29"/>
  <c r="BK273" i="30" s="1"/>
  <c r="AX273" i="30"/>
  <c r="CA273" i="29"/>
  <c r="AW274" i="30"/>
  <c r="BS274" i="29"/>
  <c r="BN274" i="30" s="1"/>
  <c r="AV275" i="30"/>
  <c r="BK275" i="29"/>
  <c r="BM275" i="30" s="1"/>
  <c r="AU276" i="30"/>
  <c r="BC276" i="29"/>
  <c r="BL276" i="30" s="1"/>
  <c r="AT277" i="30"/>
  <c r="AU277" i="29"/>
  <c r="AX277" i="30"/>
  <c r="CA277" i="29"/>
  <c r="BO277" i="30" s="1"/>
  <c r="AW278" i="30"/>
  <c r="BS278" i="29"/>
  <c r="BN278" i="30" s="1"/>
  <c r="AV279" i="30"/>
  <c r="BK279" i="29"/>
  <c r="BM279" i="30" s="1"/>
  <c r="AU280" i="30"/>
  <c r="BC280" i="29"/>
  <c r="AT281" i="30"/>
  <c r="AU281" i="29"/>
  <c r="BK281" i="30" s="1"/>
  <c r="AX281" i="30"/>
  <c r="CA281" i="29"/>
  <c r="BO281" i="30" s="1"/>
  <c r="AW282" i="30"/>
  <c r="BS282" i="29"/>
  <c r="BN282" i="30" s="1"/>
  <c r="AV283" i="30"/>
  <c r="BK283" i="29"/>
  <c r="AU284" i="30"/>
  <c r="BC284" i="29"/>
  <c r="BL284" i="30" s="1"/>
  <c r="AT285" i="30"/>
  <c r="AU285" i="29"/>
  <c r="BK285" i="30" s="1"/>
  <c r="AX285" i="30"/>
  <c r="CA285" i="29"/>
  <c r="BO285" i="30" s="1"/>
  <c r="AW286" i="30"/>
  <c r="BS286" i="29"/>
  <c r="AV287" i="30"/>
  <c r="BK287" i="29"/>
  <c r="BM287" i="30" s="1"/>
  <c r="AU288" i="30"/>
  <c r="BC288" i="29"/>
  <c r="BL288" i="30" s="1"/>
  <c r="AT289" i="30"/>
  <c r="AU289" i="29"/>
  <c r="BK289" i="30" s="1"/>
  <c r="AX289" i="30"/>
  <c r="CA289" i="29"/>
  <c r="AW290" i="30"/>
  <c r="BS290" i="29"/>
  <c r="BN290" i="30" s="1"/>
  <c r="AV291" i="30"/>
  <c r="BK291" i="29"/>
  <c r="BM291" i="30" s="1"/>
  <c r="AU292" i="30"/>
  <c r="BC292" i="29"/>
  <c r="BL292" i="30" s="1"/>
  <c r="AT293" i="30"/>
  <c r="AU293" i="29"/>
  <c r="AX293" i="30"/>
  <c r="CA293" i="29"/>
  <c r="BO293" i="30" s="1"/>
  <c r="AW294" i="30"/>
  <c r="BS294" i="29"/>
  <c r="BN294" i="30" s="1"/>
  <c r="AV295" i="30"/>
  <c r="BK295" i="29"/>
  <c r="BM295" i="30" s="1"/>
  <c r="AU296" i="30"/>
  <c r="BC296" i="29"/>
  <c r="AT297" i="30"/>
  <c r="AU297" i="29"/>
  <c r="BK297" i="30" s="1"/>
  <c r="AX297" i="30"/>
  <c r="CA297" i="29"/>
  <c r="BO297" i="30" s="1"/>
  <c r="AW298" i="30"/>
  <c r="BS298" i="29"/>
  <c r="BN298" i="30" s="1"/>
  <c r="AV299" i="30"/>
  <c r="BK299" i="29"/>
  <c r="AU300" i="30"/>
  <c r="BC300" i="29"/>
  <c r="BL300" i="30" s="1"/>
  <c r="AT301" i="30"/>
  <c r="AU301" i="29"/>
  <c r="AX301" i="30"/>
  <c r="CA301" i="29"/>
  <c r="BO301" i="30" s="1"/>
  <c r="BS302" i="29"/>
  <c r="AV303" i="30"/>
  <c r="BK303" i="29"/>
  <c r="BM303" i="30" s="1"/>
  <c r="AT305" i="30"/>
  <c r="AU305" i="29"/>
  <c r="BK305" i="30" s="1"/>
  <c r="CA305" i="29"/>
  <c r="AW306" i="30"/>
  <c r="BS306" i="29"/>
  <c r="AU308" i="30"/>
  <c r="BC308" i="29"/>
  <c r="BL308" i="30" s="1"/>
  <c r="AU309" i="29"/>
  <c r="BC312" i="29"/>
  <c r="AT313" i="30"/>
  <c r="AU313" i="29"/>
  <c r="AW314" i="30"/>
  <c r="BS314" i="29"/>
  <c r="BN314" i="30" s="1"/>
  <c r="BK315" i="29"/>
  <c r="AU316" i="30"/>
  <c r="BC316" i="29"/>
  <c r="BL316" i="30" s="1"/>
  <c r="AX317" i="30"/>
  <c r="CA317" i="29"/>
  <c r="BS318" i="29"/>
  <c r="AV319" i="30"/>
  <c r="BK319" i="29"/>
  <c r="BM319" i="30" s="1"/>
  <c r="AT321" i="30"/>
  <c r="AU321" i="29"/>
  <c r="BK321" i="30" s="1"/>
  <c r="CA321" i="29"/>
  <c r="AV323" i="30"/>
  <c r="BK323" i="29"/>
  <c r="AT325" i="30"/>
  <c r="AU325" i="29"/>
  <c r="BK325" i="30" s="1"/>
  <c r="AX325" i="30"/>
  <c r="CA325" i="29"/>
  <c r="BO325" i="30" s="1"/>
  <c r="AW326" i="30"/>
  <c r="BS326" i="29"/>
  <c r="AX329" i="30"/>
  <c r="CA329" i="29"/>
  <c r="AW330" i="30"/>
  <c r="BS330" i="29"/>
  <c r="BN330" i="30" s="1"/>
  <c r="AU332" i="30"/>
  <c r="BC332" i="29"/>
  <c r="BL332" i="30" s="1"/>
  <c r="AT333" i="30"/>
  <c r="AU333" i="29"/>
  <c r="AV335" i="30"/>
  <c r="BK335" i="29"/>
  <c r="AX337" i="30"/>
  <c r="CA337" i="29"/>
  <c r="BO337" i="30" s="1"/>
  <c r="AU340" i="30"/>
  <c r="BC340" i="29"/>
  <c r="BL340" i="30" s="1"/>
  <c r="AT341" i="30"/>
  <c r="AU341" i="29"/>
  <c r="AX341" i="30"/>
  <c r="CA341" i="29"/>
  <c r="BP342" i="29"/>
  <c r="BS342" i="29"/>
  <c r="BN342" i="30" s="1"/>
  <c r="AU344" i="30"/>
  <c r="BC344" i="29"/>
  <c r="BL344" i="30" s="1"/>
  <c r="AW346" i="30"/>
  <c r="BS346" i="29"/>
  <c r="BN346" i="30" s="1"/>
  <c r="AV347" i="30"/>
  <c r="BK347" i="29"/>
  <c r="AX349" i="30"/>
  <c r="CA349" i="29"/>
  <c r="BO349" i="30" s="1"/>
  <c r="AW350" i="30"/>
  <c r="BS350" i="29"/>
  <c r="BN350" i="30" s="1"/>
  <c r="AV351" i="30"/>
  <c r="BK351" i="29"/>
  <c r="BM351" i="30" s="1"/>
  <c r="AT353" i="30"/>
  <c r="AU353" i="29"/>
  <c r="AW354" i="30"/>
  <c r="BS354" i="29"/>
  <c r="BN354" i="30" s="1"/>
  <c r="AT357" i="30"/>
  <c r="AU357" i="29"/>
  <c r="BK357" i="30" s="1"/>
  <c r="AX357" i="30"/>
  <c r="CA357" i="29"/>
  <c r="BP358" i="29"/>
  <c r="BS358" i="29"/>
  <c r="BN358" i="30" s="1"/>
  <c r="BC360" i="29"/>
  <c r="AT361" i="30"/>
  <c r="AU361" i="29"/>
  <c r="BK361" i="30" s="1"/>
  <c r="AT365" i="30"/>
  <c r="AU365" i="29"/>
  <c r="AX365" i="30"/>
  <c r="CA365" i="29"/>
  <c r="BO365" i="30" s="1"/>
  <c r="AW366" i="30"/>
  <c r="BS366" i="29"/>
  <c r="BN366" i="30" s="1"/>
  <c r="AU369" i="29"/>
  <c r="AX369" i="30"/>
  <c r="CA369" i="29"/>
  <c r="AW370" i="30"/>
  <c r="BS370" i="29"/>
  <c r="BN370" i="30" s="1"/>
  <c r="AV371" i="30"/>
  <c r="BK371" i="29"/>
  <c r="BM371" i="30" s="1"/>
  <c r="AU372" i="30"/>
  <c r="BC372" i="29"/>
  <c r="BL372" i="30" s="1"/>
  <c r="BS406" i="29"/>
  <c r="BC408" i="29"/>
  <c r="AU409" i="29"/>
  <c r="CA409" i="29"/>
  <c r="BK411" i="29"/>
  <c r="BC412" i="29"/>
  <c r="AU413" i="29"/>
  <c r="BS414" i="29"/>
  <c r="BK415" i="29"/>
  <c r="BC416" i="29"/>
  <c r="CA417" i="29"/>
  <c r="BS418" i="29"/>
  <c r="BK419" i="29"/>
  <c r="BS2" i="29"/>
  <c r="AV3" i="30"/>
  <c r="BK3" i="29"/>
  <c r="AU4" i="30"/>
  <c r="BC4" i="29"/>
  <c r="AT5" i="30"/>
  <c r="AU5" i="29"/>
  <c r="AX5" i="30"/>
  <c r="CA5" i="29"/>
  <c r="AW6" i="30"/>
  <c r="BS6" i="29"/>
  <c r="AV7" i="30"/>
  <c r="BK7" i="29"/>
  <c r="AU8" i="30"/>
  <c r="BC8" i="29"/>
  <c r="AT9" i="30"/>
  <c r="AU9" i="29"/>
  <c r="AX9" i="30"/>
  <c r="CA9" i="29"/>
  <c r="AW10" i="30"/>
  <c r="BS10" i="29"/>
  <c r="BN10" i="30" s="1"/>
  <c r="AV11" i="30"/>
  <c r="BK11" i="29"/>
  <c r="AU12" i="30"/>
  <c r="BC12" i="29"/>
  <c r="AT13" i="30"/>
  <c r="AU13" i="29"/>
  <c r="BK13" i="30" s="1"/>
  <c r="AX13" i="30"/>
  <c r="CA13" i="29"/>
  <c r="BO13" i="30" s="1"/>
  <c r="AW14" i="30"/>
  <c r="BS14" i="29"/>
  <c r="AV15" i="30"/>
  <c r="BK15" i="29"/>
  <c r="AU16" i="30"/>
  <c r="BC16" i="29"/>
  <c r="BL16" i="30" s="1"/>
  <c r="AT17" i="30"/>
  <c r="AU17" i="29"/>
  <c r="BK17" i="30" s="1"/>
  <c r="AX17" i="30"/>
  <c r="CA17" i="29"/>
  <c r="AW18" i="30"/>
  <c r="BS18" i="29"/>
  <c r="BN18" i="30" s="1"/>
  <c r="AV19" i="30"/>
  <c r="BK19" i="29"/>
  <c r="BM19" i="30" s="1"/>
  <c r="AU20" i="30"/>
  <c r="BC20" i="29"/>
  <c r="BL20" i="30" s="1"/>
  <c r="AT21" i="30"/>
  <c r="AU21" i="29"/>
  <c r="AX21" i="30"/>
  <c r="CA21" i="29"/>
  <c r="BO21" i="30" s="1"/>
  <c r="AW22" i="30"/>
  <c r="BS22" i="29"/>
  <c r="BN22" i="30" s="1"/>
  <c r="AV23" i="30"/>
  <c r="BK23" i="29"/>
  <c r="BM23" i="30" s="1"/>
  <c r="AU24" i="30"/>
  <c r="BC24" i="29"/>
  <c r="AT25" i="30"/>
  <c r="AU25" i="29"/>
  <c r="BK25" i="30" s="1"/>
  <c r="AX25" i="30"/>
  <c r="CA25" i="29"/>
  <c r="BO25" i="30" s="1"/>
  <c r="AW26" i="30"/>
  <c r="BS26" i="29"/>
  <c r="BN26" i="30" s="1"/>
  <c r="AV27" i="30"/>
  <c r="BK27" i="29"/>
  <c r="AU28" i="30"/>
  <c r="BC28" i="29"/>
  <c r="AT29" i="30"/>
  <c r="AU29" i="29"/>
  <c r="BK29" i="30" s="1"/>
  <c r="AX29" i="30"/>
  <c r="CA29" i="29"/>
  <c r="BO29" i="30" s="1"/>
  <c r="AW30" i="30"/>
  <c r="BS30" i="29"/>
  <c r="BN30" i="30" s="1"/>
  <c r="AV31" i="30"/>
  <c r="BK31" i="29"/>
  <c r="BM31" i="30" s="1"/>
  <c r="AU32" i="30"/>
  <c r="BC32" i="29"/>
  <c r="BL32" i="30" s="1"/>
  <c r="AT33" i="30"/>
  <c r="AU33" i="29"/>
  <c r="BK33" i="30" s="1"/>
  <c r="AX33" i="30"/>
  <c r="CA33" i="29"/>
  <c r="AW34" i="30"/>
  <c r="BS34" i="29"/>
  <c r="AV35" i="30"/>
  <c r="BK35" i="29"/>
  <c r="BM35" i="30" s="1"/>
  <c r="AU36" i="30"/>
  <c r="BC36" i="29"/>
  <c r="BL36" i="30" s="1"/>
  <c r="AT37" i="30"/>
  <c r="AU37" i="29"/>
  <c r="AX37" i="30"/>
  <c r="CA37" i="29"/>
  <c r="BO37" i="30" s="1"/>
  <c r="AW38" i="30"/>
  <c r="BS38" i="29"/>
  <c r="BN38" i="30" s="1"/>
  <c r="AV39" i="30"/>
  <c r="BK39" i="29"/>
  <c r="BM39" i="30" s="1"/>
  <c r="AU40" i="30"/>
  <c r="BC40" i="29"/>
  <c r="AT41" i="30"/>
  <c r="AU41" i="29"/>
  <c r="BK41" i="30" s="1"/>
  <c r="AX41" i="30"/>
  <c r="CA41" i="29"/>
  <c r="BO41" i="30" s="1"/>
  <c r="AW42" i="30"/>
  <c r="BS42" i="29"/>
  <c r="BN42" i="30" s="1"/>
  <c r="AV43" i="30"/>
  <c r="BK43" i="29"/>
  <c r="AU44" i="30"/>
  <c r="BC44" i="29"/>
  <c r="BL44" i="30" s="1"/>
  <c r="AT45" i="30"/>
  <c r="AU45" i="29"/>
  <c r="BK45" i="30" s="1"/>
  <c r="AX45" i="30"/>
  <c r="CA45" i="29"/>
  <c r="BO45" i="30" s="1"/>
  <c r="AW46" i="30"/>
  <c r="BS46" i="29"/>
  <c r="AV47" i="30"/>
  <c r="BK47" i="29"/>
  <c r="BM47" i="30" s="1"/>
  <c r="AU48" i="30"/>
  <c r="BC48" i="29"/>
  <c r="BL48" i="30" s="1"/>
  <c r="AT49" i="30"/>
  <c r="AU49" i="29"/>
  <c r="BK49" i="30" s="1"/>
  <c r="AX49" i="30"/>
  <c r="CA49" i="29"/>
  <c r="AW51" i="30"/>
  <c r="BS51" i="29"/>
  <c r="BN51" i="30" s="1"/>
  <c r="AV54" i="30"/>
  <c r="BK54" i="29"/>
  <c r="BM54" i="30" s="1"/>
  <c r="AU55" i="30"/>
  <c r="BC55" i="29"/>
  <c r="BL55" i="30" s="1"/>
  <c r="AT56" i="30"/>
  <c r="AU56" i="29"/>
  <c r="AX56" i="30"/>
  <c r="CA56" i="29"/>
  <c r="BO56" i="30" s="1"/>
  <c r="AW57" i="30"/>
  <c r="BS57" i="29"/>
  <c r="BN57" i="30" s="1"/>
  <c r="AV58" i="30"/>
  <c r="BK58" i="29"/>
  <c r="BM58" i="30" s="1"/>
  <c r="AU59" i="30"/>
  <c r="BC59" i="29"/>
  <c r="AT60" i="30"/>
  <c r="AU60" i="29"/>
  <c r="BK60" i="30" s="1"/>
  <c r="AW61" i="30"/>
  <c r="BS61" i="29"/>
  <c r="BN61" i="30" s="1"/>
  <c r="AV62" i="30"/>
  <c r="BK62" i="29"/>
  <c r="BM62" i="30" s="1"/>
  <c r="AU63" i="30"/>
  <c r="BC63" i="29"/>
  <c r="AT64" i="30"/>
  <c r="AU64" i="29"/>
  <c r="BK64" i="30" s="1"/>
  <c r="AX64" i="30"/>
  <c r="CA64" i="29"/>
  <c r="BO64" i="30" s="1"/>
  <c r="AV66" i="30"/>
  <c r="BK66" i="29"/>
  <c r="BM66" i="30" s="1"/>
  <c r="AU67" i="30"/>
  <c r="BC67" i="29"/>
  <c r="AT68" i="30"/>
  <c r="AU68" i="29"/>
  <c r="BK68" i="30" s="1"/>
  <c r="AW157" i="30"/>
  <c r="BS157" i="29"/>
  <c r="BN157" i="30" s="1"/>
  <c r="AX242" i="30"/>
  <c r="CA242" i="29"/>
  <c r="BO242" i="30" s="1"/>
  <c r="AV244" i="30"/>
  <c r="BK244" i="29"/>
  <c r="AW247" i="30"/>
  <c r="BS247" i="29"/>
  <c r="BN247" i="30" s="1"/>
  <c r="AU249" i="30"/>
  <c r="BC249" i="29"/>
  <c r="BL249" i="30" s="1"/>
  <c r="AX250" i="30"/>
  <c r="CA250" i="29"/>
  <c r="BO250" i="30" s="1"/>
  <c r="AW251" i="30"/>
  <c r="BS251" i="29"/>
  <c r="AV252" i="30"/>
  <c r="BK252" i="29"/>
  <c r="BM252" i="30" s="1"/>
  <c r="AU253" i="30"/>
  <c r="BC253" i="29"/>
  <c r="BL253" i="30" s="1"/>
  <c r="AT254" i="30"/>
  <c r="AU254" i="29"/>
  <c r="BK254" i="30" s="1"/>
  <c r="AX254" i="30"/>
  <c r="CA254" i="29"/>
  <c r="AW255" i="30"/>
  <c r="BS255" i="29"/>
  <c r="BN255" i="30" s="1"/>
  <c r="AU257" i="30"/>
  <c r="BC257" i="29"/>
  <c r="BL257" i="30" s="1"/>
  <c r="AT258" i="30"/>
  <c r="AU258" i="29"/>
  <c r="BK258" i="30" s="1"/>
  <c r="AX258" i="30"/>
  <c r="CA258" i="29"/>
  <c r="AW259" i="30"/>
  <c r="BS259" i="29"/>
  <c r="BN259" i="30" s="1"/>
  <c r="AV260" i="30"/>
  <c r="BK260" i="29"/>
  <c r="BM260" i="30" s="1"/>
  <c r="AT302" i="30"/>
  <c r="AU302" i="29"/>
  <c r="BK302" i="30" s="1"/>
  <c r="AW303" i="30"/>
  <c r="BS303" i="29"/>
  <c r="AU305" i="30"/>
  <c r="BC305" i="29"/>
  <c r="BL305" i="30" s="1"/>
  <c r="AX306" i="30"/>
  <c r="CA306" i="29"/>
  <c r="BO306" i="30" s="1"/>
  <c r="AT310" i="30"/>
  <c r="AU310" i="29"/>
  <c r="BK310" i="30" s="1"/>
  <c r="AW311" i="30"/>
  <c r="BS311" i="29"/>
  <c r="AX314" i="30"/>
  <c r="CA314" i="29"/>
  <c r="BO314" i="30" s="1"/>
  <c r="AV316" i="30"/>
  <c r="BK316" i="29"/>
  <c r="BM316" i="30" s="1"/>
  <c r="AT318" i="30"/>
  <c r="AU318" i="29"/>
  <c r="BK318" i="30" s="1"/>
  <c r="AW319" i="30"/>
  <c r="BS319" i="29"/>
  <c r="AU321" i="30"/>
  <c r="BC321" i="29"/>
  <c r="BL321" i="30" s="1"/>
  <c r="AX322" i="30"/>
  <c r="CA322" i="29"/>
  <c r="BO322" i="30" s="1"/>
  <c r="AW323" i="30"/>
  <c r="BS323" i="29"/>
  <c r="BN323" i="30" s="1"/>
  <c r="AV324" i="30"/>
  <c r="BK324" i="29"/>
  <c r="BM324" i="30" s="1"/>
  <c r="AU325" i="30"/>
  <c r="BC325" i="29"/>
  <c r="BL325" i="30" s="1"/>
  <c r="AT326" i="30"/>
  <c r="AU326" i="29"/>
  <c r="BK326" i="30" s="1"/>
  <c r="AX326" i="30"/>
  <c r="CA326" i="29"/>
  <c r="BO326" i="30" s="1"/>
  <c r="AW327" i="30"/>
  <c r="BS327" i="29"/>
  <c r="AV328" i="30"/>
  <c r="BK328" i="29"/>
  <c r="BM328" i="30" s="1"/>
  <c r="AU329" i="30"/>
  <c r="BC329" i="29"/>
  <c r="BL329" i="30" s="1"/>
  <c r="AT330" i="30"/>
  <c r="AU330" i="29"/>
  <c r="BK330" i="30" s="1"/>
  <c r="AX330" i="30"/>
  <c r="CA330" i="29"/>
  <c r="AW331" i="30"/>
  <c r="BS331" i="29"/>
  <c r="BN331" i="30" s="1"/>
  <c r="AV332" i="30"/>
  <c r="BK332" i="29"/>
  <c r="BM332" i="30" s="1"/>
  <c r="AU333" i="30"/>
  <c r="BC333" i="29"/>
  <c r="BL333" i="30" s="1"/>
  <c r="AT334" i="30"/>
  <c r="AU334" i="29"/>
  <c r="AX334" i="30"/>
  <c r="CA334" i="29"/>
  <c r="BO334" i="30" s="1"/>
  <c r="BK336" i="29"/>
  <c r="BC337" i="29"/>
  <c r="AU338" i="29"/>
  <c r="BS339" i="29"/>
  <c r="BK340" i="29"/>
  <c r="BC341" i="29"/>
  <c r="CA342" i="29"/>
  <c r="BS343" i="29"/>
  <c r="BK344" i="29"/>
  <c r="AT346" i="30"/>
  <c r="AU346" i="29"/>
  <c r="BK346" i="30" s="1"/>
  <c r="AW347" i="30"/>
  <c r="BS347" i="29"/>
  <c r="BN347" i="30" s="1"/>
  <c r="AU349" i="30"/>
  <c r="BC349" i="29"/>
  <c r="BL349" i="30" s="1"/>
  <c r="AX350" i="30"/>
  <c r="CA350" i="29"/>
  <c r="BO350" i="30" s="1"/>
  <c r="AV352" i="30"/>
  <c r="BK352" i="29"/>
  <c r="BM352" i="30" s="1"/>
  <c r="AT354" i="30"/>
  <c r="AU354" i="29"/>
  <c r="AW355" i="30"/>
  <c r="BS355" i="29"/>
  <c r="BN355" i="30" s="1"/>
  <c r="BC373" i="29"/>
  <c r="AU374" i="29"/>
  <c r="BS375" i="29"/>
  <c r="BK376" i="29"/>
  <c r="BC377" i="29"/>
  <c r="CA378" i="29"/>
  <c r="BS379" i="29"/>
  <c r="BC381" i="29"/>
  <c r="CA382" i="29"/>
  <c r="BK384" i="29"/>
  <c r="AU386" i="29"/>
  <c r="BS387" i="29"/>
  <c r="BC389" i="29"/>
  <c r="CA390" i="29"/>
  <c r="BK392" i="29"/>
  <c r="AU394" i="29"/>
  <c r="BS395" i="29"/>
  <c r="BC397" i="29"/>
  <c r="CA398" i="29"/>
  <c r="BK400" i="29"/>
  <c r="AU402" i="29"/>
  <c r="BS403" i="29"/>
  <c r="BC405" i="29"/>
  <c r="AU2" i="29"/>
  <c r="CA2" i="29"/>
  <c r="AW3" i="30"/>
  <c r="BS3" i="29"/>
  <c r="AV4" i="30"/>
  <c r="BK4" i="29"/>
  <c r="AU5" i="30"/>
  <c r="BC5" i="29"/>
  <c r="AT6" i="30"/>
  <c r="AU6" i="29"/>
  <c r="AX6" i="30"/>
  <c r="CA6" i="29"/>
  <c r="AW7" i="30"/>
  <c r="BS7" i="29"/>
  <c r="AV8" i="30"/>
  <c r="BK8" i="29"/>
  <c r="AU9" i="30"/>
  <c r="BC9" i="29"/>
  <c r="AT10" i="30"/>
  <c r="AU10" i="29"/>
  <c r="BK10" i="30" s="1"/>
  <c r="AX10" i="30"/>
  <c r="CA10" i="29"/>
  <c r="AW11" i="30"/>
  <c r="BS11" i="29"/>
  <c r="BN11" i="30" s="1"/>
  <c r="AV12" i="30"/>
  <c r="BK12" i="29"/>
  <c r="BM12" i="30" s="1"/>
  <c r="AU13" i="30"/>
  <c r="BC13" i="29"/>
  <c r="BL13" i="30" s="1"/>
  <c r="AT14" i="30"/>
  <c r="AU14" i="29"/>
  <c r="AX14" i="30"/>
  <c r="CA14" i="29"/>
  <c r="BO14" i="30" s="1"/>
  <c r="AW15" i="30"/>
  <c r="BS15" i="29"/>
  <c r="BN15" i="30" s="1"/>
  <c r="AV16" i="30"/>
  <c r="BK16" i="29"/>
  <c r="BM16" i="30" s="1"/>
  <c r="AU17" i="30"/>
  <c r="BC17" i="29"/>
  <c r="AT18" i="30"/>
  <c r="AU18" i="29"/>
  <c r="BK18" i="30" s="1"/>
  <c r="AX18" i="30"/>
  <c r="CA18" i="29"/>
  <c r="BO18" i="30" s="1"/>
  <c r="AW19" i="30"/>
  <c r="BS19" i="29"/>
  <c r="BN19" i="30" s="1"/>
  <c r="AV20" i="30"/>
  <c r="BK20" i="29"/>
  <c r="AU21" i="30"/>
  <c r="BC21" i="29"/>
  <c r="BL21" i="30" s="1"/>
  <c r="AT22" i="30"/>
  <c r="AU22" i="29"/>
  <c r="BK22" i="30" s="1"/>
  <c r="AX22" i="30"/>
  <c r="CA22" i="29"/>
  <c r="BO22" i="30" s="1"/>
  <c r="AW23" i="30"/>
  <c r="BS23" i="29"/>
  <c r="AV24" i="30"/>
  <c r="BK24" i="29"/>
  <c r="BM24" i="30" s="1"/>
  <c r="AU25" i="30"/>
  <c r="BC25" i="29"/>
  <c r="BL25" i="30" s="1"/>
  <c r="AT26" i="30"/>
  <c r="AU26" i="29"/>
  <c r="BK26" i="30" s="1"/>
  <c r="AX26" i="30"/>
  <c r="CA26" i="29"/>
  <c r="AW27" i="30"/>
  <c r="BS27" i="29"/>
  <c r="BN27" i="30" s="1"/>
  <c r="AV28" i="30"/>
  <c r="BK28" i="29"/>
  <c r="BM28" i="30" s="1"/>
  <c r="AU29" i="30"/>
  <c r="BC29" i="29"/>
  <c r="BL29" i="30" s="1"/>
  <c r="AT30" i="30"/>
  <c r="AU30" i="29"/>
  <c r="AX30" i="30"/>
  <c r="CA30" i="29"/>
  <c r="BO30" i="30" s="1"/>
  <c r="AW31" i="30"/>
  <c r="BS31" i="29"/>
  <c r="BN31" i="30" s="1"/>
  <c r="AV32" i="30"/>
  <c r="BK32" i="29"/>
  <c r="BM32" i="30" s="1"/>
  <c r="AU33" i="30"/>
  <c r="BC33" i="29"/>
  <c r="AT34" i="30"/>
  <c r="AU34" i="29"/>
  <c r="BK34" i="30" s="1"/>
  <c r="AX34" i="30"/>
  <c r="CA34" i="29"/>
  <c r="BO34" i="30" s="1"/>
  <c r="AW35" i="30"/>
  <c r="BS35" i="29"/>
  <c r="BN35" i="30" s="1"/>
  <c r="AV36" i="30"/>
  <c r="BK36" i="29"/>
  <c r="AU37" i="30"/>
  <c r="BC37" i="29"/>
  <c r="BL37" i="30" s="1"/>
  <c r="AT38" i="30"/>
  <c r="AU38" i="29"/>
  <c r="BK38" i="30" s="1"/>
  <c r="AX38" i="30"/>
  <c r="CA38" i="29"/>
  <c r="BO38" i="30" s="1"/>
  <c r="AW39" i="30"/>
  <c r="BS39" i="29"/>
  <c r="AV40" i="30"/>
  <c r="BK40" i="29"/>
  <c r="BM40" i="30" s="1"/>
  <c r="AU41" i="30"/>
  <c r="BC41" i="29"/>
  <c r="BL41" i="30" s="1"/>
  <c r="AT42" i="30"/>
  <c r="AU42" i="29"/>
  <c r="BK42" i="30" s="1"/>
  <c r="AX42" i="30"/>
  <c r="CA42" i="29"/>
  <c r="AW43" i="30"/>
  <c r="BS43" i="29"/>
  <c r="BN43" i="30" s="1"/>
  <c r="AV44" i="30"/>
  <c r="BK44" i="29"/>
  <c r="BM44" i="30" s="1"/>
  <c r="AU45" i="30"/>
  <c r="BC45" i="29"/>
  <c r="BL45" i="30" s="1"/>
  <c r="AT46" i="30"/>
  <c r="AU46" i="29"/>
  <c r="AX46" i="30"/>
  <c r="CA46" i="29"/>
  <c r="BO46" i="30" s="1"/>
  <c r="AW47" i="30"/>
  <c r="BS47" i="29"/>
  <c r="BN47" i="30" s="1"/>
  <c r="AV48" i="30"/>
  <c r="BK48" i="29"/>
  <c r="BM48" i="30" s="1"/>
  <c r="AU49" i="30"/>
  <c r="BC49" i="29"/>
  <c r="AT51" i="30"/>
  <c r="AU51" i="29"/>
  <c r="BK51" i="30" s="1"/>
  <c r="AX51" i="30"/>
  <c r="CA51" i="29"/>
  <c r="BO51" i="30" s="1"/>
  <c r="AW54" i="30"/>
  <c r="BS54" i="29"/>
  <c r="BN54" i="30" s="1"/>
  <c r="AV55" i="30"/>
  <c r="BK55" i="29"/>
  <c r="AU56" i="30"/>
  <c r="BC56" i="29"/>
  <c r="BL56" i="30" s="1"/>
  <c r="AT57" i="30"/>
  <c r="AU57" i="29"/>
  <c r="BK57" i="30" s="1"/>
  <c r="AX57" i="30"/>
  <c r="CA57" i="29"/>
  <c r="BO57" i="30" s="1"/>
  <c r="AW58" i="30"/>
  <c r="BS58" i="29"/>
  <c r="BK59" i="29"/>
  <c r="AU60" i="30"/>
  <c r="BC60" i="29"/>
  <c r="BL60" i="30" s="1"/>
  <c r="AT61" i="30"/>
  <c r="AU61" i="29"/>
  <c r="BK61" i="30" s="1"/>
  <c r="AX61" i="30"/>
  <c r="CA61" i="29"/>
  <c r="AV63" i="30"/>
  <c r="BK63" i="29"/>
  <c r="BM63" i="30" s="1"/>
  <c r="AU64" i="30"/>
  <c r="BC64" i="29"/>
  <c r="BL64" i="30" s="1"/>
  <c r="AT65" i="30"/>
  <c r="AU65" i="29"/>
  <c r="BK65" i="30" s="1"/>
  <c r="AX65" i="30"/>
  <c r="CA65" i="29"/>
  <c r="AW66" i="30"/>
  <c r="BS66" i="29"/>
  <c r="BN66" i="30" s="1"/>
  <c r="AV67" i="30"/>
  <c r="BK67" i="29"/>
  <c r="BM67" i="30" s="1"/>
  <c r="AU68" i="30"/>
  <c r="BC68" i="29"/>
  <c r="BL68" i="30" s="1"/>
  <c r="AT69" i="30"/>
  <c r="AU69" i="29"/>
  <c r="AX69" i="30"/>
  <c r="CA69" i="29"/>
  <c r="BO69" i="30" s="1"/>
  <c r="AW70" i="30"/>
  <c r="BS70" i="29"/>
  <c r="BN70" i="30" s="1"/>
  <c r="AV71" i="30"/>
  <c r="BK71" i="29"/>
  <c r="BM71" i="30" s="1"/>
  <c r="AU72" i="30"/>
  <c r="BC72" i="29"/>
  <c r="BL72" i="30" s="1"/>
  <c r="AT73" i="30"/>
  <c r="AU73" i="29"/>
  <c r="BK73" i="30" s="1"/>
  <c r="AX73" i="30"/>
  <c r="CA73" i="29"/>
  <c r="BO73" i="30" s="1"/>
  <c r="AW74" i="30"/>
  <c r="BS74" i="29"/>
  <c r="BN74" i="30" s="1"/>
  <c r="AV75" i="30"/>
  <c r="BK75" i="29"/>
  <c r="AU76" i="30"/>
  <c r="BC76" i="29"/>
  <c r="BL76" i="30" s="1"/>
  <c r="AT77" i="30"/>
  <c r="AU77" i="29"/>
  <c r="BK77" i="30" s="1"/>
  <c r="AX77" i="30"/>
  <c r="CA77" i="29"/>
  <c r="BO77" i="30" s="1"/>
  <c r="AW78" i="30"/>
  <c r="BS78" i="29"/>
  <c r="BN78" i="30" s="1"/>
  <c r="AV79" i="30"/>
  <c r="BK79" i="29"/>
  <c r="BM79" i="30" s="1"/>
  <c r="AU80" i="30"/>
  <c r="BC80" i="29"/>
  <c r="BL80" i="30" s="1"/>
  <c r="AT81" i="30"/>
  <c r="AU81" i="29"/>
  <c r="BK81" i="30" s="1"/>
  <c r="AX81" i="30"/>
  <c r="CA81" i="29"/>
  <c r="AW82" i="30"/>
  <c r="BS82" i="29"/>
  <c r="BN82" i="30" s="1"/>
  <c r="AV83" i="30"/>
  <c r="BK83" i="29"/>
  <c r="BM83" i="30" s="1"/>
  <c r="AU84" i="30"/>
  <c r="BC84" i="29"/>
  <c r="BL84" i="30" s="1"/>
  <c r="AT85" i="30"/>
  <c r="AU85" i="29"/>
  <c r="BK85" i="30" s="1"/>
  <c r="AX85" i="30"/>
  <c r="CA85" i="29"/>
  <c r="BO85" i="30" s="1"/>
  <c r="AW86" i="30"/>
  <c r="BS86" i="29"/>
  <c r="BN86" i="30" s="1"/>
  <c r="AV87" i="30"/>
  <c r="BK87" i="29"/>
  <c r="BM87" i="30" s="1"/>
  <c r="AU88" i="30"/>
  <c r="BC88" i="29"/>
  <c r="AT89" i="30"/>
  <c r="AU89" i="29"/>
  <c r="BK89" i="30" s="1"/>
  <c r="AX89" i="30"/>
  <c r="CA89" i="29"/>
  <c r="BO89" i="30" s="1"/>
  <c r="AW90" i="30"/>
  <c r="BS90" i="29"/>
  <c r="BN90" i="30" s="1"/>
  <c r="AV91" i="30"/>
  <c r="BK91" i="29"/>
  <c r="BM91" i="30" s="1"/>
  <c r="AU92" i="30"/>
  <c r="BC92" i="29"/>
  <c r="BL92" i="30" s="1"/>
  <c r="AT93" i="30"/>
  <c r="AU93" i="29"/>
  <c r="BK93" i="30" s="1"/>
  <c r="AX93" i="30"/>
  <c r="CA93" i="29"/>
  <c r="BO93" i="30" s="1"/>
  <c r="AW94" i="30"/>
  <c r="BS94" i="29"/>
  <c r="AV95" i="30"/>
  <c r="BK95" i="29"/>
  <c r="BM95" i="30" s="1"/>
  <c r="AU96" i="30"/>
  <c r="BC96" i="29"/>
  <c r="BL96" i="30" s="1"/>
  <c r="AT97" i="30"/>
  <c r="AU97" i="29"/>
  <c r="BK97" i="30" s="1"/>
  <c r="AX97" i="30"/>
  <c r="CA97" i="29"/>
  <c r="BO97" i="30" s="1"/>
  <c r="AW98" i="30"/>
  <c r="BS98" i="29"/>
  <c r="BN98" i="30" s="1"/>
  <c r="AV99" i="30"/>
  <c r="BK99" i="29"/>
  <c r="BM99" i="30" s="1"/>
  <c r="AU100" i="30"/>
  <c r="BC100" i="29"/>
  <c r="BL100" i="30" s="1"/>
  <c r="AT101" i="30"/>
  <c r="AU101" i="29"/>
  <c r="AX101" i="30"/>
  <c r="CA101" i="29"/>
  <c r="BO101" i="30" s="1"/>
  <c r="AW102" i="30"/>
  <c r="BS102" i="29"/>
  <c r="BN102" i="30" s="1"/>
  <c r="AV103" i="30"/>
  <c r="BK103" i="29"/>
  <c r="BM103" i="30" s="1"/>
  <c r="AU104" i="30"/>
  <c r="BC104" i="29"/>
  <c r="BL104" i="30" s="1"/>
  <c r="AT105" i="30"/>
  <c r="AU105" i="29"/>
  <c r="BK105" i="30" s="1"/>
  <c r="AX105" i="30"/>
  <c r="CA105" i="29"/>
  <c r="BO105" i="30" s="1"/>
  <c r="AW106" i="30"/>
  <c r="BS106" i="29"/>
  <c r="BN106" i="30" s="1"/>
  <c r="AV107" i="30"/>
  <c r="BK107" i="29"/>
  <c r="AU108" i="30"/>
  <c r="BC108" i="29"/>
  <c r="BL108" i="30" s="1"/>
  <c r="AT109" i="30"/>
  <c r="AU109" i="29"/>
  <c r="BK109" i="30" s="1"/>
  <c r="AX109" i="30"/>
  <c r="CA109" i="29"/>
  <c r="BO109" i="30" s="1"/>
  <c r="AW110" i="30"/>
  <c r="BS110" i="29"/>
  <c r="BN110" i="30" s="1"/>
  <c r="AV111" i="30"/>
  <c r="BK111" i="29"/>
  <c r="BM111" i="30" s="1"/>
  <c r="AT113" i="30"/>
  <c r="AU113" i="29"/>
  <c r="BK113" i="30" s="1"/>
  <c r="AX113" i="30"/>
  <c r="CA113" i="29"/>
  <c r="BO113" i="30" s="1"/>
  <c r="AW114" i="30"/>
  <c r="BS114" i="29"/>
  <c r="AU116" i="30"/>
  <c r="BC116" i="29"/>
  <c r="BL116" i="30" s="1"/>
  <c r="AT117" i="30"/>
  <c r="AU117" i="29"/>
  <c r="BK117" i="30" s="1"/>
  <c r="AX117" i="30"/>
  <c r="CA117" i="29"/>
  <c r="BO117" i="30" s="1"/>
  <c r="AV119" i="30"/>
  <c r="BK119" i="29"/>
  <c r="AU120" i="30"/>
  <c r="BC120" i="29"/>
  <c r="BL120" i="30" s="1"/>
  <c r="AT121" i="30"/>
  <c r="AU121" i="29"/>
  <c r="BK121" i="30" s="1"/>
  <c r="AW122" i="30"/>
  <c r="BS122" i="29"/>
  <c r="BN122" i="30" s="1"/>
  <c r="AV123" i="30"/>
  <c r="BK123" i="29"/>
  <c r="BM123" i="30" s="1"/>
  <c r="AU124" i="30"/>
  <c r="BC124" i="29"/>
  <c r="BL124" i="30" s="1"/>
  <c r="AX125" i="30"/>
  <c r="CA125" i="29"/>
  <c r="BO125" i="30" s="1"/>
  <c r="AW126" i="30"/>
  <c r="BS126" i="29"/>
  <c r="BN126" i="30" s="1"/>
  <c r="AV127" i="30"/>
  <c r="BK127" i="29"/>
  <c r="AT129" i="30"/>
  <c r="AU129" i="29"/>
  <c r="BK129" i="30" s="1"/>
  <c r="AX129" i="30"/>
  <c r="CA129" i="29"/>
  <c r="BO129" i="30" s="1"/>
  <c r="AW130" i="30"/>
  <c r="BS130" i="29"/>
  <c r="BN130" i="30" s="1"/>
  <c r="AU132" i="30"/>
  <c r="BC132" i="29"/>
  <c r="AT133" i="30"/>
  <c r="AU133" i="29"/>
  <c r="BK133" i="30" s="1"/>
  <c r="AX133" i="30"/>
  <c r="CA133" i="29"/>
  <c r="BO133" i="30" s="1"/>
  <c r="AV135" i="30"/>
  <c r="BK135" i="29"/>
  <c r="BM135" i="30" s="1"/>
  <c r="AU136" i="30"/>
  <c r="BC136" i="29"/>
  <c r="BL136" i="30" s="1"/>
  <c r="AT137" i="30"/>
  <c r="AU137" i="29"/>
  <c r="BK137" i="30" s="1"/>
  <c r="AW138" i="30"/>
  <c r="BS138" i="29"/>
  <c r="BN138" i="30" s="1"/>
  <c r="AV139" i="30"/>
  <c r="BK139" i="29"/>
  <c r="BM139" i="30" s="1"/>
  <c r="AU140" i="30"/>
  <c r="BC140" i="29"/>
  <c r="AT141" i="30"/>
  <c r="AU141" i="29"/>
  <c r="BK141" i="30" s="1"/>
  <c r="AX141" i="30"/>
  <c r="CA141" i="29"/>
  <c r="BO141" i="30" s="1"/>
  <c r="AW142" i="30"/>
  <c r="BS142" i="29"/>
  <c r="BN142" i="30" s="1"/>
  <c r="AV143" i="30"/>
  <c r="BK143" i="29"/>
  <c r="AU144" i="30"/>
  <c r="BC144" i="29"/>
  <c r="BL144" i="30" s="1"/>
  <c r="AX145" i="30"/>
  <c r="CA145" i="29"/>
  <c r="BO145" i="30" s="1"/>
  <c r="AV147" i="30"/>
  <c r="BK147" i="29"/>
  <c r="BM147" i="30" s="1"/>
  <c r="AT149" i="30"/>
  <c r="AU149" i="29"/>
  <c r="BK149" i="30" s="1"/>
  <c r="AW150" i="30"/>
  <c r="BS150" i="29"/>
  <c r="BN150" i="30" s="1"/>
  <c r="AU152" i="30"/>
  <c r="BC152" i="29"/>
  <c r="BL152" i="30" s="1"/>
  <c r="AX153" i="30"/>
  <c r="CA153" i="29"/>
  <c r="BO153" i="30" s="1"/>
  <c r="AV155" i="30"/>
  <c r="BK155" i="29"/>
  <c r="BM155" i="30" s="1"/>
  <c r="AT157" i="30"/>
  <c r="AU157" i="29"/>
  <c r="BK157" i="30" s="1"/>
  <c r="BK261" i="29"/>
  <c r="BS264" i="29"/>
  <c r="AV265" i="30"/>
  <c r="BK265" i="29"/>
  <c r="BC266" i="29"/>
  <c r="CA267" i="29"/>
  <c r="BS268" i="29"/>
  <c r="BK269" i="29"/>
  <c r="BC270" i="29"/>
  <c r="CA271" i="29"/>
  <c r="BS272" i="29"/>
  <c r="BK273" i="29"/>
  <c r="AU275" i="29"/>
  <c r="CA275" i="29"/>
  <c r="BS276" i="29"/>
  <c r="BC278" i="29"/>
  <c r="AU279" i="29"/>
  <c r="CA279" i="29"/>
  <c r="BK281" i="29"/>
  <c r="BC282" i="29"/>
  <c r="AU283" i="29"/>
  <c r="BS284" i="29"/>
  <c r="BK285" i="29"/>
  <c r="BC286" i="29"/>
  <c r="CA287" i="29"/>
  <c r="BS288" i="29"/>
  <c r="BK289" i="29"/>
  <c r="AT291" i="30"/>
  <c r="AU291" i="29"/>
  <c r="AX291" i="30"/>
  <c r="CA291" i="29"/>
  <c r="BO291" i="30" s="1"/>
  <c r="AW292" i="30"/>
  <c r="BS292" i="29"/>
  <c r="BN292" i="30" s="1"/>
  <c r="AV293" i="30"/>
  <c r="BK293" i="29"/>
  <c r="BM293" i="30" s="1"/>
  <c r="AU294" i="30"/>
  <c r="BC294" i="29"/>
  <c r="AT295" i="30"/>
  <c r="AU295" i="29"/>
  <c r="BK295" i="30" s="1"/>
  <c r="AX295" i="30"/>
  <c r="CA295" i="29"/>
  <c r="BO295" i="30" s="1"/>
  <c r="AW296" i="30"/>
  <c r="BS296" i="29"/>
  <c r="BN296" i="30" s="1"/>
  <c r="AV297" i="30"/>
  <c r="BK297" i="29"/>
  <c r="AU298" i="30"/>
  <c r="BC298" i="29"/>
  <c r="BL298" i="30" s="1"/>
  <c r="AT299" i="30"/>
  <c r="AU299" i="29"/>
  <c r="BK299" i="30" s="1"/>
  <c r="AX299" i="30"/>
  <c r="CA299" i="29"/>
  <c r="BO299" i="30" s="1"/>
  <c r="AW300" i="30"/>
  <c r="BS300" i="29"/>
  <c r="AV301" i="30"/>
  <c r="BK301" i="29"/>
  <c r="BM301" i="30" s="1"/>
  <c r="AU302" i="30"/>
  <c r="BC302" i="29"/>
  <c r="BL302" i="30" s="1"/>
  <c r="AX303" i="30"/>
  <c r="CA303" i="29"/>
  <c r="BO303" i="30" s="1"/>
  <c r="AV305" i="30"/>
  <c r="BK305" i="29"/>
  <c r="BM305" i="30" s="1"/>
  <c r="AU306" i="30"/>
  <c r="BC306" i="29"/>
  <c r="BL306" i="30" s="1"/>
  <c r="AT307" i="30"/>
  <c r="AU307" i="29"/>
  <c r="BK307" i="30" s="1"/>
  <c r="AX307" i="30"/>
  <c r="CA307" i="29"/>
  <c r="BO307" i="30" s="1"/>
  <c r="AW308" i="30"/>
  <c r="BS308" i="29"/>
  <c r="BN308" i="30" s="1"/>
  <c r="AV309" i="30"/>
  <c r="BK309" i="29"/>
  <c r="BM309" i="30" s="1"/>
  <c r="AU310" i="30"/>
  <c r="BC310" i="29"/>
  <c r="BL310" i="30" s="1"/>
  <c r="AT311" i="30"/>
  <c r="AU311" i="29"/>
  <c r="BK311" i="30" s="1"/>
  <c r="AX311" i="30"/>
  <c r="CA311" i="29"/>
  <c r="AW312" i="30"/>
  <c r="BS312" i="29"/>
  <c r="BN312" i="30" s="1"/>
  <c r="AV313" i="30"/>
  <c r="BK313" i="29"/>
  <c r="BM313" i="30" s="1"/>
  <c r="AU314" i="30"/>
  <c r="BC314" i="29"/>
  <c r="BL314" i="30" s="1"/>
  <c r="AU315" i="29"/>
  <c r="AX315" i="30"/>
  <c r="CA315" i="29"/>
  <c r="BO315" i="30" s="1"/>
  <c r="AW316" i="30"/>
  <c r="BS316" i="29"/>
  <c r="BN316" i="30" s="1"/>
  <c r="AU318" i="30"/>
  <c r="BC318" i="29"/>
  <c r="BL318" i="30" s="1"/>
  <c r="AT319" i="30"/>
  <c r="AU319" i="29"/>
  <c r="CA319" i="29"/>
  <c r="AW320" i="30"/>
  <c r="BS320" i="29"/>
  <c r="BN320" i="30" s="1"/>
  <c r="AV321" i="30"/>
  <c r="BK321" i="29"/>
  <c r="BM321" i="30" s="1"/>
  <c r="AU322" i="30"/>
  <c r="BC322" i="29"/>
  <c r="AT323" i="30"/>
  <c r="AU323" i="29"/>
  <c r="BK323" i="30" s="1"/>
  <c r="AX323" i="30"/>
  <c r="CA323" i="29"/>
  <c r="BO323" i="30" s="1"/>
  <c r="AW324" i="30"/>
  <c r="BS324" i="29"/>
  <c r="BN324" i="30" s="1"/>
  <c r="AV325" i="30"/>
  <c r="BK325" i="29"/>
  <c r="AU326" i="30"/>
  <c r="BC326" i="29"/>
  <c r="BL326" i="30" s="1"/>
  <c r="AT327" i="30"/>
  <c r="AU327" i="29"/>
  <c r="BK327" i="30" s="1"/>
  <c r="AX327" i="30"/>
  <c r="CA327" i="29"/>
  <c r="BO327" i="30" s="1"/>
  <c r="AW328" i="30"/>
  <c r="BS328" i="29"/>
  <c r="AV329" i="30"/>
  <c r="BK329" i="29"/>
  <c r="BM329" i="30" s="1"/>
  <c r="AU330" i="30"/>
  <c r="BC330" i="29"/>
  <c r="BL330" i="30" s="1"/>
  <c r="AT331" i="30"/>
  <c r="AU331" i="29"/>
  <c r="BK331" i="30" s="1"/>
  <c r="AX331" i="30"/>
  <c r="CA331" i="29"/>
  <c r="AW332" i="30"/>
  <c r="BS332" i="29"/>
  <c r="BN332" i="30" s="1"/>
  <c r="AV333" i="30"/>
  <c r="BK333" i="29"/>
  <c r="BM333" i="30" s="1"/>
  <c r="AU334" i="30"/>
  <c r="BC334" i="29"/>
  <c r="BL334" i="30" s="1"/>
  <c r="AT335" i="30"/>
  <c r="AU335" i="29"/>
  <c r="AT347" i="30"/>
  <c r="AU347" i="29"/>
  <c r="BK347" i="30" s="1"/>
  <c r="AW348" i="30"/>
  <c r="BS348" i="29"/>
  <c r="BN348" i="30" s="1"/>
  <c r="AU350" i="30"/>
  <c r="BC350" i="29"/>
  <c r="BL350" i="30" s="1"/>
  <c r="AX351" i="30"/>
  <c r="CA351" i="29"/>
  <c r="AV353" i="30"/>
  <c r="BK353" i="29"/>
  <c r="BM353" i="30" s="1"/>
  <c r="AT355" i="30"/>
  <c r="AU355" i="29"/>
  <c r="BK355" i="30" s="1"/>
  <c r="AW356" i="30"/>
  <c r="BS356" i="29"/>
  <c r="BN356" i="30" s="1"/>
  <c r="BK357" i="29"/>
  <c r="BC358" i="29"/>
  <c r="AX359" i="30"/>
  <c r="CA359" i="29"/>
  <c r="BO359" i="30" s="1"/>
  <c r="BS360" i="29"/>
  <c r="BK361" i="29"/>
  <c r="AU363" i="29"/>
  <c r="BS364" i="29"/>
  <c r="BC366" i="29"/>
  <c r="CA367" i="29"/>
  <c r="BK369" i="29"/>
  <c r="AU371" i="29"/>
  <c r="AT375" i="30"/>
  <c r="AU375" i="29"/>
  <c r="BK375" i="30" s="1"/>
  <c r="AU378" i="30"/>
  <c r="BC378" i="29"/>
  <c r="AX387" i="30"/>
  <c r="CA387" i="29"/>
  <c r="BO387" i="30" s="1"/>
  <c r="AT391" i="30"/>
  <c r="AU391" i="29"/>
  <c r="BK391" i="30" s="1"/>
  <c r="AW400" i="30"/>
  <c r="BS400" i="29"/>
  <c r="BN400" i="30" s="1"/>
  <c r="AX403" i="30"/>
  <c r="CA403" i="29"/>
  <c r="AX407" i="30"/>
  <c r="CA407" i="29"/>
  <c r="BO407" i="30" s="1"/>
  <c r="BC410" i="29"/>
  <c r="AX411" i="30"/>
  <c r="CA411" i="29"/>
  <c r="BO411" i="30" s="1"/>
  <c r="AW412" i="30"/>
  <c r="BS412" i="29"/>
  <c r="AT415" i="30"/>
  <c r="AU415" i="29"/>
  <c r="BK415" i="30" s="1"/>
  <c r="BS416" i="29"/>
  <c r="AV417" i="30"/>
  <c r="BK417" i="29"/>
  <c r="BM417" i="30" s="1"/>
  <c r="AW420" i="30"/>
  <c r="BS420" i="29"/>
  <c r="AT11" i="30"/>
  <c r="AU11" i="29"/>
  <c r="BK11" i="30" s="1"/>
  <c r="AX11" i="30"/>
  <c r="CA11" i="29"/>
  <c r="BO11" i="30" s="1"/>
  <c r="AW12" i="30"/>
  <c r="BS12" i="29"/>
  <c r="BN12" i="30" s="1"/>
  <c r="AV13" i="30"/>
  <c r="BK13" i="29"/>
  <c r="AU14" i="30"/>
  <c r="BC14" i="29"/>
  <c r="BL14" i="30" s="1"/>
  <c r="AT15" i="30"/>
  <c r="AU15" i="29"/>
  <c r="BK15" i="30" s="1"/>
  <c r="AX15" i="30"/>
  <c r="CA15" i="29"/>
  <c r="BO15" i="30" s="1"/>
  <c r="AW16" i="30"/>
  <c r="BS16" i="29"/>
  <c r="AV17" i="30"/>
  <c r="BK17" i="29"/>
  <c r="BM17" i="30" s="1"/>
  <c r="AU18" i="30"/>
  <c r="BC18" i="29"/>
  <c r="BL18" i="30" s="1"/>
  <c r="AT19" i="30"/>
  <c r="AU19" i="29"/>
  <c r="BK19" i="30" s="1"/>
  <c r="AX19" i="30"/>
  <c r="CA19" i="29"/>
  <c r="AW20" i="30"/>
  <c r="BS20" i="29"/>
  <c r="BN20" i="30" s="1"/>
  <c r="AV21" i="30"/>
  <c r="BK21" i="29"/>
  <c r="BM21" i="30" s="1"/>
  <c r="AU22" i="30"/>
  <c r="BC22" i="29"/>
  <c r="BL22" i="30" s="1"/>
  <c r="AT23" i="30"/>
  <c r="AU23" i="29"/>
  <c r="AX23" i="30"/>
  <c r="CA23" i="29"/>
  <c r="BO23" i="30" s="1"/>
  <c r="AW24" i="30"/>
  <c r="BS24" i="29"/>
  <c r="BN24" i="30" s="1"/>
  <c r="AV25" i="30"/>
  <c r="BK25" i="29"/>
  <c r="BM25" i="30" s="1"/>
  <c r="AU26" i="30"/>
  <c r="BC26" i="29"/>
  <c r="BL26" i="30" s="1"/>
  <c r="AT27" i="30"/>
  <c r="AU27" i="29"/>
  <c r="BK27" i="30" s="1"/>
  <c r="AX27" i="30"/>
  <c r="CA27" i="29"/>
  <c r="BO27" i="30" s="1"/>
  <c r="AW28" i="30"/>
  <c r="BS28" i="29"/>
  <c r="BN28" i="30" s="1"/>
  <c r="AV29" i="30"/>
  <c r="BK29" i="29"/>
  <c r="AU30" i="30"/>
  <c r="BC30" i="29"/>
  <c r="BL30" i="30" s="1"/>
  <c r="AT31" i="30"/>
  <c r="AU31" i="29"/>
  <c r="BK31" i="30" s="1"/>
  <c r="AX31" i="30"/>
  <c r="CA31" i="29"/>
  <c r="BO31" i="30" s="1"/>
  <c r="AW32" i="30"/>
  <c r="BS32" i="29"/>
  <c r="AV33" i="30"/>
  <c r="BK33" i="29"/>
  <c r="BM33" i="30" s="1"/>
  <c r="AU34" i="30"/>
  <c r="BC34" i="29"/>
  <c r="BL34" i="30" s="1"/>
  <c r="AT35" i="30"/>
  <c r="AU35" i="29"/>
  <c r="BK35" i="30" s="1"/>
  <c r="AX35" i="30"/>
  <c r="CA35" i="29"/>
  <c r="AW36" i="30"/>
  <c r="BS36" i="29"/>
  <c r="BN36" i="30" s="1"/>
  <c r="AV37" i="30"/>
  <c r="BK37" i="29"/>
  <c r="BM37" i="30" s="1"/>
  <c r="AU38" i="30"/>
  <c r="BC38" i="29"/>
  <c r="BL38" i="30" s="1"/>
  <c r="AT39" i="30"/>
  <c r="AU39" i="29"/>
  <c r="AX39" i="30"/>
  <c r="CA39" i="29"/>
  <c r="BO39" i="30" s="1"/>
  <c r="AW40" i="30"/>
  <c r="BS40" i="29"/>
  <c r="BN40" i="30" s="1"/>
  <c r="AV41" i="30"/>
  <c r="BK41" i="29"/>
  <c r="BM41" i="30" s="1"/>
  <c r="AU42" i="30"/>
  <c r="BC42" i="29"/>
  <c r="AT43" i="30"/>
  <c r="AU43" i="29"/>
  <c r="BK43" i="30" s="1"/>
  <c r="AX43" i="30"/>
  <c r="CA43" i="29"/>
  <c r="BO43" i="30" s="1"/>
  <c r="AW44" i="30"/>
  <c r="BS44" i="29"/>
  <c r="BN44" i="30" s="1"/>
  <c r="AV45" i="30"/>
  <c r="BK45" i="29"/>
  <c r="AU46" i="30"/>
  <c r="BC46" i="29"/>
  <c r="BL46" i="30" s="1"/>
  <c r="AT47" i="30"/>
  <c r="AU47" i="29"/>
  <c r="BK47" i="30" s="1"/>
  <c r="AX47" i="30"/>
  <c r="CA47" i="29"/>
  <c r="BO47" i="30" s="1"/>
  <c r="AW48" i="30"/>
  <c r="BS48" i="29"/>
  <c r="AV49" i="30"/>
  <c r="BK49" i="29"/>
  <c r="BM49" i="30" s="1"/>
  <c r="AU51" i="30"/>
  <c r="BC51" i="29"/>
  <c r="BL51" i="30" s="1"/>
  <c r="AT54" i="30"/>
  <c r="AU54" i="29"/>
  <c r="BK54" i="30" s="1"/>
  <c r="AX54" i="30"/>
  <c r="CA54" i="29"/>
  <c r="AW55" i="30"/>
  <c r="BS55" i="29"/>
  <c r="BN55" i="30" s="1"/>
  <c r="AV56" i="30"/>
  <c r="BK56" i="29"/>
  <c r="BM56" i="30" s="1"/>
  <c r="AU57" i="30"/>
  <c r="BC57" i="29"/>
  <c r="BL57" i="30" s="1"/>
  <c r="AT58" i="30"/>
  <c r="AU58" i="29"/>
  <c r="AV242" i="30"/>
  <c r="BK242" i="29"/>
  <c r="BM242" i="30" s="1"/>
  <c r="AT244" i="30"/>
  <c r="AU244" i="29"/>
  <c r="BK244" i="30" s="1"/>
  <c r="AX244" i="30"/>
  <c r="CA244" i="29"/>
  <c r="BO244" i="30" s="1"/>
  <c r="AW245" i="30"/>
  <c r="BS245" i="29"/>
  <c r="AV246" i="30"/>
  <c r="BK246" i="29"/>
  <c r="BM246" i="30" s="1"/>
  <c r="AU247" i="30"/>
  <c r="BC247" i="29"/>
  <c r="BL247" i="30" s="1"/>
  <c r="AT248" i="30"/>
  <c r="AU248" i="29"/>
  <c r="BK248" i="30" s="1"/>
  <c r="AX248" i="30"/>
  <c r="CA248" i="29"/>
  <c r="AV250" i="30"/>
  <c r="BK250" i="29"/>
  <c r="BM250" i="30" s="1"/>
  <c r="AU251" i="30"/>
  <c r="BC251" i="29"/>
  <c r="BL251" i="30" s="1"/>
  <c r="AX252" i="30"/>
  <c r="CA252" i="29"/>
  <c r="BO252" i="30" s="1"/>
  <c r="AW253" i="30"/>
  <c r="BS253" i="29"/>
  <c r="AT256" i="30"/>
  <c r="AU256" i="29"/>
  <c r="BK256" i="30" s="1"/>
  <c r="AX256" i="30"/>
  <c r="CA256" i="29"/>
  <c r="BO256" i="30" s="1"/>
  <c r="AW257" i="30"/>
  <c r="BS257" i="29"/>
  <c r="BN257" i="30" s="1"/>
  <c r="AU259" i="30"/>
  <c r="BC259" i="29"/>
  <c r="AV262" i="30"/>
  <c r="BK262" i="29"/>
  <c r="BM262" i="30" s="1"/>
  <c r="AT264" i="30"/>
  <c r="AU264" i="29"/>
  <c r="BK264" i="30" s="1"/>
  <c r="BS265" i="29"/>
  <c r="BC267" i="29"/>
  <c r="BS357" i="29"/>
  <c r="AV358" i="30"/>
  <c r="BK358" i="29"/>
  <c r="BM358" i="30" s="1"/>
  <c r="AX360" i="30"/>
  <c r="CA360" i="29"/>
  <c r="BO360" i="30" s="1"/>
  <c r="AW361" i="30"/>
  <c r="BS361" i="29"/>
  <c r="BK362" i="29"/>
  <c r="AU364" i="29"/>
  <c r="AX364" i="30"/>
  <c r="CA364" i="29"/>
  <c r="BO364" i="30" s="1"/>
  <c r="BS365" i="29"/>
  <c r="AV366" i="30"/>
  <c r="BK366" i="29"/>
  <c r="BM366" i="30" s="1"/>
  <c r="AT368" i="30"/>
  <c r="AU368" i="29"/>
  <c r="BK368" i="30" s="1"/>
  <c r="AW369" i="30"/>
  <c r="BS369" i="29"/>
  <c r="BN369" i="30" s="1"/>
  <c r="AV370" i="30"/>
  <c r="BK370" i="29"/>
  <c r="AU371" i="30"/>
  <c r="BC371" i="29"/>
  <c r="BL371" i="30" s="1"/>
  <c r="AT372" i="30"/>
  <c r="AU372" i="29"/>
  <c r="BK372" i="30" s="1"/>
  <c r="AX372" i="30"/>
  <c r="CA372" i="29"/>
  <c r="BO372" i="30" s="1"/>
  <c r="AW373" i="30"/>
  <c r="BS373" i="29"/>
  <c r="BN373" i="30" s="1"/>
  <c r="AV374" i="30"/>
  <c r="BK374" i="29"/>
  <c r="BM374" i="30" s="1"/>
  <c r="BC375" i="29"/>
  <c r="AX376" i="30"/>
  <c r="CA376" i="29"/>
  <c r="BO376" i="30" s="1"/>
  <c r="AW377" i="30"/>
  <c r="BS377" i="29"/>
  <c r="BK378" i="29"/>
  <c r="BC379" i="29"/>
  <c r="AT380" i="30"/>
  <c r="AU380" i="29"/>
  <c r="BK380" i="30" s="1"/>
  <c r="AW381" i="30"/>
  <c r="BS381" i="29"/>
  <c r="AU383" i="30"/>
  <c r="BC383" i="29"/>
  <c r="BL383" i="30" s="1"/>
  <c r="AW385" i="30"/>
  <c r="BS385" i="29"/>
  <c r="BN385" i="30" s="1"/>
  <c r="AT388" i="30"/>
  <c r="AU388" i="29"/>
  <c r="BK388" i="30" s="1"/>
  <c r="AW389" i="30"/>
  <c r="BS389" i="29"/>
  <c r="AV390" i="30"/>
  <c r="BK390" i="29"/>
  <c r="BM390" i="30" s="1"/>
  <c r="AT392" i="30"/>
  <c r="AU392" i="29"/>
  <c r="BK392" i="30" s="1"/>
  <c r="AX392" i="30"/>
  <c r="CA392" i="29"/>
  <c r="BO392" i="30" s="1"/>
  <c r="AV394" i="30"/>
  <c r="BK394" i="29"/>
  <c r="AU395" i="30"/>
  <c r="BC395" i="29"/>
  <c r="BL395" i="30" s="1"/>
  <c r="AT396" i="30"/>
  <c r="AU396" i="29"/>
  <c r="BK396" i="30" s="1"/>
  <c r="AX396" i="30"/>
  <c r="CA396" i="29"/>
  <c r="BO396" i="30" s="1"/>
  <c r="AV398" i="30"/>
  <c r="BK398" i="29"/>
  <c r="AU399" i="30"/>
  <c r="BC399" i="29"/>
  <c r="BL399" i="30" s="1"/>
  <c r="AX400" i="30"/>
  <c r="CA400" i="29"/>
  <c r="BO400" i="30" s="1"/>
  <c r="AW401" i="30"/>
  <c r="BS401" i="29"/>
  <c r="BN401" i="30" s="1"/>
  <c r="AV402" i="30"/>
  <c r="BK402" i="29"/>
  <c r="AU403" i="30"/>
  <c r="BC403" i="29"/>
  <c r="BL403" i="30" s="1"/>
  <c r="AX404" i="30"/>
  <c r="CA404" i="29"/>
  <c r="BO404" i="30" s="1"/>
  <c r="AW405" i="30"/>
  <c r="BS405" i="29"/>
  <c r="BN405" i="30" s="1"/>
  <c r="AU407" i="30"/>
  <c r="BC407" i="29"/>
  <c r="CA408" i="29"/>
  <c r="AV410" i="30"/>
  <c r="BK410" i="29"/>
  <c r="BM410" i="30" s="1"/>
  <c r="AT412" i="30"/>
  <c r="AU412" i="29"/>
  <c r="BK412" i="30" s="1"/>
  <c r="AW413" i="30"/>
  <c r="BS413" i="29"/>
  <c r="BN413" i="30" s="1"/>
  <c r="BK414" i="29"/>
  <c r="AU416" i="29"/>
  <c r="AX416" i="30"/>
  <c r="CA416" i="29"/>
  <c r="BO416" i="30" s="1"/>
  <c r="AV418" i="30"/>
  <c r="BK418" i="29"/>
  <c r="AU419" i="30"/>
  <c r="BC419" i="29"/>
  <c r="BL419" i="30" s="1"/>
  <c r="AT420" i="30"/>
  <c r="AU420" i="29"/>
  <c r="BK420" i="30" s="1"/>
  <c r="CA420" i="29"/>
  <c r="AZ2" i="29"/>
  <c r="H2" i="30" s="1"/>
  <c r="AP21" i="35"/>
  <c r="AP20" i="35"/>
  <c r="AP19" i="35"/>
  <c r="AP18" i="35"/>
  <c r="AP17" i="35"/>
  <c r="AP16" i="35"/>
  <c r="AP15" i="35"/>
  <c r="AP14" i="35"/>
  <c r="AP13" i="35"/>
  <c r="AL31" i="35"/>
  <c r="AL30" i="35"/>
  <c r="AL29" i="35"/>
  <c r="AL28" i="35"/>
  <c r="AL27" i="35"/>
  <c r="AL26" i="35"/>
  <c r="AL25" i="35"/>
  <c r="AL23" i="35"/>
  <c r="AL24" i="35"/>
  <c r="AN11" i="35"/>
  <c r="AN10" i="35"/>
  <c r="AN9" i="35"/>
  <c r="AN8" i="35"/>
  <c r="AN7" i="35"/>
  <c r="AN6" i="35"/>
  <c r="AN5" i="35"/>
  <c r="AN4" i="35"/>
  <c r="AN3" i="35"/>
  <c r="AL11" i="35"/>
  <c r="AL10" i="35"/>
  <c r="AL9" i="35"/>
  <c r="AL8" i="35"/>
  <c r="AL7" i="35"/>
  <c r="AL6" i="35"/>
  <c r="AL5" i="35"/>
  <c r="AL4" i="35"/>
  <c r="AL3" i="35"/>
  <c r="AM21" i="35"/>
  <c r="AM20" i="35"/>
  <c r="AM19" i="35"/>
  <c r="AM18" i="35"/>
  <c r="AM17" i="35"/>
  <c r="AM16" i="35"/>
  <c r="AM15" i="35"/>
  <c r="AM14" i="35"/>
  <c r="AM13" i="35"/>
  <c r="AO21" i="35"/>
  <c r="AO20" i="35"/>
  <c r="AO19" i="35"/>
  <c r="AO18" i="35"/>
  <c r="AO17" i="35"/>
  <c r="AO16" i="35"/>
  <c r="AO15" i="35"/>
  <c r="AO14" i="35"/>
  <c r="AO13" i="35"/>
  <c r="AM31" i="35"/>
  <c r="AM29" i="35"/>
  <c r="AM30" i="35"/>
  <c r="AM28" i="35"/>
  <c r="AM26" i="35"/>
  <c r="AM27" i="35"/>
  <c r="AM25" i="35"/>
  <c r="AM24" i="35"/>
  <c r="AM23" i="35"/>
  <c r="AO31" i="35"/>
  <c r="AO30" i="35"/>
  <c r="AO29" i="35"/>
  <c r="AO28" i="35"/>
  <c r="AO27" i="35"/>
  <c r="AO26" i="35"/>
  <c r="AO25" i="35"/>
  <c r="AO24" i="35"/>
  <c r="AO23" i="35"/>
  <c r="AP11" i="35"/>
  <c r="AP10" i="35"/>
  <c r="AP9" i="35"/>
  <c r="AP8" i="35"/>
  <c r="AP7" i="35"/>
  <c r="AP6" i="35"/>
  <c r="AP5" i="35"/>
  <c r="AP4" i="35"/>
  <c r="AP3" i="35"/>
  <c r="AL21" i="35"/>
  <c r="AL20" i="35"/>
  <c r="AL19" i="35"/>
  <c r="AL18" i="35"/>
  <c r="AL17" i="35"/>
  <c r="AL16" i="35"/>
  <c r="AL15" i="35"/>
  <c r="AL14" i="35"/>
  <c r="AL13" i="35"/>
  <c r="AN31" i="35"/>
  <c r="AN30" i="35"/>
  <c r="AN29" i="35"/>
  <c r="AN28" i="35"/>
  <c r="AN27" i="35"/>
  <c r="AN26" i="35"/>
  <c r="AN25" i="35"/>
  <c r="AN24" i="35"/>
  <c r="AN23" i="35"/>
  <c r="AO11" i="35"/>
  <c r="AO10" i="35"/>
  <c r="AO9" i="35"/>
  <c r="AO8" i="35"/>
  <c r="AO7" i="35"/>
  <c r="AO6" i="35"/>
  <c r="AO5" i="35"/>
  <c r="AO4" i="35"/>
  <c r="AO3" i="35"/>
  <c r="AN21" i="35"/>
  <c r="AN20" i="35"/>
  <c r="AN19" i="35"/>
  <c r="AN18" i="35"/>
  <c r="AN17" i="35"/>
  <c r="AN16" i="35"/>
  <c r="AN15" i="35"/>
  <c r="AN14" i="35"/>
  <c r="AN13" i="35"/>
  <c r="AP31" i="35"/>
  <c r="AP29" i="35"/>
  <c r="AP30" i="35"/>
  <c r="AP28" i="35"/>
  <c r="AP26" i="35"/>
  <c r="AP27" i="35"/>
  <c r="AP25" i="35"/>
  <c r="AP24" i="35"/>
  <c r="AP23" i="35"/>
  <c r="AM11" i="35"/>
  <c r="AM10" i="35"/>
  <c r="AM9" i="35"/>
  <c r="AM8" i="35"/>
  <c r="AM7" i="35"/>
  <c r="AM6" i="35"/>
  <c r="AM5" i="35"/>
  <c r="AM4" i="35"/>
  <c r="AM3" i="35"/>
  <c r="AO4" i="34"/>
  <c r="AM4" i="34"/>
  <c r="AL4" i="34"/>
  <c r="AP4" i="34"/>
  <c r="AL15" i="34"/>
  <c r="AM15" i="34"/>
  <c r="AN15" i="34"/>
  <c r="AO15" i="34"/>
  <c r="AP15" i="34"/>
  <c r="AL26" i="34"/>
  <c r="AM26" i="34"/>
  <c r="AN26" i="34"/>
  <c r="AO26" i="34"/>
  <c r="AP26" i="34"/>
  <c r="AN4" i="34"/>
  <c r="AM12" i="34"/>
  <c r="AM11" i="34"/>
  <c r="AM10" i="34"/>
  <c r="AM9" i="34"/>
  <c r="AM8" i="34"/>
  <c r="AM7" i="34"/>
  <c r="AM6" i="34"/>
  <c r="AM5" i="34"/>
  <c r="AL12" i="34"/>
  <c r="AL11" i="34"/>
  <c r="AL10" i="34"/>
  <c r="AL9" i="34"/>
  <c r="AL8" i="34"/>
  <c r="AL7" i="34"/>
  <c r="AL6" i="34"/>
  <c r="AL5" i="34"/>
  <c r="AP12" i="34"/>
  <c r="AP11" i="34"/>
  <c r="AP10" i="34"/>
  <c r="AP9" i="34"/>
  <c r="AP8" i="34"/>
  <c r="AP7" i="34"/>
  <c r="AP6" i="34"/>
  <c r="AP5" i="34"/>
  <c r="AL23" i="34"/>
  <c r="AL22" i="34"/>
  <c r="AL21" i="34"/>
  <c r="AL20" i="34"/>
  <c r="AL19" i="34"/>
  <c r="AL18" i="34"/>
  <c r="AL17" i="34"/>
  <c r="AL16" i="34"/>
  <c r="AM23" i="34"/>
  <c r="AM22" i="34"/>
  <c r="AM21" i="34"/>
  <c r="AM20" i="34"/>
  <c r="AM19" i="34"/>
  <c r="AM18" i="34"/>
  <c r="AM17" i="34"/>
  <c r="AM16" i="34"/>
  <c r="AN23" i="34"/>
  <c r="AN22" i="34"/>
  <c r="AN21" i="34"/>
  <c r="AN20" i="34"/>
  <c r="AN19" i="34"/>
  <c r="AN18" i="34"/>
  <c r="AN17" i="34"/>
  <c r="AN16" i="34"/>
  <c r="AO23" i="34"/>
  <c r="AO22" i="34"/>
  <c r="AO21" i="34"/>
  <c r="AO20" i="34"/>
  <c r="AO19" i="34"/>
  <c r="AO18" i="34"/>
  <c r="AO17" i="34"/>
  <c r="AO16" i="34"/>
  <c r="AP23" i="34"/>
  <c r="AP22" i="34"/>
  <c r="AP21" i="34"/>
  <c r="AP20" i="34"/>
  <c r="AP19" i="34"/>
  <c r="AP18" i="34"/>
  <c r="AP17" i="34"/>
  <c r="AP16" i="34"/>
  <c r="AL34" i="34"/>
  <c r="AL33" i="34"/>
  <c r="AL32" i="34"/>
  <c r="AL31" i="34"/>
  <c r="AL30" i="34"/>
  <c r="AL29" i="34"/>
  <c r="AL28" i="34"/>
  <c r="AL27" i="34"/>
  <c r="AM34" i="34"/>
  <c r="AM33" i="34"/>
  <c r="AM32" i="34"/>
  <c r="AM30" i="34"/>
  <c r="AM31" i="34"/>
  <c r="AM29" i="34"/>
  <c r="AM28" i="34"/>
  <c r="AM27" i="34"/>
  <c r="AN34" i="34"/>
  <c r="AN33" i="34"/>
  <c r="AN32" i="34"/>
  <c r="AN31" i="34"/>
  <c r="AN30" i="34"/>
  <c r="AN29" i="34"/>
  <c r="AN28" i="34"/>
  <c r="AN27" i="34"/>
  <c r="AO34" i="34"/>
  <c r="AO33" i="34"/>
  <c r="AO32" i="34"/>
  <c r="AO31" i="34"/>
  <c r="AO30" i="34"/>
  <c r="AO29" i="34"/>
  <c r="AO28" i="34"/>
  <c r="AO27" i="34"/>
  <c r="AP34" i="34"/>
  <c r="AP33" i="34"/>
  <c r="AP32" i="34"/>
  <c r="AP31" i="34"/>
  <c r="AP30" i="34"/>
  <c r="AP29" i="34"/>
  <c r="AP28" i="34"/>
  <c r="AP27" i="34"/>
  <c r="AO12" i="34"/>
  <c r="AO11" i="34"/>
  <c r="AO10" i="34"/>
  <c r="AO9" i="34"/>
  <c r="AO8" i="34"/>
  <c r="AO7" i="34"/>
  <c r="AO6" i="34"/>
  <c r="AO5" i="34"/>
  <c r="AN12" i="34"/>
  <c r="AN11" i="34"/>
  <c r="AN10" i="34"/>
  <c r="AN9" i="34"/>
  <c r="AN8" i="34"/>
  <c r="AN7" i="34"/>
  <c r="AN6" i="34"/>
  <c r="AN5" i="34"/>
  <c r="AZ6" i="29"/>
  <c r="H6" i="30" s="1"/>
  <c r="BX89" i="29"/>
  <c r="K89" i="30" s="1"/>
  <c r="BP412" i="29"/>
  <c r="BP150" i="29"/>
  <c r="BX27" i="29"/>
  <c r="K27" i="30" s="1"/>
  <c r="BH9" i="29"/>
  <c r="I9" i="30" s="1"/>
  <c r="AZ30" i="29"/>
  <c r="H30" i="30" s="1"/>
  <c r="BX153" i="29"/>
  <c r="K153" i="30" s="1"/>
  <c r="AR353" i="29"/>
  <c r="G353" i="30" s="1"/>
  <c r="BX396" i="29"/>
  <c r="K396" i="30" s="1"/>
  <c r="BH21" i="29"/>
  <c r="I21" i="30" s="1"/>
  <c r="AZ68" i="29"/>
  <c r="H68" i="30" s="1"/>
  <c r="AR141" i="29"/>
  <c r="G141" i="30" s="1"/>
  <c r="BP253" i="29"/>
  <c r="BX329" i="29"/>
  <c r="K329" i="30" s="1"/>
  <c r="BP102" i="29"/>
  <c r="AR19" i="29"/>
  <c r="G19" i="30" s="1"/>
  <c r="BH63" i="29"/>
  <c r="I63" i="30" s="1"/>
  <c r="BH135" i="29"/>
  <c r="I135" i="30" s="1"/>
  <c r="AZ249" i="29"/>
  <c r="H249" i="30" s="1"/>
  <c r="BH321" i="29"/>
  <c r="I321" i="30" s="1"/>
  <c r="BX31" i="29"/>
  <c r="K31" i="30" s="1"/>
  <c r="AZ72" i="29"/>
  <c r="H72" i="30" s="1"/>
  <c r="AR113" i="29"/>
  <c r="G113" i="30" s="1"/>
  <c r="AZ144" i="29"/>
  <c r="H144" i="30" s="1"/>
  <c r="AR159" i="29"/>
  <c r="G159" i="30" s="1"/>
  <c r="AZ259" i="29"/>
  <c r="H259" i="30" s="1"/>
  <c r="BH309" i="29"/>
  <c r="I309" i="30" s="1"/>
  <c r="AZ332" i="29"/>
  <c r="H332" i="30" s="1"/>
  <c r="BX400" i="29"/>
  <c r="K400" i="30" s="1"/>
  <c r="BX416" i="29"/>
  <c r="K416" i="30" s="1"/>
  <c r="BH17" i="29"/>
  <c r="I17" i="30" s="1"/>
  <c r="BH25" i="29"/>
  <c r="I25" i="30" s="1"/>
  <c r="AZ59" i="29"/>
  <c r="H59" i="30" s="1"/>
  <c r="AR77" i="29"/>
  <c r="G77" i="30" s="1"/>
  <c r="AZ124" i="29"/>
  <c r="H124" i="30" s="1"/>
  <c r="BH147" i="29"/>
  <c r="I147" i="30" s="1"/>
  <c r="BH244" i="29"/>
  <c r="I244" i="30" s="1"/>
  <c r="AZ264" i="29"/>
  <c r="H264" i="30" s="1"/>
  <c r="BP319" i="29"/>
  <c r="BX359" i="29"/>
  <c r="K359" i="30" s="1"/>
  <c r="BH370" i="29"/>
  <c r="I370" i="30" s="1"/>
  <c r="AR388" i="29"/>
  <c r="G388" i="30" s="1"/>
  <c r="BX407" i="29"/>
  <c r="K407" i="30" s="1"/>
  <c r="BH418" i="29"/>
  <c r="I418" i="30" s="1"/>
  <c r="AZ14" i="29"/>
  <c r="H14" i="30" s="1"/>
  <c r="BX23" i="29"/>
  <c r="K23" i="30" s="1"/>
  <c r="BX341" i="29"/>
  <c r="K341" i="30" s="1"/>
  <c r="AR361" i="29"/>
  <c r="G361" i="30" s="1"/>
  <c r="BX392" i="29"/>
  <c r="K392" i="30" s="1"/>
  <c r="BP4" i="29"/>
  <c r="BP12" i="29"/>
  <c r="AZ18" i="29"/>
  <c r="H18" i="30" s="1"/>
  <c r="AZ22" i="29"/>
  <c r="H22" i="30" s="1"/>
  <c r="AR27" i="29"/>
  <c r="G27" i="30" s="1"/>
  <c r="AR31" i="29"/>
  <c r="G31" i="30" s="1"/>
  <c r="AR61" i="29"/>
  <c r="G61" i="30" s="1"/>
  <c r="BH83" i="29"/>
  <c r="I83" i="30" s="1"/>
  <c r="BX109" i="29"/>
  <c r="K109" i="30" s="1"/>
  <c r="AZ132" i="29"/>
  <c r="H132" i="30" s="1"/>
  <c r="BP142" i="29"/>
  <c r="AR149" i="29"/>
  <c r="G149" i="30" s="1"/>
  <c r="AR157" i="29"/>
  <c r="G157" i="30" s="1"/>
  <c r="BH246" i="29"/>
  <c r="I246" i="30" s="1"/>
  <c r="BP257" i="29"/>
  <c r="BX314" i="29"/>
  <c r="BH323" i="29"/>
  <c r="I323" i="30" s="1"/>
  <c r="BH335" i="29"/>
  <c r="I335" i="30" s="1"/>
  <c r="AZ344" i="29"/>
  <c r="H344" i="30" s="1"/>
  <c r="AR357" i="29"/>
  <c r="G357" i="30" s="1"/>
  <c r="BP361" i="29"/>
  <c r="BP366" i="29"/>
  <c r="BX376" i="29"/>
  <c r="K376" i="30" s="1"/>
  <c r="BH394" i="29"/>
  <c r="I394" i="30" s="1"/>
  <c r="AZ403" i="29"/>
  <c r="H403" i="30" s="1"/>
  <c r="AZ419" i="29"/>
  <c r="H419" i="30" s="1"/>
  <c r="AZ302" i="29"/>
  <c r="H302" i="30" s="1"/>
  <c r="AZ316" i="29"/>
  <c r="H316" i="30" s="1"/>
  <c r="BP326" i="29"/>
  <c r="BX337" i="29"/>
  <c r="K337" i="30" s="1"/>
  <c r="BH347" i="29"/>
  <c r="I347" i="30" s="1"/>
  <c r="AR368" i="29"/>
  <c r="G368" i="30" s="1"/>
  <c r="BP416" i="29"/>
  <c r="BX7" i="29"/>
  <c r="K7" i="30" s="1"/>
  <c r="BX15" i="29"/>
  <c r="BP20" i="29"/>
  <c r="BP24" i="29"/>
  <c r="BP28" i="29"/>
  <c r="BH33" i="29"/>
  <c r="I33" i="30" s="1"/>
  <c r="BP66" i="29"/>
  <c r="BP74" i="29"/>
  <c r="AZ96" i="29"/>
  <c r="H96" i="30" s="1"/>
  <c r="AZ116" i="29"/>
  <c r="H116" i="30" s="1"/>
  <c r="BP138" i="29"/>
  <c r="BX145" i="29"/>
  <c r="K145" i="30" s="1"/>
  <c r="AZ152" i="29"/>
  <c r="H152" i="30" s="1"/>
  <c r="BX242" i="29"/>
  <c r="K242" i="30" s="1"/>
  <c r="AZ251" i="29"/>
  <c r="H251" i="30" s="1"/>
  <c r="BP262" i="29"/>
  <c r="AR305" i="29"/>
  <c r="G305" i="30" s="1"/>
  <c r="BX349" i="29"/>
  <c r="K349" i="30" s="1"/>
  <c r="BH390" i="29"/>
  <c r="I390" i="30" s="1"/>
  <c r="AZ399" i="29"/>
  <c r="H399" i="30" s="1"/>
  <c r="BH5" i="29"/>
  <c r="I5" i="30" s="1"/>
  <c r="AR11" i="29"/>
  <c r="G11" i="30" s="1"/>
  <c r="BP16" i="29"/>
  <c r="BX19" i="29"/>
  <c r="K19" i="30" s="1"/>
  <c r="AR23" i="29"/>
  <c r="G23" i="30" s="1"/>
  <c r="AZ26" i="29"/>
  <c r="H26" i="30" s="1"/>
  <c r="BH29" i="29"/>
  <c r="I29" i="30" s="1"/>
  <c r="BP32" i="29"/>
  <c r="AZ80" i="29"/>
  <c r="H80" i="30" s="1"/>
  <c r="BP86" i="29"/>
  <c r="AR93" i="29"/>
  <c r="G93" i="30" s="1"/>
  <c r="BH99" i="29"/>
  <c r="I99" i="30" s="1"/>
  <c r="BX105" i="29"/>
  <c r="K105" i="30" s="1"/>
  <c r="BP122" i="29"/>
  <c r="BH127" i="29"/>
  <c r="I127" i="30" s="1"/>
  <c r="AU243" i="30"/>
  <c r="AZ243" i="29"/>
  <c r="H243" i="30" s="1"/>
  <c r="AU418" i="30"/>
  <c r="AZ418" i="29"/>
  <c r="H418" i="30" s="1"/>
  <c r="BH62" i="29"/>
  <c r="I62" i="30" s="1"/>
  <c r="BH67" i="29"/>
  <c r="I67" i="30" s="1"/>
  <c r="BH71" i="29"/>
  <c r="I71" i="30" s="1"/>
  <c r="BH75" i="29"/>
  <c r="I75" i="30" s="1"/>
  <c r="BX81" i="29"/>
  <c r="K81" i="30" s="1"/>
  <c r="AZ88" i="29"/>
  <c r="BP94" i="29"/>
  <c r="AR101" i="29"/>
  <c r="G101" i="30" s="1"/>
  <c r="BH107" i="29"/>
  <c r="I107" i="30" s="1"/>
  <c r="BP114" i="29"/>
  <c r="BH123" i="29"/>
  <c r="I123" i="30" s="1"/>
  <c r="AR129" i="29"/>
  <c r="G129" i="30" s="1"/>
  <c r="AZ136" i="29"/>
  <c r="H136" i="30" s="1"/>
  <c r="BH141" i="29"/>
  <c r="I141" i="30" s="1"/>
  <c r="BP144" i="29"/>
  <c r="BX147" i="29"/>
  <c r="K147" i="30" s="1"/>
  <c r="AR151" i="29"/>
  <c r="G151" i="30" s="1"/>
  <c r="BH155" i="29"/>
  <c r="I155" i="30" s="1"/>
  <c r="AX155" i="30"/>
  <c r="BX155" i="29"/>
  <c r="K155" i="30" s="1"/>
  <c r="AT246" i="30"/>
  <c r="AR246" i="29"/>
  <c r="G246" i="30" s="1"/>
  <c r="AU255" i="30"/>
  <c r="AZ255" i="29"/>
  <c r="H255" i="30" s="1"/>
  <c r="AV311" i="30"/>
  <c r="BH311" i="29"/>
  <c r="I311" i="30" s="1"/>
  <c r="AW322" i="30"/>
  <c r="BP322" i="29"/>
  <c r="AX333" i="30"/>
  <c r="BX333" i="29"/>
  <c r="K333" i="30" s="1"/>
  <c r="AU356" i="30"/>
  <c r="AZ356" i="29"/>
  <c r="H356" i="30" s="1"/>
  <c r="AT384" i="30"/>
  <c r="AR384" i="29"/>
  <c r="G384" i="30" s="1"/>
  <c r="AW158" i="30"/>
  <c r="BP158" i="29"/>
  <c r="AR65" i="29"/>
  <c r="G65" i="30" s="1"/>
  <c r="AR69" i="29"/>
  <c r="G69" i="30" s="1"/>
  <c r="BP78" i="29"/>
  <c r="AR85" i="29"/>
  <c r="G85" i="30" s="1"/>
  <c r="BH91" i="29"/>
  <c r="BX97" i="29"/>
  <c r="K97" i="30" s="1"/>
  <c r="AZ104" i="29"/>
  <c r="H104" i="30" s="1"/>
  <c r="BP110" i="29"/>
  <c r="BH119" i="29"/>
  <c r="I119" i="30" s="1"/>
  <c r="BX125" i="29"/>
  <c r="K125" i="30" s="1"/>
  <c r="AR133" i="29"/>
  <c r="G133" i="30" s="1"/>
  <c r="AZ140" i="29"/>
  <c r="H140" i="30" s="1"/>
  <c r="BH143" i="29"/>
  <c r="I143" i="30" s="1"/>
  <c r="AZ146" i="29"/>
  <c r="H146" i="30" s="1"/>
  <c r="BH149" i="29"/>
  <c r="I149" i="30" s="1"/>
  <c r="BP152" i="29"/>
  <c r="H160" i="30"/>
  <c r="AW249" i="30"/>
  <c r="BP249" i="29"/>
  <c r="AX260" i="30"/>
  <c r="BX260" i="29"/>
  <c r="K260" i="30" s="1"/>
  <c r="AW304" i="30"/>
  <c r="BP304" i="29"/>
  <c r="AT329" i="30"/>
  <c r="AR329" i="29"/>
  <c r="G329" i="30" s="1"/>
  <c r="AW338" i="30"/>
  <c r="BP338" i="29"/>
  <c r="AU348" i="30"/>
  <c r="AZ348" i="29"/>
  <c r="H348" i="30" s="1"/>
  <c r="AV363" i="30"/>
  <c r="BH363" i="29"/>
  <c r="I363" i="30" s="1"/>
  <c r="AX388" i="30"/>
  <c r="BX388" i="29"/>
  <c r="K388" i="30" s="1"/>
  <c r="AT411" i="30"/>
  <c r="AR411" i="29"/>
  <c r="G411" i="30" s="1"/>
  <c r="BP247" i="29"/>
  <c r="AZ253" i="29"/>
  <c r="H253" i="30" s="1"/>
  <c r="AR258" i="29"/>
  <c r="G258" i="30" s="1"/>
  <c r="AR307" i="29"/>
  <c r="G307" i="30" s="1"/>
  <c r="BX315" i="29"/>
  <c r="K315" i="30" s="1"/>
  <c r="AZ321" i="29"/>
  <c r="H321" i="30" s="1"/>
  <c r="BX325" i="29"/>
  <c r="K325" i="30" s="1"/>
  <c r="BP330" i="29"/>
  <c r="AR341" i="29"/>
  <c r="G341" i="30" s="1"/>
  <c r="BP346" i="29"/>
  <c r="BH351" i="29"/>
  <c r="I351" i="30" s="1"/>
  <c r="BX360" i="29"/>
  <c r="K360" i="30" s="1"/>
  <c r="BX364" i="29"/>
  <c r="K364" i="30" s="1"/>
  <c r="BP381" i="29"/>
  <c r="AZ395" i="29"/>
  <c r="H395" i="30" s="1"/>
  <c r="AR412" i="29"/>
  <c r="G412" i="30" s="1"/>
  <c r="AX60" i="30"/>
  <c r="BX60" i="29"/>
  <c r="K60" i="30" s="1"/>
  <c r="AW65" i="30"/>
  <c r="BP65" i="29"/>
  <c r="AR3" i="29"/>
  <c r="G3" i="30" s="1"/>
  <c r="BX5" i="29"/>
  <c r="K5" i="30" s="1"/>
  <c r="BP8" i="29"/>
  <c r="BX11" i="29"/>
  <c r="K11" i="30" s="1"/>
  <c r="AR15" i="29"/>
  <c r="G15" i="30" s="1"/>
  <c r="AR17" i="29"/>
  <c r="G17" i="30" s="1"/>
  <c r="BP18" i="29"/>
  <c r="AZ20" i="29"/>
  <c r="H20" i="30" s="1"/>
  <c r="BX21" i="29"/>
  <c r="BH23" i="29"/>
  <c r="AR25" i="29"/>
  <c r="BP26" i="29"/>
  <c r="AZ28" i="29"/>
  <c r="H28" i="30" s="1"/>
  <c r="BX29" i="29"/>
  <c r="K29" i="30" s="1"/>
  <c r="BH31" i="29"/>
  <c r="I31" i="30" s="1"/>
  <c r="AR33" i="29"/>
  <c r="G33" i="30" s="1"/>
  <c r="AW62" i="30"/>
  <c r="BP62" i="29"/>
  <c r="AR5" i="29"/>
  <c r="G5" i="30" s="1"/>
  <c r="BP6" i="29"/>
  <c r="AZ10" i="29"/>
  <c r="H10" i="30" s="1"/>
  <c r="BH13" i="29"/>
  <c r="I13" i="30" s="1"/>
  <c r="AZ16" i="29"/>
  <c r="BX17" i="29"/>
  <c r="K17" i="30" s="1"/>
  <c r="BH19" i="29"/>
  <c r="I19" i="30" s="1"/>
  <c r="AR21" i="29"/>
  <c r="G21" i="30" s="1"/>
  <c r="BP22" i="29"/>
  <c r="AZ24" i="29"/>
  <c r="H24" i="30" s="1"/>
  <c r="BX25" i="29"/>
  <c r="K25" i="30" s="1"/>
  <c r="BH27" i="29"/>
  <c r="I27" i="30" s="1"/>
  <c r="AR29" i="29"/>
  <c r="G29" i="30" s="1"/>
  <c r="BP30" i="29"/>
  <c r="AZ32" i="29"/>
  <c r="H32" i="30" s="1"/>
  <c r="AV59" i="30"/>
  <c r="BH59" i="29"/>
  <c r="I59" i="30" s="1"/>
  <c r="AV115" i="30"/>
  <c r="BH115" i="29"/>
  <c r="I115" i="30" s="1"/>
  <c r="AU128" i="30"/>
  <c r="AZ128" i="29"/>
  <c r="H128" i="30" s="1"/>
  <c r="AW140" i="30"/>
  <c r="BP140" i="29"/>
  <c r="AT145" i="30"/>
  <c r="AR145" i="29"/>
  <c r="G145" i="30" s="1"/>
  <c r="AU148" i="30"/>
  <c r="AZ148" i="29"/>
  <c r="H148" i="30" s="1"/>
  <c r="AV151" i="30"/>
  <c r="BH151" i="29"/>
  <c r="I151" i="30" s="1"/>
  <c r="AZ154" i="29"/>
  <c r="H154" i="30" s="1"/>
  <c r="AW154" i="30"/>
  <c r="BP154" i="29"/>
  <c r="BH157" i="29"/>
  <c r="I157" i="30" s="1"/>
  <c r="AX157" i="30"/>
  <c r="BX157" i="29"/>
  <c r="K157" i="30" s="1"/>
  <c r="J160" i="30"/>
  <c r="AT242" i="30"/>
  <c r="AR242" i="29"/>
  <c r="G242" i="30" s="1"/>
  <c r="BX244" i="29"/>
  <c r="K244" i="30" s="1"/>
  <c r="AU245" i="30"/>
  <c r="AZ245" i="29"/>
  <c r="H245" i="30" s="1"/>
  <c r="AR248" i="29"/>
  <c r="G248" i="30" s="1"/>
  <c r="AV248" i="30"/>
  <c r="BH248" i="29"/>
  <c r="I248" i="30" s="1"/>
  <c r="BP251" i="29"/>
  <c r="AT252" i="30"/>
  <c r="AR252" i="29"/>
  <c r="G252" i="30" s="1"/>
  <c r="AR256" i="29"/>
  <c r="G256" i="30" s="1"/>
  <c r="AV256" i="30"/>
  <c r="BH256" i="29"/>
  <c r="I256" i="30" s="1"/>
  <c r="BP259" i="29"/>
  <c r="AT260" i="30"/>
  <c r="AR260" i="29"/>
  <c r="G260" i="30" s="1"/>
  <c r="AT303" i="30"/>
  <c r="AR303" i="29"/>
  <c r="G303" i="30" s="1"/>
  <c r="AX309" i="30"/>
  <c r="BX309" i="29"/>
  <c r="K309" i="30" s="1"/>
  <c r="AU324" i="30"/>
  <c r="AZ324" i="29"/>
  <c r="H324" i="30" s="1"/>
  <c r="AU336" i="30"/>
  <c r="AZ336" i="29"/>
  <c r="H336" i="30" s="1"/>
  <c r="AT345" i="30"/>
  <c r="AR345" i="29"/>
  <c r="G345" i="30" s="1"/>
  <c r="AW357" i="30"/>
  <c r="BP357" i="29"/>
  <c r="AX361" i="30"/>
  <c r="BO361" i="30"/>
  <c r="BX361" i="29"/>
  <c r="K361" i="30" s="1"/>
  <c r="AV367" i="30"/>
  <c r="BH367" i="29"/>
  <c r="I367" i="30" s="1"/>
  <c r="BM367" i="30"/>
  <c r="AV386" i="30"/>
  <c r="BH386" i="29"/>
  <c r="I386" i="30" s="1"/>
  <c r="AT404" i="30"/>
  <c r="AR404" i="29"/>
  <c r="G404" i="30" s="1"/>
  <c r="AT419" i="30"/>
  <c r="AR419" i="29"/>
  <c r="G419" i="30" s="1"/>
  <c r="BX69" i="29"/>
  <c r="K69" i="30" s="1"/>
  <c r="BX73" i="29"/>
  <c r="K73" i="30" s="1"/>
  <c r="AZ76" i="29"/>
  <c r="H76" i="30" s="1"/>
  <c r="BH79" i="29"/>
  <c r="I79" i="30" s="1"/>
  <c r="BP82" i="29"/>
  <c r="BX85" i="29"/>
  <c r="K85" i="30" s="1"/>
  <c r="AR89" i="29"/>
  <c r="G89" i="30" s="1"/>
  <c r="AZ92" i="29"/>
  <c r="H92" i="30" s="1"/>
  <c r="BH95" i="29"/>
  <c r="I95" i="30" s="1"/>
  <c r="BP98" i="29"/>
  <c r="BX101" i="29"/>
  <c r="K101" i="30" s="1"/>
  <c r="AR105" i="29"/>
  <c r="G105" i="30" s="1"/>
  <c r="AZ108" i="29"/>
  <c r="H108" i="30" s="1"/>
  <c r="BH111" i="29"/>
  <c r="I111" i="30" s="1"/>
  <c r="AU112" i="30"/>
  <c r="AZ112" i="29"/>
  <c r="H112" i="30" s="1"/>
  <c r="AZ120" i="29"/>
  <c r="H120" i="30" s="1"/>
  <c r="AT125" i="30"/>
  <c r="AR125" i="29"/>
  <c r="G125" i="30" s="1"/>
  <c r="AR137" i="29"/>
  <c r="G137" i="30" s="1"/>
  <c r="AX137" i="30"/>
  <c r="BX137" i="29"/>
  <c r="K137" i="30" s="1"/>
  <c r="AR143" i="29"/>
  <c r="G143" i="30" s="1"/>
  <c r="AT265" i="30"/>
  <c r="AR265" i="29"/>
  <c r="G265" i="30" s="1"/>
  <c r="AU313" i="30"/>
  <c r="AZ313" i="29"/>
  <c r="H313" i="30" s="1"/>
  <c r="AV317" i="30"/>
  <c r="BH317" i="29"/>
  <c r="I317" i="30" s="1"/>
  <c r="AV331" i="30"/>
  <c r="BH331" i="29"/>
  <c r="I331" i="30" s="1"/>
  <c r="AV382" i="30"/>
  <c r="BH382" i="29"/>
  <c r="I382" i="30" s="1"/>
  <c r="AR109" i="29"/>
  <c r="G109" i="30" s="1"/>
  <c r="AR117" i="29"/>
  <c r="G117" i="30" s="1"/>
  <c r="AR121" i="29"/>
  <c r="G121" i="30" s="1"/>
  <c r="AX121" i="30"/>
  <c r="BX121" i="29"/>
  <c r="K121" i="30" s="1"/>
  <c r="BX129" i="29"/>
  <c r="K129" i="30" s="1"/>
  <c r="BX133" i="29"/>
  <c r="K133" i="30" s="1"/>
  <c r="AW134" i="30"/>
  <c r="BP134" i="29"/>
  <c r="AX143" i="30"/>
  <c r="BX143" i="29"/>
  <c r="K143" i="30" s="1"/>
  <c r="AW146" i="30"/>
  <c r="BP146" i="29"/>
  <c r="AX149" i="30"/>
  <c r="BX149" i="29"/>
  <c r="K149" i="30" s="1"/>
  <c r="AT153" i="30"/>
  <c r="AR153" i="29"/>
  <c r="G153" i="30" s="1"/>
  <c r="AU156" i="30"/>
  <c r="AZ156" i="29"/>
  <c r="H156" i="30" s="1"/>
  <c r="AV159" i="30"/>
  <c r="BH159" i="29"/>
  <c r="I159" i="30" s="1"/>
  <c r="AW243" i="30"/>
  <c r="BP243" i="29"/>
  <c r="AX246" i="30"/>
  <c r="BX246" i="29"/>
  <c r="K246" i="30" s="1"/>
  <c r="AT250" i="30"/>
  <c r="AR250" i="29"/>
  <c r="G250" i="30" s="1"/>
  <c r="AV254" i="30"/>
  <c r="BH254" i="29"/>
  <c r="I254" i="30" s="1"/>
  <c r="AV258" i="30"/>
  <c r="BH258" i="29"/>
  <c r="I258" i="30" s="1"/>
  <c r="AT315" i="30"/>
  <c r="AR315" i="29"/>
  <c r="G315" i="30" s="1"/>
  <c r="AV327" i="30"/>
  <c r="BH327" i="29"/>
  <c r="I327" i="30" s="1"/>
  <c r="AX353" i="30"/>
  <c r="BX353" i="29"/>
  <c r="K353" i="30" s="1"/>
  <c r="AT376" i="30"/>
  <c r="AR376" i="29"/>
  <c r="G376" i="30" s="1"/>
  <c r="AW393" i="30"/>
  <c r="BP393" i="29"/>
  <c r="AX412" i="30"/>
  <c r="BX412" i="29"/>
  <c r="K412" i="30" s="1"/>
  <c r="AR64" i="29"/>
  <c r="G64" i="30" s="1"/>
  <c r="AZ67" i="29"/>
  <c r="H67" i="30" s="1"/>
  <c r="BP70" i="29"/>
  <c r="AR73" i="29"/>
  <c r="G73" i="30" s="1"/>
  <c r="BX77" i="29"/>
  <c r="K77" i="30" s="1"/>
  <c r="AR81" i="29"/>
  <c r="G81" i="30" s="1"/>
  <c r="AZ84" i="29"/>
  <c r="BH87" i="29"/>
  <c r="I87" i="30" s="1"/>
  <c r="BP90" i="29"/>
  <c r="BX93" i="29"/>
  <c r="K93" i="30" s="1"/>
  <c r="AR97" i="29"/>
  <c r="G97" i="30" s="1"/>
  <c r="AZ100" i="29"/>
  <c r="H100" i="30" s="1"/>
  <c r="BH103" i="29"/>
  <c r="BP106" i="29"/>
  <c r="BX113" i="29"/>
  <c r="K113" i="30" s="1"/>
  <c r="BX117" i="29"/>
  <c r="K117" i="30" s="1"/>
  <c r="AW118" i="30"/>
  <c r="BP118" i="29"/>
  <c r="BP126" i="29"/>
  <c r="BP130" i="29"/>
  <c r="AV131" i="30"/>
  <c r="BH131" i="29"/>
  <c r="I131" i="30" s="1"/>
  <c r="BH139" i="29"/>
  <c r="I139" i="30" s="1"/>
  <c r="BX141" i="29"/>
  <c r="K141" i="30" s="1"/>
  <c r="AU142" i="30"/>
  <c r="AZ142" i="29"/>
  <c r="H142" i="30" s="1"/>
  <c r="BP266" i="29"/>
  <c r="AT267" i="30"/>
  <c r="AR267" i="29"/>
  <c r="G267" i="30" s="1"/>
  <c r="AV308" i="30"/>
  <c r="BH308" i="29"/>
  <c r="I308" i="30" s="1"/>
  <c r="AX319" i="30"/>
  <c r="BX319" i="29"/>
  <c r="K319" i="30" s="1"/>
  <c r="AV339" i="30"/>
  <c r="BH339" i="29"/>
  <c r="I339" i="30" s="1"/>
  <c r="AT349" i="30"/>
  <c r="AR349" i="29"/>
  <c r="G349" i="30" s="1"/>
  <c r="AT359" i="30"/>
  <c r="AR359" i="29"/>
  <c r="G359" i="30" s="1"/>
  <c r="AU364" i="30"/>
  <c r="AZ364" i="29"/>
  <c r="H364" i="30" s="1"/>
  <c r="BL364" i="30"/>
  <c r="AU411" i="30"/>
  <c r="AZ411" i="29"/>
  <c r="H411" i="30" s="1"/>
  <c r="AU328" i="30"/>
  <c r="AZ328" i="29"/>
  <c r="H328" i="30" s="1"/>
  <c r="AX345" i="30"/>
  <c r="BX345" i="29"/>
  <c r="K345" i="30" s="1"/>
  <c r="AV359" i="30"/>
  <c r="BH359" i="29"/>
  <c r="I359" i="30" s="1"/>
  <c r="AU387" i="30"/>
  <c r="AZ387" i="29"/>
  <c r="H387" i="30" s="1"/>
  <c r="AW397" i="30"/>
  <c r="BP397" i="29"/>
  <c r="BH145" i="29"/>
  <c r="I145" i="30" s="1"/>
  <c r="AR147" i="29"/>
  <c r="G147" i="30" s="1"/>
  <c r="BP148" i="29"/>
  <c r="AZ150" i="29"/>
  <c r="H150" i="30" s="1"/>
  <c r="BX151" i="29"/>
  <c r="K151" i="30" s="1"/>
  <c r="BH153" i="29"/>
  <c r="I153" i="30" s="1"/>
  <c r="AR155" i="29"/>
  <c r="G155" i="30" s="1"/>
  <c r="BP156" i="29"/>
  <c r="AZ158" i="29"/>
  <c r="H158" i="30" s="1"/>
  <c r="BX159" i="29"/>
  <c r="K159" i="30" s="1"/>
  <c r="BH242" i="29"/>
  <c r="I242" i="30" s="1"/>
  <c r="AR244" i="29"/>
  <c r="G244" i="30" s="1"/>
  <c r="BP245" i="29"/>
  <c r="AZ247" i="29"/>
  <c r="H247" i="30" s="1"/>
  <c r="BX248" i="29"/>
  <c r="K248" i="30" s="1"/>
  <c r="BH250" i="29"/>
  <c r="I250" i="30" s="1"/>
  <c r="BX252" i="29"/>
  <c r="K252" i="30" s="1"/>
  <c r="BX254" i="29"/>
  <c r="K254" i="30" s="1"/>
  <c r="BX256" i="29"/>
  <c r="K256" i="30" s="1"/>
  <c r="BX258" i="29"/>
  <c r="K258" i="30" s="1"/>
  <c r="BH260" i="29"/>
  <c r="I260" i="30" s="1"/>
  <c r="BH262" i="29"/>
  <c r="I262" i="30" s="1"/>
  <c r="AR264" i="29"/>
  <c r="G264" i="30" s="1"/>
  <c r="BH265" i="29"/>
  <c r="I265" i="30" s="1"/>
  <c r="AR302" i="29"/>
  <c r="G302" i="30" s="1"/>
  <c r="BH303" i="29"/>
  <c r="I303" i="30" s="1"/>
  <c r="BX306" i="29"/>
  <c r="K306" i="30" s="1"/>
  <c r="BP308" i="29"/>
  <c r="AR311" i="29"/>
  <c r="G311" i="30" s="1"/>
  <c r="BH313" i="29"/>
  <c r="I313" i="30" s="1"/>
  <c r="BX317" i="29"/>
  <c r="K317" i="30" s="1"/>
  <c r="AZ322" i="29"/>
  <c r="H322" i="30" s="1"/>
  <c r="AR325" i="29"/>
  <c r="G325" i="30" s="1"/>
  <c r="AR333" i="29"/>
  <c r="G333" i="30" s="1"/>
  <c r="AT337" i="30"/>
  <c r="AR337" i="29"/>
  <c r="G337" i="30" s="1"/>
  <c r="AZ340" i="29"/>
  <c r="H340" i="30" s="1"/>
  <c r="BP350" i="29"/>
  <c r="BP354" i="29"/>
  <c r="AV355" i="30"/>
  <c r="BH355" i="29"/>
  <c r="I355" i="30" s="1"/>
  <c r="AR372" i="29"/>
  <c r="G372" i="30" s="1"/>
  <c r="AR380" i="29"/>
  <c r="G380" i="30" s="1"/>
  <c r="AX380" i="30"/>
  <c r="BX380" i="29"/>
  <c r="K380" i="30" s="1"/>
  <c r="AU391" i="30"/>
  <c r="AZ391" i="29"/>
  <c r="H391" i="30" s="1"/>
  <c r="BP401" i="29"/>
  <c r="BP405" i="29"/>
  <c r="AV406" i="30"/>
  <c r="BH406" i="29"/>
  <c r="I406" i="30" s="1"/>
  <c r="AR415" i="29"/>
  <c r="G415" i="30" s="1"/>
  <c r="BH417" i="29"/>
  <c r="I417" i="30" s="1"/>
  <c r="AW417" i="30"/>
  <c r="BP417" i="29"/>
  <c r="AW334" i="30"/>
  <c r="BP334" i="29"/>
  <c r="AV343" i="30"/>
  <c r="BH343" i="29"/>
  <c r="I343" i="30" s="1"/>
  <c r="AU352" i="30"/>
  <c r="AZ352" i="29"/>
  <c r="H352" i="30" s="1"/>
  <c r="AX368" i="30"/>
  <c r="BX368" i="29"/>
  <c r="K368" i="30" s="1"/>
  <c r="AX384" i="30"/>
  <c r="BX384" i="29"/>
  <c r="K384" i="30" s="1"/>
  <c r="AT400" i="30"/>
  <c r="AR400" i="29"/>
  <c r="G400" i="30" s="1"/>
  <c r="AV409" i="30"/>
  <c r="BH409" i="29"/>
  <c r="I409" i="30" s="1"/>
  <c r="AW416" i="30"/>
  <c r="BM363" i="30"/>
  <c r="AR365" i="29"/>
  <c r="G365" i="30" s="1"/>
  <c r="BP373" i="29"/>
  <c r="AZ383" i="29"/>
  <c r="H383" i="30" s="1"/>
  <c r="BP385" i="29"/>
  <c r="BP389" i="29"/>
  <c r="AR392" i="29"/>
  <c r="G392" i="30" s="1"/>
  <c r="AR396" i="29"/>
  <c r="G396" i="30" s="1"/>
  <c r="BH398" i="29"/>
  <c r="I398" i="30" s="1"/>
  <c r="BH402" i="29"/>
  <c r="I402" i="30" s="1"/>
  <c r="BX404" i="29"/>
  <c r="K404" i="30" s="1"/>
  <c r="AZ407" i="29"/>
  <c r="H407" i="30" s="1"/>
  <c r="AZ410" i="29"/>
  <c r="H410" i="30" s="1"/>
  <c r="BX411" i="29"/>
  <c r="K411" i="30" s="1"/>
  <c r="BP413" i="29"/>
  <c r="BH2" i="29"/>
  <c r="I2" i="30" s="1"/>
  <c r="AZ3" i="29"/>
  <c r="H3" i="30" s="1"/>
  <c r="BX4" i="29"/>
  <c r="K4" i="30" s="1"/>
  <c r="BP5" i="29"/>
  <c r="BH6" i="29"/>
  <c r="I6" i="30" s="1"/>
  <c r="BP7" i="29"/>
  <c r="BH8" i="29"/>
  <c r="I8" i="30" s="1"/>
  <c r="AZ9" i="29"/>
  <c r="H9" i="30" s="1"/>
  <c r="AR10" i="29"/>
  <c r="G10" i="30" s="1"/>
  <c r="BX10" i="29"/>
  <c r="K10" i="30" s="1"/>
  <c r="BP11" i="29"/>
  <c r="BH12" i="29"/>
  <c r="I12" i="30" s="1"/>
  <c r="AZ13" i="29"/>
  <c r="H13" i="30" s="1"/>
  <c r="BH4" i="29"/>
  <c r="I4" i="30" s="1"/>
  <c r="AZ5" i="29"/>
  <c r="H5" i="30" s="1"/>
  <c r="AR6" i="29"/>
  <c r="G6" i="30" s="1"/>
  <c r="BX6" i="29"/>
  <c r="K6" i="30" s="1"/>
  <c r="AR8" i="29"/>
  <c r="G8" i="30" s="1"/>
  <c r="BX8" i="29"/>
  <c r="K8" i="30" s="1"/>
  <c r="BP9" i="29"/>
  <c r="BH10" i="29"/>
  <c r="I10" i="30" s="1"/>
  <c r="AZ11" i="29"/>
  <c r="H11" i="30" s="1"/>
  <c r="AR12" i="29"/>
  <c r="G12" i="30" s="1"/>
  <c r="BX12" i="29"/>
  <c r="K12" i="30" s="1"/>
  <c r="BM15" i="30"/>
  <c r="AZ8" i="29"/>
  <c r="H8" i="30" s="1"/>
  <c r="AR9" i="29"/>
  <c r="G9" i="30" s="1"/>
  <c r="BX9" i="29"/>
  <c r="K9" i="30" s="1"/>
  <c r="BP10" i="29"/>
  <c r="BH11" i="29"/>
  <c r="I11" i="30" s="1"/>
  <c r="AZ12" i="29"/>
  <c r="H12" i="30" s="1"/>
  <c r="AR13" i="29"/>
  <c r="G13" i="30" s="1"/>
  <c r="BX13" i="29"/>
  <c r="K13" i="30" s="1"/>
  <c r="BP14" i="29"/>
  <c r="BH15" i="29"/>
  <c r="I15" i="30" s="1"/>
  <c r="BP25" i="29"/>
  <c r="BH26" i="29"/>
  <c r="I26" i="30" s="1"/>
  <c r="AZ27" i="29"/>
  <c r="H27" i="30" s="1"/>
  <c r="AR28" i="29"/>
  <c r="G28" i="30" s="1"/>
  <c r="BX28" i="29"/>
  <c r="K28" i="30" s="1"/>
  <c r="AR32" i="29"/>
  <c r="G32" i="30" s="1"/>
  <c r="BX32" i="29"/>
  <c r="K32" i="30" s="1"/>
  <c r="BP33" i="29"/>
  <c r="BH34" i="29"/>
  <c r="I34" i="30" s="1"/>
  <c r="AZ35" i="29"/>
  <c r="H35" i="30" s="1"/>
  <c r="AR36" i="29"/>
  <c r="G36" i="30" s="1"/>
  <c r="BX36" i="29"/>
  <c r="K36" i="30" s="1"/>
  <c r="BP37" i="29"/>
  <c r="BH38" i="29"/>
  <c r="I38" i="30" s="1"/>
  <c r="AZ39" i="29"/>
  <c r="H39" i="30" s="1"/>
  <c r="AR40" i="29"/>
  <c r="G40" i="30" s="1"/>
  <c r="BX40" i="29"/>
  <c r="K40" i="30" s="1"/>
  <c r="BP41" i="29"/>
  <c r="BH42" i="29"/>
  <c r="I42" i="30" s="1"/>
  <c r="BH43" i="29"/>
  <c r="I43" i="30" s="1"/>
  <c r="AZ44" i="29"/>
  <c r="H44" i="30" s="1"/>
  <c r="AR45" i="29"/>
  <c r="G45" i="30" s="1"/>
  <c r="AR46" i="29"/>
  <c r="G46" i="30" s="1"/>
  <c r="BX46" i="29"/>
  <c r="K46" i="30" s="1"/>
  <c r="BP47" i="29"/>
  <c r="BH48" i="29"/>
  <c r="I48" i="30" s="1"/>
  <c r="AZ49" i="29"/>
  <c r="H49" i="30" s="1"/>
  <c r="AR51" i="29"/>
  <c r="G51" i="30" s="1"/>
  <c r="BX51" i="29"/>
  <c r="K51" i="30" s="1"/>
  <c r="BP54" i="29"/>
  <c r="BH55" i="29"/>
  <c r="I55" i="30" s="1"/>
  <c r="AZ56" i="29"/>
  <c r="H56" i="30" s="1"/>
  <c r="AR57" i="29"/>
  <c r="G57" i="30" s="1"/>
  <c r="BX57" i="29"/>
  <c r="K57" i="30" s="1"/>
  <c r="BP58" i="29"/>
  <c r="AZ60" i="29"/>
  <c r="H60" i="30" s="1"/>
  <c r="BX61" i="29"/>
  <c r="K61" i="30" s="1"/>
  <c r="AZ64" i="29"/>
  <c r="H64" i="30" s="1"/>
  <c r="BX65" i="29"/>
  <c r="K65" i="30" s="1"/>
  <c r="AV69" i="30"/>
  <c r="BH69" i="29"/>
  <c r="I69" i="30" s="1"/>
  <c r="AT71" i="30"/>
  <c r="AR71" i="29"/>
  <c r="G71" i="30" s="1"/>
  <c r="AW72" i="30"/>
  <c r="BP72" i="29"/>
  <c r="AU74" i="30"/>
  <c r="AZ74" i="29"/>
  <c r="H74" i="30" s="1"/>
  <c r="AX75" i="30"/>
  <c r="BX75" i="29"/>
  <c r="K75" i="30" s="1"/>
  <c r="BO75" i="30"/>
  <c r="BL58" i="30"/>
  <c r="AU62" i="30"/>
  <c r="AZ62" i="29"/>
  <c r="H62" i="30" s="1"/>
  <c r="AR26" i="29"/>
  <c r="G26" i="30" s="1"/>
  <c r="BX26" i="29"/>
  <c r="K26" i="30" s="1"/>
  <c r="BP27" i="29"/>
  <c r="BH28" i="29"/>
  <c r="I28" i="30" s="1"/>
  <c r="BH32" i="29"/>
  <c r="I32" i="30" s="1"/>
  <c r="AZ33" i="29"/>
  <c r="H33" i="30" s="1"/>
  <c r="AR34" i="29"/>
  <c r="G34" i="30" s="1"/>
  <c r="BX34" i="29"/>
  <c r="K34" i="30" s="1"/>
  <c r="BP35" i="29"/>
  <c r="BH36" i="29"/>
  <c r="I36" i="30" s="1"/>
  <c r="AZ37" i="29"/>
  <c r="H37" i="30" s="1"/>
  <c r="AR38" i="29"/>
  <c r="G38" i="30" s="1"/>
  <c r="BX38" i="29"/>
  <c r="K38" i="30" s="1"/>
  <c r="BP39" i="29"/>
  <c r="BH40" i="29"/>
  <c r="I40" i="30" s="1"/>
  <c r="AZ41" i="29"/>
  <c r="H41" i="30" s="1"/>
  <c r="AR42" i="29"/>
  <c r="G42" i="30" s="1"/>
  <c r="BX42" i="29"/>
  <c r="K42" i="30" s="1"/>
  <c r="BX43" i="29"/>
  <c r="K43" i="30" s="1"/>
  <c r="BP44" i="29"/>
  <c r="BP45" i="29"/>
  <c r="BH46" i="29"/>
  <c r="I46" i="30" s="1"/>
  <c r="AZ47" i="29"/>
  <c r="H47" i="30" s="1"/>
  <c r="AR48" i="29"/>
  <c r="G48" i="30" s="1"/>
  <c r="BX48" i="29"/>
  <c r="K48" i="30" s="1"/>
  <c r="BP49" i="29"/>
  <c r="BH51" i="29"/>
  <c r="I51" i="30" s="1"/>
  <c r="AZ54" i="29"/>
  <c r="H54" i="30" s="1"/>
  <c r="AR55" i="29"/>
  <c r="G55" i="30" s="1"/>
  <c r="BX55" i="29"/>
  <c r="K55" i="30" s="1"/>
  <c r="BP56" i="29"/>
  <c r="BH57" i="29"/>
  <c r="I57" i="30" s="1"/>
  <c r="AZ58" i="29"/>
  <c r="H58" i="30" s="1"/>
  <c r="AR59" i="29"/>
  <c r="G59" i="30" s="1"/>
  <c r="BP60" i="29"/>
  <c r="BO60" i="30"/>
  <c r="BN62" i="30"/>
  <c r="AX63" i="30"/>
  <c r="BX63" i="29"/>
  <c r="K63" i="30" s="1"/>
  <c r="AV65" i="30"/>
  <c r="BH65" i="29"/>
  <c r="I65" i="30" s="1"/>
  <c r="AT67" i="30"/>
  <c r="AR67" i="29"/>
  <c r="G67" i="30" s="1"/>
  <c r="AW68" i="30"/>
  <c r="BP68" i="29"/>
  <c r="AU70" i="30"/>
  <c r="AZ70" i="29"/>
  <c r="H70" i="30" s="1"/>
  <c r="AX71" i="30"/>
  <c r="BX71" i="29"/>
  <c r="K71" i="30" s="1"/>
  <c r="AV73" i="30"/>
  <c r="BH73" i="29"/>
  <c r="I73" i="30" s="1"/>
  <c r="AT75" i="30"/>
  <c r="AR75" i="29"/>
  <c r="G75" i="30" s="1"/>
  <c r="BK36" i="30"/>
  <c r="BL39" i="30"/>
  <c r="BM42" i="30"/>
  <c r="BM69" i="30"/>
  <c r="BK71" i="30"/>
  <c r="BN72" i="30"/>
  <c r="BL74" i="30"/>
  <c r="AU262" i="30"/>
  <c r="AZ262" i="29"/>
  <c r="H262" i="30" s="1"/>
  <c r="AX263" i="30"/>
  <c r="BX263" i="29"/>
  <c r="K263" i="30" s="1"/>
  <c r="AU268" i="30"/>
  <c r="AZ268" i="29"/>
  <c r="H268" i="30" s="1"/>
  <c r="AT271" i="30"/>
  <c r="AR271" i="29"/>
  <c r="G271" i="30" s="1"/>
  <c r="AU274" i="30"/>
  <c r="AZ274" i="29"/>
  <c r="H274" i="30" s="1"/>
  <c r="AV277" i="30"/>
  <c r="BH277" i="29"/>
  <c r="I277" i="30" s="1"/>
  <c r="AW280" i="30"/>
  <c r="BP280" i="29"/>
  <c r="AX283" i="30"/>
  <c r="BX283" i="29"/>
  <c r="K283" i="30" s="1"/>
  <c r="AT287" i="30"/>
  <c r="AR287" i="29"/>
  <c r="AU290" i="30"/>
  <c r="AZ290" i="29"/>
  <c r="H290" i="30" s="1"/>
  <c r="BL138" i="30"/>
  <c r="BN140" i="30"/>
  <c r="BL142" i="30"/>
  <c r="BO143" i="30"/>
  <c r="BO155" i="30"/>
  <c r="BL243" i="30"/>
  <c r="BN249" i="30"/>
  <c r="BH252" i="29"/>
  <c r="I252" i="30" s="1"/>
  <c r="BP255" i="29"/>
  <c r="AW265" i="30"/>
  <c r="BP265" i="29"/>
  <c r="AU267" i="30"/>
  <c r="AZ267" i="29"/>
  <c r="H267" i="30" s="1"/>
  <c r="AW268" i="30"/>
  <c r="BP268" i="29"/>
  <c r="AX271" i="30"/>
  <c r="BX271" i="29"/>
  <c r="K271" i="30" s="1"/>
  <c r="AT275" i="30"/>
  <c r="AR275" i="29"/>
  <c r="G275" i="30" s="1"/>
  <c r="AU278" i="30"/>
  <c r="AZ278" i="29"/>
  <c r="H278" i="30" s="1"/>
  <c r="AV281" i="30"/>
  <c r="BH281" i="29"/>
  <c r="I281" i="30" s="1"/>
  <c r="AW284" i="30"/>
  <c r="BP284" i="29"/>
  <c r="AX287" i="30"/>
  <c r="BX287" i="29"/>
  <c r="K287" i="30" s="1"/>
  <c r="BN65" i="30"/>
  <c r="BP76" i="29"/>
  <c r="BH77" i="29"/>
  <c r="I77" i="30" s="1"/>
  <c r="AZ78" i="29"/>
  <c r="H78" i="30" s="1"/>
  <c r="AR79" i="29"/>
  <c r="G79" i="30" s="1"/>
  <c r="BX79" i="29"/>
  <c r="K79" i="30" s="1"/>
  <c r="BP80" i="29"/>
  <c r="BH81" i="29"/>
  <c r="I81" i="30" s="1"/>
  <c r="AZ82" i="29"/>
  <c r="H82" i="30" s="1"/>
  <c r="AR83" i="29"/>
  <c r="G83" i="30" s="1"/>
  <c r="BX83" i="29"/>
  <c r="K83" i="30" s="1"/>
  <c r="BP84" i="29"/>
  <c r="BH85" i="29"/>
  <c r="I85" i="30" s="1"/>
  <c r="AZ86" i="29"/>
  <c r="H86" i="30" s="1"/>
  <c r="AR87" i="29"/>
  <c r="G87" i="30" s="1"/>
  <c r="BX87" i="29"/>
  <c r="K87" i="30" s="1"/>
  <c r="BP88" i="29"/>
  <c r="BH89" i="29"/>
  <c r="I89" i="30" s="1"/>
  <c r="AZ90" i="29"/>
  <c r="H90" i="30" s="1"/>
  <c r="AR91" i="29"/>
  <c r="G91" i="30" s="1"/>
  <c r="BX91" i="29"/>
  <c r="K91" i="30" s="1"/>
  <c r="BP92" i="29"/>
  <c r="BH93" i="29"/>
  <c r="I93" i="30" s="1"/>
  <c r="AZ94" i="29"/>
  <c r="H94" i="30" s="1"/>
  <c r="AR95" i="29"/>
  <c r="G95" i="30" s="1"/>
  <c r="BX95" i="29"/>
  <c r="K95" i="30" s="1"/>
  <c r="BP96" i="29"/>
  <c r="BH97" i="29"/>
  <c r="I97" i="30" s="1"/>
  <c r="AZ98" i="29"/>
  <c r="H98" i="30" s="1"/>
  <c r="AR99" i="29"/>
  <c r="G99" i="30" s="1"/>
  <c r="BX99" i="29"/>
  <c r="K99" i="30" s="1"/>
  <c r="BP100" i="29"/>
  <c r="BH101" i="29"/>
  <c r="I101" i="30" s="1"/>
  <c r="AZ102" i="29"/>
  <c r="H102" i="30" s="1"/>
  <c r="AR103" i="29"/>
  <c r="G103" i="30" s="1"/>
  <c r="BX103" i="29"/>
  <c r="K103" i="30" s="1"/>
  <c r="BP104" i="29"/>
  <c r="BH105" i="29"/>
  <c r="I105" i="30" s="1"/>
  <c r="AZ106" i="29"/>
  <c r="H106" i="30" s="1"/>
  <c r="AR107" i="29"/>
  <c r="G107" i="30" s="1"/>
  <c r="BX107" i="29"/>
  <c r="K107" i="30" s="1"/>
  <c r="BP108" i="29"/>
  <c r="BH109" i="29"/>
  <c r="I109" i="30" s="1"/>
  <c r="AZ110" i="29"/>
  <c r="H110" i="30" s="1"/>
  <c r="AR111" i="29"/>
  <c r="G111" i="30" s="1"/>
  <c r="BX111" i="29"/>
  <c r="K111" i="30" s="1"/>
  <c r="BP112" i="29"/>
  <c r="BH113" i="29"/>
  <c r="I113" i="30" s="1"/>
  <c r="AZ114" i="29"/>
  <c r="H114" i="30" s="1"/>
  <c r="AR115" i="29"/>
  <c r="G115" i="30" s="1"/>
  <c r="BX115" i="29"/>
  <c r="K115" i="30" s="1"/>
  <c r="BP116" i="29"/>
  <c r="BH117" i="29"/>
  <c r="I117" i="30" s="1"/>
  <c r="AZ118" i="29"/>
  <c r="H118" i="30" s="1"/>
  <c r="AR119" i="29"/>
  <c r="G119" i="30" s="1"/>
  <c r="BX119" i="29"/>
  <c r="K119" i="30" s="1"/>
  <c r="BP120" i="29"/>
  <c r="BH121" i="29"/>
  <c r="I121" i="30" s="1"/>
  <c r="AZ122" i="29"/>
  <c r="H122" i="30" s="1"/>
  <c r="AR123" i="29"/>
  <c r="G123" i="30" s="1"/>
  <c r="BX123" i="29"/>
  <c r="K123" i="30" s="1"/>
  <c r="BP124" i="29"/>
  <c r="BH125" i="29"/>
  <c r="I125" i="30" s="1"/>
  <c r="AZ126" i="29"/>
  <c r="H126" i="30" s="1"/>
  <c r="AR127" i="29"/>
  <c r="G127" i="30" s="1"/>
  <c r="BX127" i="29"/>
  <c r="K127" i="30" s="1"/>
  <c r="BP128" i="29"/>
  <c r="BH129" i="29"/>
  <c r="I129" i="30" s="1"/>
  <c r="AZ130" i="29"/>
  <c r="H130" i="30" s="1"/>
  <c r="AR131" i="29"/>
  <c r="G131" i="30" s="1"/>
  <c r="BX131" i="29"/>
  <c r="K131" i="30" s="1"/>
  <c r="BP132" i="29"/>
  <c r="BH133" i="29"/>
  <c r="I133" i="30" s="1"/>
  <c r="AZ134" i="29"/>
  <c r="H134" i="30" s="1"/>
  <c r="AR135" i="29"/>
  <c r="G135" i="30" s="1"/>
  <c r="BX135" i="29"/>
  <c r="K135" i="30" s="1"/>
  <c r="BP136" i="29"/>
  <c r="BH137" i="29"/>
  <c r="I137" i="30" s="1"/>
  <c r="AZ138" i="29"/>
  <c r="H138" i="30" s="1"/>
  <c r="AR139" i="29"/>
  <c r="G139" i="30" s="1"/>
  <c r="BX139" i="29"/>
  <c r="K139" i="30" s="1"/>
  <c r="AX265" i="30"/>
  <c r="BO265" i="30"/>
  <c r="BX265" i="29"/>
  <c r="K265" i="30" s="1"/>
  <c r="AV267" i="30"/>
  <c r="BM267" i="30"/>
  <c r="BH267" i="29"/>
  <c r="I267" i="30" s="1"/>
  <c r="AV269" i="30"/>
  <c r="BH269" i="29"/>
  <c r="I269" i="30" s="1"/>
  <c r="AW272" i="30"/>
  <c r="BP272" i="29"/>
  <c r="AX275" i="30"/>
  <c r="BX275" i="29"/>
  <c r="K275" i="30" s="1"/>
  <c r="AT279" i="30"/>
  <c r="AR279" i="29"/>
  <c r="G279" i="30" s="1"/>
  <c r="AU282" i="30"/>
  <c r="AZ282" i="29"/>
  <c r="H282" i="30" s="1"/>
  <c r="AV285" i="30"/>
  <c r="BH285" i="29"/>
  <c r="I285" i="30" s="1"/>
  <c r="AW288" i="30"/>
  <c r="BP288" i="29"/>
  <c r="BL112" i="30"/>
  <c r="BM115" i="30"/>
  <c r="BN118" i="30"/>
  <c r="BO121" i="30"/>
  <c r="BK125" i="30"/>
  <c r="BL128" i="30"/>
  <c r="BM131" i="30"/>
  <c r="BN134" i="30"/>
  <c r="BO137" i="30"/>
  <c r="BK145" i="30"/>
  <c r="BN146" i="30"/>
  <c r="BL148" i="30"/>
  <c r="BO149" i="30"/>
  <c r="BM151" i="30"/>
  <c r="BK153" i="30"/>
  <c r="BN154" i="30"/>
  <c r="BL156" i="30"/>
  <c r="BO157" i="30"/>
  <c r="BN158" i="30"/>
  <c r="BM159" i="30"/>
  <c r="BK242" i="30"/>
  <c r="BN243" i="30"/>
  <c r="BL245" i="30"/>
  <c r="BK246" i="30"/>
  <c r="BO246" i="30"/>
  <c r="BM248" i="30"/>
  <c r="BK250" i="30"/>
  <c r="BX250" i="29"/>
  <c r="K250" i="30" s="1"/>
  <c r="AR254" i="29"/>
  <c r="G254" i="30" s="1"/>
  <c r="BM256" i="30"/>
  <c r="AZ257" i="29"/>
  <c r="H257" i="30" s="1"/>
  <c r="AX261" i="30"/>
  <c r="BX261" i="29"/>
  <c r="K261" i="30" s="1"/>
  <c r="AV263" i="30"/>
  <c r="BH263" i="29"/>
  <c r="I263" i="30" s="1"/>
  <c r="BL268" i="30"/>
  <c r="AU270" i="30"/>
  <c r="AZ270" i="29"/>
  <c r="H270" i="30" s="1"/>
  <c r="BK271" i="30"/>
  <c r="AV273" i="30"/>
  <c r="BH273" i="29"/>
  <c r="I273" i="30" s="1"/>
  <c r="BL274" i="30"/>
  <c r="AW276" i="30"/>
  <c r="BP276" i="29"/>
  <c r="BM277" i="30"/>
  <c r="AX279" i="30"/>
  <c r="BX279" i="29"/>
  <c r="K279" i="30" s="1"/>
  <c r="BN280" i="30"/>
  <c r="AT283" i="30"/>
  <c r="AR283" i="29"/>
  <c r="G283" i="30" s="1"/>
  <c r="BO283" i="30"/>
  <c r="AU286" i="30"/>
  <c r="AZ286" i="29"/>
  <c r="H286" i="30" s="1"/>
  <c r="BK287" i="30"/>
  <c r="AV289" i="30"/>
  <c r="BH289" i="29"/>
  <c r="I289" i="30" s="1"/>
  <c r="BL290" i="30"/>
  <c r="BK301" i="30"/>
  <c r="AW335" i="30"/>
  <c r="BP335" i="29"/>
  <c r="AW336" i="30"/>
  <c r="BN336" i="30"/>
  <c r="BP336" i="29"/>
  <c r="AX338" i="30"/>
  <c r="BX338" i="29"/>
  <c r="K338" i="30" s="1"/>
  <c r="AX339" i="30"/>
  <c r="BO339" i="30"/>
  <c r="BX339" i="29"/>
  <c r="K339" i="30" s="1"/>
  <c r="AT342" i="30"/>
  <c r="AR342" i="29"/>
  <c r="G342" i="30" s="1"/>
  <c r="AT343" i="30"/>
  <c r="BK343" i="30"/>
  <c r="AR343" i="29"/>
  <c r="G343" i="30" s="1"/>
  <c r="AU345" i="30"/>
  <c r="AZ345" i="29"/>
  <c r="H345" i="30" s="1"/>
  <c r="AX346" i="30"/>
  <c r="BX346" i="29"/>
  <c r="K346" i="30" s="1"/>
  <c r="AV348" i="30"/>
  <c r="BH348" i="29"/>
  <c r="I348" i="30" s="1"/>
  <c r="AT350" i="30"/>
  <c r="AR350" i="29"/>
  <c r="G350" i="30" s="1"/>
  <c r="AW351" i="30"/>
  <c r="BP351" i="29"/>
  <c r="AU353" i="30"/>
  <c r="AZ353" i="29"/>
  <c r="H353" i="30" s="1"/>
  <c r="AX354" i="30"/>
  <c r="BX354" i="29"/>
  <c r="K354" i="30" s="1"/>
  <c r="AV356" i="30"/>
  <c r="BH356" i="29"/>
  <c r="I356" i="30" s="1"/>
  <c r="AV380" i="30"/>
  <c r="BH380" i="29"/>
  <c r="I380" i="30" s="1"/>
  <c r="BM380" i="30"/>
  <c r="AX386" i="30"/>
  <c r="BX386" i="29"/>
  <c r="K386" i="30" s="1"/>
  <c r="BO386" i="30"/>
  <c r="AU393" i="30"/>
  <c r="AZ393" i="29"/>
  <c r="H393" i="30" s="1"/>
  <c r="BL393" i="30"/>
  <c r="AW399" i="30"/>
  <c r="BP399" i="29"/>
  <c r="BN399" i="30"/>
  <c r="AT406" i="30"/>
  <c r="AR406" i="29"/>
  <c r="G406" i="30" s="1"/>
  <c r="BK406" i="30"/>
  <c r="AR269" i="29"/>
  <c r="G269" i="30" s="1"/>
  <c r="BX269" i="29"/>
  <c r="K269" i="30" s="1"/>
  <c r="BP270" i="29"/>
  <c r="BH271" i="29"/>
  <c r="I271" i="30" s="1"/>
  <c r="AZ272" i="29"/>
  <c r="H272" i="30" s="1"/>
  <c r="AR273" i="29"/>
  <c r="G273" i="30" s="1"/>
  <c r="BX273" i="29"/>
  <c r="K273" i="30" s="1"/>
  <c r="BP274" i="29"/>
  <c r="BH275" i="29"/>
  <c r="I275" i="30" s="1"/>
  <c r="AZ276" i="29"/>
  <c r="H276" i="30" s="1"/>
  <c r="AR277" i="29"/>
  <c r="G277" i="30" s="1"/>
  <c r="BX277" i="29"/>
  <c r="K277" i="30" s="1"/>
  <c r="BP278" i="29"/>
  <c r="BH279" i="29"/>
  <c r="I279" i="30" s="1"/>
  <c r="AZ280" i="29"/>
  <c r="H280" i="30" s="1"/>
  <c r="AR281" i="29"/>
  <c r="G281" i="30" s="1"/>
  <c r="BX281" i="29"/>
  <c r="K281" i="30" s="1"/>
  <c r="BP282" i="29"/>
  <c r="BH283" i="29"/>
  <c r="I283" i="30" s="1"/>
  <c r="AZ284" i="29"/>
  <c r="H284" i="30" s="1"/>
  <c r="AR285" i="29"/>
  <c r="G285" i="30" s="1"/>
  <c r="BX285" i="29"/>
  <c r="K285" i="30" s="1"/>
  <c r="BP286" i="29"/>
  <c r="BH287" i="29"/>
  <c r="I287" i="30" s="1"/>
  <c r="AZ288" i="29"/>
  <c r="H288" i="30" s="1"/>
  <c r="AR289" i="29"/>
  <c r="G289" i="30" s="1"/>
  <c r="BX289" i="29"/>
  <c r="K289" i="30" s="1"/>
  <c r="BP290" i="29"/>
  <c r="BH291" i="29"/>
  <c r="I291" i="30" s="1"/>
  <c r="AZ292" i="29"/>
  <c r="H292" i="30" s="1"/>
  <c r="AR293" i="29"/>
  <c r="G293" i="30" s="1"/>
  <c r="BX293" i="29"/>
  <c r="K293" i="30" s="1"/>
  <c r="BP294" i="29"/>
  <c r="BH295" i="29"/>
  <c r="AZ296" i="29"/>
  <c r="H296" i="30" s="1"/>
  <c r="AR297" i="29"/>
  <c r="G297" i="30" s="1"/>
  <c r="BX297" i="29"/>
  <c r="K297" i="30" s="1"/>
  <c r="BP298" i="29"/>
  <c r="BH299" i="29"/>
  <c r="I299" i="30" s="1"/>
  <c r="AZ300" i="29"/>
  <c r="H300" i="30" s="1"/>
  <c r="AR301" i="29"/>
  <c r="G301" i="30" s="1"/>
  <c r="BX301" i="29"/>
  <c r="K301" i="30" s="1"/>
  <c r="BX303" i="29"/>
  <c r="K303" i="30" s="1"/>
  <c r="BH305" i="29"/>
  <c r="I305" i="30" s="1"/>
  <c r="AZ306" i="29"/>
  <c r="H306" i="30" s="1"/>
  <c r="BX307" i="29"/>
  <c r="K307" i="30" s="1"/>
  <c r="AR310" i="29"/>
  <c r="BP311" i="29"/>
  <c r="AR313" i="29"/>
  <c r="G313" i="30" s="1"/>
  <c r="BL313" i="30"/>
  <c r="BP314" i="29"/>
  <c r="BP316" i="29"/>
  <c r="AZ318" i="29"/>
  <c r="H318" i="30" s="1"/>
  <c r="AR319" i="29"/>
  <c r="G319" i="30" s="1"/>
  <c r="BP320" i="29"/>
  <c r="BX322" i="29"/>
  <c r="K322" i="30" s="1"/>
  <c r="BX323" i="29"/>
  <c r="K323" i="30" s="1"/>
  <c r="BH324" i="29"/>
  <c r="I324" i="30" s="1"/>
  <c r="BH325" i="29"/>
  <c r="I325" i="30" s="1"/>
  <c r="AR326" i="29"/>
  <c r="G326" i="30" s="1"/>
  <c r="AR327" i="29"/>
  <c r="G327" i="30" s="1"/>
  <c r="BP327" i="29"/>
  <c r="BP328" i="29"/>
  <c r="AZ329" i="29"/>
  <c r="H329" i="30" s="1"/>
  <c r="AZ330" i="29"/>
  <c r="H330" i="30" s="1"/>
  <c r="BX330" i="29"/>
  <c r="K330" i="30" s="1"/>
  <c r="BX331" i="29"/>
  <c r="K331" i="30" s="1"/>
  <c r="BH332" i="29"/>
  <c r="I332" i="30" s="1"/>
  <c r="BH333" i="29"/>
  <c r="I333" i="30" s="1"/>
  <c r="AR334" i="29"/>
  <c r="G334" i="30" s="1"/>
  <c r="AR335" i="29"/>
  <c r="G335" i="30" s="1"/>
  <c r="AX335" i="30"/>
  <c r="BO335" i="30"/>
  <c r="BX335" i="29"/>
  <c r="K335" i="30" s="1"/>
  <c r="AT338" i="30"/>
  <c r="AR338" i="29"/>
  <c r="G338" i="30" s="1"/>
  <c r="AT339" i="30"/>
  <c r="BK339" i="30"/>
  <c r="AR339" i="29"/>
  <c r="G339" i="30" s="1"/>
  <c r="AU341" i="30"/>
  <c r="AZ341" i="29"/>
  <c r="H341" i="30" s="1"/>
  <c r="AU342" i="30"/>
  <c r="BL342" i="30"/>
  <c r="AZ342" i="29"/>
  <c r="H342" i="30" s="1"/>
  <c r="AV344" i="30"/>
  <c r="BH344" i="29"/>
  <c r="I344" i="30" s="1"/>
  <c r="AV345" i="30"/>
  <c r="BM345" i="30"/>
  <c r="BH345" i="29"/>
  <c r="I345" i="30" s="1"/>
  <c r="AU379" i="30"/>
  <c r="AZ379" i="29"/>
  <c r="H379" i="30" s="1"/>
  <c r="AU337" i="30"/>
  <c r="AZ337" i="29"/>
  <c r="H337" i="30" s="1"/>
  <c r="AU338" i="30"/>
  <c r="BL338" i="30"/>
  <c r="AZ338" i="29"/>
  <c r="H338" i="30" s="1"/>
  <c r="AV340" i="30"/>
  <c r="BH340" i="29"/>
  <c r="I340" i="30" s="1"/>
  <c r="AV341" i="30"/>
  <c r="BM341" i="30"/>
  <c r="BH341" i="29"/>
  <c r="I341" i="30" s="1"/>
  <c r="AW343" i="30"/>
  <c r="BP343" i="29"/>
  <c r="AW344" i="30"/>
  <c r="BN344" i="30"/>
  <c r="BP344" i="29"/>
  <c r="AU359" i="30"/>
  <c r="AZ359" i="29"/>
  <c r="H359" i="30" s="1"/>
  <c r="AW362" i="30"/>
  <c r="BN362" i="30"/>
  <c r="BP362" i="29"/>
  <c r="BK252" i="30"/>
  <c r="BM254" i="30"/>
  <c r="BL255" i="30"/>
  <c r="BM258" i="30"/>
  <c r="BK260" i="30"/>
  <c r="BO260" i="30"/>
  <c r="BK265" i="30"/>
  <c r="AR291" i="29"/>
  <c r="G291" i="30" s="1"/>
  <c r="BX291" i="29"/>
  <c r="K291" i="30" s="1"/>
  <c r="BP292" i="29"/>
  <c r="BH293" i="29"/>
  <c r="I293" i="30" s="1"/>
  <c r="AZ294" i="29"/>
  <c r="H294" i="30" s="1"/>
  <c r="AR295" i="29"/>
  <c r="G295" i="30" s="1"/>
  <c r="BX295" i="29"/>
  <c r="K295" i="30" s="1"/>
  <c r="BP296" i="29"/>
  <c r="BH297" i="29"/>
  <c r="I297" i="30" s="1"/>
  <c r="AZ298" i="29"/>
  <c r="H298" i="30" s="1"/>
  <c r="AR299" i="29"/>
  <c r="G299" i="30" s="1"/>
  <c r="BX299" i="29"/>
  <c r="K299" i="30" s="1"/>
  <c r="BP300" i="29"/>
  <c r="BH301" i="29"/>
  <c r="I301" i="30" s="1"/>
  <c r="BK303" i="30"/>
  <c r="BP303" i="29"/>
  <c r="BN304" i="30"/>
  <c r="AZ305" i="29"/>
  <c r="H305" i="30" s="1"/>
  <c r="BP306" i="29"/>
  <c r="AZ308" i="29"/>
  <c r="H308" i="30" s="1"/>
  <c r="BM308" i="30"/>
  <c r="AZ310" i="29"/>
  <c r="H310" i="30" s="1"/>
  <c r="BX311" i="29"/>
  <c r="K311" i="30" s="1"/>
  <c r="BP312" i="29"/>
  <c r="AZ314" i="29"/>
  <c r="H314" i="30" s="1"/>
  <c r="BH316" i="29"/>
  <c r="I316" i="30" s="1"/>
  <c r="BM317" i="30"/>
  <c r="AR318" i="29"/>
  <c r="BH319" i="29"/>
  <c r="I319" i="30" s="1"/>
  <c r="AR321" i="29"/>
  <c r="G321" i="30" s="1"/>
  <c r="AR323" i="29"/>
  <c r="G323" i="30" s="1"/>
  <c r="BP323" i="29"/>
  <c r="BP324" i="29"/>
  <c r="AZ325" i="29"/>
  <c r="H325" i="30" s="1"/>
  <c r="AZ326" i="29"/>
  <c r="H326" i="30" s="1"/>
  <c r="BX326" i="29"/>
  <c r="K326" i="30" s="1"/>
  <c r="BX327" i="29"/>
  <c r="K327" i="30" s="1"/>
  <c r="BH328" i="29"/>
  <c r="I328" i="30" s="1"/>
  <c r="BH329" i="29"/>
  <c r="I329" i="30" s="1"/>
  <c r="AR330" i="29"/>
  <c r="G330" i="30" s="1"/>
  <c r="AR331" i="29"/>
  <c r="G331" i="30" s="1"/>
  <c r="BP331" i="29"/>
  <c r="BP332" i="29"/>
  <c r="AZ333" i="29"/>
  <c r="H333" i="30" s="1"/>
  <c r="AZ334" i="29"/>
  <c r="H334" i="30" s="1"/>
  <c r="BX334" i="29"/>
  <c r="K334" i="30" s="1"/>
  <c r="BN335" i="30"/>
  <c r="AV336" i="30"/>
  <c r="BH336" i="29"/>
  <c r="I336" i="30" s="1"/>
  <c r="AV337" i="30"/>
  <c r="BM337" i="30"/>
  <c r="BH337" i="29"/>
  <c r="I337" i="30" s="1"/>
  <c r="BO338" i="30"/>
  <c r="AW339" i="30"/>
  <c r="BP339" i="29"/>
  <c r="AW340" i="30"/>
  <c r="BN340" i="30"/>
  <c r="BP340" i="29"/>
  <c r="BK342" i="30"/>
  <c r="AX342" i="30"/>
  <c r="BX342" i="29"/>
  <c r="K342" i="30" s="1"/>
  <c r="AX343" i="30"/>
  <c r="BO343" i="30"/>
  <c r="BX343" i="29"/>
  <c r="K343" i="30" s="1"/>
  <c r="BL345" i="30"/>
  <c r="AU346" i="30"/>
  <c r="BL346" i="30"/>
  <c r="AZ346" i="29"/>
  <c r="H346" i="30" s="1"/>
  <c r="BO346" i="30"/>
  <c r="AX347" i="30"/>
  <c r="BO347" i="30"/>
  <c r="BX347" i="29"/>
  <c r="K347" i="30" s="1"/>
  <c r="BM348" i="30"/>
  <c r="AV349" i="30"/>
  <c r="BM349" i="30"/>
  <c r="BH349" i="29"/>
  <c r="I349" i="30" s="1"/>
  <c r="BK350" i="30"/>
  <c r="AT351" i="30"/>
  <c r="BK351" i="30"/>
  <c r="AR351" i="29"/>
  <c r="G351" i="30" s="1"/>
  <c r="BN351" i="30"/>
  <c r="AW352" i="30"/>
  <c r="BN352" i="30"/>
  <c r="BP352" i="29"/>
  <c r="BL353" i="30"/>
  <c r="AU354" i="30"/>
  <c r="BL354" i="30"/>
  <c r="AZ354" i="29"/>
  <c r="H354" i="30" s="1"/>
  <c r="BO354" i="30"/>
  <c r="AX355" i="30"/>
  <c r="BO355" i="30"/>
  <c r="BX355" i="29"/>
  <c r="K355" i="30" s="1"/>
  <c r="BM356" i="30"/>
  <c r="AU363" i="30"/>
  <c r="BL363" i="30"/>
  <c r="AZ363" i="29"/>
  <c r="H363" i="30" s="1"/>
  <c r="AU367" i="30"/>
  <c r="AZ367" i="29"/>
  <c r="H367" i="30" s="1"/>
  <c r="BL367" i="30"/>
  <c r="AW342" i="30"/>
  <c r="AW358" i="30"/>
  <c r="AW365" i="30"/>
  <c r="BP365" i="29"/>
  <c r="AT369" i="30"/>
  <c r="AR369" i="29"/>
  <c r="G369" i="30" s="1"/>
  <c r="BK376" i="30"/>
  <c r="AU377" i="30"/>
  <c r="AZ377" i="29"/>
  <c r="H377" i="30" s="1"/>
  <c r="AU385" i="30"/>
  <c r="AZ385" i="29"/>
  <c r="H385" i="30" s="1"/>
  <c r="BL385" i="30"/>
  <c r="AW391" i="30"/>
  <c r="BP391" i="29"/>
  <c r="BN391" i="30"/>
  <c r="AT398" i="30"/>
  <c r="AR398" i="29"/>
  <c r="G398" i="30" s="1"/>
  <c r="BK398" i="30"/>
  <c r="AV404" i="30"/>
  <c r="BH404" i="29"/>
  <c r="I404" i="30" s="1"/>
  <c r="BM404" i="30"/>
  <c r="AW409" i="30"/>
  <c r="BP409" i="29"/>
  <c r="BN409" i="30"/>
  <c r="AU415" i="30"/>
  <c r="AZ415" i="29"/>
  <c r="H415" i="30" s="1"/>
  <c r="BL415" i="30"/>
  <c r="AX415" i="30"/>
  <c r="BX415" i="29"/>
  <c r="K415" i="30" s="1"/>
  <c r="AU360" i="30"/>
  <c r="AZ360" i="29"/>
  <c r="H360" i="30" s="1"/>
  <c r="AT364" i="30"/>
  <c r="AR364" i="29"/>
  <c r="G364" i="30" s="1"/>
  <c r="AT374" i="30"/>
  <c r="AR374" i="29"/>
  <c r="G374" i="30" s="1"/>
  <c r="AT378" i="30"/>
  <c r="AR378" i="29"/>
  <c r="G378" i="30" s="1"/>
  <c r="BK378" i="30"/>
  <c r="AV378" i="30"/>
  <c r="BH378" i="29"/>
  <c r="I378" i="30" s="1"/>
  <c r="AW383" i="30"/>
  <c r="BP383" i="29"/>
  <c r="BN383" i="30"/>
  <c r="AT390" i="30"/>
  <c r="AR390" i="29"/>
  <c r="G390" i="30" s="1"/>
  <c r="BK390" i="30"/>
  <c r="AV396" i="30"/>
  <c r="BH396" i="29"/>
  <c r="I396" i="30" s="1"/>
  <c r="BM396" i="30"/>
  <c r="AX402" i="30"/>
  <c r="BX402" i="29"/>
  <c r="K402" i="30" s="1"/>
  <c r="BO402" i="30"/>
  <c r="BM413" i="30"/>
  <c r="BH413" i="29"/>
  <c r="I413" i="30" s="1"/>
  <c r="AV413" i="30"/>
  <c r="AR346" i="29"/>
  <c r="G346" i="30" s="1"/>
  <c r="AR347" i="29"/>
  <c r="G347" i="30" s="1"/>
  <c r="BP347" i="29"/>
  <c r="BP348" i="29"/>
  <c r="AZ349" i="29"/>
  <c r="H349" i="30" s="1"/>
  <c r="AZ350" i="29"/>
  <c r="H350" i="30" s="1"/>
  <c r="BX350" i="29"/>
  <c r="K350" i="30" s="1"/>
  <c r="BX351" i="29"/>
  <c r="K351" i="30" s="1"/>
  <c r="BH352" i="29"/>
  <c r="I352" i="30" s="1"/>
  <c r="BH353" i="29"/>
  <c r="I353" i="30" s="1"/>
  <c r="AR354" i="29"/>
  <c r="G354" i="30" s="1"/>
  <c r="AR355" i="29"/>
  <c r="G355" i="30" s="1"/>
  <c r="BP355" i="29"/>
  <c r="BP356" i="29"/>
  <c r="BX357" i="29"/>
  <c r="K357" i="30" s="1"/>
  <c r="BH358" i="29"/>
  <c r="I358" i="30" s="1"/>
  <c r="AV362" i="30"/>
  <c r="BH362" i="29"/>
  <c r="I362" i="30" s="1"/>
  <c r="BX365" i="29"/>
  <c r="K365" i="30" s="1"/>
  <c r="BH366" i="29"/>
  <c r="I366" i="30" s="1"/>
  <c r="AU368" i="30"/>
  <c r="BL368" i="30"/>
  <c r="AZ368" i="29"/>
  <c r="H368" i="30" s="1"/>
  <c r="BP369" i="29"/>
  <c r="AZ371" i="29"/>
  <c r="H371" i="30" s="1"/>
  <c r="BX372" i="29"/>
  <c r="K372" i="30" s="1"/>
  <c r="AX374" i="30"/>
  <c r="BX374" i="29"/>
  <c r="K374" i="30" s="1"/>
  <c r="BO374" i="30"/>
  <c r="AU375" i="30"/>
  <c r="AZ375" i="29"/>
  <c r="H375" i="30" s="1"/>
  <c r="AT382" i="30"/>
  <c r="AR382" i="29"/>
  <c r="G382" i="30" s="1"/>
  <c r="BK382" i="30"/>
  <c r="AV388" i="30"/>
  <c r="BH388" i="29"/>
  <c r="I388" i="30" s="1"/>
  <c r="BM388" i="30"/>
  <c r="AX394" i="30"/>
  <c r="BX394" i="29"/>
  <c r="K394" i="30" s="1"/>
  <c r="BO394" i="30"/>
  <c r="AU401" i="30"/>
  <c r="AZ401" i="29"/>
  <c r="H401" i="30" s="1"/>
  <c r="BL401" i="30"/>
  <c r="AT408" i="30"/>
  <c r="AR408" i="29"/>
  <c r="G408" i="30" s="1"/>
  <c r="BK408" i="30"/>
  <c r="AW408" i="30"/>
  <c r="BP408" i="29"/>
  <c r="AU414" i="30"/>
  <c r="AZ414" i="29"/>
  <c r="H414" i="30" s="1"/>
  <c r="AU373" i="30"/>
  <c r="AZ373" i="29"/>
  <c r="H373" i="30" s="1"/>
  <c r="AV376" i="30"/>
  <c r="BH376" i="29"/>
  <c r="I376" i="30" s="1"/>
  <c r="AW379" i="30"/>
  <c r="BP379" i="29"/>
  <c r="AU381" i="30"/>
  <c r="AZ381" i="29"/>
  <c r="H381" i="30" s="1"/>
  <c r="AX382" i="30"/>
  <c r="BX382" i="29"/>
  <c r="K382" i="30" s="1"/>
  <c r="AV384" i="30"/>
  <c r="BH384" i="29"/>
  <c r="I384" i="30" s="1"/>
  <c r="AT386" i="30"/>
  <c r="AR386" i="29"/>
  <c r="G386" i="30" s="1"/>
  <c r="AW387" i="30"/>
  <c r="BP387" i="29"/>
  <c r="AU389" i="30"/>
  <c r="AZ389" i="29"/>
  <c r="H389" i="30" s="1"/>
  <c r="AX390" i="30"/>
  <c r="BX390" i="29"/>
  <c r="K390" i="30" s="1"/>
  <c r="AV392" i="30"/>
  <c r="BH392" i="29"/>
  <c r="I392" i="30" s="1"/>
  <c r="AT394" i="30"/>
  <c r="AR394" i="29"/>
  <c r="G394" i="30" s="1"/>
  <c r="AW395" i="30"/>
  <c r="BP395" i="29"/>
  <c r="AU397" i="30"/>
  <c r="AZ397" i="29"/>
  <c r="H397" i="30" s="1"/>
  <c r="AX398" i="30"/>
  <c r="BX398" i="29"/>
  <c r="K398" i="30" s="1"/>
  <c r="AV400" i="30"/>
  <c r="BH400" i="29"/>
  <c r="I400" i="30" s="1"/>
  <c r="AT402" i="30"/>
  <c r="AR402" i="29"/>
  <c r="G402" i="30" s="1"/>
  <c r="AW403" i="30"/>
  <c r="BP403" i="29"/>
  <c r="AU405" i="30"/>
  <c r="AZ405" i="29"/>
  <c r="H405" i="30" s="1"/>
  <c r="BK407" i="30"/>
  <c r="AT407" i="30"/>
  <c r="AR407" i="29"/>
  <c r="G407" i="30" s="1"/>
  <c r="AX408" i="30"/>
  <c r="BX408" i="29"/>
  <c r="K408" i="30" s="1"/>
  <c r="AV414" i="30"/>
  <c r="BH414" i="29"/>
  <c r="I414" i="30" s="1"/>
  <c r="AT416" i="30"/>
  <c r="AR416" i="29"/>
  <c r="G416" i="30" s="1"/>
  <c r="BO419" i="30"/>
  <c r="AX419" i="30"/>
  <c r="BX419" i="29"/>
  <c r="K419" i="30" s="1"/>
  <c r="BM359" i="30"/>
  <c r="BX369" i="29"/>
  <c r="K369" i="30" s="1"/>
  <c r="BP370" i="29"/>
  <c r="BH371" i="29"/>
  <c r="I371" i="30" s="1"/>
  <c r="AZ372" i="29"/>
  <c r="H372" i="30" s="1"/>
  <c r="BH374" i="29"/>
  <c r="I374" i="30" s="1"/>
  <c r="AW375" i="30"/>
  <c r="BP375" i="29"/>
  <c r="BP377" i="29"/>
  <c r="AX378" i="30"/>
  <c r="BX378" i="29"/>
  <c r="K378" i="30" s="1"/>
  <c r="BH410" i="29"/>
  <c r="I410" i="30" s="1"/>
  <c r="BP420" i="29"/>
  <c r="AX420" i="30"/>
  <c r="BX420" i="29"/>
  <c r="K420" i="30" s="1"/>
  <c r="BO368" i="30"/>
  <c r="AU410" i="30"/>
  <c r="BO380" i="30"/>
  <c r="BM382" i="30"/>
  <c r="BK384" i="30"/>
  <c r="BO384" i="30"/>
  <c r="BM386" i="30"/>
  <c r="BL387" i="30"/>
  <c r="BO388" i="30"/>
  <c r="BL391" i="30"/>
  <c r="BN393" i="30"/>
  <c r="BN397" i="30"/>
  <c r="BK400" i="30"/>
  <c r="BK404" i="30"/>
  <c r="BM406" i="30"/>
  <c r="BL411" i="30"/>
  <c r="BO412" i="30"/>
  <c r="BN417" i="30"/>
  <c r="AR420" i="29"/>
  <c r="G420" i="30" s="1"/>
  <c r="AX2" i="30"/>
  <c r="AW2" i="30"/>
  <c r="AV60" i="30"/>
  <c r="BM60" i="30"/>
  <c r="BH60" i="29"/>
  <c r="I60" i="30" s="1"/>
  <c r="AW63" i="30"/>
  <c r="BN63" i="30"/>
  <c r="BP63" i="29"/>
  <c r="AX66" i="30"/>
  <c r="BO66" i="30"/>
  <c r="BX66" i="29"/>
  <c r="K66" i="30" s="1"/>
  <c r="AU69" i="30"/>
  <c r="BL69" i="30"/>
  <c r="AZ69" i="29"/>
  <c r="H69" i="30" s="1"/>
  <c r="AX70" i="30"/>
  <c r="BO70" i="30"/>
  <c r="BX70" i="29"/>
  <c r="K70" i="30" s="1"/>
  <c r="AV72" i="30"/>
  <c r="BM72" i="30"/>
  <c r="BH72" i="29"/>
  <c r="I72" i="30" s="1"/>
  <c r="AT74" i="30"/>
  <c r="BK74" i="30"/>
  <c r="AR74" i="29"/>
  <c r="G74" i="30" s="1"/>
  <c r="AW75" i="30"/>
  <c r="BN75" i="30"/>
  <c r="BP75" i="29"/>
  <c r="AU77" i="30"/>
  <c r="BL77" i="30"/>
  <c r="AZ77" i="29"/>
  <c r="H77" i="30" s="1"/>
  <c r="AX78" i="30"/>
  <c r="BO78" i="30"/>
  <c r="BX78" i="29"/>
  <c r="K78" i="30" s="1"/>
  <c r="AV80" i="30"/>
  <c r="BM80" i="30"/>
  <c r="BH80" i="29"/>
  <c r="I80" i="30" s="1"/>
  <c r="AT82" i="30"/>
  <c r="BK82" i="30"/>
  <c r="AR82" i="29"/>
  <c r="G82" i="30" s="1"/>
  <c r="AW83" i="30"/>
  <c r="BN83" i="30"/>
  <c r="BP83" i="29"/>
  <c r="AU85" i="30"/>
  <c r="BL85" i="30"/>
  <c r="AZ85" i="29"/>
  <c r="H85" i="30" s="1"/>
  <c r="AX86" i="30"/>
  <c r="BO86" i="30"/>
  <c r="BX86" i="29"/>
  <c r="K86" i="30" s="1"/>
  <c r="AV88" i="30"/>
  <c r="BM88" i="30"/>
  <c r="BH88" i="29"/>
  <c r="I88" i="30" s="1"/>
  <c r="AT90" i="30"/>
  <c r="BK90" i="30"/>
  <c r="AR90" i="29"/>
  <c r="G90" i="30" s="1"/>
  <c r="AW91" i="30"/>
  <c r="BN91" i="30"/>
  <c r="BP91" i="29"/>
  <c r="AU93" i="30"/>
  <c r="BL93" i="30"/>
  <c r="AZ93" i="29"/>
  <c r="H93" i="30" s="1"/>
  <c r="AX94" i="30"/>
  <c r="BO94" i="30"/>
  <c r="BX94" i="29"/>
  <c r="K94" i="30" s="1"/>
  <c r="AV96" i="30"/>
  <c r="BM96" i="30"/>
  <c r="BH96" i="29"/>
  <c r="I96" i="30" s="1"/>
  <c r="AT98" i="30"/>
  <c r="BK98" i="30"/>
  <c r="AR98" i="29"/>
  <c r="G98" i="30" s="1"/>
  <c r="AW99" i="30"/>
  <c r="BN99" i="30"/>
  <c r="BP99" i="29"/>
  <c r="AU101" i="30"/>
  <c r="BL101" i="30"/>
  <c r="AZ101" i="29"/>
  <c r="H101" i="30" s="1"/>
  <c r="AX102" i="30"/>
  <c r="BO102" i="30"/>
  <c r="BX102" i="29"/>
  <c r="K102" i="30" s="1"/>
  <c r="AV104" i="30"/>
  <c r="BM104" i="30"/>
  <c r="BH104" i="29"/>
  <c r="I104" i="30" s="1"/>
  <c r="AT106" i="30"/>
  <c r="BK106" i="30"/>
  <c r="AR106" i="29"/>
  <c r="G106" i="30" s="1"/>
  <c r="AW107" i="30"/>
  <c r="BN107" i="30"/>
  <c r="BP107" i="29"/>
  <c r="AU109" i="30"/>
  <c r="BL109" i="30"/>
  <c r="AZ109" i="29"/>
  <c r="H109" i="30" s="1"/>
  <c r="AX110" i="30"/>
  <c r="BO110" i="30"/>
  <c r="BX110" i="29"/>
  <c r="K110" i="30" s="1"/>
  <c r="AV112" i="30"/>
  <c r="BM112" i="30"/>
  <c r="BH112" i="29"/>
  <c r="I112" i="30" s="1"/>
  <c r="AT114" i="30"/>
  <c r="BK114" i="30"/>
  <c r="AR114" i="29"/>
  <c r="G114" i="30" s="1"/>
  <c r="AW115" i="30"/>
  <c r="BN115" i="30"/>
  <c r="BP115" i="29"/>
  <c r="AU117" i="30"/>
  <c r="BL117" i="30"/>
  <c r="AZ117" i="29"/>
  <c r="H117" i="30" s="1"/>
  <c r="AX118" i="30"/>
  <c r="BO118" i="30"/>
  <c r="BX118" i="29"/>
  <c r="K118" i="30" s="1"/>
  <c r="AV120" i="30"/>
  <c r="BM120" i="30"/>
  <c r="BH120" i="29"/>
  <c r="I120" i="30" s="1"/>
  <c r="AT122" i="30"/>
  <c r="BK122" i="30"/>
  <c r="AR122" i="29"/>
  <c r="G122" i="30" s="1"/>
  <c r="AW123" i="30"/>
  <c r="BN123" i="30"/>
  <c r="BP123" i="29"/>
  <c r="AU125" i="30"/>
  <c r="BL125" i="30"/>
  <c r="AZ125" i="29"/>
  <c r="H125" i="30" s="1"/>
  <c r="AX126" i="30"/>
  <c r="BO126" i="30"/>
  <c r="BX126" i="29"/>
  <c r="K126" i="30" s="1"/>
  <c r="AV128" i="30"/>
  <c r="BM128" i="30"/>
  <c r="BH128" i="29"/>
  <c r="I128" i="30" s="1"/>
  <c r="AT130" i="30"/>
  <c r="BK130" i="30"/>
  <c r="AR130" i="29"/>
  <c r="G130" i="30" s="1"/>
  <c r="AW131" i="30"/>
  <c r="BN131" i="30"/>
  <c r="BP131" i="29"/>
  <c r="AU133" i="30"/>
  <c r="BL133" i="30"/>
  <c r="AZ133" i="29"/>
  <c r="H133" i="30" s="1"/>
  <c r="AX134" i="30"/>
  <c r="BO134" i="30"/>
  <c r="BX134" i="29"/>
  <c r="K134" i="30" s="1"/>
  <c r="AV136" i="30"/>
  <c r="BM136" i="30"/>
  <c r="BH136" i="29"/>
  <c r="I136" i="30" s="1"/>
  <c r="AT138" i="30"/>
  <c r="BK138" i="30"/>
  <c r="AR138" i="29"/>
  <c r="G138" i="30" s="1"/>
  <c r="AW139" i="30"/>
  <c r="BN139" i="30"/>
  <c r="BP139" i="29"/>
  <c r="AU141" i="30"/>
  <c r="BL141" i="30"/>
  <c r="AZ141" i="29"/>
  <c r="H141" i="30" s="1"/>
  <c r="AX142" i="30"/>
  <c r="BO142" i="30"/>
  <c r="BX142" i="29"/>
  <c r="K142" i="30" s="1"/>
  <c r="AV144" i="30"/>
  <c r="BM144" i="30"/>
  <c r="BH144" i="29"/>
  <c r="I144" i="30" s="1"/>
  <c r="AT146" i="30"/>
  <c r="BK146" i="30"/>
  <c r="AR146" i="29"/>
  <c r="G146" i="30" s="1"/>
  <c r="AW147" i="30"/>
  <c r="BN147" i="30"/>
  <c r="BP147" i="29"/>
  <c r="AU149" i="30"/>
  <c r="BL149" i="30"/>
  <c r="AZ149" i="29"/>
  <c r="H149" i="30" s="1"/>
  <c r="AX150" i="30"/>
  <c r="BO150" i="30"/>
  <c r="BX150" i="29"/>
  <c r="K150" i="30" s="1"/>
  <c r="AV152" i="30"/>
  <c r="BM152" i="30"/>
  <c r="BH152" i="29"/>
  <c r="I152" i="30" s="1"/>
  <c r="AT154" i="30"/>
  <c r="BK154" i="30"/>
  <c r="AR154" i="29"/>
  <c r="G154" i="30" s="1"/>
  <c r="AW155" i="30"/>
  <c r="BN155" i="30"/>
  <c r="BP155" i="29"/>
  <c r="AU157" i="30"/>
  <c r="BL157" i="30"/>
  <c r="AZ157" i="29"/>
  <c r="H157" i="30" s="1"/>
  <c r="AX158" i="30"/>
  <c r="BO158" i="30"/>
  <c r="BX158" i="29"/>
  <c r="K158" i="30" s="1"/>
  <c r="I160" i="30"/>
  <c r="AT243" i="30"/>
  <c r="BK243" i="30"/>
  <c r="AR243" i="29"/>
  <c r="G243" i="30" s="1"/>
  <c r="AW244" i="30"/>
  <c r="BN244" i="30"/>
  <c r="BP244" i="29"/>
  <c r="AU246" i="30"/>
  <c r="BL246" i="30"/>
  <c r="AZ246" i="29"/>
  <c r="H246" i="30" s="1"/>
  <c r="AX247" i="30"/>
  <c r="BO247" i="30"/>
  <c r="BX247" i="29"/>
  <c r="K247" i="30" s="1"/>
  <c r="AV249" i="30"/>
  <c r="BM249" i="30"/>
  <c r="BH249" i="29"/>
  <c r="I249" i="30" s="1"/>
  <c r="AT251" i="30"/>
  <c r="BK251" i="30"/>
  <c r="AR251" i="29"/>
  <c r="G251" i="30" s="1"/>
  <c r="AW252" i="30"/>
  <c r="BN252" i="30"/>
  <c r="BP252" i="29"/>
  <c r="AU254" i="30"/>
  <c r="BL254" i="30"/>
  <c r="AZ254" i="29"/>
  <c r="H254" i="30" s="1"/>
  <c r="AX255" i="30"/>
  <c r="BO255" i="30"/>
  <c r="BX255" i="29"/>
  <c r="K255" i="30" s="1"/>
  <c r="AV257" i="30"/>
  <c r="BM257" i="30"/>
  <c r="BH257" i="29"/>
  <c r="I257" i="30" s="1"/>
  <c r="AT259" i="30"/>
  <c r="BK259" i="30"/>
  <c r="AR259" i="29"/>
  <c r="G259" i="30" s="1"/>
  <c r="AW260" i="30"/>
  <c r="BN260" i="30"/>
  <c r="BP260" i="29"/>
  <c r="AT263" i="30"/>
  <c r="AR263" i="29"/>
  <c r="G263" i="30" s="1"/>
  <c r="AW263" i="30"/>
  <c r="BN263" i="30"/>
  <c r="BP263" i="29"/>
  <c r="AX264" i="30"/>
  <c r="BO264" i="30"/>
  <c r="BX264" i="29"/>
  <c r="K264" i="30" s="1"/>
  <c r="AX270" i="30"/>
  <c r="BO270" i="30"/>
  <c r="BX270" i="29"/>
  <c r="K270" i="30" s="1"/>
  <c r="AT274" i="30"/>
  <c r="BK274" i="30"/>
  <c r="AR274" i="29"/>
  <c r="G274" i="30" s="1"/>
  <c r="AU277" i="30"/>
  <c r="BL277" i="30"/>
  <c r="AZ277" i="29"/>
  <c r="H277" i="30" s="1"/>
  <c r="AV280" i="30"/>
  <c r="BM280" i="30"/>
  <c r="BH280" i="29"/>
  <c r="I280" i="30" s="1"/>
  <c r="AW283" i="30"/>
  <c r="BN283" i="30"/>
  <c r="BP283" i="29"/>
  <c r="AX286" i="30"/>
  <c r="BO286" i="30"/>
  <c r="BX286" i="29"/>
  <c r="K286" i="30" s="1"/>
  <c r="AT290" i="30"/>
  <c r="BK290" i="30"/>
  <c r="AR290" i="29"/>
  <c r="G290" i="30" s="1"/>
  <c r="AU293" i="30"/>
  <c r="BL293" i="30"/>
  <c r="AZ293" i="29"/>
  <c r="H293" i="30" s="1"/>
  <c r="AV296" i="30"/>
  <c r="BM296" i="30"/>
  <c r="BH296" i="29"/>
  <c r="I296" i="30" s="1"/>
  <c r="AW299" i="30"/>
  <c r="BN299" i="30"/>
  <c r="BP299" i="29"/>
  <c r="AX302" i="30"/>
  <c r="BO302" i="30"/>
  <c r="BX302" i="29"/>
  <c r="K302" i="30" s="1"/>
  <c r="AX304" i="30"/>
  <c r="BO304" i="30"/>
  <c r="BX304" i="29"/>
  <c r="K304" i="30" s="1"/>
  <c r="AV307" i="30"/>
  <c r="BH307" i="29"/>
  <c r="I307" i="30" s="1"/>
  <c r="BM307" i="30"/>
  <c r="AW315" i="30"/>
  <c r="BN315" i="30"/>
  <c r="BP315" i="29"/>
  <c r="AW317" i="30"/>
  <c r="BN317" i="30"/>
  <c r="BP317" i="29"/>
  <c r="AU320" i="30"/>
  <c r="AZ320" i="29"/>
  <c r="H320" i="30" s="1"/>
  <c r="BL320" i="30"/>
  <c r="AX389" i="30"/>
  <c r="BO389" i="30"/>
  <c r="BX389" i="29"/>
  <c r="K389" i="30" s="1"/>
  <c r="AV2" i="30"/>
  <c r="BP2" i="29"/>
  <c r="BH3" i="29"/>
  <c r="I3" i="30" s="1"/>
  <c r="BX3" i="29"/>
  <c r="K3" i="30" s="1"/>
  <c r="AZ4" i="29"/>
  <c r="H4" i="30" s="1"/>
  <c r="AZ7" i="29"/>
  <c r="H7" i="30" s="1"/>
  <c r="AR14" i="29"/>
  <c r="G14" i="30" s="1"/>
  <c r="BX14" i="29"/>
  <c r="K14" i="30" s="1"/>
  <c r="BP15" i="29"/>
  <c r="BH16" i="29"/>
  <c r="I16" i="30" s="1"/>
  <c r="AZ17" i="29"/>
  <c r="H17" i="30" s="1"/>
  <c r="AR18" i="29"/>
  <c r="G18" i="30" s="1"/>
  <c r="BX18" i="29"/>
  <c r="K18" i="30" s="1"/>
  <c r="BP19" i="29"/>
  <c r="BH20" i="29"/>
  <c r="I20" i="30" s="1"/>
  <c r="AZ21" i="29"/>
  <c r="H21" i="30" s="1"/>
  <c r="AR22" i="29"/>
  <c r="G22" i="30" s="1"/>
  <c r="BX22" i="29"/>
  <c r="K22" i="30" s="1"/>
  <c r="BP23" i="29"/>
  <c r="BH24" i="29"/>
  <c r="I24" i="30" s="1"/>
  <c r="AZ25" i="29"/>
  <c r="H25" i="30" s="1"/>
  <c r="BM26" i="30"/>
  <c r="BP29" i="29"/>
  <c r="BH30" i="29"/>
  <c r="I30" i="30" s="1"/>
  <c r="AZ31" i="29"/>
  <c r="H31" i="30" s="1"/>
  <c r="AZ34" i="29"/>
  <c r="H34" i="30" s="1"/>
  <c r="AR35" i="29"/>
  <c r="G35" i="30" s="1"/>
  <c r="BX35" i="29"/>
  <c r="K35" i="30" s="1"/>
  <c r="BP36" i="29"/>
  <c r="BH37" i="29"/>
  <c r="I37" i="30" s="1"/>
  <c r="AZ38" i="29"/>
  <c r="H38" i="30" s="1"/>
  <c r="AR39" i="29"/>
  <c r="G39" i="30" s="1"/>
  <c r="BX39" i="29"/>
  <c r="K39" i="30" s="1"/>
  <c r="BP40" i="29"/>
  <c r="BH41" i="29"/>
  <c r="I41" i="30" s="1"/>
  <c r="AZ42" i="29"/>
  <c r="H42" i="30" s="1"/>
  <c r="AR43" i="29"/>
  <c r="G43" i="30" s="1"/>
  <c r="BP43" i="29"/>
  <c r="BH44" i="29"/>
  <c r="I44" i="30" s="1"/>
  <c r="AZ45" i="29"/>
  <c r="H45" i="30" s="1"/>
  <c r="BX45" i="29"/>
  <c r="K45" i="30" s="1"/>
  <c r="BP46" i="29"/>
  <c r="BH47" i="29"/>
  <c r="I47" i="30" s="1"/>
  <c r="AZ48" i="29"/>
  <c r="H48" i="30" s="1"/>
  <c r="AR49" i="29"/>
  <c r="G49" i="30" s="1"/>
  <c r="BX49" i="29"/>
  <c r="K49" i="30" s="1"/>
  <c r="BP51" i="29"/>
  <c r="BH54" i="29"/>
  <c r="I54" i="30" s="1"/>
  <c r="AZ55" i="29"/>
  <c r="H55" i="30" s="1"/>
  <c r="AR56" i="29"/>
  <c r="G56" i="30" s="1"/>
  <c r="BX56" i="29"/>
  <c r="K56" i="30" s="1"/>
  <c r="BP57" i="29"/>
  <c r="BH58" i="29"/>
  <c r="I58" i="30" s="1"/>
  <c r="BX59" i="29"/>
  <c r="K59" i="30" s="1"/>
  <c r="AU61" i="30"/>
  <c r="BL61" i="30"/>
  <c r="AZ61" i="29"/>
  <c r="H61" i="30" s="1"/>
  <c r="BP61" i="29"/>
  <c r="AR63" i="29"/>
  <c r="G63" i="30" s="1"/>
  <c r="BO63" i="30"/>
  <c r="AV64" i="30"/>
  <c r="BM64" i="30"/>
  <c r="BH64" i="29"/>
  <c r="I64" i="30" s="1"/>
  <c r="BX64" i="29"/>
  <c r="K64" i="30" s="1"/>
  <c r="AZ66" i="29"/>
  <c r="H66" i="30" s="1"/>
  <c r="BK67" i="30"/>
  <c r="AW67" i="30"/>
  <c r="BN67" i="30"/>
  <c r="BP67" i="29"/>
  <c r="AR68" i="29"/>
  <c r="G68" i="30" s="1"/>
  <c r="AX68" i="30"/>
  <c r="BO68" i="30"/>
  <c r="BX68" i="29"/>
  <c r="K68" i="30" s="1"/>
  <c r="AV70" i="30"/>
  <c r="BM70" i="30"/>
  <c r="BH70" i="29"/>
  <c r="I70" i="30" s="1"/>
  <c r="AT72" i="30"/>
  <c r="BK72" i="30"/>
  <c r="AR72" i="29"/>
  <c r="G72" i="30" s="1"/>
  <c r="AW73" i="30"/>
  <c r="BN73" i="30"/>
  <c r="BP73" i="29"/>
  <c r="AU75" i="30"/>
  <c r="BL75" i="30"/>
  <c r="AZ75" i="29"/>
  <c r="H75" i="30" s="1"/>
  <c r="AX76" i="30"/>
  <c r="BO76" i="30"/>
  <c r="BX76" i="29"/>
  <c r="K76" i="30" s="1"/>
  <c r="AV78" i="30"/>
  <c r="BM78" i="30"/>
  <c r="BH78" i="29"/>
  <c r="I78" i="30" s="1"/>
  <c r="AT80" i="30"/>
  <c r="BK80" i="30"/>
  <c r="AR80" i="29"/>
  <c r="G80" i="30" s="1"/>
  <c r="AW81" i="30"/>
  <c r="BN81" i="30"/>
  <c r="BP81" i="29"/>
  <c r="AU83" i="30"/>
  <c r="BL83" i="30"/>
  <c r="AZ83" i="29"/>
  <c r="H83" i="30" s="1"/>
  <c r="AX84" i="30"/>
  <c r="BO84" i="30"/>
  <c r="BX84" i="29"/>
  <c r="K84" i="30" s="1"/>
  <c r="AV86" i="30"/>
  <c r="BM86" i="30"/>
  <c r="BH86" i="29"/>
  <c r="I86" i="30" s="1"/>
  <c r="AT88" i="30"/>
  <c r="BK88" i="30"/>
  <c r="AR88" i="29"/>
  <c r="G88" i="30" s="1"/>
  <c r="AW89" i="30"/>
  <c r="BN89" i="30"/>
  <c r="BP89" i="29"/>
  <c r="AU91" i="30"/>
  <c r="BL91" i="30"/>
  <c r="AZ91" i="29"/>
  <c r="H91" i="30" s="1"/>
  <c r="AX92" i="30"/>
  <c r="BO92" i="30"/>
  <c r="BX92" i="29"/>
  <c r="K92" i="30" s="1"/>
  <c r="AV94" i="30"/>
  <c r="BM94" i="30"/>
  <c r="BH94" i="29"/>
  <c r="I94" i="30" s="1"/>
  <c r="AT96" i="30"/>
  <c r="BK96" i="30"/>
  <c r="AR96" i="29"/>
  <c r="G96" i="30" s="1"/>
  <c r="AW97" i="30"/>
  <c r="BN97" i="30"/>
  <c r="BP97" i="29"/>
  <c r="AU99" i="30"/>
  <c r="BL99" i="30"/>
  <c r="AZ99" i="29"/>
  <c r="H99" i="30" s="1"/>
  <c r="AX100" i="30"/>
  <c r="BO100" i="30"/>
  <c r="BX100" i="29"/>
  <c r="K100" i="30" s="1"/>
  <c r="AV102" i="30"/>
  <c r="BM102" i="30"/>
  <c r="BH102" i="29"/>
  <c r="I102" i="30" s="1"/>
  <c r="AT104" i="30"/>
  <c r="BK104" i="30"/>
  <c r="AR104" i="29"/>
  <c r="G104" i="30" s="1"/>
  <c r="AW105" i="30"/>
  <c r="BN105" i="30"/>
  <c r="BP105" i="29"/>
  <c r="AU107" i="30"/>
  <c r="BL107" i="30"/>
  <c r="AZ107" i="29"/>
  <c r="H107" i="30" s="1"/>
  <c r="AX108" i="30"/>
  <c r="BO108" i="30"/>
  <c r="BX108" i="29"/>
  <c r="K108" i="30" s="1"/>
  <c r="AV110" i="30"/>
  <c r="BM110" i="30"/>
  <c r="BH110" i="29"/>
  <c r="I110" i="30" s="1"/>
  <c r="AT112" i="30"/>
  <c r="BK112" i="30"/>
  <c r="AR112" i="29"/>
  <c r="G112" i="30" s="1"/>
  <c r="AW113" i="30"/>
  <c r="BN113" i="30"/>
  <c r="BP113" i="29"/>
  <c r="AU115" i="30"/>
  <c r="BL115" i="30"/>
  <c r="AZ115" i="29"/>
  <c r="H115" i="30" s="1"/>
  <c r="AX116" i="30"/>
  <c r="BO116" i="30"/>
  <c r="BX116" i="29"/>
  <c r="K116" i="30" s="1"/>
  <c r="AV118" i="30"/>
  <c r="BM118" i="30"/>
  <c r="BH118" i="29"/>
  <c r="I118" i="30" s="1"/>
  <c r="AT120" i="30"/>
  <c r="BK120" i="30"/>
  <c r="AR120" i="29"/>
  <c r="G120" i="30" s="1"/>
  <c r="AW121" i="30"/>
  <c r="BN121" i="30"/>
  <c r="BP121" i="29"/>
  <c r="AU123" i="30"/>
  <c r="BL123" i="30"/>
  <c r="AZ123" i="29"/>
  <c r="H123" i="30" s="1"/>
  <c r="AX124" i="30"/>
  <c r="BO124" i="30"/>
  <c r="BX124" i="29"/>
  <c r="K124" i="30" s="1"/>
  <c r="AV126" i="30"/>
  <c r="BM126" i="30"/>
  <c r="BH126" i="29"/>
  <c r="I126" i="30" s="1"/>
  <c r="AT128" i="30"/>
  <c r="BK128" i="30"/>
  <c r="AR128" i="29"/>
  <c r="G128" i="30" s="1"/>
  <c r="AW129" i="30"/>
  <c r="BN129" i="30"/>
  <c r="BP129" i="29"/>
  <c r="AU131" i="30"/>
  <c r="BL131" i="30"/>
  <c r="AZ131" i="29"/>
  <c r="H131" i="30" s="1"/>
  <c r="AX132" i="30"/>
  <c r="BO132" i="30"/>
  <c r="BX132" i="29"/>
  <c r="K132" i="30" s="1"/>
  <c r="AV134" i="30"/>
  <c r="BM134" i="30"/>
  <c r="BH134" i="29"/>
  <c r="I134" i="30" s="1"/>
  <c r="AT136" i="30"/>
  <c r="BK136" i="30"/>
  <c r="AR136" i="29"/>
  <c r="G136" i="30" s="1"/>
  <c r="AW137" i="30"/>
  <c r="BN137" i="30"/>
  <c r="BP137" i="29"/>
  <c r="AU139" i="30"/>
  <c r="BL139" i="30"/>
  <c r="AZ139" i="29"/>
  <c r="H139" i="30" s="1"/>
  <c r="AX140" i="30"/>
  <c r="BO140" i="30"/>
  <c r="BX140" i="29"/>
  <c r="K140" i="30" s="1"/>
  <c r="AV142" i="30"/>
  <c r="BM142" i="30"/>
  <c r="BH142" i="29"/>
  <c r="I142" i="30" s="1"/>
  <c r="AT144" i="30"/>
  <c r="BK144" i="30"/>
  <c r="AR144" i="29"/>
  <c r="G144" i="30" s="1"/>
  <c r="AW145" i="30"/>
  <c r="BN145" i="30"/>
  <c r="BP145" i="29"/>
  <c r="AU147" i="30"/>
  <c r="BL147" i="30"/>
  <c r="AZ147" i="29"/>
  <c r="H147" i="30" s="1"/>
  <c r="AX148" i="30"/>
  <c r="BO148" i="30"/>
  <c r="BX148" i="29"/>
  <c r="K148" i="30" s="1"/>
  <c r="AV150" i="30"/>
  <c r="BM150" i="30"/>
  <c r="BH150" i="29"/>
  <c r="I150" i="30" s="1"/>
  <c r="AT152" i="30"/>
  <c r="BK152" i="30"/>
  <c r="AR152" i="29"/>
  <c r="G152" i="30" s="1"/>
  <c r="AW153" i="30"/>
  <c r="BN153" i="30"/>
  <c r="BP153" i="29"/>
  <c r="AU155" i="30"/>
  <c r="BL155" i="30"/>
  <c r="AZ155" i="29"/>
  <c r="H155" i="30" s="1"/>
  <c r="AX156" i="30"/>
  <c r="BO156" i="30"/>
  <c r="BX156" i="29"/>
  <c r="K156" i="30" s="1"/>
  <c r="AV158" i="30"/>
  <c r="BM158" i="30"/>
  <c r="BH158" i="29"/>
  <c r="I158" i="30" s="1"/>
  <c r="G160" i="30"/>
  <c r="AW242" i="30"/>
  <c r="BN242" i="30"/>
  <c r="BP242" i="29"/>
  <c r="AU244" i="30"/>
  <c r="BL244" i="30"/>
  <c r="AZ244" i="29"/>
  <c r="H244" i="30" s="1"/>
  <c r="AX245" i="30"/>
  <c r="BO245" i="30"/>
  <c r="BX245" i="29"/>
  <c r="K245" i="30" s="1"/>
  <c r="AV247" i="30"/>
  <c r="BM247" i="30"/>
  <c r="BH247" i="29"/>
  <c r="I247" i="30" s="1"/>
  <c r="AT249" i="30"/>
  <c r="BK249" i="30"/>
  <c r="AR249" i="29"/>
  <c r="G249" i="30" s="1"/>
  <c r="AW250" i="30"/>
  <c r="BN250" i="30"/>
  <c r="BP250" i="29"/>
  <c r="AU252" i="30"/>
  <c r="BL252" i="30"/>
  <c r="AZ252" i="29"/>
  <c r="H252" i="30" s="1"/>
  <c r="AX253" i="30"/>
  <c r="BO253" i="30"/>
  <c r="BX253" i="29"/>
  <c r="K253" i="30" s="1"/>
  <c r="AV255" i="30"/>
  <c r="BM255" i="30"/>
  <c r="BH255" i="29"/>
  <c r="I255" i="30" s="1"/>
  <c r="AT257" i="30"/>
  <c r="BK257" i="30"/>
  <c r="AR257" i="29"/>
  <c r="G257" i="30" s="1"/>
  <c r="AW258" i="30"/>
  <c r="BN258" i="30"/>
  <c r="BP258" i="29"/>
  <c r="AU260" i="30"/>
  <c r="BL260" i="30"/>
  <c r="AZ260" i="29"/>
  <c r="H260" i="30" s="1"/>
  <c r="AV261" i="30"/>
  <c r="BH261" i="29"/>
  <c r="I261" i="30" s="1"/>
  <c r="AT262" i="30"/>
  <c r="BK262" i="30"/>
  <c r="AR262" i="29"/>
  <c r="G262" i="30" s="1"/>
  <c r="AU263" i="30"/>
  <c r="BL263" i="30"/>
  <c r="AZ263" i="29"/>
  <c r="H263" i="30" s="1"/>
  <c r="AX267" i="30"/>
  <c r="BX267" i="29"/>
  <c r="K267" i="30" s="1"/>
  <c r="AV268" i="30"/>
  <c r="BM268" i="30"/>
  <c r="BH268" i="29"/>
  <c r="I268" i="30" s="1"/>
  <c r="AW271" i="30"/>
  <c r="BN271" i="30"/>
  <c r="BP271" i="29"/>
  <c r="AX274" i="30"/>
  <c r="BO274" i="30"/>
  <c r="BX274" i="29"/>
  <c r="K274" i="30" s="1"/>
  <c r="AT278" i="30"/>
  <c r="BK278" i="30"/>
  <c r="AR278" i="29"/>
  <c r="G278" i="30" s="1"/>
  <c r="AU281" i="30"/>
  <c r="BL281" i="30"/>
  <c r="AZ281" i="29"/>
  <c r="H281" i="30" s="1"/>
  <c r="AV284" i="30"/>
  <c r="BM284" i="30"/>
  <c r="BH284" i="29"/>
  <c r="I284" i="30" s="1"/>
  <c r="AW287" i="30"/>
  <c r="BN287" i="30"/>
  <c r="BP287" i="29"/>
  <c r="AX290" i="30"/>
  <c r="BO290" i="30"/>
  <c r="BX290" i="29"/>
  <c r="K290" i="30" s="1"/>
  <c r="AT294" i="30"/>
  <c r="BK294" i="30"/>
  <c r="AR294" i="29"/>
  <c r="G294" i="30" s="1"/>
  <c r="AU297" i="30"/>
  <c r="BL297" i="30"/>
  <c r="AZ297" i="29"/>
  <c r="H297" i="30" s="1"/>
  <c r="AV300" i="30"/>
  <c r="BM300" i="30"/>
  <c r="BH300" i="29"/>
  <c r="I300" i="30" s="1"/>
  <c r="AU304" i="30"/>
  <c r="AZ304" i="29"/>
  <c r="H304" i="30" s="1"/>
  <c r="BL304" i="30"/>
  <c r="AV312" i="30"/>
  <c r="BM312" i="30"/>
  <c r="BH312" i="29"/>
  <c r="I312" i="30" s="1"/>
  <c r="AV314" i="30"/>
  <c r="BM314" i="30"/>
  <c r="BH314" i="29"/>
  <c r="I314" i="30" s="1"/>
  <c r="AT317" i="30"/>
  <c r="AR317" i="29"/>
  <c r="G317" i="30" s="1"/>
  <c r="BK317" i="30"/>
  <c r="AU396" i="30"/>
  <c r="BL396" i="30"/>
  <c r="AZ396" i="29"/>
  <c r="H396" i="30" s="1"/>
  <c r="AT2" i="30"/>
  <c r="AX58" i="30"/>
  <c r="BO58" i="30"/>
  <c r="BX58" i="29"/>
  <c r="K58" i="30" s="1"/>
  <c r="AT62" i="30"/>
  <c r="BK62" i="30"/>
  <c r="AR62" i="29"/>
  <c r="G62" i="30" s="1"/>
  <c r="AU65" i="30"/>
  <c r="BL65" i="30"/>
  <c r="AZ65" i="29"/>
  <c r="H65" i="30" s="1"/>
  <c r="AV68" i="30"/>
  <c r="BM68" i="30"/>
  <c r="BH68" i="29"/>
  <c r="I68" i="30" s="1"/>
  <c r="AT70" i="30"/>
  <c r="BK70" i="30"/>
  <c r="AR70" i="29"/>
  <c r="G70" i="30" s="1"/>
  <c r="AW71" i="30"/>
  <c r="BN71" i="30"/>
  <c r="BP71" i="29"/>
  <c r="AU73" i="30"/>
  <c r="BL73" i="30"/>
  <c r="AZ73" i="29"/>
  <c r="H73" i="30" s="1"/>
  <c r="AX74" i="30"/>
  <c r="BO74" i="30"/>
  <c r="BX74" i="29"/>
  <c r="K74" i="30" s="1"/>
  <c r="AV76" i="30"/>
  <c r="BM76" i="30"/>
  <c r="BH76" i="29"/>
  <c r="I76" i="30" s="1"/>
  <c r="AT78" i="30"/>
  <c r="BK78" i="30"/>
  <c r="AR78" i="29"/>
  <c r="G78" i="30" s="1"/>
  <c r="AW79" i="30"/>
  <c r="BN79" i="30"/>
  <c r="BP79" i="29"/>
  <c r="AU81" i="30"/>
  <c r="BL81" i="30"/>
  <c r="AZ81" i="29"/>
  <c r="H81" i="30" s="1"/>
  <c r="AX82" i="30"/>
  <c r="BO82" i="30"/>
  <c r="BX82" i="29"/>
  <c r="K82" i="30" s="1"/>
  <c r="AV84" i="30"/>
  <c r="BM84" i="30"/>
  <c r="BH84" i="29"/>
  <c r="I84" i="30" s="1"/>
  <c r="AT86" i="30"/>
  <c r="BK86" i="30"/>
  <c r="AR86" i="29"/>
  <c r="G86" i="30" s="1"/>
  <c r="AW87" i="30"/>
  <c r="BN87" i="30"/>
  <c r="BP87" i="29"/>
  <c r="AU89" i="30"/>
  <c r="BL89" i="30"/>
  <c r="AZ89" i="29"/>
  <c r="H89" i="30" s="1"/>
  <c r="AX90" i="30"/>
  <c r="BO90" i="30"/>
  <c r="BX90" i="29"/>
  <c r="K90" i="30" s="1"/>
  <c r="AV92" i="30"/>
  <c r="BM92" i="30"/>
  <c r="BH92" i="29"/>
  <c r="I92" i="30" s="1"/>
  <c r="AT94" i="30"/>
  <c r="BK94" i="30"/>
  <c r="AR94" i="29"/>
  <c r="G94" i="30" s="1"/>
  <c r="AW95" i="30"/>
  <c r="BN95" i="30"/>
  <c r="BP95" i="29"/>
  <c r="AU97" i="30"/>
  <c r="BL97" i="30"/>
  <c r="AZ97" i="29"/>
  <c r="H97" i="30" s="1"/>
  <c r="AX98" i="30"/>
  <c r="BO98" i="30"/>
  <c r="BX98" i="29"/>
  <c r="K98" i="30" s="1"/>
  <c r="AV100" i="30"/>
  <c r="BM100" i="30"/>
  <c r="BH100" i="29"/>
  <c r="I100" i="30" s="1"/>
  <c r="AT102" i="30"/>
  <c r="BK102" i="30"/>
  <c r="AR102" i="29"/>
  <c r="G102" i="30" s="1"/>
  <c r="AW103" i="30"/>
  <c r="BN103" i="30"/>
  <c r="BP103" i="29"/>
  <c r="AU105" i="30"/>
  <c r="BL105" i="30"/>
  <c r="AZ105" i="29"/>
  <c r="H105" i="30" s="1"/>
  <c r="AX106" i="30"/>
  <c r="BO106" i="30"/>
  <c r="BX106" i="29"/>
  <c r="K106" i="30" s="1"/>
  <c r="AV108" i="30"/>
  <c r="BM108" i="30"/>
  <c r="BH108" i="29"/>
  <c r="I108" i="30" s="1"/>
  <c r="AT110" i="30"/>
  <c r="BK110" i="30"/>
  <c r="AR110" i="29"/>
  <c r="G110" i="30" s="1"/>
  <c r="AW111" i="30"/>
  <c r="BN111" i="30"/>
  <c r="BP111" i="29"/>
  <c r="AU113" i="30"/>
  <c r="BL113" i="30"/>
  <c r="AZ113" i="29"/>
  <c r="H113" i="30" s="1"/>
  <c r="AX114" i="30"/>
  <c r="BO114" i="30"/>
  <c r="BX114" i="29"/>
  <c r="K114" i="30" s="1"/>
  <c r="AV116" i="30"/>
  <c r="BM116" i="30"/>
  <c r="BH116" i="29"/>
  <c r="I116" i="30" s="1"/>
  <c r="AT118" i="30"/>
  <c r="BK118" i="30"/>
  <c r="AR118" i="29"/>
  <c r="G118" i="30" s="1"/>
  <c r="AW119" i="30"/>
  <c r="BN119" i="30"/>
  <c r="BP119" i="29"/>
  <c r="AU121" i="30"/>
  <c r="BL121" i="30"/>
  <c r="AZ121" i="29"/>
  <c r="H121" i="30" s="1"/>
  <c r="AX122" i="30"/>
  <c r="BO122" i="30"/>
  <c r="BX122" i="29"/>
  <c r="K122" i="30" s="1"/>
  <c r="AV124" i="30"/>
  <c r="BM124" i="30"/>
  <c r="BH124" i="29"/>
  <c r="I124" i="30" s="1"/>
  <c r="AT126" i="30"/>
  <c r="BK126" i="30"/>
  <c r="AR126" i="29"/>
  <c r="G126" i="30" s="1"/>
  <c r="AW127" i="30"/>
  <c r="BN127" i="30"/>
  <c r="BP127" i="29"/>
  <c r="AU129" i="30"/>
  <c r="BL129" i="30"/>
  <c r="AZ129" i="29"/>
  <c r="H129" i="30" s="1"/>
  <c r="AX130" i="30"/>
  <c r="BO130" i="30"/>
  <c r="BX130" i="29"/>
  <c r="K130" i="30" s="1"/>
  <c r="AV132" i="30"/>
  <c r="BM132" i="30"/>
  <c r="BH132" i="29"/>
  <c r="I132" i="30" s="1"/>
  <c r="AT134" i="30"/>
  <c r="BK134" i="30"/>
  <c r="AR134" i="29"/>
  <c r="G134" i="30" s="1"/>
  <c r="AW135" i="30"/>
  <c r="BN135" i="30"/>
  <c r="BP135" i="29"/>
  <c r="AU137" i="30"/>
  <c r="BL137" i="30"/>
  <c r="AZ137" i="29"/>
  <c r="H137" i="30" s="1"/>
  <c r="AX138" i="30"/>
  <c r="BO138" i="30"/>
  <c r="BX138" i="29"/>
  <c r="K138" i="30" s="1"/>
  <c r="AV140" i="30"/>
  <c r="BM140" i="30"/>
  <c r="BH140" i="29"/>
  <c r="I140" i="30" s="1"/>
  <c r="AT142" i="30"/>
  <c r="BK142" i="30"/>
  <c r="AR142" i="29"/>
  <c r="G142" i="30" s="1"/>
  <c r="AW143" i="30"/>
  <c r="BN143" i="30"/>
  <c r="BP143" i="29"/>
  <c r="AU145" i="30"/>
  <c r="BL145" i="30"/>
  <c r="AZ145" i="29"/>
  <c r="H145" i="30" s="1"/>
  <c r="AX146" i="30"/>
  <c r="BO146" i="30"/>
  <c r="BX146" i="29"/>
  <c r="K146" i="30" s="1"/>
  <c r="AV148" i="30"/>
  <c r="BM148" i="30"/>
  <c r="BH148" i="29"/>
  <c r="I148" i="30" s="1"/>
  <c r="AT150" i="30"/>
  <c r="BK150" i="30"/>
  <c r="AR150" i="29"/>
  <c r="G150" i="30" s="1"/>
  <c r="AW151" i="30"/>
  <c r="BN151" i="30"/>
  <c r="BP151" i="29"/>
  <c r="AU153" i="30"/>
  <c r="BL153" i="30"/>
  <c r="AZ153" i="29"/>
  <c r="H153" i="30" s="1"/>
  <c r="AX154" i="30"/>
  <c r="BO154" i="30"/>
  <c r="BX154" i="29"/>
  <c r="K154" i="30" s="1"/>
  <c r="AV156" i="30"/>
  <c r="BM156" i="30"/>
  <c r="BH156" i="29"/>
  <c r="I156" i="30" s="1"/>
  <c r="AT158" i="30"/>
  <c r="BK158" i="30"/>
  <c r="AR158" i="29"/>
  <c r="G158" i="30" s="1"/>
  <c r="AW159" i="30"/>
  <c r="BN159" i="30"/>
  <c r="BP159" i="29"/>
  <c r="AU242" i="30"/>
  <c r="BL242" i="30"/>
  <c r="AZ242" i="29"/>
  <c r="H242" i="30" s="1"/>
  <c r="AX243" i="30"/>
  <c r="BO243" i="30"/>
  <c r="BX243" i="29"/>
  <c r="K243" i="30" s="1"/>
  <c r="AV245" i="30"/>
  <c r="BM245" i="30"/>
  <c r="BH245" i="29"/>
  <c r="I245" i="30" s="1"/>
  <c r="AT247" i="30"/>
  <c r="BK247" i="30"/>
  <c r="AR247" i="29"/>
  <c r="G247" i="30" s="1"/>
  <c r="AW248" i="30"/>
  <c r="BN248" i="30"/>
  <c r="BP248" i="29"/>
  <c r="AU250" i="30"/>
  <c r="BL250" i="30"/>
  <c r="AZ250" i="29"/>
  <c r="H250" i="30" s="1"/>
  <c r="AX251" i="30"/>
  <c r="BO251" i="30"/>
  <c r="BX251" i="29"/>
  <c r="K251" i="30" s="1"/>
  <c r="AV253" i="30"/>
  <c r="BM253" i="30"/>
  <c r="BH253" i="29"/>
  <c r="I253" i="30" s="1"/>
  <c r="AT255" i="30"/>
  <c r="BK255" i="30"/>
  <c r="AR255" i="29"/>
  <c r="G255" i="30" s="1"/>
  <c r="AW256" i="30"/>
  <c r="BN256" i="30"/>
  <c r="BP256" i="29"/>
  <c r="AU258" i="30"/>
  <c r="BL258" i="30"/>
  <c r="AZ258" i="29"/>
  <c r="H258" i="30" s="1"/>
  <c r="AX259" i="30"/>
  <c r="BO259" i="30"/>
  <c r="BX259" i="29"/>
  <c r="K259" i="30" s="1"/>
  <c r="AW261" i="30"/>
  <c r="BN261" i="30"/>
  <c r="BP261" i="29"/>
  <c r="AU266" i="30"/>
  <c r="AZ266" i="29"/>
  <c r="H266" i="30" s="1"/>
  <c r="AX266" i="30"/>
  <c r="BO266" i="30"/>
  <c r="BX266" i="29"/>
  <c r="K266" i="30" s="1"/>
  <c r="AT268" i="30"/>
  <c r="BK268" i="30"/>
  <c r="AR268" i="29"/>
  <c r="G268" i="30" s="1"/>
  <c r="AU269" i="30"/>
  <c r="BL269" i="30"/>
  <c r="AZ269" i="29"/>
  <c r="H269" i="30" s="1"/>
  <c r="AV272" i="30"/>
  <c r="BM272" i="30"/>
  <c r="BH272" i="29"/>
  <c r="I272" i="30" s="1"/>
  <c r="AW275" i="30"/>
  <c r="BN275" i="30"/>
  <c r="BP275" i="29"/>
  <c r="AX278" i="30"/>
  <c r="BO278" i="30"/>
  <c r="BX278" i="29"/>
  <c r="K278" i="30" s="1"/>
  <c r="AT282" i="30"/>
  <c r="BK282" i="30"/>
  <c r="AR282" i="29"/>
  <c r="G282" i="30" s="1"/>
  <c r="AU285" i="30"/>
  <c r="BL285" i="30"/>
  <c r="AZ285" i="29"/>
  <c r="H285" i="30" s="1"/>
  <c r="AV288" i="30"/>
  <c r="BM288" i="30"/>
  <c r="BH288" i="29"/>
  <c r="I288" i="30" s="1"/>
  <c r="AW291" i="30"/>
  <c r="BN291" i="30"/>
  <c r="BP291" i="29"/>
  <c r="AX294" i="30"/>
  <c r="BO294" i="30"/>
  <c r="BX294" i="29"/>
  <c r="K294" i="30" s="1"/>
  <c r="AT298" i="30"/>
  <c r="BK298" i="30"/>
  <c r="AR298" i="29"/>
  <c r="G298" i="30" s="1"/>
  <c r="AU301" i="30"/>
  <c r="BL301" i="30"/>
  <c r="AZ301" i="29"/>
  <c r="H301" i="30" s="1"/>
  <c r="AU309" i="30"/>
  <c r="BL309" i="30"/>
  <c r="AZ309" i="29"/>
  <c r="H309" i="30" s="1"/>
  <c r="AU311" i="30"/>
  <c r="BL311" i="30"/>
  <c r="AZ311" i="29"/>
  <c r="H311" i="30" s="1"/>
  <c r="AX313" i="30"/>
  <c r="BX313" i="29"/>
  <c r="K313" i="30" s="1"/>
  <c r="BO313" i="30"/>
  <c r="AT322" i="30"/>
  <c r="BK322" i="30"/>
  <c r="AR322" i="29"/>
  <c r="G322" i="30" s="1"/>
  <c r="AT358" i="30"/>
  <c r="BK358" i="30"/>
  <c r="AR358" i="29"/>
  <c r="G358" i="30" s="1"/>
  <c r="AT377" i="30"/>
  <c r="BK377" i="30"/>
  <c r="AR377" i="29"/>
  <c r="G377" i="30" s="1"/>
  <c r="AW402" i="30"/>
  <c r="BN402" i="30"/>
  <c r="BP402" i="29"/>
  <c r="AT20" i="30"/>
  <c r="AR2" i="29"/>
  <c r="AU2" i="30"/>
  <c r="BX2" i="29"/>
  <c r="K2" i="30" s="1"/>
  <c r="BP3" i="29"/>
  <c r="AR4" i="29"/>
  <c r="G4" i="30" s="1"/>
  <c r="AR7" i="29"/>
  <c r="G7" i="30" s="1"/>
  <c r="BH7" i="29"/>
  <c r="I7" i="30" s="1"/>
  <c r="BL12" i="30"/>
  <c r="BP13" i="29"/>
  <c r="BH14" i="29"/>
  <c r="I14" i="30" s="1"/>
  <c r="AZ15" i="29"/>
  <c r="H15" i="30" s="1"/>
  <c r="AR16" i="29"/>
  <c r="G16" i="30" s="1"/>
  <c r="BX16" i="29"/>
  <c r="K16" i="30" s="1"/>
  <c r="BP17" i="29"/>
  <c r="BH18" i="29"/>
  <c r="I18" i="30" s="1"/>
  <c r="AZ19" i="29"/>
  <c r="H19" i="30" s="1"/>
  <c r="AR20" i="29"/>
  <c r="G20" i="30" s="1"/>
  <c r="BX20" i="29"/>
  <c r="K20" i="30" s="1"/>
  <c r="BP21" i="29"/>
  <c r="BH22" i="29"/>
  <c r="I22" i="30" s="1"/>
  <c r="AZ23" i="29"/>
  <c r="H23" i="30" s="1"/>
  <c r="AR24" i="29"/>
  <c r="G24" i="30" s="1"/>
  <c r="BX24" i="29"/>
  <c r="K24" i="30" s="1"/>
  <c r="BL28" i="30"/>
  <c r="AZ29" i="29"/>
  <c r="H29" i="30" s="1"/>
  <c r="AR30" i="29"/>
  <c r="G30" i="30" s="1"/>
  <c r="BX30" i="29"/>
  <c r="K30" i="30" s="1"/>
  <c r="BP31" i="29"/>
  <c r="BX33" i="29"/>
  <c r="K33" i="30" s="1"/>
  <c r="BP34" i="29"/>
  <c r="BN34" i="30"/>
  <c r="BH35" i="29"/>
  <c r="I35" i="30" s="1"/>
  <c r="AZ36" i="29"/>
  <c r="H36" i="30" s="1"/>
  <c r="AR37" i="29"/>
  <c r="G37" i="30" s="1"/>
  <c r="BX37" i="29"/>
  <c r="K37" i="30" s="1"/>
  <c r="BP38" i="29"/>
  <c r="BH39" i="29"/>
  <c r="I39" i="30" s="1"/>
  <c r="AZ40" i="29"/>
  <c r="H40" i="30" s="1"/>
  <c r="AR41" i="29"/>
  <c r="G41" i="30" s="1"/>
  <c r="BX41" i="29"/>
  <c r="K41" i="30" s="1"/>
  <c r="BP42" i="29"/>
  <c r="AZ43" i="29"/>
  <c r="H43" i="30" s="1"/>
  <c r="AR44" i="29"/>
  <c r="G44" i="30" s="1"/>
  <c r="BX44" i="29"/>
  <c r="K44" i="30" s="1"/>
  <c r="BH45" i="29"/>
  <c r="I45" i="30" s="1"/>
  <c r="AZ46" i="29"/>
  <c r="H46" i="30" s="1"/>
  <c r="AR47" i="29"/>
  <c r="G47" i="30" s="1"/>
  <c r="BX47" i="29"/>
  <c r="K47" i="30" s="1"/>
  <c r="BP48" i="29"/>
  <c r="BH49" i="29"/>
  <c r="I49" i="30" s="1"/>
  <c r="AZ51" i="29"/>
  <c r="H51" i="30" s="1"/>
  <c r="AR54" i="29"/>
  <c r="G54" i="30" s="1"/>
  <c r="BX54" i="29"/>
  <c r="K54" i="30" s="1"/>
  <c r="BP55" i="29"/>
  <c r="BH56" i="29"/>
  <c r="I56" i="30" s="1"/>
  <c r="AZ57" i="29"/>
  <c r="H57" i="30" s="1"/>
  <c r="AR58" i="29"/>
  <c r="G58" i="30" s="1"/>
  <c r="AW59" i="30"/>
  <c r="BN59" i="30"/>
  <c r="BP59" i="29"/>
  <c r="AR60" i="29"/>
  <c r="G60" i="30" s="1"/>
  <c r="BH61" i="29"/>
  <c r="I61" i="30" s="1"/>
  <c r="BL62" i="30"/>
  <c r="AX62" i="30"/>
  <c r="BO62" i="30"/>
  <c r="BX62" i="29"/>
  <c r="K62" i="30" s="1"/>
  <c r="AZ63" i="29"/>
  <c r="H63" i="30" s="1"/>
  <c r="BP64" i="29"/>
  <c r="BM65" i="30"/>
  <c r="AT66" i="30"/>
  <c r="BK66" i="30"/>
  <c r="AR66" i="29"/>
  <c r="G66" i="30" s="1"/>
  <c r="BH66" i="29"/>
  <c r="I66" i="30" s="1"/>
  <c r="BX67" i="29"/>
  <c r="K67" i="30" s="1"/>
  <c r="AW69" i="30"/>
  <c r="BN69" i="30"/>
  <c r="BP69" i="29"/>
  <c r="AU71" i="30"/>
  <c r="BL71" i="30"/>
  <c r="AZ71" i="29"/>
  <c r="H71" i="30" s="1"/>
  <c r="AX72" i="30"/>
  <c r="BO72" i="30"/>
  <c r="BX72" i="29"/>
  <c r="K72" i="30" s="1"/>
  <c r="AV74" i="30"/>
  <c r="BM74" i="30"/>
  <c r="BH74" i="29"/>
  <c r="I74" i="30" s="1"/>
  <c r="AT76" i="30"/>
  <c r="BK76" i="30"/>
  <c r="AR76" i="29"/>
  <c r="G76" i="30" s="1"/>
  <c r="AW77" i="30"/>
  <c r="BN77" i="30"/>
  <c r="BP77" i="29"/>
  <c r="AU79" i="30"/>
  <c r="BL79" i="30"/>
  <c r="AZ79" i="29"/>
  <c r="H79" i="30" s="1"/>
  <c r="AX80" i="30"/>
  <c r="BO80" i="30"/>
  <c r="BX80" i="29"/>
  <c r="K80" i="30" s="1"/>
  <c r="AV82" i="30"/>
  <c r="BM82" i="30"/>
  <c r="BH82" i="29"/>
  <c r="I82" i="30" s="1"/>
  <c r="AT84" i="30"/>
  <c r="BK84" i="30"/>
  <c r="AR84" i="29"/>
  <c r="G84" i="30" s="1"/>
  <c r="AW85" i="30"/>
  <c r="BN85" i="30"/>
  <c r="BP85" i="29"/>
  <c r="AU87" i="30"/>
  <c r="BL87" i="30"/>
  <c r="AZ87" i="29"/>
  <c r="H87" i="30" s="1"/>
  <c r="AX88" i="30"/>
  <c r="BO88" i="30"/>
  <c r="BX88" i="29"/>
  <c r="K88" i="30" s="1"/>
  <c r="AV90" i="30"/>
  <c r="BM90" i="30"/>
  <c r="BH90" i="29"/>
  <c r="I90" i="30" s="1"/>
  <c r="AT92" i="30"/>
  <c r="BK92" i="30"/>
  <c r="AR92" i="29"/>
  <c r="G92" i="30" s="1"/>
  <c r="AW93" i="30"/>
  <c r="BN93" i="30"/>
  <c r="BP93" i="29"/>
  <c r="AU95" i="30"/>
  <c r="BL95" i="30"/>
  <c r="AZ95" i="29"/>
  <c r="H95" i="30" s="1"/>
  <c r="AX96" i="30"/>
  <c r="BO96" i="30"/>
  <c r="BX96" i="29"/>
  <c r="K96" i="30" s="1"/>
  <c r="AV98" i="30"/>
  <c r="BM98" i="30"/>
  <c r="BH98" i="29"/>
  <c r="I98" i="30" s="1"/>
  <c r="AT100" i="30"/>
  <c r="BK100" i="30"/>
  <c r="AR100" i="29"/>
  <c r="G100" i="30" s="1"/>
  <c r="AW101" i="30"/>
  <c r="BN101" i="30"/>
  <c r="BP101" i="29"/>
  <c r="AU103" i="30"/>
  <c r="BL103" i="30"/>
  <c r="AZ103" i="29"/>
  <c r="AX104" i="30"/>
  <c r="BO104" i="30"/>
  <c r="BX104" i="29"/>
  <c r="K104" i="30" s="1"/>
  <c r="AV106" i="30"/>
  <c r="BM106" i="30"/>
  <c r="BH106" i="29"/>
  <c r="I106" i="30" s="1"/>
  <c r="AT108" i="30"/>
  <c r="BK108" i="30"/>
  <c r="AR108" i="29"/>
  <c r="G108" i="30" s="1"/>
  <c r="AW109" i="30"/>
  <c r="BN109" i="30"/>
  <c r="BP109" i="29"/>
  <c r="AU111" i="30"/>
  <c r="BL111" i="30"/>
  <c r="AZ111" i="29"/>
  <c r="H111" i="30" s="1"/>
  <c r="AX112" i="30"/>
  <c r="BO112" i="30"/>
  <c r="BX112" i="29"/>
  <c r="K112" i="30" s="1"/>
  <c r="AV114" i="30"/>
  <c r="BM114" i="30"/>
  <c r="BH114" i="29"/>
  <c r="I114" i="30" s="1"/>
  <c r="AT116" i="30"/>
  <c r="BK116" i="30"/>
  <c r="AR116" i="29"/>
  <c r="G116" i="30" s="1"/>
  <c r="AW117" i="30"/>
  <c r="BN117" i="30"/>
  <c r="BP117" i="29"/>
  <c r="AU119" i="30"/>
  <c r="BL119" i="30"/>
  <c r="AZ119" i="29"/>
  <c r="H119" i="30" s="1"/>
  <c r="AX120" i="30"/>
  <c r="BO120" i="30"/>
  <c r="BX120" i="29"/>
  <c r="K120" i="30" s="1"/>
  <c r="AV122" i="30"/>
  <c r="BM122" i="30"/>
  <c r="BH122" i="29"/>
  <c r="I122" i="30" s="1"/>
  <c r="AT124" i="30"/>
  <c r="BK124" i="30"/>
  <c r="AR124" i="29"/>
  <c r="G124" i="30" s="1"/>
  <c r="AW125" i="30"/>
  <c r="BN125" i="30"/>
  <c r="BP125" i="29"/>
  <c r="AU127" i="30"/>
  <c r="BL127" i="30"/>
  <c r="AZ127" i="29"/>
  <c r="H127" i="30" s="1"/>
  <c r="AX128" i="30"/>
  <c r="BO128" i="30"/>
  <c r="BX128" i="29"/>
  <c r="K128" i="30" s="1"/>
  <c r="AV130" i="30"/>
  <c r="BM130" i="30"/>
  <c r="BH130" i="29"/>
  <c r="I130" i="30" s="1"/>
  <c r="AT132" i="30"/>
  <c r="BK132" i="30"/>
  <c r="AR132" i="29"/>
  <c r="G132" i="30" s="1"/>
  <c r="AW133" i="30"/>
  <c r="BN133" i="30"/>
  <c r="BP133" i="29"/>
  <c r="AU135" i="30"/>
  <c r="BL135" i="30"/>
  <c r="AZ135" i="29"/>
  <c r="H135" i="30" s="1"/>
  <c r="AX136" i="30"/>
  <c r="BO136" i="30"/>
  <c r="BX136" i="29"/>
  <c r="K136" i="30" s="1"/>
  <c r="AV138" i="30"/>
  <c r="BM138" i="30"/>
  <c r="BH138" i="29"/>
  <c r="I138" i="30" s="1"/>
  <c r="AT140" i="30"/>
  <c r="BK140" i="30"/>
  <c r="AR140" i="29"/>
  <c r="G140" i="30" s="1"/>
  <c r="AW141" i="30"/>
  <c r="BN141" i="30"/>
  <c r="BP141" i="29"/>
  <c r="AU143" i="30"/>
  <c r="BL143" i="30"/>
  <c r="AZ143" i="29"/>
  <c r="H143" i="30" s="1"/>
  <c r="AX144" i="30"/>
  <c r="BO144" i="30"/>
  <c r="BX144" i="29"/>
  <c r="K144" i="30" s="1"/>
  <c r="AV146" i="30"/>
  <c r="BM146" i="30"/>
  <c r="BH146" i="29"/>
  <c r="I146" i="30" s="1"/>
  <c r="AT148" i="30"/>
  <c r="BK148" i="30"/>
  <c r="AR148" i="29"/>
  <c r="G148" i="30" s="1"/>
  <c r="AW149" i="30"/>
  <c r="BN149" i="30"/>
  <c r="BP149" i="29"/>
  <c r="BL151" i="30"/>
  <c r="AZ151" i="29"/>
  <c r="H151" i="30" s="1"/>
  <c r="AX152" i="30"/>
  <c r="BO152" i="30"/>
  <c r="BX152" i="29"/>
  <c r="K152" i="30" s="1"/>
  <c r="AV154" i="30"/>
  <c r="BM154" i="30"/>
  <c r="BH154" i="29"/>
  <c r="I154" i="30" s="1"/>
  <c r="AT156" i="30"/>
  <c r="BK156" i="30"/>
  <c r="AR156" i="29"/>
  <c r="G156" i="30" s="1"/>
  <c r="BP157" i="29"/>
  <c r="AU159" i="30"/>
  <c r="BL159" i="30"/>
  <c r="AZ159" i="29"/>
  <c r="H159" i="30" s="1"/>
  <c r="K160" i="30"/>
  <c r="AV243" i="30"/>
  <c r="BM243" i="30"/>
  <c r="BH243" i="29"/>
  <c r="I243" i="30" s="1"/>
  <c r="AT245" i="30"/>
  <c r="BK245" i="30"/>
  <c r="AR245" i="29"/>
  <c r="G245" i="30" s="1"/>
  <c r="AW246" i="30"/>
  <c r="BN246" i="30"/>
  <c r="BP246" i="29"/>
  <c r="AU248" i="30"/>
  <c r="BL248" i="30"/>
  <c r="AZ248" i="29"/>
  <c r="H248" i="30" s="1"/>
  <c r="AX249" i="30"/>
  <c r="BO249" i="30"/>
  <c r="BX249" i="29"/>
  <c r="K249" i="30" s="1"/>
  <c r="AV251" i="30"/>
  <c r="BM251" i="30"/>
  <c r="BH251" i="29"/>
  <c r="I251" i="30" s="1"/>
  <c r="AT253" i="30"/>
  <c r="BK253" i="30"/>
  <c r="AR253" i="29"/>
  <c r="G253" i="30" s="1"/>
  <c r="AW254" i="30"/>
  <c r="BN254" i="30"/>
  <c r="BP254" i="29"/>
  <c r="AU256" i="30"/>
  <c r="BL256" i="30"/>
  <c r="AZ256" i="29"/>
  <c r="H256" i="30" s="1"/>
  <c r="AX257" i="30"/>
  <c r="BO257" i="30"/>
  <c r="BX257" i="29"/>
  <c r="K257" i="30" s="1"/>
  <c r="AV259" i="30"/>
  <c r="BM259" i="30"/>
  <c r="BH259" i="29"/>
  <c r="I259" i="30" s="1"/>
  <c r="AT261" i="30"/>
  <c r="BK261" i="30"/>
  <c r="AR261" i="29"/>
  <c r="G261" i="30" s="1"/>
  <c r="BK263" i="30"/>
  <c r="AW264" i="30"/>
  <c r="BP264" i="29"/>
  <c r="AU265" i="30"/>
  <c r="BL265" i="30"/>
  <c r="AZ265" i="29"/>
  <c r="H265" i="30" s="1"/>
  <c r="AV266" i="30"/>
  <c r="BM266" i="30"/>
  <c r="BH266" i="29"/>
  <c r="I266" i="30" s="1"/>
  <c r="AT270" i="30"/>
  <c r="BK270" i="30"/>
  <c r="AR270" i="29"/>
  <c r="G270" i="30" s="1"/>
  <c r="AU273" i="30"/>
  <c r="BL273" i="30"/>
  <c r="AZ273" i="29"/>
  <c r="H273" i="30" s="1"/>
  <c r="AV276" i="30"/>
  <c r="BM276" i="30"/>
  <c r="BH276" i="29"/>
  <c r="I276" i="30" s="1"/>
  <c r="AW279" i="30"/>
  <c r="BN279" i="30"/>
  <c r="BP279" i="29"/>
  <c r="AX282" i="30"/>
  <c r="BO282" i="30"/>
  <c r="BX282" i="29"/>
  <c r="K282" i="30" s="1"/>
  <c r="AT286" i="30"/>
  <c r="BK286" i="30"/>
  <c r="AR286" i="29"/>
  <c r="G286" i="30" s="1"/>
  <c r="AU289" i="30"/>
  <c r="BL289" i="30"/>
  <c r="AZ289" i="29"/>
  <c r="H289" i="30" s="1"/>
  <c r="AV292" i="30"/>
  <c r="BM292" i="30"/>
  <c r="BH292" i="29"/>
  <c r="I292" i="30" s="1"/>
  <c r="AW295" i="30"/>
  <c r="BN295" i="30"/>
  <c r="BP295" i="29"/>
  <c r="AX298" i="30"/>
  <c r="BO298" i="30"/>
  <c r="BX298" i="29"/>
  <c r="K298" i="30" s="1"/>
  <c r="AT306" i="30"/>
  <c r="BK306" i="30"/>
  <c r="AR306" i="29"/>
  <c r="G306" i="30" s="1"/>
  <c r="AT308" i="30"/>
  <c r="BK308" i="30"/>
  <c r="AR308" i="29"/>
  <c r="G308" i="30" s="1"/>
  <c r="AW310" i="30"/>
  <c r="BP310" i="29"/>
  <c r="BN310" i="30"/>
  <c r="AX318" i="30"/>
  <c r="BO318" i="30"/>
  <c r="BX318" i="29"/>
  <c r="K318" i="30" s="1"/>
  <c r="AX320" i="30"/>
  <c r="BO320" i="30"/>
  <c r="BX320" i="29"/>
  <c r="K320" i="30" s="1"/>
  <c r="AU361" i="30"/>
  <c r="BL361" i="30"/>
  <c r="AZ361" i="29"/>
  <c r="H361" i="30" s="1"/>
  <c r="AV383" i="30"/>
  <c r="BM383" i="30"/>
  <c r="BH383" i="29"/>
  <c r="I383" i="30" s="1"/>
  <c r="AU151" i="30"/>
  <c r="BL262" i="30"/>
  <c r="AX262" i="30"/>
  <c r="BO262" i="30"/>
  <c r="BX262" i="29"/>
  <c r="K262" i="30" s="1"/>
  <c r="AT266" i="30"/>
  <c r="BK266" i="30"/>
  <c r="AR266" i="29"/>
  <c r="G266" i="30" s="1"/>
  <c r="AW269" i="30"/>
  <c r="BN269" i="30"/>
  <c r="BP269" i="29"/>
  <c r="AU271" i="30"/>
  <c r="BL271" i="30"/>
  <c r="AZ271" i="29"/>
  <c r="H271" i="30" s="1"/>
  <c r="AX272" i="30"/>
  <c r="BO272" i="30"/>
  <c r="BX272" i="29"/>
  <c r="K272" i="30" s="1"/>
  <c r="AV274" i="30"/>
  <c r="BM274" i="30"/>
  <c r="BH274" i="29"/>
  <c r="I274" i="30" s="1"/>
  <c r="AT276" i="30"/>
  <c r="BK276" i="30"/>
  <c r="AR276" i="29"/>
  <c r="G276" i="30" s="1"/>
  <c r="AW277" i="30"/>
  <c r="BN277" i="30"/>
  <c r="BP277" i="29"/>
  <c r="AU279" i="30"/>
  <c r="BL279" i="30"/>
  <c r="AZ279" i="29"/>
  <c r="H279" i="30" s="1"/>
  <c r="AX280" i="30"/>
  <c r="BO280" i="30"/>
  <c r="BX280" i="29"/>
  <c r="K280" i="30" s="1"/>
  <c r="AV282" i="30"/>
  <c r="BM282" i="30"/>
  <c r="BH282" i="29"/>
  <c r="I282" i="30" s="1"/>
  <c r="AT284" i="30"/>
  <c r="BK284" i="30"/>
  <c r="AR284" i="29"/>
  <c r="G284" i="30" s="1"/>
  <c r="AW285" i="30"/>
  <c r="BN285" i="30"/>
  <c r="BP285" i="29"/>
  <c r="AU287" i="30"/>
  <c r="BL287" i="30"/>
  <c r="AZ287" i="29"/>
  <c r="H287" i="30" s="1"/>
  <c r="AX288" i="30"/>
  <c r="BO288" i="30"/>
  <c r="BX288" i="29"/>
  <c r="K288" i="30" s="1"/>
  <c r="AV290" i="30"/>
  <c r="BM290" i="30"/>
  <c r="BH290" i="29"/>
  <c r="AT292" i="30"/>
  <c r="BK292" i="30"/>
  <c r="AR292" i="29"/>
  <c r="G292" i="30" s="1"/>
  <c r="AW293" i="30"/>
  <c r="BN293" i="30"/>
  <c r="BP293" i="29"/>
  <c r="AU295" i="30"/>
  <c r="BL295" i="30"/>
  <c r="AZ295" i="29"/>
  <c r="H295" i="30" s="1"/>
  <c r="AX296" i="30"/>
  <c r="BO296" i="30"/>
  <c r="BX296" i="29"/>
  <c r="K296" i="30" s="1"/>
  <c r="AV298" i="30"/>
  <c r="BM298" i="30"/>
  <c r="BH298" i="29"/>
  <c r="I298" i="30" s="1"/>
  <c r="AT300" i="30"/>
  <c r="BK300" i="30"/>
  <c r="AR300" i="29"/>
  <c r="G300" i="30" s="1"/>
  <c r="AW301" i="30"/>
  <c r="BN301" i="30"/>
  <c r="BP301" i="29"/>
  <c r="AW302" i="30"/>
  <c r="BP302" i="29"/>
  <c r="AU303" i="30"/>
  <c r="BL303" i="30"/>
  <c r="AZ303" i="29"/>
  <c r="H303" i="30" s="1"/>
  <c r="AV304" i="30"/>
  <c r="BM304" i="30"/>
  <c r="BH304" i="29"/>
  <c r="I304" i="30" s="1"/>
  <c r="AT309" i="30"/>
  <c r="AR309" i="29"/>
  <c r="G309" i="30" s="1"/>
  <c r="AW309" i="30"/>
  <c r="BN309" i="30"/>
  <c r="BP309" i="29"/>
  <c r="AX310" i="30"/>
  <c r="BO310" i="30"/>
  <c r="BX310" i="29"/>
  <c r="K310" i="30" s="1"/>
  <c r="AV315" i="30"/>
  <c r="BH315" i="29"/>
  <c r="I315" i="30" s="1"/>
  <c r="AT316" i="30"/>
  <c r="BK316" i="30"/>
  <c r="AR316" i="29"/>
  <c r="G316" i="30" s="1"/>
  <c r="AU317" i="30"/>
  <c r="BL317" i="30"/>
  <c r="AZ317" i="29"/>
  <c r="H317" i="30" s="1"/>
  <c r="AX321" i="30"/>
  <c r="BX321" i="29"/>
  <c r="K321" i="30" s="1"/>
  <c r="AV322" i="30"/>
  <c r="BM322" i="30"/>
  <c r="BH322" i="29"/>
  <c r="I322" i="30" s="1"/>
  <c r="AV357" i="30"/>
  <c r="BH357" i="29"/>
  <c r="I357" i="30" s="1"/>
  <c r="AT362" i="30"/>
  <c r="BK362" i="30"/>
  <c r="AR362" i="29"/>
  <c r="G362" i="30" s="1"/>
  <c r="AU362" i="30"/>
  <c r="AZ362" i="29"/>
  <c r="H362" i="30" s="1"/>
  <c r="BL362" i="30"/>
  <c r="AW363" i="30"/>
  <c r="BN363" i="30"/>
  <c r="BP363" i="29"/>
  <c r="AX363" i="30"/>
  <c r="BX363" i="29"/>
  <c r="K363" i="30" s="1"/>
  <c r="BO363" i="30"/>
  <c r="AU365" i="30"/>
  <c r="BL365" i="30"/>
  <c r="AZ365" i="29"/>
  <c r="H365" i="30" s="1"/>
  <c r="AV365" i="30"/>
  <c r="BH365" i="29"/>
  <c r="I365" i="30" s="1"/>
  <c r="BM365" i="30"/>
  <c r="AX366" i="30"/>
  <c r="BO366" i="30"/>
  <c r="BX366" i="29"/>
  <c r="K366" i="30" s="1"/>
  <c r="AT367" i="30"/>
  <c r="AR367" i="29"/>
  <c r="G367" i="30" s="1"/>
  <c r="BK367" i="30"/>
  <c r="AV368" i="30"/>
  <c r="BM368" i="30"/>
  <c r="BH368" i="29"/>
  <c r="I368" i="30" s="1"/>
  <c r="AW368" i="30"/>
  <c r="BP368" i="29"/>
  <c r="BN368" i="30"/>
  <c r="AT370" i="30"/>
  <c r="BK370" i="30"/>
  <c r="AR370" i="29"/>
  <c r="G370" i="30" s="1"/>
  <c r="AU370" i="30"/>
  <c r="AZ370" i="29"/>
  <c r="H370" i="30" s="1"/>
  <c r="BL370" i="30"/>
  <c r="AW371" i="30"/>
  <c r="BN371" i="30"/>
  <c r="BP371" i="29"/>
  <c r="AX371" i="30"/>
  <c r="BX371" i="29"/>
  <c r="K371" i="30" s="1"/>
  <c r="BO371" i="30"/>
  <c r="AX373" i="30"/>
  <c r="BO373" i="30"/>
  <c r="BX373" i="29"/>
  <c r="K373" i="30" s="1"/>
  <c r="AW386" i="30"/>
  <c r="BN386" i="30"/>
  <c r="BP386" i="29"/>
  <c r="AV399" i="30"/>
  <c r="BM399" i="30"/>
  <c r="BH399" i="29"/>
  <c r="I399" i="30" s="1"/>
  <c r="AU261" i="30"/>
  <c r="BL261" i="30"/>
  <c r="AZ261" i="29"/>
  <c r="H261" i="30" s="1"/>
  <c r="BO263" i="30"/>
  <c r="AV264" i="30"/>
  <c r="BM264" i="30"/>
  <c r="BH264" i="29"/>
  <c r="I264" i="30" s="1"/>
  <c r="BK267" i="30"/>
  <c r="AW267" i="30"/>
  <c r="BN267" i="30"/>
  <c r="BP267" i="29"/>
  <c r="AX268" i="30"/>
  <c r="BO268" i="30"/>
  <c r="BX268" i="29"/>
  <c r="K268" i="30" s="1"/>
  <c r="AV270" i="30"/>
  <c r="BM270" i="30"/>
  <c r="BH270" i="29"/>
  <c r="I270" i="30" s="1"/>
  <c r="AT272" i="30"/>
  <c r="BK272" i="30"/>
  <c r="AR272" i="29"/>
  <c r="G272" i="30" s="1"/>
  <c r="AW273" i="30"/>
  <c r="BN273" i="30"/>
  <c r="BP273" i="29"/>
  <c r="AU275" i="30"/>
  <c r="BL275" i="30"/>
  <c r="AZ275" i="29"/>
  <c r="H275" i="30" s="1"/>
  <c r="AX276" i="30"/>
  <c r="BO276" i="30"/>
  <c r="BX276" i="29"/>
  <c r="K276" i="30" s="1"/>
  <c r="AV278" i="30"/>
  <c r="BM278" i="30"/>
  <c r="BH278" i="29"/>
  <c r="I278" i="30" s="1"/>
  <c r="AT280" i="30"/>
  <c r="BK280" i="30"/>
  <c r="AR280" i="29"/>
  <c r="G280" i="30" s="1"/>
  <c r="AW281" i="30"/>
  <c r="BN281" i="30"/>
  <c r="BP281" i="29"/>
  <c r="AU283" i="30"/>
  <c r="BL283" i="30"/>
  <c r="AZ283" i="29"/>
  <c r="H283" i="30" s="1"/>
  <c r="AX284" i="30"/>
  <c r="BO284" i="30"/>
  <c r="BX284" i="29"/>
  <c r="K284" i="30" s="1"/>
  <c r="AV286" i="30"/>
  <c r="BM286" i="30"/>
  <c r="BH286" i="29"/>
  <c r="I286" i="30" s="1"/>
  <c r="AT288" i="30"/>
  <c r="BK288" i="30"/>
  <c r="AR288" i="29"/>
  <c r="G288" i="30" s="1"/>
  <c r="AW289" i="30"/>
  <c r="BN289" i="30"/>
  <c r="BP289" i="29"/>
  <c r="AU291" i="30"/>
  <c r="BL291" i="30"/>
  <c r="AZ291" i="29"/>
  <c r="H291" i="30" s="1"/>
  <c r="AX292" i="30"/>
  <c r="BO292" i="30"/>
  <c r="BX292" i="29"/>
  <c r="K292" i="30" s="1"/>
  <c r="AV294" i="30"/>
  <c r="BM294" i="30"/>
  <c r="BH294" i="29"/>
  <c r="I294" i="30" s="1"/>
  <c r="AT296" i="30"/>
  <c r="BK296" i="30"/>
  <c r="AR296" i="29"/>
  <c r="G296" i="30" s="1"/>
  <c r="AW297" i="30"/>
  <c r="BN297" i="30"/>
  <c r="BP297" i="29"/>
  <c r="AU299" i="30"/>
  <c r="BL299" i="30"/>
  <c r="AZ299" i="29"/>
  <c r="H299" i="30" s="1"/>
  <c r="AX300" i="30"/>
  <c r="BO300" i="30"/>
  <c r="BX300" i="29"/>
  <c r="K300" i="30" s="1"/>
  <c r="AX305" i="30"/>
  <c r="BX305" i="29"/>
  <c r="K305" i="30" s="1"/>
  <c r="AV306" i="30"/>
  <c r="BM306" i="30"/>
  <c r="BH306" i="29"/>
  <c r="I306" i="30" s="1"/>
  <c r="AW307" i="30"/>
  <c r="BN307" i="30"/>
  <c r="BP307" i="29"/>
  <c r="AU312" i="30"/>
  <c r="AZ312" i="29"/>
  <c r="H312" i="30" s="1"/>
  <c r="AX312" i="30"/>
  <c r="BO312" i="30"/>
  <c r="BX312" i="29"/>
  <c r="K312" i="30" s="1"/>
  <c r="AT314" i="30"/>
  <c r="BK314" i="30"/>
  <c r="AR314" i="29"/>
  <c r="G314" i="30" s="1"/>
  <c r="AW318" i="30"/>
  <c r="BP318" i="29"/>
  <c r="AU319" i="30"/>
  <c r="BL319" i="30"/>
  <c r="AZ319" i="29"/>
  <c r="H319" i="30" s="1"/>
  <c r="AV320" i="30"/>
  <c r="BM320" i="30"/>
  <c r="BH320" i="29"/>
  <c r="I320" i="30" s="1"/>
  <c r="AX358" i="30"/>
  <c r="BO358" i="30"/>
  <c r="BX358" i="29"/>
  <c r="K358" i="30" s="1"/>
  <c r="AW360" i="30"/>
  <c r="BP360" i="29"/>
  <c r="AU380" i="30"/>
  <c r="BL380" i="30"/>
  <c r="AZ380" i="29"/>
  <c r="H380" i="30" s="1"/>
  <c r="AT393" i="30"/>
  <c r="BK393" i="30"/>
  <c r="AR393" i="29"/>
  <c r="G393" i="30" s="1"/>
  <c r="AX405" i="30"/>
  <c r="BO405" i="30"/>
  <c r="BX405" i="29"/>
  <c r="K405" i="30" s="1"/>
  <c r="AV302" i="30"/>
  <c r="BM302" i="30"/>
  <c r="BH302" i="29"/>
  <c r="I302" i="30" s="1"/>
  <c r="AW305" i="30"/>
  <c r="BN305" i="30"/>
  <c r="BP305" i="29"/>
  <c r="AF162" i="30" s="1"/>
  <c r="AX308" i="30"/>
  <c r="BO308" i="30"/>
  <c r="BX308" i="29"/>
  <c r="K308" i="30" s="1"/>
  <c r="BM311" i="30"/>
  <c r="AT312" i="30"/>
  <c r="BK312" i="30"/>
  <c r="AR312" i="29"/>
  <c r="G312" i="30" s="1"/>
  <c r="AU315" i="30"/>
  <c r="BL315" i="30"/>
  <c r="AZ315" i="29"/>
  <c r="H315" i="30" s="1"/>
  <c r="BO317" i="30"/>
  <c r="AV318" i="30"/>
  <c r="BM318" i="30"/>
  <c r="BH318" i="29"/>
  <c r="I318" i="30" s="1"/>
  <c r="AW321" i="30"/>
  <c r="BN321" i="30"/>
  <c r="BP321" i="29"/>
  <c r="AF161" i="30" s="1"/>
  <c r="AT360" i="30"/>
  <c r="BK360" i="30"/>
  <c r="AR360" i="29"/>
  <c r="G360" i="30" s="1"/>
  <c r="AV361" i="30"/>
  <c r="BH361" i="29"/>
  <c r="I361" i="30" s="1"/>
  <c r="AV364" i="30"/>
  <c r="BM364" i="30"/>
  <c r="BH364" i="29"/>
  <c r="I364" i="30" s="1"/>
  <c r="AW364" i="30"/>
  <c r="BP364" i="29"/>
  <c r="AW367" i="30"/>
  <c r="BN367" i="30"/>
  <c r="BP367" i="29"/>
  <c r="AX367" i="30"/>
  <c r="BX367" i="29"/>
  <c r="K367" i="30" s="1"/>
  <c r="AX370" i="30"/>
  <c r="BO370" i="30"/>
  <c r="BX370" i="29"/>
  <c r="K370" i="30" s="1"/>
  <c r="AT371" i="30"/>
  <c r="AR371" i="29"/>
  <c r="G371" i="30" s="1"/>
  <c r="AX375" i="30"/>
  <c r="BO375" i="30"/>
  <c r="BX375" i="29"/>
  <c r="K375" i="30" s="1"/>
  <c r="AU382" i="30"/>
  <c r="BL382" i="30"/>
  <c r="AZ382" i="29"/>
  <c r="H382" i="30" s="1"/>
  <c r="AW388" i="30"/>
  <c r="BN388" i="30"/>
  <c r="BP388" i="29"/>
  <c r="AT395" i="30"/>
  <c r="BK395" i="30"/>
  <c r="AR395" i="29"/>
  <c r="G395" i="30" s="1"/>
  <c r="AV401" i="30"/>
  <c r="BM401" i="30"/>
  <c r="BH401" i="29"/>
  <c r="I401" i="30" s="1"/>
  <c r="AU408" i="30"/>
  <c r="AZ408" i="29"/>
  <c r="H408" i="30" s="1"/>
  <c r="AW414" i="30"/>
  <c r="BP414" i="29"/>
  <c r="AT304" i="30"/>
  <c r="BK304" i="30"/>
  <c r="AR304" i="29"/>
  <c r="G304" i="30" s="1"/>
  <c r="AU307" i="30"/>
  <c r="BL307" i="30"/>
  <c r="AZ307" i="29"/>
  <c r="H307" i="30" s="1"/>
  <c r="BO309" i="30"/>
  <c r="AV310" i="30"/>
  <c r="BM310" i="30"/>
  <c r="BH310" i="29"/>
  <c r="I310" i="30" s="1"/>
  <c r="AW313" i="30"/>
  <c r="BN313" i="30"/>
  <c r="BP313" i="29"/>
  <c r="AX316" i="30"/>
  <c r="BO316" i="30"/>
  <c r="BX316" i="29"/>
  <c r="K316" i="30" s="1"/>
  <c r="AT320" i="30"/>
  <c r="BK320" i="30"/>
  <c r="AR320" i="29"/>
  <c r="G320" i="30" s="1"/>
  <c r="BN322" i="30"/>
  <c r="AU323" i="30"/>
  <c r="BL323" i="30"/>
  <c r="AZ323" i="29"/>
  <c r="H323" i="30" s="1"/>
  <c r="BM323" i="30"/>
  <c r="AT324" i="30"/>
  <c r="BK324" i="30"/>
  <c r="AR324" i="29"/>
  <c r="G324" i="30" s="1"/>
  <c r="BL324" i="30"/>
  <c r="AX324" i="30"/>
  <c r="BO324" i="30"/>
  <c r="BX324" i="29"/>
  <c r="AW325" i="30"/>
  <c r="BN325" i="30"/>
  <c r="BP325" i="29"/>
  <c r="AV326" i="30"/>
  <c r="BM326" i="30"/>
  <c r="BH326" i="29"/>
  <c r="I326" i="30" s="1"/>
  <c r="AU327" i="30"/>
  <c r="BL327" i="30"/>
  <c r="AZ327" i="29"/>
  <c r="H327" i="30" s="1"/>
  <c r="BM327" i="30"/>
  <c r="AT328" i="30"/>
  <c r="BK328" i="30"/>
  <c r="AR328" i="29"/>
  <c r="G328" i="30" s="1"/>
  <c r="BL328" i="30"/>
  <c r="AX328" i="30"/>
  <c r="BO328" i="30"/>
  <c r="BX328" i="29"/>
  <c r="K328" i="30" s="1"/>
  <c r="BK329" i="30"/>
  <c r="AW329" i="30"/>
  <c r="BN329" i="30"/>
  <c r="BP329" i="29"/>
  <c r="BO329" i="30"/>
  <c r="AV330" i="30"/>
  <c r="BM330" i="30"/>
  <c r="BH330" i="29"/>
  <c r="I330" i="30" s="1"/>
  <c r="AU331" i="30"/>
  <c r="BL331" i="30"/>
  <c r="AZ331" i="29"/>
  <c r="H331" i="30" s="1"/>
  <c r="BM331" i="30"/>
  <c r="AT332" i="30"/>
  <c r="BK332" i="30"/>
  <c r="AR332" i="29"/>
  <c r="G332" i="30" s="1"/>
  <c r="AX332" i="30"/>
  <c r="BO332" i="30"/>
  <c r="BX332" i="29"/>
  <c r="K332" i="30" s="1"/>
  <c r="AW333" i="30"/>
  <c r="BN333" i="30"/>
  <c r="BP333" i="29"/>
  <c r="BO333" i="30"/>
  <c r="AV334" i="30"/>
  <c r="BM334" i="30"/>
  <c r="BH334" i="29"/>
  <c r="I334" i="30" s="1"/>
  <c r="BN334" i="30"/>
  <c r="AU335" i="30"/>
  <c r="BL335" i="30"/>
  <c r="AZ335" i="29"/>
  <c r="BM335" i="30"/>
  <c r="AT336" i="30"/>
  <c r="BK336" i="30"/>
  <c r="AR336" i="29"/>
  <c r="BL336" i="30"/>
  <c r="AX336" i="30"/>
  <c r="BO336" i="30"/>
  <c r="BX336" i="29"/>
  <c r="K336" i="30" s="1"/>
  <c r="BK337" i="30"/>
  <c r="AW337" i="30"/>
  <c r="BN337" i="30"/>
  <c r="BP337" i="29"/>
  <c r="AV338" i="30"/>
  <c r="BM338" i="30"/>
  <c r="BH338" i="29"/>
  <c r="I338" i="30" s="1"/>
  <c r="BN338" i="30"/>
  <c r="AU339" i="30"/>
  <c r="BL339" i="30"/>
  <c r="AZ339" i="29"/>
  <c r="H339" i="30" s="1"/>
  <c r="BM339" i="30"/>
  <c r="AT340" i="30"/>
  <c r="BK340" i="30"/>
  <c r="AR340" i="29"/>
  <c r="G340" i="30" s="1"/>
  <c r="AX340" i="30"/>
  <c r="BO340" i="30"/>
  <c r="BX340" i="29"/>
  <c r="K340" i="30" s="1"/>
  <c r="AW341" i="30"/>
  <c r="BN341" i="30"/>
  <c r="BP341" i="29"/>
  <c r="BO341" i="30"/>
  <c r="AV342" i="30"/>
  <c r="BM342" i="30"/>
  <c r="BH342" i="29"/>
  <c r="I342" i="30" s="1"/>
  <c r="AU343" i="30"/>
  <c r="BL343" i="30"/>
  <c r="AZ343" i="29"/>
  <c r="H343" i="30" s="1"/>
  <c r="BM343" i="30"/>
  <c r="AT344" i="30"/>
  <c r="BK344" i="30"/>
  <c r="AR344" i="29"/>
  <c r="G344" i="30" s="1"/>
  <c r="AX344" i="30"/>
  <c r="BO344" i="30"/>
  <c r="BX344" i="29"/>
  <c r="K344" i="30" s="1"/>
  <c r="BK345" i="30"/>
  <c r="AW345" i="30"/>
  <c r="BN345" i="30"/>
  <c r="BP345" i="29"/>
  <c r="BO345" i="30"/>
  <c r="AV346" i="30"/>
  <c r="BM346" i="30"/>
  <c r="BH346" i="29"/>
  <c r="I346" i="30" s="1"/>
  <c r="AU347" i="30"/>
  <c r="BL347" i="30"/>
  <c r="AZ347" i="29"/>
  <c r="H347" i="30" s="1"/>
  <c r="BM347" i="30"/>
  <c r="AT348" i="30"/>
  <c r="BK348" i="30"/>
  <c r="AR348" i="29"/>
  <c r="G348" i="30" s="1"/>
  <c r="BL348" i="30"/>
  <c r="AX348" i="30"/>
  <c r="BO348" i="30"/>
  <c r="BX348" i="29"/>
  <c r="K348" i="30" s="1"/>
  <c r="BK349" i="30"/>
  <c r="AW349" i="30"/>
  <c r="BN349" i="30"/>
  <c r="BP349" i="29"/>
  <c r="AV350" i="30"/>
  <c r="BM350" i="30"/>
  <c r="BH350" i="29"/>
  <c r="I350" i="30" s="1"/>
  <c r="AU351" i="30"/>
  <c r="BL351" i="30"/>
  <c r="AZ351" i="29"/>
  <c r="H351" i="30" s="1"/>
  <c r="AT352" i="30"/>
  <c r="BK352" i="30"/>
  <c r="AR352" i="29"/>
  <c r="G352" i="30" s="1"/>
  <c r="BL352" i="30"/>
  <c r="AX352" i="30"/>
  <c r="BO352" i="30"/>
  <c r="BX352" i="29"/>
  <c r="K352" i="30" s="1"/>
  <c r="BK353" i="30"/>
  <c r="AW353" i="30"/>
  <c r="BN353" i="30"/>
  <c r="BP353" i="29"/>
  <c r="BO353" i="30"/>
  <c r="AV354" i="30"/>
  <c r="BM354" i="30"/>
  <c r="BH354" i="29"/>
  <c r="I354" i="30" s="1"/>
  <c r="AU355" i="30"/>
  <c r="BL355" i="30"/>
  <c r="AZ355" i="29"/>
  <c r="H355" i="30" s="1"/>
  <c r="BM355" i="30"/>
  <c r="AT356" i="30"/>
  <c r="BK356" i="30"/>
  <c r="AR356" i="29"/>
  <c r="G356" i="30" s="1"/>
  <c r="BL356" i="30"/>
  <c r="AX356" i="30"/>
  <c r="BO356" i="30"/>
  <c r="BX356" i="29"/>
  <c r="K356" i="30" s="1"/>
  <c r="AU358" i="30"/>
  <c r="AZ358" i="29"/>
  <c r="H358" i="30" s="1"/>
  <c r="BL359" i="30"/>
  <c r="AX362" i="30"/>
  <c r="BO362" i="30"/>
  <c r="BX362" i="29"/>
  <c r="K362" i="30" s="1"/>
  <c r="AT363" i="30"/>
  <c r="AR363" i="29"/>
  <c r="G363" i="30" s="1"/>
  <c r="AT366" i="30"/>
  <c r="BK366" i="30"/>
  <c r="AR366" i="29"/>
  <c r="G366" i="30" s="1"/>
  <c r="AU366" i="30"/>
  <c r="AZ366" i="29"/>
  <c r="H366" i="30" s="1"/>
  <c r="AU369" i="30"/>
  <c r="BL369" i="30"/>
  <c r="AZ369" i="29"/>
  <c r="H369" i="30" s="1"/>
  <c r="AV369" i="30"/>
  <c r="BH369" i="29"/>
  <c r="I369" i="30" s="1"/>
  <c r="AV372" i="30"/>
  <c r="BM372" i="30"/>
  <c r="BH372" i="29"/>
  <c r="I372" i="30" s="1"/>
  <c r="AW372" i="30"/>
  <c r="BN372" i="30"/>
  <c r="BP372" i="29"/>
  <c r="AT379" i="30"/>
  <c r="BK379" i="30"/>
  <c r="AR379" i="29"/>
  <c r="G379" i="30" s="1"/>
  <c r="AV385" i="30"/>
  <c r="BM385" i="30"/>
  <c r="BH385" i="29"/>
  <c r="I385" i="30" s="1"/>
  <c r="AX391" i="30"/>
  <c r="BO391" i="30"/>
  <c r="BX391" i="29"/>
  <c r="K391" i="30" s="1"/>
  <c r="AU398" i="30"/>
  <c r="BL398" i="30"/>
  <c r="AZ398" i="29"/>
  <c r="H398" i="30" s="1"/>
  <c r="AW404" i="30"/>
  <c r="BN404" i="30"/>
  <c r="BP404" i="29"/>
  <c r="AV411" i="30"/>
  <c r="BH411" i="29"/>
  <c r="I411" i="30" s="1"/>
  <c r="AX417" i="30"/>
  <c r="BX417" i="29"/>
  <c r="K417" i="30" s="1"/>
  <c r="BK359" i="30"/>
  <c r="AW359" i="30"/>
  <c r="BN359" i="30"/>
  <c r="BP359" i="29"/>
  <c r="AX406" i="30"/>
  <c r="BO406" i="30"/>
  <c r="BX406" i="29"/>
  <c r="K406" i="30" s="1"/>
  <c r="AV407" i="30"/>
  <c r="BH407" i="29"/>
  <c r="I407" i="30" s="1"/>
  <c r="BM407" i="30"/>
  <c r="AW407" i="30"/>
  <c r="BN407" i="30"/>
  <c r="BP407" i="29"/>
  <c r="AT410" i="30"/>
  <c r="BK410" i="30"/>
  <c r="AR410" i="29"/>
  <c r="G410" i="30" s="1"/>
  <c r="AW410" i="30"/>
  <c r="BP410" i="29"/>
  <c r="BN410" i="30"/>
  <c r="AX410" i="30"/>
  <c r="BO410" i="30"/>
  <c r="BX410" i="29"/>
  <c r="K410" i="30" s="1"/>
  <c r="AU413" i="30"/>
  <c r="BL413" i="30"/>
  <c r="AZ413" i="29"/>
  <c r="H413" i="30" s="1"/>
  <c r="AX413" i="30"/>
  <c r="BX413" i="29"/>
  <c r="K413" i="30" s="1"/>
  <c r="BO413" i="30"/>
  <c r="AT414" i="30"/>
  <c r="BK414" i="30"/>
  <c r="AR414" i="29"/>
  <c r="G414" i="30" s="1"/>
  <c r="AV416" i="30"/>
  <c r="BM416" i="30"/>
  <c r="BH416" i="29"/>
  <c r="I416" i="30" s="1"/>
  <c r="AT417" i="30"/>
  <c r="AR417" i="29"/>
  <c r="G417" i="30" s="1"/>
  <c r="BK417" i="30"/>
  <c r="AU417" i="30"/>
  <c r="BL417" i="30"/>
  <c r="AZ417" i="29"/>
  <c r="H417" i="30" s="1"/>
  <c r="AW419" i="30"/>
  <c r="BN419" i="30"/>
  <c r="BP419" i="29"/>
  <c r="AU420" i="30"/>
  <c r="AZ420" i="29"/>
  <c r="H420" i="30" s="1"/>
  <c r="BL420" i="30"/>
  <c r="AV420" i="30"/>
  <c r="BM420" i="30"/>
  <c r="BH420" i="29"/>
  <c r="I420" i="30" s="1"/>
  <c r="AU357" i="30"/>
  <c r="BL357" i="30"/>
  <c r="AZ357" i="29"/>
  <c r="H357" i="30" s="1"/>
  <c r="AV360" i="30"/>
  <c r="BM360" i="30"/>
  <c r="BH360" i="29"/>
  <c r="I360" i="30" s="1"/>
  <c r="AU374" i="30"/>
  <c r="BL374" i="30"/>
  <c r="AZ374" i="29"/>
  <c r="H374" i="30" s="1"/>
  <c r="AV375" i="30"/>
  <c r="BM375" i="30"/>
  <c r="BH375" i="29"/>
  <c r="I375" i="30" s="1"/>
  <c r="AV377" i="30"/>
  <c r="BM377" i="30"/>
  <c r="BH377" i="29"/>
  <c r="I377" i="30" s="1"/>
  <c r="AW378" i="30"/>
  <c r="BN378" i="30"/>
  <c r="BP378" i="29"/>
  <c r="AW380" i="30"/>
  <c r="BN380" i="30"/>
  <c r="BP380" i="29"/>
  <c r="AX381" i="30"/>
  <c r="BO381" i="30"/>
  <c r="BX381" i="29"/>
  <c r="K381" i="30" s="1"/>
  <c r="AX383" i="30"/>
  <c r="BO383" i="30"/>
  <c r="BX383" i="29"/>
  <c r="K383" i="30" s="1"/>
  <c r="AT385" i="30"/>
  <c r="BK385" i="30"/>
  <c r="AR385" i="29"/>
  <c r="G385" i="30" s="1"/>
  <c r="AT387" i="30"/>
  <c r="BK387" i="30"/>
  <c r="AR387" i="29"/>
  <c r="G387" i="30" s="1"/>
  <c r="AU388" i="30"/>
  <c r="BL388" i="30"/>
  <c r="AZ388" i="29"/>
  <c r="H388" i="30" s="1"/>
  <c r="AU390" i="30"/>
  <c r="BL390" i="30"/>
  <c r="AZ390" i="29"/>
  <c r="H390" i="30" s="1"/>
  <c r="AV391" i="30"/>
  <c r="BM391" i="30"/>
  <c r="BH391" i="29"/>
  <c r="I391" i="30" s="1"/>
  <c r="AV393" i="30"/>
  <c r="BM393" i="30"/>
  <c r="BH393" i="29"/>
  <c r="I393" i="30" s="1"/>
  <c r="AW394" i="30"/>
  <c r="BN394" i="30"/>
  <c r="BP394" i="29"/>
  <c r="AW396" i="30"/>
  <c r="BN396" i="30"/>
  <c r="BP396" i="29"/>
  <c r="AX397" i="30"/>
  <c r="BO397" i="30"/>
  <c r="BX397" i="29"/>
  <c r="K397" i="30" s="1"/>
  <c r="AX399" i="30"/>
  <c r="BO399" i="30"/>
  <c r="BX399" i="29"/>
  <c r="K399" i="30" s="1"/>
  <c r="AT401" i="30"/>
  <c r="BK401" i="30"/>
  <c r="AR401" i="29"/>
  <c r="G401" i="30" s="1"/>
  <c r="AT403" i="30"/>
  <c r="BK403" i="30"/>
  <c r="AR403" i="29"/>
  <c r="G403" i="30" s="1"/>
  <c r="AU404" i="30"/>
  <c r="BL404" i="30"/>
  <c r="AZ404" i="29"/>
  <c r="H404" i="30" s="1"/>
  <c r="AU406" i="30"/>
  <c r="BL406" i="30"/>
  <c r="AZ406" i="29"/>
  <c r="H406" i="30" s="1"/>
  <c r="AV373" i="30"/>
  <c r="BM373" i="30"/>
  <c r="BH373" i="29"/>
  <c r="I373" i="30" s="1"/>
  <c r="AR375" i="29"/>
  <c r="G375" i="30" s="1"/>
  <c r="BN376" i="30"/>
  <c r="BP376" i="29"/>
  <c r="AW376" i="30"/>
  <c r="AZ378" i="29"/>
  <c r="H378" i="30" s="1"/>
  <c r="AX379" i="30"/>
  <c r="BO379" i="30"/>
  <c r="BX379" i="29"/>
  <c r="K379" i="30" s="1"/>
  <c r="BM381" i="30"/>
  <c r="BH381" i="29"/>
  <c r="I381" i="30" s="1"/>
  <c r="BK383" i="30"/>
  <c r="AR383" i="29"/>
  <c r="G383" i="30" s="1"/>
  <c r="AT383" i="30"/>
  <c r="BN384" i="30"/>
  <c r="BP384" i="29"/>
  <c r="AU386" i="30"/>
  <c r="BL386" i="30"/>
  <c r="AZ386" i="29"/>
  <c r="H386" i="30" s="1"/>
  <c r="BX387" i="29"/>
  <c r="K387" i="30" s="1"/>
  <c r="BM389" i="30"/>
  <c r="BH389" i="29"/>
  <c r="I389" i="30" s="1"/>
  <c r="AV389" i="30"/>
  <c r="AR391" i="29"/>
  <c r="G391" i="30" s="1"/>
  <c r="AW392" i="30"/>
  <c r="BN392" i="30"/>
  <c r="BP392" i="29"/>
  <c r="BL394" i="30"/>
  <c r="AZ394" i="29"/>
  <c r="H394" i="30" s="1"/>
  <c r="BO395" i="30"/>
  <c r="BX395" i="29"/>
  <c r="K395" i="30" s="1"/>
  <c r="AX395" i="30"/>
  <c r="BM397" i="30"/>
  <c r="BH397" i="29"/>
  <c r="I397" i="30" s="1"/>
  <c r="AT399" i="30"/>
  <c r="BK399" i="30"/>
  <c r="AR399" i="29"/>
  <c r="G399" i="30" s="1"/>
  <c r="BP400" i="29"/>
  <c r="BL402" i="30"/>
  <c r="AZ402" i="29"/>
  <c r="H402" i="30" s="1"/>
  <c r="AU402" i="30"/>
  <c r="BX403" i="29"/>
  <c r="K403" i="30" s="1"/>
  <c r="AV405" i="30"/>
  <c r="BM405" i="30"/>
  <c r="BH405" i="29"/>
  <c r="I405" i="30" s="1"/>
  <c r="AV408" i="30"/>
  <c r="BM408" i="30"/>
  <c r="BH408" i="29"/>
  <c r="I408" i="30" s="1"/>
  <c r="AT409" i="30"/>
  <c r="AR409" i="29"/>
  <c r="G409" i="30" s="1"/>
  <c r="AW411" i="30"/>
  <c r="BN411" i="30"/>
  <c r="BP411" i="29"/>
  <c r="AU412" i="30"/>
  <c r="AZ412" i="29"/>
  <c r="H412" i="30" s="1"/>
  <c r="AX414" i="30"/>
  <c r="BO414" i="30"/>
  <c r="BX414" i="29"/>
  <c r="K414" i="30" s="1"/>
  <c r="AV415" i="30"/>
  <c r="BH415" i="29"/>
  <c r="I415" i="30" s="1"/>
  <c r="AT418" i="30"/>
  <c r="BK418" i="30"/>
  <c r="AR418" i="29"/>
  <c r="G418" i="30" s="1"/>
  <c r="AW418" i="30"/>
  <c r="BP418" i="29"/>
  <c r="AV397" i="30"/>
  <c r="AW384" i="30"/>
  <c r="AT373" i="30"/>
  <c r="BK373" i="30"/>
  <c r="AR373" i="29"/>
  <c r="G373" i="30" s="1"/>
  <c r="AW374" i="30"/>
  <c r="BN374" i="30"/>
  <c r="BP374" i="29"/>
  <c r="AU376" i="30"/>
  <c r="BL376" i="30"/>
  <c r="AZ376" i="29"/>
  <c r="H376" i="30" s="1"/>
  <c r="AX377" i="30"/>
  <c r="BO377" i="30"/>
  <c r="BX377" i="29"/>
  <c r="K377" i="30" s="1"/>
  <c r="AV379" i="30"/>
  <c r="BM379" i="30"/>
  <c r="BH379" i="29"/>
  <c r="I379" i="30" s="1"/>
  <c r="AT381" i="30"/>
  <c r="BK381" i="30"/>
  <c r="AR381" i="29"/>
  <c r="G381" i="30" s="1"/>
  <c r="AW382" i="30"/>
  <c r="BN382" i="30"/>
  <c r="BP382" i="29"/>
  <c r="AU384" i="30"/>
  <c r="BL384" i="30"/>
  <c r="AZ384" i="29"/>
  <c r="H384" i="30" s="1"/>
  <c r="AX385" i="30"/>
  <c r="BO385" i="30"/>
  <c r="BX385" i="29"/>
  <c r="K385" i="30" s="1"/>
  <c r="AV387" i="30"/>
  <c r="BM387" i="30"/>
  <c r="BH387" i="29"/>
  <c r="I387" i="30" s="1"/>
  <c r="AT389" i="30"/>
  <c r="BK389" i="30"/>
  <c r="AR389" i="29"/>
  <c r="G389" i="30" s="1"/>
  <c r="AW390" i="30"/>
  <c r="BN390" i="30"/>
  <c r="BP390" i="29"/>
  <c r="AU392" i="30"/>
  <c r="BL392" i="30"/>
  <c r="AZ392" i="29"/>
  <c r="H392" i="30" s="1"/>
  <c r="AX393" i="30"/>
  <c r="BO393" i="30"/>
  <c r="BX393" i="29"/>
  <c r="K393" i="30" s="1"/>
  <c r="AV395" i="30"/>
  <c r="BM395" i="30"/>
  <c r="BH395" i="29"/>
  <c r="I395" i="30" s="1"/>
  <c r="AT397" i="30"/>
  <c r="BK397" i="30"/>
  <c r="AR397" i="29"/>
  <c r="G397" i="30" s="1"/>
  <c r="AW398" i="30"/>
  <c r="BN398" i="30"/>
  <c r="BP398" i="29"/>
  <c r="AU400" i="30"/>
  <c r="BL400" i="30"/>
  <c r="AZ400" i="29"/>
  <c r="H400" i="30" s="1"/>
  <c r="AX401" i="30"/>
  <c r="BO401" i="30"/>
  <c r="BX401" i="29"/>
  <c r="K401" i="30" s="1"/>
  <c r="AV403" i="30"/>
  <c r="BM403" i="30"/>
  <c r="BH403" i="29"/>
  <c r="I403" i="30" s="1"/>
  <c r="AT405" i="30"/>
  <c r="BK405" i="30"/>
  <c r="AR405" i="29"/>
  <c r="G405" i="30" s="1"/>
  <c r="AW406" i="30"/>
  <c r="BP406" i="29"/>
  <c r="AU409" i="30"/>
  <c r="BL409" i="30"/>
  <c r="AZ409" i="29"/>
  <c r="H409" i="30" s="1"/>
  <c r="AX409" i="30"/>
  <c r="BX409" i="29"/>
  <c r="K409" i="30" s="1"/>
  <c r="AV412" i="30"/>
  <c r="BM412" i="30"/>
  <c r="BH412" i="29"/>
  <c r="I412" i="30" s="1"/>
  <c r="AT413" i="30"/>
  <c r="AR413" i="29"/>
  <c r="G413" i="30" s="1"/>
  <c r="AW415" i="30"/>
  <c r="BN415" i="30"/>
  <c r="BP415" i="29"/>
  <c r="AU416" i="30"/>
  <c r="AZ416" i="29"/>
  <c r="H416" i="30" s="1"/>
  <c r="AX418" i="30"/>
  <c r="BO418" i="30"/>
  <c r="BX418" i="29"/>
  <c r="K418" i="30" s="1"/>
  <c r="AV419" i="30"/>
  <c r="BH419" i="29"/>
  <c r="I419" i="30" s="1"/>
  <c r="AU394" i="30"/>
  <c r="AV381" i="30"/>
  <c r="BN408" i="30"/>
  <c r="BL418" i="30"/>
  <c r="BM409" i="30"/>
  <c r="BK411" i="30"/>
  <c r="BL414" i="30"/>
  <c r="BO415" i="30"/>
  <c r="BK419" i="30"/>
  <c r="AJ3" i="4"/>
  <c r="AF160" i="30" l="1"/>
  <c r="AF158" i="30"/>
  <c r="AF159" i="30"/>
  <c r="K324" i="30"/>
  <c r="Y20" i="30" s="1"/>
  <c r="AF165" i="30"/>
  <c r="G310" i="30"/>
  <c r="U18" i="30" s="1"/>
  <c r="AF145" i="30"/>
  <c r="I295" i="30"/>
  <c r="AF156" i="30"/>
  <c r="H16" i="30"/>
  <c r="V31" i="30" s="1"/>
  <c r="V337" i="30" s="1"/>
  <c r="AF152" i="30"/>
  <c r="G25" i="30"/>
  <c r="U282" i="30" s="1"/>
  <c r="AF144" i="30"/>
  <c r="H88" i="30"/>
  <c r="V287" i="30" s="1"/>
  <c r="AF150" i="30"/>
  <c r="H335" i="30"/>
  <c r="V49" i="30" s="1"/>
  <c r="V355" i="30" s="1"/>
  <c r="AF148" i="30"/>
  <c r="H84" i="30"/>
  <c r="V36" i="30" s="1"/>
  <c r="V342" i="30" s="1"/>
  <c r="AF151" i="30"/>
  <c r="I23" i="30"/>
  <c r="AF155" i="30"/>
  <c r="I91" i="30"/>
  <c r="W37" i="30" s="1"/>
  <c r="W343" i="30" s="1"/>
  <c r="AF154" i="30"/>
  <c r="K21" i="30"/>
  <c r="Y282" i="30" s="1"/>
  <c r="AF163" i="30"/>
  <c r="K314" i="30"/>
  <c r="Y297" i="30" s="1"/>
  <c r="AF166" i="30"/>
  <c r="H103" i="30"/>
  <c r="V288" i="30" s="1"/>
  <c r="AF149" i="30"/>
  <c r="G287" i="30"/>
  <c r="U294" i="30" s="1"/>
  <c r="AF146" i="30"/>
  <c r="I290" i="30"/>
  <c r="W55" i="30" s="1"/>
  <c r="AF157" i="30"/>
  <c r="G318" i="30"/>
  <c r="U19" i="30" s="1"/>
  <c r="AF143" i="30"/>
  <c r="I103" i="30"/>
  <c r="W288" i="30" s="1"/>
  <c r="AF153" i="30"/>
  <c r="K15" i="30"/>
  <c r="Y281" i="30" s="1"/>
  <c r="AF164" i="30"/>
  <c r="G336" i="30"/>
  <c r="U299" i="30" s="1"/>
  <c r="AF147" i="30"/>
  <c r="AM35" i="35"/>
  <c r="J147" i="30"/>
  <c r="J316" i="30"/>
  <c r="J20" i="30"/>
  <c r="J358" i="30"/>
  <c r="J337" i="30"/>
  <c r="J388" i="30"/>
  <c r="J367" i="30"/>
  <c r="J281" i="30"/>
  <c r="J363" i="30"/>
  <c r="J301" i="30"/>
  <c r="J264" i="30"/>
  <c r="J93" i="30"/>
  <c r="J55" i="30"/>
  <c r="J31" i="30"/>
  <c r="J256" i="30"/>
  <c r="J111" i="30"/>
  <c r="J145" i="30"/>
  <c r="J81" i="30"/>
  <c r="J61" i="30"/>
  <c r="J43" i="30"/>
  <c r="J2" i="30"/>
  <c r="J317" i="30"/>
  <c r="J263" i="30"/>
  <c r="J155" i="30"/>
  <c r="J91" i="30"/>
  <c r="J63" i="30"/>
  <c r="J324" i="30"/>
  <c r="J278" i="30"/>
  <c r="J336" i="30"/>
  <c r="J112" i="30"/>
  <c r="J80" i="30"/>
  <c r="J265" i="30"/>
  <c r="J60" i="30"/>
  <c r="J27" i="30"/>
  <c r="J54" i="30"/>
  <c r="J10" i="30"/>
  <c r="J245" i="30"/>
  <c r="J130" i="30"/>
  <c r="J243" i="30"/>
  <c r="J30" i="30"/>
  <c r="J65" i="30"/>
  <c r="J304" i="30"/>
  <c r="J122" i="30"/>
  <c r="J142" i="30"/>
  <c r="J394" i="30"/>
  <c r="J349" i="30"/>
  <c r="J305" i="30"/>
  <c r="J293" i="30"/>
  <c r="J149" i="30"/>
  <c r="J248" i="30"/>
  <c r="J73" i="30"/>
  <c r="J15" i="30"/>
  <c r="J298" i="30"/>
  <c r="J308" i="30"/>
  <c r="J140" i="30"/>
  <c r="J110" i="30"/>
  <c r="J411" i="30"/>
  <c r="J406" i="30"/>
  <c r="J313" i="30"/>
  <c r="J289" i="30"/>
  <c r="J386" i="30"/>
  <c r="J101" i="30"/>
  <c r="J402" i="30"/>
  <c r="J119" i="30"/>
  <c r="J153" i="30"/>
  <c r="J89" i="30"/>
  <c r="J19" i="30"/>
  <c r="J99" i="30"/>
  <c r="J379" i="30"/>
  <c r="J339" i="30"/>
  <c r="J323" i="30"/>
  <c r="J306" i="30"/>
  <c r="J292" i="30"/>
  <c r="J344" i="30"/>
  <c r="J314" i="30"/>
  <c r="J290" i="30"/>
  <c r="J276" i="30"/>
  <c r="J124" i="30"/>
  <c r="J92" i="30"/>
  <c r="J49" i="30"/>
  <c r="J72" i="30"/>
  <c r="J37" i="30"/>
  <c r="J9" i="30"/>
  <c r="J5" i="30"/>
  <c r="J373" i="30"/>
  <c r="J266" i="30"/>
  <c r="J126" i="30"/>
  <c r="J70" i="30"/>
  <c r="J251" i="30"/>
  <c r="J18" i="30"/>
  <c r="J114" i="30"/>
  <c r="J12" i="30"/>
  <c r="J150" i="30"/>
  <c r="J380" i="30"/>
  <c r="J371" i="30"/>
  <c r="J107" i="30"/>
  <c r="J35" i="30"/>
  <c r="J11" i="30"/>
  <c r="J334" i="30"/>
  <c r="J405" i="30"/>
  <c r="J148" i="30"/>
  <c r="J118" i="30"/>
  <c r="J146" i="30"/>
  <c r="J346" i="30"/>
  <c r="J262" i="30"/>
  <c r="J74" i="30"/>
  <c r="J416" i="30"/>
  <c r="J4" i="30"/>
  <c r="J412" i="30"/>
  <c r="J295" i="30"/>
  <c r="J85" i="30"/>
  <c r="J291" i="30"/>
  <c r="J83" i="30"/>
  <c r="J132" i="30"/>
  <c r="J44" i="30"/>
  <c r="J385" i="30"/>
  <c r="J152" i="30"/>
  <c r="J325" i="30"/>
  <c r="J127" i="30"/>
  <c r="J377" i="30"/>
  <c r="J104" i="30"/>
  <c r="J284" i="30"/>
  <c r="J255" i="30"/>
  <c r="J392" i="30"/>
  <c r="J376" i="30"/>
  <c r="J407" i="30"/>
  <c r="J372" i="30"/>
  <c r="J364" i="30"/>
  <c r="J267" i="30"/>
  <c r="J309" i="30"/>
  <c r="J157" i="30"/>
  <c r="J117" i="30"/>
  <c r="J135" i="30"/>
  <c r="J71" i="30"/>
  <c r="J271" i="30"/>
  <c r="J105" i="30"/>
  <c r="J46" i="30"/>
  <c r="J315" i="30"/>
  <c r="J244" i="30"/>
  <c r="J115" i="30"/>
  <c r="J403" i="30"/>
  <c r="J348" i="30"/>
  <c r="J312" i="30"/>
  <c r="J327" i="30"/>
  <c r="J282" i="30"/>
  <c r="J399" i="30"/>
  <c r="J335" i="30"/>
  <c r="J116" i="30"/>
  <c r="J84" i="30"/>
  <c r="J58" i="30"/>
  <c r="J14" i="30"/>
  <c r="J401" i="30"/>
  <c r="J90" i="30"/>
  <c r="J82" i="30"/>
  <c r="J259" i="30"/>
  <c r="J247" i="30"/>
  <c r="J16" i="30"/>
  <c r="J66" i="30"/>
  <c r="J261" i="30"/>
  <c r="J100" i="30"/>
  <c r="J7" i="30"/>
  <c r="J318" i="30"/>
  <c r="J97" i="30"/>
  <c r="J370" i="30"/>
  <c r="J415" i="30"/>
  <c r="J374" i="30"/>
  <c r="J396" i="30"/>
  <c r="J404" i="30"/>
  <c r="J353" i="30"/>
  <c r="J333" i="30"/>
  <c r="J307" i="30"/>
  <c r="J368" i="30"/>
  <c r="J269" i="30"/>
  <c r="J310" i="30"/>
  <c r="J125" i="30"/>
  <c r="J3" i="30"/>
  <c r="J143" i="30"/>
  <c r="J79" i="30"/>
  <c r="J287" i="30"/>
  <c r="J242" i="30"/>
  <c r="J113" i="30"/>
  <c r="J40" i="30"/>
  <c r="J29" i="30"/>
  <c r="J23" i="30"/>
  <c r="J252" i="30"/>
  <c r="J123" i="30"/>
  <c r="J375" i="30"/>
  <c r="J408" i="30"/>
  <c r="J369" i="30"/>
  <c r="J347" i="30"/>
  <c r="J383" i="30"/>
  <c r="J409" i="30"/>
  <c r="J352" i="30"/>
  <c r="J303" i="30"/>
  <c r="J296" i="30"/>
  <c r="J362" i="30"/>
  <c r="J343" i="30"/>
  <c r="J320" i="30"/>
  <c r="J311" i="30"/>
  <c r="J294" i="30"/>
  <c r="J351" i="30"/>
  <c r="J272" i="30"/>
  <c r="J128" i="30"/>
  <c r="J96" i="30"/>
  <c r="J268" i="30"/>
  <c r="J56" i="30"/>
  <c r="J41" i="30"/>
  <c r="J417" i="30"/>
  <c r="J354" i="30"/>
  <c r="J6" i="30"/>
  <c r="J26" i="30"/>
  <c r="J330" i="30"/>
  <c r="J338" i="30"/>
  <c r="J249" i="30"/>
  <c r="J78" i="30"/>
  <c r="J144" i="30"/>
  <c r="J94" i="30"/>
  <c r="J86" i="30"/>
  <c r="J257" i="30"/>
  <c r="J398" i="30"/>
  <c r="J400" i="30"/>
  <c r="J273" i="30"/>
  <c r="J254" i="30"/>
  <c r="J42" i="30"/>
  <c r="J355" i="30"/>
  <c r="J322" i="30"/>
  <c r="J138" i="30"/>
  <c r="J253" i="30"/>
  <c r="J297" i="30"/>
  <c r="J109" i="30"/>
  <c r="J36" i="30"/>
  <c r="J328" i="30"/>
  <c r="J270" i="30"/>
  <c r="J288" i="30"/>
  <c r="J136" i="30"/>
  <c r="J418" i="30"/>
  <c r="J359" i="30"/>
  <c r="J382" i="30"/>
  <c r="J378" i="30"/>
  <c r="J419" i="30"/>
  <c r="J341" i="30"/>
  <c r="J321" i="30"/>
  <c r="J277" i="30"/>
  <c r="J133" i="30"/>
  <c r="J69" i="30"/>
  <c r="J48" i="30"/>
  <c r="J34" i="30"/>
  <c r="J17" i="30"/>
  <c r="J13" i="30"/>
  <c r="J151" i="30"/>
  <c r="J87" i="30"/>
  <c r="J250" i="30"/>
  <c r="J121" i="30"/>
  <c r="J67" i="30"/>
  <c r="J51" i="30"/>
  <c r="J260" i="30"/>
  <c r="J131" i="30"/>
  <c r="J395" i="30"/>
  <c r="J391" i="30"/>
  <c r="J332" i="30"/>
  <c r="J274" i="30"/>
  <c r="J108" i="30"/>
  <c r="J76" i="30"/>
  <c r="J39" i="30"/>
  <c r="J47" i="30"/>
  <c r="J413" i="30"/>
  <c r="J350" i="30"/>
  <c r="J156" i="30"/>
  <c r="J397" i="30"/>
  <c r="J357" i="30"/>
  <c r="J22" i="30"/>
  <c r="J8" i="30"/>
  <c r="J28" i="30"/>
  <c r="J366" i="30"/>
  <c r="J319" i="30"/>
  <c r="J102" i="30"/>
  <c r="J342" i="30"/>
  <c r="J384" i="30"/>
  <c r="J329" i="30"/>
  <c r="J360" i="30"/>
  <c r="J59" i="30"/>
  <c r="J21" i="30"/>
  <c r="J103" i="30"/>
  <c r="J137" i="30"/>
  <c r="J299" i="30"/>
  <c r="J387" i="30"/>
  <c r="J365" i="30"/>
  <c r="J300" i="30"/>
  <c r="J158" i="30"/>
  <c r="J345" i="30"/>
  <c r="J390" i="30"/>
  <c r="J410" i="30"/>
  <c r="J414" i="30"/>
  <c r="J302" i="30"/>
  <c r="J285" i="30"/>
  <c r="J279" i="30"/>
  <c r="J246" i="30"/>
  <c r="J141" i="30"/>
  <c r="J77" i="30"/>
  <c r="J64" i="30"/>
  <c r="J38" i="30"/>
  <c r="J275" i="30"/>
  <c r="J159" i="30"/>
  <c r="J95" i="30"/>
  <c r="J258" i="30"/>
  <c r="J129" i="30"/>
  <c r="J57" i="30"/>
  <c r="J283" i="30"/>
  <c r="J139" i="30"/>
  <c r="J75" i="30"/>
  <c r="J420" i="30"/>
  <c r="J356" i="30"/>
  <c r="J340" i="30"/>
  <c r="J331" i="30"/>
  <c r="J286" i="30"/>
  <c r="J120" i="30"/>
  <c r="J88" i="30"/>
  <c r="J280" i="30"/>
  <c r="J68" i="30"/>
  <c r="J45" i="30"/>
  <c r="J33" i="30"/>
  <c r="J25" i="30"/>
  <c r="J389" i="30"/>
  <c r="J106" i="30"/>
  <c r="J393" i="30"/>
  <c r="J134" i="30"/>
  <c r="J98" i="30"/>
  <c r="J154" i="30"/>
  <c r="J62" i="30"/>
  <c r="J381" i="30"/>
  <c r="J32" i="30"/>
  <c r="J24" i="30"/>
  <c r="J326" i="30"/>
  <c r="J361" i="30"/>
  <c r="BM265" i="30"/>
  <c r="BL63" i="30"/>
  <c r="BL42" i="30"/>
  <c r="BK39" i="30"/>
  <c r="BO35" i="30"/>
  <c r="BN32" i="30"/>
  <c r="BM402" i="30"/>
  <c r="BN389" i="30"/>
  <c r="BL407" i="30"/>
  <c r="BN319" i="30"/>
  <c r="BO311" i="30"/>
  <c r="BM325" i="30"/>
  <c r="BN251" i="30"/>
  <c r="BM149" i="30"/>
  <c r="BO61" i="30"/>
  <c r="BN39" i="30"/>
  <c r="BL24" i="30"/>
  <c r="BO17" i="30"/>
  <c r="BN365" i="30"/>
  <c r="BL267" i="30"/>
  <c r="BO367" i="30"/>
  <c r="BM361" i="30"/>
  <c r="BM357" i="30"/>
  <c r="BK315" i="30"/>
  <c r="BL286" i="30"/>
  <c r="BL282" i="30"/>
  <c r="BL278" i="30"/>
  <c r="BM273" i="30"/>
  <c r="BM269" i="30"/>
  <c r="BL405" i="30"/>
  <c r="BO398" i="30"/>
  <c r="BM392" i="30"/>
  <c r="BK386" i="30"/>
  <c r="BN379" i="30"/>
  <c r="BN375" i="30"/>
  <c r="BO342" i="30"/>
  <c r="BK338" i="30"/>
  <c r="BM419" i="30"/>
  <c r="BM415" i="30"/>
  <c r="BM411" i="30"/>
  <c r="BN406" i="30"/>
  <c r="BO321" i="30"/>
  <c r="BN302" i="30"/>
  <c r="BL70" i="30"/>
  <c r="BN412" i="30"/>
  <c r="BO351" i="30"/>
  <c r="BM297" i="30"/>
  <c r="BK291" i="30"/>
  <c r="BK334" i="30"/>
  <c r="BM299" i="30"/>
  <c r="BK293" i="30"/>
  <c r="BN286" i="30"/>
  <c r="BL280" i="30"/>
  <c r="BO273" i="30"/>
  <c r="BM43" i="30"/>
  <c r="BL59" i="30"/>
  <c r="BK23" i="30"/>
  <c r="BN16" i="30"/>
  <c r="BM394" i="30"/>
  <c r="BN381" i="30"/>
  <c r="BN328" i="30"/>
  <c r="BK319" i="30"/>
  <c r="BL140" i="30"/>
  <c r="BM127" i="30"/>
  <c r="BN114" i="30"/>
  <c r="BO248" i="30"/>
  <c r="BM141" i="30"/>
  <c r="BN58" i="30"/>
  <c r="BL49" i="30"/>
  <c r="BM29" i="30"/>
  <c r="BO420" i="30"/>
  <c r="BN265" i="30"/>
  <c r="BL366" i="30"/>
  <c r="BN360" i="30"/>
  <c r="BM289" i="30"/>
  <c r="BM285" i="30"/>
  <c r="BM281" i="30"/>
  <c r="BN276" i="30"/>
  <c r="BN272" i="30"/>
  <c r="BN268" i="30"/>
  <c r="BN264" i="30"/>
  <c r="BN403" i="30"/>
  <c r="BL397" i="30"/>
  <c r="BO390" i="30"/>
  <c r="BM384" i="30"/>
  <c r="BO378" i="30"/>
  <c r="BK374" i="30"/>
  <c r="BL341" i="30"/>
  <c r="BL337" i="30"/>
  <c r="BN418" i="30"/>
  <c r="BN414" i="30"/>
  <c r="BO409" i="30"/>
  <c r="BK369" i="30"/>
  <c r="BL312" i="30"/>
  <c r="BO305" i="30"/>
  <c r="BM263" i="30"/>
  <c r="BK75" i="30"/>
  <c r="BN68" i="30"/>
  <c r="BM370" i="30"/>
  <c r="BO258" i="30"/>
  <c r="BL40" i="30"/>
  <c r="BK37" i="30"/>
  <c r="BO33" i="30"/>
  <c r="BM11" i="30"/>
  <c r="BK354" i="30"/>
  <c r="BN303" i="30"/>
  <c r="BO330" i="30"/>
  <c r="BN311" i="30"/>
  <c r="BM107" i="30"/>
  <c r="BK101" i="30"/>
  <c r="BN94" i="30"/>
  <c r="BL88" i="30"/>
  <c r="BO81" i="30"/>
  <c r="BM75" i="30"/>
  <c r="BK69" i="30"/>
  <c r="BO159" i="30"/>
  <c r="BL134" i="30"/>
  <c r="BO127" i="30"/>
  <c r="BK365" i="30"/>
  <c r="BL264" i="30"/>
  <c r="BK341" i="30"/>
  <c r="BK333" i="30"/>
  <c r="BN326" i="30"/>
  <c r="BK313" i="30"/>
  <c r="BN306" i="30"/>
  <c r="BM27" i="30"/>
  <c r="BO369" i="30"/>
  <c r="BO331" i="30"/>
  <c r="BL132" i="30"/>
  <c r="BM119" i="30"/>
  <c r="BN152" i="30"/>
  <c r="BL146" i="30"/>
  <c r="BO42" i="30"/>
  <c r="BM36" i="30"/>
  <c r="BK21" i="30"/>
  <c r="BK416" i="30"/>
  <c r="BL379" i="30"/>
  <c r="BL375" i="30"/>
  <c r="BK364" i="30"/>
  <c r="BN416" i="30"/>
  <c r="BL410" i="30"/>
  <c r="BK371" i="30"/>
  <c r="BN364" i="30"/>
  <c r="BN288" i="30"/>
  <c r="BN284" i="30"/>
  <c r="BO279" i="30"/>
  <c r="BO275" i="30"/>
  <c r="BO271" i="30"/>
  <c r="BO267" i="30"/>
  <c r="BM261" i="30"/>
  <c r="BK402" i="30"/>
  <c r="BN395" i="30"/>
  <c r="BL389" i="30"/>
  <c r="BO382" i="30"/>
  <c r="BL377" i="30"/>
  <c r="BL373" i="30"/>
  <c r="BM344" i="30"/>
  <c r="BM340" i="30"/>
  <c r="BM336" i="30"/>
  <c r="BO417" i="30"/>
  <c r="BK413" i="30"/>
  <c r="BK409" i="30"/>
  <c r="BL360" i="30"/>
  <c r="BM315" i="30"/>
  <c r="BK309" i="30"/>
  <c r="BM73" i="30"/>
  <c r="BK20" i="30"/>
  <c r="BL378" i="30"/>
  <c r="BN420" i="30"/>
  <c r="BK58" i="30"/>
  <c r="BO54" i="30"/>
  <c r="BN48" i="30"/>
  <c r="BM45" i="30"/>
  <c r="BL33" i="30"/>
  <c r="BK30" i="30"/>
  <c r="BM398" i="30"/>
  <c r="BN253" i="30"/>
  <c r="BN300" i="30"/>
  <c r="BL294" i="30"/>
  <c r="BN327" i="30"/>
  <c r="BL296" i="30"/>
  <c r="BO289" i="30"/>
  <c r="BM283" i="30"/>
  <c r="BK277" i="30"/>
  <c r="BN270" i="30"/>
  <c r="BO19" i="30"/>
  <c r="BO403" i="30"/>
  <c r="BK56" i="30"/>
  <c r="BO49" i="30"/>
  <c r="BN46" i="30"/>
  <c r="BO26" i="30"/>
  <c r="BN23" i="30"/>
  <c r="BM20" i="30"/>
  <c r="BL17" i="30"/>
  <c r="BK14" i="30"/>
  <c r="BO10" i="30"/>
  <c r="BM418" i="30"/>
  <c r="BN377" i="30"/>
  <c r="BO357" i="30"/>
  <c r="BL259" i="30"/>
  <c r="BK335" i="30"/>
  <c r="BL322" i="30"/>
  <c r="BM244" i="30"/>
  <c r="BM143" i="30"/>
  <c r="BL67" i="30"/>
  <c r="BO254" i="30"/>
  <c r="BN245" i="30"/>
  <c r="BO65" i="30"/>
  <c r="BM55" i="30"/>
  <c r="BK46" i="30"/>
  <c r="BN14" i="30"/>
  <c r="BM13" i="30"/>
  <c r="BN361" i="30"/>
  <c r="BM414" i="30"/>
  <c r="BO408" i="30"/>
  <c r="BM378" i="30"/>
  <c r="BM362" i="30"/>
  <c r="BN357" i="30"/>
  <c r="BM369" i="30"/>
  <c r="BK363" i="30"/>
  <c r="BL358" i="30"/>
  <c r="BO319" i="30"/>
  <c r="BO287" i="30"/>
  <c r="BK283" i="30"/>
  <c r="BK279" i="30"/>
  <c r="BK275" i="30"/>
  <c r="BL270" i="30"/>
  <c r="BL266" i="30"/>
  <c r="BM59" i="30"/>
  <c r="BM400" i="30"/>
  <c r="BK394" i="30"/>
  <c r="BN387" i="30"/>
  <c r="BL381" i="30"/>
  <c r="BM376" i="30"/>
  <c r="BN343" i="30"/>
  <c r="BN339" i="30"/>
  <c r="BL416" i="30"/>
  <c r="BL412" i="30"/>
  <c r="BL408" i="30"/>
  <c r="BN318" i="30"/>
  <c r="BO261" i="30"/>
  <c r="BO71" i="30"/>
  <c r="AO40" i="35"/>
  <c r="G2" i="30"/>
  <c r="V302" i="30"/>
  <c r="V52" i="30"/>
  <c r="V358" i="30" s="1"/>
  <c r="V24" i="30"/>
  <c r="U302" i="30"/>
  <c r="U24" i="30"/>
  <c r="U52" i="30"/>
  <c r="U358" i="30" s="1"/>
  <c r="V291" i="30"/>
  <c r="V41" i="30"/>
  <c r="V347" i="30" s="1"/>
  <c r="V13" i="30"/>
  <c r="W52" i="30"/>
  <c r="W358" i="30" s="1"/>
  <c r="W24" i="30"/>
  <c r="W302" i="30"/>
  <c r="Y54" i="30"/>
  <c r="U41" i="30"/>
  <c r="U347" i="30" s="1"/>
  <c r="U13" i="30"/>
  <c r="U291" i="30"/>
  <c r="Y41" i="30"/>
  <c r="Y347" i="30" s="1"/>
  <c r="Y13" i="30"/>
  <c r="Y291" i="30"/>
  <c r="Y302" i="30"/>
  <c r="Y24" i="30"/>
  <c r="Y52" i="30"/>
  <c r="Y358" i="30" s="1"/>
  <c r="U54" i="30"/>
  <c r="W291" i="30"/>
  <c r="W41" i="30"/>
  <c r="W347" i="30" s="1"/>
  <c r="W13" i="30"/>
  <c r="AN44" i="34"/>
  <c r="AO37" i="35"/>
  <c r="AO36" i="35"/>
  <c r="AO41" i="35"/>
  <c r="AO33" i="35"/>
  <c r="AN40" i="34"/>
  <c r="AO40" i="34"/>
  <c r="AN39" i="34"/>
  <c r="AN42" i="34"/>
  <c r="AO44" i="34"/>
  <c r="AN43" i="34"/>
  <c r="AN41" i="34"/>
  <c r="AO41" i="34"/>
  <c r="AO43" i="34"/>
  <c r="AN45" i="34"/>
  <c r="AN38" i="34"/>
  <c r="AO42" i="34"/>
  <c r="AO39" i="34"/>
  <c r="AO38" i="34"/>
  <c r="AO45" i="34"/>
  <c r="AM36" i="35"/>
  <c r="AL37" i="35"/>
  <c r="AL41" i="35"/>
  <c r="AM40" i="35"/>
  <c r="AP34" i="35"/>
  <c r="AP38" i="35"/>
  <c r="AL33" i="35"/>
  <c r="AM33" i="35"/>
  <c r="AM41" i="35"/>
  <c r="AO34" i="35"/>
  <c r="AO38" i="35"/>
  <c r="AN36" i="35"/>
  <c r="AM39" i="35"/>
  <c r="AP33" i="35"/>
  <c r="AP37" i="35"/>
  <c r="AP41" i="35"/>
  <c r="AL36" i="35"/>
  <c r="AL40" i="35"/>
  <c r="AN35" i="35"/>
  <c r="AN39" i="35"/>
  <c r="AM37" i="35"/>
  <c r="AP35" i="35"/>
  <c r="AP39" i="35"/>
  <c r="AL34" i="35"/>
  <c r="AL38" i="35"/>
  <c r="AN33" i="35"/>
  <c r="AN37" i="35"/>
  <c r="AN41" i="35"/>
  <c r="AN40" i="35"/>
  <c r="AM34" i="35"/>
  <c r="AM38" i="35"/>
  <c r="AO35" i="35"/>
  <c r="AO39" i="35"/>
  <c r="AP36" i="35"/>
  <c r="AP40" i="35"/>
  <c r="AL35" i="35"/>
  <c r="AL39" i="35"/>
  <c r="AN34" i="35"/>
  <c r="AN38" i="35"/>
  <c r="AP43" i="34"/>
  <c r="AM39" i="34"/>
  <c r="AP41" i="34"/>
  <c r="AP45" i="34"/>
  <c r="AL41" i="34"/>
  <c r="AL45" i="34"/>
  <c r="AM41" i="34"/>
  <c r="AM45" i="34"/>
  <c r="AP39" i="34"/>
  <c r="AL39" i="34"/>
  <c r="AP38" i="34"/>
  <c r="AP42" i="34"/>
  <c r="AL38" i="34"/>
  <c r="AL42" i="34"/>
  <c r="AM38" i="34"/>
  <c r="AM42" i="34"/>
  <c r="AN37" i="34"/>
  <c r="AL37" i="34"/>
  <c r="AO37" i="34"/>
  <c r="AL43" i="34"/>
  <c r="AM43" i="34"/>
  <c r="AP40" i="34"/>
  <c r="AP44" i="34"/>
  <c r="AL40" i="34"/>
  <c r="AL44" i="34"/>
  <c r="AM40" i="34"/>
  <c r="AM44" i="34"/>
  <c r="AP37" i="34"/>
  <c r="AM37" i="34"/>
  <c r="Y280" i="30"/>
  <c r="V280" i="30"/>
  <c r="Y295" i="30"/>
  <c r="W300" i="30"/>
  <c r="U295" i="30"/>
  <c r="Y293" i="30"/>
  <c r="U283" i="30"/>
  <c r="V292" i="30"/>
  <c r="V290" i="30"/>
  <c r="W283" i="30"/>
  <c r="V295" i="30"/>
  <c r="U288" i="30"/>
  <c r="W287" i="30"/>
  <c r="Y285" i="30"/>
  <c r="W281" i="30"/>
  <c r="W280" i="30"/>
  <c r="V301" i="30"/>
  <c r="W292" i="30"/>
  <c r="W290" i="30"/>
  <c r="V282" i="30"/>
  <c r="Y289" i="30"/>
  <c r="W296" i="30"/>
  <c r="W298" i="30"/>
  <c r="W295" i="30"/>
  <c r="Y283" i="30"/>
  <c r="V289" i="30"/>
  <c r="W282" i="30"/>
  <c r="V300" i="30"/>
  <c r="W299" i="30"/>
  <c r="Y298" i="30"/>
  <c r="V293" i="30"/>
  <c r="V294" i="30"/>
  <c r="Y284" i="30"/>
  <c r="W284" i="30"/>
  <c r="U292" i="30"/>
  <c r="Y292" i="30"/>
  <c r="V283" i="30"/>
  <c r="Y299" i="30"/>
  <c r="W294" i="30"/>
  <c r="Y294" i="30"/>
  <c r="W293" i="30"/>
  <c r="V285" i="30"/>
  <c r="V284" i="30"/>
  <c r="U300" i="30"/>
  <c r="Y290" i="30"/>
  <c r="U284" i="30"/>
  <c r="Y286" i="30"/>
  <c r="U281" i="30"/>
  <c r="V298" i="30"/>
  <c r="U289" i="30"/>
  <c r="U287" i="30"/>
  <c r="U285" i="30"/>
  <c r="W286" i="30"/>
  <c r="Y301" i="30"/>
  <c r="U301" i="30"/>
  <c r="V297" i="30"/>
  <c r="U293" i="30"/>
  <c r="U298" i="30"/>
  <c r="W297" i="30"/>
  <c r="Y296" i="30"/>
  <c r="W301" i="30"/>
  <c r="Y300" i="30"/>
  <c r="U290" i="30"/>
  <c r="W289" i="30"/>
  <c r="Y288" i="30"/>
  <c r="U286" i="30"/>
  <c r="W285" i="30"/>
  <c r="Y287" i="30"/>
  <c r="V296" i="30"/>
  <c r="Y47" i="30"/>
  <c r="Y353" i="30" s="1"/>
  <c r="Y45" i="30"/>
  <c r="Y351" i="30" s="1"/>
  <c r="U45" i="30"/>
  <c r="U351" i="30" s="1"/>
  <c r="Y43" i="30"/>
  <c r="Y349" i="30" s="1"/>
  <c r="Y30" i="30"/>
  <c r="Y336" i="30" s="1"/>
  <c r="V40" i="30"/>
  <c r="V346" i="30" s="1"/>
  <c r="V30" i="30"/>
  <c r="V336" i="30" s="1"/>
  <c r="V45" i="30"/>
  <c r="V351" i="30" s="1"/>
  <c r="U38" i="30"/>
  <c r="U344" i="30" s="1"/>
  <c r="Y35" i="30"/>
  <c r="Y341" i="30" s="1"/>
  <c r="W31" i="30"/>
  <c r="W337" i="30" s="1"/>
  <c r="W30" i="30"/>
  <c r="W336" i="30" s="1"/>
  <c r="V51" i="30"/>
  <c r="V357" i="30" s="1"/>
  <c r="W42" i="30"/>
  <c r="W348" i="30" s="1"/>
  <c r="W40" i="30"/>
  <c r="W346" i="30" s="1"/>
  <c r="V32" i="30"/>
  <c r="V338" i="30" s="1"/>
  <c r="Y39" i="30"/>
  <c r="Y345" i="30" s="1"/>
  <c r="W46" i="30"/>
  <c r="W352" i="30" s="1"/>
  <c r="W48" i="30"/>
  <c r="W354" i="30" s="1"/>
  <c r="W45" i="30"/>
  <c r="W351" i="30" s="1"/>
  <c r="Y33" i="30"/>
  <c r="Y339" i="30" s="1"/>
  <c r="V39" i="30"/>
  <c r="V345" i="30" s="1"/>
  <c r="W32" i="30"/>
  <c r="W338" i="30" s="1"/>
  <c r="V37" i="30"/>
  <c r="V343" i="30" s="1"/>
  <c r="V50" i="30"/>
  <c r="V356" i="30" s="1"/>
  <c r="W49" i="30"/>
  <c r="W355" i="30" s="1"/>
  <c r="Y48" i="30"/>
  <c r="Y354" i="30" s="1"/>
  <c r="V43" i="30"/>
  <c r="V349" i="30" s="1"/>
  <c r="V44" i="30"/>
  <c r="V350" i="30" s="1"/>
  <c r="Y34" i="30"/>
  <c r="Y340" i="30" s="1"/>
  <c r="W34" i="30"/>
  <c r="W340" i="30" s="1"/>
  <c r="U42" i="30"/>
  <c r="U348" i="30" s="1"/>
  <c r="Y42" i="30"/>
  <c r="Y348" i="30" s="1"/>
  <c r="V33" i="30"/>
  <c r="V339" i="30" s="1"/>
  <c r="W50" i="30"/>
  <c r="W356" i="30" s="1"/>
  <c r="Y49" i="30"/>
  <c r="Y355" i="30" s="1"/>
  <c r="W44" i="30"/>
  <c r="W350" i="30" s="1"/>
  <c r="Y44" i="30"/>
  <c r="Y350" i="30" s="1"/>
  <c r="W43" i="30"/>
  <c r="W349" i="30" s="1"/>
  <c r="V35" i="30"/>
  <c r="V341" i="30" s="1"/>
  <c r="V34" i="30"/>
  <c r="V340" i="30" s="1"/>
  <c r="U50" i="30"/>
  <c r="U356" i="30" s="1"/>
  <c r="Y40" i="30"/>
  <c r="Y346" i="30" s="1"/>
  <c r="U34" i="30"/>
  <c r="U340" i="30" s="1"/>
  <c r="Y36" i="30"/>
  <c r="Y342" i="30" s="1"/>
  <c r="U31" i="30"/>
  <c r="U337" i="30" s="1"/>
  <c r="V48" i="30"/>
  <c r="V354" i="30" s="1"/>
  <c r="U39" i="30"/>
  <c r="U345" i="30" s="1"/>
  <c r="U37" i="30"/>
  <c r="U343" i="30" s="1"/>
  <c r="U35" i="30"/>
  <c r="U341" i="30" s="1"/>
  <c r="W36" i="30"/>
  <c r="W342" i="30" s="1"/>
  <c r="U33" i="30"/>
  <c r="U339" i="30" s="1"/>
  <c r="V42" i="30"/>
  <c r="V348" i="30" s="1"/>
  <c r="W33" i="30"/>
  <c r="W339" i="30" s="1"/>
  <c r="Y51" i="30"/>
  <c r="Y357" i="30" s="1"/>
  <c r="U51" i="30"/>
  <c r="U357" i="30" s="1"/>
  <c r="U47" i="30"/>
  <c r="U353" i="30" s="1"/>
  <c r="V47" i="30"/>
  <c r="V353" i="30" s="1"/>
  <c r="U43" i="30"/>
  <c r="U349" i="30" s="1"/>
  <c r="U48" i="30"/>
  <c r="U354" i="30" s="1"/>
  <c r="W47" i="30"/>
  <c r="W353" i="30" s="1"/>
  <c r="Y46" i="30"/>
  <c r="Y352" i="30" s="1"/>
  <c r="W51" i="30"/>
  <c r="W357" i="30" s="1"/>
  <c r="Y50" i="30"/>
  <c r="Y356" i="30" s="1"/>
  <c r="U40" i="30"/>
  <c r="U346" i="30" s="1"/>
  <c r="W39" i="30"/>
  <c r="W345" i="30" s="1"/>
  <c r="Y38" i="30"/>
  <c r="Y344" i="30" s="1"/>
  <c r="U36" i="30"/>
  <c r="U342" i="30" s="1"/>
  <c r="W35" i="30"/>
  <c r="W341" i="30" s="1"/>
  <c r="Y37" i="30"/>
  <c r="Y343" i="30" s="1"/>
  <c r="V46" i="30"/>
  <c r="V352" i="30" s="1"/>
  <c r="V10" i="30"/>
  <c r="W22" i="30"/>
  <c r="W16" i="30"/>
  <c r="V53" i="30"/>
  <c r="Y21" i="30"/>
  <c r="W18" i="30"/>
  <c r="W20" i="30"/>
  <c r="W17" i="30"/>
  <c r="Y5" i="30"/>
  <c r="V11" i="30"/>
  <c r="W4" i="30"/>
  <c r="V9" i="30"/>
  <c r="V22" i="30"/>
  <c r="W21" i="30"/>
  <c r="V15" i="30"/>
  <c r="V16" i="30"/>
  <c r="Y6" i="30"/>
  <c r="W6" i="30"/>
  <c r="U14" i="30"/>
  <c r="Y14" i="30"/>
  <c r="V5" i="30"/>
  <c r="W15" i="30"/>
  <c r="V7" i="30"/>
  <c r="V6" i="30"/>
  <c r="U22" i="30"/>
  <c r="Y12" i="30"/>
  <c r="U6" i="30"/>
  <c r="Y8" i="30"/>
  <c r="U3" i="30"/>
  <c r="V20" i="30"/>
  <c r="U11" i="30"/>
  <c r="W10" i="30"/>
  <c r="U9" i="30"/>
  <c r="U7" i="30"/>
  <c r="W8" i="30"/>
  <c r="V2" i="30"/>
  <c r="Y23" i="30"/>
  <c r="U23" i="30"/>
  <c r="V19" i="30"/>
  <c r="U15" i="30"/>
  <c r="U20" i="30"/>
  <c r="W19" i="30"/>
  <c r="Y18" i="30"/>
  <c r="W23" i="30"/>
  <c r="Y22" i="30"/>
  <c r="U12" i="30"/>
  <c r="W11" i="30"/>
  <c r="Y10" i="30"/>
  <c r="U8" i="30"/>
  <c r="W7" i="30"/>
  <c r="Y9" i="30"/>
  <c r="V18" i="30"/>
  <c r="V21" i="30"/>
  <c r="Y16" i="30"/>
  <c r="Y19" i="30"/>
  <c r="Y17" i="30"/>
  <c r="U17" i="30"/>
  <c r="Y15" i="30"/>
  <c r="U5" i="30"/>
  <c r="Y2" i="30"/>
  <c r="V14" i="30"/>
  <c r="V12" i="30"/>
  <c r="W5" i="30"/>
  <c r="V17" i="30"/>
  <c r="U10" i="30"/>
  <c r="W9" i="30"/>
  <c r="Y7" i="30"/>
  <c r="W3" i="30"/>
  <c r="Y3" i="30"/>
  <c r="W2" i="30"/>
  <c r="W53" i="30"/>
  <c r="V23" i="30"/>
  <c r="W14" i="30"/>
  <c r="W12" i="30"/>
  <c r="V4" i="30"/>
  <c r="Y11" i="30"/>
  <c r="V38" i="30" l="1"/>
  <c r="V344" i="30" s="1"/>
  <c r="V281" i="30"/>
  <c r="V303" i="30" s="1"/>
  <c r="U32" i="30"/>
  <c r="U338" i="30" s="1"/>
  <c r="Y32" i="30"/>
  <c r="Y338" i="30" s="1"/>
  <c r="W38" i="30"/>
  <c r="W344" i="30" s="1"/>
  <c r="W360" i="30" s="1"/>
  <c r="Y4" i="30"/>
  <c r="Y25" i="30" s="1"/>
  <c r="V299" i="30"/>
  <c r="V305" i="30" s="1"/>
  <c r="V286" i="30"/>
  <c r="V304" i="30" s="1"/>
  <c r="U44" i="30"/>
  <c r="U350" i="30" s="1"/>
  <c r="V55" i="30"/>
  <c r="U53" i="30"/>
  <c r="U4" i="30"/>
  <c r="U25" i="30" s="1"/>
  <c r="U296" i="30"/>
  <c r="Y55" i="30"/>
  <c r="V8" i="30"/>
  <c r="V26" i="30" s="1"/>
  <c r="U16" i="30"/>
  <c r="U46" i="30"/>
  <c r="U352" i="30" s="1"/>
  <c r="V3" i="30"/>
  <c r="V25" i="30" s="1"/>
  <c r="U21" i="30"/>
  <c r="Y53" i="30"/>
  <c r="U297" i="30"/>
  <c r="U49" i="30"/>
  <c r="U355" i="30" s="1"/>
  <c r="W54" i="30"/>
  <c r="W56" i="30" s="1"/>
  <c r="V54" i="30"/>
  <c r="U55" i="30"/>
  <c r="Y31" i="30"/>
  <c r="Y337" i="30" s="1"/>
  <c r="X284" i="30"/>
  <c r="X2" i="30"/>
  <c r="X296" i="30"/>
  <c r="X7" i="30"/>
  <c r="X283" i="30"/>
  <c r="X42" i="30"/>
  <c r="X348" i="30" s="1"/>
  <c r="X299" i="30"/>
  <c r="X286" i="30"/>
  <c r="X4" i="30"/>
  <c r="X46" i="30"/>
  <c r="X352" i="30" s="1"/>
  <c r="X292" i="30"/>
  <c r="X18" i="30"/>
  <c r="X9" i="30"/>
  <c r="X8" i="30"/>
  <c r="X36" i="30"/>
  <c r="X342" i="30" s="1"/>
  <c r="X21" i="30"/>
  <c r="X11" i="30"/>
  <c r="X30" i="30"/>
  <c r="X336" i="30" s="1"/>
  <c r="X49" i="30"/>
  <c r="X355" i="30" s="1"/>
  <c r="X41" i="30"/>
  <c r="X347" i="30" s="1"/>
  <c r="X32" i="30"/>
  <c r="X338" i="30" s="1"/>
  <c r="X302" i="30"/>
  <c r="X51" i="30"/>
  <c r="X357" i="30" s="1"/>
  <c r="X298" i="30"/>
  <c r="X43" i="30"/>
  <c r="X349" i="30" s="1"/>
  <c r="X35" i="30"/>
  <c r="X341" i="30" s="1"/>
  <c r="X19" i="30"/>
  <c r="X44" i="30"/>
  <c r="X350" i="30" s="1"/>
  <c r="X45" i="30"/>
  <c r="X351" i="30" s="1"/>
  <c r="X40" i="30"/>
  <c r="X346" i="30" s="1"/>
  <c r="X31" i="30"/>
  <c r="X337" i="30" s="1"/>
  <c r="X5" i="30"/>
  <c r="X22" i="30"/>
  <c r="X10" i="30"/>
  <c r="X14" i="30"/>
  <c r="X23" i="30"/>
  <c r="X39" i="30"/>
  <c r="X345" i="30" s="1"/>
  <c r="X297" i="30"/>
  <c r="X285" i="30"/>
  <c r="X301" i="30"/>
  <c r="X53" i="30"/>
  <c r="X3" i="30"/>
  <c r="X12" i="30"/>
  <c r="X17" i="30"/>
  <c r="X281" i="30"/>
  <c r="X290" i="30"/>
  <c r="X55" i="30"/>
  <c r="X289" i="30"/>
  <c r="X54" i="30"/>
  <c r="X20" i="30"/>
  <c r="X15" i="30"/>
  <c r="X38" i="30"/>
  <c r="X344" i="30" s="1"/>
  <c r="X37" i="30"/>
  <c r="X343" i="30" s="1"/>
  <c r="X288" i="30"/>
  <c r="X287" i="30"/>
  <c r="X50" i="30"/>
  <c r="X356" i="30" s="1"/>
  <c r="X291" i="30"/>
  <c r="X300" i="30"/>
  <c r="X6" i="30"/>
  <c r="X48" i="30"/>
  <c r="X354" i="30" s="1"/>
  <c r="X33" i="30"/>
  <c r="X339" i="30" s="1"/>
  <c r="X293" i="30"/>
  <c r="X295" i="30"/>
  <c r="X280" i="30"/>
  <c r="X13" i="30"/>
  <c r="X24" i="30"/>
  <c r="X282" i="30"/>
  <c r="X16" i="30"/>
  <c r="U2" i="30"/>
  <c r="X34" i="30"/>
  <c r="X340" i="30" s="1"/>
  <c r="X47" i="30"/>
  <c r="X353" i="30" s="1"/>
  <c r="X294" i="30"/>
  <c r="X52" i="30"/>
  <c r="X358" i="30" s="1"/>
  <c r="U280" i="30"/>
  <c r="U303" i="30" s="1"/>
  <c r="U30" i="30"/>
  <c r="U336" i="30" s="1"/>
  <c r="Y361" i="30"/>
  <c r="U360" i="30"/>
  <c r="V359" i="30"/>
  <c r="V360" i="30"/>
  <c r="Y360" i="30"/>
  <c r="W361" i="30"/>
  <c r="V361" i="30"/>
  <c r="W359" i="30"/>
  <c r="Y65" i="30"/>
  <c r="Y66" i="30"/>
  <c r="Y78" i="30"/>
  <c r="V64" i="30"/>
  <c r="U75" i="30"/>
  <c r="W64" i="30"/>
  <c r="Y64" i="30"/>
  <c r="U78" i="30"/>
  <c r="V69" i="30"/>
  <c r="V63" i="30"/>
  <c r="Y72" i="30"/>
  <c r="Y77" i="30"/>
  <c r="Y70" i="30"/>
  <c r="V72" i="30"/>
  <c r="V78" i="30"/>
  <c r="W74" i="30"/>
  <c r="V60" i="30"/>
  <c r="W70" i="30"/>
  <c r="W59" i="30"/>
  <c r="U66" i="30"/>
  <c r="Y80" i="30"/>
  <c r="U73" i="30"/>
  <c r="V77" i="30"/>
  <c r="W67" i="30"/>
  <c r="W79" i="30"/>
  <c r="W75" i="30"/>
  <c r="V66" i="30"/>
  <c r="U79" i="30"/>
  <c r="W61" i="30"/>
  <c r="U63" i="30"/>
  <c r="U67" i="30"/>
  <c r="U62" i="30"/>
  <c r="W71" i="30"/>
  <c r="W72" i="30"/>
  <c r="W78" i="30"/>
  <c r="U70" i="30"/>
  <c r="V71" i="30"/>
  <c r="V67" i="30"/>
  <c r="Y67" i="30"/>
  <c r="V59" i="30"/>
  <c r="V79" i="30"/>
  <c r="V74" i="30"/>
  <c r="W63" i="30"/>
  <c r="U68" i="30"/>
  <c r="U71" i="30"/>
  <c r="Y79" i="30"/>
  <c r="V70" i="30"/>
  <c r="U65" i="30"/>
  <c r="V76" i="30"/>
  <c r="Y68" i="30"/>
  <c r="V62" i="30"/>
  <c r="Y60" i="30"/>
  <c r="V80" i="30"/>
  <c r="V61" i="30"/>
  <c r="W62" i="30"/>
  <c r="Y76" i="30"/>
  <c r="V65" i="30"/>
  <c r="W73" i="30"/>
  <c r="Y69" i="30"/>
  <c r="W68" i="30"/>
  <c r="Y63" i="30"/>
  <c r="V73" i="30"/>
  <c r="Y73" i="30"/>
  <c r="U64" i="30"/>
  <c r="Y74" i="30"/>
  <c r="U76" i="30"/>
  <c r="V75" i="30"/>
  <c r="U61" i="30"/>
  <c r="U59" i="30"/>
  <c r="W69" i="30"/>
  <c r="W80" i="30"/>
  <c r="Y62" i="30"/>
  <c r="W77" i="30"/>
  <c r="W60" i="30"/>
  <c r="Y61" i="30"/>
  <c r="W76" i="30"/>
  <c r="U69" i="30"/>
  <c r="W65" i="30"/>
  <c r="U80" i="30"/>
  <c r="V68" i="30"/>
  <c r="Y71" i="30"/>
  <c r="Y75" i="30"/>
  <c r="W303" i="30"/>
  <c r="U304" i="30"/>
  <c r="W304" i="30"/>
  <c r="Y303" i="30"/>
  <c r="Y304" i="30"/>
  <c r="W305" i="30"/>
  <c r="Y305" i="30"/>
  <c r="W25" i="30"/>
  <c r="U26" i="30"/>
  <c r="Y27" i="30"/>
  <c r="W27" i="30"/>
  <c r="V27" i="30"/>
  <c r="W26" i="30"/>
  <c r="Y26" i="30"/>
  <c r="U359" i="30" l="1"/>
  <c r="U60" i="30"/>
  <c r="Y59" i="30"/>
  <c r="Y56" i="30"/>
  <c r="Y359" i="30"/>
  <c r="Y362" i="30" s="1"/>
  <c r="W66" i="30"/>
  <c r="U305" i="30"/>
  <c r="U306" i="30" s="1"/>
  <c r="U361" i="30"/>
  <c r="U362" i="30" s="1"/>
  <c r="U74" i="30"/>
  <c r="V56" i="30"/>
  <c r="U77" i="30"/>
  <c r="U72" i="30"/>
  <c r="U56" i="30"/>
  <c r="U27" i="30"/>
  <c r="X77" i="30"/>
  <c r="X60" i="30"/>
  <c r="X67" i="30"/>
  <c r="X76" i="30"/>
  <c r="X73" i="30"/>
  <c r="X78" i="30"/>
  <c r="X70" i="30"/>
  <c r="X65" i="30"/>
  <c r="X68" i="30"/>
  <c r="X25" i="30"/>
  <c r="X79" i="30"/>
  <c r="X59" i="30"/>
  <c r="X64" i="30"/>
  <c r="X360" i="30"/>
  <c r="X69" i="30"/>
  <c r="X74" i="30"/>
  <c r="X72" i="30"/>
  <c r="X71" i="30"/>
  <c r="X66" i="30"/>
  <c r="X56" i="30"/>
  <c r="X26" i="30"/>
  <c r="X305" i="30"/>
  <c r="X304" i="30"/>
  <c r="X61" i="30"/>
  <c r="X75" i="30"/>
  <c r="X359" i="30"/>
  <c r="X63" i="30"/>
  <c r="X303" i="30"/>
  <c r="X361" i="30"/>
  <c r="X80" i="30"/>
  <c r="X62" i="30"/>
  <c r="X27" i="30"/>
  <c r="W362" i="30"/>
  <c r="V362" i="30"/>
  <c r="V306" i="30"/>
  <c r="Y306" i="30"/>
  <c r="W306" i="30"/>
  <c r="V28" i="30"/>
  <c r="W28" i="30"/>
  <c r="U28" i="30"/>
  <c r="Y28" i="30"/>
  <c r="X306" i="30" l="1"/>
  <c r="X28" i="30"/>
  <c r="X362" i="30"/>
  <c r="U315" i="30"/>
  <c r="U311" i="30"/>
  <c r="U313" i="30"/>
  <c r="U323" i="30"/>
  <c r="U318" i="30"/>
  <c r="U321" i="30"/>
  <c r="U326" i="30"/>
  <c r="U329" i="30"/>
  <c r="U316" i="30"/>
  <c r="U319" i="30"/>
  <c r="U314" i="30"/>
  <c r="U328" i="30"/>
  <c r="U324" i="30"/>
  <c r="U327" i="30"/>
  <c r="U322" i="30"/>
  <c r="U309" i="30"/>
  <c r="U330" i="30"/>
  <c r="U317" i="30"/>
  <c r="U325" i="30"/>
  <c r="U310" i="30"/>
  <c r="AO1" i="30"/>
  <c r="AP1" i="30"/>
  <c r="AQ1" i="30"/>
  <c r="AR1" i="30"/>
  <c r="AS1" i="30"/>
  <c r="U308" i="30" l="1"/>
  <c r="U331" i="30" s="1"/>
  <c r="U320" i="30"/>
  <c r="U333" i="30" s="1"/>
  <c r="U312" i="30"/>
  <c r="U332" i="30" s="1"/>
  <c r="O335" i="30"/>
  <c r="O420" i="29" l="1"/>
  <c r="G420" i="29"/>
  <c r="G419" i="29"/>
  <c r="G418" i="29"/>
  <c r="G417" i="29"/>
  <c r="G416" i="29"/>
  <c r="G415" i="29"/>
  <c r="G414" i="29"/>
  <c r="G413" i="29"/>
  <c r="O412" i="29"/>
  <c r="G412" i="29"/>
  <c r="G411" i="29"/>
  <c r="G410" i="29"/>
  <c r="G409" i="29"/>
  <c r="G408" i="29"/>
  <c r="W407" i="29"/>
  <c r="G407" i="29"/>
  <c r="G406" i="29"/>
  <c r="G405" i="29"/>
  <c r="O404" i="29"/>
  <c r="G404" i="29"/>
  <c r="G403" i="29"/>
  <c r="G402" i="29"/>
  <c r="G401" i="29"/>
  <c r="G400" i="29"/>
  <c r="W399" i="29"/>
  <c r="G399" i="29"/>
  <c r="G398" i="29"/>
  <c r="G397" i="29"/>
  <c r="O396" i="29"/>
  <c r="G396" i="29"/>
  <c r="G395" i="29"/>
  <c r="G394" i="29"/>
  <c r="AM393" i="29"/>
  <c r="G393" i="29"/>
  <c r="G392" i="29"/>
  <c r="W391" i="29"/>
  <c r="G391" i="29"/>
  <c r="G390" i="29"/>
  <c r="G389" i="29"/>
  <c r="O388" i="29"/>
  <c r="G388" i="29"/>
  <c r="G387" i="29"/>
  <c r="G386" i="29"/>
  <c r="G385" i="29"/>
  <c r="G384" i="29"/>
  <c r="W383" i="29"/>
  <c r="G383" i="29"/>
  <c r="G382" i="29"/>
  <c r="G381" i="29"/>
  <c r="O380" i="29"/>
  <c r="G380" i="29"/>
  <c r="G379" i="29"/>
  <c r="G378" i="29"/>
  <c r="AM377" i="29"/>
  <c r="G377" i="29"/>
  <c r="G376" i="29"/>
  <c r="W375" i="29"/>
  <c r="G375" i="29"/>
  <c r="W374" i="29"/>
  <c r="G374" i="29"/>
  <c r="G373" i="29"/>
  <c r="O372" i="29"/>
  <c r="G372" i="29"/>
  <c r="G371" i="29"/>
  <c r="G370" i="29"/>
  <c r="G369" i="29"/>
  <c r="G368" i="29"/>
  <c r="W367" i="29"/>
  <c r="G367" i="29"/>
  <c r="G366" i="29"/>
  <c r="G365" i="29"/>
  <c r="O364" i="29"/>
  <c r="G364" i="29"/>
  <c r="O363" i="29"/>
  <c r="G363" i="29"/>
  <c r="G362" i="29"/>
  <c r="G361" i="29"/>
  <c r="G360" i="29"/>
  <c r="W359" i="29"/>
  <c r="G359" i="29"/>
  <c r="G358" i="29"/>
  <c r="G357" i="29"/>
  <c r="O356" i="29"/>
  <c r="G356" i="29"/>
  <c r="G355" i="29"/>
  <c r="G354" i="29"/>
  <c r="G353" i="29"/>
  <c r="G352" i="29"/>
  <c r="W351" i="29"/>
  <c r="G351" i="29"/>
  <c r="G350" i="29"/>
  <c r="G349" i="29"/>
  <c r="O348" i="29"/>
  <c r="G348" i="29"/>
  <c r="G347" i="29"/>
  <c r="G346" i="29"/>
  <c r="G345" i="29"/>
  <c r="G344" i="29"/>
  <c r="W343" i="29"/>
  <c r="G343" i="29"/>
  <c r="G342" i="29"/>
  <c r="G341" i="29"/>
  <c r="O340" i="29"/>
  <c r="G340" i="29"/>
  <c r="G339" i="29"/>
  <c r="G338" i="29"/>
  <c r="G337" i="29"/>
  <c r="G336" i="29"/>
  <c r="W335" i="29"/>
  <c r="G335" i="29"/>
  <c r="G334" i="29"/>
  <c r="G333" i="29"/>
  <c r="O332" i="29"/>
  <c r="G332" i="29"/>
  <c r="G331" i="29"/>
  <c r="G330" i="29"/>
  <c r="AM329" i="29"/>
  <c r="G329" i="29"/>
  <c r="G328" i="29"/>
  <c r="W327" i="29"/>
  <c r="G327" i="29"/>
  <c r="G326" i="29"/>
  <c r="G325" i="29"/>
  <c r="O324" i="29"/>
  <c r="G324" i="29"/>
  <c r="G323" i="29"/>
  <c r="G322" i="29"/>
  <c r="G321" i="29"/>
  <c r="G320" i="29"/>
  <c r="W319" i="29"/>
  <c r="G319" i="29"/>
  <c r="G318" i="29"/>
  <c r="G317" i="29"/>
  <c r="O316" i="29"/>
  <c r="G316" i="29"/>
  <c r="G315" i="29"/>
  <c r="G314" i="29"/>
  <c r="AM313" i="29"/>
  <c r="G313" i="29"/>
  <c r="G312" i="29"/>
  <c r="W311" i="29"/>
  <c r="G311" i="29"/>
  <c r="G310" i="29"/>
  <c r="G309" i="29"/>
  <c r="O308" i="29"/>
  <c r="G308" i="29"/>
  <c r="G307" i="29"/>
  <c r="G306" i="29"/>
  <c r="G305" i="29"/>
  <c r="G304" i="29"/>
  <c r="W303" i="29"/>
  <c r="G303" i="29"/>
  <c r="G302" i="29"/>
  <c r="G301" i="29"/>
  <c r="O300" i="29"/>
  <c r="G300" i="29"/>
  <c r="G299" i="29"/>
  <c r="G298" i="29"/>
  <c r="G297" i="29"/>
  <c r="G296" i="29"/>
  <c r="W295" i="29"/>
  <c r="G295" i="29"/>
  <c r="G294" i="29"/>
  <c r="G293" i="29"/>
  <c r="G292" i="29"/>
  <c r="G291" i="29"/>
  <c r="G290" i="29"/>
  <c r="G289" i="29"/>
  <c r="G288" i="29"/>
  <c r="G287" i="29"/>
  <c r="G286" i="29"/>
  <c r="G285" i="29"/>
  <c r="G284" i="29"/>
  <c r="G283" i="29"/>
  <c r="G282" i="29"/>
  <c r="G281" i="29"/>
  <c r="G280" i="29"/>
  <c r="G279" i="29"/>
  <c r="G278" i="29"/>
  <c r="G277" i="29"/>
  <c r="G276" i="29"/>
  <c r="G275" i="29"/>
  <c r="G274" i="29"/>
  <c r="G273" i="29"/>
  <c r="G272" i="29"/>
  <c r="G271" i="29"/>
  <c r="G270" i="29"/>
  <c r="G269" i="29"/>
  <c r="G268" i="29"/>
  <c r="G267" i="29"/>
  <c r="G266" i="29"/>
  <c r="G265" i="29"/>
  <c r="G264" i="29"/>
  <c r="G263" i="29"/>
  <c r="G262" i="29"/>
  <c r="G261" i="29"/>
  <c r="G260" i="29"/>
  <c r="G259" i="29"/>
  <c r="G258" i="29"/>
  <c r="G257" i="29"/>
  <c r="G256" i="29"/>
  <c r="G255" i="29"/>
  <c r="G254" i="29"/>
  <c r="G253" i="29"/>
  <c r="G252" i="29"/>
  <c r="G251" i="29"/>
  <c r="G250" i="29"/>
  <c r="G249" i="29"/>
  <c r="G248" i="29"/>
  <c r="G247" i="29"/>
  <c r="G246" i="29"/>
  <c r="G245" i="29"/>
  <c r="G244" i="29"/>
  <c r="G243" i="29"/>
  <c r="G242" i="29"/>
  <c r="G159" i="29"/>
  <c r="G158" i="29"/>
  <c r="G157" i="29"/>
  <c r="G156" i="29"/>
  <c r="G155" i="29"/>
  <c r="G154" i="29"/>
  <c r="G153" i="29"/>
  <c r="G152" i="29"/>
  <c r="G151" i="29"/>
  <c r="G150" i="29"/>
  <c r="G149" i="29"/>
  <c r="G148" i="29"/>
  <c r="G147" i="29"/>
  <c r="G146" i="29"/>
  <c r="G145" i="29"/>
  <c r="G144" i="29"/>
  <c r="G143" i="29"/>
  <c r="G142" i="29"/>
  <c r="G141" i="29"/>
  <c r="G140" i="29"/>
  <c r="G139" i="29"/>
  <c r="G138" i="29"/>
  <c r="G137" i="29"/>
  <c r="G136" i="29"/>
  <c r="G135" i="29"/>
  <c r="G134" i="29"/>
  <c r="G133" i="29"/>
  <c r="G132" i="29"/>
  <c r="G131" i="29"/>
  <c r="G130" i="29"/>
  <c r="G129" i="29"/>
  <c r="G128" i="29"/>
  <c r="G127" i="29"/>
  <c r="G126" i="29"/>
  <c r="G125" i="29"/>
  <c r="G124" i="29"/>
  <c r="G123" i="29"/>
  <c r="G122" i="29"/>
  <c r="G121" i="29"/>
  <c r="G120" i="29"/>
  <c r="G119" i="29"/>
  <c r="G118" i="29"/>
  <c r="G117" i="29"/>
  <c r="G116" i="29"/>
  <c r="G115" i="29"/>
  <c r="G114" i="29"/>
  <c r="G113" i="29"/>
  <c r="G112" i="29"/>
  <c r="G111" i="29"/>
  <c r="G110" i="29"/>
  <c r="G109" i="29"/>
  <c r="G108" i="29"/>
  <c r="G107" i="29"/>
  <c r="G106" i="29"/>
  <c r="G105" i="29"/>
  <c r="G104" i="29"/>
  <c r="G103" i="29"/>
  <c r="G102" i="29"/>
  <c r="G101" i="29"/>
  <c r="G100" i="29"/>
  <c r="G99" i="29"/>
  <c r="G98" i="29"/>
  <c r="G97" i="29"/>
  <c r="G96" i="29"/>
  <c r="G95" i="29"/>
  <c r="G94" i="29"/>
  <c r="G93" i="29"/>
  <c r="G92" i="29"/>
  <c r="G91" i="29"/>
  <c r="G90" i="29"/>
  <c r="G89" i="29"/>
  <c r="G88" i="29"/>
  <c r="G87" i="29"/>
  <c r="G86" i="29"/>
  <c r="G85" i="29"/>
  <c r="G84" i="29"/>
  <c r="G83" i="29"/>
  <c r="G82" i="29"/>
  <c r="G81" i="29"/>
  <c r="G80" i="29"/>
  <c r="G79" i="29"/>
  <c r="G78" i="29"/>
  <c r="G77" i="29"/>
  <c r="G76" i="29"/>
  <c r="G75" i="29"/>
  <c r="G74" i="29"/>
  <c r="G73" i="29"/>
  <c r="G72" i="29"/>
  <c r="G71" i="29"/>
  <c r="G70" i="29"/>
  <c r="G69" i="29"/>
  <c r="G68" i="29"/>
  <c r="G67" i="29"/>
  <c r="G66" i="29"/>
  <c r="G65" i="29"/>
  <c r="G64" i="29"/>
  <c r="G63" i="29"/>
  <c r="G62" i="29"/>
  <c r="G61" i="29"/>
  <c r="G60" i="29"/>
  <c r="G59" i="29"/>
  <c r="G58" i="29"/>
  <c r="G57" i="29"/>
  <c r="G56" i="29"/>
  <c r="G55" i="29"/>
  <c r="G54" i="29"/>
  <c r="G51" i="29"/>
  <c r="G49" i="29"/>
  <c r="G48" i="29"/>
  <c r="G47" i="29"/>
  <c r="G46" i="29"/>
  <c r="G45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30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3" i="29"/>
  <c r="AM2" i="29"/>
  <c r="G2" i="29"/>
  <c r="AS40" i="30" l="1"/>
  <c r="AM40" i="29"/>
  <c r="BJ40" i="30" s="1"/>
  <c r="AQ44" i="30"/>
  <c r="W44" i="29"/>
  <c r="BH44" i="30" s="1"/>
  <c r="AS48" i="30"/>
  <c r="AM48" i="29"/>
  <c r="BJ48" i="30" s="1"/>
  <c r="AP77" i="30"/>
  <c r="O77" i="29"/>
  <c r="AR81" i="30"/>
  <c r="AE81" i="29"/>
  <c r="AP85" i="30"/>
  <c r="O85" i="29"/>
  <c r="BG85" i="30" s="1"/>
  <c r="AS131" i="30"/>
  <c r="AM131" i="29"/>
  <c r="BJ131" i="30" s="1"/>
  <c r="AQ135" i="30"/>
  <c r="W135" i="29"/>
  <c r="AQ151" i="30"/>
  <c r="W151" i="29"/>
  <c r="BH151" i="30" s="1"/>
  <c r="AQ249" i="30"/>
  <c r="W249" i="29"/>
  <c r="BH249" i="30" s="1"/>
  <c r="AP279" i="30"/>
  <c r="O279" i="29"/>
  <c r="BG279" i="30" s="1"/>
  <c r="AP287" i="30"/>
  <c r="O287" i="29"/>
  <c r="AP327" i="30"/>
  <c r="O327" i="29"/>
  <c r="BG327" i="30" s="1"/>
  <c r="AQ337" i="30"/>
  <c r="W337" i="29"/>
  <c r="BH337" i="30" s="1"/>
  <c r="AQ369" i="30"/>
  <c r="W369" i="29"/>
  <c r="BH369" i="30" s="1"/>
  <c r="AR379" i="30"/>
  <c r="AE379" i="29"/>
  <c r="AR387" i="30"/>
  <c r="AE387" i="29"/>
  <c r="BI387" i="30" s="1"/>
  <c r="AQ401" i="30"/>
  <c r="W401" i="29"/>
  <c r="BH401" i="30" s="1"/>
  <c r="AR411" i="30"/>
  <c r="AE411" i="29"/>
  <c r="BI411" i="30" s="1"/>
  <c r="AS413" i="30"/>
  <c r="AM413" i="29"/>
  <c r="AS3" i="30"/>
  <c r="AM3" i="29"/>
  <c r="AP5" i="30"/>
  <c r="O5" i="29"/>
  <c r="AQ7" i="30"/>
  <c r="W7" i="29"/>
  <c r="AR9" i="30"/>
  <c r="AE9" i="29"/>
  <c r="AS11" i="30"/>
  <c r="AM11" i="29"/>
  <c r="AP13" i="30"/>
  <c r="O13" i="29"/>
  <c r="BG13" i="30" s="1"/>
  <c r="AQ15" i="30"/>
  <c r="W15" i="29"/>
  <c r="BH15" i="30" s="1"/>
  <c r="AR17" i="30"/>
  <c r="AE17" i="29"/>
  <c r="AS19" i="30"/>
  <c r="AM19" i="29"/>
  <c r="BJ19" i="30" s="1"/>
  <c r="AP21" i="30"/>
  <c r="O21" i="29"/>
  <c r="BG21" i="30" s="1"/>
  <c r="AQ23" i="30"/>
  <c r="W23" i="29"/>
  <c r="BH23" i="30" s="1"/>
  <c r="AR25" i="30"/>
  <c r="AE25" i="29"/>
  <c r="AS27" i="30"/>
  <c r="AM27" i="29"/>
  <c r="BJ27" i="30" s="1"/>
  <c r="AP29" i="30"/>
  <c r="O29" i="29"/>
  <c r="BG29" i="30" s="1"/>
  <c r="AQ31" i="30"/>
  <c r="W31" i="29"/>
  <c r="BH31" i="30" s="1"/>
  <c r="AR33" i="30"/>
  <c r="AE33" i="29"/>
  <c r="AS35" i="30"/>
  <c r="AM35" i="29"/>
  <c r="AP37" i="30"/>
  <c r="O37" i="29"/>
  <c r="BG37" i="30" s="1"/>
  <c r="AQ39" i="30"/>
  <c r="W39" i="29"/>
  <c r="BH39" i="30" s="1"/>
  <c r="AR41" i="30"/>
  <c r="AE41" i="29"/>
  <c r="AS43" i="30"/>
  <c r="AM43" i="29"/>
  <c r="AP45" i="30"/>
  <c r="O45" i="29"/>
  <c r="BG45" i="30" s="1"/>
  <c r="AQ47" i="30"/>
  <c r="W47" i="29"/>
  <c r="BH47" i="30" s="1"/>
  <c r="AR49" i="30"/>
  <c r="AE49" i="29"/>
  <c r="AS54" i="30"/>
  <c r="AM54" i="29"/>
  <c r="BJ54" i="30" s="1"/>
  <c r="AP56" i="30"/>
  <c r="O56" i="29"/>
  <c r="BG56" i="30" s="1"/>
  <c r="AQ58" i="30"/>
  <c r="W58" i="29"/>
  <c r="BH58" i="30" s="1"/>
  <c r="AR60" i="30"/>
  <c r="AE60" i="29"/>
  <c r="AS62" i="30"/>
  <c r="AM62" i="29"/>
  <c r="BJ62" i="30" s="1"/>
  <c r="AP64" i="30"/>
  <c r="O64" i="29"/>
  <c r="BG64" i="30" s="1"/>
  <c r="AQ66" i="30"/>
  <c r="W66" i="29"/>
  <c r="BH66" i="30" s="1"/>
  <c r="AR68" i="30"/>
  <c r="AE68" i="29"/>
  <c r="AS70" i="30"/>
  <c r="AM70" i="29"/>
  <c r="BJ70" i="30" s="1"/>
  <c r="AP72" i="30"/>
  <c r="O72" i="29"/>
  <c r="BG72" i="30" s="1"/>
  <c r="AQ74" i="30"/>
  <c r="W74" i="29"/>
  <c r="BH74" i="30" s="1"/>
  <c r="AR76" i="30"/>
  <c r="AE76" i="29"/>
  <c r="AS78" i="30"/>
  <c r="AM78" i="29"/>
  <c r="BJ78" i="30" s="1"/>
  <c r="AP80" i="30"/>
  <c r="O80" i="29"/>
  <c r="BG80" i="30" s="1"/>
  <c r="AQ82" i="30"/>
  <c r="W82" i="29"/>
  <c r="BH82" i="30" s="1"/>
  <c r="AR84" i="30"/>
  <c r="AE84" i="29"/>
  <c r="AS86" i="30"/>
  <c r="AM86" i="29"/>
  <c r="BJ86" i="30" s="1"/>
  <c r="AP88" i="30"/>
  <c r="O88" i="29"/>
  <c r="BG88" i="30" s="1"/>
  <c r="AQ90" i="30"/>
  <c r="W90" i="29"/>
  <c r="BH90" i="30" s="1"/>
  <c r="AR92" i="30"/>
  <c r="AE92" i="29"/>
  <c r="AS94" i="30"/>
  <c r="AM94" i="29"/>
  <c r="BJ94" i="30" s="1"/>
  <c r="AP96" i="30"/>
  <c r="O96" i="29"/>
  <c r="BG96" i="30" s="1"/>
  <c r="AQ98" i="30"/>
  <c r="W98" i="29"/>
  <c r="BH98" i="30" s="1"/>
  <c r="AR100" i="30"/>
  <c r="AE100" i="29"/>
  <c r="AS102" i="30"/>
  <c r="AM102" i="29"/>
  <c r="BJ102" i="30" s="1"/>
  <c r="AP104" i="30"/>
  <c r="O104" i="29"/>
  <c r="BG104" i="30" s="1"/>
  <c r="AQ106" i="30"/>
  <c r="W106" i="29"/>
  <c r="BH106" i="30" s="1"/>
  <c r="AR108" i="30"/>
  <c r="AE108" i="29"/>
  <c r="AS110" i="30"/>
  <c r="AM110" i="29"/>
  <c r="AP112" i="30"/>
  <c r="O112" i="29"/>
  <c r="BG112" i="30" s="1"/>
  <c r="AQ114" i="30"/>
  <c r="W114" i="29"/>
  <c r="BH114" i="30" s="1"/>
  <c r="AR116" i="30"/>
  <c r="AE116" i="29"/>
  <c r="AS118" i="30"/>
  <c r="AM118" i="29"/>
  <c r="BJ118" i="30" s="1"/>
  <c r="AP120" i="30"/>
  <c r="O120" i="29"/>
  <c r="BG120" i="30" s="1"/>
  <c r="AQ122" i="30"/>
  <c r="W122" i="29"/>
  <c r="BH122" i="30" s="1"/>
  <c r="AR124" i="30"/>
  <c r="AE124" i="29"/>
  <c r="AS126" i="30"/>
  <c r="AM126" i="29"/>
  <c r="AP128" i="30"/>
  <c r="O128" i="29"/>
  <c r="BG128" i="30" s="1"/>
  <c r="AQ130" i="30"/>
  <c r="W130" i="29"/>
  <c r="BH130" i="30" s="1"/>
  <c r="AR132" i="30"/>
  <c r="AE132" i="29"/>
  <c r="AS134" i="30"/>
  <c r="AM134" i="29"/>
  <c r="BJ134" i="30" s="1"/>
  <c r="AP136" i="30"/>
  <c r="O136" i="29"/>
  <c r="BG136" i="30" s="1"/>
  <c r="AQ138" i="30"/>
  <c r="W138" i="29"/>
  <c r="BH138" i="30" s="1"/>
  <c r="AR140" i="30"/>
  <c r="AE140" i="29"/>
  <c r="AS142" i="30"/>
  <c r="AM142" i="29"/>
  <c r="AP144" i="30"/>
  <c r="O144" i="29"/>
  <c r="BG144" i="30" s="1"/>
  <c r="AQ146" i="30"/>
  <c r="W146" i="29"/>
  <c r="BH146" i="30" s="1"/>
  <c r="AR148" i="30"/>
  <c r="AE148" i="29"/>
  <c r="AS150" i="30"/>
  <c r="AM150" i="29"/>
  <c r="BJ150" i="30" s="1"/>
  <c r="AP152" i="30"/>
  <c r="O152" i="29"/>
  <c r="BG152" i="30" s="1"/>
  <c r="AQ154" i="30"/>
  <c r="W154" i="29"/>
  <c r="BH154" i="30" s="1"/>
  <c r="AR156" i="30"/>
  <c r="AE156" i="29"/>
  <c r="AS158" i="30"/>
  <c r="AM158" i="29"/>
  <c r="AP242" i="30"/>
  <c r="O242" i="29"/>
  <c r="BG242" i="30" s="1"/>
  <c r="AQ244" i="30"/>
  <c r="W244" i="29"/>
  <c r="BH244" i="30" s="1"/>
  <c r="AR246" i="30"/>
  <c r="AE246" i="29"/>
  <c r="AS248" i="30"/>
  <c r="AM248" i="29"/>
  <c r="BJ248" i="30" s="1"/>
  <c r="AP250" i="30"/>
  <c r="O250" i="29"/>
  <c r="BG250" i="30" s="1"/>
  <c r="AQ252" i="30"/>
  <c r="W252" i="29"/>
  <c r="BH252" i="30" s="1"/>
  <c r="AR254" i="30"/>
  <c r="AE254" i="29"/>
  <c r="AS256" i="30"/>
  <c r="AM256" i="29"/>
  <c r="BJ256" i="30" s="1"/>
  <c r="AP258" i="30"/>
  <c r="O258" i="29"/>
  <c r="BG258" i="30" s="1"/>
  <c r="AQ260" i="30"/>
  <c r="W260" i="29"/>
  <c r="BH260" i="30" s="1"/>
  <c r="AR262" i="30"/>
  <c r="AE262" i="29"/>
  <c r="AS264" i="30"/>
  <c r="AM264" i="29"/>
  <c r="BJ264" i="30" s="1"/>
  <c r="AP266" i="30"/>
  <c r="O266" i="29"/>
  <c r="BG266" i="30" s="1"/>
  <c r="AQ268" i="30"/>
  <c r="W268" i="29"/>
  <c r="BH268" i="30" s="1"/>
  <c r="AR270" i="30"/>
  <c r="AE270" i="29"/>
  <c r="AS272" i="30"/>
  <c r="AM272" i="29"/>
  <c r="BJ272" i="30" s="1"/>
  <c r="AP274" i="30"/>
  <c r="O274" i="29"/>
  <c r="BG274" i="30" s="1"/>
  <c r="AQ276" i="30"/>
  <c r="W276" i="29"/>
  <c r="BH276" i="30" s="1"/>
  <c r="AR278" i="30"/>
  <c r="AE278" i="29"/>
  <c r="AS280" i="30"/>
  <c r="AM280" i="29"/>
  <c r="BJ280" i="30" s="1"/>
  <c r="AP282" i="30"/>
  <c r="O282" i="29"/>
  <c r="BG282" i="30" s="1"/>
  <c r="AQ284" i="30"/>
  <c r="W284" i="29"/>
  <c r="BH284" i="30" s="1"/>
  <c r="AR286" i="30"/>
  <c r="AE286" i="29"/>
  <c r="AS288" i="30"/>
  <c r="AM288" i="29"/>
  <c r="BJ288" i="30" s="1"/>
  <c r="AP290" i="30"/>
  <c r="O290" i="29"/>
  <c r="BG290" i="30" s="1"/>
  <c r="AQ292" i="30"/>
  <c r="W292" i="29"/>
  <c r="BH292" i="30" s="1"/>
  <c r="AR294" i="30"/>
  <c r="AE294" i="29"/>
  <c r="AS296" i="30"/>
  <c r="AM296" i="29"/>
  <c r="BJ296" i="30" s="1"/>
  <c r="AP298" i="30"/>
  <c r="O298" i="29"/>
  <c r="BG298" i="30" s="1"/>
  <c r="AQ300" i="30"/>
  <c r="W300" i="29"/>
  <c r="BH300" i="30" s="1"/>
  <c r="AR302" i="30"/>
  <c r="AE302" i="29"/>
  <c r="AS304" i="30"/>
  <c r="AM304" i="29"/>
  <c r="BJ304" i="30" s="1"/>
  <c r="AP306" i="30"/>
  <c r="O306" i="29"/>
  <c r="BG306" i="30" s="1"/>
  <c r="AQ308" i="30"/>
  <c r="W308" i="29"/>
  <c r="BH308" i="30" s="1"/>
  <c r="AR310" i="30"/>
  <c r="AE310" i="29"/>
  <c r="AS312" i="30"/>
  <c r="AM312" i="29"/>
  <c r="BJ312" i="30" s="1"/>
  <c r="AP314" i="30"/>
  <c r="O314" i="29"/>
  <c r="BG314" i="30" s="1"/>
  <c r="AQ316" i="30"/>
  <c r="W316" i="29"/>
  <c r="BH316" i="30" s="1"/>
  <c r="AR318" i="30"/>
  <c r="AE318" i="29"/>
  <c r="AS320" i="30"/>
  <c r="AM320" i="29"/>
  <c r="AP322" i="30"/>
  <c r="O322" i="29"/>
  <c r="BG322" i="30" s="1"/>
  <c r="AQ324" i="30"/>
  <c r="W324" i="29"/>
  <c r="BH324" i="30" s="1"/>
  <c r="AR326" i="30"/>
  <c r="AE326" i="29"/>
  <c r="AS328" i="30"/>
  <c r="AM328" i="29"/>
  <c r="BJ328" i="30" s="1"/>
  <c r="AP330" i="30"/>
  <c r="O330" i="29"/>
  <c r="BG330" i="30" s="1"/>
  <c r="AQ332" i="30"/>
  <c r="W332" i="29"/>
  <c r="BH332" i="30" s="1"/>
  <c r="AR334" i="30"/>
  <c r="AE334" i="29"/>
  <c r="AS336" i="30"/>
  <c r="AM336" i="29"/>
  <c r="BJ336" i="30" s="1"/>
  <c r="AP338" i="30"/>
  <c r="O338" i="29"/>
  <c r="BG338" i="30" s="1"/>
  <c r="AQ340" i="30"/>
  <c r="W340" i="29"/>
  <c r="BH340" i="30" s="1"/>
  <c r="AR342" i="30"/>
  <c r="AE342" i="29"/>
  <c r="AS344" i="30"/>
  <c r="AM344" i="29"/>
  <c r="BJ344" i="30" s="1"/>
  <c r="AP346" i="30"/>
  <c r="O346" i="29"/>
  <c r="BG346" i="30" s="1"/>
  <c r="AQ348" i="30"/>
  <c r="W348" i="29"/>
  <c r="BH348" i="30" s="1"/>
  <c r="AR350" i="30"/>
  <c r="AE350" i="29"/>
  <c r="AS352" i="30"/>
  <c r="AM352" i="29"/>
  <c r="BJ352" i="30" s="1"/>
  <c r="AP354" i="30"/>
  <c r="O354" i="29"/>
  <c r="BG354" i="30" s="1"/>
  <c r="AQ356" i="30"/>
  <c r="W356" i="29"/>
  <c r="BH356" i="30" s="1"/>
  <c r="AR358" i="30"/>
  <c r="AE358" i="29"/>
  <c r="AS360" i="30"/>
  <c r="AM360" i="29"/>
  <c r="BJ360" i="30" s="1"/>
  <c r="AP362" i="30"/>
  <c r="O362" i="29"/>
  <c r="BG362" i="30" s="1"/>
  <c r="AQ364" i="30"/>
  <c r="W364" i="29"/>
  <c r="BH364" i="30" s="1"/>
  <c r="AR366" i="30"/>
  <c r="AE366" i="29"/>
  <c r="AS368" i="30"/>
  <c r="AM368" i="29"/>
  <c r="BJ368" i="30" s="1"/>
  <c r="AP370" i="30"/>
  <c r="O370" i="29"/>
  <c r="BG370" i="30" s="1"/>
  <c r="AQ372" i="30"/>
  <c r="W372" i="29"/>
  <c r="BH372" i="30" s="1"/>
  <c r="AR374" i="30"/>
  <c r="AE374" i="29"/>
  <c r="AS376" i="30"/>
  <c r="AM376" i="29"/>
  <c r="BJ376" i="30" s="1"/>
  <c r="AP378" i="30"/>
  <c r="O378" i="29"/>
  <c r="BG378" i="30" s="1"/>
  <c r="AQ380" i="30"/>
  <c r="W380" i="29"/>
  <c r="BH380" i="30" s="1"/>
  <c r="AR382" i="30"/>
  <c r="AE382" i="29"/>
  <c r="AS384" i="30"/>
  <c r="AM384" i="29"/>
  <c r="BJ384" i="30" s="1"/>
  <c r="AP386" i="30"/>
  <c r="O386" i="29"/>
  <c r="BG386" i="30" s="1"/>
  <c r="AQ388" i="30"/>
  <c r="W388" i="29"/>
  <c r="BH388" i="30" s="1"/>
  <c r="AR390" i="30"/>
  <c r="AE390" i="29"/>
  <c r="AS392" i="30"/>
  <c r="AM392" i="29"/>
  <c r="BJ392" i="30" s="1"/>
  <c r="AP394" i="30"/>
  <c r="O394" i="29"/>
  <c r="BG394" i="30" s="1"/>
  <c r="AQ396" i="30"/>
  <c r="W396" i="29"/>
  <c r="BH396" i="30" s="1"/>
  <c r="AR398" i="30"/>
  <c r="AE398" i="29"/>
  <c r="AS400" i="30"/>
  <c r="AM400" i="29"/>
  <c r="BJ400" i="30" s="1"/>
  <c r="AP402" i="30"/>
  <c r="O402" i="29"/>
  <c r="BG402" i="30" s="1"/>
  <c r="AQ404" i="30"/>
  <c r="W404" i="29"/>
  <c r="BH404" i="30" s="1"/>
  <c r="AR406" i="30"/>
  <c r="AE406" i="29"/>
  <c r="AS408" i="30"/>
  <c r="AM408" i="29"/>
  <c r="BJ408" i="30" s="1"/>
  <c r="AP410" i="30"/>
  <c r="O410" i="29"/>
  <c r="BG410" i="30" s="1"/>
  <c r="AQ412" i="30"/>
  <c r="W412" i="29"/>
  <c r="BH412" i="30" s="1"/>
  <c r="AR414" i="30"/>
  <c r="AE414" i="29"/>
  <c r="AS416" i="30"/>
  <c r="AM416" i="29"/>
  <c r="BJ416" i="30" s="1"/>
  <c r="AP418" i="30"/>
  <c r="O418" i="29"/>
  <c r="BG418" i="30" s="1"/>
  <c r="AQ420" i="30"/>
  <c r="W420" i="29"/>
  <c r="BH420" i="30" s="1"/>
  <c r="AR6" i="30"/>
  <c r="AE6" i="29"/>
  <c r="AP10" i="30"/>
  <c r="O10" i="29"/>
  <c r="BG10" i="30" s="1"/>
  <c r="AS24" i="30"/>
  <c r="AM24" i="29"/>
  <c r="BJ24" i="30" s="1"/>
  <c r="AQ28" i="30"/>
  <c r="W28" i="29"/>
  <c r="BH28" i="30" s="1"/>
  <c r="AP51" i="30"/>
  <c r="O51" i="29"/>
  <c r="AR57" i="30"/>
  <c r="AE57" i="29"/>
  <c r="BI57" i="30" s="1"/>
  <c r="AP61" i="30"/>
  <c r="O61" i="29"/>
  <c r="BG61" i="30" s="1"/>
  <c r="AR65" i="30"/>
  <c r="AE65" i="29"/>
  <c r="BI65" i="30" s="1"/>
  <c r="AS91" i="30"/>
  <c r="AM91" i="29"/>
  <c r="AP247" i="30"/>
  <c r="O247" i="29"/>
  <c r="BG247" i="30" s="1"/>
  <c r="AQ257" i="30"/>
  <c r="W257" i="29"/>
  <c r="BH257" i="30" s="1"/>
  <c r="AR291" i="30"/>
  <c r="AE291" i="29"/>
  <c r="BI291" i="30" s="1"/>
  <c r="AP319" i="30"/>
  <c r="O319" i="29"/>
  <c r="AP335" i="30"/>
  <c r="O335" i="29"/>
  <c r="BG335" i="30" s="1"/>
  <c r="AS373" i="30"/>
  <c r="AM373" i="29"/>
  <c r="BJ373" i="30" s="1"/>
  <c r="AP383" i="30"/>
  <c r="O383" i="29"/>
  <c r="BG383" i="30" s="1"/>
  <c r="AQ385" i="30"/>
  <c r="W385" i="29"/>
  <c r="AS389" i="30"/>
  <c r="AM389" i="29"/>
  <c r="BJ389" i="30" s="1"/>
  <c r="AQ417" i="30"/>
  <c r="W417" i="29"/>
  <c r="BH417" i="30" s="1"/>
  <c r="W2" i="29"/>
  <c r="AR4" i="30"/>
  <c r="AE4" i="29"/>
  <c r="AS6" i="30"/>
  <c r="AM6" i="29"/>
  <c r="AP8" i="30"/>
  <c r="O8" i="29"/>
  <c r="AQ10" i="30"/>
  <c r="W10" i="29"/>
  <c r="BH10" i="30" s="1"/>
  <c r="AR12" i="30"/>
  <c r="AE12" i="29"/>
  <c r="AS14" i="30"/>
  <c r="AM14" i="29"/>
  <c r="AP16" i="30"/>
  <c r="O16" i="29"/>
  <c r="BG16" i="30" s="1"/>
  <c r="AQ18" i="30"/>
  <c r="W18" i="29"/>
  <c r="BH18" i="30" s="1"/>
  <c r="AR20" i="30"/>
  <c r="AE20" i="29"/>
  <c r="AS22" i="30"/>
  <c r="AM22" i="29"/>
  <c r="AP24" i="30"/>
  <c r="O24" i="29"/>
  <c r="BG24" i="30" s="1"/>
  <c r="AQ26" i="30"/>
  <c r="W26" i="29"/>
  <c r="BH26" i="30" s="1"/>
  <c r="AR28" i="30"/>
  <c r="AE28" i="29"/>
  <c r="AS30" i="30"/>
  <c r="AM30" i="29"/>
  <c r="AP32" i="30"/>
  <c r="O32" i="29"/>
  <c r="BG32" i="30" s="1"/>
  <c r="AQ34" i="30"/>
  <c r="W34" i="29"/>
  <c r="BH34" i="30" s="1"/>
  <c r="AR36" i="30"/>
  <c r="AE36" i="29"/>
  <c r="AS38" i="30"/>
  <c r="AM38" i="29"/>
  <c r="AP40" i="30"/>
  <c r="O40" i="29"/>
  <c r="AQ42" i="30"/>
  <c r="W42" i="29"/>
  <c r="BH42" i="30" s="1"/>
  <c r="AR44" i="30"/>
  <c r="AE44" i="29"/>
  <c r="AS46" i="30"/>
  <c r="AM46" i="29"/>
  <c r="AP48" i="30"/>
  <c r="O48" i="29"/>
  <c r="BG48" i="30" s="1"/>
  <c r="AQ51" i="30"/>
  <c r="W51" i="29"/>
  <c r="BH51" i="30" s="1"/>
  <c r="AR55" i="30"/>
  <c r="AE55" i="29"/>
  <c r="AS57" i="30"/>
  <c r="AM57" i="29"/>
  <c r="AP59" i="30"/>
  <c r="O59" i="29"/>
  <c r="BG59" i="30" s="1"/>
  <c r="AQ61" i="30"/>
  <c r="W61" i="29"/>
  <c r="BH61" i="30" s="1"/>
  <c r="AR63" i="30"/>
  <c r="AE63" i="29"/>
  <c r="AS65" i="30"/>
  <c r="AM65" i="29"/>
  <c r="AP67" i="30"/>
  <c r="O67" i="29"/>
  <c r="BG67" i="30" s="1"/>
  <c r="AQ69" i="30"/>
  <c r="W69" i="29"/>
  <c r="BH69" i="30" s="1"/>
  <c r="AR71" i="30"/>
  <c r="AE71" i="29"/>
  <c r="AS73" i="30"/>
  <c r="AM73" i="29"/>
  <c r="AP75" i="30"/>
  <c r="O75" i="29"/>
  <c r="BG75" i="30" s="1"/>
  <c r="AQ77" i="30"/>
  <c r="W77" i="29"/>
  <c r="BH77" i="30" s="1"/>
  <c r="AR79" i="30"/>
  <c r="AE79" i="29"/>
  <c r="AS81" i="30"/>
  <c r="AM81" i="29"/>
  <c r="AP83" i="30"/>
  <c r="O83" i="29"/>
  <c r="BG83" i="30" s="1"/>
  <c r="AQ85" i="30"/>
  <c r="W85" i="29"/>
  <c r="BH85" i="30" s="1"/>
  <c r="AR87" i="30"/>
  <c r="AE87" i="29"/>
  <c r="AS89" i="30"/>
  <c r="AM89" i="29"/>
  <c r="AP91" i="30"/>
  <c r="O91" i="29"/>
  <c r="BG91" i="30" s="1"/>
  <c r="AQ93" i="30"/>
  <c r="W93" i="29"/>
  <c r="BH93" i="30" s="1"/>
  <c r="AR95" i="30"/>
  <c r="AE95" i="29"/>
  <c r="AS97" i="30"/>
  <c r="AM97" i="29"/>
  <c r="AP99" i="30"/>
  <c r="O99" i="29"/>
  <c r="BG99" i="30" s="1"/>
  <c r="AQ101" i="30"/>
  <c r="W101" i="29"/>
  <c r="BH101" i="30" s="1"/>
  <c r="AR103" i="30"/>
  <c r="AE103" i="29"/>
  <c r="AS105" i="30"/>
  <c r="AM105" i="29"/>
  <c r="AP107" i="30"/>
  <c r="O107" i="29"/>
  <c r="BG107" i="30" s="1"/>
  <c r="AQ109" i="30"/>
  <c r="W109" i="29"/>
  <c r="BH109" i="30" s="1"/>
  <c r="AR111" i="30"/>
  <c r="AE111" i="29"/>
  <c r="AS113" i="30"/>
  <c r="AM113" i="29"/>
  <c r="BJ113" i="30" s="1"/>
  <c r="AP115" i="30"/>
  <c r="O115" i="29"/>
  <c r="BG115" i="30" s="1"/>
  <c r="AQ117" i="30"/>
  <c r="W117" i="29"/>
  <c r="BH117" i="30" s="1"/>
  <c r="AR119" i="30"/>
  <c r="AE119" i="29"/>
  <c r="AS121" i="30"/>
  <c r="AM121" i="29"/>
  <c r="BJ121" i="30" s="1"/>
  <c r="AP123" i="30"/>
  <c r="O123" i="29"/>
  <c r="BG123" i="30" s="1"/>
  <c r="AQ125" i="30"/>
  <c r="W125" i="29"/>
  <c r="BH125" i="30" s="1"/>
  <c r="AR127" i="30"/>
  <c r="AE127" i="29"/>
  <c r="AS129" i="30"/>
  <c r="AM129" i="29"/>
  <c r="AP131" i="30"/>
  <c r="O131" i="29"/>
  <c r="BG131" i="30" s="1"/>
  <c r="AQ133" i="30"/>
  <c r="W133" i="29"/>
  <c r="BH133" i="30" s="1"/>
  <c r="AR135" i="30"/>
  <c r="AE135" i="29"/>
  <c r="AS137" i="30"/>
  <c r="AM137" i="29"/>
  <c r="BJ137" i="30" s="1"/>
  <c r="AP139" i="30"/>
  <c r="O139" i="29"/>
  <c r="BG139" i="30" s="1"/>
  <c r="AQ141" i="30"/>
  <c r="W141" i="29"/>
  <c r="BH141" i="30" s="1"/>
  <c r="AR143" i="30"/>
  <c r="AE143" i="29"/>
  <c r="AS145" i="30"/>
  <c r="AM145" i="29"/>
  <c r="BJ145" i="30" s="1"/>
  <c r="AP147" i="30"/>
  <c r="O147" i="29"/>
  <c r="BG147" i="30" s="1"/>
  <c r="AQ149" i="30"/>
  <c r="W149" i="29"/>
  <c r="BH149" i="30" s="1"/>
  <c r="AR151" i="30"/>
  <c r="AE151" i="29"/>
  <c r="AS153" i="30"/>
  <c r="AM153" i="29"/>
  <c r="BJ153" i="30" s="1"/>
  <c r="AP155" i="30"/>
  <c r="O155" i="29"/>
  <c r="BG155" i="30" s="1"/>
  <c r="AQ157" i="30"/>
  <c r="W157" i="29"/>
  <c r="BH157" i="30" s="1"/>
  <c r="AR159" i="30"/>
  <c r="AE159" i="29"/>
  <c r="AS243" i="30"/>
  <c r="AM243" i="29"/>
  <c r="BJ243" i="30" s="1"/>
  <c r="AP245" i="30"/>
  <c r="O245" i="29"/>
  <c r="BG245" i="30" s="1"/>
  <c r="AQ247" i="30"/>
  <c r="W247" i="29"/>
  <c r="BH247" i="30" s="1"/>
  <c r="AR249" i="30"/>
  <c r="AE249" i="29"/>
  <c r="AS251" i="30"/>
  <c r="AM251" i="29"/>
  <c r="BJ251" i="30" s="1"/>
  <c r="AP253" i="30"/>
  <c r="O253" i="29"/>
  <c r="BG253" i="30" s="1"/>
  <c r="AQ255" i="30"/>
  <c r="W255" i="29"/>
  <c r="BH255" i="30" s="1"/>
  <c r="AR257" i="30"/>
  <c r="AE257" i="29"/>
  <c r="AS259" i="30"/>
  <c r="AM259" i="29"/>
  <c r="BJ259" i="30" s="1"/>
  <c r="AP261" i="30"/>
  <c r="O261" i="29"/>
  <c r="BG261" i="30" s="1"/>
  <c r="AQ263" i="30"/>
  <c r="W263" i="29"/>
  <c r="BH263" i="30" s="1"/>
  <c r="AR265" i="30"/>
  <c r="AE265" i="29"/>
  <c r="AS267" i="30"/>
  <c r="AM267" i="29"/>
  <c r="BJ267" i="30" s="1"/>
  <c r="AP269" i="30"/>
  <c r="O269" i="29"/>
  <c r="BG269" i="30" s="1"/>
  <c r="AQ271" i="30"/>
  <c r="W271" i="29"/>
  <c r="BH271" i="30" s="1"/>
  <c r="AR273" i="30"/>
  <c r="AE273" i="29"/>
  <c r="AS275" i="30"/>
  <c r="AM275" i="29"/>
  <c r="BJ275" i="30" s="1"/>
  <c r="AP277" i="30"/>
  <c r="O277" i="29"/>
  <c r="BG277" i="30" s="1"/>
  <c r="AQ279" i="30"/>
  <c r="W279" i="29"/>
  <c r="BH279" i="30" s="1"/>
  <c r="AR281" i="30"/>
  <c r="AE281" i="29"/>
  <c r="AS283" i="30"/>
  <c r="AM283" i="29"/>
  <c r="AP285" i="30"/>
  <c r="O285" i="29"/>
  <c r="BG285" i="30" s="1"/>
  <c r="AQ287" i="30"/>
  <c r="W287" i="29"/>
  <c r="BH287" i="30" s="1"/>
  <c r="AR289" i="30"/>
  <c r="AE289" i="29"/>
  <c r="AS291" i="30"/>
  <c r="AM291" i="29"/>
  <c r="BJ291" i="30" s="1"/>
  <c r="AP293" i="30"/>
  <c r="O293" i="29"/>
  <c r="BG293" i="30" s="1"/>
  <c r="AR297" i="30"/>
  <c r="AE297" i="29"/>
  <c r="BI297" i="30" s="1"/>
  <c r="AS299" i="30"/>
  <c r="AM299" i="29"/>
  <c r="AP301" i="30"/>
  <c r="O301" i="29"/>
  <c r="BG301" i="30" s="1"/>
  <c r="AR305" i="30"/>
  <c r="AE305" i="29"/>
  <c r="BI305" i="30" s="1"/>
  <c r="AS307" i="30"/>
  <c r="AM307" i="29"/>
  <c r="BJ307" i="30" s="1"/>
  <c r="AP309" i="30"/>
  <c r="O309" i="29"/>
  <c r="AR313" i="30"/>
  <c r="AE313" i="29"/>
  <c r="BI313" i="30" s="1"/>
  <c r="AS315" i="30"/>
  <c r="AM315" i="29"/>
  <c r="BJ315" i="30" s="1"/>
  <c r="AP317" i="30"/>
  <c r="O317" i="29"/>
  <c r="BG317" i="30" s="1"/>
  <c r="AR321" i="30"/>
  <c r="AE321" i="29"/>
  <c r="AS323" i="30"/>
  <c r="AM323" i="29"/>
  <c r="BJ323" i="30" s="1"/>
  <c r="AP325" i="30"/>
  <c r="O325" i="29"/>
  <c r="BG325" i="30" s="1"/>
  <c r="AR329" i="30"/>
  <c r="AE329" i="29"/>
  <c r="BI329" i="30" s="1"/>
  <c r="AS331" i="30"/>
  <c r="AM331" i="29"/>
  <c r="AP333" i="30"/>
  <c r="O333" i="29"/>
  <c r="BG333" i="30" s="1"/>
  <c r="AR337" i="30"/>
  <c r="AE337" i="29"/>
  <c r="BI337" i="30" s="1"/>
  <c r="AS339" i="30"/>
  <c r="AM339" i="29"/>
  <c r="BJ339" i="30" s="1"/>
  <c r="AP341" i="30"/>
  <c r="O341" i="29"/>
  <c r="AR345" i="30"/>
  <c r="AE345" i="29"/>
  <c r="BI345" i="30" s="1"/>
  <c r="AS347" i="30"/>
  <c r="AM347" i="29"/>
  <c r="BJ347" i="30" s="1"/>
  <c r="AP349" i="30"/>
  <c r="O349" i="29"/>
  <c r="BG349" i="30" s="1"/>
  <c r="AR353" i="30"/>
  <c r="AE353" i="29"/>
  <c r="AS355" i="30"/>
  <c r="AM355" i="29"/>
  <c r="BJ355" i="30" s="1"/>
  <c r="AP357" i="30"/>
  <c r="O357" i="29"/>
  <c r="BG357" i="30" s="1"/>
  <c r="AR361" i="30"/>
  <c r="AE361" i="29"/>
  <c r="BI361" i="30" s="1"/>
  <c r="AS363" i="30"/>
  <c r="AM363" i="29"/>
  <c r="AP365" i="30"/>
  <c r="O365" i="29"/>
  <c r="BG365" i="30" s="1"/>
  <c r="AR369" i="30"/>
  <c r="AE369" i="29"/>
  <c r="BI369" i="30" s="1"/>
  <c r="AS371" i="30"/>
  <c r="AM371" i="29"/>
  <c r="BJ371" i="30" s="1"/>
  <c r="AP373" i="30"/>
  <c r="O373" i="29"/>
  <c r="AR377" i="30"/>
  <c r="AE377" i="29"/>
  <c r="BI377" i="30" s="1"/>
  <c r="AS379" i="30"/>
  <c r="AM379" i="29"/>
  <c r="BJ379" i="30" s="1"/>
  <c r="AP381" i="30"/>
  <c r="O381" i="29"/>
  <c r="BG381" i="30" s="1"/>
  <c r="AR385" i="30"/>
  <c r="AE385" i="29"/>
  <c r="BI385" i="30" s="1"/>
  <c r="AS387" i="30"/>
  <c r="AM387" i="29"/>
  <c r="BJ387" i="30" s="1"/>
  <c r="AP389" i="30"/>
  <c r="O389" i="29"/>
  <c r="BG389" i="30" s="1"/>
  <c r="AR393" i="30"/>
  <c r="AE393" i="29"/>
  <c r="BI393" i="30" s="1"/>
  <c r="AS395" i="30"/>
  <c r="AM395" i="29"/>
  <c r="AP397" i="30"/>
  <c r="O397" i="29"/>
  <c r="BG397" i="30" s="1"/>
  <c r="AR401" i="30"/>
  <c r="AE401" i="29"/>
  <c r="BI401" i="30" s="1"/>
  <c r="AS403" i="30"/>
  <c r="AM403" i="29"/>
  <c r="BJ403" i="30" s="1"/>
  <c r="AP405" i="30"/>
  <c r="O405" i="29"/>
  <c r="AR409" i="30"/>
  <c r="AE409" i="29"/>
  <c r="BI409" i="30" s="1"/>
  <c r="AS411" i="30"/>
  <c r="AM411" i="29"/>
  <c r="BJ411" i="30" s="1"/>
  <c r="AP413" i="30"/>
  <c r="O413" i="29"/>
  <c r="BG413" i="30" s="1"/>
  <c r="AQ415" i="30"/>
  <c r="W415" i="29"/>
  <c r="AR417" i="30"/>
  <c r="AE417" i="29"/>
  <c r="BI417" i="30" s="1"/>
  <c r="AS419" i="30"/>
  <c r="AM419" i="29"/>
  <c r="BJ419" i="30" s="1"/>
  <c r="AQ4" i="30"/>
  <c r="W4" i="29"/>
  <c r="AS8" i="30"/>
  <c r="AM8" i="29"/>
  <c r="AQ12" i="30"/>
  <c r="W12" i="29"/>
  <c r="BH12" i="30" s="1"/>
  <c r="AS16" i="30"/>
  <c r="AM16" i="29"/>
  <c r="AQ20" i="30"/>
  <c r="W20" i="29"/>
  <c r="BH20" i="30" s="1"/>
  <c r="AQ71" i="30"/>
  <c r="W71" i="29"/>
  <c r="AS75" i="30"/>
  <c r="AM75" i="29"/>
  <c r="BJ75" i="30" s="1"/>
  <c r="AS99" i="30"/>
  <c r="AM99" i="29"/>
  <c r="BJ99" i="30" s="1"/>
  <c r="AP109" i="30"/>
  <c r="O109" i="29"/>
  <c r="BG109" i="30" s="1"/>
  <c r="AS123" i="30"/>
  <c r="AM123" i="29"/>
  <c r="AS139" i="30"/>
  <c r="AM139" i="29"/>
  <c r="BJ139" i="30" s="1"/>
  <c r="AR145" i="30"/>
  <c r="AE145" i="29"/>
  <c r="BI145" i="30" s="1"/>
  <c r="AS155" i="30"/>
  <c r="AM155" i="29"/>
  <c r="BJ155" i="30" s="1"/>
  <c r="AQ159" i="30"/>
  <c r="W159" i="29"/>
  <c r="AQ273" i="30"/>
  <c r="W273" i="29"/>
  <c r="BH273" i="30" s="1"/>
  <c r="AR307" i="30"/>
  <c r="AE307" i="29"/>
  <c r="BI307" i="30" s="1"/>
  <c r="AP311" i="30"/>
  <c r="O311" i="29"/>
  <c r="BG311" i="30" s="1"/>
  <c r="AQ313" i="30"/>
  <c r="W313" i="29"/>
  <c r="AR315" i="30"/>
  <c r="AE315" i="29"/>
  <c r="BI315" i="30" s="1"/>
  <c r="AQ321" i="30"/>
  <c r="W321" i="29"/>
  <c r="BH321" i="30" s="1"/>
  <c r="AR323" i="30"/>
  <c r="AE323" i="29"/>
  <c r="BI323" i="30" s="1"/>
  <c r="AR339" i="30"/>
  <c r="AE339" i="29"/>
  <c r="AS349" i="30"/>
  <c r="AM349" i="29"/>
  <c r="BJ349" i="30" s="1"/>
  <c r="AQ353" i="30"/>
  <c r="W353" i="29"/>
  <c r="BH353" i="30" s="1"/>
  <c r="AQ361" i="30"/>
  <c r="W361" i="29"/>
  <c r="BH361" i="30" s="1"/>
  <c r="AP375" i="30"/>
  <c r="O375" i="29"/>
  <c r="AQ377" i="30"/>
  <c r="W377" i="29"/>
  <c r="BH377" i="30" s="1"/>
  <c r="AS381" i="30"/>
  <c r="AM381" i="29"/>
  <c r="BJ381" i="30" s="1"/>
  <c r="AP391" i="30"/>
  <c r="O391" i="29"/>
  <c r="BG391" i="30" s="1"/>
  <c r="AS405" i="30"/>
  <c r="AM405" i="29"/>
  <c r="AQ409" i="30"/>
  <c r="W409" i="29"/>
  <c r="BH409" i="30" s="1"/>
  <c r="AP3" i="30"/>
  <c r="O3" i="29"/>
  <c r="AQ5" i="30"/>
  <c r="W5" i="29"/>
  <c r="AR7" i="30"/>
  <c r="AE7" i="29"/>
  <c r="AS9" i="30"/>
  <c r="AM9" i="29"/>
  <c r="AP11" i="30"/>
  <c r="O11" i="29"/>
  <c r="BG11" i="30" s="1"/>
  <c r="AQ13" i="30"/>
  <c r="W13" i="29"/>
  <c r="BH13" i="30" s="1"/>
  <c r="AR15" i="30"/>
  <c r="AE15" i="29"/>
  <c r="AS17" i="30"/>
  <c r="AM17" i="29"/>
  <c r="BJ17" i="30" s="1"/>
  <c r="AP19" i="30"/>
  <c r="O19" i="29"/>
  <c r="BG19" i="30" s="1"/>
  <c r="AQ21" i="30"/>
  <c r="W21" i="29"/>
  <c r="BH21" i="30" s="1"/>
  <c r="AR23" i="30"/>
  <c r="AE23" i="29"/>
  <c r="AS25" i="30"/>
  <c r="AM25" i="29"/>
  <c r="BJ25" i="30" s="1"/>
  <c r="AP27" i="30"/>
  <c r="O27" i="29"/>
  <c r="BG27" i="30" s="1"/>
  <c r="AQ29" i="30"/>
  <c r="W29" i="29"/>
  <c r="BH29" i="30" s="1"/>
  <c r="AR31" i="30"/>
  <c r="AE31" i="29"/>
  <c r="AS33" i="30"/>
  <c r="AM33" i="29"/>
  <c r="BJ33" i="30" s="1"/>
  <c r="AP35" i="30"/>
  <c r="O35" i="29"/>
  <c r="BG35" i="30" s="1"/>
  <c r="AQ37" i="30"/>
  <c r="W37" i="29"/>
  <c r="BH37" i="30" s="1"/>
  <c r="AR39" i="30"/>
  <c r="AE39" i="29"/>
  <c r="AS41" i="30"/>
  <c r="AM41" i="29"/>
  <c r="BJ41" i="30" s="1"/>
  <c r="AP43" i="30"/>
  <c r="O43" i="29"/>
  <c r="BG43" i="30" s="1"/>
  <c r="AQ45" i="30"/>
  <c r="W45" i="29"/>
  <c r="BH45" i="30" s="1"/>
  <c r="AR47" i="30"/>
  <c r="AE47" i="29"/>
  <c r="AS49" i="30"/>
  <c r="AM49" i="29"/>
  <c r="BJ49" i="30" s="1"/>
  <c r="AP54" i="30"/>
  <c r="O54" i="29"/>
  <c r="BG54" i="30" s="1"/>
  <c r="AQ56" i="30"/>
  <c r="W56" i="29"/>
  <c r="BH56" i="30" s="1"/>
  <c r="AR58" i="30"/>
  <c r="AE58" i="29"/>
  <c r="AS60" i="30"/>
  <c r="AM60" i="29"/>
  <c r="BJ60" i="30" s="1"/>
  <c r="AP62" i="30"/>
  <c r="O62" i="29"/>
  <c r="BG62" i="30" s="1"/>
  <c r="AQ64" i="30"/>
  <c r="W64" i="29"/>
  <c r="BH64" i="30" s="1"/>
  <c r="AR66" i="30"/>
  <c r="AE66" i="29"/>
  <c r="AS68" i="30"/>
  <c r="AM68" i="29"/>
  <c r="BJ68" i="30" s="1"/>
  <c r="AP70" i="30"/>
  <c r="O70" i="29"/>
  <c r="BG70" i="30" s="1"/>
  <c r="AQ72" i="30"/>
  <c r="W72" i="29"/>
  <c r="BH72" i="30" s="1"/>
  <c r="AR74" i="30"/>
  <c r="AE74" i="29"/>
  <c r="AS76" i="30"/>
  <c r="AM76" i="29"/>
  <c r="BJ76" i="30" s="1"/>
  <c r="AP78" i="30"/>
  <c r="O78" i="29"/>
  <c r="BG78" i="30" s="1"/>
  <c r="AQ80" i="30"/>
  <c r="W80" i="29"/>
  <c r="BH80" i="30" s="1"/>
  <c r="AR82" i="30"/>
  <c r="AE82" i="29"/>
  <c r="AS84" i="30"/>
  <c r="AM84" i="29"/>
  <c r="BJ84" i="30" s="1"/>
  <c r="AP86" i="30"/>
  <c r="O86" i="29"/>
  <c r="BG86" i="30" s="1"/>
  <c r="AQ88" i="30"/>
  <c r="W88" i="29"/>
  <c r="BH88" i="30" s="1"/>
  <c r="AR90" i="30"/>
  <c r="AE90" i="29"/>
  <c r="AS92" i="30"/>
  <c r="AM92" i="29"/>
  <c r="BJ92" i="30" s="1"/>
  <c r="AP94" i="30"/>
  <c r="O94" i="29"/>
  <c r="BG94" i="30" s="1"/>
  <c r="AQ96" i="30"/>
  <c r="W96" i="29"/>
  <c r="BH96" i="30" s="1"/>
  <c r="AR98" i="30"/>
  <c r="AE98" i="29"/>
  <c r="AS100" i="30"/>
  <c r="AM100" i="29"/>
  <c r="BJ100" i="30" s="1"/>
  <c r="AP102" i="30"/>
  <c r="O102" i="29"/>
  <c r="BG102" i="30" s="1"/>
  <c r="AQ104" i="30"/>
  <c r="W104" i="29"/>
  <c r="BH104" i="30" s="1"/>
  <c r="AR106" i="30"/>
  <c r="AE106" i="29"/>
  <c r="AS108" i="30"/>
  <c r="AM108" i="29"/>
  <c r="BJ108" i="30" s="1"/>
  <c r="AP110" i="30"/>
  <c r="O110" i="29"/>
  <c r="BG110" i="30" s="1"/>
  <c r="AQ112" i="30"/>
  <c r="W112" i="29"/>
  <c r="BH112" i="30" s="1"/>
  <c r="AR114" i="30"/>
  <c r="AE114" i="29"/>
  <c r="AS116" i="30"/>
  <c r="AM116" i="29"/>
  <c r="BJ116" i="30" s="1"/>
  <c r="AP118" i="30"/>
  <c r="O118" i="29"/>
  <c r="BG118" i="30" s="1"/>
  <c r="AQ120" i="30"/>
  <c r="W120" i="29"/>
  <c r="BH120" i="30" s="1"/>
  <c r="AR122" i="30"/>
  <c r="AE122" i="29"/>
  <c r="AS124" i="30"/>
  <c r="AM124" i="29"/>
  <c r="BJ124" i="30" s="1"/>
  <c r="AP126" i="30"/>
  <c r="O126" i="29"/>
  <c r="BG126" i="30" s="1"/>
  <c r="AQ128" i="30"/>
  <c r="W128" i="29"/>
  <c r="BH128" i="30" s="1"/>
  <c r="AR130" i="30"/>
  <c r="AE130" i="29"/>
  <c r="AS132" i="30"/>
  <c r="AM132" i="29"/>
  <c r="BJ132" i="30" s="1"/>
  <c r="AP134" i="30"/>
  <c r="O134" i="29"/>
  <c r="BG134" i="30" s="1"/>
  <c r="AQ136" i="30"/>
  <c r="W136" i="29"/>
  <c r="BH136" i="30" s="1"/>
  <c r="AR138" i="30"/>
  <c r="AE138" i="29"/>
  <c r="AS140" i="30"/>
  <c r="AM140" i="29"/>
  <c r="BJ140" i="30" s="1"/>
  <c r="AP142" i="30"/>
  <c r="O142" i="29"/>
  <c r="BG142" i="30" s="1"/>
  <c r="AQ144" i="30"/>
  <c r="W144" i="29"/>
  <c r="BH144" i="30" s="1"/>
  <c r="AR146" i="30"/>
  <c r="AE146" i="29"/>
  <c r="AS148" i="30"/>
  <c r="AM148" i="29"/>
  <c r="BJ148" i="30" s="1"/>
  <c r="AP150" i="30"/>
  <c r="O150" i="29"/>
  <c r="BG150" i="30" s="1"/>
  <c r="AQ152" i="30"/>
  <c r="W152" i="29"/>
  <c r="BH152" i="30" s="1"/>
  <c r="AR154" i="30"/>
  <c r="AE154" i="29"/>
  <c r="AS156" i="30"/>
  <c r="AM156" i="29"/>
  <c r="BJ156" i="30" s="1"/>
  <c r="AP158" i="30"/>
  <c r="O158" i="29"/>
  <c r="BG158" i="30" s="1"/>
  <c r="AQ242" i="30"/>
  <c r="W242" i="29"/>
  <c r="BH242" i="30" s="1"/>
  <c r="AR244" i="30"/>
  <c r="AE244" i="29"/>
  <c r="AS246" i="30"/>
  <c r="AM246" i="29"/>
  <c r="BJ246" i="30" s="1"/>
  <c r="AP248" i="30"/>
  <c r="O248" i="29"/>
  <c r="BG248" i="30" s="1"/>
  <c r="AQ250" i="30"/>
  <c r="W250" i="29"/>
  <c r="BH250" i="30" s="1"/>
  <c r="AR252" i="30"/>
  <c r="AE252" i="29"/>
  <c r="AS254" i="30"/>
  <c r="AM254" i="29"/>
  <c r="BJ254" i="30" s="1"/>
  <c r="AP256" i="30"/>
  <c r="O256" i="29"/>
  <c r="BG256" i="30" s="1"/>
  <c r="AQ258" i="30"/>
  <c r="W258" i="29"/>
  <c r="BH258" i="30" s="1"/>
  <c r="AR260" i="30"/>
  <c r="AE260" i="29"/>
  <c r="AS262" i="30"/>
  <c r="AM262" i="29"/>
  <c r="BJ262" i="30" s="1"/>
  <c r="AP264" i="30"/>
  <c r="O264" i="29"/>
  <c r="BG264" i="30" s="1"/>
  <c r="AQ266" i="30"/>
  <c r="W266" i="29"/>
  <c r="BH266" i="30" s="1"/>
  <c r="AR268" i="30"/>
  <c r="AE268" i="29"/>
  <c r="AS270" i="30"/>
  <c r="AM270" i="29"/>
  <c r="BJ270" i="30" s="1"/>
  <c r="AP272" i="30"/>
  <c r="O272" i="29"/>
  <c r="BG272" i="30" s="1"/>
  <c r="AQ274" i="30"/>
  <c r="W274" i="29"/>
  <c r="BH274" i="30" s="1"/>
  <c r="AR276" i="30"/>
  <c r="AE276" i="29"/>
  <c r="AS278" i="30"/>
  <c r="AM278" i="29"/>
  <c r="BJ278" i="30" s="1"/>
  <c r="AP280" i="30"/>
  <c r="O280" i="29"/>
  <c r="BG280" i="30" s="1"/>
  <c r="AQ282" i="30"/>
  <c r="W282" i="29"/>
  <c r="BH282" i="30" s="1"/>
  <c r="AR284" i="30"/>
  <c r="AE284" i="29"/>
  <c r="AS286" i="30"/>
  <c r="AM286" i="29"/>
  <c r="BJ286" i="30" s="1"/>
  <c r="AP288" i="30"/>
  <c r="O288" i="29"/>
  <c r="BG288" i="30" s="1"/>
  <c r="AQ290" i="30"/>
  <c r="W290" i="29"/>
  <c r="BH290" i="30" s="1"/>
  <c r="AR292" i="30"/>
  <c r="AE292" i="29"/>
  <c r="AS294" i="30"/>
  <c r="AM294" i="29"/>
  <c r="BJ294" i="30" s="1"/>
  <c r="AP296" i="30"/>
  <c r="O296" i="29"/>
  <c r="BG296" i="30" s="1"/>
  <c r="AQ298" i="30"/>
  <c r="W298" i="29"/>
  <c r="BH298" i="30" s="1"/>
  <c r="AR300" i="30"/>
  <c r="AE300" i="29"/>
  <c r="AS302" i="30"/>
  <c r="AM302" i="29"/>
  <c r="BJ302" i="30" s="1"/>
  <c r="AP304" i="30"/>
  <c r="O304" i="29"/>
  <c r="BG304" i="30" s="1"/>
  <c r="AQ306" i="30"/>
  <c r="W306" i="29"/>
  <c r="BH306" i="30" s="1"/>
  <c r="AR308" i="30"/>
  <c r="AE308" i="29"/>
  <c r="AS310" i="30"/>
  <c r="AM310" i="29"/>
  <c r="BJ310" i="30" s="1"/>
  <c r="AP312" i="30"/>
  <c r="O312" i="29"/>
  <c r="BG312" i="30" s="1"/>
  <c r="AQ314" i="30"/>
  <c r="W314" i="29"/>
  <c r="BH314" i="30" s="1"/>
  <c r="AR316" i="30"/>
  <c r="AE316" i="29"/>
  <c r="AS318" i="30"/>
  <c r="AM318" i="29"/>
  <c r="BJ318" i="30" s="1"/>
  <c r="AP320" i="30"/>
  <c r="O320" i="29"/>
  <c r="BG320" i="30" s="1"/>
  <c r="AQ322" i="30"/>
  <c r="W322" i="29"/>
  <c r="BH322" i="30" s="1"/>
  <c r="AR324" i="30"/>
  <c r="AE324" i="29"/>
  <c r="AS326" i="30"/>
  <c r="AM326" i="29"/>
  <c r="BJ326" i="30" s="1"/>
  <c r="AP328" i="30"/>
  <c r="O328" i="29"/>
  <c r="BG328" i="30" s="1"/>
  <c r="AQ330" i="30"/>
  <c r="W330" i="29"/>
  <c r="BH330" i="30" s="1"/>
  <c r="AR332" i="30"/>
  <c r="AE332" i="29"/>
  <c r="AS334" i="30"/>
  <c r="AM334" i="29"/>
  <c r="BJ334" i="30" s="1"/>
  <c r="AP336" i="30"/>
  <c r="O336" i="29"/>
  <c r="BG336" i="30" s="1"/>
  <c r="AQ338" i="30"/>
  <c r="W338" i="29"/>
  <c r="BH338" i="30" s="1"/>
  <c r="AR340" i="30"/>
  <c r="AE340" i="29"/>
  <c r="AS342" i="30"/>
  <c r="AM342" i="29"/>
  <c r="BJ342" i="30" s="1"/>
  <c r="AP344" i="30"/>
  <c r="O344" i="29"/>
  <c r="BG344" i="30" s="1"/>
  <c r="AQ346" i="30"/>
  <c r="W346" i="29"/>
  <c r="BH346" i="30" s="1"/>
  <c r="AR348" i="30"/>
  <c r="AE348" i="29"/>
  <c r="AS350" i="30"/>
  <c r="AM350" i="29"/>
  <c r="BJ350" i="30" s="1"/>
  <c r="AP352" i="30"/>
  <c r="O352" i="29"/>
  <c r="BG352" i="30" s="1"/>
  <c r="AQ354" i="30"/>
  <c r="W354" i="29"/>
  <c r="BH354" i="30" s="1"/>
  <c r="AR356" i="30"/>
  <c r="AE356" i="29"/>
  <c r="AS358" i="30"/>
  <c r="AM358" i="29"/>
  <c r="BJ358" i="30" s="1"/>
  <c r="AP360" i="30"/>
  <c r="O360" i="29"/>
  <c r="BG360" i="30" s="1"/>
  <c r="AQ362" i="30"/>
  <c r="W362" i="29"/>
  <c r="BH362" i="30" s="1"/>
  <c r="AR364" i="30"/>
  <c r="AE364" i="29"/>
  <c r="AS366" i="30"/>
  <c r="AM366" i="29"/>
  <c r="BJ366" i="30" s="1"/>
  <c r="AP368" i="30"/>
  <c r="O368" i="29"/>
  <c r="BG368" i="30" s="1"/>
  <c r="AQ370" i="30"/>
  <c r="W370" i="29"/>
  <c r="BH370" i="30" s="1"/>
  <c r="AR372" i="30"/>
  <c r="AE372" i="29"/>
  <c r="AS374" i="30"/>
  <c r="AM374" i="29"/>
  <c r="BJ374" i="30" s="1"/>
  <c r="AP376" i="30"/>
  <c r="O376" i="29"/>
  <c r="BG376" i="30" s="1"/>
  <c r="AQ378" i="30"/>
  <c r="W378" i="29"/>
  <c r="BH378" i="30" s="1"/>
  <c r="AR380" i="30"/>
  <c r="AE380" i="29"/>
  <c r="AS382" i="30"/>
  <c r="AM382" i="29"/>
  <c r="BJ382" i="30" s="1"/>
  <c r="AP384" i="30"/>
  <c r="O384" i="29"/>
  <c r="BG384" i="30" s="1"/>
  <c r="AQ386" i="30"/>
  <c r="W386" i="29"/>
  <c r="BH386" i="30" s="1"/>
  <c r="AR388" i="30"/>
  <c r="AE388" i="29"/>
  <c r="AS390" i="30"/>
  <c r="AM390" i="29"/>
  <c r="BJ390" i="30" s="1"/>
  <c r="AP392" i="30"/>
  <c r="O392" i="29"/>
  <c r="BG392" i="30" s="1"/>
  <c r="AQ394" i="30"/>
  <c r="W394" i="29"/>
  <c r="BH394" i="30" s="1"/>
  <c r="AR396" i="30"/>
  <c r="AE396" i="29"/>
  <c r="AS398" i="30"/>
  <c r="AM398" i="29"/>
  <c r="BJ398" i="30" s="1"/>
  <c r="AP400" i="30"/>
  <c r="O400" i="29"/>
  <c r="BG400" i="30" s="1"/>
  <c r="AQ402" i="30"/>
  <c r="W402" i="29"/>
  <c r="BH402" i="30" s="1"/>
  <c r="AR404" i="30"/>
  <c r="AE404" i="29"/>
  <c r="AS406" i="30"/>
  <c r="AM406" i="29"/>
  <c r="BJ406" i="30" s="1"/>
  <c r="AP408" i="30"/>
  <c r="O408" i="29"/>
  <c r="BG408" i="30" s="1"/>
  <c r="AQ410" i="30"/>
  <c r="W410" i="29"/>
  <c r="BH410" i="30" s="1"/>
  <c r="AR412" i="30"/>
  <c r="AE412" i="29"/>
  <c r="AS414" i="30"/>
  <c r="AM414" i="29"/>
  <c r="BJ414" i="30" s="1"/>
  <c r="AP416" i="30"/>
  <c r="O416" i="29"/>
  <c r="BG416" i="30" s="1"/>
  <c r="AQ418" i="30"/>
  <c r="W418" i="29"/>
  <c r="BH418" i="30" s="1"/>
  <c r="AR420" i="30"/>
  <c r="AE420" i="29"/>
  <c r="AS32" i="30"/>
  <c r="AM32" i="29"/>
  <c r="BJ32" i="30" s="1"/>
  <c r="AR97" i="30"/>
  <c r="AE97" i="29"/>
  <c r="BI97" i="30" s="1"/>
  <c r="AR105" i="30"/>
  <c r="AE105" i="29"/>
  <c r="BI105" i="30" s="1"/>
  <c r="AP117" i="30"/>
  <c r="O117" i="29"/>
  <c r="AQ143" i="30"/>
  <c r="W143" i="29"/>
  <c r="BH143" i="30" s="1"/>
  <c r="AS147" i="30"/>
  <c r="AM147" i="29"/>
  <c r="BJ147" i="30" s="1"/>
  <c r="AR243" i="30"/>
  <c r="AE243" i="29"/>
  <c r="BI243" i="30" s="1"/>
  <c r="AS245" i="30"/>
  <c r="AM245" i="29"/>
  <c r="AR251" i="30"/>
  <c r="AE251" i="29"/>
  <c r="BI251" i="30" s="1"/>
  <c r="AP255" i="30"/>
  <c r="O255" i="29"/>
  <c r="BG255" i="30" s="1"/>
  <c r="AR259" i="30"/>
  <c r="AE259" i="29"/>
  <c r="BI259" i="30" s="1"/>
  <c r="AQ265" i="30"/>
  <c r="W265" i="29"/>
  <c r="AS269" i="30"/>
  <c r="AM269" i="29"/>
  <c r="BJ269" i="30" s="1"/>
  <c r="AS277" i="30"/>
  <c r="AM277" i="29"/>
  <c r="BJ277" i="30" s="1"/>
  <c r="AS285" i="30"/>
  <c r="AM285" i="29"/>
  <c r="BJ285" i="30" s="1"/>
  <c r="AQ289" i="30"/>
  <c r="W289" i="29"/>
  <c r="AP303" i="30"/>
  <c r="O303" i="29"/>
  <c r="BG303" i="30" s="1"/>
  <c r="AP343" i="30"/>
  <c r="O343" i="29"/>
  <c r="BG343" i="30" s="1"/>
  <c r="AR347" i="30"/>
  <c r="AE347" i="29"/>
  <c r="BI347" i="30" s="1"/>
  <c r="AS357" i="30"/>
  <c r="AM357" i="29"/>
  <c r="AR363" i="30"/>
  <c r="AE363" i="29"/>
  <c r="BI363" i="30" s="1"/>
  <c r="AP407" i="30"/>
  <c r="O407" i="29"/>
  <c r="BG407" i="30" s="1"/>
  <c r="AR419" i="30"/>
  <c r="AE419" i="29"/>
  <c r="BI419" i="30" s="1"/>
  <c r="AE2" i="29"/>
  <c r="AS4" i="30"/>
  <c r="AM4" i="29"/>
  <c r="AP6" i="30"/>
  <c r="O6" i="29"/>
  <c r="AQ8" i="30"/>
  <c r="W8" i="29"/>
  <c r="AR10" i="30"/>
  <c r="AE10" i="29"/>
  <c r="AS12" i="30"/>
  <c r="AM12" i="29"/>
  <c r="BJ12" i="30" s="1"/>
  <c r="AP14" i="30"/>
  <c r="O14" i="29"/>
  <c r="BG14" i="30" s="1"/>
  <c r="AQ16" i="30"/>
  <c r="W16" i="29"/>
  <c r="BH16" i="30" s="1"/>
  <c r="AR18" i="30"/>
  <c r="AE18" i="29"/>
  <c r="AS20" i="30"/>
  <c r="AM20" i="29"/>
  <c r="BJ20" i="30" s="1"/>
  <c r="AP22" i="30"/>
  <c r="O22" i="29"/>
  <c r="BG22" i="30" s="1"/>
  <c r="AQ24" i="30"/>
  <c r="W24" i="29"/>
  <c r="BH24" i="30" s="1"/>
  <c r="AR26" i="30"/>
  <c r="AE26" i="29"/>
  <c r="AS28" i="30"/>
  <c r="AM28" i="29"/>
  <c r="BJ28" i="30" s="1"/>
  <c r="AP30" i="30"/>
  <c r="O30" i="29"/>
  <c r="BG30" i="30" s="1"/>
  <c r="AQ32" i="30"/>
  <c r="W32" i="29"/>
  <c r="BH32" i="30" s="1"/>
  <c r="AR34" i="30"/>
  <c r="AE34" i="29"/>
  <c r="BI34" i="30" s="1"/>
  <c r="AS36" i="30"/>
  <c r="AM36" i="29"/>
  <c r="BJ36" i="30" s="1"/>
  <c r="AP38" i="30"/>
  <c r="O38" i="29"/>
  <c r="BG38" i="30" s="1"/>
  <c r="AQ40" i="30"/>
  <c r="W40" i="29"/>
  <c r="BH40" i="30" s="1"/>
  <c r="AR42" i="30"/>
  <c r="AE42" i="29"/>
  <c r="AS44" i="30"/>
  <c r="AM44" i="29"/>
  <c r="BJ44" i="30" s="1"/>
  <c r="AP46" i="30"/>
  <c r="O46" i="29"/>
  <c r="BG46" i="30" s="1"/>
  <c r="AQ48" i="30"/>
  <c r="W48" i="29"/>
  <c r="BH48" i="30" s="1"/>
  <c r="AR51" i="30"/>
  <c r="AE51" i="29"/>
  <c r="AS55" i="30"/>
  <c r="AM55" i="29"/>
  <c r="BJ55" i="30" s="1"/>
  <c r="AP57" i="30"/>
  <c r="O57" i="29"/>
  <c r="BG57" i="30" s="1"/>
  <c r="AQ59" i="30"/>
  <c r="W59" i="29"/>
  <c r="BH59" i="30" s="1"/>
  <c r="AR61" i="30"/>
  <c r="AE61" i="29"/>
  <c r="AS63" i="30"/>
  <c r="AM63" i="29"/>
  <c r="BJ63" i="30" s="1"/>
  <c r="AP65" i="30"/>
  <c r="O65" i="29"/>
  <c r="BG65" i="30" s="1"/>
  <c r="AQ67" i="30"/>
  <c r="W67" i="29"/>
  <c r="BH67" i="30" s="1"/>
  <c r="AR69" i="30"/>
  <c r="AE69" i="29"/>
  <c r="BI69" i="30" s="1"/>
  <c r="AS71" i="30"/>
  <c r="AM71" i="29"/>
  <c r="BJ71" i="30" s="1"/>
  <c r="AP73" i="30"/>
  <c r="O73" i="29"/>
  <c r="BG73" i="30" s="1"/>
  <c r="AQ75" i="30"/>
  <c r="W75" i="29"/>
  <c r="BH75" i="30" s="1"/>
  <c r="AR77" i="30"/>
  <c r="AE77" i="29"/>
  <c r="AS79" i="30"/>
  <c r="AM79" i="29"/>
  <c r="BJ79" i="30" s="1"/>
  <c r="AP81" i="30"/>
  <c r="O81" i="29"/>
  <c r="BG81" i="30" s="1"/>
  <c r="AQ83" i="30"/>
  <c r="W83" i="29"/>
  <c r="BH83" i="30" s="1"/>
  <c r="AR85" i="30"/>
  <c r="AE85" i="29"/>
  <c r="AS87" i="30"/>
  <c r="AM87" i="29"/>
  <c r="BJ87" i="30" s="1"/>
  <c r="AP89" i="30"/>
  <c r="O89" i="29"/>
  <c r="BG89" i="30" s="1"/>
  <c r="AQ91" i="30"/>
  <c r="W91" i="29"/>
  <c r="BH91" i="30" s="1"/>
  <c r="AR93" i="30"/>
  <c r="AE93" i="29"/>
  <c r="AS95" i="30"/>
  <c r="AM95" i="29"/>
  <c r="BJ95" i="30" s="1"/>
  <c r="AP97" i="30"/>
  <c r="O97" i="29"/>
  <c r="BG97" i="30" s="1"/>
  <c r="AQ99" i="30"/>
  <c r="W99" i="29"/>
  <c r="BH99" i="30" s="1"/>
  <c r="AR101" i="30"/>
  <c r="AE101" i="29"/>
  <c r="BI101" i="30" s="1"/>
  <c r="AS103" i="30"/>
  <c r="AM103" i="29"/>
  <c r="BJ103" i="30" s="1"/>
  <c r="AP105" i="30"/>
  <c r="O105" i="29"/>
  <c r="BG105" i="30" s="1"/>
  <c r="AQ107" i="30"/>
  <c r="W107" i="29"/>
  <c r="BH107" i="30" s="1"/>
  <c r="AR109" i="30"/>
  <c r="AE109" i="29"/>
  <c r="AS111" i="30"/>
  <c r="AM111" i="29"/>
  <c r="BJ111" i="30" s="1"/>
  <c r="AP113" i="30"/>
  <c r="O113" i="29"/>
  <c r="BG113" i="30" s="1"/>
  <c r="AQ115" i="30"/>
  <c r="W115" i="29"/>
  <c r="BH115" i="30" s="1"/>
  <c r="AR117" i="30"/>
  <c r="AE117" i="29"/>
  <c r="AS119" i="30"/>
  <c r="AM119" i="29"/>
  <c r="BJ119" i="30" s="1"/>
  <c r="AP121" i="30"/>
  <c r="O121" i="29"/>
  <c r="BG121" i="30" s="1"/>
  <c r="AQ123" i="30"/>
  <c r="W123" i="29"/>
  <c r="BH123" i="30" s="1"/>
  <c r="AR125" i="30"/>
  <c r="AE125" i="29"/>
  <c r="AS127" i="30"/>
  <c r="AM127" i="29"/>
  <c r="BJ127" i="30" s="1"/>
  <c r="AP129" i="30"/>
  <c r="O129" i="29"/>
  <c r="BG129" i="30" s="1"/>
  <c r="AQ131" i="30"/>
  <c r="W131" i="29"/>
  <c r="BH131" i="30" s="1"/>
  <c r="AR133" i="30"/>
  <c r="AE133" i="29"/>
  <c r="BI133" i="30" s="1"/>
  <c r="AS135" i="30"/>
  <c r="AM135" i="29"/>
  <c r="BJ135" i="30" s="1"/>
  <c r="AP137" i="30"/>
  <c r="O137" i="29"/>
  <c r="BG137" i="30" s="1"/>
  <c r="AQ139" i="30"/>
  <c r="W139" i="29"/>
  <c r="BH139" i="30" s="1"/>
  <c r="AR141" i="30"/>
  <c r="AE141" i="29"/>
  <c r="AS143" i="30"/>
  <c r="AM143" i="29"/>
  <c r="BJ143" i="30" s="1"/>
  <c r="AP145" i="30"/>
  <c r="O145" i="29"/>
  <c r="BG145" i="30" s="1"/>
  <c r="AQ147" i="30"/>
  <c r="W147" i="29"/>
  <c r="BH147" i="30" s="1"/>
  <c r="AR149" i="30"/>
  <c r="AE149" i="29"/>
  <c r="AS151" i="30"/>
  <c r="AM151" i="29"/>
  <c r="BJ151" i="30" s="1"/>
  <c r="AP153" i="30"/>
  <c r="O153" i="29"/>
  <c r="BG153" i="30" s="1"/>
  <c r="AQ155" i="30"/>
  <c r="W155" i="29"/>
  <c r="BH155" i="30" s="1"/>
  <c r="AR157" i="30"/>
  <c r="AE157" i="29"/>
  <c r="AS159" i="30"/>
  <c r="AM159" i="29"/>
  <c r="BJ159" i="30" s="1"/>
  <c r="AP243" i="30"/>
  <c r="O243" i="29"/>
  <c r="BG243" i="30" s="1"/>
  <c r="AQ245" i="30"/>
  <c r="W245" i="29"/>
  <c r="BH245" i="30" s="1"/>
  <c r="AR247" i="30"/>
  <c r="AE247" i="29"/>
  <c r="AS249" i="30"/>
  <c r="AM249" i="29"/>
  <c r="BJ249" i="30" s="1"/>
  <c r="AP251" i="30"/>
  <c r="O251" i="29"/>
  <c r="BG251" i="30" s="1"/>
  <c r="AQ253" i="30"/>
  <c r="W253" i="29"/>
  <c r="BH253" i="30" s="1"/>
  <c r="AR255" i="30"/>
  <c r="AE255" i="29"/>
  <c r="AS257" i="30"/>
  <c r="AM257" i="29"/>
  <c r="BJ257" i="30" s="1"/>
  <c r="AP259" i="30"/>
  <c r="O259" i="29"/>
  <c r="BG259" i="30" s="1"/>
  <c r="AQ261" i="30"/>
  <c r="W261" i="29"/>
  <c r="BH261" i="30" s="1"/>
  <c r="AR263" i="30"/>
  <c r="AE263" i="29"/>
  <c r="AS265" i="30"/>
  <c r="AM265" i="29"/>
  <c r="BJ265" i="30" s="1"/>
  <c r="AP267" i="30"/>
  <c r="O267" i="29"/>
  <c r="BG267" i="30" s="1"/>
  <c r="AQ269" i="30"/>
  <c r="W269" i="29"/>
  <c r="BH269" i="30" s="1"/>
  <c r="AR271" i="30"/>
  <c r="AE271" i="29"/>
  <c r="AS273" i="30"/>
  <c r="AM273" i="29"/>
  <c r="BJ273" i="30" s="1"/>
  <c r="AP275" i="30"/>
  <c r="O275" i="29"/>
  <c r="BG275" i="30" s="1"/>
  <c r="AQ277" i="30"/>
  <c r="W277" i="29"/>
  <c r="BH277" i="30" s="1"/>
  <c r="AR279" i="30"/>
  <c r="AE279" i="29"/>
  <c r="AS281" i="30"/>
  <c r="AM281" i="29"/>
  <c r="BJ281" i="30" s="1"/>
  <c r="AP283" i="30"/>
  <c r="O283" i="29"/>
  <c r="BG283" i="30" s="1"/>
  <c r="AQ285" i="30"/>
  <c r="W285" i="29"/>
  <c r="BH285" i="30" s="1"/>
  <c r="AR287" i="30"/>
  <c r="AE287" i="29"/>
  <c r="AS289" i="30"/>
  <c r="AM289" i="29"/>
  <c r="BJ289" i="30" s="1"/>
  <c r="AP291" i="30"/>
  <c r="O291" i="29"/>
  <c r="BG291" i="30" s="1"/>
  <c r="AQ293" i="30"/>
  <c r="W293" i="29"/>
  <c r="BH293" i="30" s="1"/>
  <c r="AR295" i="30"/>
  <c r="AE295" i="29"/>
  <c r="AS297" i="30"/>
  <c r="AM297" i="29"/>
  <c r="BJ297" i="30" s="1"/>
  <c r="AP299" i="30"/>
  <c r="O299" i="29"/>
  <c r="BG299" i="30" s="1"/>
  <c r="AQ301" i="30"/>
  <c r="W301" i="29"/>
  <c r="BH301" i="30" s="1"/>
  <c r="AR303" i="30"/>
  <c r="AE303" i="29"/>
  <c r="AS305" i="30"/>
  <c r="AM305" i="29"/>
  <c r="BJ305" i="30" s="1"/>
  <c r="AP307" i="30"/>
  <c r="O307" i="29"/>
  <c r="BG307" i="30" s="1"/>
  <c r="AQ309" i="30"/>
  <c r="W309" i="29"/>
  <c r="BH309" i="30" s="1"/>
  <c r="AR311" i="30"/>
  <c r="AE311" i="29"/>
  <c r="AP315" i="30"/>
  <c r="O315" i="29"/>
  <c r="BG315" i="30" s="1"/>
  <c r="AQ317" i="30"/>
  <c r="W317" i="29"/>
  <c r="BH317" i="30" s="1"/>
  <c r="AR319" i="30"/>
  <c r="AE319" i="29"/>
  <c r="BI319" i="30" s="1"/>
  <c r="AS321" i="30"/>
  <c r="AM321" i="29"/>
  <c r="AP323" i="30"/>
  <c r="O323" i="29"/>
  <c r="BG323" i="30" s="1"/>
  <c r="AQ325" i="30"/>
  <c r="W325" i="29"/>
  <c r="AR327" i="30"/>
  <c r="AE327" i="29"/>
  <c r="BI327" i="30" s="1"/>
  <c r="AP331" i="30"/>
  <c r="O331" i="29"/>
  <c r="AQ333" i="30"/>
  <c r="W333" i="29"/>
  <c r="BH333" i="30" s="1"/>
  <c r="AR335" i="30"/>
  <c r="AE335" i="29"/>
  <c r="BI335" i="30" s="1"/>
  <c r="AS337" i="30"/>
  <c r="AM337" i="29"/>
  <c r="BJ337" i="30" s="1"/>
  <c r="AP339" i="30"/>
  <c r="O339" i="29"/>
  <c r="AQ341" i="30"/>
  <c r="W341" i="29"/>
  <c r="BH341" i="30" s="1"/>
  <c r="AR343" i="30"/>
  <c r="AE343" i="29"/>
  <c r="BI343" i="30" s="1"/>
  <c r="AS345" i="30"/>
  <c r="AM345" i="29"/>
  <c r="BJ345" i="30" s="1"/>
  <c r="AP347" i="30"/>
  <c r="O347" i="29"/>
  <c r="AQ349" i="30"/>
  <c r="W349" i="29"/>
  <c r="BH349" i="30" s="1"/>
  <c r="AR351" i="30"/>
  <c r="AE351" i="29"/>
  <c r="BI351" i="30" s="1"/>
  <c r="AS353" i="30"/>
  <c r="AM353" i="29"/>
  <c r="BJ353" i="30" s="1"/>
  <c r="AP355" i="30"/>
  <c r="O355" i="29"/>
  <c r="AQ357" i="30"/>
  <c r="W357" i="29"/>
  <c r="BH357" i="30" s="1"/>
  <c r="AR359" i="30"/>
  <c r="AE359" i="29"/>
  <c r="BI359" i="30" s="1"/>
  <c r="AS361" i="30"/>
  <c r="AM361" i="29"/>
  <c r="BJ361" i="30" s="1"/>
  <c r="AQ365" i="30"/>
  <c r="W365" i="29"/>
  <c r="AR367" i="30"/>
  <c r="AE367" i="29"/>
  <c r="BI367" i="30" s="1"/>
  <c r="AS369" i="30"/>
  <c r="AM369" i="29"/>
  <c r="BJ369" i="30" s="1"/>
  <c r="AP371" i="30"/>
  <c r="O371" i="29"/>
  <c r="BG371" i="30" s="1"/>
  <c r="AQ373" i="30"/>
  <c r="W373" i="29"/>
  <c r="AR375" i="30"/>
  <c r="AE375" i="29"/>
  <c r="BI375" i="30" s="1"/>
  <c r="AP379" i="30"/>
  <c r="O379" i="29"/>
  <c r="BG379" i="30" s="1"/>
  <c r="AQ381" i="30"/>
  <c r="W381" i="29"/>
  <c r="BH381" i="30" s="1"/>
  <c r="AR383" i="30"/>
  <c r="AE383" i="29"/>
  <c r="AS385" i="30"/>
  <c r="AM385" i="29"/>
  <c r="BJ385" i="30" s="1"/>
  <c r="AP387" i="30"/>
  <c r="O387" i="29"/>
  <c r="BG387" i="30" s="1"/>
  <c r="AQ389" i="30"/>
  <c r="W389" i="29"/>
  <c r="BH389" i="30" s="1"/>
  <c r="AR391" i="30"/>
  <c r="AE391" i="29"/>
  <c r="AP395" i="30"/>
  <c r="O395" i="29"/>
  <c r="BG395" i="30" s="1"/>
  <c r="AQ397" i="30"/>
  <c r="W397" i="29"/>
  <c r="BH397" i="30" s="1"/>
  <c r="AR399" i="30"/>
  <c r="AE399" i="29"/>
  <c r="BI399" i="30" s="1"/>
  <c r="AS401" i="30"/>
  <c r="AM401" i="29"/>
  <c r="AP403" i="30"/>
  <c r="O403" i="29"/>
  <c r="BG403" i="30" s="1"/>
  <c r="AQ405" i="30"/>
  <c r="W405" i="29"/>
  <c r="AR407" i="30"/>
  <c r="AE407" i="29"/>
  <c r="BI407" i="30" s="1"/>
  <c r="AS409" i="30"/>
  <c r="AM409" i="29"/>
  <c r="AP411" i="30"/>
  <c r="O411" i="29"/>
  <c r="BG411" i="30" s="1"/>
  <c r="AQ413" i="30"/>
  <c r="W413" i="29"/>
  <c r="BH413" i="30" s="1"/>
  <c r="AR415" i="30"/>
  <c r="AE415" i="29"/>
  <c r="BI415" i="30" s="1"/>
  <c r="AS417" i="30"/>
  <c r="AM417" i="29"/>
  <c r="AP419" i="30"/>
  <c r="O419" i="29"/>
  <c r="BG419" i="30" s="1"/>
  <c r="AQ36" i="30"/>
  <c r="W36" i="29"/>
  <c r="BH36" i="30" s="1"/>
  <c r="AQ55" i="30"/>
  <c r="W55" i="29"/>
  <c r="BH55" i="30" s="1"/>
  <c r="AQ79" i="30"/>
  <c r="W79" i="29"/>
  <c r="AP93" i="30"/>
  <c r="O93" i="29"/>
  <c r="BG93" i="30" s="1"/>
  <c r="AP101" i="30"/>
  <c r="O101" i="29"/>
  <c r="BG101" i="30" s="1"/>
  <c r="AR113" i="30"/>
  <c r="AE113" i="29"/>
  <c r="BI113" i="30" s="1"/>
  <c r="AQ119" i="30"/>
  <c r="W119" i="29"/>
  <c r="AR275" i="30"/>
  <c r="AE275" i="29"/>
  <c r="BI275" i="30" s="1"/>
  <c r="AS293" i="30"/>
  <c r="AM293" i="29"/>
  <c r="BJ293" i="30" s="1"/>
  <c r="AR299" i="30"/>
  <c r="AE299" i="29"/>
  <c r="BI299" i="30" s="1"/>
  <c r="AQ305" i="30"/>
  <c r="W305" i="29"/>
  <c r="AP359" i="30"/>
  <c r="O359" i="29"/>
  <c r="BG359" i="30" s="1"/>
  <c r="AS365" i="30"/>
  <c r="AM365" i="29"/>
  <c r="BJ365" i="30" s="1"/>
  <c r="AP399" i="30"/>
  <c r="O399" i="29"/>
  <c r="BG399" i="30" s="1"/>
  <c r="AP415" i="30"/>
  <c r="O415" i="29"/>
  <c r="AP9" i="30"/>
  <c r="O9" i="29"/>
  <c r="AR13" i="30"/>
  <c r="AE13" i="29"/>
  <c r="BI13" i="30" s="1"/>
  <c r="AS15" i="30"/>
  <c r="AM15" i="29"/>
  <c r="BJ15" i="30" s="1"/>
  <c r="AP33" i="30"/>
  <c r="O33" i="29"/>
  <c r="AR37" i="30"/>
  <c r="AE37" i="29"/>
  <c r="BI37" i="30" s="1"/>
  <c r="AP41" i="30"/>
  <c r="O41" i="29"/>
  <c r="BG41" i="30" s="1"/>
  <c r="AR45" i="30"/>
  <c r="AE45" i="29"/>
  <c r="BI45" i="30" s="1"/>
  <c r="AS47" i="30"/>
  <c r="AM47" i="29"/>
  <c r="AP49" i="30"/>
  <c r="O49" i="29"/>
  <c r="BG49" i="30" s="1"/>
  <c r="AQ54" i="30"/>
  <c r="W54" i="29"/>
  <c r="BH54" i="30" s="1"/>
  <c r="AR56" i="30"/>
  <c r="AE56" i="29"/>
  <c r="BI56" i="30" s="1"/>
  <c r="AS58" i="30"/>
  <c r="AM58" i="29"/>
  <c r="AP60" i="30"/>
  <c r="O60" i="29"/>
  <c r="BG60" i="30" s="1"/>
  <c r="AQ62" i="30"/>
  <c r="W62" i="29"/>
  <c r="BH62" i="30" s="1"/>
  <c r="AR64" i="30"/>
  <c r="AE64" i="29"/>
  <c r="BI64" i="30" s="1"/>
  <c r="AS66" i="30"/>
  <c r="AM66" i="29"/>
  <c r="AP68" i="30"/>
  <c r="O68" i="29"/>
  <c r="BG68" i="30" s="1"/>
  <c r="AQ70" i="30"/>
  <c r="W70" i="29"/>
  <c r="AR72" i="30"/>
  <c r="AE72" i="29"/>
  <c r="BI72" i="30" s="1"/>
  <c r="AS74" i="30"/>
  <c r="AM74" i="29"/>
  <c r="AP76" i="30"/>
  <c r="O76" i="29"/>
  <c r="BG76" i="30" s="1"/>
  <c r="AQ78" i="30"/>
  <c r="W78" i="29"/>
  <c r="BH78" i="30" s="1"/>
  <c r="AR80" i="30"/>
  <c r="AE80" i="29"/>
  <c r="BI80" i="30" s="1"/>
  <c r="AS82" i="30"/>
  <c r="AM82" i="29"/>
  <c r="AP84" i="30"/>
  <c r="O84" i="29"/>
  <c r="BG84" i="30" s="1"/>
  <c r="AQ86" i="30"/>
  <c r="W86" i="29"/>
  <c r="BH86" i="30" s="1"/>
  <c r="AR88" i="30"/>
  <c r="AE88" i="29"/>
  <c r="BI88" i="30" s="1"/>
  <c r="AS90" i="30"/>
  <c r="AM90" i="29"/>
  <c r="AP92" i="30"/>
  <c r="O92" i="29"/>
  <c r="BG92" i="30" s="1"/>
  <c r="AQ94" i="30"/>
  <c r="W94" i="29"/>
  <c r="BH94" i="30" s="1"/>
  <c r="AR96" i="30"/>
  <c r="AE96" i="29"/>
  <c r="BI96" i="30" s="1"/>
  <c r="AS98" i="30"/>
  <c r="AM98" i="29"/>
  <c r="AP100" i="30"/>
  <c r="O100" i="29"/>
  <c r="BG100" i="30" s="1"/>
  <c r="AQ102" i="30"/>
  <c r="W102" i="29"/>
  <c r="BH102" i="30" s="1"/>
  <c r="AR104" i="30"/>
  <c r="AE104" i="29"/>
  <c r="BI104" i="30" s="1"/>
  <c r="AS106" i="30"/>
  <c r="AM106" i="29"/>
  <c r="AP108" i="30"/>
  <c r="O108" i="29"/>
  <c r="BG108" i="30" s="1"/>
  <c r="AQ110" i="30"/>
  <c r="W110" i="29"/>
  <c r="AR112" i="30"/>
  <c r="AE112" i="29"/>
  <c r="BI112" i="30" s="1"/>
  <c r="AS114" i="30"/>
  <c r="AM114" i="29"/>
  <c r="AP116" i="30"/>
  <c r="O116" i="29"/>
  <c r="BG116" i="30" s="1"/>
  <c r="AQ118" i="30"/>
  <c r="W118" i="29"/>
  <c r="BH118" i="30" s="1"/>
  <c r="AR120" i="30"/>
  <c r="AE120" i="29"/>
  <c r="BI120" i="30" s="1"/>
  <c r="AS122" i="30"/>
  <c r="AM122" i="29"/>
  <c r="AP124" i="30"/>
  <c r="O124" i="29"/>
  <c r="BG124" i="30" s="1"/>
  <c r="AQ126" i="30"/>
  <c r="W126" i="29"/>
  <c r="BH126" i="30" s="1"/>
  <c r="AR128" i="30"/>
  <c r="AE128" i="29"/>
  <c r="BI128" i="30" s="1"/>
  <c r="AS130" i="30"/>
  <c r="AM130" i="29"/>
  <c r="AP132" i="30"/>
  <c r="O132" i="29"/>
  <c r="BG132" i="30" s="1"/>
  <c r="AQ134" i="30"/>
  <c r="W134" i="29"/>
  <c r="BH134" i="30" s="1"/>
  <c r="AR136" i="30"/>
  <c r="AE136" i="29"/>
  <c r="BI136" i="30" s="1"/>
  <c r="AS138" i="30"/>
  <c r="AM138" i="29"/>
  <c r="AP140" i="30"/>
  <c r="O140" i="29"/>
  <c r="BG140" i="30" s="1"/>
  <c r="AQ142" i="30"/>
  <c r="W142" i="29"/>
  <c r="BH142" i="30" s="1"/>
  <c r="AR144" i="30"/>
  <c r="AE144" i="29"/>
  <c r="BI144" i="30" s="1"/>
  <c r="AS146" i="30"/>
  <c r="AM146" i="29"/>
  <c r="AP148" i="30"/>
  <c r="O148" i="29"/>
  <c r="BG148" i="30" s="1"/>
  <c r="AQ150" i="30"/>
  <c r="W150" i="29"/>
  <c r="BH150" i="30" s="1"/>
  <c r="AR152" i="30"/>
  <c r="AE152" i="29"/>
  <c r="BI152" i="30" s="1"/>
  <c r="AS154" i="30"/>
  <c r="AM154" i="29"/>
  <c r="AP156" i="30"/>
  <c r="O156" i="29"/>
  <c r="BG156" i="30" s="1"/>
  <c r="AQ158" i="30"/>
  <c r="W158" i="29"/>
  <c r="BH158" i="30" s="1"/>
  <c r="AR242" i="30"/>
  <c r="AE242" i="29"/>
  <c r="BI242" i="30" s="1"/>
  <c r="AS244" i="30"/>
  <c r="AM244" i="29"/>
  <c r="AP246" i="30"/>
  <c r="O246" i="29"/>
  <c r="BG246" i="30" s="1"/>
  <c r="AQ248" i="30"/>
  <c r="W248" i="29"/>
  <c r="BH248" i="30" s="1"/>
  <c r="AR250" i="30"/>
  <c r="AE250" i="29"/>
  <c r="BI250" i="30" s="1"/>
  <c r="AS252" i="30"/>
  <c r="AM252" i="29"/>
  <c r="AP254" i="30"/>
  <c r="O254" i="29"/>
  <c r="BG254" i="30" s="1"/>
  <c r="AQ256" i="30"/>
  <c r="W256" i="29"/>
  <c r="BH256" i="30" s="1"/>
  <c r="AR258" i="30"/>
  <c r="AE258" i="29"/>
  <c r="BI258" i="30" s="1"/>
  <c r="AS260" i="30"/>
  <c r="AM260" i="29"/>
  <c r="AP262" i="30"/>
  <c r="O262" i="29"/>
  <c r="BG262" i="30" s="1"/>
  <c r="AQ264" i="30"/>
  <c r="W264" i="29"/>
  <c r="BH264" i="30" s="1"/>
  <c r="AR266" i="30"/>
  <c r="AE266" i="29"/>
  <c r="BI266" i="30" s="1"/>
  <c r="AS268" i="30"/>
  <c r="AM268" i="29"/>
  <c r="AP270" i="30"/>
  <c r="O270" i="29"/>
  <c r="BG270" i="30" s="1"/>
  <c r="AQ272" i="30"/>
  <c r="W272" i="29"/>
  <c r="AR274" i="30"/>
  <c r="AE274" i="29"/>
  <c r="BI274" i="30" s="1"/>
  <c r="AS276" i="30"/>
  <c r="AM276" i="29"/>
  <c r="AP278" i="30"/>
  <c r="O278" i="29"/>
  <c r="BG278" i="30" s="1"/>
  <c r="AQ280" i="30"/>
  <c r="W280" i="29"/>
  <c r="BH280" i="30" s="1"/>
  <c r="AR282" i="30"/>
  <c r="AE282" i="29"/>
  <c r="BI282" i="30" s="1"/>
  <c r="AS284" i="30"/>
  <c r="AM284" i="29"/>
  <c r="AP286" i="30"/>
  <c r="O286" i="29"/>
  <c r="BG286" i="30" s="1"/>
  <c r="AQ288" i="30"/>
  <c r="W288" i="29"/>
  <c r="AR290" i="30"/>
  <c r="AE290" i="29"/>
  <c r="BI290" i="30" s="1"/>
  <c r="AS292" i="30"/>
  <c r="AM292" i="29"/>
  <c r="AP294" i="30"/>
  <c r="O294" i="29"/>
  <c r="BG294" i="30" s="1"/>
  <c r="AQ296" i="30"/>
  <c r="W296" i="29"/>
  <c r="BH296" i="30" s="1"/>
  <c r="AR298" i="30"/>
  <c r="AE298" i="29"/>
  <c r="BI298" i="30" s="1"/>
  <c r="AS300" i="30"/>
  <c r="AM300" i="29"/>
  <c r="AP302" i="30"/>
  <c r="O302" i="29"/>
  <c r="BG302" i="30" s="1"/>
  <c r="AQ304" i="30"/>
  <c r="W304" i="29"/>
  <c r="AR306" i="30"/>
  <c r="AE306" i="29"/>
  <c r="BI306" i="30" s="1"/>
  <c r="AS308" i="30"/>
  <c r="AM308" i="29"/>
  <c r="AP310" i="30"/>
  <c r="O310" i="29"/>
  <c r="BG310" i="30" s="1"/>
  <c r="AQ312" i="30"/>
  <c r="W312" i="29"/>
  <c r="BH312" i="30" s="1"/>
  <c r="AR314" i="30"/>
  <c r="AE314" i="29"/>
  <c r="BI314" i="30" s="1"/>
  <c r="AS316" i="30"/>
  <c r="AM316" i="29"/>
  <c r="AP318" i="30"/>
  <c r="O318" i="29"/>
  <c r="BG318" i="30" s="1"/>
  <c r="AQ320" i="30"/>
  <c r="W320" i="29"/>
  <c r="BH320" i="30" s="1"/>
  <c r="AR322" i="30"/>
  <c r="AE322" i="29"/>
  <c r="BI322" i="30" s="1"/>
  <c r="AS324" i="30"/>
  <c r="AM324" i="29"/>
  <c r="AP326" i="30"/>
  <c r="O326" i="29"/>
  <c r="BG326" i="30" s="1"/>
  <c r="AQ328" i="30"/>
  <c r="W328" i="29"/>
  <c r="BH328" i="30" s="1"/>
  <c r="AR330" i="30"/>
  <c r="AE330" i="29"/>
  <c r="BI330" i="30" s="1"/>
  <c r="AS332" i="30"/>
  <c r="AM332" i="29"/>
  <c r="AP334" i="30"/>
  <c r="O334" i="29"/>
  <c r="BG334" i="30" s="1"/>
  <c r="AQ336" i="30"/>
  <c r="W336" i="29"/>
  <c r="BH336" i="30" s="1"/>
  <c r="AR338" i="30"/>
  <c r="AE338" i="29"/>
  <c r="BI338" i="30" s="1"/>
  <c r="AS340" i="30"/>
  <c r="AM340" i="29"/>
  <c r="AP342" i="30"/>
  <c r="O342" i="29"/>
  <c r="BG342" i="30" s="1"/>
  <c r="AQ344" i="30"/>
  <c r="W344" i="29"/>
  <c r="BH344" i="30" s="1"/>
  <c r="AR346" i="30"/>
  <c r="AE346" i="29"/>
  <c r="BI346" i="30" s="1"/>
  <c r="AS348" i="30"/>
  <c r="AM348" i="29"/>
  <c r="AP350" i="30"/>
  <c r="O350" i="29"/>
  <c r="BG350" i="30" s="1"/>
  <c r="AQ352" i="30"/>
  <c r="W352" i="29"/>
  <c r="BH352" i="30" s="1"/>
  <c r="AR354" i="30"/>
  <c r="AE354" i="29"/>
  <c r="BI354" i="30" s="1"/>
  <c r="AS356" i="30"/>
  <c r="AM356" i="29"/>
  <c r="AP358" i="30"/>
  <c r="O358" i="29"/>
  <c r="BG358" i="30" s="1"/>
  <c r="AQ360" i="30"/>
  <c r="W360" i="29"/>
  <c r="BH360" i="30" s="1"/>
  <c r="AR362" i="30"/>
  <c r="AE362" i="29"/>
  <c r="BI362" i="30" s="1"/>
  <c r="AS364" i="30"/>
  <c r="AM364" i="29"/>
  <c r="AP366" i="30"/>
  <c r="O366" i="29"/>
  <c r="BG366" i="30" s="1"/>
  <c r="AQ368" i="30"/>
  <c r="W368" i="29"/>
  <c r="BH368" i="30" s="1"/>
  <c r="AR370" i="30"/>
  <c r="AE370" i="29"/>
  <c r="BI370" i="30" s="1"/>
  <c r="AS372" i="30"/>
  <c r="AM372" i="29"/>
  <c r="AP374" i="30"/>
  <c r="O374" i="29"/>
  <c r="BG374" i="30" s="1"/>
  <c r="AQ376" i="30"/>
  <c r="W376" i="29"/>
  <c r="AR378" i="30"/>
  <c r="AE378" i="29"/>
  <c r="BI378" i="30" s="1"/>
  <c r="AS380" i="30"/>
  <c r="AM380" i="29"/>
  <c r="AP382" i="30"/>
  <c r="O382" i="29"/>
  <c r="BG382" i="30" s="1"/>
  <c r="AQ384" i="30"/>
  <c r="W384" i="29"/>
  <c r="BH384" i="30" s="1"/>
  <c r="AR386" i="30"/>
  <c r="AE386" i="29"/>
  <c r="BI386" i="30" s="1"/>
  <c r="AS388" i="30"/>
  <c r="AM388" i="29"/>
  <c r="AP390" i="30"/>
  <c r="O390" i="29"/>
  <c r="BG390" i="30" s="1"/>
  <c r="AQ392" i="30"/>
  <c r="W392" i="29"/>
  <c r="BH392" i="30" s="1"/>
  <c r="AR394" i="30"/>
  <c r="AE394" i="29"/>
  <c r="BI394" i="30" s="1"/>
  <c r="AS396" i="30"/>
  <c r="AM396" i="29"/>
  <c r="AP398" i="30"/>
  <c r="O398" i="29"/>
  <c r="BG398" i="30" s="1"/>
  <c r="AQ400" i="30"/>
  <c r="W400" i="29"/>
  <c r="BH400" i="30" s="1"/>
  <c r="AR402" i="30"/>
  <c r="AE402" i="29"/>
  <c r="BI402" i="30" s="1"/>
  <c r="AS404" i="30"/>
  <c r="AM404" i="29"/>
  <c r="AP406" i="30"/>
  <c r="O406" i="29"/>
  <c r="BG406" i="30" s="1"/>
  <c r="AQ408" i="30"/>
  <c r="W408" i="29"/>
  <c r="BH408" i="30" s="1"/>
  <c r="AR410" i="30"/>
  <c r="AE410" i="29"/>
  <c r="BI410" i="30" s="1"/>
  <c r="AS412" i="30"/>
  <c r="AM412" i="29"/>
  <c r="AP414" i="30"/>
  <c r="O414" i="29"/>
  <c r="BG414" i="30" s="1"/>
  <c r="AQ416" i="30"/>
  <c r="W416" i="29"/>
  <c r="BH416" i="30" s="1"/>
  <c r="AR418" i="30"/>
  <c r="AE418" i="29"/>
  <c r="BI418" i="30" s="1"/>
  <c r="AS420" i="30"/>
  <c r="AM420" i="29"/>
  <c r="AR14" i="30"/>
  <c r="AE14" i="29"/>
  <c r="BI14" i="30" s="1"/>
  <c r="AP18" i="30"/>
  <c r="O18" i="29"/>
  <c r="BG18" i="30" s="1"/>
  <c r="AR22" i="30"/>
  <c r="AE22" i="29"/>
  <c r="BI22" i="30" s="1"/>
  <c r="AP26" i="30"/>
  <c r="O26" i="29"/>
  <c r="AR30" i="30"/>
  <c r="AE30" i="29"/>
  <c r="BI30" i="30" s="1"/>
  <c r="AP34" i="30"/>
  <c r="O34" i="29"/>
  <c r="BG34" i="30" s="1"/>
  <c r="AR38" i="30"/>
  <c r="AE38" i="29"/>
  <c r="BI38" i="30" s="1"/>
  <c r="AP42" i="30"/>
  <c r="O42" i="29"/>
  <c r="AR46" i="30"/>
  <c r="AE46" i="29"/>
  <c r="BI46" i="30" s="1"/>
  <c r="AS59" i="30"/>
  <c r="AM59" i="29"/>
  <c r="AQ63" i="30"/>
  <c r="W63" i="29"/>
  <c r="BH63" i="30" s="1"/>
  <c r="AS67" i="30"/>
  <c r="AM67" i="29"/>
  <c r="AS83" i="30"/>
  <c r="AM83" i="29"/>
  <c r="BJ83" i="30" s="1"/>
  <c r="AQ87" i="30"/>
  <c r="W87" i="29"/>
  <c r="BH87" i="30" s="1"/>
  <c r="AQ95" i="30"/>
  <c r="W95" i="29"/>
  <c r="BH95" i="30" s="1"/>
  <c r="AQ127" i="30"/>
  <c r="W127" i="29"/>
  <c r="AP149" i="30"/>
  <c r="O149" i="29"/>
  <c r="BG149" i="30" s="1"/>
  <c r="AR153" i="30"/>
  <c r="AE153" i="29"/>
  <c r="BI153" i="30" s="1"/>
  <c r="AS253" i="30"/>
  <c r="AM253" i="29"/>
  <c r="BJ253" i="30" s="1"/>
  <c r="AS261" i="30"/>
  <c r="AM261" i="29"/>
  <c r="AR267" i="30"/>
  <c r="AE267" i="29"/>
  <c r="BI267" i="30" s="1"/>
  <c r="AQ281" i="30"/>
  <c r="W281" i="29"/>
  <c r="BH281" i="30" s="1"/>
  <c r="AR283" i="30"/>
  <c r="AE283" i="29"/>
  <c r="BI283" i="30" s="1"/>
  <c r="AP295" i="30"/>
  <c r="O295" i="29"/>
  <c r="AQ297" i="30"/>
  <c r="W297" i="29"/>
  <c r="BH297" i="30" s="1"/>
  <c r="AS301" i="30"/>
  <c r="AM301" i="29"/>
  <c r="BJ301" i="30" s="1"/>
  <c r="AR331" i="30"/>
  <c r="AE331" i="29"/>
  <c r="BI331" i="30" s="1"/>
  <c r="AS341" i="30"/>
  <c r="AM341" i="29"/>
  <c r="AQ345" i="30"/>
  <c r="W345" i="29"/>
  <c r="BH345" i="30" s="1"/>
  <c r="AR355" i="30"/>
  <c r="AE355" i="29"/>
  <c r="BI355" i="30" s="1"/>
  <c r="AP367" i="30"/>
  <c r="O367" i="29"/>
  <c r="BG367" i="30" s="1"/>
  <c r="AR395" i="30"/>
  <c r="AE395" i="29"/>
  <c r="AR403" i="30"/>
  <c r="AE403" i="29"/>
  <c r="BI403" i="30" s="1"/>
  <c r="AQ3" i="30"/>
  <c r="W3" i="29"/>
  <c r="AQ11" i="30"/>
  <c r="W11" i="29"/>
  <c r="BH11" i="30" s="1"/>
  <c r="AQ19" i="30"/>
  <c r="W19" i="29"/>
  <c r="AS23" i="30"/>
  <c r="AM23" i="29"/>
  <c r="BJ23" i="30" s="1"/>
  <c r="AP25" i="30"/>
  <c r="O25" i="29"/>
  <c r="BG25" i="30" s="1"/>
  <c r="AQ27" i="30"/>
  <c r="W27" i="29"/>
  <c r="BH27" i="30" s="1"/>
  <c r="AQ35" i="30"/>
  <c r="W35" i="29"/>
  <c r="AS39" i="30"/>
  <c r="AM39" i="29"/>
  <c r="BJ39" i="30" s="1"/>
  <c r="AQ43" i="30"/>
  <c r="W43" i="29"/>
  <c r="BH43" i="30" s="1"/>
  <c r="AP4" i="30"/>
  <c r="O4" i="29"/>
  <c r="AQ6" i="30"/>
  <c r="W6" i="29"/>
  <c r="AR8" i="30"/>
  <c r="AE8" i="29"/>
  <c r="AS10" i="30"/>
  <c r="AM10" i="29"/>
  <c r="BJ10" i="30" s="1"/>
  <c r="AP12" i="30"/>
  <c r="O12" i="29"/>
  <c r="BG12" i="30" s="1"/>
  <c r="AQ14" i="30"/>
  <c r="W14" i="29"/>
  <c r="AR16" i="30"/>
  <c r="AE16" i="29"/>
  <c r="BI16" i="30" s="1"/>
  <c r="AS18" i="30"/>
  <c r="AM18" i="29"/>
  <c r="AP20" i="30"/>
  <c r="O20" i="29"/>
  <c r="BG20" i="30" s="1"/>
  <c r="AQ22" i="30"/>
  <c r="W22" i="29"/>
  <c r="AR24" i="30"/>
  <c r="AE24" i="29"/>
  <c r="BI24" i="30" s="1"/>
  <c r="AS26" i="30"/>
  <c r="AM26" i="29"/>
  <c r="BJ26" i="30" s="1"/>
  <c r="AP28" i="30"/>
  <c r="O28" i="29"/>
  <c r="BG28" i="30" s="1"/>
  <c r="AQ30" i="30"/>
  <c r="W30" i="29"/>
  <c r="AR32" i="30"/>
  <c r="AE32" i="29"/>
  <c r="BI32" i="30" s="1"/>
  <c r="AS34" i="30"/>
  <c r="AM34" i="29"/>
  <c r="BJ34" i="30" s="1"/>
  <c r="AP36" i="30"/>
  <c r="O36" i="29"/>
  <c r="BG36" i="30" s="1"/>
  <c r="AQ38" i="30"/>
  <c r="W38" i="29"/>
  <c r="AR40" i="30"/>
  <c r="AE40" i="29"/>
  <c r="BI40" i="30" s="1"/>
  <c r="AS42" i="30"/>
  <c r="AM42" i="29"/>
  <c r="BJ42" i="30" s="1"/>
  <c r="AP44" i="30"/>
  <c r="O44" i="29"/>
  <c r="BG44" i="30" s="1"/>
  <c r="AQ46" i="30"/>
  <c r="W46" i="29"/>
  <c r="AR48" i="30"/>
  <c r="AE48" i="29"/>
  <c r="BI48" i="30" s="1"/>
  <c r="AS51" i="30"/>
  <c r="AM51" i="29"/>
  <c r="BJ51" i="30" s="1"/>
  <c r="AP55" i="30"/>
  <c r="O55" i="29"/>
  <c r="BG55" i="30" s="1"/>
  <c r="AQ57" i="30"/>
  <c r="W57" i="29"/>
  <c r="AR59" i="30"/>
  <c r="AE59" i="29"/>
  <c r="BI59" i="30" s="1"/>
  <c r="AS61" i="30"/>
  <c r="AM61" i="29"/>
  <c r="BJ61" i="30" s="1"/>
  <c r="AP63" i="30"/>
  <c r="O63" i="29"/>
  <c r="BG63" i="30" s="1"/>
  <c r="AQ65" i="30"/>
  <c r="W65" i="29"/>
  <c r="AR67" i="30"/>
  <c r="AE67" i="29"/>
  <c r="BI67" i="30" s="1"/>
  <c r="AS69" i="30"/>
  <c r="AM69" i="29"/>
  <c r="BJ69" i="30" s="1"/>
  <c r="AP71" i="30"/>
  <c r="O71" i="29"/>
  <c r="BG71" i="30" s="1"/>
  <c r="AQ73" i="30"/>
  <c r="W73" i="29"/>
  <c r="AR75" i="30"/>
  <c r="AE75" i="29"/>
  <c r="BI75" i="30" s="1"/>
  <c r="AS77" i="30"/>
  <c r="AM77" i="29"/>
  <c r="BJ77" i="30" s="1"/>
  <c r="AP79" i="30"/>
  <c r="O79" i="29"/>
  <c r="BG79" i="30" s="1"/>
  <c r="AQ81" i="30"/>
  <c r="W81" i="29"/>
  <c r="AR83" i="30"/>
  <c r="AE83" i="29"/>
  <c r="BI83" i="30" s="1"/>
  <c r="AS85" i="30"/>
  <c r="AM85" i="29"/>
  <c r="BJ85" i="30" s="1"/>
  <c r="AP87" i="30"/>
  <c r="O87" i="29"/>
  <c r="BG87" i="30" s="1"/>
  <c r="AQ89" i="30"/>
  <c r="W89" i="29"/>
  <c r="AR91" i="30"/>
  <c r="AE91" i="29"/>
  <c r="BI91" i="30" s="1"/>
  <c r="AS93" i="30"/>
  <c r="AM93" i="29"/>
  <c r="BJ93" i="30" s="1"/>
  <c r="AP95" i="30"/>
  <c r="O95" i="29"/>
  <c r="BG95" i="30" s="1"/>
  <c r="AQ97" i="30"/>
  <c r="W97" i="29"/>
  <c r="AR99" i="30"/>
  <c r="AE99" i="29"/>
  <c r="BI99" i="30" s="1"/>
  <c r="AS101" i="30"/>
  <c r="AM101" i="29"/>
  <c r="BJ101" i="30" s="1"/>
  <c r="AP103" i="30"/>
  <c r="O103" i="29"/>
  <c r="BG103" i="30" s="1"/>
  <c r="AQ105" i="30"/>
  <c r="W105" i="29"/>
  <c r="AR107" i="30"/>
  <c r="AE107" i="29"/>
  <c r="BI107" i="30" s="1"/>
  <c r="AS109" i="30"/>
  <c r="AM109" i="29"/>
  <c r="BJ109" i="30" s="1"/>
  <c r="AP111" i="30"/>
  <c r="O111" i="29"/>
  <c r="BG111" i="30" s="1"/>
  <c r="AQ113" i="30"/>
  <c r="W113" i="29"/>
  <c r="AR115" i="30"/>
  <c r="AE115" i="29"/>
  <c r="BI115" i="30" s="1"/>
  <c r="AS117" i="30"/>
  <c r="AM117" i="29"/>
  <c r="BJ117" i="30" s="1"/>
  <c r="AP119" i="30"/>
  <c r="O119" i="29"/>
  <c r="BG119" i="30" s="1"/>
  <c r="AQ121" i="30"/>
  <c r="W121" i="29"/>
  <c r="AR123" i="30"/>
  <c r="AE123" i="29"/>
  <c r="BI123" i="30" s="1"/>
  <c r="AS125" i="30"/>
  <c r="AM125" i="29"/>
  <c r="BJ125" i="30" s="1"/>
  <c r="AP127" i="30"/>
  <c r="O127" i="29"/>
  <c r="BG127" i="30" s="1"/>
  <c r="AQ129" i="30"/>
  <c r="W129" i="29"/>
  <c r="AR131" i="30"/>
  <c r="AE131" i="29"/>
  <c r="BI131" i="30" s="1"/>
  <c r="AS133" i="30"/>
  <c r="AM133" i="29"/>
  <c r="BJ133" i="30" s="1"/>
  <c r="AP135" i="30"/>
  <c r="O135" i="29"/>
  <c r="BG135" i="30" s="1"/>
  <c r="AQ137" i="30"/>
  <c r="W137" i="29"/>
  <c r="AR139" i="30"/>
  <c r="AE139" i="29"/>
  <c r="BI139" i="30" s="1"/>
  <c r="AS141" i="30"/>
  <c r="AM141" i="29"/>
  <c r="BJ141" i="30" s="1"/>
  <c r="AP143" i="30"/>
  <c r="O143" i="29"/>
  <c r="BG143" i="30" s="1"/>
  <c r="AQ145" i="30"/>
  <c r="W145" i="29"/>
  <c r="AR147" i="30"/>
  <c r="AE147" i="29"/>
  <c r="BI147" i="30" s="1"/>
  <c r="AS149" i="30"/>
  <c r="AM149" i="29"/>
  <c r="BJ149" i="30" s="1"/>
  <c r="AP151" i="30"/>
  <c r="O151" i="29"/>
  <c r="BG151" i="30" s="1"/>
  <c r="AQ153" i="30"/>
  <c r="W153" i="29"/>
  <c r="AR155" i="30"/>
  <c r="AE155" i="29"/>
  <c r="BI155" i="30" s="1"/>
  <c r="AS157" i="30"/>
  <c r="AM157" i="29"/>
  <c r="BJ157" i="30" s="1"/>
  <c r="AP159" i="30"/>
  <c r="O159" i="29"/>
  <c r="BG159" i="30" s="1"/>
  <c r="AQ243" i="30"/>
  <c r="W243" i="29"/>
  <c r="AR245" i="30"/>
  <c r="AE245" i="29"/>
  <c r="AS247" i="30"/>
  <c r="AM247" i="29"/>
  <c r="BJ247" i="30" s="1"/>
  <c r="AP249" i="30"/>
  <c r="O249" i="29"/>
  <c r="BG249" i="30" s="1"/>
  <c r="AQ251" i="30"/>
  <c r="W251" i="29"/>
  <c r="BH251" i="30" s="1"/>
  <c r="AR253" i="30"/>
  <c r="AE253" i="29"/>
  <c r="BI253" i="30" s="1"/>
  <c r="AS255" i="30"/>
  <c r="AM255" i="29"/>
  <c r="BJ255" i="30" s="1"/>
  <c r="AP257" i="30"/>
  <c r="O257" i="29"/>
  <c r="BG257" i="30" s="1"/>
  <c r="AQ259" i="30"/>
  <c r="W259" i="29"/>
  <c r="AR261" i="30"/>
  <c r="AE261" i="29"/>
  <c r="BI261" i="30" s="1"/>
  <c r="AS263" i="30"/>
  <c r="AM263" i="29"/>
  <c r="BJ263" i="30" s="1"/>
  <c r="AP265" i="30"/>
  <c r="O265" i="29"/>
  <c r="BG265" i="30" s="1"/>
  <c r="AQ267" i="30"/>
  <c r="W267" i="29"/>
  <c r="AR269" i="30"/>
  <c r="AE269" i="29"/>
  <c r="BI269" i="30" s="1"/>
  <c r="AS271" i="30"/>
  <c r="AM271" i="29"/>
  <c r="BJ271" i="30" s="1"/>
  <c r="AP273" i="30"/>
  <c r="O273" i="29"/>
  <c r="BG273" i="30" s="1"/>
  <c r="AQ275" i="30"/>
  <c r="W275" i="29"/>
  <c r="AR277" i="30"/>
  <c r="AE277" i="29"/>
  <c r="BI277" i="30" s="1"/>
  <c r="AS279" i="30"/>
  <c r="AM279" i="29"/>
  <c r="AP281" i="30"/>
  <c r="O281" i="29"/>
  <c r="BG281" i="30" s="1"/>
  <c r="AQ283" i="30"/>
  <c r="W283" i="29"/>
  <c r="BH283" i="30" s="1"/>
  <c r="AR285" i="30"/>
  <c r="AE285" i="29"/>
  <c r="BI285" i="30" s="1"/>
  <c r="AS287" i="30"/>
  <c r="AM287" i="29"/>
  <c r="BJ287" i="30" s="1"/>
  <c r="AP289" i="30"/>
  <c r="O289" i="29"/>
  <c r="BG289" i="30" s="1"/>
  <c r="AQ291" i="30"/>
  <c r="W291" i="29"/>
  <c r="AR293" i="30"/>
  <c r="AE293" i="29"/>
  <c r="BI293" i="30" s="1"/>
  <c r="AS295" i="30"/>
  <c r="AM295" i="29"/>
  <c r="AP297" i="30"/>
  <c r="O297" i="29"/>
  <c r="BG297" i="30" s="1"/>
  <c r="AQ299" i="30"/>
  <c r="W299" i="29"/>
  <c r="AR301" i="30"/>
  <c r="AE301" i="29"/>
  <c r="BI301" i="30" s="1"/>
  <c r="AS303" i="30"/>
  <c r="AM303" i="29"/>
  <c r="BJ303" i="30" s="1"/>
  <c r="AP305" i="30"/>
  <c r="O305" i="29"/>
  <c r="BG305" i="30" s="1"/>
  <c r="AQ307" i="30"/>
  <c r="W307" i="29"/>
  <c r="AR309" i="30"/>
  <c r="AE309" i="29"/>
  <c r="BI309" i="30" s="1"/>
  <c r="AS311" i="30"/>
  <c r="AM311" i="29"/>
  <c r="BJ311" i="30" s="1"/>
  <c r="AP313" i="30"/>
  <c r="O313" i="29"/>
  <c r="BG313" i="30" s="1"/>
  <c r="AQ315" i="30"/>
  <c r="W315" i="29"/>
  <c r="AR317" i="30"/>
  <c r="AE317" i="29"/>
  <c r="BI317" i="30" s="1"/>
  <c r="AS319" i="30"/>
  <c r="AM319" i="29"/>
  <c r="BJ319" i="30" s="1"/>
  <c r="AP321" i="30"/>
  <c r="O321" i="29"/>
  <c r="BG321" i="30" s="1"/>
  <c r="AQ323" i="30"/>
  <c r="W323" i="29"/>
  <c r="AR325" i="30"/>
  <c r="AE325" i="29"/>
  <c r="BI325" i="30" s="1"/>
  <c r="AS327" i="30"/>
  <c r="AM327" i="29"/>
  <c r="BJ327" i="30" s="1"/>
  <c r="AP329" i="30"/>
  <c r="O329" i="29"/>
  <c r="BG329" i="30" s="1"/>
  <c r="AQ331" i="30"/>
  <c r="W331" i="29"/>
  <c r="AR333" i="30"/>
  <c r="AE333" i="29"/>
  <c r="BI333" i="30" s="1"/>
  <c r="AS335" i="30"/>
  <c r="AM335" i="29"/>
  <c r="BJ335" i="30" s="1"/>
  <c r="AP337" i="30"/>
  <c r="O337" i="29"/>
  <c r="BG337" i="30" s="1"/>
  <c r="AQ339" i="30"/>
  <c r="W339" i="29"/>
  <c r="AR341" i="30"/>
  <c r="AE341" i="29"/>
  <c r="BI341" i="30" s="1"/>
  <c r="AS343" i="30"/>
  <c r="AM343" i="29"/>
  <c r="BJ343" i="30" s="1"/>
  <c r="AP345" i="30"/>
  <c r="O345" i="29"/>
  <c r="BG345" i="30" s="1"/>
  <c r="AQ347" i="30"/>
  <c r="W347" i="29"/>
  <c r="AR349" i="30"/>
  <c r="AE349" i="29"/>
  <c r="BI349" i="30" s="1"/>
  <c r="AS351" i="30"/>
  <c r="AM351" i="29"/>
  <c r="BJ351" i="30" s="1"/>
  <c r="AP353" i="30"/>
  <c r="O353" i="29"/>
  <c r="BG353" i="30" s="1"/>
  <c r="AQ355" i="30"/>
  <c r="W355" i="29"/>
  <c r="AR357" i="30"/>
  <c r="AE357" i="29"/>
  <c r="BI357" i="30" s="1"/>
  <c r="AS359" i="30"/>
  <c r="AM359" i="29"/>
  <c r="BJ359" i="30" s="1"/>
  <c r="AP361" i="30"/>
  <c r="O361" i="29"/>
  <c r="BG361" i="30" s="1"/>
  <c r="AQ363" i="30"/>
  <c r="W363" i="29"/>
  <c r="AR365" i="30"/>
  <c r="AE365" i="29"/>
  <c r="BI365" i="30" s="1"/>
  <c r="AS367" i="30"/>
  <c r="AM367" i="29"/>
  <c r="BJ367" i="30" s="1"/>
  <c r="AP369" i="30"/>
  <c r="O369" i="29"/>
  <c r="BG369" i="30" s="1"/>
  <c r="AQ371" i="30"/>
  <c r="W371" i="29"/>
  <c r="AR373" i="30"/>
  <c r="AE373" i="29"/>
  <c r="BI373" i="30" s="1"/>
  <c r="AS375" i="30"/>
  <c r="AM375" i="29"/>
  <c r="AP377" i="30"/>
  <c r="O377" i="29"/>
  <c r="BG377" i="30" s="1"/>
  <c r="AQ379" i="30"/>
  <c r="W379" i="29"/>
  <c r="AR381" i="30"/>
  <c r="AE381" i="29"/>
  <c r="BI381" i="30" s="1"/>
  <c r="AS383" i="30"/>
  <c r="AM383" i="29"/>
  <c r="BJ383" i="30" s="1"/>
  <c r="AP385" i="30"/>
  <c r="O385" i="29"/>
  <c r="BG385" i="30" s="1"/>
  <c r="AQ387" i="30"/>
  <c r="W387" i="29"/>
  <c r="AR389" i="30"/>
  <c r="AE389" i="29"/>
  <c r="BI389" i="30" s="1"/>
  <c r="AS391" i="30"/>
  <c r="AM391" i="29"/>
  <c r="BJ391" i="30" s="1"/>
  <c r="AP393" i="30"/>
  <c r="O393" i="29"/>
  <c r="BG393" i="30" s="1"/>
  <c r="AQ395" i="30"/>
  <c r="W395" i="29"/>
  <c r="AR397" i="30"/>
  <c r="AE397" i="29"/>
  <c r="BI397" i="30" s="1"/>
  <c r="AS399" i="30"/>
  <c r="AM399" i="29"/>
  <c r="BJ399" i="30" s="1"/>
  <c r="AP401" i="30"/>
  <c r="O401" i="29"/>
  <c r="BG401" i="30" s="1"/>
  <c r="AQ403" i="30"/>
  <c r="W403" i="29"/>
  <c r="AR405" i="30"/>
  <c r="AE405" i="29"/>
  <c r="BI405" i="30" s="1"/>
  <c r="AS407" i="30"/>
  <c r="AM407" i="29"/>
  <c r="BJ407" i="30" s="1"/>
  <c r="AP409" i="30"/>
  <c r="O409" i="29"/>
  <c r="BG409" i="30" s="1"/>
  <c r="AQ411" i="30"/>
  <c r="W411" i="29"/>
  <c r="AR413" i="30"/>
  <c r="AE413" i="29"/>
  <c r="BI413" i="30" s="1"/>
  <c r="AS415" i="30"/>
  <c r="AM415" i="29"/>
  <c r="BJ415" i="30" s="1"/>
  <c r="AP417" i="30"/>
  <c r="O417" i="29"/>
  <c r="BG417" i="30" s="1"/>
  <c r="AQ419" i="30"/>
  <c r="W419" i="29"/>
  <c r="O2" i="29"/>
  <c r="AP69" i="30"/>
  <c r="O69" i="29"/>
  <c r="BG69" i="30" s="1"/>
  <c r="AR73" i="30"/>
  <c r="AE73" i="29"/>
  <c r="BI73" i="30" s="1"/>
  <c r="AR89" i="30"/>
  <c r="AE89" i="29"/>
  <c r="AQ103" i="30"/>
  <c r="W103" i="29"/>
  <c r="BH103" i="30" s="1"/>
  <c r="AS107" i="30"/>
  <c r="AM107" i="29"/>
  <c r="BJ107" i="30" s="1"/>
  <c r="AQ111" i="30"/>
  <c r="W111" i="29"/>
  <c r="AS115" i="30"/>
  <c r="AM115" i="29"/>
  <c r="AR121" i="30"/>
  <c r="AE121" i="29"/>
  <c r="BI121" i="30" s="1"/>
  <c r="AP125" i="30"/>
  <c r="O125" i="29"/>
  <c r="BG125" i="30" s="1"/>
  <c r="AR129" i="30"/>
  <c r="AE129" i="29"/>
  <c r="BI129" i="30" s="1"/>
  <c r="AP133" i="30"/>
  <c r="O133" i="29"/>
  <c r="AR137" i="30"/>
  <c r="AE137" i="29"/>
  <c r="BI137" i="30" s="1"/>
  <c r="AP141" i="30"/>
  <c r="O141" i="29"/>
  <c r="BG141" i="30" s="1"/>
  <c r="AP157" i="30"/>
  <c r="O157" i="29"/>
  <c r="BG157" i="30" s="1"/>
  <c r="AP263" i="30"/>
  <c r="O263" i="29"/>
  <c r="AP271" i="30"/>
  <c r="O271" i="29"/>
  <c r="BG271" i="30" s="1"/>
  <c r="AS309" i="30"/>
  <c r="AM309" i="29"/>
  <c r="BJ309" i="30" s="1"/>
  <c r="AS317" i="30"/>
  <c r="AM317" i="29"/>
  <c r="BJ317" i="30" s="1"/>
  <c r="AS325" i="30"/>
  <c r="AM325" i="29"/>
  <c r="AQ329" i="30"/>
  <c r="W329" i="29"/>
  <c r="BH329" i="30" s="1"/>
  <c r="AS333" i="30"/>
  <c r="AM333" i="29"/>
  <c r="BJ333" i="30" s="1"/>
  <c r="AP351" i="30"/>
  <c r="O351" i="29"/>
  <c r="BG351" i="30" s="1"/>
  <c r="AR371" i="30"/>
  <c r="AE371" i="29"/>
  <c r="AQ393" i="30"/>
  <c r="W393" i="29"/>
  <c r="BH393" i="30" s="1"/>
  <c r="AS397" i="30"/>
  <c r="AM397" i="29"/>
  <c r="BJ397" i="30" s="1"/>
  <c r="AR5" i="30"/>
  <c r="AE5" i="29"/>
  <c r="AS7" i="30"/>
  <c r="AM7" i="29"/>
  <c r="AP17" i="30"/>
  <c r="O17" i="29"/>
  <c r="AR21" i="30"/>
  <c r="AE21" i="29"/>
  <c r="BI21" i="30" s="1"/>
  <c r="AR29" i="30"/>
  <c r="AE29" i="29"/>
  <c r="AS31" i="30"/>
  <c r="AM31" i="29"/>
  <c r="AR3" i="30"/>
  <c r="AE3" i="29"/>
  <c r="AS5" i="30"/>
  <c r="AM5" i="29"/>
  <c r="AP7" i="30"/>
  <c r="O7" i="29"/>
  <c r="AQ9" i="30"/>
  <c r="W9" i="29"/>
  <c r="AR11" i="30"/>
  <c r="AE11" i="29"/>
  <c r="AS13" i="30"/>
  <c r="AM13" i="29"/>
  <c r="BJ13" i="30" s="1"/>
  <c r="AP15" i="30"/>
  <c r="O15" i="29"/>
  <c r="BG15" i="30" s="1"/>
  <c r="AQ17" i="30"/>
  <c r="W17" i="29"/>
  <c r="AR19" i="30"/>
  <c r="AE19" i="29"/>
  <c r="AS21" i="30"/>
  <c r="AM21" i="29"/>
  <c r="BJ21" i="30" s="1"/>
  <c r="AP23" i="30"/>
  <c r="O23" i="29"/>
  <c r="BG23" i="30" s="1"/>
  <c r="AQ25" i="30"/>
  <c r="W25" i="29"/>
  <c r="AR27" i="30"/>
  <c r="AE27" i="29"/>
  <c r="AS29" i="30"/>
  <c r="AM29" i="29"/>
  <c r="BJ29" i="30" s="1"/>
  <c r="AP31" i="30"/>
  <c r="O31" i="29"/>
  <c r="BG31" i="30" s="1"/>
  <c r="AQ33" i="30"/>
  <c r="W33" i="29"/>
  <c r="AR35" i="30"/>
  <c r="AE35" i="29"/>
  <c r="AS37" i="30"/>
  <c r="AM37" i="29"/>
  <c r="BJ37" i="30" s="1"/>
  <c r="AP39" i="30"/>
  <c r="O39" i="29"/>
  <c r="BG39" i="30" s="1"/>
  <c r="AQ41" i="30"/>
  <c r="W41" i="29"/>
  <c r="AR43" i="30"/>
  <c r="AE43" i="29"/>
  <c r="AS45" i="30"/>
  <c r="AM45" i="29"/>
  <c r="BJ45" i="30" s="1"/>
  <c r="AP47" i="30"/>
  <c r="O47" i="29"/>
  <c r="AQ49" i="30"/>
  <c r="W49" i="29"/>
  <c r="AR54" i="30"/>
  <c r="AE54" i="29"/>
  <c r="AS56" i="30"/>
  <c r="AM56" i="29"/>
  <c r="BJ56" i="30" s="1"/>
  <c r="AP58" i="30"/>
  <c r="O58" i="29"/>
  <c r="BG58" i="30" s="1"/>
  <c r="AQ60" i="30"/>
  <c r="W60" i="29"/>
  <c r="AR62" i="30"/>
  <c r="AE62" i="29"/>
  <c r="AS64" i="30"/>
  <c r="AM64" i="29"/>
  <c r="BJ64" i="30" s="1"/>
  <c r="AP66" i="30"/>
  <c r="O66" i="29"/>
  <c r="BG66" i="30" s="1"/>
  <c r="AQ68" i="30"/>
  <c r="W68" i="29"/>
  <c r="AR70" i="30"/>
  <c r="AE70" i="29"/>
  <c r="AS72" i="30"/>
  <c r="AM72" i="29"/>
  <c r="BJ72" i="30" s="1"/>
  <c r="AP74" i="30"/>
  <c r="O74" i="29"/>
  <c r="BG74" i="30" s="1"/>
  <c r="AQ76" i="30"/>
  <c r="W76" i="29"/>
  <c r="AR78" i="30"/>
  <c r="AE78" i="29"/>
  <c r="AS80" i="30"/>
  <c r="AM80" i="29"/>
  <c r="BJ80" i="30" s="1"/>
  <c r="AP82" i="30"/>
  <c r="O82" i="29"/>
  <c r="BG82" i="30" s="1"/>
  <c r="AQ84" i="30"/>
  <c r="W84" i="29"/>
  <c r="AR86" i="30"/>
  <c r="AE86" i="29"/>
  <c r="AS88" i="30"/>
  <c r="AM88" i="29"/>
  <c r="BJ88" i="30" s="1"/>
  <c r="AP90" i="30"/>
  <c r="O90" i="29"/>
  <c r="BG90" i="30" s="1"/>
  <c r="AQ92" i="30"/>
  <c r="W92" i="29"/>
  <c r="AR94" i="30"/>
  <c r="AE94" i="29"/>
  <c r="AS96" i="30"/>
  <c r="AM96" i="29"/>
  <c r="BJ96" i="30" s="1"/>
  <c r="AP98" i="30"/>
  <c r="O98" i="29"/>
  <c r="BG98" i="30" s="1"/>
  <c r="AQ100" i="30"/>
  <c r="W100" i="29"/>
  <c r="AR102" i="30"/>
  <c r="AE102" i="29"/>
  <c r="AS104" i="30"/>
  <c r="AM104" i="29"/>
  <c r="BJ104" i="30" s="1"/>
  <c r="AP106" i="30"/>
  <c r="O106" i="29"/>
  <c r="BG106" i="30" s="1"/>
  <c r="AQ108" i="30"/>
  <c r="W108" i="29"/>
  <c r="AR110" i="30"/>
  <c r="AE110" i="29"/>
  <c r="AS112" i="30"/>
  <c r="AM112" i="29"/>
  <c r="BJ112" i="30" s="1"/>
  <c r="AP114" i="30"/>
  <c r="O114" i="29"/>
  <c r="BG114" i="30" s="1"/>
  <c r="AQ116" i="30"/>
  <c r="W116" i="29"/>
  <c r="AR118" i="30"/>
  <c r="AE118" i="29"/>
  <c r="AS120" i="30"/>
  <c r="AM120" i="29"/>
  <c r="BJ120" i="30" s="1"/>
  <c r="AP122" i="30"/>
  <c r="O122" i="29"/>
  <c r="AQ124" i="30"/>
  <c r="W124" i="29"/>
  <c r="AR126" i="30"/>
  <c r="AE126" i="29"/>
  <c r="AS128" i="30"/>
  <c r="AM128" i="29"/>
  <c r="BJ128" i="30" s="1"/>
  <c r="AP130" i="30"/>
  <c r="O130" i="29"/>
  <c r="BG130" i="30" s="1"/>
  <c r="AQ132" i="30"/>
  <c r="W132" i="29"/>
  <c r="AR134" i="30"/>
  <c r="AE134" i="29"/>
  <c r="AS136" i="30"/>
  <c r="AM136" i="29"/>
  <c r="BJ136" i="30" s="1"/>
  <c r="AP138" i="30"/>
  <c r="O138" i="29"/>
  <c r="BG138" i="30" s="1"/>
  <c r="AQ140" i="30"/>
  <c r="W140" i="29"/>
  <c r="AR142" i="30"/>
  <c r="AE142" i="29"/>
  <c r="AS144" i="30"/>
  <c r="AM144" i="29"/>
  <c r="BJ144" i="30" s="1"/>
  <c r="AP146" i="30"/>
  <c r="O146" i="29"/>
  <c r="BG146" i="30" s="1"/>
  <c r="AQ148" i="30"/>
  <c r="W148" i="29"/>
  <c r="AR150" i="30"/>
  <c r="AE150" i="29"/>
  <c r="AS152" i="30"/>
  <c r="AM152" i="29"/>
  <c r="BJ152" i="30" s="1"/>
  <c r="AP154" i="30"/>
  <c r="O154" i="29"/>
  <c r="BG154" i="30" s="1"/>
  <c r="AQ156" i="30"/>
  <c r="W156" i="29"/>
  <c r="AR158" i="30"/>
  <c r="AE158" i="29"/>
  <c r="AS242" i="30"/>
  <c r="AM242" i="29"/>
  <c r="BJ242" i="30" s="1"/>
  <c r="AP244" i="30"/>
  <c r="O244" i="29"/>
  <c r="BG244" i="30" s="1"/>
  <c r="AQ246" i="30"/>
  <c r="W246" i="29"/>
  <c r="AR248" i="30"/>
  <c r="AE248" i="29"/>
  <c r="BI248" i="30" s="1"/>
  <c r="AS250" i="30"/>
  <c r="AM250" i="29"/>
  <c r="AP252" i="30"/>
  <c r="O252" i="29"/>
  <c r="BG252" i="30" s="1"/>
  <c r="AQ254" i="30"/>
  <c r="W254" i="29"/>
  <c r="AR256" i="30"/>
  <c r="AE256" i="29"/>
  <c r="BI256" i="30" s="1"/>
  <c r="AS258" i="30"/>
  <c r="AM258" i="29"/>
  <c r="BJ258" i="30" s="1"/>
  <c r="AP260" i="30"/>
  <c r="O260" i="29"/>
  <c r="BG260" i="30" s="1"/>
  <c r="AQ262" i="30"/>
  <c r="W262" i="29"/>
  <c r="AR264" i="30"/>
  <c r="AE264" i="29"/>
  <c r="BI264" i="30" s="1"/>
  <c r="AS266" i="30"/>
  <c r="AM266" i="29"/>
  <c r="AP268" i="30"/>
  <c r="O268" i="29"/>
  <c r="BG268" i="30" s="1"/>
  <c r="AQ270" i="30"/>
  <c r="W270" i="29"/>
  <c r="BH270" i="30" s="1"/>
  <c r="AR272" i="30"/>
  <c r="AE272" i="29"/>
  <c r="BI272" i="30" s="1"/>
  <c r="AS274" i="30"/>
  <c r="AM274" i="29"/>
  <c r="BJ274" i="30" s="1"/>
  <c r="AP276" i="30"/>
  <c r="O276" i="29"/>
  <c r="BG276" i="30" s="1"/>
  <c r="AQ278" i="30"/>
  <c r="W278" i="29"/>
  <c r="AR280" i="30"/>
  <c r="AE280" i="29"/>
  <c r="BI280" i="30" s="1"/>
  <c r="AS282" i="30"/>
  <c r="AM282" i="29"/>
  <c r="AP284" i="30"/>
  <c r="O284" i="29"/>
  <c r="BG284" i="30" s="1"/>
  <c r="AQ286" i="30"/>
  <c r="W286" i="29"/>
  <c r="AR288" i="30"/>
  <c r="AE288" i="29"/>
  <c r="BI288" i="30" s="1"/>
  <c r="AS290" i="30"/>
  <c r="AM290" i="29"/>
  <c r="BJ290" i="30" s="1"/>
  <c r="AP292" i="30"/>
  <c r="O292" i="29"/>
  <c r="BG292" i="30" s="1"/>
  <c r="AQ294" i="30"/>
  <c r="W294" i="29"/>
  <c r="AR296" i="30"/>
  <c r="AE296" i="29"/>
  <c r="BI296" i="30" s="1"/>
  <c r="AS298" i="30"/>
  <c r="AM298" i="29"/>
  <c r="BJ298" i="30" s="1"/>
  <c r="AQ302" i="30"/>
  <c r="W302" i="29"/>
  <c r="BH302" i="30" s="1"/>
  <c r="AR304" i="30"/>
  <c r="AE304" i="29"/>
  <c r="AS306" i="30"/>
  <c r="AM306" i="29"/>
  <c r="BJ306" i="30" s="1"/>
  <c r="AQ310" i="30"/>
  <c r="W310" i="29"/>
  <c r="BH310" i="30" s="1"/>
  <c r="AR312" i="30"/>
  <c r="AE312" i="29"/>
  <c r="BI312" i="30" s="1"/>
  <c r="AS314" i="30"/>
  <c r="AM314" i="29"/>
  <c r="AQ318" i="30"/>
  <c r="W318" i="29"/>
  <c r="BH318" i="30" s="1"/>
  <c r="AR320" i="30"/>
  <c r="AE320" i="29"/>
  <c r="BI320" i="30" s="1"/>
  <c r="AS322" i="30"/>
  <c r="AM322" i="29"/>
  <c r="BJ322" i="30" s="1"/>
  <c r="AQ326" i="30"/>
  <c r="W326" i="29"/>
  <c r="AR328" i="30"/>
  <c r="AE328" i="29"/>
  <c r="BI328" i="30" s="1"/>
  <c r="AS330" i="30"/>
  <c r="AM330" i="29"/>
  <c r="BJ330" i="30" s="1"/>
  <c r="AQ334" i="30"/>
  <c r="W334" i="29"/>
  <c r="BH334" i="30" s="1"/>
  <c r="AR336" i="30"/>
  <c r="AE336" i="29"/>
  <c r="AS338" i="30"/>
  <c r="AM338" i="29"/>
  <c r="BJ338" i="30" s="1"/>
  <c r="AQ342" i="30"/>
  <c r="W342" i="29"/>
  <c r="BH342" i="30" s="1"/>
  <c r="AR344" i="30"/>
  <c r="AE344" i="29"/>
  <c r="BI344" i="30" s="1"/>
  <c r="AS346" i="30"/>
  <c r="AM346" i="29"/>
  <c r="AQ350" i="30"/>
  <c r="W350" i="29"/>
  <c r="BH350" i="30" s="1"/>
  <c r="AR352" i="30"/>
  <c r="AE352" i="29"/>
  <c r="BI352" i="30" s="1"/>
  <c r="AS354" i="30"/>
  <c r="AM354" i="29"/>
  <c r="BJ354" i="30" s="1"/>
  <c r="AQ358" i="30"/>
  <c r="W358" i="29"/>
  <c r="AR360" i="30"/>
  <c r="AE360" i="29"/>
  <c r="BI360" i="30" s="1"/>
  <c r="AS362" i="30"/>
  <c r="AM362" i="29"/>
  <c r="BJ362" i="30" s="1"/>
  <c r="AQ366" i="30"/>
  <c r="W366" i="29"/>
  <c r="BH366" i="30" s="1"/>
  <c r="AR368" i="30"/>
  <c r="AE368" i="29"/>
  <c r="AS370" i="30"/>
  <c r="AM370" i="29"/>
  <c r="BJ370" i="30" s="1"/>
  <c r="AR376" i="30"/>
  <c r="AE376" i="29"/>
  <c r="BI376" i="30" s="1"/>
  <c r="AS378" i="30"/>
  <c r="AM378" i="29"/>
  <c r="BJ378" i="30" s="1"/>
  <c r="AQ382" i="30"/>
  <c r="W382" i="29"/>
  <c r="AR384" i="30"/>
  <c r="AE384" i="29"/>
  <c r="BI384" i="30" s="1"/>
  <c r="AS386" i="30"/>
  <c r="AM386" i="29"/>
  <c r="BJ386" i="30" s="1"/>
  <c r="AQ390" i="30"/>
  <c r="W390" i="29"/>
  <c r="BH390" i="30" s="1"/>
  <c r="AR392" i="30"/>
  <c r="AE392" i="29"/>
  <c r="AS394" i="30"/>
  <c r="AM394" i="29"/>
  <c r="BJ394" i="30" s="1"/>
  <c r="AQ398" i="30"/>
  <c r="W398" i="29"/>
  <c r="BH398" i="30" s="1"/>
  <c r="AR400" i="30"/>
  <c r="AE400" i="29"/>
  <c r="BI400" i="30" s="1"/>
  <c r="AS402" i="30"/>
  <c r="AM402" i="29"/>
  <c r="AQ406" i="30"/>
  <c r="W406" i="29"/>
  <c r="BH406" i="30" s="1"/>
  <c r="AR408" i="30"/>
  <c r="AE408" i="29"/>
  <c r="BI408" i="30" s="1"/>
  <c r="AS410" i="30"/>
  <c r="AM410" i="29"/>
  <c r="BJ410" i="30" s="1"/>
  <c r="AQ414" i="30"/>
  <c r="W414" i="29"/>
  <c r="AR416" i="30"/>
  <c r="AE416" i="29"/>
  <c r="BI416" i="30" s="1"/>
  <c r="AS418" i="30"/>
  <c r="AM418" i="29"/>
  <c r="BJ418" i="30" s="1"/>
  <c r="AH66" i="30"/>
  <c r="AH68" i="30"/>
  <c r="AH67" i="30"/>
  <c r="AH70" i="30"/>
  <c r="AH71" i="30"/>
  <c r="AH69" i="30"/>
  <c r="AC91" i="30"/>
  <c r="AC92" i="30"/>
  <c r="AC94" i="30"/>
  <c r="AC95" i="30"/>
  <c r="AC93" i="30"/>
  <c r="AC90" i="30"/>
  <c r="AS2" i="30"/>
  <c r="AQ2" i="30"/>
  <c r="AO56" i="30"/>
  <c r="AO60" i="30"/>
  <c r="AO64" i="30"/>
  <c r="AO68" i="30"/>
  <c r="AO72" i="30"/>
  <c r="AO76" i="30"/>
  <c r="AO80" i="30"/>
  <c r="AO84" i="30"/>
  <c r="AO88" i="30"/>
  <c r="AO92" i="30"/>
  <c r="AO96" i="30"/>
  <c r="AO100" i="30"/>
  <c r="AO104" i="30"/>
  <c r="AO108" i="30"/>
  <c r="AO112" i="30"/>
  <c r="AO116" i="30"/>
  <c r="AO120" i="30"/>
  <c r="AO124" i="30"/>
  <c r="AO128" i="30"/>
  <c r="AO132" i="30"/>
  <c r="AO136" i="30"/>
  <c r="AO140" i="30"/>
  <c r="AO144" i="30"/>
  <c r="AO148" i="30"/>
  <c r="AO152" i="30"/>
  <c r="AO156" i="30"/>
  <c r="AO245" i="30"/>
  <c r="AO249" i="30"/>
  <c r="AO253" i="30"/>
  <c r="AO257" i="30"/>
  <c r="AO261" i="30"/>
  <c r="AO265" i="30"/>
  <c r="AO269" i="30"/>
  <c r="AO273" i="30"/>
  <c r="AO277" i="30"/>
  <c r="AO281" i="30"/>
  <c r="AO285" i="30"/>
  <c r="AO289" i="30"/>
  <c r="AO293" i="30"/>
  <c r="AO297" i="30"/>
  <c r="AO301" i="30"/>
  <c r="AO305" i="30"/>
  <c r="AO309" i="30"/>
  <c r="AO313" i="30"/>
  <c r="AO317" i="30"/>
  <c r="AO321" i="30"/>
  <c r="AO325" i="30"/>
  <c r="AO329" i="30"/>
  <c r="AO333" i="30"/>
  <c r="AO337" i="30"/>
  <c r="AO341" i="30"/>
  <c r="AO345" i="30"/>
  <c r="AO349" i="30"/>
  <c r="AO353" i="30"/>
  <c r="AO357" i="30"/>
  <c r="AO365" i="30"/>
  <c r="AO369" i="30"/>
  <c r="AO373" i="30"/>
  <c r="AO381" i="30"/>
  <c r="AO385" i="30"/>
  <c r="AO389" i="30"/>
  <c r="AO393" i="30"/>
  <c r="AO397" i="30"/>
  <c r="AO401" i="30"/>
  <c r="AO405" i="30"/>
  <c r="AO409" i="30"/>
  <c r="AO413" i="30"/>
  <c r="AO417" i="30"/>
  <c r="AO55" i="30"/>
  <c r="AO59" i="30"/>
  <c r="AO63" i="30"/>
  <c r="AO67" i="30"/>
  <c r="AO71" i="30"/>
  <c r="AO75" i="30"/>
  <c r="AO79" i="30"/>
  <c r="AO83" i="30"/>
  <c r="AO87" i="30"/>
  <c r="AO91" i="30"/>
  <c r="AO244" i="30"/>
  <c r="AO248" i="30"/>
  <c r="AO252" i="30"/>
  <c r="AO256" i="30"/>
  <c r="AO260" i="30"/>
  <c r="AO264" i="30"/>
  <c r="AO268" i="30"/>
  <c r="AO272" i="30"/>
  <c r="AO276" i="30"/>
  <c r="AO280" i="30"/>
  <c r="AO284" i="30"/>
  <c r="AO288" i="30"/>
  <c r="AO292" i="30"/>
  <c r="AO296" i="30"/>
  <c r="AO300" i="30"/>
  <c r="AO304" i="30"/>
  <c r="AO308" i="30"/>
  <c r="AO312" i="30"/>
  <c r="AO316" i="30"/>
  <c r="AO320" i="30"/>
  <c r="AO324" i="30"/>
  <c r="AO328" i="30"/>
  <c r="AO332" i="30"/>
  <c r="AO336" i="30"/>
  <c r="AO340" i="30"/>
  <c r="AO344" i="30"/>
  <c r="AO348" i="30"/>
  <c r="AO352" i="30"/>
  <c r="AO356" i="30"/>
  <c r="AO360" i="30"/>
  <c r="AO364" i="30"/>
  <c r="AO368" i="30"/>
  <c r="AO372" i="30"/>
  <c r="AO376" i="30"/>
  <c r="AO380" i="30"/>
  <c r="AO384" i="30"/>
  <c r="AO388" i="30"/>
  <c r="AO392" i="30"/>
  <c r="AO396" i="30"/>
  <c r="AO400" i="30"/>
  <c r="AO404" i="30"/>
  <c r="AO408" i="30"/>
  <c r="AO412" i="30"/>
  <c r="AO416" i="30"/>
  <c r="AO420" i="30"/>
  <c r="AO58" i="30"/>
  <c r="AO62" i="30"/>
  <c r="AO66" i="30"/>
  <c r="AO70" i="30"/>
  <c r="AO74" i="30"/>
  <c r="AO78" i="30"/>
  <c r="AO82" i="30"/>
  <c r="AO86" i="30"/>
  <c r="AO90" i="30"/>
  <c r="AO94" i="30"/>
  <c r="AO98" i="30"/>
  <c r="AO102" i="30"/>
  <c r="AO106" i="30"/>
  <c r="AO110" i="30"/>
  <c r="AO114" i="30"/>
  <c r="AO118" i="30"/>
  <c r="AO122" i="30"/>
  <c r="AO126" i="30"/>
  <c r="AO130" i="30"/>
  <c r="AO134" i="30"/>
  <c r="AO138" i="30"/>
  <c r="AO142" i="30"/>
  <c r="AO146" i="30"/>
  <c r="AO150" i="30"/>
  <c r="AO154" i="30"/>
  <c r="AO158" i="30"/>
  <c r="AO243" i="30"/>
  <c r="AO247" i="30"/>
  <c r="AO251" i="30"/>
  <c r="AO255" i="30"/>
  <c r="AO259" i="30"/>
  <c r="AO263" i="30"/>
  <c r="AO267" i="30"/>
  <c r="AO271" i="30"/>
  <c r="AO275" i="30"/>
  <c r="AO279" i="30"/>
  <c r="AO283" i="30"/>
  <c r="AO287" i="30"/>
  <c r="AO291" i="30"/>
  <c r="AO295" i="30"/>
  <c r="AO299" i="30"/>
  <c r="AO303" i="30"/>
  <c r="AO307" i="30"/>
  <c r="AO311" i="30"/>
  <c r="AO315" i="30"/>
  <c r="AO319" i="30"/>
  <c r="AO323" i="30"/>
  <c r="AO327" i="30"/>
  <c r="AO331" i="30"/>
  <c r="AO335" i="30"/>
  <c r="AO339" i="30"/>
  <c r="AO343" i="30"/>
  <c r="AO347" i="30"/>
  <c r="AO351" i="30"/>
  <c r="AO355" i="30"/>
  <c r="AO359" i="30"/>
  <c r="AO363" i="30"/>
  <c r="AO367" i="30"/>
  <c r="AO371" i="30"/>
  <c r="AO375" i="30"/>
  <c r="AO379" i="30"/>
  <c r="AO383" i="30"/>
  <c r="AO387" i="30"/>
  <c r="AO391" i="30"/>
  <c r="AO395" i="30"/>
  <c r="AO399" i="30"/>
  <c r="AO403" i="30"/>
  <c r="AO407" i="30"/>
  <c r="AO411" i="30"/>
  <c r="AO415" i="30"/>
  <c r="AO419" i="30"/>
  <c r="AO57" i="30"/>
  <c r="AO61" i="30"/>
  <c r="AO65" i="30"/>
  <c r="AO69" i="30"/>
  <c r="AO73" i="30"/>
  <c r="AO77" i="30"/>
  <c r="AO81" i="30"/>
  <c r="AO85" i="30"/>
  <c r="AO89" i="30"/>
  <c r="AO93" i="30"/>
  <c r="AO97" i="30"/>
  <c r="AO101" i="30"/>
  <c r="AO105" i="30"/>
  <c r="AO109" i="30"/>
  <c r="AO113" i="30"/>
  <c r="AO117" i="30"/>
  <c r="AO121" i="30"/>
  <c r="AO125" i="30"/>
  <c r="AO129" i="30"/>
  <c r="AO133" i="30"/>
  <c r="AO137" i="30"/>
  <c r="AO141" i="30"/>
  <c r="AO145" i="30"/>
  <c r="AO149" i="30"/>
  <c r="AO153" i="30"/>
  <c r="AO157" i="30"/>
  <c r="AO242" i="30"/>
  <c r="AO246" i="30"/>
  <c r="AO250" i="30"/>
  <c r="AO254" i="30"/>
  <c r="AO258" i="30"/>
  <c r="AO262" i="30"/>
  <c r="AO266" i="30"/>
  <c r="AO270" i="30"/>
  <c r="AO274" i="30"/>
  <c r="AO278" i="30"/>
  <c r="AO282" i="30"/>
  <c r="AO12" i="30"/>
  <c r="AO16" i="30"/>
  <c r="AO20" i="30"/>
  <c r="AO24" i="30"/>
  <c r="AO28" i="30"/>
  <c r="AO32" i="30"/>
  <c r="AO36" i="30"/>
  <c r="AO40" i="30"/>
  <c r="AO44" i="30"/>
  <c r="AO48" i="30"/>
  <c r="AO13" i="30"/>
  <c r="AO17" i="30"/>
  <c r="AO21" i="30"/>
  <c r="AO25" i="30"/>
  <c r="AO29" i="30"/>
  <c r="AO33" i="30"/>
  <c r="AO37" i="30"/>
  <c r="AO41" i="30"/>
  <c r="AO49" i="30"/>
  <c r="AO54" i="30"/>
  <c r="AO45" i="30"/>
  <c r="AO10" i="30"/>
  <c r="AO14" i="30"/>
  <c r="AO18" i="30"/>
  <c r="AO22" i="30"/>
  <c r="AO26" i="30"/>
  <c r="AO30" i="30"/>
  <c r="AO34" i="30"/>
  <c r="AO38" i="30"/>
  <c r="AO42" i="30"/>
  <c r="AO46" i="30"/>
  <c r="AO51" i="30"/>
  <c r="AO2" i="30"/>
  <c r="AO5" i="30"/>
  <c r="AO9" i="30"/>
  <c r="AO4" i="30"/>
  <c r="AO8" i="30"/>
  <c r="AO6" i="30"/>
  <c r="D286" i="29"/>
  <c r="AO286" i="30"/>
  <c r="D310" i="29"/>
  <c r="AO310" i="30"/>
  <c r="D338" i="29"/>
  <c r="AO338" i="30"/>
  <c r="D342" i="29"/>
  <c r="AO342" i="30"/>
  <c r="AO410" i="30"/>
  <c r="D414" i="29"/>
  <c r="AO414" i="30"/>
  <c r="AO418" i="30"/>
  <c r="T295" i="29"/>
  <c r="AQ295" i="30"/>
  <c r="L300" i="29"/>
  <c r="AP300" i="30"/>
  <c r="T303" i="29"/>
  <c r="AQ303" i="30"/>
  <c r="L308" i="29"/>
  <c r="AP308" i="30"/>
  <c r="T311" i="29"/>
  <c r="AQ311" i="30"/>
  <c r="AJ313" i="29"/>
  <c r="AS313" i="30"/>
  <c r="L316" i="29"/>
  <c r="AP316" i="30"/>
  <c r="T319" i="29"/>
  <c r="AQ319" i="30"/>
  <c r="L324" i="29"/>
  <c r="AP324" i="30"/>
  <c r="T327" i="29"/>
  <c r="AQ327" i="30"/>
  <c r="AJ329" i="29"/>
  <c r="AS329" i="30"/>
  <c r="L332" i="29"/>
  <c r="AP332" i="30"/>
  <c r="T335" i="29"/>
  <c r="AQ335" i="30"/>
  <c r="L340" i="29"/>
  <c r="AP340" i="30"/>
  <c r="T343" i="29"/>
  <c r="AQ343" i="30"/>
  <c r="L348" i="29"/>
  <c r="AP348" i="30"/>
  <c r="T351" i="29"/>
  <c r="AQ351" i="30"/>
  <c r="L356" i="29"/>
  <c r="AP356" i="30"/>
  <c r="T359" i="29"/>
  <c r="AQ359" i="30"/>
  <c r="AO361" i="30"/>
  <c r="L364" i="29"/>
  <c r="AP364" i="30"/>
  <c r="T367" i="29"/>
  <c r="AQ367" i="30"/>
  <c r="L372" i="29"/>
  <c r="AP372" i="30"/>
  <c r="T375" i="29"/>
  <c r="AQ375" i="30"/>
  <c r="AO377" i="30"/>
  <c r="AJ377" i="29"/>
  <c r="AS377" i="30"/>
  <c r="L380" i="29"/>
  <c r="AP380" i="30"/>
  <c r="T383" i="29"/>
  <c r="AQ383" i="30"/>
  <c r="L388" i="29"/>
  <c r="AP388" i="30"/>
  <c r="T391" i="29"/>
  <c r="AQ391" i="30"/>
  <c r="AJ393" i="29"/>
  <c r="AS393" i="30"/>
  <c r="L396" i="29"/>
  <c r="AP396" i="30"/>
  <c r="T399" i="29"/>
  <c r="AQ399" i="30"/>
  <c r="L404" i="29"/>
  <c r="AP404" i="30"/>
  <c r="T407" i="29"/>
  <c r="AQ407" i="30"/>
  <c r="L412" i="29"/>
  <c r="AP412" i="30"/>
  <c r="L420" i="29"/>
  <c r="AP420" i="30"/>
  <c r="D290" i="29"/>
  <c r="AO290" i="30"/>
  <c r="D294" i="29"/>
  <c r="AO294" i="30"/>
  <c r="D298" i="29"/>
  <c r="AO298" i="30"/>
  <c r="D306" i="29"/>
  <c r="AO306" i="30"/>
  <c r="D314" i="29"/>
  <c r="AO314" i="30"/>
  <c r="D318" i="29"/>
  <c r="AO318" i="30"/>
  <c r="D322" i="29"/>
  <c r="AO322" i="30"/>
  <c r="D326" i="29"/>
  <c r="AO326" i="30"/>
  <c r="D330" i="29"/>
  <c r="AO330" i="30"/>
  <c r="D346" i="29"/>
  <c r="AO346" i="30"/>
  <c r="D350" i="29"/>
  <c r="AO350" i="30"/>
  <c r="D358" i="29"/>
  <c r="AO358" i="30"/>
  <c r="D362" i="29"/>
  <c r="AO362" i="30"/>
  <c r="D366" i="29"/>
  <c r="AO366" i="30"/>
  <c r="D370" i="29"/>
  <c r="AO370" i="30"/>
  <c r="D374" i="29"/>
  <c r="AO374" i="30"/>
  <c r="D378" i="29"/>
  <c r="AO378" i="30"/>
  <c r="D382" i="29"/>
  <c r="AO382" i="30"/>
  <c r="AO386" i="30"/>
  <c r="D390" i="29"/>
  <c r="AO390" i="30"/>
  <c r="AO398" i="30"/>
  <c r="AO402" i="30"/>
  <c r="D95" i="29"/>
  <c r="AO95" i="30"/>
  <c r="D99" i="29"/>
  <c r="AO99" i="30"/>
  <c r="D103" i="29"/>
  <c r="AO103" i="30"/>
  <c r="D107" i="29"/>
  <c r="AO107" i="30"/>
  <c r="D111" i="29"/>
  <c r="AF99" i="30" s="1"/>
  <c r="AO111" i="30"/>
  <c r="D115" i="29"/>
  <c r="AO115" i="30"/>
  <c r="D119" i="29"/>
  <c r="AO119" i="30"/>
  <c r="D123" i="29"/>
  <c r="AO123" i="30"/>
  <c r="D127" i="29"/>
  <c r="AO127" i="30"/>
  <c r="D131" i="29"/>
  <c r="AO131" i="30"/>
  <c r="D135" i="29"/>
  <c r="AO135" i="30"/>
  <c r="D139" i="29"/>
  <c r="AO139" i="30"/>
  <c r="D143" i="29"/>
  <c r="AO143" i="30"/>
  <c r="D147" i="29"/>
  <c r="AO147" i="30"/>
  <c r="D151" i="29"/>
  <c r="AO151" i="30"/>
  <c r="D155" i="29"/>
  <c r="AO155" i="30"/>
  <c r="D159" i="29"/>
  <c r="AO159" i="30"/>
  <c r="BG363" i="30"/>
  <c r="AP363" i="30"/>
  <c r="BH374" i="30"/>
  <c r="AQ374" i="30"/>
  <c r="D302" i="29"/>
  <c r="AO302" i="30"/>
  <c r="D334" i="29"/>
  <c r="AO334" i="30"/>
  <c r="D354" i="29"/>
  <c r="AO354" i="30"/>
  <c r="AO394" i="30"/>
  <c r="D406" i="29"/>
  <c r="AO406" i="30"/>
  <c r="AP2" i="30"/>
  <c r="AR2" i="30"/>
  <c r="D3" i="29"/>
  <c r="AO3" i="30"/>
  <c r="D7" i="29"/>
  <c r="AO7" i="30"/>
  <c r="D11" i="29"/>
  <c r="AO11" i="30"/>
  <c r="D15" i="29"/>
  <c r="AO15" i="30"/>
  <c r="D19" i="29"/>
  <c r="AO19" i="30"/>
  <c r="D23" i="29"/>
  <c r="AO23" i="30"/>
  <c r="D27" i="29"/>
  <c r="AO27" i="30"/>
  <c r="D31" i="29"/>
  <c r="AO31" i="30"/>
  <c r="D35" i="29"/>
  <c r="AO35" i="30"/>
  <c r="D39" i="29"/>
  <c r="AO39" i="30"/>
  <c r="D43" i="29"/>
  <c r="AO43" i="30"/>
  <c r="D47" i="29"/>
  <c r="AO47" i="30"/>
  <c r="BG316" i="30"/>
  <c r="BG380" i="30"/>
  <c r="BH311" i="30"/>
  <c r="D361" i="29"/>
  <c r="BH375" i="30"/>
  <c r="D398" i="29"/>
  <c r="BG364" i="30"/>
  <c r="BH359" i="30"/>
  <c r="BG300" i="30"/>
  <c r="BH295" i="30"/>
  <c r="BJ377" i="30"/>
  <c r="D394" i="29"/>
  <c r="BG332" i="30"/>
  <c r="BG396" i="30"/>
  <c r="BH327" i="30"/>
  <c r="BH391" i="30"/>
  <c r="D410" i="29"/>
  <c r="D377" i="29"/>
  <c r="BG348" i="30"/>
  <c r="BG412" i="30"/>
  <c r="BH343" i="30"/>
  <c r="BJ329" i="30"/>
  <c r="T2" i="29"/>
  <c r="AJ4" i="29"/>
  <c r="D12" i="29"/>
  <c r="AJ12" i="29"/>
  <c r="AJ16" i="29"/>
  <c r="BJ16" i="30"/>
  <c r="AB29" i="29"/>
  <c r="D32" i="29"/>
  <c r="T34" i="29"/>
  <c r="L35" i="29"/>
  <c r="T38" i="29"/>
  <c r="AJ40" i="29"/>
  <c r="T42" i="29"/>
  <c r="AJ44" i="29"/>
  <c r="T46" i="29"/>
  <c r="L47" i="29"/>
  <c r="AB49" i="29"/>
  <c r="AB56" i="29"/>
  <c r="D59" i="29"/>
  <c r="AJ59" i="29"/>
  <c r="AJ67" i="29"/>
  <c r="AB68" i="29"/>
  <c r="D75" i="29"/>
  <c r="D79" i="29"/>
  <c r="AB88" i="29"/>
  <c r="T89" i="29"/>
  <c r="AB96" i="29"/>
  <c r="AJ99" i="29"/>
  <c r="AJ103" i="29"/>
  <c r="AB116" i="29"/>
  <c r="T117" i="29"/>
  <c r="L118" i="29"/>
  <c r="AJ119" i="29"/>
  <c r="L122" i="29"/>
  <c r="AJ131" i="29"/>
  <c r="AB132" i="29"/>
  <c r="AB140" i="29"/>
  <c r="T141" i="29"/>
  <c r="AB148" i="29"/>
  <c r="T149" i="29"/>
  <c r="L150" i="29"/>
  <c r="T153" i="29"/>
  <c r="AJ244" i="29"/>
  <c r="AB245" i="29"/>
  <c r="AB249" i="29"/>
  <c r="D2" i="29"/>
  <c r="AJ2" i="29"/>
  <c r="AB3" i="29"/>
  <c r="T4" i="29"/>
  <c r="L5" i="29"/>
  <c r="D6" i="29"/>
  <c r="AJ6" i="29"/>
  <c r="AB7" i="29"/>
  <c r="T8" i="29"/>
  <c r="L9" i="29"/>
  <c r="D10" i="29"/>
  <c r="AJ10" i="29"/>
  <c r="AB11" i="29"/>
  <c r="T12" i="29"/>
  <c r="L13" i="29"/>
  <c r="D14" i="29"/>
  <c r="AJ14" i="29"/>
  <c r="BJ14" i="30"/>
  <c r="AB15" i="29"/>
  <c r="T16" i="29"/>
  <c r="L17" i="29"/>
  <c r="D18" i="29"/>
  <c r="AJ18" i="29"/>
  <c r="AB19" i="29"/>
  <c r="T20" i="29"/>
  <c r="L21" i="29"/>
  <c r="D22" i="29"/>
  <c r="AJ22" i="29"/>
  <c r="BJ22" i="30"/>
  <c r="AB23" i="29"/>
  <c r="T24" i="29"/>
  <c r="L25" i="29"/>
  <c r="D26" i="29"/>
  <c r="AJ26" i="29"/>
  <c r="AB27" i="29"/>
  <c r="T28" i="29"/>
  <c r="L29" i="29"/>
  <c r="D30" i="29"/>
  <c r="AJ30" i="29"/>
  <c r="BJ30" i="30"/>
  <c r="AB31" i="29"/>
  <c r="T32" i="29"/>
  <c r="L33" i="29"/>
  <c r="D34" i="29"/>
  <c r="AJ34" i="29"/>
  <c r="AB35" i="29"/>
  <c r="T36" i="29"/>
  <c r="L37" i="29"/>
  <c r="D38" i="29"/>
  <c r="AJ38" i="29"/>
  <c r="BJ38" i="30"/>
  <c r="AB39" i="29"/>
  <c r="T40" i="29"/>
  <c r="L41" i="29"/>
  <c r="D42" i="29"/>
  <c r="AJ42" i="29"/>
  <c r="AB43" i="29"/>
  <c r="T44" i="29"/>
  <c r="L45" i="29"/>
  <c r="D46" i="29"/>
  <c r="AJ46" i="29"/>
  <c r="BJ46" i="30"/>
  <c r="AB47" i="29"/>
  <c r="T48" i="29"/>
  <c r="L49" i="29"/>
  <c r="D51" i="29"/>
  <c r="AJ51" i="29"/>
  <c r="AB54" i="29"/>
  <c r="T55" i="29"/>
  <c r="L56" i="29"/>
  <c r="D57" i="29"/>
  <c r="AJ57" i="29"/>
  <c r="BJ57" i="30"/>
  <c r="AB58" i="29"/>
  <c r="T59" i="29"/>
  <c r="L60" i="29"/>
  <c r="D61" i="29"/>
  <c r="AJ61" i="29"/>
  <c r="AB62" i="29"/>
  <c r="T63" i="29"/>
  <c r="L64" i="29"/>
  <c r="D65" i="29"/>
  <c r="AJ65" i="29"/>
  <c r="BJ65" i="30"/>
  <c r="AB66" i="29"/>
  <c r="T67" i="29"/>
  <c r="L68" i="29"/>
  <c r="D69" i="29"/>
  <c r="AJ69" i="29"/>
  <c r="AB70" i="29"/>
  <c r="T71" i="29"/>
  <c r="L72" i="29"/>
  <c r="D73" i="29"/>
  <c r="AJ73" i="29"/>
  <c r="BJ73" i="30"/>
  <c r="AB74" i="29"/>
  <c r="T75" i="29"/>
  <c r="L76" i="29"/>
  <c r="D77" i="29"/>
  <c r="AJ77" i="29"/>
  <c r="AB78" i="29"/>
  <c r="T79" i="29"/>
  <c r="L80" i="29"/>
  <c r="D81" i="29"/>
  <c r="AJ81" i="29"/>
  <c r="BJ81" i="30"/>
  <c r="AB82" i="29"/>
  <c r="T83" i="29"/>
  <c r="L84" i="29"/>
  <c r="D85" i="29"/>
  <c r="AJ85" i="29"/>
  <c r="AB86" i="29"/>
  <c r="T87" i="29"/>
  <c r="L88" i="29"/>
  <c r="D89" i="29"/>
  <c r="AJ89" i="29"/>
  <c r="BJ89" i="30"/>
  <c r="AB90" i="29"/>
  <c r="T91" i="29"/>
  <c r="L92" i="29"/>
  <c r="D93" i="29"/>
  <c r="AJ93" i="29"/>
  <c r="AB94" i="29"/>
  <c r="T95" i="29"/>
  <c r="L96" i="29"/>
  <c r="D97" i="29"/>
  <c r="AJ97" i="29"/>
  <c r="BJ97" i="30"/>
  <c r="AB98" i="29"/>
  <c r="T99" i="29"/>
  <c r="L100" i="29"/>
  <c r="D101" i="29"/>
  <c r="AJ101" i="29"/>
  <c r="AB102" i="29"/>
  <c r="T103" i="29"/>
  <c r="L104" i="29"/>
  <c r="D105" i="29"/>
  <c r="AJ105" i="29"/>
  <c r="BJ105" i="30"/>
  <c r="AB106" i="29"/>
  <c r="T107" i="29"/>
  <c r="L108" i="29"/>
  <c r="D109" i="29"/>
  <c r="AJ109" i="29"/>
  <c r="AB110" i="29"/>
  <c r="T111" i="29"/>
  <c r="L112" i="29"/>
  <c r="D113" i="29"/>
  <c r="AJ113" i="29"/>
  <c r="AB114" i="29"/>
  <c r="T115" i="29"/>
  <c r="L116" i="29"/>
  <c r="D117" i="29"/>
  <c r="AF118" i="30" s="1"/>
  <c r="AJ117" i="29"/>
  <c r="AB118" i="29"/>
  <c r="T119" i="29"/>
  <c r="L120" i="29"/>
  <c r="D121" i="29"/>
  <c r="AJ121" i="29"/>
  <c r="AB122" i="29"/>
  <c r="T123" i="29"/>
  <c r="L124" i="29"/>
  <c r="D125" i="29"/>
  <c r="AJ125" i="29"/>
  <c r="AB126" i="29"/>
  <c r="T127" i="29"/>
  <c r="L128" i="29"/>
  <c r="D129" i="29"/>
  <c r="AJ129" i="29"/>
  <c r="BJ129" i="30"/>
  <c r="AB130" i="29"/>
  <c r="T131" i="29"/>
  <c r="L132" i="29"/>
  <c r="D133" i="29"/>
  <c r="AJ133" i="29"/>
  <c r="AB134" i="29"/>
  <c r="T135" i="29"/>
  <c r="L136" i="29"/>
  <c r="D137" i="29"/>
  <c r="AJ137" i="29"/>
  <c r="AB138" i="29"/>
  <c r="T139" i="29"/>
  <c r="L140" i="29"/>
  <c r="D141" i="29"/>
  <c r="AJ141" i="29"/>
  <c r="AB142" i="29"/>
  <c r="T143" i="29"/>
  <c r="L144" i="29"/>
  <c r="D145" i="29"/>
  <c r="AJ145" i="29"/>
  <c r="AB146" i="29"/>
  <c r="T147" i="29"/>
  <c r="L148" i="29"/>
  <c r="D149" i="29"/>
  <c r="AJ149" i="29"/>
  <c r="AB150" i="29"/>
  <c r="T151" i="29"/>
  <c r="L152" i="29"/>
  <c r="D153" i="29"/>
  <c r="AJ153" i="29"/>
  <c r="AB154" i="29"/>
  <c r="T155" i="29"/>
  <c r="L156" i="29"/>
  <c r="D157" i="29"/>
  <c r="AJ157" i="29"/>
  <c r="AB158" i="29"/>
  <c r="T159" i="29"/>
  <c r="D242" i="29"/>
  <c r="AJ242" i="29"/>
  <c r="AB243" i="29"/>
  <c r="T244" i="29"/>
  <c r="L245" i="29"/>
  <c r="D246" i="29"/>
  <c r="AJ246" i="29"/>
  <c r="AB247" i="29"/>
  <c r="T248" i="29"/>
  <c r="L249" i="29"/>
  <c r="D250" i="29"/>
  <c r="AJ250" i="29"/>
  <c r="AB251" i="29"/>
  <c r="T252" i="29"/>
  <c r="L253" i="29"/>
  <c r="D254" i="29"/>
  <c r="AJ254" i="29"/>
  <c r="AB255" i="29"/>
  <c r="T256" i="29"/>
  <c r="L257" i="29"/>
  <c r="D258" i="29"/>
  <c r="AJ258" i="29"/>
  <c r="AB259" i="29"/>
  <c r="T260" i="29"/>
  <c r="L261" i="29"/>
  <c r="D262" i="29"/>
  <c r="AJ262" i="29"/>
  <c r="AB263" i="29"/>
  <c r="T264" i="29"/>
  <c r="L265" i="29"/>
  <c r="D266" i="29"/>
  <c r="AJ266" i="29"/>
  <c r="AB267" i="29"/>
  <c r="T268" i="29"/>
  <c r="L269" i="29"/>
  <c r="D270" i="29"/>
  <c r="AJ270" i="29"/>
  <c r="AB271" i="29"/>
  <c r="T272" i="29"/>
  <c r="BH272" i="30"/>
  <c r="L273" i="29"/>
  <c r="D274" i="29"/>
  <c r="AJ274" i="29"/>
  <c r="AB275" i="29"/>
  <c r="T276" i="29"/>
  <c r="L277" i="29"/>
  <c r="D278" i="29"/>
  <c r="AJ278" i="29"/>
  <c r="AB279" i="29"/>
  <c r="T280" i="29"/>
  <c r="L281" i="29"/>
  <c r="D282" i="29"/>
  <c r="AJ282" i="29"/>
  <c r="AB283" i="29"/>
  <c r="T284" i="29"/>
  <c r="L285" i="29"/>
  <c r="L363" i="29"/>
  <c r="AB2" i="29"/>
  <c r="T3" i="29"/>
  <c r="L4" i="29"/>
  <c r="D5" i="29"/>
  <c r="AJ5" i="29"/>
  <c r="AB6" i="29"/>
  <c r="T7" i="29"/>
  <c r="L8" i="29"/>
  <c r="AF124" i="30" s="1"/>
  <c r="D9" i="29"/>
  <c r="AJ9" i="29"/>
  <c r="AB10" i="29"/>
  <c r="T11" i="29"/>
  <c r="L12" i="29"/>
  <c r="D13" i="29"/>
  <c r="AJ13" i="29"/>
  <c r="AB14" i="29"/>
  <c r="T15" i="29"/>
  <c r="L16" i="29"/>
  <c r="D17" i="29"/>
  <c r="AJ17" i="29"/>
  <c r="AB18" i="29"/>
  <c r="T19" i="29"/>
  <c r="L20" i="29"/>
  <c r="D21" i="29"/>
  <c r="AJ21" i="29"/>
  <c r="AB22" i="29"/>
  <c r="T23" i="29"/>
  <c r="L24" i="29"/>
  <c r="D25" i="29"/>
  <c r="AJ25" i="29"/>
  <c r="AB26" i="29"/>
  <c r="T27" i="29"/>
  <c r="L28" i="29"/>
  <c r="D29" i="29"/>
  <c r="AJ29" i="29"/>
  <c r="AB30" i="29"/>
  <c r="T31" i="29"/>
  <c r="L32" i="29"/>
  <c r="D33" i="29"/>
  <c r="AJ33" i="29"/>
  <c r="AB34" i="29"/>
  <c r="T35" i="29"/>
  <c r="L36" i="29"/>
  <c r="D37" i="29"/>
  <c r="AJ37" i="29"/>
  <c r="AB38" i="29"/>
  <c r="T39" i="29"/>
  <c r="L40" i="29"/>
  <c r="BG40" i="30"/>
  <c r="D41" i="29"/>
  <c r="AJ41" i="29"/>
  <c r="AB42" i="29"/>
  <c r="T43" i="29"/>
  <c r="L44" i="29"/>
  <c r="D45" i="29"/>
  <c r="AJ45" i="29"/>
  <c r="AB46" i="29"/>
  <c r="T47" i="29"/>
  <c r="L48" i="29"/>
  <c r="D49" i="29"/>
  <c r="AJ49" i="29"/>
  <c r="AB51" i="29"/>
  <c r="T54" i="29"/>
  <c r="L55" i="29"/>
  <c r="D56" i="29"/>
  <c r="AJ56" i="29"/>
  <c r="AB57" i="29"/>
  <c r="T58" i="29"/>
  <c r="L59" i="29"/>
  <c r="D60" i="29"/>
  <c r="AJ60" i="29"/>
  <c r="AB61" i="29"/>
  <c r="T62" i="29"/>
  <c r="L63" i="29"/>
  <c r="D64" i="29"/>
  <c r="AJ64" i="29"/>
  <c r="AB65" i="29"/>
  <c r="T66" i="29"/>
  <c r="L67" i="29"/>
  <c r="D68" i="29"/>
  <c r="AF117" i="30" s="1"/>
  <c r="AJ68" i="29"/>
  <c r="AB69" i="29"/>
  <c r="T70" i="29"/>
  <c r="BH70" i="30"/>
  <c r="L71" i="29"/>
  <c r="D72" i="29"/>
  <c r="AJ72" i="29"/>
  <c r="AB73" i="29"/>
  <c r="T74" i="29"/>
  <c r="L75" i="29"/>
  <c r="D76" i="29"/>
  <c r="AJ76" i="29"/>
  <c r="AB77" i="29"/>
  <c r="T78" i="29"/>
  <c r="L79" i="29"/>
  <c r="D80" i="29"/>
  <c r="AJ80" i="29"/>
  <c r="AB81" i="29"/>
  <c r="BI81" i="30"/>
  <c r="T82" i="29"/>
  <c r="L83" i="29"/>
  <c r="D84" i="29"/>
  <c r="AJ84" i="29"/>
  <c r="AB85" i="29"/>
  <c r="T86" i="29"/>
  <c r="L87" i="29"/>
  <c r="D88" i="29"/>
  <c r="AF116" i="30" s="1"/>
  <c r="AJ88" i="29"/>
  <c r="AB89" i="29"/>
  <c r="T90" i="29"/>
  <c r="L91" i="29"/>
  <c r="D92" i="29"/>
  <c r="AJ92" i="29"/>
  <c r="AB93" i="29"/>
  <c r="T94" i="29"/>
  <c r="L95" i="29"/>
  <c r="D96" i="29"/>
  <c r="AJ96" i="29"/>
  <c r="AB97" i="29"/>
  <c r="T98" i="29"/>
  <c r="L99" i="29"/>
  <c r="D100" i="29"/>
  <c r="AJ100" i="29"/>
  <c r="AB101" i="29"/>
  <c r="T102" i="29"/>
  <c r="L103" i="29"/>
  <c r="D104" i="29"/>
  <c r="AJ104" i="29"/>
  <c r="AB105" i="29"/>
  <c r="T106" i="29"/>
  <c r="L107" i="29"/>
  <c r="D108" i="29"/>
  <c r="AJ108" i="29"/>
  <c r="AB109" i="29"/>
  <c r="T110" i="29"/>
  <c r="BH110" i="30"/>
  <c r="L111" i="29"/>
  <c r="D112" i="29"/>
  <c r="AJ112" i="29"/>
  <c r="AB113" i="29"/>
  <c r="T114" i="29"/>
  <c r="L115" i="29"/>
  <c r="D116" i="29"/>
  <c r="AJ116" i="29"/>
  <c r="AB117" i="29"/>
  <c r="T118" i="29"/>
  <c r="L119" i="29"/>
  <c r="D120" i="29"/>
  <c r="AJ120" i="29"/>
  <c r="AB121" i="29"/>
  <c r="T122" i="29"/>
  <c r="L123" i="29"/>
  <c r="D124" i="29"/>
  <c r="AJ124" i="29"/>
  <c r="AB125" i="29"/>
  <c r="T126" i="29"/>
  <c r="L127" i="29"/>
  <c r="D128" i="29"/>
  <c r="AJ128" i="29"/>
  <c r="AB129" i="29"/>
  <c r="T130" i="29"/>
  <c r="L131" i="29"/>
  <c r="D132" i="29"/>
  <c r="AJ132" i="29"/>
  <c r="AB133" i="29"/>
  <c r="T134" i="29"/>
  <c r="L135" i="29"/>
  <c r="D136" i="29"/>
  <c r="AJ136" i="29"/>
  <c r="AB137" i="29"/>
  <c r="T138" i="29"/>
  <c r="L139" i="29"/>
  <c r="D140" i="29"/>
  <c r="AJ140" i="29"/>
  <c r="AB141" i="29"/>
  <c r="T142" i="29"/>
  <c r="L143" i="29"/>
  <c r="D144" i="29"/>
  <c r="AJ144" i="29"/>
  <c r="AB145" i="29"/>
  <c r="T146" i="29"/>
  <c r="L147" i="29"/>
  <c r="D148" i="29"/>
  <c r="AJ148" i="29"/>
  <c r="AB149" i="29"/>
  <c r="T150" i="29"/>
  <c r="L151" i="29"/>
  <c r="D152" i="29"/>
  <c r="AJ152" i="29"/>
  <c r="AB153" i="29"/>
  <c r="T154" i="29"/>
  <c r="L155" i="29"/>
  <c r="D156" i="29"/>
  <c r="AJ156" i="29"/>
  <c r="AB157" i="29"/>
  <c r="T158" i="29"/>
  <c r="L159" i="29"/>
  <c r="AB242" i="29"/>
  <c r="T243" i="29"/>
  <c r="L244" i="29"/>
  <c r="D245" i="29"/>
  <c r="AJ245" i="29"/>
  <c r="AB246" i="29"/>
  <c r="T247" i="29"/>
  <c r="L248" i="29"/>
  <c r="D249" i="29"/>
  <c r="AJ249" i="29"/>
  <c r="AB250" i="29"/>
  <c r="T251" i="29"/>
  <c r="L252" i="29"/>
  <c r="D253" i="29"/>
  <c r="AJ253" i="29"/>
  <c r="AB254" i="29"/>
  <c r="T255" i="29"/>
  <c r="L256" i="29"/>
  <c r="D257" i="29"/>
  <c r="AJ257" i="29"/>
  <c r="AB258" i="29"/>
  <c r="T259" i="29"/>
  <c r="L260" i="29"/>
  <c r="D261" i="29"/>
  <c r="AJ261" i="29"/>
  <c r="AB262" i="29"/>
  <c r="T263" i="29"/>
  <c r="L264" i="29"/>
  <c r="D265" i="29"/>
  <c r="AJ265" i="29"/>
  <c r="AB266" i="29"/>
  <c r="T267" i="29"/>
  <c r="L268" i="29"/>
  <c r="D269" i="29"/>
  <c r="AJ269" i="29"/>
  <c r="AB270" i="29"/>
  <c r="T271" i="29"/>
  <c r="L272" i="29"/>
  <c r="D273" i="29"/>
  <c r="AJ273" i="29"/>
  <c r="AB274" i="29"/>
  <c r="T275" i="29"/>
  <c r="L276" i="29"/>
  <c r="D277" i="29"/>
  <c r="AJ277" i="29"/>
  <c r="AB278" i="29"/>
  <c r="T279" i="29"/>
  <c r="L280" i="29"/>
  <c r="D281" i="29"/>
  <c r="AJ281" i="29"/>
  <c r="AB282" i="29"/>
  <c r="T283" i="29"/>
  <c r="L284" i="29"/>
  <c r="D285" i="29"/>
  <c r="AJ285" i="29"/>
  <c r="AB286" i="29"/>
  <c r="T287" i="29"/>
  <c r="L288" i="29"/>
  <c r="D289" i="29"/>
  <c r="AJ289" i="29"/>
  <c r="AB290" i="29"/>
  <c r="T291" i="29"/>
  <c r="L292" i="29"/>
  <c r="D293" i="29"/>
  <c r="AJ293" i="29"/>
  <c r="T374" i="29"/>
  <c r="D4" i="29"/>
  <c r="AB5" i="29"/>
  <c r="T6" i="29"/>
  <c r="L7" i="29"/>
  <c r="D8" i="29"/>
  <c r="AJ8" i="29"/>
  <c r="AB9" i="29"/>
  <c r="T10" i="29"/>
  <c r="L11" i="29"/>
  <c r="AB13" i="29"/>
  <c r="T14" i="29"/>
  <c r="L15" i="29"/>
  <c r="AB17" i="29"/>
  <c r="T18" i="29"/>
  <c r="L19" i="29"/>
  <c r="D20" i="29"/>
  <c r="T22" i="29"/>
  <c r="L23" i="29"/>
  <c r="D24" i="29"/>
  <c r="T26" i="29"/>
  <c r="L27" i="29"/>
  <c r="D28" i="29"/>
  <c r="T30" i="29"/>
  <c r="L31" i="29"/>
  <c r="AB33" i="29"/>
  <c r="D36" i="29"/>
  <c r="L39" i="29"/>
  <c r="D40" i="29"/>
  <c r="L43" i="29"/>
  <c r="D44" i="29"/>
  <c r="D48" i="29"/>
  <c r="T51" i="29"/>
  <c r="L54" i="29"/>
  <c r="D55" i="29"/>
  <c r="T57" i="29"/>
  <c r="L58" i="29"/>
  <c r="AB60" i="29"/>
  <c r="T61" i="29"/>
  <c r="L62" i="29"/>
  <c r="AJ63" i="29"/>
  <c r="T65" i="29"/>
  <c r="L66" i="29"/>
  <c r="D67" i="29"/>
  <c r="T69" i="29"/>
  <c r="AJ71" i="29"/>
  <c r="AB72" i="29"/>
  <c r="T73" i="29"/>
  <c r="L74" i="29"/>
  <c r="AB76" i="29"/>
  <c r="T77" i="29"/>
  <c r="L78" i="29"/>
  <c r="AB80" i="29"/>
  <c r="T81" i="29"/>
  <c r="L82" i="29"/>
  <c r="AJ83" i="29"/>
  <c r="AB84" i="29"/>
  <c r="T85" i="29"/>
  <c r="AJ87" i="29"/>
  <c r="L90" i="29"/>
  <c r="D91" i="29"/>
  <c r="AJ91" i="29"/>
  <c r="T93" i="29"/>
  <c r="L94" i="29"/>
  <c r="AJ95" i="29"/>
  <c r="L98" i="29"/>
  <c r="AB100" i="29"/>
  <c r="T101" i="29"/>
  <c r="L102" i="29"/>
  <c r="T105" i="29"/>
  <c r="AJ107" i="29"/>
  <c r="AB108" i="29"/>
  <c r="T109" i="29"/>
  <c r="AJ111" i="29"/>
  <c r="AB112" i="29"/>
  <c r="T113" i="29"/>
  <c r="L114" i="29"/>
  <c r="T121" i="29"/>
  <c r="AJ123" i="29"/>
  <c r="AB124" i="29"/>
  <c r="T125" i="29"/>
  <c r="AJ127" i="29"/>
  <c r="AB128" i="29"/>
  <c r="T129" i="29"/>
  <c r="L130" i="29"/>
  <c r="T133" i="29"/>
  <c r="AJ135" i="29"/>
  <c r="AB136" i="29"/>
  <c r="L142" i="29"/>
  <c r="AJ143" i="29"/>
  <c r="AB144" i="29"/>
  <c r="T145" i="29"/>
  <c r="L146" i="29"/>
  <c r="AJ147" i="29"/>
  <c r="AB152" i="29"/>
  <c r="L154" i="29"/>
  <c r="AJ155" i="29"/>
  <c r="AB156" i="29"/>
  <c r="T157" i="29"/>
  <c r="L158" i="29"/>
  <c r="AJ159" i="29"/>
  <c r="L243" i="29"/>
  <c r="D244" i="29"/>
  <c r="T246" i="29"/>
  <c r="L247" i="29"/>
  <c r="D248" i="29"/>
  <c r="AJ248" i="29"/>
  <c r="D260" i="29"/>
  <c r="AJ260" i="29"/>
  <c r="T278" i="29"/>
  <c r="D280" i="29"/>
  <c r="AJ280" i="29"/>
  <c r="AJ296" i="29"/>
  <c r="T298" i="29"/>
  <c r="L299" i="29"/>
  <c r="D316" i="29"/>
  <c r="D324" i="29"/>
  <c r="AJ324" i="29"/>
  <c r="T338" i="29"/>
  <c r="L339" i="29"/>
  <c r="D340" i="29"/>
  <c r="AJ340" i="29"/>
  <c r="AJ348" i="29"/>
  <c r="T350" i="29"/>
  <c r="L351" i="29"/>
  <c r="AJ352" i="29"/>
  <c r="AB353" i="29"/>
  <c r="T362" i="29"/>
  <c r="T370" i="29"/>
  <c r="D372" i="29"/>
  <c r="AJ372" i="29"/>
  <c r="AB373" i="29"/>
  <c r="D376" i="29"/>
  <c r="D384" i="29"/>
  <c r="AJ384" i="29"/>
  <c r="AB385" i="29"/>
  <c r="T386" i="29"/>
  <c r="L387" i="29"/>
  <c r="D388" i="29"/>
  <c r="AJ388" i="29"/>
  <c r="AB389" i="29"/>
  <c r="T390" i="29"/>
  <c r="L391" i="29"/>
  <c r="D392" i="29"/>
  <c r="AJ392" i="29"/>
  <c r="AB393" i="29"/>
  <c r="T394" i="29"/>
  <c r="L395" i="29"/>
  <c r="D396" i="29"/>
  <c r="AJ396" i="29"/>
  <c r="AB397" i="29"/>
  <c r="T398" i="29"/>
  <c r="L399" i="29"/>
  <c r="D400" i="29"/>
  <c r="AJ400" i="29"/>
  <c r="AB401" i="29"/>
  <c r="T402" i="29"/>
  <c r="D404" i="29"/>
  <c r="T406" i="29"/>
  <c r="AB409" i="29"/>
  <c r="D412" i="29"/>
  <c r="D416" i="29"/>
  <c r="AJ416" i="29"/>
  <c r="L3" i="29"/>
  <c r="D16" i="29"/>
  <c r="AJ20" i="29"/>
  <c r="AB21" i="29"/>
  <c r="AJ24" i="29"/>
  <c r="AB25" i="29"/>
  <c r="AJ28" i="29"/>
  <c r="AJ32" i="29"/>
  <c r="AJ36" i="29"/>
  <c r="AB37" i="29"/>
  <c r="AB41" i="29"/>
  <c r="AB45" i="29"/>
  <c r="AJ48" i="29"/>
  <c r="AJ55" i="29"/>
  <c r="D63" i="29"/>
  <c r="AB64" i="29"/>
  <c r="L70" i="29"/>
  <c r="D71" i="29"/>
  <c r="AJ75" i="29"/>
  <c r="AJ79" i="29"/>
  <c r="D83" i="29"/>
  <c r="L86" i="29"/>
  <c r="D87" i="29"/>
  <c r="AB92" i="29"/>
  <c r="T97" i="29"/>
  <c r="AB104" i="29"/>
  <c r="L106" i="29"/>
  <c r="L110" i="29"/>
  <c r="AJ115" i="29"/>
  <c r="AB120" i="29"/>
  <c r="L126" i="29"/>
  <c r="L134" i="29"/>
  <c r="T137" i="29"/>
  <c r="L138" i="29"/>
  <c r="AJ139" i="29"/>
  <c r="AJ151" i="29"/>
  <c r="T242" i="29"/>
  <c r="T250" i="29"/>
  <c r="L251" i="29"/>
  <c r="D252" i="29"/>
  <c r="AJ252" i="29"/>
  <c r="AB253" i="29"/>
  <c r="T254" i="29"/>
  <c r="L255" i="29"/>
  <c r="D256" i="29"/>
  <c r="AJ256" i="29"/>
  <c r="AB257" i="29"/>
  <c r="T258" i="29"/>
  <c r="L259" i="29"/>
  <c r="AB261" i="29"/>
  <c r="T262" i="29"/>
  <c r="L263" i="29"/>
  <c r="D264" i="29"/>
  <c r="AJ264" i="29"/>
  <c r="AB265" i="29"/>
  <c r="T266" i="29"/>
  <c r="L267" i="29"/>
  <c r="D268" i="29"/>
  <c r="AJ268" i="29"/>
  <c r="AB269" i="29"/>
  <c r="T270" i="29"/>
  <c r="L271" i="29"/>
  <c r="D272" i="29"/>
  <c r="AJ272" i="29"/>
  <c r="AB273" i="29"/>
  <c r="T274" i="29"/>
  <c r="L275" i="29"/>
  <c r="D276" i="29"/>
  <c r="AJ276" i="29"/>
  <c r="AB277" i="29"/>
  <c r="L279" i="29"/>
  <c r="AB281" i="29"/>
  <c r="T282" i="29"/>
  <c r="L283" i="29"/>
  <c r="D284" i="29"/>
  <c r="AJ284" i="29"/>
  <c r="AB285" i="29"/>
  <c r="T286" i="29"/>
  <c r="L287" i="29"/>
  <c r="D288" i="29"/>
  <c r="AJ288" i="29"/>
  <c r="AB289" i="29"/>
  <c r="T290" i="29"/>
  <c r="L291" i="29"/>
  <c r="D292" i="29"/>
  <c r="AJ292" i="29"/>
  <c r="AB293" i="29"/>
  <c r="T294" i="29"/>
  <c r="L295" i="29"/>
  <c r="D296" i="29"/>
  <c r="AB297" i="29"/>
  <c r="D300" i="29"/>
  <c r="AJ300" i="29"/>
  <c r="AB301" i="29"/>
  <c r="T302" i="29"/>
  <c r="L303" i="29"/>
  <c r="D304" i="29"/>
  <c r="AJ304" i="29"/>
  <c r="AB305" i="29"/>
  <c r="T306" i="29"/>
  <c r="L307" i="29"/>
  <c r="D308" i="29"/>
  <c r="AJ308" i="29"/>
  <c r="AB309" i="29"/>
  <c r="T310" i="29"/>
  <c r="L311" i="29"/>
  <c r="D312" i="29"/>
  <c r="AJ312" i="29"/>
  <c r="AB313" i="29"/>
  <c r="T314" i="29"/>
  <c r="L315" i="29"/>
  <c r="AJ316" i="29"/>
  <c r="AB317" i="29"/>
  <c r="T318" i="29"/>
  <c r="L319" i="29"/>
  <c r="D320" i="29"/>
  <c r="AJ320" i="29"/>
  <c r="BJ320" i="30"/>
  <c r="AB321" i="29"/>
  <c r="T322" i="29"/>
  <c r="L323" i="29"/>
  <c r="AB325" i="29"/>
  <c r="T326" i="29"/>
  <c r="L327" i="29"/>
  <c r="D328" i="29"/>
  <c r="AJ328" i="29"/>
  <c r="AB329" i="29"/>
  <c r="T330" i="29"/>
  <c r="L331" i="29"/>
  <c r="D332" i="29"/>
  <c r="AJ332" i="29"/>
  <c r="AB333" i="29"/>
  <c r="T334" i="29"/>
  <c r="L335" i="29"/>
  <c r="D336" i="29"/>
  <c r="AJ336" i="29"/>
  <c r="AB337" i="29"/>
  <c r="AB341" i="29"/>
  <c r="T342" i="29"/>
  <c r="AF131" i="30" s="1"/>
  <c r="L343" i="29"/>
  <c r="D344" i="29"/>
  <c r="AJ344" i="29"/>
  <c r="AB345" i="29"/>
  <c r="T346" i="29"/>
  <c r="L347" i="29"/>
  <c r="D348" i="29"/>
  <c r="AF110" i="30" s="1"/>
  <c r="AB349" i="29"/>
  <c r="D352" i="29"/>
  <c r="T354" i="29"/>
  <c r="L355" i="29"/>
  <c r="D356" i="29"/>
  <c r="AJ356" i="29"/>
  <c r="AB357" i="29"/>
  <c r="T358" i="29"/>
  <c r="L359" i="29"/>
  <c r="D360" i="29"/>
  <c r="AJ360" i="29"/>
  <c r="AB361" i="29"/>
  <c r="D364" i="29"/>
  <c r="AJ364" i="29"/>
  <c r="AB365" i="29"/>
  <c r="T366" i="29"/>
  <c r="L367" i="29"/>
  <c r="D368" i="29"/>
  <c r="AJ368" i="29"/>
  <c r="AB369" i="29"/>
  <c r="L371" i="29"/>
  <c r="L375" i="29"/>
  <c r="AJ376" i="29"/>
  <c r="AB377" i="29"/>
  <c r="T378" i="29"/>
  <c r="L379" i="29"/>
  <c r="D380" i="29"/>
  <c r="AJ380" i="29"/>
  <c r="AB381" i="29"/>
  <c r="T382" i="29"/>
  <c r="L383" i="29"/>
  <c r="L403" i="29"/>
  <c r="AJ404" i="29"/>
  <c r="AB405" i="29"/>
  <c r="L407" i="29"/>
  <c r="D408" i="29"/>
  <c r="AJ408" i="29"/>
  <c r="T410" i="29"/>
  <c r="L411" i="29"/>
  <c r="AJ412" i="29"/>
  <c r="AB413" i="29"/>
  <c r="T414" i="29"/>
  <c r="L415" i="29"/>
  <c r="AB417" i="29"/>
  <c r="T418" i="29"/>
  <c r="L419" i="29"/>
  <c r="L2" i="29"/>
  <c r="AJ3" i="29"/>
  <c r="AB4" i="29"/>
  <c r="T5" i="29"/>
  <c r="L6" i="29"/>
  <c r="AJ7" i="29"/>
  <c r="AB8" i="29"/>
  <c r="T9" i="29"/>
  <c r="L10" i="29"/>
  <c r="AJ11" i="29"/>
  <c r="BJ11" i="30"/>
  <c r="AB12" i="29"/>
  <c r="T13" i="29"/>
  <c r="L14" i="29"/>
  <c r="AF123" i="30" s="1"/>
  <c r="AJ15" i="29"/>
  <c r="AB16" i="29"/>
  <c r="T17" i="29"/>
  <c r="L18" i="29"/>
  <c r="AJ19" i="29"/>
  <c r="AB20" i="29"/>
  <c r="T21" i="29"/>
  <c r="L22" i="29"/>
  <c r="AJ23" i="29"/>
  <c r="AB24" i="29"/>
  <c r="T25" i="29"/>
  <c r="L26" i="29"/>
  <c r="AJ27" i="29"/>
  <c r="AF142" i="30" s="1"/>
  <c r="AB28" i="29"/>
  <c r="T29" i="29"/>
  <c r="L30" i="29"/>
  <c r="AJ31" i="29"/>
  <c r="AB32" i="29"/>
  <c r="T33" i="29"/>
  <c r="L34" i="29"/>
  <c r="AJ35" i="29"/>
  <c r="BJ35" i="30"/>
  <c r="AB36" i="29"/>
  <c r="T37" i="29"/>
  <c r="L38" i="29"/>
  <c r="AJ39" i="29"/>
  <c r="AB40" i="29"/>
  <c r="T41" i="29"/>
  <c r="L42" i="29"/>
  <c r="AJ43" i="29"/>
  <c r="BJ43" i="30"/>
  <c r="AB44" i="29"/>
  <c r="T45" i="29"/>
  <c r="L46" i="29"/>
  <c r="AJ47" i="29"/>
  <c r="AB48" i="29"/>
  <c r="T49" i="29"/>
  <c r="L51" i="29"/>
  <c r="D54" i="29"/>
  <c r="AJ54" i="29"/>
  <c r="AB55" i="29"/>
  <c r="T56" i="29"/>
  <c r="L57" i="29"/>
  <c r="D58" i="29"/>
  <c r="AJ58" i="29"/>
  <c r="AB59" i="29"/>
  <c r="T60" i="29"/>
  <c r="L61" i="29"/>
  <c r="D62" i="29"/>
  <c r="AJ62" i="29"/>
  <c r="AB63" i="29"/>
  <c r="T64" i="29"/>
  <c r="L65" i="29"/>
  <c r="D66" i="29"/>
  <c r="AJ66" i="29"/>
  <c r="AB67" i="29"/>
  <c r="T68" i="29"/>
  <c r="L69" i="29"/>
  <c r="D70" i="29"/>
  <c r="AJ70" i="29"/>
  <c r="AB71" i="29"/>
  <c r="T72" i="29"/>
  <c r="L73" i="29"/>
  <c r="D74" i="29"/>
  <c r="AF113" i="30" s="1"/>
  <c r="AJ74" i="29"/>
  <c r="AB75" i="29"/>
  <c r="T76" i="29"/>
  <c r="L77" i="29"/>
  <c r="D78" i="29"/>
  <c r="AJ78" i="29"/>
  <c r="AF141" i="30" s="1"/>
  <c r="AB79" i="29"/>
  <c r="T80" i="29"/>
  <c r="L81" i="29"/>
  <c r="D82" i="29"/>
  <c r="AJ82" i="29"/>
  <c r="AB83" i="29"/>
  <c r="T84" i="29"/>
  <c r="L85" i="29"/>
  <c r="D86" i="29"/>
  <c r="AJ86" i="29"/>
  <c r="AB87" i="29"/>
  <c r="T88" i="29"/>
  <c r="L89" i="29"/>
  <c r="D90" i="29"/>
  <c r="AF100" i="30" s="1"/>
  <c r="AJ90" i="29"/>
  <c r="AB91" i="29"/>
  <c r="T92" i="29"/>
  <c r="L93" i="29"/>
  <c r="D94" i="29"/>
  <c r="AJ94" i="29"/>
  <c r="AB95" i="29"/>
  <c r="T96" i="29"/>
  <c r="L97" i="29"/>
  <c r="D98" i="29"/>
  <c r="AJ98" i="29"/>
  <c r="AB99" i="29"/>
  <c r="T100" i="29"/>
  <c r="AF127" i="30" s="1"/>
  <c r="L101" i="29"/>
  <c r="D102" i="29"/>
  <c r="AJ102" i="29"/>
  <c r="AB103" i="29"/>
  <c r="T104" i="29"/>
  <c r="L105" i="29"/>
  <c r="D106" i="29"/>
  <c r="AJ106" i="29"/>
  <c r="AB107" i="29"/>
  <c r="T108" i="29"/>
  <c r="L109" i="29"/>
  <c r="D110" i="29"/>
  <c r="AJ110" i="29"/>
  <c r="BJ110" i="30"/>
  <c r="AB111" i="29"/>
  <c r="T112" i="29"/>
  <c r="L113" i="29"/>
  <c r="D114" i="29"/>
  <c r="AJ114" i="29"/>
  <c r="AB115" i="29"/>
  <c r="T116" i="29"/>
  <c r="L117" i="29"/>
  <c r="D118" i="29"/>
  <c r="AJ118" i="29"/>
  <c r="AB119" i="29"/>
  <c r="T120" i="29"/>
  <c r="L121" i="29"/>
  <c r="D122" i="29"/>
  <c r="AJ122" i="29"/>
  <c r="AB123" i="29"/>
  <c r="T124" i="29"/>
  <c r="L125" i="29"/>
  <c r="D126" i="29"/>
  <c r="AJ126" i="29"/>
  <c r="BJ126" i="30"/>
  <c r="AB127" i="29"/>
  <c r="T128" i="29"/>
  <c r="L129" i="29"/>
  <c r="D130" i="29"/>
  <c r="AJ130" i="29"/>
  <c r="AB131" i="29"/>
  <c r="T132" i="29"/>
  <c r="L133" i="29"/>
  <c r="D134" i="29"/>
  <c r="AJ134" i="29"/>
  <c r="AB135" i="29"/>
  <c r="T136" i="29"/>
  <c r="L137" i="29"/>
  <c r="D138" i="29"/>
  <c r="AJ138" i="29"/>
  <c r="AB139" i="29"/>
  <c r="T140" i="29"/>
  <c r="L141" i="29"/>
  <c r="D142" i="29"/>
  <c r="AJ142" i="29"/>
  <c r="BJ142" i="30"/>
  <c r="AB143" i="29"/>
  <c r="T144" i="29"/>
  <c r="L145" i="29"/>
  <c r="D146" i="29"/>
  <c r="AJ146" i="29"/>
  <c r="AB147" i="29"/>
  <c r="T148" i="29"/>
  <c r="L149" i="29"/>
  <c r="D150" i="29"/>
  <c r="AJ150" i="29"/>
  <c r="AB151" i="29"/>
  <c r="T152" i="29"/>
  <c r="L153" i="29"/>
  <c r="D154" i="29"/>
  <c r="AJ154" i="29"/>
  <c r="AB155" i="29"/>
  <c r="T156" i="29"/>
  <c r="L157" i="29"/>
  <c r="D158" i="29"/>
  <c r="AJ158" i="29"/>
  <c r="BJ158" i="30"/>
  <c r="AB159" i="29"/>
  <c r="L242" i="29"/>
  <c r="D243" i="29"/>
  <c r="AJ243" i="29"/>
  <c r="AB244" i="29"/>
  <c r="T245" i="29"/>
  <c r="L246" i="29"/>
  <c r="D247" i="29"/>
  <c r="AJ247" i="29"/>
  <c r="AB248" i="29"/>
  <c r="T249" i="29"/>
  <c r="L250" i="29"/>
  <c r="D251" i="29"/>
  <c r="AJ251" i="29"/>
  <c r="AB252" i="29"/>
  <c r="T253" i="29"/>
  <c r="L254" i="29"/>
  <c r="D255" i="29"/>
  <c r="AJ255" i="29"/>
  <c r="AB256" i="29"/>
  <c r="T257" i="29"/>
  <c r="L258" i="29"/>
  <c r="D259" i="29"/>
  <c r="AJ259" i="29"/>
  <c r="AB260" i="29"/>
  <c r="T261" i="29"/>
  <c r="L262" i="29"/>
  <c r="D263" i="29"/>
  <c r="AJ263" i="29"/>
  <c r="AB264" i="29"/>
  <c r="T265" i="29"/>
  <c r="L266" i="29"/>
  <c r="D267" i="29"/>
  <c r="AJ267" i="29"/>
  <c r="AB268" i="29"/>
  <c r="T269" i="29"/>
  <c r="L270" i="29"/>
  <c r="D271" i="29"/>
  <c r="AJ271" i="29"/>
  <c r="AB272" i="29"/>
  <c r="T273" i="29"/>
  <c r="L274" i="29"/>
  <c r="D275" i="29"/>
  <c r="AJ275" i="29"/>
  <c r="AB276" i="29"/>
  <c r="T277" i="29"/>
  <c r="L278" i="29"/>
  <c r="D279" i="29"/>
  <c r="AJ279" i="29"/>
  <c r="BJ279" i="30"/>
  <c r="AB280" i="29"/>
  <c r="T281" i="29"/>
  <c r="L282" i="29"/>
  <c r="D283" i="29"/>
  <c r="AJ283" i="29"/>
  <c r="BJ283" i="30"/>
  <c r="AB284" i="29"/>
  <c r="T285" i="29"/>
  <c r="L286" i="29"/>
  <c r="D287" i="29"/>
  <c r="AJ287" i="29"/>
  <c r="AB288" i="29"/>
  <c r="T289" i="29"/>
  <c r="L290" i="29"/>
  <c r="D291" i="29"/>
  <c r="AJ291" i="29"/>
  <c r="AB292" i="29"/>
  <c r="T293" i="29"/>
  <c r="L294" i="29"/>
  <c r="D295" i="29"/>
  <c r="AJ295" i="29"/>
  <c r="BJ295" i="30"/>
  <c r="AB296" i="29"/>
  <c r="T297" i="29"/>
  <c r="L298" i="29"/>
  <c r="D299" i="29"/>
  <c r="AJ299" i="29"/>
  <c r="AB300" i="29"/>
  <c r="T301" i="29"/>
  <c r="L302" i="29"/>
  <c r="D303" i="29"/>
  <c r="AJ303" i="29"/>
  <c r="AB304" i="29"/>
  <c r="T305" i="29"/>
  <c r="L306" i="29"/>
  <c r="D307" i="29"/>
  <c r="AJ307" i="29"/>
  <c r="AF138" i="30" s="1"/>
  <c r="AB308" i="29"/>
  <c r="T309" i="29"/>
  <c r="L310" i="29"/>
  <c r="D311" i="29"/>
  <c r="AJ311" i="29"/>
  <c r="AB312" i="29"/>
  <c r="T313" i="29"/>
  <c r="L314" i="29"/>
  <c r="D315" i="29"/>
  <c r="AJ315" i="29"/>
  <c r="AB316" i="29"/>
  <c r="T317" i="29"/>
  <c r="L318" i="29"/>
  <c r="D319" i="29"/>
  <c r="AJ319" i="29"/>
  <c r="AB320" i="29"/>
  <c r="T321" i="29"/>
  <c r="L322" i="29"/>
  <c r="D323" i="29"/>
  <c r="AJ323" i="29"/>
  <c r="AB324" i="29"/>
  <c r="T325" i="29"/>
  <c r="BH325" i="30"/>
  <c r="L326" i="29"/>
  <c r="D327" i="29"/>
  <c r="AJ327" i="29"/>
  <c r="AB328" i="29"/>
  <c r="T329" i="29"/>
  <c r="L330" i="29"/>
  <c r="D331" i="29"/>
  <c r="AJ331" i="29"/>
  <c r="AB332" i="29"/>
  <c r="T333" i="29"/>
  <c r="L334" i="29"/>
  <c r="D335" i="29"/>
  <c r="AJ335" i="29"/>
  <c r="AB336" i="29"/>
  <c r="AF136" i="30" s="1"/>
  <c r="T337" i="29"/>
  <c r="L338" i="29"/>
  <c r="D339" i="29"/>
  <c r="AJ339" i="29"/>
  <c r="AB340" i="29"/>
  <c r="T341" i="29"/>
  <c r="L342" i="29"/>
  <c r="D343" i="29"/>
  <c r="AJ343" i="29"/>
  <c r="AB344" i="29"/>
  <c r="T345" i="29"/>
  <c r="L346" i="29"/>
  <c r="D347" i="29"/>
  <c r="AJ347" i="29"/>
  <c r="AB348" i="29"/>
  <c r="T349" i="29"/>
  <c r="L350" i="29"/>
  <c r="D351" i="29"/>
  <c r="AJ351" i="29"/>
  <c r="AB352" i="29"/>
  <c r="T353" i="29"/>
  <c r="L354" i="29"/>
  <c r="D355" i="29"/>
  <c r="AJ355" i="29"/>
  <c r="AB356" i="29"/>
  <c r="T357" i="29"/>
  <c r="L358" i="29"/>
  <c r="D359" i="29"/>
  <c r="AJ359" i="29"/>
  <c r="AB360" i="29"/>
  <c r="T361" i="29"/>
  <c r="L362" i="29"/>
  <c r="D363" i="29"/>
  <c r="AF109" i="30" s="1"/>
  <c r="AJ363" i="29"/>
  <c r="AB364" i="29"/>
  <c r="T365" i="29"/>
  <c r="L366" i="29"/>
  <c r="D367" i="29"/>
  <c r="AJ367" i="29"/>
  <c r="AB368" i="29"/>
  <c r="T369" i="29"/>
  <c r="L370" i="29"/>
  <c r="D371" i="29"/>
  <c r="AJ371" i="29"/>
  <c r="AB372" i="29"/>
  <c r="T373" i="29"/>
  <c r="L374" i="29"/>
  <c r="D375" i="29"/>
  <c r="AJ375" i="29"/>
  <c r="BJ375" i="30"/>
  <c r="AB376" i="29"/>
  <c r="T377" i="29"/>
  <c r="L378" i="29"/>
  <c r="D379" i="29"/>
  <c r="AJ379" i="29"/>
  <c r="AB380" i="29"/>
  <c r="T381" i="29"/>
  <c r="L382" i="29"/>
  <c r="D383" i="29"/>
  <c r="AJ383" i="29"/>
  <c r="AB384" i="29"/>
  <c r="T385" i="29"/>
  <c r="L386" i="29"/>
  <c r="D387" i="29"/>
  <c r="AJ387" i="29"/>
  <c r="AB388" i="29"/>
  <c r="T389" i="29"/>
  <c r="L390" i="29"/>
  <c r="D391" i="29"/>
  <c r="AJ391" i="29"/>
  <c r="AB392" i="29"/>
  <c r="T393" i="29"/>
  <c r="L394" i="29"/>
  <c r="D395" i="29"/>
  <c r="AJ395" i="29"/>
  <c r="AB396" i="29"/>
  <c r="T397" i="29"/>
  <c r="L398" i="29"/>
  <c r="D399" i="29"/>
  <c r="AJ399" i="29"/>
  <c r="AB400" i="29"/>
  <c r="T401" i="29"/>
  <c r="L402" i="29"/>
  <c r="D403" i="29"/>
  <c r="AJ403" i="29"/>
  <c r="AB404" i="29"/>
  <c r="T405" i="29"/>
  <c r="BH405" i="30"/>
  <c r="L406" i="29"/>
  <c r="D407" i="29"/>
  <c r="AJ407" i="29"/>
  <c r="AB408" i="29"/>
  <c r="T409" i="29"/>
  <c r="L410" i="29"/>
  <c r="D411" i="29"/>
  <c r="AJ411" i="29"/>
  <c r="AB412" i="29"/>
  <c r="T413" i="29"/>
  <c r="L414" i="29"/>
  <c r="D415" i="29"/>
  <c r="AJ415" i="29"/>
  <c r="AB416" i="29"/>
  <c r="T417" i="29"/>
  <c r="L418" i="29"/>
  <c r="D419" i="29"/>
  <c r="AJ419" i="29"/>
  <c r="AB420" i="29"/>
  <c r="AB294" i="29"/>
  <c r="L296" i="29"/>
  <c r="D297" i="29"/>
  <c r="AJ297" i="29"/>
  <c r="AB298" i="29"/>
  <c r="T299" i="29"/>
  <c r="D301" i="29"/>
  <c r="AJ301" i="29"/>
  <c r="AB302" i="29"/>
  <c r="L304" i="29"/>
  <c r="D305" i="29"/>
  <c r="AJ305" i="29"/>
  <c r="AB306" i="29"/>
  <c r="T307" i="29"/>
  <c r="D309" i="29"/>
  <c r="AJ309" i="29"/>
  <c r="AB310" i="29"/>
  <c r="L312" i="29"/>
  <c r="D313" i="29"/>
  <c r="AB314" i="29"/>
  <c r="T315" i="29"/>
  <c r="D317" i="29"/>
  <c r="AJ317" i="29"/>
  <c r="AB318" i="29"/>
  <c r="L320" i="29"/>
  <c r="D321" i="29"/>
  <c r="AJ321" i="29"/>
  <c r="AB322" i="29"/>
  <c r="T323" i="29"/>
  <c r="D325" i="29"/>
  <c r="AJ325" i="29"/>
  <c r="AB326" i="29"/>
  <c r="L328" i="29"/>
  <c r="D329" i="29"/>
  <c r="AB330" i="29"/>
  <c r="T331" i="29"/>
  <c r="D333" i="29"/>
  <c r="AJ333" i="29"/>
  <c r="AB334" i="29"/>
  <c r="L336" i="29"/>
  <c r="D337" i="29"/>
  <c r="AJ337" i="29"/>
  <c r="AB338" i="29"/>
  <c r="T339" i="29"/>
  <c r="D341" i="29"/>
  <c r="AJ341" i="29"/>
  <c r="AB342" i="29"/>
  <c r="L344" i="29"/>
  <c r="D345" i="29"/>
  <c r="AJ345" i="29"/>
  <c r="AB346" i="29"/>
  <c r="T347" i="29"/>
  <c r="D349" i="29"/>
  <c r="AJ349" i="29"/>
  <c r="AB350" i="29"/>
  <c r="L352" i="29"/>
  <c r="D353" i="29"/>
  <c r="AJ353" i="29"/>
  <c r="AB354" i="29"/>
  <c r="T355" i="29"/>
  <c r="D357" i="29"/>
  <c r="AJ357" i="29"/>
  <c r="AB358" i="29"/>
  <c r="L360" i="29"/>
  <c r="AJ361" i="29"/>
  <c r="AB362" i="29"/>
  <c r="T363" i="29"/>
  <c r="D365" i="29"/>
  <c r="AJ365" i="29"/>
  <c r="AB366" i="29"/>
  <c r="L368" i="29"/>
  <c r="D369" i="29"/>
  <c r="AJ369" i="29"/>
  <c r="AB370" i="29"/>
  <c r="T371" i="29"/>
  <c r="D373" i="29"/>
  <c r="AJ373" i="29"/>
  <c r="AB374" i="29"/>
  <c r="L376" i="29"/>
  <c r="AB378" i="29"/>
  <c r="T379" i="29"/>
  <c r="D381" i="29"/>
  <c r="AJ381" i="29"/>
  <c r="AB382" i="29"/>
  <c r="L384" i="29"/>
  <c r="D385" i="29"/>
  <c r="AJ385" i="29"/>
  <c r="AB386" i="29"/>
  <c r="T387" i="29"/>
  <c r="D389" i="29"/>
  <c r="AJ389" i="29"/>
  <c r="AB390" i="29"/>
  <c r="L392" i="29"/>
  <c r="D393" i="29"/>
  <c r="AB394" i="29"/>
  <c r="T395" i="29"/>
  <c r="D397" i="29"/>
  <c r="AJ397" i="29"/>
  <c r="AB398" i="29"/>
  <c r="L400" i="29"/>
  <c r="D401" i="29"/>
  <c r="AJ401" i="29"/>
  <c r="AB402" i="29"/>
  <c r="T403" i="29"/>
  <c r="D405" i="29"/>
  <c r="AJ405" i="29"/>
  <c r="AB406" i="29"/>
  <c r="L408" i="29"/>
  <c r="D409" i="29"/>
  <c r="AJ409" i="29"/>
  <c r="AB410" i="29"/>
  <c r="T411" i="29"/>
  <c r="D413" i="29"/>
  <c r="AJ413" i="29"/>
  <c r="AB414" i="29"/>
  <c r="T415" i="29"/>
  <c r="L416" i="29"/>
  <c r="D417" i="29"/>
  <c r="AJ417" i="29"/>
  <c r="AB418" i="29"/>
  <c r="T419" i="29"/>
  <c r="D418" i="29"/>
  <c r="D402" i="29"/>
  <c r="D386" i="29"/>
  <c r="BG308" i="30"/>
  <c r="BG324" i="30"/>
  <c r="BG340" i="30"/>
  <c r="BG356" i="30"/>
  <c r="BG372" i="30"/>
  <c r="BG388" i="30"/>
  <c r="BG404" i="30"/>
  <c r="BG420" i="30"/>
  <c r="BH407" i="30"/>
  <c r="BJ313" i="30"/>
  <c r="D420" i="29"/>
  <c r="AJ420" i="29"/>
  <c r="AJ286" i="29"/>
  <c r="AB287" i="29"/>
  <c r="T288" i="29"/>
  <c r="BH288" i="30"/>
  <c r="L289" i="29"/>
  <c r="AJ290" i="29"/>
  <c r="AB291" i="29"/>
  <c r="T292" i="29"/>
  <c r="L293" i="29"/>
  <c r="AJ294" i="29"/>
  <c r="AB295" i="29"/>
  <c r="T296" i="29"/>
  <c r="L297" i="29"/>
  <c r="AJ298" i="29"/>
  <c r="AB299" i="29"/>
  <c r="T300" i="29"/>
  <c r="L301" i="29"/>
  <c r="AJ302" i="29"/>
  <c r="AB303" i="29"/>
  <c r="T304" i="29"/>
  <c r="BH304" i="30"/>
  <c r="L305" i="29"/>
  <c r="AJ306" i="29"/>
  <c r="AB307" i="29"/>
  <c r="T308" i="29"/>
  <c r="L309" i="29"/>
  <c r="AJ310" i="29"/>
  <c r="AB311" i="29"/>
  <c r="T312" i="29"/>
  <c r="L313" i="29"/>
  <c r="AJ314" i="29"/>
  <c r="AB315" i="29"/>
  <c r="T316" i="29"/>
  <c r="L317" i="29"/>
  <c r="AJ318" i="29"/>
  <c r="AB319" i="29"/>
  <c r="T320" i="29"/>
  <c r="L321" i="29"/>
  <c r="AJ322" i="29"/>
  <c r="AB323" i="29"/>
  <c r="T324" i="29"/>
  <c r="L325" i="29"/>
  <c r="AJ326" i="29"/>
  <c r="AB327" i="29"/>
  <c r="T328" i="29"/>
  <c r="L329" i="29"/>
  <c r="AJ330" i="29"/>
  <c r="AB331" i="29"/>
  <c r="T332" i="29"/>
  <c r="L333" i="29"/>
  <c r="AJ334" i="29"/>
  <c r="AB335" i="29"/>
  <c r="T336" i="29"/>
  <c r="L337" i="29"/>
  <c r="AJ338" i="29"/>
  <c r="AB339" i="29"/>
  <c r="T340" i="29"/>
  <c r="L341" i="29"/>
  <c r="AJ342" i="29"/>
  <c r="AB343" i="29"/>
  <c r="T344" i="29"/>
  <c r="L345" i="29"/>
  <c r="AJ346" i="29"/>
  <c r="AB347" i="29"/>
  <c r="T348" i="29"/>
  <c r="L349" i="29"/>
  <c r="AJ350" i="29"/>
  <c r="AB351" i="29"/>
  <c r="T352" i="29"/>
  <c r="L353" i="29"/>
  <c r="AJ354" i="29"/>
  <c r="AB355" i="29"/>
  <c r="T356" i="29"/>
  <c r="L357" i="29"/>
  <c r="AJ358" i="29"/>
  <c r="AB359" i="29"/>
  <c r="T360" i="29"/>
  <c r="L361" i="29"/>
  <c r="AJ362" i="29"/>
  <c r="AB363" i="29"/>
  <c r="T364" i="29"/>
  <c r="L365" i="29"/>
  <c r="AJ366" i="29"/>
  <c r="AB367" i="29"/>
  <c r="T368" i="29"/>
  <c r="L369" i="29"/>
  <c r="AJ370" i="29"/>
  <c r="AB371" i="29"/>
  <c r="T372" i="29"/>
  <c r="L373" i="29"/>
  <c r="AJ374" i="29"/>
  <c r="AB375" i="29"/>
  <c r="T376" i="29"/>
  <c r="BH376" i="30"/>
  <c r="L377" i="29"/>
  <c r="AJ378" i="29"/>
  <c r="AB379" i="29"/>
  <c r="T380" i="29"/>
  <c r="L381" i="29"/>
  <c r="AJ382" i="29"/>
  <c r="AB383" i="29"/>
  <c r="T384" i="29"/>
  <c r="L385" i="29"/>
  <c r="AJ386" i="29"/>
  <c r="AB387" i="29"/>
  <c r="T388" i="29"/>
  <c r="L389" i="29"/>
  <c r="AJ390" i="29"/>
  <c r="AB391" i="29"/>
  <c r="T392" i="29"/>
  <c r="L393" i="29"/>
  <c r="AJ394" i="29"/>
  <c r="AB395" i="29"/>
  <c r="T396" i="29"/>
  <c r="L397" i="29"/>
  <c r="AJ398" i="29"/>
  <c r="AB399" i="29"/>
  <c r="T400" i="29"/>
  <c r="L401" i="29"/>
  <c r="AJ402" i="29"/>
  <c r="AB403" i="29"/>
  <c r="T404" i="29"/>
  <c r="L405" i="29"/>
  <c r="AJ406" i="29"/>
  <c r="AB407" i="29"/>
  <c r="T408" i="29"/>
  <c r="L409" i="29"/>
  <c r="AJ410" i="29"/>
  <c r="AB411" i="29"/>
  <c r="T412" i="29"/>
  <c r="L413" i="29"/>
  <c r="AJ414" i="29"/>
  <c r="AB415" i="29"/>
  <c r="T416" i="29"/>
  <c r="L417" i="29"/>
  <c r="AJ418" i="29"/>
  <c r="AB419" i="29"/>
  <c r="T420" i="29"/>
  <c r="BH303" i="30"/>
  <c r="BH319" i="30"/>
  <c r="BH335" i="30"/>
  <c r="BH351" i="30"/>
  <c r="BH367" i="30"/>
  <c r="BH383" i="30"/>
  <c r="BH399" i="30"/>
  <c r="BJ393" i="30"/>
  <c r="AF115" i="30" l="1"/>
  <c r="AF137" i="30"/>
  <c r="AF98" i="30"/>
  <c r="AF101" i="30"/>
  <c r="AF135" i="30"/>
  <c r="AF133" i="30"/>
  <c r="AF139" i="30"/>
  <c r="AF120" i="30"/>
  <c r="AF129" i="30"/>
  <c r="AF103" i="30"/>
  <c r="AF130" i="30"/>
  <c r="AF105" i="30"/>
  <c r="AF121" i="30"/>
  <c r="AF125" i="30"/>
  <c r="AF122" i="30"/>
  <c r="AF104" i="30"/>
  <c r="AF114" i="30"/>
  <c r="AF112" i="30"/>
  <c r="AF102" i="30"/>
  <c r="AF140" i="30"/>
  <c r="AF134" i="30"/>
  <c r="AF132" i="30"/>
  <c r="AF119" i="30"/>
  <c r="AF106" i="30"/>
  <c r="AF128" i="30"/>
  <c r="AF111" i="30"/>
  <c r="AF126" i="30"/>
  <c r="AF107" i="30"/>
  <c r="AF108" i="30"/>
  <c r="AH82" i="30"/>
  <c r="AH63" i="30"/>
  <c r="AH62" i="30"/>
  <c r="AH61" i="30"/>
  <c r="AH60" i="30"/>
  <c r="AH57" i="30"/>
  <c r="AH58" i="30"/>
  <c r="AH64" i="30"/>
  <c r="AH59" i="30"/>
  <c r="AH79" i="30"/>
  <c r="AH81" i="30"/>
  <c r="AH78" i="30"/>
  <c r="AH77" i="30"/>
  <c r="AH76" i="30"/>
  <c r="AH75" i="30"/>
  <c r="AH74" i="30"/>
  <c r="AH80" i="30"/>
  <c r="AH90" i="30"/>
  <c r="AH91" i="30"/>
  <c r="AH89" i="30"/>
  <c r="AH93" i="30"/>
  <c r="AH92" i="30"/>
  <c r="AH94" i="30"/>
  <c r="AH95" i="30"/>
  <c r="AH83" i="30"/>
  <c r="AH84" i="30"/>
  <c r="AH88" i="30"/>
  <c r="AH85" i="30"/>
  <c r="AH86" i="30"/>
  <c r="AH87" i="30"/>
  <c r="BG355" i="30"/>
  <c r="BI273" i="30"/>
  <c r="BJ388" i="30"/>
  <c r="BI286" i="30"/>
  <c r="BI254" i="30"/>
  <c r="BG341" i="30"/>
  <c r="BG309" i="30"/>
  <c r="BH358" i="30"/>
  <c r="BJ276" i="30"/>
  <c r="BG373" i="30"/>
  <c r="BJ357" i="30"/>
  <c r="BH137" i="30"/>
  <c r="BJ115" i="30"/>
  <c r="BH97" i="30"/>
  <c r="BG339" i="30"/>
  <c r="BH57" i="30"/>
  <c r="BH14" i="30"/>
  <c r="BH267" i="30"/>
  <c r="BI149" i="30"/>
  <c r="BI117" i="30"/>
  <c r="BI85" i="30"/>
  <c r="BI51" i="30"/>
  <c r="BI18" i="30"/>
  <c r="BG405" i="30"/>
  <c r="BJ401" i="30"/>
  <c r="BI366" i="30"/>
  <c r="BH299" i="30"/>
  <c r="BJ405" i="30"/>
  <c r="BG295" i="30"/>
  <c r="BJ252" i="30"/>
  <c r="BH73" i="30"/>
  <c r="BI270" i="30"/>
  <c r="BJ409" i="30"/>
  <c r="BJ380" i="30"/>
  <c r="BH145" i="30"/>
  <c r="BH129" i="30"/>
  <c r="BI124" i="30"/>
  <c r="BH113" i="30"/>
  <c r="BI108" i="30"/>
  <c r="BI374" i="30"/>
  <c r="BH307" i="30"/>
  <c r="BJ413" i="30"/>
  <c r="BJ341" i="30"/>
  <c r="BJ412" i="30"/>
  <c r="BJ300" i="30"/>
  <c r="BH246" i="30"/>
  <c r="BH30" i="30"/>
  <c r="BJ420" i="30"/>
  <c r="BJ395" i="30"/>
  <c r="BI392" i="30"/>
  <c r="BH373" i="30"/>
  <c r="BJ363" i="30"/>
  <c r="BJ331" i="30"/>
  <c r="BJ299" i="30"/>
  <c r="BG77" i="30"/>
  <c r="BI44" i="30"/>
  <c r="BI36" i="30"/>
  <c r="BI28" i="30"/>
  <c r="BI20" i="30"/>
  <c r="BI12" i="30"/>
  <c r="BJ282" i="30"/>
  <c r="BI279" i="30"/>
  <c r="BJ266" i="30"/>
  <c r="BI263" i="30"/>
  <c r="BJ250" i="30"/>
  <c r="BI247" i="30"/>
  <c r="BH159" i="30"/>
  <c r="BI146" i="30"/>
  <c r="BI130" i="30"/>
  <c r="BH127" i="30"/>
  <c r="BI114" i="30"/>
  <c r="BH111" i="30"/>
  <c r="BI98" i="30"/>
  <c r="BI82" i="30"/>
  <c r="BH79" i="30"/>
  <c r="BI66" i="30"/>
  <c r="BI47" i="30"/>
  <c r="BI31" i="30"/>
  <c r="BJ18" i="30"/>
  <c r="BI15" i="30"/>
  <c r="BJ244" i="30"/>
  <c r="BI148" i="30"/>
  <c r="BH46" i="30"/>
  <c r="BH38" i="30"/>
  <c r="BI29" i="30"/>
  <c r="BH419" i="30"/>
  <c r="BH323" i="30"/>
  <c r="BH315" i="30"/>
  <c r="BI302" i="30"/>
  <c r="BI294" i="30"/>
  <c r="BG347" i="30"/>
  <c r="BG331" i="30"/>
  <c r="BJ316" i="30"/>
  <c r="BH294" i="30"/>
  <c r="BJ284" i="30"/>
  <c r="BI281" i="30"/>
  <c r="BG263" i="30"/>
  <c r="BI92" i="30"/>
  <c r="BJ372" i="30"/>
  <c r="BI353" i="30"/>
  <c r="BJ348" i="30"/>
  <c r="BJ123" i="30"/>
  <c r="BI100" i="30"/>
  <c r="BH387" i="30"/>
  <c r="BH379" i="30"/>
  <c r="BI310" i="30"/>
  <c r="BG415" i="30"/>
  <c r="BI420" i="30"/>
  <c r="BI404" i="30"/>
  <c r="BI388" i="30"/>
  <c r="BH385" i="30"/>
  <c r="BI372" i="30"/>
  <c r="BI356" i="30"/>
  <c r="BI340" i="30"/>
  <c r="BI324" i="30"/>
  <c r="BI308" i="30"/>
  <c r="BH305" i="30"/>
  <c r="BI292" i="30"/>
  <c r="BH289" i="30"/>
  <c r="BI276" i="30"/>
  <c r="BI260" i="30"/>
  <c r="BI244" i="30"/>
  <c r="BI159" i="30"/>
  <c r="BH156" i="30"/>
  <c r="BJ146" i="30"/>
  <c r="BI143" i="30"/>
  <c r="BH140" i="30"/>
  <c r="BJ130" i="30"/>
  <c r="BI127" i="30"/>
  <c r="BH124" i="30"/>
  <c r="BJ114" i="30"/>
  <c r="BI111" i="30"/>
  <c r="BH108" i="30"/>
  <c r="BJ98" i="30"/>
  <c r="BI95" i="30"/>
  <c r="BH92" i="30"/>
  <c r="BJ82" i="30"/>
  <c r="BI79" i="30"/>
  <c r="BH76" i="30"/>
  <c r="BJ66" i="30"/>
  <c r="BI63" i="30"/>
  <c r="BH60" i="30"/>
  <c r="BJ47" i="30"/>
  <c r="BJ31" i="30"/>
  <c r="BI158" i="30"/>
  <c r="BI142" i="30"/>
  <c r="BI126" i="30"/>
  <c r="BI110" i="30"/>
  <c r="BI94" i="30"/>
  <c r="BI78" i="30"/>
  <c r="BI62" i="30"/>
  <c r="BI43" i="30"/>
  <c r="BI27" i="30"/>
  <c r="BI11" i="30"/>
  <c r="BH153" i="30"/>
  <c r="BG122" i="30"/>
  <c r="BI116" i="30"/>
  <c r="BH89" i="30"/>
  <c r="BI68" i="30"/>
  <c r="BI391" i="30"/>
  <c r="BI311" i="30"/>
  <c r="BI303" i="30"/>
  <c r="BI287" i="30"/>
  <c r="BH415" i="30"/>
  <c r="BH411" i="30"/>
  <c r="BH403" i="30"/>
  <c r="BH395" i="30"/>
  <c r="BI382" i="30"/>
  <c r="BH355" i="30"/>
  <c r="BH347" i="30"/>
  <c r="BH339" i="30"/>
  <c r="BH331" i="30"/>
  <c r="BH414" i="30"/>
  <c r="BH382" i="30"/>
  <c r="BG375" i="30"/>
  <c r="BJ364" i="30"/>
  <c r="BJ356" i="30"/>
  <c r="BG319" i="30"/>
  <c r="BJ308" i="30"/>
  <c r="BG287" i="30"/>
  <c r="BJ268" i="30"/>
  <c r="BI265" i="30"/>
  <c r="BH262" i="30"/>
  <c r="BI257" i="30"/>
  <c r="BH254" i="30"/>
  <c r="BI41" i="30"/>
  <c r="BJ396" i="30"/>
  <c r="BJ340" i="30"/>
  <c r="BJ324" i="30"/>
  <c r="BH278" i="30"/>
  <c r="BI156" i="30"/>
  <c r="BH121" i="30"/>
  <c r="BH105" i="30"/>
  <c r="BJ91" i="30"/>
  <c r="BH81" i="30"/>
  <c r="BI76" i="30"/>
  <c r="BH65" i="30"/>
  <c r="BI60" i="30"/>
  <c r="BI33" i="30"/>
  <c r="BH22" i="30"/>
  <c r="BI17" i="30"/>
  <c r="BH291" i="30"/>
  <c r="BI278" i="30"/>
  <c r="BH275" i="30"/>
  <c r="BI262" i="30"/>
  <c r="BH259" i="30"/>
  <c r="BI246" i="30"/>
  <c r="BH243" i="30"/>
  <c r="BI157" i="30"/>
  <c r="BI141" i="30"/>
  <c r="BI125" i="30"/>
  <c r="BI109" i="30"/>
  <c r="BI93" i="30"/>
  <c r="BI77" i="30"/>
  <c r="BI61" i="30"/>
  <c r="BI42" i="30"/>
  <c r="BI26" i="30"/>
  <c r="BI10" i="30"/>
  <c r="BI379" i="30"/>
  <c r="BI339" i="30"/>
  <c r="BI295" i="30"/>
  <c r="BI390" i="30"/>
  <c r="BI326" i="30"/>
  <c r="BI318" i="30"/>
  <c r="BI368" i="30"/>
  <c r="BH365" i="30"/>
  <c r="BI336" i="30"/>
  <c r="BI304" i="30"/>
  <c r="BG133" i="30"/>
  <c r="BG117" i="30"/>
  <c r="BG51" i="30"/>
  <c r="BG42" i="30"/>
  <c r="BG26" i="30"/>
  <c r="BI271" i="30"/>
  <c r="BI255" i="30"/>
  <c r="BI154" i="30"/>
  <c r="BI138" i="30"/>
  <c r="BH135" i="30"/>
  <c r="BI122" i="30"/>
  <c r="BH119" i="30"/>
  <c r="BI106" i="30"/>
  <c r="BI90" i="30"/>
  <c r="BI74" i="30"/>
  <c r="BH71" i="30"/>
  <c r="BI58" i="30"/>
  <c r="BI39" i="30"/>
  <c r="BG33" i="30"/>
  <c r="BI23" i="30"/>
  <c r="BG17" i="30"/>
  <c r="BI249" i="30"/>
  <c r="BI140" i="30"/>
  <c r="BJ67" i="30"/>
  <c r="BI49" i="30"/>
  <c r="BJ402" i="30"/>
  <c r="BJ314" i="30"/>
  <c r="BJ417" i="30"/>
  <c r="BI398" i="30"/>
  <c r="BH371" i="30"/>
  <c r="BH363" i="30"/>
  <c r="BI350" i="30"/>
  <c r="BI342" i="30"/>
  <c r="BI334" i="30"/>
  <c r="BJ325" i="30"/>
  <c r="BJ321" i="30"/>
  <c r="BJ332" i="30"/>
  <c r="BH326" i="30"/>
  <c r="BI321" i="30"/>
  <c r="BJ292" i="30"/>
  <c r="BI289" i="30"/>
  <c r="BH286" i="30"/>
  <c r="BI25" i="30"/>
  <c r="BJ260" i="30"/>
  <c r="BI84" i="30"/>
  <c r="BJ261" i="30"/>
  <c r="BJ245" i="30"/>
  <c r="BI89" i="30"/>
  <c r="BH35" i="30"/>
  <c r="BH19" i="30"/>
  <c r="BI395" i="30"/>
  <c r="BI383" i="30"/>
  <c r="BI371" i="30"/>
  <c r="BJ346" i="30"/>
  <c r="BI414" i="30"/>
  <c r="BI406" i="30"/>
  <c r="BI358" i="30"/>
  <c r="BJ404" i="30"/>
  <c r="BI412" i="30"/>
  <c r="BI396" i="30"/>
  <c r="BI380" i="30"/>
  <c r="BI364" i="30"/>
  <c r="BI348" i="30"/>
  <c r="BI332" i="30"/>
  <c r="BI316" i="30"/>
  <c r="BH313" i="30"/>
  <c r="BI300" i="30"/>
  <c r="BI284" i="30"/>
  <c r="BI268" i="30"/>
  <c r="BH265" i="30"/>
  <c r="BI252" i="30"/>
  <c r="BJ154" i="30"/>
  <c r="BI151" i="30"/>
  <c r="BH148" i="30"/>
  <c r="BJ138" i="30"/>
  <c r="BI135" i="30"/>
  <c r="BH132" i="30"/>
  <c r="BJ122" i="30"/>
  <c r="BI119" i="30"/>
  <c r="BH116" i="30"/>
  <c r="BJ106" i="30"/>
  <c r="BI103" i="30"/>
  <c r="BH100" i="30"/>
  <c r="BJ90" i="30"/>
  <c r="BI87" i="30"/>
  <c r="BH84" i="30"/>
  <c r="BJ74" i="30"/>
  <c r="BI71" i="30"/>
  <c r="BH68" i="30"/>
  <c r="BJ58" i="30"/>
  <c r="BI55" i="30"/>
  <c r="BH49" i="30"/>
  <c r="BH41" i="30"/>
  <c r="BH33" i="30"/>
  <c r="BH25" i="30"/>
  <c r="BH17" i="30"/>
  <c r="BI150" i="30"/>
  <c r="BI134" i="30"/>
  <c r="BI118" i="30"/>
  <c r="BI102" i="30"/>
  <c r="BI86" i="30"/>
  <c r="BI70" i="30"/>
  <c r="BI54" i="30"/>
  <c r="BI35" i="30"/>
  <c r="BI19" i="30"/>
  <c r="BI245" i="30"/>
  <c r="BI132" i="30"/>
  <c r="BJ59" i="30"/>
  <c r="BG47" i="30"/>
  <c r="AL49" i="30" l="1"/>
  <c r="AK11" i="35" l="1"/>
  <c r="AK10" i="35"/>
  <c r="AK9" i="35"/>
  <c r="AK8" i="35"/>
  <c r="AK7" i="35"/>
  <c r="AK6" i="35"/>
  <c r="AK5" i="35"/>
  <c r="AK4" i="35"/>
  <c r="AK3" i="35"/>
  <c r="AJ11" i="35"/>
  <c r="AJ10" i="35"/>
  <c r="AJ9" i="35"/>
  <c r="AJ8" i="35"/>
  <c r="AJ7" i="35"/>
  <c r="AJ6" i="35"/>
  <c r="AJ5" i="35"/>
  <c r="AJ4" i="35"/>
  <c r="AJ3" i="35"/>
  <c r="AK21" i="35"/>
  <c r="AK20" i="35"/>
  <c r="AK19" i="35"/>
  <c r="AK18" i="35"/>
  <c r="AK17" i="35"/>
  <c r="AK16" i="35"/>
  <c r="AK15" i="35"/>
  <c r="AK14" i="35"/>
  <c r="AK13" i="35"/>
  <c r="AJ21" i="35"/>
  <c r="AJ20" i="35"/>
  <c r="AJ19" i="35"/>
  <c r="AJ18" i="35"/>
  <c r="AJ17" i="35"/>
  <c r="AJ16" i="35"/>
  <c r="AJ15" i="35"/>
  <c r="AJ14" i="35"/>
  <c r="AJ13" i="35"/>
  <c r="AK31" i="35"/>
  <c r="AK30" i="35"/>
  <c r="AK29" i="35"/>
  <c r="AK28" i="35"/>
  <c r="AK27" i="35"/>
  <c r="AK26" i="35"/>
  <c r="AK25" i="35"/>
  <c r="AK24" i="35"/>
  <c r="AK23" i="35"/>
  <c r="AJ31" i="35"/>
  <c r="AJ30" i="35"/>
  <c r="AJ29" i="35"/>
  <c r="AJ28" i="35"/>
  <c r="AJ26" i="35"/>
  <c r="AJ27" i="35"/>
  <c r="AJ25" i="35"/>
  <c r="AJ24" i="35"/>
  <c r="AJ23" i="35"/>
  <c r="AK4" i="34"/>
  <c r="AK26" i="34"/>
  <c r="AJ15" i="34"/>
  <c r="AJ4" i="34"/>
  <c r="AJ26" i="34"/>
  <c r="AK15" i="34"/>
  <c r="AK12" i="34"/>
  <c r="AK11" i="34"/>
  <c r="AK10" i="34"/>
  <c r="AK9" i="34"/>
  <c r="AK8" i="34"/>
  <c r="AK7" i="34"/>
  <c r="AK6" i="34"/>
  <c r="AK5" i="34"/>
  <c r="AK34" i="34"/>
  <c r="AK33" i="34"/>
  <c r="AK32" i="34"/>
  <c r="AK31" i="34"/>
  <c r="AK30" i="34"/>
  <c r="AK29" i="34"/>
  <c r="AK28" i="34"/>
  <c r="AK27" i="34"/>
  <c r="AJ12" i="34"/>
  <c r="AJ11" i="34"/>
  <c r="AJ10" i="34"/>
  <c r="AJ9" i="34"/>
  <c r="AJ8" i="34"/>
  <c r="AJ7" i="34"/>
  <c r="AJ6" i="34"/>
  <c r="AJ5" i="34"/>
  <c r="AJ34" i="34"/>
  <c r="AJ33" i="34"/>
  <c r="AJ32" i="34"/>
  <c r="AJ31" i="34"/>
  <c r="AJ30" i="34"/>
  <c r="AJ29" i="34"/>
  <c r="AJ28" i="34"/>
  <c r="AJ27" i="34"/>
  <c r="AJ23" i="34"/>
  <c r="AJ22" i="34"/>
  <c r="AJ21" i="34"/>
  <c r="AJ20" i="34"/>
  <c r="AJ19" i="34"/>
  <c r="AJ18" i="34"/>
  <c r="AJ17" i="34"/>
  <c r="AJ16" i="34"/>
  <c r="AK23" i="34"/>
  <c r="AK22" i="34"/>
  <c r="AK21" i="34"/>
  <c r="AK20" i="34"/>
  <c r="AK19" i="34"/>
  <c r="AK18" i="34"/>
  <c r="AK17" i="34"/>
  <c r="AK16" i="34"/>
  <c r="AJ26" i="26"/>
  <c r="AJ25" i="26"/>
  <c r="AJ24" i="26"/>
  <c r="AJ23" i="26"/>
  <c r="AJ22" i="26"/>
  <c r="AJ21" i="26"/>
  <c r="AJ20" i="26"/>
  <c r="AJ19" i="26"/>
  <c r="AJ18" i="26"/>
  <c r="AJ17" i="26"/>
  <c r="AJ16" i="26"/>
  <c r="AJ15" i="26"/>
  <c r="AJ14" i="26"/>
  <c r="AJ13" i="26"/>
  <c r="AJ12" i="26"/>
  <c r="AJ11" i="26"/>
  <c r="AJ10" i="26"/>
  <c r="AJ9" i="26"/>
  <c r="AJ8" i="26"/>
  <c r="AJ7" i="26"/>
  <c r="AJ6" i="26"/>
  <c r="AJ5" i="26"/>
  <c r="AJ4" i="26"/>
  <c r="AJ3" i="26"/>
  <c r="AJ2" i="26"/>
  <c r="X26" i="26"/>
  <c r="X25" i="26"/>
  <c r="X24" i="26"/>
  <c r="X23" i="26"/>
  <c r="X22" i="26"/>
  <c r="X21" i="26"/>
  <c r="X20" i="26"/>
  <c r="X19" i="26"/>
  <c r="X18" i="26"/>
  <c r="X17" i="26"/>
  <c r="X16" i="26"/>
  <c r="X15" i="26"/>
  <c r="X14" i="26"/>
  <c r="X13" i="26"/>
  <c r="X12" i="26"/>
  <c r="X11" i="26"/>
  <c r="X10" i="26"/>
  <c r="X9" i="26"/>
  <c r="X8" i="26"/>
  <c r="X7" i="26"/>
  <c r="X6" i="26"/>
  <c r="X5" i="26"/>
  <c r="X4" i="26"/>
  <c r="X3" i="26"/>
  <c r="X2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L8" i="26"/>
  <c r="L7" i="26"/>
  <c r="L6" i="26"/>
  <c r="L5" i="26"/>
  <c r="L4" i="26"/>
  <c r="L3" i="26"/>
  <c r="L2" i="26"/>
  <c r="AJ33" i="35" l="1"/>
  <c r="AJ37" i="35"/>
  <c r="AJ41" i="35"/>
  <c r="AK36" i="35"/>
  <c r="AK40" i="35"/>
  <c r="AJ34" i="35"/>
  <c r="AJ38" i="35"/>
  <c r="AK33" i="35"/>
  <c r="AK37" i="35"/>
  <c r="AK41" i="35"/>
  <c r="AJ35" i="35"/>
  <c r="AJ39" i="35"/>
  <c r="AK34" i="35"/>
  <c r="AK38" i="35"/>
  <c r="AJ36" i="35"/>
  <c r="AJ40" i="35"/>
  <c r="AK35" i="35"/>
  <c r="AK39" i="35"/>
  <c r="AJ40" i="34"/>
  <c r="AJ44" i="34"/>
  <c r="AK40" i="34"/>
  <c r="AK44" i="34"/>
  <c r="AJ37" i="34"/>
  <c r="AK45" i="34"/>
  <c r="AJ38" i="34"/>
  <c r="AJ42" i="34"/>
  <c r="AK38" i="34"/>
  <c r="AK42" i="34"/>
  <c r="AK37" i="34"/>
  <c r="AJ41" i="34"/>
  <c r="AJ45" i="34"/>
  <c r="AK41" i="34"/>
  <c r="AJ39" i="34"/>
  <c r="AJ43" i="34"/>
  <c r="AK39" i="34"/>
  <c r="AK43" i="34"/>
  <c r="AH11" i="35"/>
  <c r="AH10" i="35"/>
  <c r="AH9" i="35"/>
  <c r="AH8" i="35"/>
  <c r="AH7" i="35"/>
  <c r="AH6" i="35"/>
  <c r="AH5" i="35"/>
  <c r="AH4" i="35"/>
  <c r="AH3" i="35"/>
  <c r="AG11" i="35"/>
  <c r="AG10" i="35"/>
  <c r="AG9" i="35"/>
  <c r="AG8" i="35"/>
  <c r="AG7" i="35"/>
  <c r="AG6" i="35"/>
  <c r="AG5" i="35"/>
  <c r="AG4" i="35"/>
  <c r="AG3" i="35"/>
  <c r="AI21" i="35"/>
  <c r="AI20" i="35"/>
  <c r="AI19" i="35"/>
  <c r="AI18" i="35"/>
  <c r="AI17" i="35"/>
  <c r="AI16" i="35"/>
  <c r="AI15" i="35"/>
  <c r="AI14" i="35"/>
  <c r="AI13" i="35"/>
  <c r="AH21" i="35"/>
  <c r="AH20" i="35"/>
  <c r="AH19" i="35"/>
  <c r="AH18" i="35"/>
  <c r="AH17" i="35"/>
  <c r="AH16" i="35"/>
  <c r="AH15" i="35"/>
  <c r="AH14" i="35"/>
  <c r="AH13" i="35"/>
  <c r="AG21" i="35"/>
  <c r="AG20" i="35"/>
  <c r="AG19" i="35"/>
  <c r="AG18" i="35"/>
  <c r="AG17" i="35"/>
  <c r="AG16" i="35"/>
  <c r="AG15" i="35"/>
  <c r="AG14" i="35"/>
  <c r="AG13" i="35"/>
  <c r="AH31" i="35"/>
  <c r="AH29" i="35"/>
  <c r="AH30" i="35"/>
  <c r="AH28" i="35"/>
  <c r="AH26" i="35"/>
  <c r="AH27" i="35"/>
  <c r="AH25" i="35"/>
  <c r="AH24" i="35"/>
  <c r="AH23" i="35"/>
  <c r="AI11" i="35"/>
  <c r="AI10" i="35"/>
  <c r="AI9" i="35"/>
  <c r="AI8" i="35"/>
  <c r="AI7" i="35"/>
  <c r="AI6" i="35"/>
  <c r="AI5" i="35"/>
  <c r="AI4" i="35"/>
  <c r="AI3" i="35"/>
  <c r="AI31" i="35"/>
  <c r="AI30" i="35"/>
  <c r="AI29" i="35"/>
  <c r="AI28" i="35"/>
  <c r="AI26" i="35"/>
  <c r="AI27" i="35"/>
  <c r="AI25" i="35"/>
  <c r="AI24" i="35"/>
  <c r="AI23" i="35"/>
  <c r="AG31" i="35"/>
  <c r="AG29" i="35"/>
  <c r="AG30" i="35"/>
  <c r="AG28" i="35"/>
  <c r="AG27" i="35"/>
  <c r="AG26" i="35"/>
  <c r="AG25" i="35"/>
  <c r="AG24" i="35"/>
  <c r="AG23" i="35"/>
  <c r="AH4" i="34"/>
  <c r="AH26" i="34"/>
  <c r="AH15" i="34"/>
  <c r="AI4" i="34"/>
  <c r="AI26" i="34"/>
  <c r="AG15" i="34"/>
  <c r="AG4" i="34"/>
  <c r="AG26" i="34"/>
  <c r="AI15" i="34"/>
  <c r="AI12" i="34"/>
  <c r="AI11" i="34"/>
  <c r="AI10" i="34"/>
  <c r="AI9" i="34"/>
  <c r="AI8" i="34"/>
  <c r="AI7" i="34"/>
  <c r="AI6" i="34"/>
  <c r="AI5" i="34"/>
  <c r="AI34" i="34"/>
  <c r="AI33" i="34"/>
  <c r="AI32" i="34"/>
  <c r="AI31" i="34"/>
  <c r="AI30" i="34"/>
  <c r="AI29" i="34"/>
  <c r="AI28" i="34"/>
  <c r="AI27" i="34"/>
  <c r="AG23" i="34"/>
  <c r="AG22" i="34"/>
  <c r="AG21" i="34"/>
  <c r="AG20" i="34"/>
  <c r="AG19" i="34"/>
  <c r="AG18" i="34"/>
  <c r="AG17" i="34"/>
  <c r="AG16" i="34"/>
  <c r="AH12" i="34"/>
  <c r="AH11" i="34"/>
  <c r="AH10" i="34"/>
  <c r="AH9" i="34"/>
  <c r="AH8" i="34"/>
  <c r="AH7" i="34"/>
  <c r="AH6" i="34"/>
  <c r="AH5" i="34"/>
  <c r="AH34" i="34"/>
  <c r="AH33" i="34"/>
  <c r="AH32" i="34"/>
  <c r="AH31" i="34"/>
  <c r="AH30" i="34"/>
  <c r="AH29" i="34"/>
  <c r="AH28" i="34"/>
  <c r="AH27" i="34"/>
  <c r="AH23" i="34"/>
  <c r="AH22" i="34"/>
  <c r="AH21" i="34"/>
  <c r="AH20" i="34"/>
  <c r="AH19" i="34"/>
  <c r="AH18" i="34"/>
  <c r="AH17" i="34"/>
  <c r="AH16" i="34"/>
  <c r="AG12" i="34"/>
  <c r="AQ12" i="34" s="1"/>
  <c r="AG11" i="34"/>
  <c r="AG10" i="34"/>
  <c r="AQ10" i="34" s="1"/>
  <c r="AG9" i="34"/>
  <c r="AG8" i="34"/>
  <c r="AQ8" i="34" s="1"/>
  <c r="AG7" i="34"/>
  <c r="AQ7" i="34" s="1"/>
  <c r="AG6" i="34"/>
  <c r="AG5" i="34"/>
  <c r="AG34" i="34"/>
  <c r="AG33" i="34"/>
  <c r="AG32" i="34"/>
  <c r="AG31" i="34"/>
  <c r="AG30" i="34"/>
  <c r="AG29" i="34"/>
  <c r="AG28" i="34"/>
  <c r="AG27" i="34"/>
  <c r="AI23" i="34"/>
  <c r="AI22" i="34"/>
  <c r="AI21" i="34"/>
  <c r="AI20" i="34"/>
  <c r="AI19" i="34"/>
  <c r="AI18" i="34"/>
  <c r="AI17" i="34"/>
  <c r="AI16" i="34"/>
  <c r="AQ34" i="34" l="1"/>
  <c r="AQ6" i="34"/>
  <c r="AQ9" i="34"/>
  <c r="AQ32" i="34"/>
  <c r="AQ11" i="34"/>
  <c r="AQ27" i="34"/>
  <c r="AQ5" i="34"/>
  <c r="AQ33" i="34"/>
  <c r="AQ28" i="34"/>
  <c r="AQ31" i="34"/>
  <c r="AQ30" i="34"/>
  <c r="AQ27" i="35"/>
  <c r="AQ28" i="35"/>
  <c r="AQ29" i="34"/>
  <c r="AQ18" i="35"/>
  <c r="AQ15" i="35"/>
  <c r="AQ25" i="35"/>
  <c r="AQ19" i="35"/>
  <c r="AQ23" i="35"/>
  <c r="AQ31" i="35"/>
  <c r="AQ13" i="35"/>
  <c r="AQ21" i="35"/>
  <c r="AQ4" i="34"/>
  <c r="AQ4" i="35"/>
  <c r="AQ30" i="35"/>
  <c r="AQ29" i="35"/>
  <c r="AQ20" i="35"/>
  <c r="AQ26" i="34"/>
  <c r="AQ20" i="34"/>
  <c r="AQ26" i="35"/>
  <c r="AQ16" i="35"/>
  <c r="AQ10" i="35"/>
  <c r="AQ21" i="34"/>
  <c r="AQ17" i="35"/>
  <c r="AQ3" i="35"/>
  <c r="AQ11" i="35"/>
  <c r="AQ22" i="34"/>
  <c r="AQ23" i="34"/>
  <c r="AQ5" i="35"/>
  <c r="AQ16" i="34"/>
  <c r="AQ6" i="35"/>
  <c r="AQ17" i="34"/>
  <c r="AQ7" i="35"/>
  <c r="AQ18" i="34"/>
  <c r="AQ24" i="35"/>
  <c r="AQ14" i="35"/>
  <c r="AQ8" i="35"/>
  <c r="AQ19" i="34"/>
  <c r="AQ15" i="34"/>
  <c r="AQ9" i="35"/>
  <c r="AI34" i="35"/>
  <c r="AI38" i="35"/>
  <c r="AG33" i="35"/>
  <c r="AG37" i="35"/>
  <c r="AG41" i="35"/>
  <c r="AH36" i="35"/>
  <c r="AH40" i="35"/>
  <c r="AI35" i="35"/>
  <c r="AI39" i="35"/>
  <c r="AG34" i="35"/>
  <c r="AG38" i="35"/>
  <c r="AH33" i="35"/>
  <c r="AH37" i="35"/>
  <c r="AH41" i="35"/>
  <c r="AI36" i="35"/>
  <c r="AI40" i="35"/>
  <c r="AG35" i="35"/>
  <c r="AG39" i="35"/>
  <c r="AH34" i="35"/>
  <c r="AH38" i="35"/>
  <c r="AI37" i="34"/>
  <c r="AI33" i="35"/>
  <c r="AI37" i="35"/>
  <c r="AI41" i="35"/>
  <c r="AG36" i="35"/>
  <c r="AG40" i="35"/>
  <c r="AH35" i="35"/>
  <c r="AH39" i="35"/>
  <c r="AH37" i="34"/>
  <c r="AG39" i="34"/>
  <c r="AH39" i="34"/>
  <c r="AI39" i="34"/>
  <c r="AG38" i="34"/>
  <c r="AG42" i="34"/>
  <c r="AH38" i="34"/>
  <c r="AH42" i="34"/>
  <c r="AI38" i="34"/>
  <c r="AI42" i="34"/>
  <c r="AG43" i="34"/>
  <c r="AH43" i="34"/>
  <c r="AG40" i="34"/>
  <c r="AG44" i="34"/>
  <c r="AH40" i="34"/>
  <c r="AH44" i="34"/>
  <c r="AI40" i="34"/>
  <c r="AI44" i="34"/>
  <c r="AG37" i="34"/>
  <c r="AI43" i="34"/>
  <c r="AG41" i="34"/>
  <c r="AG45" i="34"/>
  <c r="AH41" i="34"/>
  <c r="AH45" i="34"/>
  <c r="AI41" i="34"/>
  <c r="AI45" i="34"/>
  <c r="BC7" i="35" l="1"/>
  <c r="BC18" i="34"/>
  <c r="BC15" i="34"/>
  <c r="BC27" i="34"/>
  <c r="BC8" i="34"/>
  <c r="BC13" i="35"/>
  <c r="BC15" i="35"/>
  <c r="BC22" i="34"/>
  <c r="BC29" i="34"/>
  <c r="BC29" i="35"/>
  <c r="BC4" i="34"/>
  <c r="BC11" i="34"/>
  <c r="BC14" i="35"/>
  <c r="BC19" i="34"/>
  <c r="BC21" i="35"/>
  <c r="BC30" i="35"/>
  <c r="BC6" i="34"/>
  <c r="BC9" i="35"/>
  <c r="BC10" i="35"/>
  <c r="BC16" i="35"/>
  <c r="BC23" i="34"/>
  <c r="BC31" i="34"/>
  <c r="BC5" i="35"/>
  <c r="BC7" i="34"/>
  <c r="BC10" i="34"/>
  <c r="BC17" i="35"/>
  <c r="BC24" i="35"/>
  <c r="BC28" i="34"/>
  <c r="BC28" i="35"/>
  <c r="BC31" i="35"/>
  <c r="BC9" i="34"/>
  <c r="BC21" i="34"/>
  <c r="BC26" i="35"/>
  <c r="BC30" i="34"/>
  <c r="BC33" i="34"/>
  <c r="BC12" i="34"/>
  <c r="BC17" i="34"/>
  <c r="BC19" i="35"/>
  <c r="BC20" i="35"/>
  <c r="BC32" i="34"/>
  <c r="BC8" i="35"/>
  <c r="BC18" i="35"/>
  <c r="BC23" i="35"/>
  <c r="BC25" i="35"/>
  <c r="BC27" i="35"/>
  <c r="BC34" i="34"/>
  <c r="BC3" i="35"/>
  <c r="BC4" i="35"/>
  <c r="BC26" i="34"/>
  <c r="BC5" i="34"/>
  <c r="BC6" i="35"/>
  <c r="BC11" i="35"/>
  <c r="BC16" i="34"/>
  <c r="BC20" i="34"/>
  <c r="AQ43" i="34"/>
  <c r="AQ39" i="35"/>
  <c r="AQ41" i="34"/>
  <c r="AQ40" i="34"/>
  <c r="AQ37" i="35"/>
  <c r="AQ44" i="34"/>
  <c r="AQ36" i="35"/>
  <c r="AQ39" i="34"/>
  <c r="AQ40" i="35"/>
  <c r="AQ33" i="35"/>
  <c r="AQ37" i="34"/>
  <c r="AQ42" i="34"/>
  <c r="AQ38" i="34"/>
  <c r="AQ35" i="35"/>
  <c r="AQ38" i="35"/>
  <c r="AQ45" i="34"/>
  <c r="AQ34" i="35"/>
  <c r="AQ41" i="35"/>
  <c r="AU35" i="35"/>
  <c r="AV39" i="34"/>
  <c r="AV39" i="35"/>
  <c r="AV38" i="35"/>
  <c r="AV33" i="35"/>
  <c r="AU34" i="35"/>
  <c r="AU36" i="35"/>
  <c r="AU41" i="34"/>
  <c r="AV41" i="35"/>
  <c r="AU33" i="35"/>
  <c r="AV34" i="35"/>
  <c r="AV35" i="35"/>
  <c r="AV36" i="35"/>
  <c r="AU37" i="35"/>
  <c r="AU38" i="35"/>
  <c r="AU39" i="35"/>
  <c r="AV40" i="35"/>
  <c r="AV37" i="34"/>
  <c r="AV37" i="35"/>
  <c r="AU40" i="35"/>
  <c r="AU41" i="35"/>
  <c r="AS33" i="35"/>
  <c r="AS34" i="35"/>
  <c r="AT35" i="35"/>
  <c r="AT39" i="35"/>
  <c r="AS39" i="35"/>
  <c r="AS41" i="35"/>
  <c r="AT33" i="35"/>
  <c r="AS35" i="35"/>
  <c r="AT36" i="35"/>
  <c r="AR37" i="35"/>
  <c r="AS37" i="35"/>
  <c r="AR38" i="35"/>
  <c r="AR39" i="35"/>
  <c r="AR40" i="35"/>
  <c r="AT41" i="35"/>
  <c r="AR33" i="35"/>
  <c r="AR34" i="35"/>
  <c r="AR35" i="35"/>
  <c r="AT37" i="35"/>
  <c r="AS38" i="35"/>
  <c r="AT38" i="35"/>
  <c r="AS40" i="35"/>
  <c r="AT34" i="35"/>
  <c r="AR36" i="35"/>
  <c r="AS36" i="35"/>
  <c r="AT40" i="35"/>
  <c r="AR41" i="35"/>
  <c r="AS37" i="34"/>
  <c r="AR38" i="34"/>
  <c r="AT39" i="34"/>
  <c r="AR42" i="34"/>
  <c r="AT42" i="34"/>
  <c r="AT43" i="34"/>
  <c r="AS44" i="34"/>
  <c r="AV38" i="34"/>
  <c r="AV40" i="34"/>
  <c r="AU39" i="34"/>
  <c r="AU43" i="34"/>
  <c r="AV45" i="34"/>
  <c r="AV42" i="34"/>
  <c r="AV43" i="34"/>
  <c r="AU44" i="34"/>
  <c r="AS38" i="34"/>
  <c r="AS40" i="34"/>
  <c r="AR40" i="34"/>
  <c r="AR43" i="34"/>
  <c r="AT44" i="34"/>
  <c r="AS45" i="34"/>
  <c r="AU45" i="34"/>
  <c r="AS41" i="34"/>
  <c r="AR37" i="34"/>
  <c r="AS39" i="34"/>
  <c r="AT40" i="34"/>
  <c r="AT41" i="34"/>
  <c r="AR41" i="34"/>
  <c r="AS42" i="34"/>
  <c r="AR44" i="34"/>
  <c r="AR45" i="34"/>
  <c r="AU42" i="34"/>
  <c r="AV44" i="34"/>
  <c r="AT37" i="34"/>
  <c r="AT38" i="34"/>
  <c r="AR39" i="34"/>
  <c r="AS43" i="34"/>
  <c r="AT45" i="34"/>
  <c r="AU37" i="34"/>
  <c r="AU38" i="34"/>
  <c r="AU40" i="34"/>
  <c r="AV41" i="34"/>
  <c r="BB41" i="35" l="1"/>
  <c r="BC41" i="35" s="1"/>
  <c r="BB34" i="35"/>
  <c r="BC34" i="35" s="1"/>
  <c r="BB37" i="34"/>
  <c r="BC37" i="34" s="1"/>
  <c r="BB45" i="34"/>
  <c r="BC45" i="34" s="1"/>
  <c r="BB35" i="35"/>
  <c r="BC35" i="35" s="1"/>
  <c r="BB37" i="35"/>
  <c r="BC37" i="35" s="1"/>
  <c r="BB36" i="35"/>
  <c r="BC36" i="35" s="1"/>
  <c r="BB33" i="35"/>
  <c r="BC33" i="35" s="1"/>
  <c r="BB43" i="34"/>
  <c r="BC43" i="34" s="1"/>
  <c r="BB40" i="35"/>
  <c r="BC40" i="35" s="1"/>
  <c r="BB39" i="35"/>
  <c r="BC39" i="35" s="1"/>
  <c r="BB38" i="35"/>
  <c r="BC38" i="35" s="1"/>
  <c r="BB44" i="34"/>
  <c r="BC44" i="34" s="1"/>
  <c r="BB39" i="34"/>
  <c r="BC39" i="34" s="1"/>
  <c r="BB41" i="34"/>
  <c r="BC41" i="34" s="1"/>
  <c r="BB42" i="34"/>
  <c r="BC42" i="34" s="1"/>
  <c r="BB40" i="34"/>
  <c r="BC40" i="34" s="1"/>
  <c r="BB38" i="34"/>
  <c r="BC38" i="34" s="1"/>
  <c r="BD11" i="35"/>
  <c r="BE11" i="35" s="1"/>
  <c r="BD5" i="35"/>
  <c r="BD7" i="35"/>
  <c r="BD4" i="35"/>
  <c r="BD3" i="35"/>
  <c r="BD10" i="35"/>
  <c r="BE10" i="35" s="1"/>
  <c r="BD6" i="35"/>
  <c r="BD9" i="35"/>
  <c r="BE9" i="35" s="1"/>
  <c r="BD8" i="35"/>
  <c r="BD21" i="34"/>
  <c r="BE21" i="34" s="1"/>
  <c r="BD22" i="34"/>
  <c r="BE22" i="34" s="1"/>
  <c r="BD28" i="34"/>
  <c r="BD20" i="34"/>
  <c r="BE20" i="34" s="1"/>
  <c r="BD26" i="34"/>
  <c r="BD9" i="34"/>
  <c r="BE9" i="34" s="1"/>
  <c r="BD6" i="34"/>
  <c r="BD33" i="34"/>
  <c r="BE33" i="34" s="1"/>
  <c r="BD16" i="34"/>
  <c r="BD15" i="34"/>
  <c r="BD19" i="34"/>
  <c r="BE19" i="34" s="1"/>
  <c r="BD10" i="34"/>
  <c r="BE10" i="34" s="1"/>
  <c r="BD12" i="34"/>
  <c r="BE12" i="34" s="1"/>
  <c r="BD17" i="34"/>
  <c r="BD7" i="34"/>
  <c r="BD11" i="34"/>
  <c r="BE11" i="34" s="1"/>
  <c r="BD34" i="34"/>
  <c r="BE34" i="34" s="1"/>
  <c r="BD5" i="34"/>
  <c r="BD8" i="34"/>
  <c r="BE8" i="34" s="1"/>
  <c r="BD27" i="34"/>
  <c r="BD23" i="34"/>
  <c r="BE23" i="34" s="1"/>
  <c r="BD4" i="34"/>
  <c r="BD13" i="35" l="1"/>
  <c r="BD18" i="35"/>
  <c r="BD17" i="35"/>
  <c r="BD31" i="35"/>
  <c r="BE31" i="35" s="1"/>
  <c r="BD30" i="35"/>
  <c r="BE30" i="35" s="1"/>
  <c r="BD24" i="35"/>
  <c r="BD20" i="35"/>
  <c r="BE20" i="35" s="1"/>
  <c r="BD16" i="35"/>
  <c r="BD14" i="35"/>
  <c r="BD21" i="35"/>
  <c r="BE21" i="35" s="1"/>
  <c r="BD19" i="35"/>
  <c r="BE19" i="35" s="1"/>
  <c r="BD15" i="35"/>
  <c r="BD26" i="35"/>
  <c r="BD23" i="35"/>
  <c r="BD29" i="35"/>
  <c r="BE29" i="35" s="1"/>
  <c r="BD27" i="35"/>
  <c r="BD28" i="35"/>
  <c r="BD25" i="35"/>
  <c r="BD18" i="34"/>
  <c r="BD29" i="34"/>
  <c r="BD32" i="34"/>
  <c r="BE32" i="34" s="1"/>
  <c r="BD30" i="34"/>
  <c r="BE30" i="34" s="1"/>
  <c r="BD31" i="34"/>
  <c r="BE31" i="34" s="1"/>
  <c r="A3" i="20"/>
  <c r="P95" i="30"/>
  <c r="P99" i="30"/>
  <c r="P91" i="30"/>
  <c r="P87" i="30"/>
  <c r="AE38" i="30" s="1"/>
  <c r="P103" i="30"/>
  <c r="P97" i="30"/>
  <c r="P89" i="30"/>
  <c r="P93" i="30"/>
  <c r="P101" i="30"/>
  <c r="P105" i="30"/>
  <c r="P100" i="30"/>
  <c r="P104" i="30"/>
  <c r="P96" i="30"/>
  <c r="P88" i="30"/>
  <c r="P92" i="30"/>
  <c r="H3" i="20" l="1"/>
  <c r="AE39" i="30"/>
  <c r="AE40" i="30"/>
  <c r="P102" i="30"/>
  <c r="P98" i="30"/>
  <c r="P106" i="30"/>
  <c r="P90" i="30"/>
  <c r="AD42" i="30" s="1"/>
  <c r="P94" i="30"/>
  <c r="BD38" i="35"/>
  <c r="BD40" i="35"/>
  <c r="BD41" i="35"/>
  <c r="BD37" i="35"/>
  <c r="BD35" i="35"/>
  <c r="BD39" i="35"/>
  <c r="BD33" i="35"/>
  <c r="BD36" i="35"/>
  <c r="BD34" i="35"/>
  <c r="BD37" i="34"/>
  <c r="BD45" i="34"/>
  <c r="BD44" i="34"/>
  <c r="BD42" i="34"/>
  <c r="BD43" i="34"/>
  <c r="BD39" i="34"/>
  <c r="BD40" i="34"/>
  <c r="BD38" i="34"/>
  <c r="BD41" i="34"/>
  <c r="A4" i="20"/>
  <c r="H4" i="20" l="1"/>
  <c r="A5" i="20"/>
  <c r="O83" i="30"/>
  <c r="O82" i="30"/>
  <c r="O81" i="30"/>
  <c r="O57" i="30"/>
  <c r="O29" i="30"/>
  <c r="H5" i="20" l="1"/>
  <c r="A6" i="20"/>
  <c r="Q1" i="30"/>
  <c r="R1" i="30"/>
  <c r="S1" i="30"/>
  <c r="T1" i="30"/>
  <c r="P1" i="30"/>
  <c r="H6" i="20" l="1"/>
  <c r="P335" i="30"/>
  <c r="P29" i="30"/>
  <c r="S335" i="30"/>
  <c r="S29" i="30"/>
  <c r="R335" i="30"/>
  <c r="R29" i="30"/>
  <c r="T335" i="30"/>
  <c r="T29" i="30"/>
  <c r="Q335" i="30"/>
  <c r="Q29" i="30"/>
  <c r="A7" i="20"/>
  <c r="T279" i="30"/>
  <c r="S279" i="30"/>
  <c r="P279" i="30"/>
  <c r="R279" i="30"/>
  <c r="Q279" i="30"/>
  <c r="P57" i="30"/>
  <c r="Q57" i="30"/>
  <c r="T57" i="30"/>
  <c r="S57" i="30"/>
  <c r="R57" i="30"/>
  <c r="H7" i="20" l="1"/>
  <c r="A8" i="20"/>
  <c r="H8" i="20" l="1"/>
  <c r="A9" i="20"/>
  <c r="H9" i="20" l="1"/>
  <c r="A10" i="20"/>
  <c r="H10" i="20" l="1"/>
  <c r="A11" i="20"/>
  <c r="H11" i="20" l="1"/>
  <c r="AK25" i="30"/>
  <c r="Y81" i="30" l="1"/>
  <c r="W81" i="30"/>
  <c r="U81" i="30"/>
  <c r="X81" i="30"/>
  <c r="V81" i="30"/>
  <c r="X82" i="30"/>
  <c r="U82" i="30"/>
  <c r="V82" i="30"/>
  <c r="Y82" i="30"/>
  <c r="W82" i="30"/>
  <c r="X83" i="30"/>
  <c r="W83" i="30"/>
  <c r="U83" i="30"/>
  <c r="V83" i="30"/>
  <c r="Y83" i="30"/>
  <c r="I38" i="20"/>
  <c r="J38" i="20" s="1"/>
  <c r="W84" i="30" l="1"/>
  <c r="Y84" i="30"/>
  <c r="V84" i="30"/>
  <c r="X84" i="30"/>
  <c r="U84" i="30"/>
  <c r="I45" i="20"/>
  <c r="J45" i="20" s="1"/>
  <c r="I63" i="20"/>
  <c r="I44" i="20"/>
  <c r="J44" i="20" s="1"/>
  <c r="I43" i="20"/>
  <c r="J43" i="20" s="1"/>
  <c r="I41" i="20"/>
  <c r="I42" i="20"/>
  <c r="J42" i="20" s="1"/>
  <c r="I40" i="20"/>
  <c r="I6" i="20"/>
  <c r="I18" i="20"/>
  <c r="I26" i="20"/>
  <c r="I37" i="20"/>
  <c r="I13" i="20"/>
  <c r="I17" i="20"/>
  <c r="I7" i="20"/>
  <c r="I19" i="20"/>
  <c r="I27" i="20"/>
  <c r="I9" i="20"/>
  <c r="I29" i="20"/>
  <c r="I8" i="20"/>
  <c r="I12" i="20"/>
  <c r="I20" i="20"/>
  <c r="I28" i="20"/>
  <c r="I31" i="20"/>
  <c r="I21" i="20"/>
  <c r="I3" i="20"/>
  <c r="I25" i="20"/>
  <c r="I32" i="20"/>
  <c r="I36" i="20"/>
  <c r="I10" i="20"/>
  <c r="I14" i="20"/>
  <c r="I22" i="20"/>
  <c r="I30" i="20"/>
  <c r="I33" i="20"/>
  <c r="I5" i="20"/>
  <c r="I11" i="20"/>
  <c r="I15" i="20"/>
  <c r="I23" i="20"/>
  <c r="I34" i="20"/>
  <c r="I4" i="20"/>
  <c r="I16" i="20"/>
  <c r="I24" i="20"/>
  <c r="I35" i="20"/>
  <c r="I80" i="20"/>
  <c r="I83" i="20"/>
  <c r="I97" i="20"/>
  <c r="I73" i="20"/>
  <c r="I81" i="20"/>
  <c r="I84" i="20"/>
  <c r="I98" i="20"/>
  <c r="I72" i="20"/>
  <c r="I74" i="20"/>
  <c r="I82" i="20"/>
  <c r="I85" i="20"/>
  <c r="I91" i="20"/>
  <c r="I99" i="20"/>
  <c r="I75" i="20"/>
  <c r="I86" i="20"/>
  <c r="I92" i="20"/>
  <c r="I100" i="20"/>
  <c r="I76" i="20"/>
  <c r="I87" i="20"/>
  <c r="I93" i="20"/>
  <c r="I101" i="20"/>
  <c r="I79" i="20"/>
  <c r="I90" i="20"/>
  <c r="I77" i="20"/>
  <c r="I88" i="20"/>
  <c r="I94" i="20"/>
  <c r="I78" i="20"/>
  <c r="I89" i="20"/>
  <c r="I95" i="20"/>
  <c r="I96" i="20"/>
  <c r="I59" i="20"/>
  <c r="I64" i="20"/>
  <c r="I52" i="20"/>
  <c r="I60" i="20"/>
  <c r="I65" i="20"/>
  <c r="I47" i="20"/>
  <c r="I48" i="20"/>
  <c r="I53" i="20"/>
  <c r="I61" i="20"/>
  <c r="I66" i="20"/>
  <c r="I58" i="20"/>
  <c r="I49" i="20"/>
  <c r="I54" i="20"/>
  <c r="I62" i="20"/>
  <c r="I67" i="20"/>
  <c r="I50" i="20"/>
  <c r="I55" i="20"/>
  <c r="I68" i="20"/>
  <c r="I51" i="20"/>
  <c r="I56" i="20"/>
  <c r="I69" i="20"/>
  <c r="I57" i="20"/>
  <c r="I70" i="20"/>
  <c r="A41" i="18" l="1"/>
  <c r="A40" i="18" s="1"/>
  <c r="A39" i="18" s="1"/>
  <c r="A38" i="18" s="1"/>
  <c r="A37" i="18" s="1"/>
  <c r="A36" i="18" s="1"/>
  <c r="A35" i="18" s="1"/>
  <c r="A34" i="18" s="1"/>
  <c r="A33" i="18" s="1"/>
  <c r="A32" i="18" s="1"/>
  <c r="AL31" i="18"/>
  <c r="AN31" i="18"/>
  <c r="AM31" i="18"/>
  <c r="AK31" i="18"/>
  <c r="AJ31" i="18"/>
  <c r="AI31" i="18"/>
  <c r="AH31" i="18"/>
  <c r="AG31" i="18"/>
  <c r="AF31" i="18"/>
  <c r="AE31" i="18"/>
  <c r="A21" i="18"/>
  <c r="A23" i="9"/>
  <c r="AU21" i="18" l="1"/>
  <c r="AV21" i="18"/>
  <c r="AP21" i="18"/>
  <c r="AX21" i="18"/>
  <c r="AR21" i="18"/>
  <c r="AT21" i="18"/>
  <c r="AQ21" i="18"/>
  <c r="AS21" i="18"/>
  <c r="AW21" i="18"/>
  <c r="AY21" i="18"/>
  <c r="C21" i="18"/>
  <c r="K21" i="18"/>
  <c r="D21" i="18"/>
  <c r="E21" i="18"/>
  <c r="F21" i="18"/>
  <c r="G21" i="18"/>
  <c r="H21" i="18"/>
  <c r="I21" i="18"/>
  <c r="J21" i="18"/>
  <c r="AO31" i="18"/>
  <c r="T31" i="18"/>
  <c r="U31" i="18"/>
  <c r="N31" i="18"/>
  <c r="AL21" i="18"/>
  <c r="AN21" i="18"/>
  <c r="AM21" i="18"/>
  <c r="AK21" i="18"/>
  <c r="AJ21" i="18"/>
  <c r="AI21" i="18"/>
  <c r="AH21" i="18"/>
  <c r="AG21" i="18"/>
  <c r="AF21" i="18"/>
  <c r="AE21" i="18"/>
  <c r="AO34" i="9"/>
  <c r="AN34" i="9"/>
  <c r="AK34" i="9"/>
  <c r="AL34" i="9"/>
  <c r="AM34" i="9"/>
  <c r="AJ34" i="9"/>
  <c r="AI34" i="9"/>
  <c r="A12" i="9"/>
  <c r="AH34" i="9"/>
  <c r="AG34" i="9"/>
  <c r="AF34" i="9"/>
  <c r="Y31" i="18"/>
  <c r="M31" i="18"/>
  <c r="P31" i="18"/>
  <c r="L31" i="18"/>
  <c r="Q31" i="18" s="1"/>
  <c r="B23" i="9"/>
  <c r="AW23" i="9" s="1"/>
  <c r="A11" i="18"/>
  <c r="AC11" i="18" l="1"/>
  <c r="AU11" i="18"/>
  <c r="AU41" i="18" s="1"/>
  <c r="AV11" i="18"/>
  <c r="AV41" i="18" s="1"/>
  <c r="AP11" i="18"/>
  <c r="AX11" i="18"/>
  <c r="AX41" i="18" s="1"/>
  <c r="AR11" i="18"/>
  <c r="AR41" i="18" s="1"/>
  <c r="AT11" i="18"/>
  <c r="AT41" i="18" s="1"/>
  <c r="AQ11" i="18"/>
  <c r="AQ41" i="18" s="1"/>
  <c r="AS11" i="18"/>
  <c r="AS41" i="18" s="1"/>
  <c r="AW11" i="18"/>
  <c r="AW41" i="18" s="1"/>
  <c r="AY11" i="18"/>
  <c r="AY41" i="18" s="1"/>
  <c r="AZ21" i="18"/>
  <c r="AS23" i="9"/>
  <c r="AV23" i="9"/>
  <c r="AZ23" i="9"/>
  <c r="AR23" i="9"/>
  <c r="AY23" i="9"/>
  <c r="AQ23" i="9"/>
  <c r="AU23" i="9"/>
  <c r="AX23" i="9"/>
  <c r="AT23" i="9"/>
  <c r="E23" i="9"/>
  <c r="K23" i="9"/>
  <c r="D23" i="9"/>
  <c r="H23" i="9"/>
  <c r="J23" i="9"/>
  <c r="L23" i="9"/>
  <c r="G23" i="9"/>
  <c r="I23" i="9"/>
  <c r="F23" i="9"/>
  <c r="J11" i="18"/>
  <c r="C11" i="18"/>
  <c r="K11" i="18"/>
  <c r="D11" i="18"/>
  <c r="E11" i="18"/>
  <c r="F11" i="18"/>
  <c r="G11" i="18"/>
  <c r="H11" i="18"/>
  <c r="I11" i="18"/>
  <c r="BA31" i="18"/>
  <c r="AP34" i="9"/>
  <c r="BB34" i="9" s="1"/>
  <c r="AO21" i="18"/>
  <c r="N21" i="18"/>
  <c r="T21" i="18"/>
  <c r="U21" i="18"/>
  <c r="AL11" i="18"/>
  <c r="AL41" i="18" s="1"/>
  <c r="AN11" i="18"/>
  <c r="AN41" i="18" s="1"/>
  <c r="AM11" i="18"/>
  <c r="AM41" i="18" s="1"/>
  <c r="AK11" i="18"/>
  <c r="AK41" i="18" s="1"/>
  <c r="AJ11" i="18"/>
  <c r="AJ41" i="18" s="1"/>
  <c r="AI11" i="18"/>
  <c r="AI41" i="18" s="1"/>
  <c r="AH11" i="18"/>
  <c r="AH41" i="18" s="1"/>
  <c r="AG11" i="18"/>
  <c r="AG41" i="18" s="1"/>
  <c r="AF11" i="18"/>
  <c r="AF41" i="18" s="1"/>
  <c r="AE11" i="18"/>
  <c r="AL23" i="9"/>
  <c r="AG23" i="9"/>
  <c r="AM23" i="9"/>
  <c r="AK23" i="9"/>
  <c r="AI23" i="9"/>
  <c r="AN23" i="9"/>
  <c r="AO23" i="9"/>
  <c r="AJ23" i="9"/>
  <c r="AF23" i="9"/>
  <c r="AH23" i="9"/>
  <c r="Q34" i="9"/>
  <c r="AA31" i="18"/>
  <c r="X31" i="18"/>
  <c r="V31" i="18"/>
  <c r="Y21" i="18"/>
  <c r="Z34" i="9"/>
  <c r="P21" i="18"/>
  <c r="M21" i="18"/>
  <c r="N34" i="9"/>
  <c r="O34" i="9"/>
  <c r="L21" i="18"/>
  <c r="Q21" i="18" s="1"/>
  <c r="R34" i="9"/>
  <c r="B12" i="9"/>
  <c r="AD12" i="9" s="1"/>
  <c r="AD23" i="9" l="1"/>
  <c r="AD34" i="9" s="1"/>
  <c r="AD45" i="9" s="1"/>
  <c r="AD24" i="9"/>
  <c r="AD35" i="9" s="1"/>
  <c r="AC21" i="18"/>
  <c r="AC31" i="18" s="1"/>
  <c r="AC22" i="18"/>
  <c r="AC32" i="18" s="1"/>
  <c r="AZ11" i="18"/>
  <c r="BA23" i="9"/>
  <c r="AY12" i="9"/>
  <c r="AY45" i="9" s="1"/>
  <c r="AQ12" i="9"/>
  <c r="AX12" i="9"/>
  <c r="AX45" i="9" s="1"/>
  <c r="AT12" i="9"/>
  <c r="AT45" i="9" s="1"/>
  <c r="AW12" i="9"/>
  <c r="AW45" i="9" s="1"/>
  <c r="AS12" i="9"/>
  <c r="AS45" i="9" s="1"/>
  <c r="AV12" i="9"/>
  <c r="AV45" i="9" s="1"/>
  <c r="AZ12" i="9"/>
  <c r="AZ45" i="9" s="1"/>
  <c r="AU12" i="9"/>
  <c r="AU45" i="9" s="1"/>
  <c r="AR12" i="9"/>
  <c r="AR45" i="9" s="1"/>
  <c r="M39" i="20"/>
  <c r="M46" i="20"/>
  <c r="M56" i="20" s="1"/>
  <c r="M2" i="20"/>
  <c r="M38" i="20" s="1"/>
  <c r="M71" i="20"/>
  <c r="E12" i="9"/>
  <c r="D12" i="9"/>
  <c r="F12" i="9"/>
  <c r="G12" i="9"/>
  <c r="H12" i="9"/>
  <c r="I12" i="9"/>
  <c r="J12" i="9"/>
  <c r="L12" i="9"/>
  <c r="K12" i="9"/>
  <c r="L12" i="20"/>
  <c r="L83" i="20"/>
  <c r="L52" i="20"/>
  <c r="L38" i="20"/>
  <c r="L91" i="20"/>
  <c r="L31" i="20"/>
  <c r="L2" i="20"/>
  <c r="L39" i="20"/>
  <c r="L63" i="20"/>
  <c r="L92" i="20"/>
  <c r="L64" i="20"/>
  <c r="L32" i="20"/>
  <c r="L33" i="20"/>
  <c r="L65" i="20"/>
  <c r="L93" i="20"/>
  <c r="L34" i="20"/>
  <c r="L94" i="20"/>
  <c r="L66" i="20"/>
  <c r="L35" i="20"/>
  <c r="L67" i="20"/>
  <c r="L95" i="20"/>
  <c r="L68" i="20"/>
  <c r="L96" i="20"/>
  <c r="L36" i="20"/>
  <c r="L69" i="20"/>
  <c r="L70" i="20"/>
  <c r="L97" i="20"/>
  <c r="L37" i="20"/>
  <c r="L98" i="20"/>
  <c r="L99" i="20"/>
  <c r="L100" i="20"/>
  <c r="L101" i="20"/>
  <c r="L40" i="20"/>
  <c r="L46" i="20"/>
  <c r="L47" i="20"/>
  <c r="L41" i="20"/>
  <c r="L71" i="20"/>
  <c r="L42" i="20"/>
  <c r="L48" i="20"/>
  <c r="L43" i="20"/>
  <c r="L49" i="20"/>
  <c r="L50" i="20"/>
  <c r="L44" i="20"/>
  <c r="L51" i="20"/>
  <c r="L45" i="20"/>
  <c r="L3" i="20"/>
  <c r="L4" i="20"/>
  <c r="L5" i="20"/>
  <c r="L6" i="20"/>
  <c r="L7" i="20"/>
  <c r="L8" i="20"/>
  <c r="L9" i="20"/>
  <c r="L10" i="20"/>
  <c r="L11" i="20"/>
  <c r="M23" i="9"/>
  <c r="R23" i="9" s="1"/>
  <c r="AP41" i="18"/>
  <c r="AZ41" i="18" s="1"/>
  <c r="AP23" i="9"/>
  <c r="BA21" i="18"/>
  <c r="BB21" i="18" s="1"/>
  <c r="AE41" i="18"/>
  <c r="AO41" i="18" s="1"/>
  <c r="AO11" i="18"/>
  <c r="AE23" i="9"/>
  <c r="Q363" i="30"/>
  <c r="Q378" i="30" s="1"/>
  <c r="BC34" i="9"/>
  <c r="U23" i="9"/>
  <c r="V23" i="9"/>
  <c r="U11" i="18"/>
  <c r="N11" i="18"/>
  <c r="T11" i="18"/>
  <c r="AN12" i="9"/>
  <c r="AN45" i="9" s="1"/>
  <c r="AI12" i="9"/>
  <c r="AI45" i="9" s="1"/>
  <c r="AO12" i="9"/>
  <c r="AO45" i="9" s="1"/>
  <c r="AJ12" i="9"/>
  <c r="AJ45" i="9" s="1"/>
  <c r="AM12" i="9"/>
  <c r="AM45" i="9" s="1"/>
  <c r="AK12" i="9"/>
  <c r="AK45" i="9" s="1"/>
  <c r="AF12" i="9"/>
  <c r="AL12" i="9"/>
  <c r="AL45" i="9" s="1"/>
  <c r="AG12" i="9"/>
  <c r="AG45" i="9" s="1"/>
  <c r="AH12" i="9"/>
  <c r="AH45" i="9" s="1"/>
  <c r="W34" i="9"/>
  <c r="Y11" i="18"/>
  <c r="AA21" i="18"/>
  <c r="Y34" i="9"/>
  <c r="AD11" i="18"/>
  <c r="V21" i="18"/>
  <c r="X21" i="18"/>
  <c r="S34" i="9"/>
  <c r="T34" i="9" s="1"/>
  <c r="Z23" i="9"/>
  <c r="P34" i="9"/>
  <c r="X34" i="9" s="1"/>
  <c r="AB34" i="9"/>
  <c r="AA34" i="9"/>
  <c r="AC34" i="9" s="1"/>
  <c r="M11" i="18"/>
  <c r="P11" i="18"/>
  <c r="Q23" i="9"/>
  <c r="N23" i="9"/>
  <c r="O23" i="9"/>
  <c r="L11" i="18"/>
  <c r="Q11" i="18" s="1"/>
  <c r="A20" i="18"/>
  <c r="A30" i="18"/>
  <c r="A10" i="18"/>
  <c r="B11" i="9"/>
  <c r="B33" i="9"/>
  <c r="B22" i="9"/>
  <c r="A22" i="9"/>
  <c r="A11" i="9"/>
  <c r="A33" i="9"/>
  <c r="AE34" i="9" l="1"/>
  <c r="AD21" i="18"/>
  <c r="BC21" i="18" s="1"/>
  <c r="AC41" i="18"/>
  <c r="AD31" i="18"/>
  <c r="BB31" i="18"/>
  <c r="BD34" i="9"/>
  <c r="AD11" i="9"/>
  <c r="AD22" i="9" s="1"/>
  <c r="AD33" i="9" s="1"/>
  <c r="AD44" i="9" s="1"/>
  <c r="AW20" i="18"/>
  <c r="AP20" i="18"/>
  <c r="AX20" i="18"/>
  <c r="AR20" i="18"/>
  <c r="AT20" i="18"/>
  <c r="AV20" i="18"/>
  <c r="AQ20" i="18"/>
  <c r="AS20" i="18"/>
  <c r="AU20" i="18"/>
  <c r="AY20" i="18"/>
  <c r="AC10" i="18"/>
  <c r="AC20" i="18" s="1"/>
  <c r="AC30" i="18" s="1"/>
  <c r="AC40" i="18" s="1"/>
  <c r="AW10" i="18"/>
  <c r="AP10" i="18"/>
  <c r="AX10" i="18"/>
  <c r="AR10" i="18"/>
  <c r="AT10" i="18"/>
  <c r="AV10" i="18"/>
  <c r="AU10" i="18"/>
  <c r="AY10" i="18"/>
  <c r="AS10" i="18"/>
  <c r="AQ10" i="18"/>
  <c r="AW30" i="18"/>
  <c r="AP30" i="18"/>
  <c r="AX30" i="18"/>
  <c r="AR30" i="18"/>
  <c r="AT30" i="18"/>
  <c r="AV30" i="18"/>
  <c r="AQ30" i="18"/>
  <c r="AS30" i="18"/>
  <c r="AU30" i="18"/>
  <c r="AY30" i="18"/>
  <c r="BA12" i="9"/>
  <c r="AW11" i="9"/>
  <c r="AX11" i="9"/>
  <c r="AY11" i="9"/>
  <c r="AQ11" i="9"/>
  <c r="AR11" i="9"/>
  <c r="AZ11" i="9"/>
  <c r="AS11" i="9"/>
  <c r="AT11" i="9"/>
  <c r="AV11" i="9"/>
  <c r="AU11" i="9"/>
  <c r="AS33" i="9"/>
  <c r="AT33" i="9"/>
  <c r="AU33" i="9"/>
  <c r="AV33" i="9"/>
  <c r="AZ33" i="9"/>
  <c r="AW33" i="9"/>
  <c r="AX33" i="9"/>
  <c r="AR33" i="9"/>
  <c r="AQ33" i="9"/>
  <c r="AY33" i="9"/>
  <c r="AQ22" i="9"/>
  <c r="AY22" i="9"/>
  <c r="AR22" i="9"/>
  <c r="AZ22" i="9"/>
  <c r="AS22" i="9"/>
  <c r="AT22" i="9"/>
  <c r="AU22" i="9"/>
  <c r="AV22" i="9"/>
  <c r="AX22" i="9"/>
  <c r="AW22" i="9"/>
  <c r="N38" i="20"/>
  <c r="D20" i="18"/>
  <c r="E20" i="18"/>
  <c r="F20" i="18"/>
  <c r="G20" i="18"/>
  <c r="H20" i="18"/>
  <c r="I20" i="18"/>
  <c r="J20" i="18"/>
  <c r="C20" i="18"/>
  <c r="K20" i="18"/>
  <c r="M12" i="9"/>
  <c r="R12" i="9" s="1"/>
  <c r="C10" i="18"/>
  <c r="K10" i="18"/>
  <c r="D10" i="18"/>
  <c r="E10" i="18"/>
  <c r="F10" i="18"/>
  <c r="G10" i="18"/>
  <c r="H10" i="18"/>
  <c r="I10" i="18"/>
  <c r="J10" i="18"/>
  <c r="E30" i="18"/>
  <c r="F30" i="18"/>
  <c r="G30" i="18"/>
  <c r="H30" i="18"/>
  <c r="I30" i="18"/>
  <c r="J30" i="18"/>
  <c r="C30" i="18"/>
  <c r="K30" i="18"/>
  <c r="D30" i="18"/>
  <c r="E22" i="9"/>
  <c r="J22" i="9"/>
  <c r="D22" i="9"/>
  <c r="K22" i="9"/>
  <c r="F22" i="9"/>
  <c r="H22" i="9"/>
  <c r="L22" i="9"/>
  <c r="G22" i="9"/>
  <c r="I22" i="9"/>
  <c r="E33" i="9"/>
  <c r="F33" i="9"/>
  <c r="G33" i="9"/>
  <c r="D33" i="9"/>
  <c r="H33" i="9"/>
  <c r="I33" i="9"/>
  <c r="J33" i="9"/>
  <c r="K33" i="9"/>
  <c r="L33" i="9"/>
  <c r="E11" i="9"/>
  <c r="F11" i="9"/>
  <c r="G11" i="9"/>
  <c r="H11" i="9"/>
  <c r="L11" i="9"/>
  <c r="I11" i="9"/>
  <c r="J11" i="9"/>
  <c r="K11" i="9"/>
  <c r="D11" i="9"/>
  <c r="Q379" i="30"/>
  <c r="Q380" i="30"/>
  <c r="Q383" i="30"/>
  <c r="BA11" i="18"/>
  <c r="BB23" i="9"/>
  <c r="AF45" i="9"/>
  <c r="AP45" i="9" s="1"/>
  <c r="AP12" i="9"/>
  <c r="M50" i="20"/>
  <c r="M64" i="20"/>
  <c r="M61" i="20"/>
  <c r="M69" i="20"/>
  <c r="M54" i="20"/>
  <c r="M67" i="20"/>
  <c r="M49" i="20"/>
  <c r="M47" i="20"/>
  <c r="M52" i="20"/>
  <c r="M45" i="20"/>
  <c r="N45" i="20" s="1"/>
  <c r="M68" i="20"/>
  <c r="M63" i="20"/>
  <c r="M40" i="20"/>
  <c r="N40" i="20" s="1"/>
  <c r="M70" i="20"/>
  <c r="N39" i="20"/>
  <c r="M42" i="20"/>
  <c r="N42" i="20" s="1"/>
  <c r="M65" i="20"/>
  <c r="M41" i="20"/>
  <c r="N41" i="20" s="1"/>
  <c r="M66" i="20"/>
  <c r="M53" i="20"/>
  <c r="M57" i="20"/>
  <c r="M60" i="20"/>
  <c r="M51" i="20"/>
  <c r="M59" i="20"/>
  <c r="M8" i="20"/>
  <c r="M33" i="20"/>
  <c r="M23" i="20"/>
  <c r="M93" i="20"/>
  <c r="M29" i="20"/>
  <c r="M97" i="20"/>
  <c r="M19" i="20"/>
  <c r="M10" i="20"/>
  <c r="M31" i="20"/>
  <c r="M36" i="20"/>
  <c r="M26" i="20"/>
  <c r="M28" i="20"/>
  <c r="M21" i="20"/>
  <c r="M34" i="20"/>
  <c r="M27" i="20"/>
  <c r="M30" i="20"/>
  <c r="N2" i="20"/>
  <c r="M14" i="20"/>
  <c r="M35" i="20"/>
  <c r="M20" i="20"/>
  <c r="M7" i="20"/>
  <c r="M4" i="20"/>
  <c r="M9" i="20"/>
  <c r="M32" i="20"/>
  <c r="M13" i="20"/>
  <c r="M5" i="20"/>
  <c r="M12" i="20"/>
  <c r="M18" i="20"/>
  <c r="M22" i="20"/>
  <c r="M3" i="20"/>
  <c r="M43" i="20"/>
  <c r="N43" i="20" s="1"/>
  <c r="M44" i="20"/>
  <c r="N44" i="20" s="1"/>
  <c r="M48" i="20"/>
  <c r="M62" i="20"/>
  <c r="M58" i="20"/>
  <c r="M24" i="20"/>
  <c r="M16" i="20"/>
  <c r="M25" i="20"/>
  <c r="M6" i="20"/>
  <c r="M15" i="20"/>
  <c r="M11" i="20"/>
  <c r="M17" i="20"/>
  <c r="M37" i="20"/>
  <c r="N46" i="20"/>
  <c r="M55" i="20"/>
  <c r="M72" i="20"/>
  <c r="M94" i="20"/>
  <c r="M76" i="20"/>
  <c r="M88" i="20"/>
  <c r="M80" i="20"/>
  <c r="M83" i="20"/>
  <c r="M75" i="20"/>
  <c r="M87" i="20"/>
  <c r="M85" i="20"/>
  <c r="M100" i="20"/>
  <c r="M77" i="20"/>
  <c r="M101" i="20"/>
  <c r="M84" i="20"/>
  <c r="M99" i="20"/>
  <c r="M91" i="20"/>
  <c r="M82" i="20"/>
  <c r="M92" i="20"/>
  <c r="M86" i="20"/>
  <c r="M81" i="20"/>
  <c r="M73" i="20"/>
  <c r="M96" i="20"/>
  <c r="M74" i="20"/>
  <c r="M98" i="20"/>
  <c r="M95" i="20"/>
  <c r="M89" i="20"/>
  <c r="M78" i="20"/>
  <c r="M90" i="20"/>
  <c r="M79" i="20"/>
  <c r="V12" i="9"/>
  <c r="U12" i="9"/>
  <c r="AE12" i="9"/>
  <c r="AQ45" i="9"/>
  <c r="BA45" i="9" s="1"/>
  <c r="BA41" i="18"/>
  <c r="AE20" i="18"/>
  <c r="AL20" i="18"/>
  <c r="AN20" i="18"/>
  <c r="AM20" i="18"/>
  <c r="AK20" i="18"/>
  <c r="AJ20" i="18"/>
  <c r="AI20" i="18"/>
  <c r="AH20" i="18"/>
  <c r="AG20" i="18"/>
  <c r="AF20" i="18"/>
  <c r="AE10" i="18"/>
  <c r="AL10" i="18"/>
  <c r="AN10" i="18"/>
  <c r="AM10" i="18"/>
  <c r="AK10" i="18"/>
  <c r="AJ10" i="18"/>
  <c r="AI10" i="18"/>
  <c r="AH10" i="18"/>
  <c r="AG10" i="18"/>
  <c r="AF10" i="18"/>
  <c r="AL30" i="18"/>
  <c r="AN30" i="18"/>
  <c r="AM30" i="18"/>
  <c r="AK30" i="18"/>
  <c r="AJ30" i="18"/>
  <c r="AI30" i="18"/>
  <c r="AH30" i="18"/>
  <c r="AG30" i="18"/>
  <c r="AF30" i="18"/>
  <c r="AE30" i="18"/>
  <c r="AL33" i="9"/>
  <c r="AJ33" i="9"/>
  <c r="AN33" i="9"/>
  <c r="AO33" i="9"/>
  <c r="AI33" i="9"/>
  <c r="AK33" i="9"/>
  <c r="AM33" i="9"/>
  <c r="AK22" i="9"/>
  <c r="AO22" i="9"/>
  <c r="AI22" i="9"/>
  <c r="AM22" i="9"/>
  <c r="AJ22" i="9"/>
  <c r="AL22" i="9"/>
  <c r="AN22" i="9"/>
  <c r="AH11" i="9"/>
  <c r="AL11" i="9"/>
  <c r="AI11" i="9"/>
  <c r="AM11" i="9"/>
  <c r="AF11" i="9"/>
  <c r="AJ11" i="9"/>
  <c r="AN11" i="9"/>
  <c r="AG11" i="9"/>
  <c r="AK11" i="9"/>
  <c r="AO11" i="9"/>
  <c r="AG22" i="9"/>
  <c r="AF22" i="9"/>
  <c r="AH22" i="9"/>
  <c r="AH33" i="9"/>
  <c r="AF33" i="9"/>
  <c r="AG33" i="9"/>
  <c r="AA11" i="18"/>
  <c r="V11" i="18"/>
  <c r="X11" i="18"/>
  <c r="W23" i="9"/>
  <c r="Y23" i="9"/>
  <c r="Z12" i="9"/>
  <c r="P23" i="9"/>
  <c r="X23" i="9" s="1"/>
  <c r="AB23" i="9"/>
  <c r="AA23" i="9"/>
  <c r="AC23" i="9" s="1"/>
  <c r="S23" i="9"/>
  <c r="T23" i="9" s="1"/>
  <c r="Q12" i="9"/>
  <c r="O12" i="9"/>
  <c r="N12" i="9"/>
  <c r="B10" i="9"/>
  <c r="B32" i="9"/>
  <c r="A29" i="18"/>
  <c r="A9" i="18"/>
  <c r="A19" i="18"/>
  <c r="A10" i="9"/>
  <c r="A21" i="9"/>
  <c r="A32" i="9"/>
  <c r="B21" i="9"/>
  <c r="BC31" i="18" l="1"/>
  <c r="AX40" i="18"/>
  <c r="AQ29" i="18"/>
  <c r="AY29" i="18"/>
  <c r="AR29" i="18"/>
  <c r="AT29" i="18"/>
  <c r="AV29" i="18"/>
  <c r="AP29" i="18"/>
  <c r="AX29" i="18"/>
  <c r="AU29" i="18"/>
  <c r="AW29" i="18"/>
  <c r="AS29" i="18"/>
  <c r="AZ30" i="18"/>
  <c r="AZ10" i="18"/>
  <c r="AW40" i="18"/>
  <c r="AY40" i="18"/>
  <c r="AU40" i="18"/>
  <c r="AZ20" i="18"/>
  <c r="AQ19" i="18"/>
  <c r="AY19" i="18"/>
  <c r="AR19" i="18"/>
  <c r="AT19" i="18"/>
  <c r="AV19" i="18"/>
  <c r="AP19" i="18"/>
  <c r="AX19" i="18"/>
  <c r="AS19" i="18"/>
  <c r="AU19" i="18"/>
  <c r="AW19" i="18"/>
  <c r="AC9" i="18"/>
  <c r="AC19" i="18" s="1"/>
  <c r="AC29" i="18" s="1"/>
  <c r="AC39" i="18" s="1"/>
  <c r="AQ9" i="18"/>
  <c r="AY9" i="18"/>
  <c r="AR9" i="18"/>
  <c r="AT9" i="18"/>
  <c r="AV9" i="18"/>
  <c r="AP9" i="18"/>
  <c r="AX9" i="18"/>
  <c r="AS9" i="18"/>
  <c r="AU9" i="18"/>
  <c r="AW9" i="18"/>
  <c r="AV40" i="18"/>
  <c r="BA22" i="9"/>
  <c r="BA11" i="9"/>
  <c r="BA33" i="9"/>
  <c r="AD10" i="9"/>
  <c r="AD21" i="9" s="1"/>
  <c r="AD32" i="9" s="1"/>
  <c r="AD43" i="9" s="1"/>
  <c r="AZ44" i="9"/>
  <c r="AU32" i="9"/>
  <c r="AV32" i="9"/>
  <c r="AW32" i="9"/>
  <c r="AX32" i="9"/>
  <c r="AQ32" i="9"/>
  <c r="AY32" i="9"/>
  <c r="AT32" i="9"/>
  <c r="AR32" i="9"/>
  <c r="AZ32" i="9"/>
  <c r="AS32" i="9"/>
  <c r="AS21" i="9"/>
  <c r="AT21" i="9"/>
  <c r="AU21" i="9"/>
  <c r="AV21" i="9"/>
  <c r="AW21" i="9"/>
  <c r="AZ21" i="9"/>
  <c r="AX21" i="9"/>
  <c r="AQ21" i="9"/>
  <c r="AY21" i="9"/>
  <c r="AR21" i="9"/>
  <c r="AY44" i="9"/>
  <c r="AX44" i="9"/>
  <c r="AQ10" i="9"/>
  <c r="AY10" i="9"/>
  <c r="AR10" i="9"/>
  <c r="AZ10" i="9"/>
  <c r="AS10" i="9"/>
  <c r="AX10" i="9"/>
  <c r="AT10" i="9"/>
  <c r="AU10" i="9"/>
  <c r="AV10" i="9"/>
  <c r="AW10" i="9"/>
  <c r="AV44" i="9"/>
  <c r="AW44" i="9"/>
  <c r="Q2" i="20"/>
  <c r="Q38" i="20" s="1"/>
  <c r="Q71" i="20"/>
  <c r="Q46" i="20"/>
  <c r="Q39" i="20"/>
  <c r="M33" i="9"/>
  <c r="R33" i="9" s="1"/>
  <c r="D9" i="18"/>
  <c r="E9" i="18"/>
  <c r="F9" i="18"/>
  <c r="G9" i="18"/>
  <c r="H9" i="18"/>
  <c r="I9" i="18"/>
  <c r="J9" i="18"/>
  <c r="C9" i="18"/>
  <c r="K9" i="18"/>
  <c r="F29" i="18"/>
  <c r="G29" i="18"/>
  <c r="H29" i="18"/>
  <c r="I29" i="18"/>
  <c r="J29" i="18"/>
  <c r="C29" i="18"/>
  <c r="K29" i="18"/>
  <c r="D29" i="18"/>
  <c r="E29" i="18"/>
  <c r="P52" i="20"/>
  <c r="P83" i="20"/>
  <c r="P12" i="20"/>
  <c r="P38" i="20"/>
  <c r="P39" i="20"/>
  <c r="P2" i="20"/>
  <c r="P31" i="20"/>
  <c r="P91" i="20"/>
  <c r="P63" i="20"/>
  <c r="P92" i="20"/>
  <c r="P32" i="20"/>
  <c r="P64" i="20"/>
  <c r="P65" i="20"/>
  <c r="P33" i="20"/>
  <c r="P93" i="20"/>
  <c r="P94" i="20"/>
  <c r="P66" i="20"/>
  <c r="P34" i="20"/>
  <c r="P35" i="20"/>
  <c r="P67" i="20"/>
  <c r="P95" i="20"/>
  <c r="P68" i="20"/>
  <c r="P96" i="20"/>
  <c r="P36" i="20"/>
  <c r="P97" i="20"/>
  <c r="P37" i="20"/>
  <c r="P69" i="20"/>
  <c r="P70" i="20"/>
  <c r="P98" i="20"/>
  <c r="P99" i="20"/>
  <c r="P100" i="20"/>
  <c r="P101" i="20"/>
  <c r="P40" i="20"/>
  <c r="P46" i="20"/>
  <c r="P47" i="20"/>
  <c r="P41" i="20"/>
  <c r="P71" i="20"/>
  <c r="P48" i="20"/>
  <c r="P42" i="20"/>
  <c r="P49" i="20"/>
  <c r="P43" i="20"/>
  <c r="P44" i="20"/>
  <c r="P50" i="20"/>
  <c r="P51" i="20"/>
  <c r="P45" i="20"/>
  <c r="P3" i="20"/>
  <c r="P4" i="20"/>
  <c r="P5" i="20"/>
  <c r="P6" i="20"/>
  <c r="P7" i="20"/>
  <c r="P8" i="20"/>
  <c r="P9" i="20"/>
  <c r="P10" i="20"/>
  <c r="P11" i="20"/>
  <c r="E19" i="18"/>
  <c r="F19" i="18"/>
  <c r="G19" i="18"/>
  <c r="H19" i="18"/>
  <c r="I19" i="18"/>
  <c r="J19" i="18"/>
  <c r="C19" i="18"/>
  <c r="K19" i="18"/>
  <c r="D19" i="18"/>
  <c r="E21" i="9"/>
  <c r="I21" i="9"/>
  <c r="K21" i="9"/>
  <c r="D21" i="9"/>
  <c r="J21" i="9"/>
  <c r="F21" i="9"/>
  <c r="H21" i="9"/>
  <c r="L21" i="9"/>
  <c r="G21" i="9"/>
  <c r="E10" i="9"/>
  <c r="F10" i="9"/>
  <c r="G10" i="9"/>
  <c r="H10" i="9"/>
  <c r="D10" i="9"/>
  <c r="I10" i="9"/>
  <c r="J10" i="9"/>
  <c r="K10" i="9"/>
  <c r="L10" i="9"/>
  <c r="E32" i="9"/>
  <c r="F32" i="9"/>
  <c r="G32" i="9"/>
  <c r="H32" i="9"/>
  <c r="I32" i="9"/>
  <c r="D32" i="9"/>
  <c r="L32" i="9"/>
  <c r="J32" i="9"/>
  <c r="K32" i="9"/>
  <c r="M11" i="9"/>
  <c r="R11" i="9" s="1"/>
  <c r="M22" i="9"/>
  <c r="R22" i="9" s="1"/>
  <c r="Q364" i="30"/>
  <c r="BB12" i="9"/>
  <c r="AP22" i="9"/>
  <c r="AO10" i="18"/>
  <c r="AO20" i="18"/>
  <c r="AO30" i="18"/>
  <c r="AP33" i="9"/>
  <c r="AP11" i="9"/>
  <c r="AP40" i="18"/>
  <c r="R363" i="30"/>
  <c r="R378" i="30" s="1"/>
  <c r="BB11" i="18"/>
  <c r="BC11" i="18" s="1"/>
  <c r="BC23" i="9"/>
  <c r="BD23" i="9" s="1"/>
  <c r="U20" i="18"/>
  <c r="U33" i="9"/>
  <c r="V33" i="9"/>
  <c r="U11" i="9"/>
  <c r="T30" i="18"/>
  <c r="N30" i="18"/>
  <c r="V22" i="9"/>
  <c r="U22" i="9"/>
  <c r="V11" i="9"/>
  <c r="U30" i="18"/>
  <c r="N10" i="18"/>
  <c r="T20" i="18"/>
  <c r="U10" i="18"/>
  <c r="N20" i="18"/>
  <c r="T10" i="18"/>
  <c r="AU44" i="9"/>
  <c r="AI40" i="18"/>
  <c r="AN40" i="18"/>
  <c r="AS40" i="18"/>
  <c r="AF40" i="18"/>
  <c r="AJ40" i="18"/>
  <c r="AL40" i="18"/>
  <c r="AQ40" i="18"/>
  <c r="AT40" i="18"/>
  <c r="AG40" i="18"/>
  <c r="AK40" i="18"/>
  <c r="AE40" i="18"/>
  <c r="AH40" i="18"/>
  <c r="AM40" i="18"/>
  <c r="AR40" i="18"/>
  <c r="AM44" i="9"/>
  <c r="AQ44" i="9"/>
  <c r="AO44" i="9"/>
  <c r="AL44" i="9"/>
  <c r="AJ44" i="9"/>
  <c r="BB45" i="9"/>
  <c r="AK44" i="9"/>
  <c r="AF44" i="9"/>
  <c r="AH44" i="9"/>
  <c r="AS44" i="9"/>
  <c r="AT44" i="9"/>
  <c r="AG44" i="9"/>
  <c r="AN44" i="9"/>
  <c r="AI44" i="9"/>
  <c r="AR44" i="9"/>
  <c r="AD20" i="18"/>
  <c r="AD30" i="18"/>
  <c r="AE9" i="18"/>
  <c r="AL9" i="18"/>
  <c r="AN9" i="18"/>
  <c r="AM9" i="18"/>
  <c r="AK9" i="18"/>
  <c r="AJ9" i="18"/>
  <c r="AI9" i="18"/>
  <c r="AH9" i="18"/>
  <c r="AG9" i="18"/>
  <c r="AF9" i="18"/>
  <c r="AE29" i="18"/>
  <c r="AL29" i="18"/>
  <c r="AN29" i="18"/>
  <c r="AM29" i="18"/>
  <c r="AK29" i="18"/>
  <c r="AJ29" i="18"/>
  <c r="AI29" i="18"/>
  <c r="AH29" i="18"/>
  <c r="AG29" i="18"/>
  <c r="AF29" i="18"/>
  <c r="AE19" i="18"/>
  <c r="AL19" i="18"/>
  <c r="AN19" i="18"/>
  <c r="AM19" i="18"/>
  <c r="AK19" i="18"/>
  <c r="AJ19" i="18"/>
  <c r="AI19" i="18"/>
  <c r="AH19" i="18"/>
  <c r="AG19" i="18"/>
  <c r="AF19" i="18"/>
  <c r="AJ21" i="9"/>
  <c r="AN21" i="9"/>
  <c r="AL21" i="9"/>
  <c r="AI21" i="9"/>
  <c r="AK21" i="9"/>
  <c r="AM21" i="9"/>
  <c r="AO21" i="9"/>
  <c r="AK32" i="9"/>
  <c r="AO32" i="9"/>
  <c r="AI32" i="9"/>
  <c r="AM32" i="9"/>
  <c r="AJ32" i="9"/>
  <c r="AN32" i="9"/>
  <c r="AL32" i="9"/>
  <c r="AH32" i="9"/>
  <c r="AF32" i="9"/>
  <c r="AG32" i="9"/>
  <c r="AF21" i="9"/>
  <c r="AG21" i="9"/>
  <c r="AH21" i="9"/>
  <c r="AF10" i="9"/>
  <c r="AJ10" i="9"/>
  <c r="AN10" i="9"/>
  <c r="AG10" i="9"/>
  <c r="AK10" i="9"/>
  <c r="AO10" i="9"/>
  <c r="AH10" i="9"/>
  <c r="AL10" i="9"/>
  <c r="AM10" i="9"/>
  <c r="AI10" i="9"/>
  <c r="O33" i="9"/>
  <c r="AE11" i="9"/>
  <c r="M10" i="18"/>
  <c r="Y20" i="18"/>
  <c r="M30" i="18"/>
  <c r="Y10" i="18"/>
  <c r="Y30" i="18"/>
  <c r="Z33" i="9"/>
  <c r="Z22" i="9"/>
  <c r="AA12" i="9"/>
  <c r="AC12" i="9" s="1"/>
  <c r="P12" i="9"/>
  <c r="X12" i="9" s="1"/>
  <c r="AB12" i="9"/>
  <c r="Z11" i="9"/>
  <c r="M20" i="18"/>
  <c r="N33" i="9"/>
  <c r="W12" i="9"/>
  <c r="Y12" i="9"/>
  <c r="S12" i="9"/>
  <c r="T12" i="9" s="1"/>
  <c r="P10" i="18"/>
  <c r="P30" i="18"/>
  <c r="O11" i="9"/>
  <c r="P20" i="18"/>
  <c r="Q11" i="9"/>
  <c r="Q22" i="9"/>
  <c r="Q33" i="9"/>
  <c r="N22" i="9"/>
  <c r="O22" i="9"/>
  <c r="N11" i="9"/>
  <c r="AD10" i="18"/>
  <c r="AE22" i="9"/>
  <c r="BD22" i="9" s="1"/>
  <c r="AE33" i="9"/>
  <c r="L10" i="18"/>
  <c r="Q10" i="18" s="1"/>
  <c r="L30" i="18"/>
  <c r="Q30" i="18" s="1"/>
  <c r="L20" i="18"/>
  <c r="Q20" i="18" s="1"/>
  <c r="B31" i="9"/>
  <c r="B9" i="9"/>
  <c r="A18" i="18"/>
  <c r="A8" i="18"/>
  <c r="A28" i="18"/>
  <c r="A31" i="9"/>
  <c r="A20" i="9"/>
  <c r="A9" i="9"/>
  <c r="B20" i="9"/>
  <c r="AD9" i="9" l="1"/>
  <c r="AD20" i="9" s="1"/>
  <c r="AD31" i="9" s="1"/>
  <c r="AD42" i="9" s="1"/>
  <c r="AV39" i="18"/>
  <c r="AZ43" i="9"/>
  <c r="AZ40" i="18"/>
  <c r="AX39" i="18"/>
  <c r="R38" i="20"/>
  <c r="AZ19" i="18"/>
  <c r="AZ29" i="18"/>
  <c r="AW39" i="18"/>
  <c r="AY39" i="18"/>
  <c r="AS28" i="18"/>
  <c r="AT28" i="18"/>
  <c r="AV28" i="18"/>
  <c r="AP28" i="18"/>
  <c r="AX28" i="18"/>
  <c r="AR28" i="18"/>
  <c r="AQ28" i="18"/>
  <c r="AU28" i="18"/>
  <c r="AW28" i="18"/>
  <c r="AY28" i="18"/>
  <c r="AC8" i="18"/>
  <c r="AC18" i="18" s="1"/>
  <c r="AC28" i="18" s="1"/>
  <c r="AC38" i="18" s="1"/>
  <c r="AS8" i="18"/>
  <c r="AT8" i="18"/>
  <c r="AV8" i="18"/>
  <c r="AP8" i="18"/>
  <c r="AX8" i="18"/>
  <c r="AQ8" i="18"/>
  <c r="AR8" i="18"/>
  <c r="AU8" i="18"/>
  <c r="AW8" i="18"/>
  <c r="AY8" i="18"/>
  <c r="AS18" i="18"/>
  <c r="AT18" i="18"/>
  <c r="AV18" i="18"/>
  <c r="AP18" i="18"/>
  <c r="AX18" i="18"/>
  <c r="AR18" i="18"/>
  <c r="AY18" i="18"/>
  <c r="AW18" i="18"/>
  <c r="AQ18" i="18"/>
  <c r="AU18" i="18"/>
  <c r="AU39" i="18"/>
  <c r="AZ9" i="18"/>
  <c r="BA21" i="9"/>
  <c r="AW43" i="9"/>
  <c r="BA10" i="9"/>
  <c r="BA32" i="9"/>
  <c r="BA44" i="9"/>
  <c r="AX43" i="9"/>
  <c r="AU20" i="9"/>
  <c r="AV20" i="9"/>
  <c r="AW20" i="9"/>
  <c r="AX20" i="9"/>
  <c r="AT20" i="9"/>
  <c r="AQ20" i="9"/>
  <c r="AY20" i="9"/>
  <c r="AR20" i="9"/>
  <c r="AZ20" i="9"/>
  <c r="AS20" i="9"/>
  <c r="AW31" i="9"/>
  <c r="AX31" i="9"/>
  <c r="AQ31" i="9"/>
  <c r="AY31" i="9"/>
  <c r="AR31" i="9"/>
  <c r="AZ31" i="9"/>
  <c r="AS31" i="9"/>
  <c r="AT31" i="9"/>
  <c r="AU31" i="9"/>
  <c r="AV31" i="9"/>
  <c r="AS9" i="9"/>
  <c r="AT9" i="9"/>
  <c r="AU9" i="9"/>
  <c r="AV9" i="9"/>
  <c r="AR9" i="9"/>
  <c r="AW9" i="9"/>
  <c r="AZ9" i="9"/>
  <c r="AX9" i="9"/>
  <c r="AQ9" i="9"/>
  <c r="AY9" i="9"/>
  <c r="AY43" i="9"/>
  <c r="AV43" i="9"/>
  <c r="U2" i="20"/>
  <c r="U38" i="20" s="1"/>
  <c r="U71" i="20"/>
  <c r="U46" i="20"/>
  <c r="U39" i="20"/>
  <c r="M21" i="9"/>
  <c r="R21" i="9" s="1"/>
  <c r="M32" i="9"/>
  <c r="R32" i="9" s="1"/>
  <c r="G28" i="18"/>
  <c r="H28" i="18"/>
  <c r="I28" i="18"/>
  <c r="J28" i="18"/>
  <c r="C28" i="18"/>
  <c r="K28" i="18"/>
  <c r="D28" i="18"/>
  <c r="E28" i="18"/>
  <c r="F28" i="18"/>
  <c r="M10" i="9"/>
  <c r="R10" i="9" s="1"/>
  <c r="F18" i="18"/>
  <c r="G18" i="18"/>
  <c r="H18" i="18"/>
  <c r="I18" i="18"/>
  <c r="J18" i="18"/>
  <c r="C18" i="18"/>
  <c r="K18" i="18"/>
  <c r="D18" i="18"/>
  <c r="E18" i="18"/>
  <c r="E9" i="9"/>
  <c r="F9" i="9"/>
  <c r="G9" i="9"/>
  <c r="H9" i="9"/>
  <c r="I9" i="9"/>
  <c r="J9" i="9"/>
  <c r="L9" i="9"/>
  <c r="D9" i="9"/>
  <c r="K9" i="9"/>
  <c r="E8" i="18"/>
  <c r="F8" i="18"/>
  <c r="G8" i="18"/>
  <c r="H8" i="18"/>
  <c r="I8" i="18"/>
  <c r="J8" i="18"/>
  <c r="C8" i="18"/>
  <c r="K8" i="18"/>
  <c r="D8" i="18"/>
  <c r="E20" i="9"/>
  <c r="H20" i="9"/>
  <c r="F20" i="9"/>
  <c r="D20" i="9"/>
  <c r="G20" i="9"/>
  <c r="I20" i="9"/>
  <c r="J20" i="9"/>
  <c r="K20" i="9"/>
  <c r="L20" i="9"/>
  <c r="E31" i="9"/>
  <c r="F31" i="9"/>
  <c r="G31" i="9"/>
  <c r="D31" i="9"/>
  <c r="H31" i="9"/>
  <c r="I31" i="9"/>
  <c r="J31" i="9"/>
  <c r="L31" i="9"/>
  <c r="K31" i="9"/>
  <c r="T52" i="20"/>
  <c r="T12" i="20"/>
  <c r="T83" i="20"/>
  <c r="T63" i="20"/>
  <c r="T38" i="20"/>
  <c r="T91" i="20"/>
  <c r="T31" i="20"/>
  <c r="T39" i="20"/>
  <c r="T2" i="20"/>
  <c r="T64" i="20"/>
  <c r="T92" i="20"/>
  <c r="T32" i="20"/>
  <c r="T93" i="20"/>
  <c r="T65" i="20"/>
  <c r="T33" i="20"/>
  <c r="T66" i="20"/>
  <c r="T34" i="20"/>
  <c r="T94" i="20"/>
  <c r="T95" i="20"/>
  <c r="T67" i="20"/>
  <c r="T35" i="20"/>
  <c r="T96" i="20"/>
  <c r="T36" i="20"/>
  <c r="T68" i="20"/>
  <c r="T70" i="20"/>
  <c r="T69" i="20"/>
  <c r="T97" i="20"/>
  <c r="T37" i="20"/>
  <c r="T98" i="20"/>
  <c r="T99" i="20"/>
  <c r="T100" i="20"/>
  <c r="T101" i="20"/>
  <c r="T46" i="20"/>
  <c r="T40" i="20"/>
  <c r="T41" i="20"/>
  <c r="T47" i="20"/>
  <c r="T71" i="20"/>
  <c r="T48" i="20"/>
  <c r="T42" i="20"/>
  <c r="T49" i="20"/>
  <c r="T43" i="20"/>
  <c r="T50" i="20"/>
  <c r="T44" i="20"/>
  <c r="T51" i="20"/>
  <c r="T45" i="20"/>
  <c r="T3" i="20"/>
  <c r="T4" i="20"/>
  <c r="T5" i="20"/>
  <c r="T6" i="20"/>
  <c r="T7" i="20"/>
  <c r="T8" i="20"/>
  <c r="T9" i="20"/>
  <c r="T10" i="20"/>
  <c r="T11" i="20"/>
  <c r="R379" i="30"/>
  <c r="R383" i="30"/>
  <c r="R380" i="30"/>
  <c r="BB11" i="9"/>
  <c r="BC11" i="9" s="1"/>
  <c r="BD11" i="9" s="1"/>
  <c r="BB33" i="9"/>
  <c r="BA30" i="18"/>
  <c r="BB30" i="18" s="1"/>
  <c r="BC30" i="18" s="1"/>
  <c r="BA20" i="18"/>
  <c r="BA10" i="18"/>
  <c r="BB10" i="18" s="1"/>
  <c r="BC10" i="18" s="1"/>
  <c r="BB22" i="9"/>
  <c r="BC22" i="9" s="1"/>
  <c r="AP21" i="9"/>
  <c r="AO29" i="18"/>
  <c r="AO40" i="18"/>
  <c r="AO9" i="18"/>
  <c r="AP32" i="9"/>
  <c r="AP10" i="9"/>
  <c r="AP44" i="9"/>
  <c r="AO19" i="18"/>
  <c r="R39" i="20"/>
  <c r="R46" i="20"/>
  <c r="AP39" i="18"/>
  <c r="R2" i="20"/>
  <c r="S363" i="30"/>
  <c r="S378" i="30" s="1"/>
  <c r="Q70" i="20"/>
  <c r="Q55" i="20"/>
  <c r="Q65" i="20"/>
  <c r="Q58" i="20"/>
  <c r="Q62" i="20"/>
  <c r="Q52" i="20"/>
  <c r="Q51" i="20"/>
  <c r="R51" i="20" s="1"/>
  <c r="Q50" i="20"/>
  <c r="R50" i="20" s="1"/>
  <c r="Q68" i="20"/>
  <c r="Q59" i="20"/>
  <c r="Q49" i="20"/>
  <c r="R49" i="20" s="1"/>
  <c r="Q67" i="20"/>
  <c r="Q57" i="20"/>
  <c r="Q48" i="20"/>
  <c r="R48" i="20" s="1"/>
  <c r="Q53" i="20"/>
  <c r="Q66" i="20"/>
  <c r="Q56" i="20"/>
  <c r="Q47" i="20"/>
  <c r="R47" i="20" s="1"/>
  <c r="Q60" i="20"/>
  <c r="Q64" i="20"/>
  <c r="Q54" i="20"/>
  <c r="Q63" i="20"/>
  <c r="Q61" i="20"/>
  <c r="Q69" i="20"/>
  <c r="Q44" i="20"/>
  <c r="R44" i="20" s="1"/>
  <c r="Q41" i="20"/>
  <c r="R41" i="20" s="1"/>
  <c r="Q40" i="20"/>
  <c r="R40" i="20" s="1"/>
  <c r="Q45" i="20"/>
  <c r="R45" i="20" s="1"/>
  <c r="Q43" i="20"/>
  <c r="R43" i="20" s="1"/>
  <c r="Q42" i="20"/>
  <c r="R42" i="20" s="1"/>
  <c r="Q36" i="20"/>
  <c r="Q28" i="20"/>
  <c r="Q20" i="20"/>
  <c r="Q12" i="20"/>
  <c r="Q5" i="20"/>
  <c r="R5" i="20" s="1"/>
  <c r="Q27" i="20"/>
  <c r="Q4" i="20"/>
  <c r="R4" i="20" s="1"/>
  <c r="Q18" i="20"/>
  <c r="Q33" i="20"/>
  <c r="Q25" i="20"/>
  <c r="Q17" i="20"/>
  <c r="Q10" i="20"/>
  <c r="R10" i="20" s="1"/>
  <c r="Q24" i="20"/>
  <c r="Q11" i="20"/>
  <c r="R11" i="20" s="1"/>
  <c r="Q32" i="20"/>
  <c r="Q16" i="20"/>
  <c r="Q9" i="20"/>
  <c r="R9" i="20" s="1"/>
  <c r="Q29" i="20"/>
  <c r="Q13" i="20"/>
  <c r="Q26" i="20"/>
  <c r="Q31" i="20"/>
  <c r="Q23" i="20"/>
  <c r="Q15" i="20"/>
  <c r="Q8" i="20"/>
  <c r="R8" i="20" s="1"/>
  <c r="Q19" i="20"/>
  <c r="Q34" i="20"/>
  <c r="Q30" i="20"/>
  <c r="Q22" i="20"/>
  <c r="Q14" i="20"/>
  <c r="Q7" i="20"/>
  <c r="R7" i="20" s="1"/>
  <c r="Q37" i="20"/>
  <c r="Q21" i="20"/>
  <c r="Q6" i="20"/>
  <c r="R6" i="20" s="1"/>
  <c r="Q35" i="20"/>
  <c r="Q3" i="20"/>
  <c r="R3" i="20" s="1"/>
  <c r="Q94" i="20"/>
  <c r="Q86" i="20"/>
  <c r="Q78" i="20"/>
  <c r="Q97" i="20"/>
  <c r="Q89" i="20"/>
  <c r="Q81" i="20"/>
  <c r="Q73" i="20"/>
  <c r="Q93" i="20"/>
  <c r="Q83" i="20"/>
  <c r="Q72" i="20"/>
  <c r="Q92" i="20"/>
  <c r="Q82" i="20"/>
  <c r="Q91" i="20"/>
  <c r="Q100" i="20"/>
  <c r="Q90" i="20"/>
  <c r="Q79" i="20"/>
  <c r="Q101" i="20"/>
  <c r="Q99" i="20"/>
  <c r="Q88" i="20"/>
  <c r="Q77" i="20"/>
  <c r="Q74" i="20"/>
  <c r="Q80" i="20"/>
  <c r="Q98" i="20"/>
  <c r="Q87" i="20"/>
  <c r="Q76" i="20"/>
  <c r="Q95" i="20"/>
  <c r="Q96" i="20"/>
  <c r="Q85" i="20"/>
  <c r="Q75" i="20"/>
  <c r="Q84" i="20"/>
  <c r="BB41" i="18"/>
  <c r="BC12" i="9"/>
  <c r="BD12" i="9" s="1"/>
  <c r="N19" i="18"/>
  <c r="T9" i="18"/>
  <c r="V10" i="9"/>
  <c r="U10" i="9"/>
  <c r="V21" i="9"/>
  <c r="U21" i="9"/>
  <c r="V32" i="9"/>
  <c r="U32" i="9"/>
  <c r="U9" i="18"/>
  <c r="U19" i="18"/>
  <c r="U29" i="18"/>
  <c r="N29" i="18"/>
  <c r="T19" i="18"/>
  <c r="N9" i="18"/>
  <c r="T29" i="18"/>
  <c r="AL43" i="9"/>
  <c r="AN43" i="9"/>
  <c r="AJ43" i="9"/>
  <c r="AT39" i="18"/>
  <c r="AR39" i="18"/>
  <c r="AI39" i="18"/>
  <c r="AN39" i="18"/>
  <c r="AG39" i="18"/>
  <c r="AK39" i="18"/>
  <c r="AE39" i="18"/>
  <c r="AS43" i="9"/>
  <c r="AT43" i="9"/>
  <c r="AH39" i="18"/>
  <c r="AM39" i="18"/>
  <c r="AQ39" i="18"/>
  <c r="AS39" i="18"/>
  <c r="AK43" i="9"/>
  <c r="AF39" i="18"/>
  <c r="AJ39" i="18"/>
  <c r="AL39" i="18"/>
  <c r="AG43" i="9"/>
  <c r="AR43" i="9"/>
  <c r="AU43" i="9"/>
  <c r="AI43" i="9"/>
  <c r="AM43" i="9"/>
  <c r="AF43" i="9"/>
  <c r="AH43" i="9"/>
  <c r="AO43" i="9"/>
  <c r="AQ43" i="9"/>
  <c r="AD19" i="18"/>
  <c r="BC19" i="18" s="1"/>
  <c r="AD29" i="18"/>
  <c r="BC29" i="18" s="1"/>
  <c r="AL8" i="18"/>
  <c r="AN8" i="18"/>
  <c r="AF8" i="18"/>
  <c r="AI8" i="18"/>
  <c r="AM8" i="18"/>
  <c r="AJ8" i="18"/>
  <c r="AH8" i="18"/>
  <c r="AK8" i="18"/>
  <c r="AG8" i="18"/>
  <c r="AE8" i="18"/>
  <c r="AN18" i="18"/>
  <c r="AL18" i="18"/>
  <c r="AM18" i="18"/>
  <c r="AI18" i="18"/>
  <c r="AG18" i="18"/>
  <c r="AE18" i="18"/>
  <c r="AJ18" i="18"/>
  <c r="AK18" i="18"/>
  <c r="AH18" i="18"/>
  <c r="AF18" i="18"/>
  <c r="AM28" i="18"/>
  <c r="AL28" i="18"/>
  <c r="AN28" i="18"/>
  <c r="AG28" i="18"/>
  <c r="AE28" i="18"/>
  <c r="AJ28" i="18"/>
  <c r="AH28" i="18"/>
  <c r="AF28" i="18"/>
  <c r="AK28" i="18"/>
  <c r="AI28" i="18"/>
  <c r="AJ31" i="9"/>
  <c r="AN31" i="9"/>
  <c r="AL31" i="9"/>
  <c r="AI31" i="9"/>
  <c r="AM31" i="9"/>
  <c r="AK31" i="9"/>
  <c r="AO31" i="9"/>
  <c r="AI20" i="9"/>
  <c r="AM20" i="9"/>
  <c r="AK20" i="9"/>
  <c r="AO20" i="9"/>
  <c r="AJ20" i="9"/>
  <c r="AL20" i="9"/>
  <c r="AN20" i="9"/>
  <c r="AH9" i="9"/>
  <c r="AL9" i="9"/>
  <c r="AI9" i="9"/>
  <c r="AM9" i="9"/>
  <c r="AF9" i="9"/>
  <c r="AJ9" i="9"/>
  <c r="AN9" i="9"/>
  <c r="AK9" i="9"/>
  <c r="AO9" i="9"/>
  <c r="AG9" i="9"/>
  <c r="AF20" i="9"/>
  <c r="AH20" i="9"/>
  <c r="AG20" i="9"/>
  <c r="AG31" i="9"/>
  <c r="AH31" i="9"/>
  <c r="AF31" i="9"/>
  <c r="AA33" i="9"/>
  <c r="AC33" i="9" s="1"/>
  <c r="S33" i="9"/>
  <c r="T33" i="9" s="1"/>
  <c r="P29" i="18"/>
  <c r="AB22" i="9"/>
  <c r="AA20" i="18"/>
  <c r="Q32" i="9"/>
  <c r="V20" i="18"/>
  <c r="P9" i="18"/>
  <c r="Z10" i="9"/>
  <c r="Q10" i="9"/>
  <c r="Q21" i="9"/>
  <c r="Y19" i="18"/>
  <c r="Y29" i="18"/>
  <c r="P19" i="18"/>
  <c r="Z32" i="9"/>
  <c r="AA30" i="18"/>
  <c r="V30" i="18"/>
  <c r="AA11" i="9"/>
  <c r="AC11" i="9" s="1"/>
  <c r="AA22" i="9"/>
  <c r="AC22" i="9" s="1"/>
  <c r="X20" i="18"/>
  <c r="X10" i="18"/>
  <c r="Y9" i="18"/>
  <c r="Z21" i="9"/>
  <c r="V10" i="18"/>
  <c r="Y22" i="9"/>
  <c r="X30" i="18"/>
  <c r="AA10" i="18"/>
  <c r="W11" i="9"/>
  <c r="W33" i="9"/>
  <c r="Y33" i="9"/>
  <c r="P11" i="9"/>
  <c r="X11" i="9" s="1"/>
  <c r="AB11" i="9"/>
  <c r="W22" i="9"/>
  <c r="P33" i="9"/>
  <c r="X33" i="9" s="1"/>
  <c r="AB33" i="9"/>
  <c r="Y11" i="9"/>
  <c r="M9" i="18"/>
  <c r="M29" i="18"/>
  <c r="M19" i="18"/>
  <c r="S22" i="9"/>
  <c r="T22" i="9" s="1"/>
  <c r="S11" i="9"/>
  <c r="T11" i="9" s="1"/>
  <c r="P22" i="9"/>
  <c r="X22" i="9" s="1"/>
  <c r="N21" i="9"/>
  <c r="N32" i="9"/>
  <c r="N10" i="9"/>
  <c r="O10" i="9"/>
  <c r="O21" i="9"/>
  <c r="O32" i="9"/>
  <c r="AD9" i="18"/>
  <c r="BC9" i="18" s="1"/>
  <c r="AE21" i="9"/>
  <c r="AE10" i="9"/>
  <c r="AE32" i="9"/>
  <c r="L19" i="18"/>
  <c r="Q19" i="18" s="1"/>
  <c r="L29" i="18"/>
  <c r="Q29" i="18" s="1"/>
  <c r="L9" i="18"/>
  <c r="Q9" i="18" s="1"/>
  <c r="B8" i="9"/>
  <c r="B30" i="9"/>
  <c r="A8" i="9"/>
  <c r="A7" i="18"/>
  <c r="A27" i="18"/>
  <c r="A17" i="18"/>
  <c r="A30" i="9"/>
  <c r="B19" i="9"/>
  <c r="A19" i="9"/>
  <c r="AX42" i="9" l="1"/>
  <c r="AW42" i="9"/>
  <c r="AZ18" i="18"/>
  <c r="AX38" i="18"/>
  <c r="AU38" i="18"/>
  <c r="AU17" i="18"/>
  <c r="AV17" i="18"/>
  <c r="AP17" i="18"/>
  <c r="AX17" i="18"/>
  <c r="AR17" i="18"/>
  <c r="AT17" i="18"/>
  <c r="AQ17" i="18"/>
  <c r="AS17" i="18"/>
  <c r="AW17" i="18"/>
  <c r="AY17" i="18"/>
  <c r="AU27" i="18"/>
  <c r="AV27" i="18"/>
  <c r="AP27" i="18"/>
  <c r="AX27" i="18"/>
  <c r="AR27" i="18"/>
  <c r="AT27" i="18"/>
  <c r="AS27" i="18"/>
  <c r="AW27" i="18"/>
  <c r="AY27" i="18"/>
  <c r="AQ27" i="18"/>
  <c r="AZ42" i="9"/>
  <c r="AC7" i="18"/>
  <c r="AC17" i="18" s="1"/>
  <c r="AC27" i="18" s="1"/>
  <c r="AC37" i="18" s="1"/>
  <c r="AU7" i="18"/>
  <c r="AV7" i="18"/>
  <c r="AP7" i="18"/>
  <c r="AX7" i="18"/>
  <c r="AR7" i="18"/>
  <c r="AS7" i="18"/>
  <c r="AT7" i="18"/>
  <c r="AQ7" i="18"/>
  <c r="AW7" i="18"/>
  <c r="AY7" i="18"/>
  <c r="AZ8" i="18"/>
  <c r="BA43" i="9"/>
  <c r="AZ39" i="18"/>
  <c r="AV38" i="18"/>
  <c r="AY38" i="18"/>
  <c r="AW38" i="18"/>
  <c r="AZ28" i="18"/>
  <c r="AV42" i="9"/>
  <c r="BA20" i="9"/>
  <c r="BA9" i="9"/>
  <c r="BA31" i="9"/>
  <c r="AW19" i="9"/>
  <c r="AX19" i="9"/>
  <c r="AQ19" i="9"/>
  <c r="AY19" i="9"/>
  <c r="AR19" i="9"/>
  <c r="AZ19" i="9"/>
  <c r="AS19" i="9"/>
  <c r="AT19" i="9"/>
  <c r="AV19" i="9"/>
  <c r="AU19" i="9"/>
  <c r="AD8" i="9"/>
  <c r="AD19" i="9" s="1"/>
  <c r="AD30" i="9" s="1"/>
  <c r="AD41" i="9" s="1"/>
  <c r="AY42" i="9"/>
  <c r="AQ30" i="9"/>
  <c r="AY30" i="9"/>
  <c r="AR30" i="9"/>
  <c r="AZ30" i="9"/>
  <c r="AS30" i="9"/>
  <c r="AT30" i="9"/>
  <c r="AX30" i="9"/>
  <c r="AU30" i="9"/>
  <c r="AV30" i="9"/>
  <c r="AW30" i="9"/>
  <c r="AU8" i="9"/>
  <c r="AV8" i="9"/>
  <c r="AW8" i="9"/>
  <c r="AX8" i="9"/>
  <c r="AQ8" i="9"/>
  <c r="AY8" i="9"/>
  <c r="AR8" i="9"/>
  <c r="AZ8" i="9"/>
  <c r="AS8" i="9"/>
  <c r="AT8" i="9"/>
  <c r="Y39" i="20"/>
  <c r="Y2" i="20"/>
  <c r="Y38" i="20" s="1"/>
  <c r="Y71" i="20"/>
  <c r="Y46" i="20"/>
  <c r="V38" i="20"/>
  <c r="M9" i="9"/>
  <c r="R9" i="9" s="1"/>
  <c r="H27" i="18"/>
  <c r="I27" i="18"/>
  <c r="J27" i="18"/>
  <c r="C27" i="18"/>
  <c r="K27" i="18"/>
  <c r="D27" i="18"/>
  <c r="E27" i="18"/>
  <c r="F27" i="18"/>
  <c r="G27" i="18"/>
  <c r="G17" i="18"/>
  <c r="H17" i="18"/>
  <c r="I17" i="18"/>
  <c r="J17" i="18"/>
  <c r="C17" i="18"/>
  <c r="K17" i="18"/>
  <c r="D17" i="18"/>
  <c r="E17" i="18"/>
  <c r="F17" i="18"/>
  <c r="M20" i="9"/>
  <c r="E30" i="9"/>
  <c r="D30" i="9"/>
  <c r="F30" i="9"/>
  <c r="G30" i="9"/>
  <c r="H30" i="9"/>
  <c r="I30" i="9"/>
  <c r="L30" i="9"/>
  <c r="J30" i="9"/>
  <c r="K30" i="9"/>
  <c r="M31" i="9"/>
  <c r="R31" i="9" s="1"/>
  <c r="F7" i="18"/>
  <c r="G7" i="18"/>
  <c r="H7" i="18"/>
  <c r="I7" i="18"/>
  <c r="J7" i="18"/>
  <c r="C7" i="18"/>
  <c r="K7" i="18"/>
  <c r="D7" i="18"/>
  <c r="E7" i="18"/>
  <c r="E8" i="9"/>
  <c r="F8" i="9"/>
  <c r="G8" i="9"/>
  <c r="H8" i="9"/>
  <c r="L8" i="9"/>
  <c r="I8" i="9"/>
  <c r="J8" i="9"/>
  <c r="K8" i="9"/>
  <c r="D8" i="9"/>
  <c r="E19" i="9"/>
  <c r="G19" i="9"/>
  <c r="I19" i="9"/>
  <c r="L19" i="9"/>
  <c r="H19" i="9"/>
  <c r="D19" i="9"/>
  <c r="J19" i="9"/>
  <c r="K19" i="9"/>
  <c r="F19" i="9"/>
  <c r="X12" i="20"/>
  <c r="X52" i="20"/>
  <c r="X83" i="20"/>
  <c r="X39" i="20"/>
  <c r="X2" i="20"/>
  <c r="X31" i="20"/>
  <c r="X38" i="20"/>
  <c r="X91" i="20"/>
  <c r="X63" i="20"/>
  <c r="X64" i="20"/>
  <c r="X32" i="20"/>
  <c r="X92" i="20"/>
  <c r="X65" i="20"/>
  <c r="X93" i="20"/>
  <c r="X33" i="20"/>
  <c r="X66" i="20"/>
  <c r="X94" i="20"/>
  <c r="X34" i="20"/>
  <c r="X95" i="20"/>
  <c r="X35" i="20"/>
  <c r="X67" i="20"/>
  <c r="X96" i="20"/>
  <c r="X36" i="20"/>
  <c r="X68" i="20"/>
  <c r="X70" i="20"/>
  <c r="X69" i="20"/>
  <c r="X97" i="20"/>
  <c r="X37" i="20"/>
  <c r="X98" i="20"/>
  <c r="X99" i="20"/>
  <c r="X100" i="20"/>
  <c r="X101" i="20"/>
  <c r="X46" i="20"/>
  <c r="X40" i="20"/>
  <c r="X41" i="20"/>
  <c r="X47" i="20"/>
  <c r="X71" i="20"/>
  <c r="X48" i="20"/>
  <c r="X42" i="20"/>
  <c r="X43" i="20"/>
  <c r="X49" i="20"/>
  <c r="X50" i="20"/>
  <c r="X44" i="20"/>
  <c r="X45" i="20"/>
  <c r="X51" i="20"/>
  <c r="X3" i="20"/>
  <c r="X4" i="20"/>
  <c r="X5" i="20"/>
  <c r="X6" i="20"/>
  <c r="X7" i="20"/>
  <c r="X8" i="20"/>
  <c r="X9" i="20"/>
  <c r="X10" i="20"/>
  <c r="X11" i="20"/>
  <c r="V39" i="20"/>
  <c r="S379" i="30"/>
  <c r="R365" i="30"/>
  <c r="S380" i="30"/>
  <c r="S383" i="30"/>
  <c r="R368" i="30"/>
  <c r="R364" i="30"/>
  <c r="BA29" i="18"/>
  <c r="BB29" i="18" s="1"/>
  <c r="BB21" i="9"/>
  <c r="BC21" i="9" s="1"/>
  <c r="BD21" i="9" s="1"/>
  <c r="BA19" i="18"/>
  <c r="BB19" i="18" s="1"/>
  <c r="BB44" i="9"/>
  <c r="BB10" i="9"/>
  <c r="BB32" i="9"/>
  <c r="AO18" i="18"/>
  <c r="AP43" i="9"/>
  <c r="BA9" i="18"/>
  <c r="BA40" i="18"/>
  <c r="BB40" i="18" s="1"/>
  <c r="AO39" i="18"/>
  <c r="AP31" i="9"/>
  <c r="AP9" i="9"/>
  <c r="AP20" i="9"/>
  <c r="AO28" i="18"/>
  <c r="AO8" i="18"/>
  <c r="AP38" i="18"/>
  <c r="V46" i="20"/>
  <c r="V2" i="20"/>
  <c r="U94" i="20"/>
  <c r="U86" i="20"/>
  <c r="U78" i="20"/>
  <c r="U101" i="20"/>
  <c r="U93" i="20"/>
  <c r="U85" i="20"/>
  <c r="U77" i="20"/>
  <c r="U99" i="20"/>
  <c r="U91" i="20"/>
  <c r="U83" i="20"/>
  <c r="U75" i="20"/>
  <c r="U97" i="20"/>
  <c r="U89" i="20"/>
  <c r="U81" i="20"/>
  <c r="U73" i="20"/>
  <c r="U96" i="20"/>
  <c r="U88" i="20"/>
  <c r="U80" i="20"/>
  <c r="U72" i="20"/>
  <c r="U95" i="20"/>
  <c r="U87" i="20"/>
  <c r="U79" i="20"/>
  <c r="U76" i="20"/>
  <c r="U74" i="20"/>
  <c r="U100" i="20"/>
  <c r="U98" i="20"/>
  <c r="U92" i="20"/>
  <c r="U90" i="20"/>
  <c r="U84" i="20"/>
  <c r="U82" i="20"/>
  <c r="U31" i="20"/>
  <c r="U23" i="20"/>
  <c r="U15" i="20"/>
  <c r="U8" i="20"/>
  <c r="V8" i="20" s="1"/>
  <c r="U30" i="20"/>
  <c r="U36" i="20"/>
  <c r="U28" i="20"/>
  <c r="U34" i="20"/>
  <c r="U26" i="20"/>
  <c r="U18" i="20"/>
  <c r="U11" i="20"/>
  <c r="V11" i="20" s="1"/>
  <c r="U3" i="20"/>
  <c r="V3" i="20" s="1"/>
  <c r="U33" i="20"/>
  <c r="U25" i="20"/>
  <c r="U17" i="20"/>
  <c r="U10" i="20"/>
  <c r="V10" i="20" s="1"/>
  <c r="U32" i="20"/>
  <c r="U24" i="20"/>
  <c r="U16" i="20"/>
  <c r="U9" i="20"/>
  <c r="V9" i="20" s="1"/>
  <c r="U20" i="20"/>
  <c r="U5" i="20"/>
  <c r="V5" i="20" s="1"/>
  <c r="U19" i="20"/>
  <c r="U4" i="20"/>
  <c r="V4" i="20" s="1"/>
  <c r="U37" i="20"/>
  <c r="U35" i="20"/>
  <c r="U13" i="20"/>
  <c r="U29" i="20"/>
  <c r="U12" i="20"/>
  <c r="U6" i="20"/>
  <c r="V6" i="20" s="1"/>
  <c r="U27" i="20"/>
  <c r="U14" i="20"/>
  <c r="U22" i="20"/>
  <c r="U7" i="20"/>
  <c r="V7" i="20" s="1"/>
  <c r="U21" i="20"/>
  <c r="U70" i="20"/>
  <c r="U55" i="20"/>
  <c r="U47" i="20"/>
  <c r="V47" i="20" s="1"/>
  <c r="U69" i="20"/>
  <c r="U62" i="20"/>
  <c r="U54" i="20"/>
  <c r="U67" i="20"/>
  <c r="U60" i="20"/>
  <c r="U52" i="20"/>
  <c r="U65" i="20"/>
  <c r="U58" i="20"/>
  <c r="U50" i="20"/>
  <c r="V50" i="20" s="1"/>
  <c r="U64" i="20"/>
  <c r="U57" i="20"/>
  <c r="U49" i="20"/>
  <c r="V49" i="20" s="1"/>
  <c r="U63" i="20"/>
  <c r="U56" i="20"/>
  <c r="U48" i="20"/>
  <c r="V48" i="20" s="1"/>
  <c r="U66" i="20"/>
  <c r="U61" i="20"/>
  <c r="U59" i="20"/>
  <c r="U51" i="20"/>
  <c r="V51" i="20" s="1"/>
  <c r="U53" i="20"/>
  <c r="U68" i="20"/>
  <c r="T363" i="30"/>
  <c r="T378" i="30" s="1"/>
  <c r="U44" i="20"/>
  <c r="V44" i="20" s="1"/>
  <c r="U42" i="20"/>
  <c r="V42" i="20" s="1"/>
  <c r="U41" i="20"/>
  <c r="V41" i="20" s="1"/>
  <c r="U40" i="20"/>
  <c r="V40" i="20" s="1"/>
  <c r="U45" i="20"/>
  <c r="V45" i="20" s="1"/>
  <c r="U43" i="20"/>
  <c r="V43" i="20" s="1"/>
  <c r="BB20" i="18"/>
  <c r="BC20" i="18" s="1"/>
  <c r="BC33" i="9"/>
  <c r="BD33" i="9" s="1"/>
  <c r="BC45" i="9"/>
  <c r="U18" i="18"/>
  <c r="N8" i="18"/>
  <c r="N28" i="18"/>
  <c r="N18" i="18"/>
  <c r="T8" i="18"/>
  <c r="U31" i="9"/>
  <c r="U9" i="9"/>
  <c r="V9" i="9"/>
  <c r="V31" i="9"/>
  <c r="U20" i="9"/>
  <c r="V20" i="9"/>
  <c r="T18" i="18"/>
  <c r="U8" i="18"/>
  <c r="T28" i="18"/>
  <c r="U28" i="18"/>
  <c r="AS38" i="18"/>
  <c r="A29" i="9"/>
  <c r="B29" i="9"/>
  <c r="B18" i="9"/>
  <c r="A18" i="9"/>
  <c r="A7" i="9"/>
  <c r="B7" i="9"/>
  <c r="AK38" i="18"/>
  <c r="AI38" i="18"/>
  <c r="AT38" i="18"/>
  <c r="AH38" i="18"/>
  <c r="AF38" i="18"/>
  <c r="AR38" i="18"/>
  <c r="AE38" i="18"/>
  <c r="AJ38" i="18"/>
  <c r="AN38" i="18"/>
  <c r="AG38" i="18"/>
  <c r="AM38" i="18"/>
  <c r="AL38" i="18"/>
  <c r="AQ38" i="18"/>
  <c r="AO42" i="9"/>
  <c r="AI42" i="9"/>
  <c r="AL42" i="9"/>
  <c r="AR42" i="9"/>
  <c r="AF42" i="9"/>
  <c r="AH42" i="9"/>
  <c r="AS42" i="9"/>
  <c r="AG42" i="9"/>
  <c r="AJ42" i="9"/>
  <c r="AK42" i="9"/>
  <c r="AM42" i="9"/>
  <c r="AQ42" i="9"/>
  <c r="AT42" i="9"/>
  <c r="AN42" i="9"/>
  <c r="AU42" i="9"/>
  <c r="AD28" i="18"/>
  <c r="BC28" i="18" s="1"/>
  <c r="AD18" i="18"/>
  <c r="BC18" i="18" s="1"/>
  <c r="AL7" i="18"/>
  <c r="AN7" i="18"/>
  <c r="AM7" i="18"/>
  <c r="AK7" i="18"/>
  <c r="AJ7" i="18"/>
  <c r="AI7" i="18"/>
  <c r="AH7" i="18"/>
  <c r="AG7" i="18"/>
  <c r="AF7" i="18"/>
  <c r="AE7" i="18"/>
  <c r="AL17" i="18"/>
  <c r="AN17" i="18"/>
  <c r="AM17" i="18"/>
  <c r="AK17" i="18"/>
  <c r="AJ17" i="18"/>
  <c r="AI17" i="18"/>
  <c r="AH17" i="18"/>
  <c r="AG17" i="18"/>
  <c r="AF17" i="18"/>
  <c r="AE17" i="18"/>
  <c r="AL27" i="18"/>
  <c r="AN27" i="18"/>
  <c r="AM27" i="18"/>
  <c r="AK27" i="18"/>
  <c r="AJ27" i="18"/>
  <c r="AI27" i="18"/>
  <c r="AH27" i="18"/>
  <c r="AG27" i="18"/>
  <c r="AF27" i="18"/>
  <c r="AE27" i="18"/>
  <c r="AL19" i="9"/>
  <c r="AJ19" i="9"/>
  <c r="AN19" i="9"/>
  <c r="AO19" i="9"/>
  <c r="AI19" i="9"/>
  <c r="AK19" i="9"/>
  <c r="AM19" i="9"/>
  <c r="AI30" i="9"/>
  <c r="AM30" i="9"/>
  <c r="AK30" i="9"/>
  <c r="AO30" i="9"/>
  <c r="AL30" i="9"/>
  <c r="AN30" i="9"/>
  <c r="AJ30" i="9"/>
  <c r="AF30" i="9"/>
  <c r="AG30" i="9"/>
  <c r="AH30" i="9"/>
  <c r="AF8" i="9"/>
  <c r="AJ8" i="9"/>
  <c r="AN8" i="9"/>
  <c r="AG8" i="9"/>
  <c r="AK8" i="9"/>
  <c r="AO8" i="9"/>
  <c r="AH8" i="9"/>
  <c r="AL8" i="9"/>
  <c r="AI8" i="9"/>
  <c r="AM8" i="9"/>
  <c r="AH19" i="9"/>
  <c r="AF19" i="9"/>
  <c r="AG19" i="9"/>
  <c r="V29" i="18"/>
  <c r="AA10" i="9"/>
  <c r="AC10" i="9" s="1"/>
  <c r="AA29" i="18"/>
  <c r="Y8" i="18"/>
  <c r="AA19" i="18"/>
  <c r="V9" i="18"/>
  <c r="W32" i="9"/>
  <c r="W10" i="9"/>
  <c r="Z31" i="9"/>
  <c r="AA9" i="18"/>
  <c r="W21" i="9"/>
  <c r="S21" i="9"/>
  <c r="T21" i="9" s="1"/>
  <c r="AB32" i="9"/>
  <c r="AA21" i="9"/>
  <c r="AC21" i="9" s="1"/>
  <c r="AB21" i="9"/>
  <c r="X19" i="18"/>
  <c r="V19" i="18"/>
  <c r="M18" i="18"/>
  <c r="Y18" i="18"/>
  <c r="X29" i="18"/>
  <c r="P8" i="18"/>
  <c r="P28" i="18"/>
  <c r="Y28" i="18"/>
  <c r="S32" i="9"/>
  <c r="T32" i="9" s="1"/>
  <c r="Y21" i="9"/>
  <c r="X9" i="18"/>
  <c r="Z9" i="9"/>
  <c r="AA32" i="9"/>
  <c r="AC32" i="9" s="1"/>
  <c r="Y10" i="9"/>
  <c r="P10" i="9"/>
  <c r="X10" i="9" s="1"/>
  <c r="AB10" i="9"/>
  <c r="Z20" i="9"/>
  <c r="N31" i="9"/>
  <c r="Y32" i="9"/>
  <c r="P18" i="18"/>
  <c r="M8" i="18"/>
  <c r="O20" i="9"/>
  <c r="O9" i="9"/>
  <c r="S10" i="9"/>
  <c r="T10" i="9" s="1"/>
  <c r="Q31" i="9"/>
  <c r="M28" i="18"/>
  <c r="N9" i="9"/>
  <c r="P32" i="9"/>
  <c r="X32" i="9" s="1"/>
  <c r="Q20" i="9"/>
  <c r="Q9" i="9"/>
  <c r="P21" i="9"/>
  <c r="X21" i="9" s="1"/>
  <c r="O31" i="9"/>
  <c r="N20" i="9"/>
  <c r="AD8" i="18"/>
  <c r="BC8" i="18" s="1"/>
  <c r="AE20" i="9"/>
  <c r="AE9" i="9"/>
  <c r="AE31" i="9"/>
  <c r="L8" i="18"/>
  <c r="Q8" i="18" s="1"/>
  <c r="L28" i="18"/>
  <c r="Q28" i="18" s="1"/>
  <c r="L18" i="18"/>
  <c r="Q18" i="18" s="1"/>
  <c r="R20" i="9"/>
  <c r="A16" i="18"/>
  <c r="A6" i="18"/>
  <c r="A26" i="18"/>
  <c r="AU37" i="18" l="1"/>
  <c r="AY37" i="18"/>
  <c r="AW37" i="18"/>
  <c r="AX37" i="18"/>
  <c r="AV37" i="18"/>
  <c r="AX41" i="9"/>
  <c r="AZ27" i="18"/>
  <c r="AC6" i="18"/>
  <c r="AC16" i="18" s="1"/>
  <c r="AC26" i="18" s="1"/>
  <c r="AC36" i="18" s="1"/>
  <c r="AW6" i="18"/>
  <c r="AP6" i="18"/>
  <c r="AX6" i="18"/>
  <c r="AR6" i="18"/>
  <c r="AT6" i="18"/>
  <c r="AU6" i="18"/>
  <c r="AV6" i="18"/>
  <c r="AQ6" i="18"/>
  <c r="AS6" i="18"/>
  <c r="AY6" i="18"/>
  <c r="AW16" i="18"/>
  <c r="AP16" i="18"/>
  <c r="AX16" i="18"/>
  <c r="AR16" i="18"/>
  <c r="AT16" i="18"/>
  <c r="AV16" i="18"/>
  <c r="AY16" i="18"/>
  <c r="AQ16" i="18"/>
  <c r="AU16" i="18"/>
  <c r="AS16" i="18"/>
  <c r="AZ38" i="18"/>
  <c r="AZ17" i="18"/>
  <c r="AZ7" i="18"/>
  <c r="AW26" i="18"/>
  <c r="AP26" i="18"/>
  <c r="AX26" i="18"/>
  <c r="AR26" i="18"/>
  <c r="AT26" i="18"/>
  <c r="AV26" i="18"/>
  <c r="AQ26" i="18"/>
  <c r="AS26" i="18"/>
  <c r="AU26" i="18"/>
  <c r="AY26" i="18"/>
  <c r="BA42" i="9"/>
  <c r="BA8" i="9"/>
  <c r="BA19" i="9"/>
  <c r="AV41" i="9"/>
  <c r="BA30" i="9"/>
  <c r="AD7" i="9"/>
  <c r="AD18" i="9" s="1"/>
  <c r="AD29" i="9" s="1"/>
  <c r="AD40" i="9" s="1"/>
  <c r="AZ41" i="9"/>
  <c r="AW7" i="9"/>
  <c r="AX7" i="9"/>
  <c r="AQ7" i="9"/>
  <c r="AY7" i="9"/>
  <c r="AR7" i="9"/>
  <c r="AZ7" i="9"/>
  <c r="AS7" i="9"/>
  <c r="AT7" i="9"/>
  <c r="AV7" i="9"/>
  <c r="AU7" i="9"/>
  <c r="AQ18" i="9"/>
  <c r="AY18" i="9"/>
  <c r="AR18" i="9"/>
  <c r="AZ18" i="9"/>
  <c r="AS18" i="9"/>
  <c r="AT18" i="9"/>
  <c r="AU18" i="9"/>
  <c r="AX18" i="9"/>
  <c r="AV18" i="9"/>
  <c r="AW18" i="9"/>
  <c r="AY41" i="9"/>
  <c r="AS29" i="9"/>
  <c r="AT29" i="9"/>
  <c r="AU29" i="9"/>
  <c r="AV29" i="9"/>
  <c r="AW29" i="9"/>
  <c r="AR29" i="9"/>
  <c r="AX29" i="9"/>
  <c r="AZ29" i="9"/>
  <c r="AQ29" i="9"/>
  <c r="AY29" i="9"/>
  <c r="AW41" i="9"/>
  <c r="AC2" i="20"/>
  <c r="AC38" i="20" s="1"/>
  <c r="AC71" i="20"/>
  <c r="AC46" i="20"/>
  <c r="AC39" i="20"/>
  <c r="Z38" i="20"/>
  <c r="M8" i="9"/>
  <c r="R8" i="9" s="1"/>
  <c r="M30" i="9"/>
  <c r="R30" i="9" s="1"/>
  <c r="G6" i="18"/>
  <c r="H6" i="18"/>
  <c r="I6" i="18"/>
  <c r="J6" i="18"/>
  <c r="C6" i="18"/>
  <c r="K6" i="18"/>
  <c r="D6" i="18"/>
  <c r="E6" i="18"/>
  <c r="F6" i="18"/>
  <c r="H16" i="18"/>
  <c r="I16" i="18"/>
  <c r="J16" i="18"/>
  <c r="C16" i="18"/>
  <c r="K16" i="18"/>
  <c r="D16" i="18"/>
  <c r="E16" i="18"/>
  <c r="F16" i="18"/>
  <c r="G16" i="18"/>
  <c r="E7" i="9"/>
  <c r="F7" i="9"/>
  <c r="G7" i="9"/>
  <c r="H7" i="9"/>
  <c r="I7" i="9"/>
  <c r="L7" i="9"/>
  <c r="D7" i="9"/>
  <c r="J7" i="9"/>
  <c r="K7" i="9"/>
  <c r="AB83" i="20"/>
  <c r="AB12" i="20"/>
  <c r="AB52" i="20"/>
  <c r="AB2" i="20"/>
  <c r="AB63" i="20"/>
  <c r="AB31" i="20"/>
  <c r="AB39" i="20"/>
  <c r="AB38" i="20"/>
  <c r="AB91" i="20"/>
  <c r="AB64" i="20"/>
  <c r="AB32" i="20"/>
  <c r="AB92" i="20"/>
  <c r="AB33" i="20"/>
  <c r="AB93" i="20"/>
  <c r="AB65" i="20"/>
  <c r="AB34" i="20"/>
  <c r="AB66" i="20"/>
  <c r="AB94" i="20"/>
  <c r="AB35" i="20"/>
  <c r="AB95" i="20"/>
  <c r="AB67" i="20"/>
  <c r="AB96" i="20"/>
  <c r="AB36" i="20"/>
  <c r="AB68" i="20"/>
  <c r="AB97" i="20"/>
  <c r="AB69" i="20"/>
  <c r="AB37" i="20"/>
  <c r="AB70" i="20"/>
  <c r="AB98" i="20"/>
  <c r="AB99" i="20"/>
  <c r="AB100" i="20"/>
  <c r="AB101" i="20"/>
  <c r="AB46" i="20"/>
  <c r="AB40" i="20"/>
  <c r="AB47" i="20"/>
  <c r="AB41" i="20"/>
  <c r="AB42" i="20"/>
  <c r="AB71" i="20"/>
  <c r="AB48" i="20"/>
  <c r="AB49" i="20"/>
  <c r="AB43" i="20"/>
  <c r="AB50" i="20"/>
  <c r="AB44" i="20"/>
  <c r="AB45" i="20"/>
  <c r="AB51" i="20"/>
  <c r="AB3" i="20"/>
  <c r="AB4" i="20"/>
  <c r="AB5" i="20"/>
  <c r="AB6" i="20"/>
  <c r="AB7" i="20"/>
  <c r="AB8" i="20"/>
  <c r="AB9" i="20"/>
  <c r="AB10" i="20"/>
  <c r="AB11" i="20"/>
  <c r="M19" i="9"/>
  <c r="R19" i="9" s="1"/>
  <c r="E18" i="9"/>
  <c r="F18" i="9"/>
  <c r="H18" i="9"/>
  <c r="D18" i="9"/>
  <c r="G18" i="9"/>
  <c r="I18" i="9"/>
  <c r="J18" i="9"/>
  <c r="K18" i="9"/>
  <c r="L18" i="9"/>
  <c r="I26" i="18"/>
  <c r="J26" i="18"/>
  <c r="C26" i="18"/>
  <c r="K26" i="18"/>
  <c r="D26" i="18"/>
  <c r="E26" i="18"/>
  <c r="F26" i="18"/>
  <c r="G26" i="18"/>
  <c r="H26" i="18"/>
  <c r="E29" i="9"/>
  <c r="F29" i="9"/>
  <c r="G29" i="9"/>
  <c r="H29" i="9"/>
  <c r="I29" i="9"/>
  <c r="J29" i="9"/>
  <c r="D29" i="9"/>
  <c r="K29" i="9"/>
  <c r="L29" i="9"/>
  <c r="AA8" i="18"/>
  <c r="S364" i="30"/>
  <c r="T383" i="30"/>
  <c r="T380" i="30"/>
  <c r="T379" i="30"/>
  <c r="S365" i="30"/>
  <c r="S368" i="30"/>
  <c r="AP42" i="9"/>
  <c r="BA8" i="18"/>
  <c r="BB8" i="18" s="1"/>
  <c r="BB43" i="9"/>
  <c r="BA28" i="18"/>
  <c r="BB28" i="18" s="1"/>
  <c r="BA18" i="18"/>
  <c r="BB18" i="18" s="1"/>
  <c r="BB20" i="9"/>
  <c r="BB9" i="9"/>
  <c r="BC9" i="9" s="1"/>
  <c r="BD9" i="9" s="1"/>
  <c r="BB31" i="9"/>
  <c r="BA39" i="18"/>
  <c r="AP8" i="9"/>
  <c r="AP19" i="9"/>
  <c r="AO7" i="18"/>
  <c r="AP30" i="9"/>
  <c r="AO27" i="18"/>
  <c r="AO17" i="18"/>
  <c r="AO38" i="18"/>
  <c r="AP37" i="18"/>
  <c r="Z39" i="20"/>
  <c r="Z46" i="20"/>
  <c r="Z2" i="20"/>
  <c r="Y70" i="20"/>
  <c r="Y55" i="20"/>
  <c r="Y47" i="20"/>
  <c r="Z47" i="20" s="1"/>
  <c r="Y69" i="20"/>
  <c r="Y62" i="20"/>
  <c r="Y54" i="20"/>
  <c r="Y67" i="20"/>
  <c r="Y60" i="20"/>
  <c r="Y52" i="20"/>
  <c r="Y65" i="20"/>
  <c r="Y58" i="20"/>
  <c r="Y50" i="20"/>
  <c r="Z50" i="20" s="1"/>
  <c r="Y64" i="20"/>
  <c r="Y57" i="20"/>
  <c r="Y49" i="20"/>
  <c r="Z49" i="20" s="1"/>
  <c r="Y63" i="20"/>
  <c r="Y56" i="20"/>
  <c r="Y48" i="20"/>
  <c r="Z48" i="20" s="1"/>
  <c r="Y68" i="20"/>
  <c r="Y66" i="20"/>
  <c r="Y59" i="20"/>
  <c r="Y53" i="20"/>
  <c r="Y61" i="20"/>
  <c r="Y51" i="20"/>
  <c r="Z51" i="20" s="1"/>
  <c r="Y44" i="20"/>
  <c r="Z44" i="20" s="1"/>
  <c r="Y42" i="20"/>
  <c r="Z42" i="20" s="1"/>
  <c r="Y41" i="20"/>
  <c r="Z41" i="20" s="1"/>
  <c r="Y40" i="20"/>
  <c r="Z40" i="20" s="1"/>
  <c r="Y43" i="20"/>
  <c r="Z43" i="20" s="1"/>
  <c r="Y45" i="20"/>
  <c r="Z45" i="20" s="1"/>
  <c r="U363" i="30"/>
  <c r="U378" i="30" s="1"/>
  <c r="Y94" i="20"/>
  <c r="Y86" i="20"/>
  <c r="Y78" i="20"/>
  <c r="Y101" i="20"/>
  <c r="Y93" i="20"/>
  <c r="Y85" i="20"/>
  <c r="Y77" i="20"/>
  <c r="Y99" i="20"/>
  <c r="Y91" i="20"/>
  <c r="Y83" i="20"/>
  <c r="Y75" i="20"/>
  <c r="Y97" i="20"/>
  <c r="Y89" i="20"/>
  <c r="Y81" i="20"/>
  <c r="Y73" i="20"/>
  <c r="Y96" i="20"/>
  <c r="Y88" i="20"/>
  <c r="Y80" i="20"/>
  <c r="Y72" i="20"/>
  <c r="Y95" i="20"/>
  <c r="Y87" i="20"/>
  <c r="Y79" i="20"/>
  <c r="Y100" i="20"/>
  <c r="Y98" i="20"/>
  <c r="Y92" i="20"/>
  <c r="Y90" i="20"/>
  <c r="Y84" i="20"/>
  <c r="Y82" i="20"/>
  <c r="Y76" i="20"/>
  <c r="Y74" i="20"/>
  <c r="Y31" i="20"/>
  <c r="Y23" i="20"/>
  <c r="Y15" i="20"/>
  <c r="Y8" i="20"/>
  <c r="Z8" i="20" s="1"/>
  <c r="Y30" i="20"/>
  <c r="Y22" i="20"/>
  <c r="Y14" i="20"/>
  <c r="Y7" i="20"/>
  <c r="Z7" i="20" s="1"/>
  <c r="Y36" i="20"/>
  <c r="Y28" i="20"/>
  <c r="Y20" i="20"/>
  <c r="Y12" i="20"/>
  <c r="Y5" i="20"/>
  <c r="Z5" i="20" s="1"/>
  <c r="Y34" i="20"/>
  <c r="Y26" i="20"/>
  <c r="Y18" i="20"/>
  <c r="Y11" i="20"/>
  <c r="Z11" i="20" s="1"/>
  <c r="Y3" i="20"/>
  <c r="Z3" i="20" s="1"/>
  <c r="Y33" i="20"/>
  <c r="Y25" i="20"/>
  <c r="Y17" i="20"/>
  <c r="Y10" i="20"/>
  <c r="Z10" i="20" s="1"/>
  <c r="Y32" i="20"/>
  <c r="Y24" i="20"/>
  <c r="Y16" i="20"/>
  <c r="Y9" i="20"/>
  <c r="Z9" i="20" s="1"/>
  <c r="Y37" i="20"/>
  <c r="Y6" i="20"/>
  <c r="Z6" i="20" s="1"/>
  <c r="Y35" i="20"/>
  <c r="Y4" i="20"/>
  <c r="Z4" i="20" s="1"/>
  <c r="Y27" i="20"/>
  <c r="Y21" i="20"/>
  <c r="Y19" i="20"/>
  <c r="Y29" i="20"/>
  <c r="Y13" i="20"/>
  <c r="A25" i="18"/>
  <c r="A15" i="18"/>
  <c r="BB9" i="18"/>
  <c r="BC44" i="9"/>
  <c r="BC32" i="9"/>
  <c r="BD32" i="9" s="1"/>
  <c r="BC10" i="9"/>
  <c r="BD10" i="9" s="1"/>
  <c r="A5" i="18"/>
  <c r="U27" i="18"/>
  <c r="AB31" i="9"/>
  <c r="U7" i="18"/>
  <c r="N17" i="18"/>
  <c r="T17" i="18"/>
  <c r="V30" i="9"/>
  <c r="U30" i="9"/>
  <c r="U19" i="9"/>
  <c r="V19" i="9"/>
  <c r="V8" i="9"/>
  <c r="U8" i="9"/>
  <c r="U17" i="18"/>
  <c r="T27" i="18"/>
  <c r="N7" i="18"/>
  <c r="N27" i="18"/>
  <c r="T7" i="18"/>
  <c r="AL41" i="9"/>
  <c r="AK41" i="9"/>
  <c r="B17" i="9"/>
  <c r="A17" i="9"/>
  <c r="A6" i="9"/>
  <c r="B6" i="9"/>
  <c r="A28" i="9"/>
  <c r="B28" i="9"/>
  <c r="AI18" i="9"/>
  <c r="AM18" i="9"/>
  <c r="AG18" i="9"/>
  <c r="AK18" i="9"/>
  <c r="AO18" i="9"/>
  <c r="AH18" i="9"/>
  <c r="AL18" i="9"/>
  <c r="AJ18" i="9"/>
  <c r="AF18" i="9"/>
  <c r="AN18" i="9"/>
  <c r="AH7" i="9"/>
  <c r="AL7" i="9"/>
  <c r="AF7" i="9"/>
  <c r="AJ7" i="9"/>
  <c r="AN7" i="9"/>
  <c r="AG7" i="9"/>
  <c r="AK7" i="9"/>
  <c r="AO7" i="9"/>
  <c r="AM7" i="9"/>
  <c r="AI7" i="9"/>
  <c r="AF29" i="9"/>
  <c r="AJ29" i="9"/>
  <c r="AN29" i="9"/>
  <c r="AH29" i="9"/>
  <c r="AL29" i="9"/>
  <c r="AI29" i="9"/>
  <c r="AM29" i="9"/>
  <c r="AO29" i="9"/>
  <c r="AK29" i="9"/>
  <c r="AG29" i="9"/>
  <c r="AH37" i="18"/>
  <c r="AM37" i="18"/>
  <c r="AQ37" i="18"/>
  <c r="AT37" i="18"/>
  <c r="AF37" i="18"/>
  <c r="AJ37" i="18"/>
  <c r="AL37" i="18"/>
  <c r="AR37" i="18"/>
  <c r="AG37" i="18"/>
  <c r="AK37" i="18"/>
  <c r="AS37" i="18"/>
  <c r="AE37" i="18"/>
  <c r="AI37" i="18"/>
  <c r="AN37" i="18"/>
  <c r="AI41" i="9"/>
  <c r="AR41" i="9"/>
  <c r="AN41" i="9"/>
  <c r="AM41" i="9"/>
  <c r="AJ41" i="9"/>
  <c r="AF41" i="9"/>
  <c r="AU41" i="9"/>
  <c r="AH41" i="9"/>
  <c r="AG41" i="9"/>
  <c r="AQ41" i="9"/>
  <c r="AS41" i="9"/>
  <c r="AO41" i="9"/>
  <c r="AT41" i="9"/>
  <c r="AB20" i="9"/>
  <c r="AD27" i="18"/>
  <c r="BC27" i="18" s="1"/>
  <c r="AL16" i="18"/>
  <c r="AN16" i="18"/>
  <c r="AM16" i="18"/>
  <c r="AK16" i="18"/>
  <c r="AJ16" i="18"/>
  <c r="AI16" i="18"/>
  <c r="AH16" i="18"/>
  <c r="AG16" i="18"/>
  <c r="AF16" i="18"/>
  <c r="AE16" i="18"/>
  <c r="AL26" i="18"/>
  <c r="AN26" i="18"/>
  <c r="AM26" i="18"/>
  <c r="AK26" i="18"/>
  <c r="AJ26" i="18"/>
  <c r="AI26" i="18"/>
  <c r="AH26" i="18"/>
  <c r="AG26" i="18"/>
  <c r="AF26" i="18"/>
  <c r="AE26" i="18"/>
  <c r="AL6" i="18"/>
  <c r="AN6" i="18"/>
  <c r="AM6" i="18"/>
  <c r="AK6" i="18"/>
  <c r="AJ6" i="18"/>
  <c r="AI6" i="18"/>
  <c r="AH6" i="18"/>
  <c r="AG6" i="18"/>
  <c r="AF6" i="18"/>
  <c r="AE6" i="18"/>
  <c r="O19" i="9"/>
  <c r="AA28" i="18"/>
  <c r="Z19" i="9"/>
  <c r="Y27" i="18"/>
  <c r="V8" i="18"/>
  <c r="AA18" i="18"/>
  <c r="Y17" i="18"/>
  <c r="Y7" i="18"/>
  <c r="S31" i="9"/>
  <c r="T31" i="9" s="1"/>
  <c r="V18" i="18"/>
  <c r="X28" i="18"/>
  <c r="S20" i="9"/>
  <c r="T20" i="9" s="1"/>
  <c r="Y31" i="9"/>
  <c r="V28" i="18"/>
  <c r="X18" i="18"/>
  <c r="X8" i="18"/>
  <c r="P9" i="9"/>
  <c r="X9" i="9" s="1"/>
  <c r="AB9" i="9"/>
  <c r="AA9" i="9"/>
  <c r="AC9" i="9" s="1"/>
  <c r="W9" i="9"/>
  <c r="Y9" i="9"/>
  <c r="M17" i="18"/>
  <c r="P7" i="18"/>
  <c r="M27" i="18"/>
  <c r="W20" i="9"/>
  <c r="W31" i="9"/>
  <c r="AA31" i="9"/>
  <c r="AC31" i="9" s="1"/>
  <c r="Z8" i="9"/>
  <c r="Z30" i="9"/>
  <c r="AA20" i="9"/>
  <c r="AC20" i="9" s="1"/>
  <c r="Y20" i="9"/>
  <c r="P20" i="9"/>
  <c r="X20" i="9" s="1"/>
  <c r="O30" i="9"/>
  <c r="P17" i="18"/>
  <c r="M7" i="18"/>
  <c r="N19" i="9"/>
  <c r="P27" i="18"/>
  <c r="P31" i="9"/>
  <c r="X31" i="9" s="1"/>
  <c r="S9" i="9"/>
  <c r="T9" i="9" s="1"/>
  <c r="Q30" i="9"/>
  <c r="Q8" i="9"/>
  <c r="Q19" i="9"/>
  <c r="N8" i="9"/>
  <c r="O8" i="9"/>
  <c r="N30" i="9"/>
  <c r="AD17" i="18"/>
  <c r="BC17" i="18" s="1"/>
  <c r="AD7" i="18"/>
  <c r="BC7" i="18" s="1"/>
  <c r="AE19" i="9"/>
  <c r="BD19" i="9" s="1"/>
  <c r="AE8" i="9"/>
  <c r="AE30" i="9"/>
  <c r="L17" i="18"/>
  <c r="Q17" i="18" s="1"/>
  <c r="L27" i="18"/>
  <c r="Q27" i="18" s="1"/>
  <c r="L7" i="18"/>
  <c r="Q7" i="18" s="1"/>
  <c r="AD6" i="9" l="1"/>
  <c r="AD17" i="9" s="1"/>
  <c r="AD28" i="9" s="1"/>
  <c r="AD39" i="9" s="1"/>
  <c r="AU36" i="18"/>
  <c r="AZ37" i="18"/>
  <c r="AZ16" i="18"/>
  <c r="AX36" i="18"/>
  <c r="AQ15" i="18"/>
  <c r="AY15" i="18"/>
  <c r="AR15" i="18"/>
  <c r="AT15" i="18"/>
  <c r="AV15" i="18"/>
  <c r="AP15" i="18"/>
  <c r="AX15" i="18"/>
  <c r="AS15" i="18"/>
  <c r="AU15" i="18"/>
  <c r="AW15" i="18"/>
  <c r="AY36" i="18"/>
  <c r="AZ6" i="18"/>
  <c r="AZ26" i="18"/>
  <c r="AW36" i="18"/>
  <c r="AF25" i="18"/>
  <c r="AQ25" i="18"/>
  <c r="AY25" i="18"/>
  <c r="AR25" i="18"/>
  <c r="AT25" i="18"/>
  <c r="AV25" i="18"/>
  <c r="AP25" i="18"/>
  <c r="AX25" i="18"/>
  <c r="AS25" i="18"/>
  <c r="AU25" i="18"/>
  <c r="AW25" i="18"/>
  <c r="AC5" i="18"/>
  <c r="AC15" i="18" s="1"/>
  <c r="AC25" i="18" s="1"/>
  <c r="AC35" i="18" s="1"/>
  <c r="AQ5" i="18"/>
  <c r="AY5" i="18"/>
  <c r="AR5" i="18"/>
  <c r="AT5" i="18"/>
  <c r="AV5" i="18"/>
  <c r="AW5" i="18"/>
  <c r="AP5" i="18"/>
  <c r="AX5" i="18"/>
  <c r="AS5" i="18"/>
  <c r="AU5" i="18"/>
  <c r="AV36" i="18"/>
  <c r="BA41" i="9"/>
  <c r="BA29" i="9"/>
  <c r="BA18" i="9"/>
  <c r="BA7" i="9"/>
  <c r="AZ40" i="9"/>
  <c r="AU28" i="9"/>
  <c r="AV28" i="9"/>
  <c r="AW28" i="9"/>
  <c r="AX28" i="9"/>
  <c r="AQ28" i="9"/>
  <c r="AY28" i="9"/>
  <c r="AR28" i="9"/>
  <c r="AZ28" i="9"/>
  <c r="AT28" i="9"/>
  <c r="AS28" i="9"/>
  <c r="AQ6" i="9"/>
  <c r="AY6" i="9"/>
  <c r="AR6" i="9"/>
  <c r="AZ6" i="9"/>
  <c r="AS6" i="9"/>
  <c r="AT6" i="9"/>
  <c r="AX6" i="9"/>
  <c r="AU6" i="9"/>
  <c r="AV6" i="9"/>
  <c r="AW6" i="9"/>
  <c r="AY40" i="9"/>
  <c r="AS17" i="9"/>
  <c r="AT17" i="9"/>
  <c r="AU17" i="9"/>
  <c r="AV17" i="9"/>
  <c r="AR17" i="9"/>
  <c r="AW17" i="9"/>
  <c r="AX17" i="9"/>
  <c r="AQ17" i="9"/>
  <c r="AY17" i="9"/>
  <c r="AZ17" i="9"/>
  <c r="AX40" i="9"/>
  <c r="AV40" i="9"/>
  <c r="AW40" i="9"/>
  <c r="AD38" i="20"/>
  <c r="M18" i="9"/>
  <c r="R18" i="9" s="1"/>
  <c r="M29" i="9"/>
  <c r="R29" i="9" s="1"/>
  <c r="M7" i="9"/>
  <c r="R7" i="9" s="1"/>
  <c r="E17" i="9"/>
  <c r="J17" i="9"/>
  <c r="L17" i="9"/>
  <c r="F17" i="9"/>
  <c r="G17" i="9"/>
  <c r="K17" i="9"/>
  <c r="H17" i="9"/>
  <c r="D17" i="9"/>
  <c r="I17" i="9"/>
  <c r="I15" i="18"/>
  <c r="J15" i="18"/>
  <c r="C15" i="18"/>
  <c r="K15" i="18"/>
  <c r="D15" i="18"/>
  <c r="E15" i="18"/>
  <c r="F15" i="18"/>
  <c r="G15" i="18"/>
  <c r="H15" i="18"/>
  <c r="E28" i="9"/>
  <c r="F28" i="9"/>
  <c r="G28" i="9"/>
  <c r="H28" i="9"/>
  <c r="I28" i="9"/>
  <c r="J28" i="9"/>
  <c r="L28" i="9"/>
  <c r="K28" i="9"/>
  <c r="D28" i="9"/>
  <c r="AG25" i="18"/>
  <c r="J25" i="18"/>
  <c r="C25" i="18"/>
  <c r="AD25" i="18" s="1"/>
  <c r="BC25" i="18" s="1"/>
  <c r="K25" i="18"/>
  <c r="D25" i="18"/>
  <c r="E25" i="18"/>
  <c r="F25" i="18"/>
  <c r="G25" i="18"/>
  <c r="H25" i="18"/>
  <c r="I25" i="18"/>
  <c r="E6" i="9"/>
  <c r="D6" i="9"/>
  <c r="F6" i="9"/>
  <c r="G6" i="9"/>
  <c r="H6" i="9"/>
  <c r="I6" i="9"/>
  <c r="J6" i="9"/>
  <c r="L6" i="9"/>
  <c r="K6" i="9"/>
  <c r="H5" i="18"/>
  <c r="I5" i="18"/>
  <c r="J5" i="18"/>
  <c r="C5" i="18"/>
  <c r="K5" i="18"/>
  <c r="D5" i="18"/>
  <c r="E5" i="18"/>
  <c r="F5" i="18"/>
  <c r="G5" i="18"/>
  <c r="AL25" i="18"/>
  <c r="AE25" i="18"/>
  <c r="AM25" i="18"/>
  <c r="AI25" i="18"/>
  <c r="AH25" i="18"/>
  <c r="AN25" i="18"/>
  <c r="AJ25" i="18"/>
  <c r="AK25" i="18"/>
  <c r="BB42" i="9"/>
  <c r="BC42" i="9" s="1"/>
  <c r="T365" i="30"/>
  <c r="T364" i="30"/>
  <c r="U383" i="30"/>
  <c r="U380" i="30"/>
  <c r="U379" i="30"/>
  <c r="T368" i="30"/>
  <c r="BA38" i="18"/>
  <c r="BA17" i="18"/>
  <c r="BA27" i="18"/>
  <c r="BB27" i="18" s="1"/>
  <c r="BB30" i="9"/>
  <c r="BC30" i="9" s="1"/>
  <c r="BD30" i="9" s="1"/>
  <c r="BA7" i="18"/>
  <c r="BB19" i="9"/>
  <c r="BC19" i="9" s="1"/>
  <c r="BB8" i="9"/>
  <c r="BC8" i="9" s="1"/>
  <c r="BD8" i="9" s="1"/>
  <c r="AO37" i="18"/>
  <c r="AP29" i="9"/>
  <c r="AP7" i="9"/>
  <c r="AP41" i="9"/>
  <c r="AO6" i="18"/>
  <c r="AP18" i="9"/>
  <c r="AO26" i="18"/>
  <c r="AO16" i="18"/>
  <c r="AD39" i="20"/>
  <c r="AP36" i="18"/>
  <c r="AD46" i="20"/>
  <c r="AD2" i="20"/>
  <c r="AL15" i="18"/>
  <c r="AM15" i="18"/>
  <c r="AG15" i="18"/>
  <c r="AN15" i="18"/>
  <c r="AI15" i="18"/>
  <c r="AJ15" i="18"/>
  <c r="AE15" i="18"/>
  <c r="AF15" i="18"/>
  <c r="AK15" i="18"/>
  <c r="AH15" i="18"/>
  <c r="AC94" i="20"/>
  <c r="AC86" i="20"/>
  <c r="AC78" i="20"/>
  <c r="AC101" i="20"/>
  <c r="AC93" i="20"/>
  <c r="AC85" i="20"/>
  <c r="AC77" i="20"/>
  <c r="AC99" i="20"/>
  <c r="AC91" i="20"/>
  <c r="AC83" i="20"/>
  <c r="AC75" i="20"/>
  <c r="AC98" i="20"/>
  <c r="AC97" i="20"/>
  <c r="AC89" i="20"/>
  <c r="AC81" i="20"/>
  <c r="AC73" i="20"/>
  <c r="AC96" i="20"/>
  <c r="AC88" i="20"/>
  <c r="AC80" i="20"/>
  <c r="AC72" i="20"/>
  <c r="AC95" i="20"/>
  <c r="AC87" i="20"/>
  <c r="AC79" i="20"/>
  <c r="AC92" i="20"/>
  <c r="AC90" i="20"/>
  <c r="AC84" i="20"/>
  <c r="AC82" i="20"/>
  <c r="AC76" i="20"/>
  <c r="AC100" i="20"/>
  <c r="AC74" i="20"/>
  <c r="V363" i="30"/>
  <c r="V378" i="30" s="1"/>
  <c r="AC31" i="20"/>
  <c r="AC23" i="20"/>
  <c r="AC15" i="20"/>
  <c r="AC8" i="20"/>
  <c r="AD8" i="20" s="1"/>
  <c r="AC30" i="20"/>
  <c r="AC22" i="20"/>
  <c r="AC14" i="20"/>
  <c r="AC7" i="20"/>
  <c r="AD7" i="20" s="1"/>
  <c r="AC36" i="20"/>
  <c r="AC28" i="20"/>
  <c r="AC20" i="20"/>
  <c r="AC12" i="20"/>
  <c r="AC5" i="20"/>
  <c r="AD5" i="20" s="1"/>
  <c r="AC34" i="20"/>
  <c r="AC26" i="20"/>
  <c r="AC18" i="20"/>
  <c r="AC11" i="20"/>
  <c r="AD11" i="20" s="1"/>
  <c r="AC3" i="20"/>
  <c r="AD3" i="20" s="1"/>
  <c r="AC33" i="20"/>
  <c r="AC25" i="20"/>
  <c r="AC17" i="20"/>
  <c r="AC10" i="20"/>
  <c r="AD10" i="20" s="1"/>
  <c r="AC32" i="20"/>
  <c r="AC24" i="20"/>
  <c r="AC16" i="20"/>
  <c r="AC9" i="20"/>
  <c r="AD9" i="20" s="1"/>
  <c r="AC29" i="20"/>
  <c r="AC27" i="20"/>
  <c r="AC21" i="20"/>
  <c r="AC19" i="20"/>
  <c r="AC13" i="20"/>
  <c r="AC4" i="20"/>
  <c r="AD4" i="20" s="1"/>
  <c r="AC35" i="20"/>
  <c r="AC37" i="20"/>
  <c r="AC6" i="20"/>
  <c r="AD6" i="20" s="1"/>
  <c r="AC70" i="20"/>
  <c r="AC55" i="20"/>
  <c r="AC47" i="20"/>
  <c r="AD47" i="20" s="1"/>
  <c r="AC69" i="20"/>
  <c r="AC62" i="20"/>
  <c r="AC54" i="20"/>
  <c r="AC67" i="20"/>
  <c r="AC60" i="20"/>
  <c r="AC52" i="20"/>
  <c r="AC65" i="20"/>
  <c r="AC58" i="20"/>
  <c r="AC50" i="20"/>
  <c r="AD50" i="20" s="1"/>
  <c r="AC64" i="20"/>
  <c r="AC57" i="20"/>
  <c r="AC49" i="20"/>
  <c r="AD49" i="20" s="1"/>
  <c r="AC63" i="20"/>
  <c r="AC56" i="20"/>
  <c r="AC48" i="20"/>
  <c r="AD48" i="20" s="1"/>
  <c r="AC61" i="20"/>
  <c r="AC59" i="20"/>
  <c r="AC51" i="20"/>
  <c r="AD51" i="20" s="1"/>
  <c r="AC53" i="20"/>
  <c r="AC68" i="20"/>
  <c r="AC66" i="20"/>
  <c r="AC44" i="20"/>
  <c r="AD44" i="20" s="1"/>
  <c r="AC42" i="20"/>
  <c r="AD42" i="20" s="1"/>
  <c r="AC41" i="20"/>
  <c r="AD41" i="20" s="1"/>
  <c r="AC40" i="20"/>
  <c r="AD40" i="20" s="1"/>
  <c r="AC45" i="20"/>
  <c r="AD45" i="20" s="1"/>
  <c r="AC43" i="20"/>
  <c r="AD43" i="20" s="1"/>
  <c r="A14" i="18"/>
  <c r="A24" i="18"/>
  <c r="BB39" i="18"/>
  <c r="BC31" i="9"/>
  <c r="BD31" i="9" s="1"/>
  <c r="BC20" i="9"/>
  <c r="BD20" i="9" s="1"/>
  <c r="BC43" i="9"/>
  <c r="AJ5" i="18"/>
  <c r="AF5" i="18"/>
  <c r="AM5" i="18"/>
  <c r="AL5" i="18"/>
  <c r="AK5" i="18"/>
  <c r="AG5" i="18"/>
  <c r="AI5" i="18"/>
  <c r="AH5" i="18"/>
  <c r="AE5" i="18"/>
  <c r="AN5" i="18"/>
  <c r="A4" i="18"/>
  <c r="V7" i="9"/>
  <c r="U18" i="9"/>
  <c r="V18" i="9"/>
  <c r="U26" i="18"/>
  <c r="V29" i="9"/>
  <c r="N26" i="18"/>
  <c r="U29" i="9"/>
  <c r="T26" i="18"/>
  <c r="U7" i="9"/>
  <c r="U16" i="18"/>
  <c r="N6" i="18"/>
  <c r="T6" i="18"/>
  <c r="N16" i="18"/>
  <c r="U6" i="18"/>
  <c r="T16" i="18"/>
  <c r="Z29" i="9"/>
  <c r="AE7" i="9"/>
  <c r="AS40" i="9"/>
  <c r="Q18" i="9"/>
  <c r="Z7" i="9"/>
  <c r="AG36" i="18"/>
  <c r="AK36" i="18"/>
  <c r="O29" i="9"/>
  <c r="Q7" i="9"/>
  <c r="AE36" i="18"/>
  <c r="AI36" i="18"/>
  <c r="AN36" i="18"/>
  <c r="AE18" i="9"/>
  <c r="BD18" i="9" s="1"/>
  <c r="A5" i="9"/>
  <c r="B5" i="9"/>
  <c r="A27" i="9"/>
  <c r="B27" i="9"/>
  <c r="B16" i="9"/>
  <c r="A16" i="9"/>
  <c r="AH6" i="9"/>
  <c r="AL6" i="9"/>
  <c r="AJ6" i="9"/>
  <c r="AG6" i="9"/>
  <c r="AI6" i="9"/>
  <c r="AM6" i="9"/>
  <c r="AF6" i="9"/>
  <c r="AN6" i="9"/>
  <c r="AK6" i="9"/>
  <c r="AO6" i="9"/>
  <c r="AI17" i="9"/>
  <c r="AM17" i="9"/>
  <c r="AK17" i="9"/>
  <c r="AO17" i="9"/>
  <c r="AH17" i="9"/>
  <c r="AF17" i="9"/>
  <c r="AJ17" i="9"/>
  <c r="AN17" i="9"/>
  <c r="AG17" i="9"/>
  <c r="AL17" i="9"/>
  <c r="AF28" i="9"/>
  <c r="AJ28" i="9"/>
  <c r="AN28" i="9"/>
  <c r="AH28" i="9"/>
  <c r="AG28" i="9"/>
  <c r="AK28" i="9"/>
  <c r="AO28" i="9"/>
  <c r="AL28" i="9"/>
  <c r="AM28" i="9"/>
  <c r="AI28" i="9"/>
  <c r="AF36" i="18"/>
  <c r="AJ36" i="18"/>
  <c r="AL36" i="18"/>
  <c r="AI40" i="9"/>
  <c r="AO40" i="9"/>
  <c r="AN40" i="9"/>
  <c r="AQ40" i="9"/>
  <c r="N29" i="9"/>
  <c r="Q29" i="9"/>
  <c r="AE29" i="9"/>
  <c r="O18" i="9"/>
  <c r="Z18" i="9"/>
  <c r="AM40" i="9"/>
  <c r="AK40" i="9"/>
  <c r="AJ40" i="9"/>
  <c r="AL40" i="9"/>
  <c r="AH36" i="18"/>
  <c r="AM36" i="18"/>
  <c r="AR40" i="9"/>
  <c r="AG40" i="9"/>
  <c r="AF40" i="9"/>
  <c r="AH40" i="9"/>
  <c r="O7" i="9"/>
  <c r="AT40" i="9"/>
  <c r="AU40" i="9"/>
  <c r="N7" i="9"/>
  <c r="N18" i="9"/>
  <c r="AR36" i="18"/>
  <c r="AS36" i="18"/>
  <c r="AQ36" i="18"/>
  <c r="AT36" i="18"/>
  <c r="AD16" i="18"/>
  <c r="BC16" i="18" s="1"/>
  <c r="AA27" i="18"/>
  <c r="AD26" i="18"/>
  <c r="BC26" i="18" s="1"/>
  <c r="AA19" i="9"/>
  <c r="AC19" i="9" s="1"/>
  <c r="AA7" i="18"/>
  <c r="S8" i="9"/>
  <c r="T8" i="9" s="1"/>
  <c r="AA17" i="18"/>
  <c r="Y16" i="18"/>
  <c r="X7" i="18"/>
  <c r="W30" i="9"/>
  <c r="Y26" i="18"/>
  <c r="AB8" i="9"/>
  <c r="V7" i="18"/>
  <c r="X27" i="18"/>
  <c r="M16" i="18"/>
  <c r="M6" i="18"/>
  <c r="Y6" i="18"/>
  <c r="V17" i="18"/>
  <c r="X17" i="18"/>
  <c r="M26" i="18"/>
  <c r="V27" i="18"/>
  <c r="AA30" i="9"/>
  <c r="AC30" i="9" s="1"/>
  <c r="P30" i="9"/>
  <c r="X30" i="9" s="1"/>
  <c r="AB30" i="9"/>
  <c r="W8" i="9"/>
  <c r="Y8" i="9"/>
  <c r="P19" i="9"/>
  <c r="X19" i="9" s="1"/>
  <c r="AB19" i="9"/>
  <c r="Y30" i="9"/>
  <c r="P26" i="18"/>
  <c r="W19" i="9"/>
  <c r="AA8" i="9"/>
  <c r="AC8" i="9" s="1"/>
  <c r="Y19" i="9"/>
  <c r="P6" i="18"/>
  <c r="P16" i="18"/>
  <c r="P8" i="9"/>
  <c r="X8" i="9" s="1"/>
  <c r="S30" i="9"/>
  <c r="T30" i="9" s="1"/>
  <c r="S19" i="9"/>
  <c r="T19" i="9" s="1"/>
  <c r="AD6" i="18"/>
  <c r="BC6" i="18" s="1"/>
  <c r="L16" i="18"/>
  <c r="X16" i="18" s="1"/>
  <c r="L26" i="18"/>
  <c r="X26" i="18" s="1"/>
  <c r="L6" i="18"/>
  <c r="X6" i="18" s="1"/>
  <c r="AX35" i="18" l="1"/>
  <c r="AD5" i="9"/>
  <c r="AD16" i="9" s="1"/>
  <c r="AD27" i="9" s="1"/>
  <c r="AD38" i="9" s="1"/>
  <c r="AU35" i="18"/>
  <c r="AY35" i="18"/>
  <c r="AW35" i="18"/>
  <c r="AZ25" i="18"/>
  <c r="AZ36" i="18"/>
  <c r="AZ5" i="18"/>
  <c r="AS24" i="18"/>
  <c r="AT24" i="18"/>
  <c r="AV24" i="18"/>
  <c r="AP24" i="18"/>
  <c r="AX24" i="18"/>
  <c r="AR24" i="18"/>
  <c r="AQ24" i="18"/>
  <c r="AU24" i="18"/>
  <c r="AW24" i="18"/>
  <c r="AY24" i="18"/>
  <c r="AV35" i="18"/>
  <c r="AC4" i="18"/>
  <c r="AC14" i="18" s="1"/>
  <c r="AC24" i="18" s="1"/>
  <c r="AC34" i="18" s="1"/>
  <c r="AS4" i="18"/>
  <c r="AT4" i="18"/>
  <c r="AV4" i="18"/>
  <c r="AP4" i="18"/>
  <c r="AX4" i="18"/>
  <c r="AQ4" i="18"/>
  <c r="AY4" i="18"/>
  <c r="AR4" i="18"/>
  <c r="AU4" i="18"/>
  <c r="AW4" i="18"/>
  <c r="AS14" i="18"/>
  <c r="AT14" i="18"/>
  <c r="AV14" i="18"/>
  <c r="AP14" i="18"/>
  <c r="AX14" i="18"/>
  <c r="AR14" i="18"/>
  <c r="AW14" i="18"/>
  <c r="AY14" i="18"/>
  <c r="AQ14" i="18"/>
  <c r="AU14" i="18"/>
  <c r="AZ15" i="18"/>
  <c r="BA6" i="9"/>
  <c r="BA40" i="9"/>
  <c r="BA17" i="9"/>
  <c r="BA28" i="9"/>
  <c r="AU16" i="9"/>
  <c r="AV16" i="9"/>
  <c r="AW16" i="9"/>
  <c r="AX16" i="9"/>
  <c r="AQ16" i="9"/>
  <c r="AY16" i="9"/>
  <c r="AR16" i="9"/>
  <c r="AZ16" i="9"/>
  <c r="AT16" i="9"/>
  <c r="AS16" i="9"/>
  <c r="AZ39" i="9"/>
  <c r="AW39" i="9"/>
  <c r="AY39" i="9"/>
  <c r="AW27" i="9"/>
  <c r="AX27" i="9"/>
  <c r="AQ27" i="9"/>
  <c r="AY27" i="9"/>
  <c r="AR27" i="9"/>
  <c r="AZ27" i="9"/>
  <c r="AV27" i="9"/>
  <c r="AS27" i="9"/>
  <c r="AT27" i="9"/>
  <c r="AU27" i="9"/>
  <c r="AV39" i="9"/>
  <c r="AX39" i="9"/>
  <c r="AS5" i="9"/>
  <c r="AT5" i="9"/>
  <c r="AU5" i="9"/>
  <c r="AV5" i="9"/>
  <c r="AW5" i="9"/>
  <c r="AZ5" i="9"/>
  <c r="AX5" i="9"/>
  <c r="AQ5" i="9"/>
  <c r="AY5" i="9"/>
  <c r="AR5" i="9"/>
  <c r="M6" i="9"/>
  <c r="R6" i="9" s="1"/>
  <c r="E27" i="9"/>
  <c r="F27" i="9"/>
  <c r="G27" i="9"/>
  <c r="H27" i="9"/>
  <c r="D27" i="9"/>
  <c r="I27" i="9"/>
  <c r="L27" i="9"/>
  <c r="J27" i="9"/>
  <c r="K27" i="9"/>
  <c r="E16" i="9"/>
  <c r="L16" i="9"/>
  <c r="F16" i="9"/>
  <c r="J16" i="9"/>
  <c r="D16" i="9"/>
  <c r="G16" i="9"/>
  <c r="H16" i="9"/>
  <c r="I16" i="9"/>
  <c r="K16" i="9"/>
  <c r="E5" i="9"/>
  <c r="D5" i="9"/>
  <c r="F5" i="9"/>
  <c r="G5" i="9"/>
  <c r="H5" i="9"/>
  <c r="I5" i="9"/>
  <c r="J5" i="9"/>
  <c r="K5" i="9"/>
  <c r="L5" i="9"/>
  <c r="I4" i="18"/>
  <c r="J4" i="18"/>
  <c r="C4" i="18"/>
  <c r="K4" i="18"/>
  <c r="D4" i="18"/>
  <c r="E4" i="18"/>
  <c r="F4" i="18"/>
  <c r="G4" i="18"/>
  <c r="H4" i="18"/>
  <c r="C24" i="18"/>
  <c r="K24" i="18"/>
  <c r="D24" i="18"/>
  <c r="E24" i="18"/>
  <c r="F24" i="18"/>
  <c r="G24" i="18"/>
  <c r="H24" i="18"/>
  <c r="I24" i="18"/>
  <c r="J24" i="18"/>
  <c r="J14" i="18"/>
  <c r="C14" i="18"/>
  <c r="K14" i="18"/>
  <c r="D14" i="18"/>
  <c r="E14" i="18"/>
  <c r="F14" i="18"/>
  <c r="G14" i="18"/>
  <c r="H14" i="18"/>
  <c r="I14" i="18"/>
  <c r="M28" i="9"/>
  <c r="R28" i="9" s="1"/>
  <c r="M17" i="9"/>
  <c r="R17" i="9" s="1"/>
  <c r="AO25" i="18"/>
  <c r="AJ35" i="18"/>
  <c r="AT35" i="18"/>
  <c r="U364" i="30"/>
  <c r="AF35" i="18"/>
  <c r="V383" i="30"/>
  <c r="V380" i="30"/>
  <c r="V379" i="30"/>
  <c r="U368" i="30"/>
  <c r="U365" i="30"/>
  <c r="AO15" i="18"/>
  <c r="AP40" i="9"/>
  <c r="BA16" i="18"/>
  <c r="BB16" i="18" s="1"/>
  <c r="BA37" i="18"/>
  <c r="BA26" i="18"/>
  <c r="BB26" i="18" s="1"/>
  <c r="BB18" i="9"/>
  <c r="BC18" i="9" s="1"/>
  <c r="BA6" i="18"/>
  <c r="BB6" i="18" s="1"/>
  <c r="BB41" i="9"/>
  <c r="BC41" i="9" s="1"/>
  <c r="BB7" i="9"/>
  <c r="BC7" i="9" s="1"/>
  <c r="BD7" i="9" s="1"/>
  <c r="BB29" i="9"/>
  <c r="BC29" i="9" s="1"/>
  <c r="BD29" i="9" s="1"/>
  <c r="AP28" i="9"/>
  <c r="AO36" i="18"/>
  <c r="AP6" i="9"/>
  <c r="AO5" i="18"/>
  <c r="AP17" i="9"/>
  <c r="AK35" i="18"/>
  <c r="AS35" i="18"/>
  <c r="AR35" i="18"/>
  <c r="AG35" i="18"/>
  <c r="AP35" i="18"/>
  <c r="Y25" i="18"/>
  <c r="N25" i="18"/>
  <c r="P15" i="18"/>
  <c r="AI35" i="18"/>
  <c r="AM35" i="18"/>
  <c r="AN35" i="18"/>
  <c r="AE35" i="18"/>
  <c r="AL35" i="18"/>
  <c r="M25" i="18"/>
  <c r="AH35" i="18"/>
  <c r="W363" i="30"/>
  <c r="W378" i="30" s="1"/>
  <c r="Y15" i="18"/>
  <c r="M15" i="18"/>
  <c r="T25" i="18"/>
  <c r="L15" i="18"/>
  <c r="Q15" i="18" s="1"/>
  <c r="L25" i="18"/>
  <c r="Q25" i="18" s="1"/>
  <c r="P25" i="18"/>
  <c r="U25" i="18"/>
  <c r="T15" i="18"/>
  <c r="N15" i="18"/>
  <c r="Y5" i="18"/>
  <c r="AD15" i="18"/>
  <c r="BC15" i="18" s="1"/>
  <c r="U15" i="18"/>
  <c r="A23" i="18"/>
  <c r="A22" i="18" s="1"/>
  <c r="AI24" i="18"/>
  <c r="AG24" i="18"/>
  <c r="AM24" i="18"/>
  <c r="AK24" i="18"/>
  <c r="AF24" i="18"/>
  <c r="AH24" i="18"/>
  <c r="AJ24" i="18"/>
  <c r="AL24" i="18"/>
  <c r="AN24" i="18"/>
  <c r="AE24" i="18"/>
  <c r="A13" i="18"/>
  <c r="A12" i="18" s="1"/>
  <c r="AG14" i="18"/>
  <c r="AL14" i="18"/>
  <c r="AK14" i="18"/>
  <c r="AM14" i="18"/>
  <c r="AH14" i="18"/>
  <c r="AE14" i="18"/>
  <c r="AJ14" i="18"/>
  <c r="AI14" i="18"/>
  <c r="AN14" i="18"/>
  <c r="AF14" i="18"/>
  <c r="BB38" i="18"/>
  <c r="BB7" i="18"/>
  <c r="BB17" i="18"/>
  <c r="P5" i="18"/>
  <c r="M5" i="18"/>
  <c r="AD5" i="18"/>
  <c r="BC5" i="18" s="1"/>
  <c r="N5" i="18"/>
  <c r="T5" i="18"/>
  <c r="U5" i="18"/>
  <c r="L5" i="18"/>
  <c r="Q5" i="18" s="1"/>
  <c r="AQ35" i="18"/>
  <c r="A3" i="18"/>
  <c r="A2" i="18" s="1"/>
  <c r="AE4" i="18"/>
  <c r="AI4" i="18"/>
  <c r="AM4" i="18"/>
  <c r="AG4" i="18"/>
  <c r="AF4" i="18"/>
  <c r="AK4" i="18"/>
  <c r="AJ4" i="18"/>
  <c r="AH4" i="18"/>
  <c r="AN4" i="18"/>
  <c r="AL4" i="18"/>
  <c r="V17" i="9"/>
  <c r="V28" i="9"/>
  <c r="U6" i="9"/>
  <c r="V6" i="9"/>
  <c r="U17" i="9"/>
  <c r="U28" i="9"/>
  <c r="AA29" i="9"/>
  <c r="AC29" i="9" s="1"/>
  <c r="W18" i="9"/>
  <c r="S29" i="9"/>
  <c r="T29" i="9" s="1"/>
  <c r="Y18" i="9"/>
  <c r="W7" i="9"/>
  <c r="Y7" i="9"/>
  <c r="Q28" i="9"/>
  <c r="A4" i="9"/>
  <c r="B4" i="9"/>
  <c r="AD4" i="9" s="1"/>
  <c r="AD15" i="9" s="1"/>
  <c r="AD26" i="9" s="1"/>
  <c r="AD37" i="9" s="1"/>
  <c r="B15" i="9"/>
  <c r="A15" i="9"/>
  <c r="A26" i="9"/>
  <c r="B26" i="9"/>
  <c r="AE6" i="9"/>
  <c r="Q6" i="9"/>
  <c r="O28" i="9"/>
  <c r="AF27" i="9"/>
  <c r="AJ27" i="9"/>
  <c r="AN27" i="9"/>
  <c r="AL27" i="9"/>
  <c r="AG27" i="9"/>
  <c r="AK27" i="9"/>
  <c r="AO27" i="9"/>
  <c r="AH27" i="9"/>
  <c r="AI27" i="9"/>
  <c r="AM27" i="9"/>
  <c r="O17" i="9"/>
  <c r="AI16" i="9"/>
  <c r="AM16" i="9"/>
  <c r="AK16" i="9"/>
  <c r="AL16" i="9"/>
  <c r="AF16" i="9"/>
  <c r="AJ16" i="9"/>
  <c r="AN16" i="9"/>
  <c r="AG16" i="9"/>
  <c r="AO16" i="9"/>
  <c r="AH16" i="9"/>
  <c r="AH5" i="9"/>
  <c r="AL5" i="9"/>
  <c r="AF5" i="9"/>
  <c r="AN5" i="9"/>
  <c r="AK5" i="9"/>
  <c r="AI5" i="9"/>
  <c r="AM5" i="9"/>
  <c r="AJ5" i="9"/>
  <c r="AG5" i="9"/>
  <c r="AO5" i="9"/>
  <c r="AO39" i="9"/>
  <c r="AF39" i="9"/>
  <c r="AG39" i="9"/>
  <c r="AL39" i="9"/>
  <c r="N17" i="9"/>
  <c r="S7" i="9"/>
  <c r="T7" i="9" s="1"/>
  <c r="Z28" i="9"/>
  <c r="N28" i="9"/>
  <c r="AK39" i="9"/>
  <c r="AR39" i="9"/>
  <c r="AJ39" i="9"/>
  <c r="AH39" i="9"/>
  <c r="Z6" i="9"/>
  <c r="Q17" i="9"/>
  <c r="Z17" i="9"/>
  <c r="AE28" i="9"/>
  <c r="AS39" i="9"/>
  <c r="AM39" i="9"/>
  <c r="AU39" i="9"/>
  <c r="AA18" i="9"/>
  <c r="AC18" i="9" s="1"/>
  <c r="AE17" i="9"/>
  <c r="AT39" i="9"/>
  <c r="AN39" i="9"/>
  <c r="AI39" i="9"/>
  <c r="AQ39" i="9"/>
  <c r="N6" i="9"/>
  <c r="O6" i="9"/>
  <c r="P7" i="9"/>
  <c r="X7" i="9" s="1"/>
  <c r="AB7" i="9"/>
  <c r="W29" i="9"/>
  <c r="AA7" i="9"/>
  <c r="AC7" i="9" s="1"/>
  <c r="S18" i="9"/>
  <c r="T18" i="9" s="1"/>
  <c r="Y29" i="9"/>
  <c r="AB18" i="9"/>
  <c r="P18" i="9"/>
  <c r="X18" i="9" s="1"/>
  <c r="P29" i="9"/>
  <c r="X29" i="9" s="1"/>
  <c r="AB29" i="9"/>
  <c r="R16" i="18"/>
  <c r="S16" i="18" s="1"/>
  <c r="R6" i="18"/>
  <c r="S6" i="18" s="1"/>
  <c r="AA16" i="18"/>
  <c r="R26" i="18"/>
  <c r="S26" i="18" s="1"/>
  <c r="Z26" i="18"/>
  <c r="AB26" i="18" s="1"/>
  <c r="Z16" i="18"/>
  <c r="AB16" i="18" s="1"/>
  <c r="Z6" i="18"/>
  <c r="AB6" i="18" s="1"/>
  <c r="AA6" i="18"/>
  <c r="AA26" i="18"/>
  <c r="O16" i="18"/>
  <c r="W16" i="18" s="1"/>
  <c r="Q16" i="18"/>
  <c r="V16" i="18" s="1"/>
  <c r="O26" i="18"/>
  <c r="W26" i="18" s="1"/>
  <c r="Q6" i="18"/>
  <c r="V6" i="18" s="1"/>
  <c r="O6" i="18"/>
  <c r="W6" i="18" s="1"/>
  <c r="Q26" i="18"/>
  <c r="V26" i="18" s="1"/>
  <c r="C22" i="18" l="1"/>
  <c r="AD22" i="18" s="1"/>
  <c r="BC22" i="18" s="1"/>
  <c r="AM22" i="18"/>
  <c r="AY22" i="18"/>
  <c r="E22" i="18"/>
  <c r="N22" i="18" s="1"/>
  <c r="AQ22" i="18"/>
  <c r="AS22" i="18"/>
  <c r="AL22" i="18"/>
  <c r="D22" i="18"/>
  <c r="AN22" i="18"/>
  <c r="G22" i="18"/>
  <c r="AR22" i="18"/>
  <c r="I22" i="18"/>
  <c r="AH22" i="18"/>
  <c r="H22" i="18"/>
  <c r="J22" i="18"/>
  <c r="T22" i="18" s="1"/>
  <c r="AX22" i="18"/>
  <c r="F22" i="18"/>
  <c r="Y22" i="18" s="1"/>
  <c r="Z22" i="18" s="1"/>
  <c r="AP22" i="18"/>
  <c r="AE22" i="18"/>
  <c r="AF22" i="18"/>
  <c r="AG22" i="18"/>
  <c r="AT22" i="18"/>
  <c r="K22" i="18"/>
  <c r="U22" i="18" s="1"/>
  <c r="AI22" i="18"/>
  <c r="AU22" i="18"/>
  <c r="AJ22" i="18"/>
  <c r="AV22" i="18"/>
  <c r="AK22" i="18"/>
  <c r="AW22" i="18"/>
  <c r="I12" i="18"/>
  <c r="AG12" i="18"/>
  <c r="AS12" i="18"/>
  <c r="AI12" i="18"/>
  <c r="AY12" i="18"/>
  <c r="AF12" i="18"/>
  <c r="J12" i="18"/>
  <c r="AH12" i="18"/>
  <c r="AT12" i="18"/>
  <c r="K12" i="18"/>
  <c r="U12" i="18" s="1"/>
  <c r="AU12" i="18"/>
  <c r="AX12" i="18"/>
  <c r="C12" i="18"/>
  <c r="AD12" i="18" s="1"/>
  <c r="BC12" i="18" s="1"/>
  <c r="D12" i="18"/>
  <c r="AN12" i="18"/>
  <c r="AR12" i="18"/>
  <c r="AJ12" i="18"/>
  <c r="AV12" i="18"/>
  <c r="AK12" i="18"/>
  <c r="AW12" i="18"/>
  <c r="AL12" i="18"/>
  <c r="AM12" i="18"/>
  <c r="E12" i="18"/>
  <c r="N12" i="18" s="1"/>
  <c r="F12" i="18"/>
  <c r="Y12" i="18" s="1"/>
  <c r="Z12" i="18" s="1"/>
  <c r="AP12" i="18"/>
  <c r="G12" i="18"/>
  <c r="AE12" i="18"/>
  <c r="AQ12" i="18"/>
  <c r="H12" i="18"/>
  <c r="C2" i="18"/>
  <c r="AD2" i="18" s="1"/>
  <c r="BC2" i="18" s="1"/>
  <c r="AM2" i="18"/>
  <c r="AY2" i="18"/>
  <c r="AC2" i="18"/>
  <c r="AR2" i="18"/>
  <c r="AG2" i="18"/>
  <c r="AG32" i="18" s="1"/>
  <c r="AH2" i="18"/>
  <c r="AH32" i="18" s="1"/>
  <c r="D2" i="18"/>
  <c r="AN2" i="18"/>
  <c r="E2" i="18"/>
  <c r="H2" i="18"/>
  <c r="I2" i="18"/>
  <c r="P2" i="18" s="1"/>
  <c r="J2" i="18"/>
  <c r="T2" i="18" s="1"/>
  <c r="AX2" i="18"/>
  <c r="F2" i="18"/>
  <c r="AP2" i="18"/>
  <c r="G2" i="18"/>
  <c r="L2" i="18" s="1"/>
  <c r="Q2" i="18" s="1"/>
  <c r="AE2" i="18"/>
  <c r="AQ2" i="18"/>
  <c r="AQ32" i="18" s="1"/>
  <c r="AF2" i="18"/>
  <c r="AS2" i="18"/>
  <c r="AT2" i="18"/>
  <c r="AT32" i="18" s="1"/>
  <c r="AL2" i="18"/>
  <c r="AL32" i="18" s="1"/>
  <c r="K2" i="18"/>
  <c r="AI2" i="18"/>
  <c r="AI32" i="18" s="1"/>
  <c r="AU2" i="18"/>
  <c r="AJ2" i="18"/>
  <c r="AJ32" i="18" s="1"/>
  <c r="AV2" i="18"/>
  <c r="AK2" i="18"/>
  <c r="AK32" i="18" s="1"/>
  <c r="AW2" i="18"/>
  <c r="AW32" i="18" s="1"/>
  <c r="AX34" i="18"/>
  <c r="AW34" i="18"/>
  <c r="BA39" i="9"/>
  <c r="AC3" i="18"/>
  <c r="AC13" i="18" s="1"/>
  <c r="AC23" i="18" s="1"/>
  <c r="AC33" i="18" s="1"/>
  <c r="AT3" i="18"/>
  <c r="AV3" i="18"/>
  <c r="AR3" i="18"/>
  <c r="AP3" i="18"/>
  <c r="AY3" i="18"/>
  <c r="AQ3" i="18"/>
  <c r="AS3" i="18"/>
  <c r="AU3" i="18"/>
  <c r="AW3" i="18"/>
  <c r="AX3" i="18"/>
  <c r="AV13" i="18"/>
  <c r="AX13" i="18"/>
  <c r="AT13" i="18"/>
  <c r="AW13" i="18"/>
  <c r="AY13" i="18"/>
  <c r="AP13" i="18"/>
  <c r="AQ13" i="18"/>
  <c r="AU13" i="18"/>
  <c r="AR13" i="18"/>
  <c r="AS13" i="18"/>
  <c r="AU34" i="18"/>
  <c r="AZ24" i="18"/>
  <c r="AY34" i="18"/>
  <c r="AX23" i="18"/>
  <c r="AR23" i="18"/>
  <c r="AP23" i="18"/>
  <c r="AV23" i="18"/>
  <c r="AT23" i="18"/>
  <c r="AU23" i="18"/>
  <c r="AW23" i="18"/>
  <c r="AY23" i="18"/>
  <c r="AQ23" i="18"/>
  <c r="AS23" i="18"/>
  <c r="AZ35" i="18"/>
  <c r="AZ14" i="18"/>
  <c r="AZ4" i="18"/>
  <c r="AV34" i="18"/>
  <c r="BA5" i="9"/>
  <c r="AX38" i="9"/>
  <c r="BA27" i="9"/>
  <c r="AZ38" i="9"/>
  <c r="AW38" i="9"/>
  <c r="AV38" i="9"/>
  <c r="BA16" i="9"/>
  <c r="AU4" i="9"/>
  <c r="AV4" i="9"/>
  <c r="AW4" i="9"/>
  <c r="AX4" i="9"/>
  <c r="AQ4" i="9"/>
  <c r="AY4" i="9"/>
  <c r="AR4" i="9"/>
  <c r="AZ4" i="9"/>
  <c r="AT4" i="9"/>
  <c r="AS4" i="9"/>
  <c r="AQ26" i="9"/>
  <c r="AY26" i="9"/>
  <c r="AR26" i="9"/>
  <c r="AZ26" i="9"/>
  <c r="AS26" i="9"/>
  <c r="AT26" i="9"/>
  <c r="AU26" i="9"/>
  <c r="AV26" i="9"/>
  <c r="AW26" i="9"/>
  <c r="AX26" i="9"/>
  <c r="AY38" i="9"/>
  <c r="AW15" i="9"/>
  <c r="AX15" i="9"/>
  <c r="AQ15" i="9"/>
  <c r="AY15" i="9"/>
  <c r="AR15" i="9"/>
  <c r="AZ15" i="9"/>
  <c r="AS15" i="9"/>
  <c r="AT15" i="9"/>
  <c r="AU15" i="9"/>
  <c r="AV15" i="9"/>
  <c r="M5" i="9"/>
  <c r="R5" i="9" s="1"/>
  <c r="M27" i="9"/>
  <c r="M16" i="9"/>
  <c r="E15" i="9"/>
  <c r="K15" i="9"/>
  <c r="D15" i="9"/>
  <c r="L15" i="9"/>
  <c r="H15" i="9"/>
  <c r="J15" i="9"/>
  <c r="F15" i="9"/>
  <c r="G15" i="9"/>
  <c r="I15" i="9"/>
  <c r="K23" i="18"/>
  <c r="C23" i="18"/>
  <c r="J23" i="18"/>
  <c r="I23" i="18"/>
  <c r="H23" i="18"/>
  <c r="G23" i="18"/>
  <c r="F23" i="18"/>
  <c r="E23" i="18"/>
  <c r="D23" i="18"/>
  <c r="E4" i="9"/>
  <c r="D4" i="9"/>
  <c r="F4" i="9"/>
  <c r="G4" i="9"/>
  <c r="H4" i="9"/>
  <c r="L4" i="9"/>
  <c r="I4" i="9"/>
  <c r="J4" i="9"/>
  <c r="K4" i="9"/>
  <c r="E3" i="18"/>
  <c r="D3" i="18"/>
  <c r="K3" i="18"/>
  <c r="C3" i="18"/>
  <c r="J3" i="18"/>
  <c r="I3" i="18"/>
  <c r="H3" i="18"/>
  <c r="G3" i="18"/>
  <c r="F3" i="18"/>
  <c r="E26" i="9"/>
  <c r="F26" i="9"/>
  <c r="G26" i="9"/>
  <c r="H26" i="9"/>
  <c r="I26" i="9"/>
  <c r="D26" i="9"/>
  <c r="J26" i="9"/>
  <c r="K26" i="9"/>
  <c r="L26" i="9"/>
  <c r="D13" i="18"/>
  <c r="K13" i="18"/>
  <c r="C13" i="18"/>
  <c r="J13" i="18"/>
  <c r="I13" i="18"/>
  <c r="H13" i="18"/>
  <c r="G13" i="18"/>
  <c r="F13" i="18"/>
  <c r="E13" i="18"/>
  <c r="BA25" i="18"/>
  <c r="BB25" i="18" s="1"/>
  <c r="BA15" i="18"/>
  <c r="BB15" i="18" s="1"/>
  <c r="W379" i="30"/>
  <c r="BB40" i="9"/>
  <c r="V364" i="30"/>
  <c r="W380" i="30"/>
  <c r="W383" i="30"/>
  <c r="O25" i="18"/>
  <c r="W25" i="18" s="1"/>
  <c r="BB17" i="9"/>
  <c r="BC17" i="9" s="1"/>
  <c r="BD17" i="9" s="1"/>
  <c r="BA5" i="18"/>
  <c r="BB6" i="9"/>
  <c r="BC6" i="9" s="1"/>
  <c r="BD6" i="9" s="1"/>
  <c r="BA36" i="18"/>
  <c r="BB28" i="9"/>
  <c r="AP5" i="9"/>
  <c r="AO14" i="18"/>
  <c r="AO24" i="18"/>
  <c r="AP39" i="9"/>
  <c r="AP27" i="9"/>
  <c r="AO4" i="18"/>
  <c r="AP16" i="9"/>
  <c r="AO35" i="18"/>
  <c r="AA25" i="18"/>
  <c r="V15" i="18"/>
  <c r="X15" i="18"/>
  <c r="Z25" i="18"/>
  <c r="AB25" i="18" s="1"/>
  <c r="R25" i="18"/>
  <c r="S25" i="18" s="1"/>
  <c r="AP34" i="18"/>
  <c r="Z15" i="18"/>
  <c r="AB15" i="18" s="1"/>
  <c r="AA15" i="18"/>
  <c r="V25" i="18"/>
  <c r="X25" i="18"/>
  <c r="P14" i="18"/>
  <c r="P24" i="18"/>
  <c r="U14" i="18"/>
  <c r="T24" i="18"/>
  <c r="AR34" i="18"/>
  <c r="O15" i="18"/>
  <c r="W15" i="18" s="1"/>
  <c r="R15" i="18"/>
  <c r="S15" i="18" s="1"/>
  <c r="AT34" i="18"/>
  <c r="AI34" i="18"/>
  <c r="AH34" i="18"/>
  <c r="AA5" i="18"/>
  <c r="AG34" i="18"/>
  <c r="Z5" i="18"/>
  <c r="AB5" i="18" s="1"/>
  <c r="AF34" i="18"/>
  <c r="Y24" i="18"/>
  <c r="AM34" i="18"/>
  <c r="U24" i="18"/>
  <c r="AL34" i="18"/>
  <c r="AK34" i="18"/>
  <c r="AJ34" i="18"/>
  <c r="AQ34" i="18"/>
  <c r="AS34" i="18"/>
  <c r="M24" i="18"/>
  <c r="N24" i="18"/>
  <c r="Y14" i="18"/>
  <c r="N14" i="18"/>
  <c r="M14" i="18"/>
  <c r="L14" i="18"/>
  <c r="AG13" i="18"/>
  <c r="AK13" i="18"/>
  <c r="AE13" i="18"/>
  <c r="AM13" i="18"/>
  <c r="AL13" i="18"/>
  <c r="AI13" i="18"/>
  <c r="AF13" i="18"/>
  <c r="AJ13" i="18"/>
  <c r="AN13" i="18"/>
  <c r="AH13" i="18"/>
  <c r="L24" i="18"/>
  <c r="AN34" i="18"/>
  <c r="AD14" i="18"/>
  <c r="BC14" i="18" s="1"/>
  <c r="AD24" i="18"/>
  <c r="BC24" i="18" s="1"/>
  <c r="AI23" i="18"/>
  <c r="AM23" i="18"/>
  <c r="AE23" i="18"/>
  <c r="AK23" i="18"/>
  <c r="AG23" i="18"/>
  <c r="AN23" i="18"/>
  <c r="AL23" i="18"/>
  <c r="AF23" i="18"/>
  <c r="AJ23" i="18"/>
  <c r="AH23" i="18"/>
  <c r="T14" i="18"/>
  <c r="V365" i="30"/>
  <c r="V368" i="30"/>
  <c r="V5" i="18"/>
  <c r="R5" i="18"/>
  <c r="S5" i="18" s="1"/>
  <c r="X5" i="18"/>
  <c r="O5" i="18"/>
  <c r="W5" i="18" s="1"/>
  <c r="BB37" i="18"/>
  <c r="O27" i="9"/>
  <c r="AD4" i="18"/>
  <c r="BC4" i="18" s="1"/>
  <c r="T4" i="18"/>
  <c r="P4" i="18"/>
  <c r="Y4" i="18"/>
  <c r="M4" i="18"/>
  <c r="L4" i="18"/>
  <c r="U4" i="18"/>
  <c r="N4" i="18"/>
  <c r="AE34" i="18"/>
  <c r="AG3" i="18"/>
  <c r="AH3" i="18"/>
  <c r="AK3" i="18"/>
  <c r="AF3" i="18"/>
  <c r="AJ3" i="18"/>
  <c r="AE3" i="18"/>
  <c r="AN3" i="18"/>
  <c r="AI3" i="18"/>
  <c r="AL3" i="18"/>
  <c r="AM3" i="18"/>
  <c r="V27" i="9"/>
  <c r="U16" i="9"/>
  <c r="V16" i="9"/>
  <c r="U27" i="9"/>
  <c r="U5" i="9"/>
  <c r="V5" i="9"/>
  <c r="O16" i="9"/>
  <c r="AU38" i="9"/>
  <c r="AM38" i="9"/>
  <c r="AT38" i="9"/>
  <c r="AN38" i="9"/>
  <c r="Z27" i="9"/>
  <c r="AI38" i="9"/>
  <c r="W28" i="9"/>
  <c r="W6" i="9"/>
  <c r="Y6" i="9"/>
  <c r="AA17" i="9"/>
  <c r="AC17" i="9" s="1"/>
  <c r="Y17" i="9"/>
  <c r="AO38" i="9"/>
  <c r="AL38" i="9"/>
  <c r="Q5" i="9"/>
  <c r="AJ38" i="9"/>
  <c r="AK38" i="9"/>
  <c r="A14" i="9"/>
  <c r="B14" i="9"/>
  <c r="A25" i="9"/>
  <c r="B25" i="9"/>
  <c r="B3" i="9"/>
  <c r="A3" i="9"/>
  <c r="AI15" i="9"/>
  <c r="AM15" i="9"/>
  <c r="AF15" i="9"/>
  <c r="AJ15" i="9"/>
  <c r="AN15" i="9"/>
  <c r="AG15" i="9"/>
  <c r="AO15" i="9"/>
  <c r="AL15" i="9"/>
  <c r="AH15" i="9"/>
  <c r="AK15" i="9"/>
  <c r="AF26" i="9"/>
  <c r="AJ26" i="9"/>
  <c r="AN26" i="9"/>
  <c r="AG26" i="9"/>
  <c r="AK26" i="9"/>
  <c r="AL26" i="9"/>
  <c r="AO26" i="9"/>
  <c r="AI26" i="9"/>
  <c r="AH26" i="9"/>
  <c r="AM26" i="9"/>
  <c r="AH4" i="9"/>
  <c r="AL4" i="9"/>
  <c r="AI4" i="9"/>
  <c r="AM4" i="9"/>
  <c r="AJ4" i="9"/>
  <c r="AG4" i="9"/>
  <c r="AK4" i="9"/>
  <c r="AF4" i="9"/>
  <c r="AN4" i="9"/>
  <c r="AO4" i="9"/>
  <c r="AR38" i="9"/>
  <c r="AS38" i="9"/>
  <c r="AE16" i="9"/>
  <c r="Z5" i="9"/>
  <c r="S28" i="9"/>
  <c r="T28" i="9" s="1"/>
  <c r="AA28" i="9"/>
  <c r="AC28" i="9" s="1"/>
  <c r="AG38" i="9"/>
  <c r="AH38" i="9"/>
  <c r="S6" i="9"/>
  <c r="T6" i="9" s="1"/>
  <c r="AF38" i="9"/>
  <c r="N5" i="9"/>
  <c r="O5" i="9"/>
  <c r="Q27" i="9"/>
  <c r="R16" i="9"/>
  <c r="N16" i="9"/>
  <c r="AE5" i="9"/>
  <c r="AQ38" i="9"/>
  <c r="Z16" i="9"/>
  <c r="N27" i="9"/>
  <c r="R27" i="9"/>
  <c r="Q16" i="9"/>
  <c r="AE27" i="9"/>
  <c r="AA6" i="9"/>
  <c r="AC6" i="9" s="1"/>
  <c r="P17" i="9"/>
  <c r="X17" i="9" s="1"/>
  <c r="AB17" i="9"/>
  <c r="P28" i="9"/>
  <c r="X28" i="9" s="1"/>
  <c r="AB28" i="9"/>
  <c r="AB6" i="9"/>
  <c r="P6" i="9"/>
  <c r="X6" i="9" s="1"/>
  <c r="W17" i="9"/>
  <c r="Y28" i="9"/>
  <c r="S17" i="9"/>
  <c r="T17" i="9" s="1"/>
  <c r="U2" i="18" l="1"/>
  <c r="AF32" i="18"/>
  <c r="AZ12" i="18"/>
  <c r="AR32" i="18"/>
  <c r="N2" i="18"/>
  <c r="AV32" i="18"/>
  <c r="Y2" i="18"/>
  <c r="A13" i="9"/>
  <c r="B13" i="9"/>
  <c r="A2" i="9"/>
  <c r="B2" i="9"/>
  <c r="A24" i="9"/>
  <c r="B24" i="9"/>
  <c r="AY32" i="18"/>
  <c r="AU32" i="18"/>
  <c r="AX32" i="18"/>
  <c r="AM32" i="18"/>
  <c r="T12" i="18"/>
  <c r="P22" i="18"/>
  <c r="AB22" i="18" s="1"/>
  <c r="V2" i="18"/>
  <c r="L22" i="18"/>
  <c r="Q22" i="18" s="1"/>
  <c r="AO12" i="18"/>
  <c r="BA12" i="18" s="1"/>
  <c r="BB12" i="18" s="1"/>
  <c r="M22" i="18"/>
  <c r="AS32" i="18"/>
  <c r="AN32" i="18"/>
  <c r="L12" i="18"/>
  <c r="Q12" i="18" s="1"/>
  <c r="M12" i="18"/>
  <c r="AO22" i="18"/>
  <c r="X2" i="18"/>
  <c r="M2" i="18"/>
  <c r="P12" i="18"/>
  <c r="AB12" i="18" s="1"/>
  <c r="AZ22" i="18"/>
  <c r="AO2" i="18"/>
  <c r="AE32" i="18"/>
  <c r="AZ2" i="18"/>
  <c r="AP32" i="18"/>
  <c r="AD3" i="9"/>
  <c r="AD14" i="9" s="1"/>
  <c r="AD25" i="9" s="1"/>
  <c r="AD36" i="9" s="1"/>
  <c r="AY33" i="18"/>
  <c r="AZ3" i="18"/>
  <c r="AZ23" i="18"/>
  <c r="AX33" i="18"/>
  <c r="AV33" i="18"/>
  <c r="AW33" i="18"/>
  <c r="AZ13" i="18"/>
  <c r="AU33" i="18"/>
  <c r="AZ34" i="18"/>
  <c r="BA15" i="9"/>
  <c r="AZ37" i="9"/>
  <c r="BA38" i="9"/>
  <c r="BA4" i="9"/>
  <c r="BA26" i="9"/>
  <c r="AY37" i="9"/>
  <c r="AR25" i="9"/>
  <c r="AZ25" i="9"/>
  <c r="AS25" i="9"/>
  <c r="AQ25" i="9"/>
  <c r="AT25" i="9"/>
  <c r="AY25" i="9"/>
  <c r="AU25" i="9"/>
  <c r="AV25" i="9"/>
  <c r="AW25" i="9"/>
  <c r="AX25" i="9"/>
  <c r="AX37" i="9"/>
  <c r="AW37" i="9"/>
  <c r="AY14" i="9"/>
  <c r="AR14" i="9"/>
  <c r="AX14" i="9"/>
  <c r="AZ14" i="9"/>
  <c r="AS14" i="9"/>
  <c r="AQ14" i="9"/>
  <c r="AT14" i="9"/>
  <c r="AW14" i="9"/>
  <c r="AU14" i="9"/>
  <c r="AV14" i="9"/>
  <c r="AV37" i="9"/>
  <c r="AW3" i="9"/>
  <c r="AX3" i="9"/>
  <c r="AY3" i="9"/>
  <c r="AV3" i="9"/>
  <c r="AR3" i="9"/>
  <c r="AZ3" i="9"/>
  <c r="AS3" i="9"/>
  <c r="AQ3" i="9"/>
  <c r="AU3" i="9"/>
  <c r="AT3" i="9"/>
  <c r="M26" i="9"/>
  <c r="R26" i="9" s="1"/>
  <c r="M4" i="9"/>
  <c r="R4" i="9" s="1"/>
  <c r="E25" i="9"/>
  <c r="D25" i="9"/>
  <c r="L25" i="9"/>
  <c r="K25" i="9"/>
  <c r="J25" i="9"/>
  <c r="I25" i="9"/>
  <c r="H25" i="9"/>
  <c r="G25" i="9"/>
  <c r="F25" i="9"/>
  <c r="E14" i="9"/>
  <c r="F14" i="9"/>
  <c r="L14" i="9"/>
  <c r="D14" i="9"/>
  <c r="K14" i="9"/>
  <c r="J14" i="9"/>
  <c r="I14" i="9"/>
  <c r="H14" i="9"/>
  <c r="G14" i="9"/>
  <c r="E3" i="9"/>
  <c r="K3" i="9"/>
  <c r="J3" i="9"/>
  <c r="I3" i="9"/>
  <c r="D3" i="9"/>
  <c r="H3" i="9"/>
  <c r="G3" i="9"/>
  <c r="L3" i="9"/>
  <c r="F3" i="9"/>
  <c r="M15" i="9"/>
  <c r="Y15" i="9" s="1"/>
  <c r="W364" i="30"/>
  <c r="BB39" i="9"/>
  <c r="BC39" i="9" s="1"/>
  <c r="AA24" i="18"/>
  <c r="BA24" i="18"/>
  <c r="BB24" i="18" s="1"/>
  <c r="AO34" i="18"/>
  <c r="BA14" i="18"/>
  <c r="BB14" i="18" s="1"/>
  <c r="BB5" i="9"/>
  <c r="BC5" i="9" s="1"/>
  <c r="BD5" i="9" s="1"/>
  <c r="BA35" i="18"/>
  <c r="BB16" i="9"/>
  <c r="BC16" i="9" s="1"/>
  <c r="BD16" i="9" s="1"/>
  <c r="BA4" i="18"/>
  <c r="BB27" i="9"/>
  <c r="BC27" i="9" s="1"/>
  <c r="BD27" i="9" s="1"/>
  <c r="AP4" i="9"/>
  <c r="AP38" i="9"/>
  <c r="AP15" i="9"/>
  <c r="AO3" i="18"/>
  <c r="AP26" i="9"/>
  <c r="AO23" i="18"/>
  <c r="AO13" i="18"/>
  <c r="AP33" i="18"/>
  <c r="AH33" i="18"/>
  <c r="AQ33" i="18"/>
  <c r="AD23" i="18"/>
  <c r="BC23" i="18" s="1"/>
  <c r="AK33" i="18"/>
  <c r="AI33" i="18"/>
  <c r="AS33" i="18"/>
  <c r="AM33" i="18"/>
  <c r="AL33" i="18"/>
  <c r="P13" i="18"/>
  <c r="AG33" i="18"/>
  <c r="T13" i="18"/>
  <c r="L23" i="18"/>
  <c r="X23" i="18" s="1"/>
  <c r="Z24" i="18"/>
  <c r="AB24" i="18" s="1"/>
  <c r="R24" i="18"/>
  <c r="S24" i="18" s="1"/>
  <c r="O24" i="18"/>
  <c r="W24" i="18" s="1"/>
  <c r="AN33" i="18"/>
  <c r="N13" i="18"/>
  <c r="Q14" i="18"/>
  <c r="V14" i="18" s="1"/>
  <c r="X14" i="18"/>
  <c r="O14" i="18"/>
  <c r="W14" i="18" s="1"/>
  <c r="AA14" i="18"/>
  <c r="AF33" i="18"/>
  <c r="M23" i="18"/>
  <c r="P23" i="18"/>
  <c r="L13" i="18"/>
  <c r="Q13" i="18" s="1"/>
  <c r="AD13" i="18"/>
  <c r="BC13" i="18" s="1"/>
  <c r="AT33" i="18"/>
  <c r="AR33" i="18"/>
  <c r="U23" i="18"/>
  <c r="Q24" i="18"/>
  <c r="V24" i="18" s="1"/>
  <c r="X24" i="18"/>
  <c r="Y13" i="18"/>
  <c r="R14" i="18"/>
  <c r="S14" i="18" s="1"/>
  <c r="N23" i="18"/>
  <c r="M13" i="18"/>
  <c r="AJ33" i="18"/>
  <c r="Y23" i="18"/>
  <c r="U13" i="18"/>
  <c r="T23" i="18"/>
  <c r="Z14" i="18"/>
  <c r="AB14" i="18" s="1"/>
  <c r="W365" i="30"/>
  <c r="S27" i="9"/>
  <c r="T27" i="9" s="1"/>
  <c r="AA27" i="9"/>
  <c r="AC27" i="9" s="1"/>
  <c r="W368" i="30"/>
  <c r="V15" i="9"/>
  <c r="BB5" i="18"/>
  <c r="BB36" i="18"/>
  <c r="BC28" i="9"/>
  <c r="BD28" i="9" s="1"/>
  <c r="BC40" i="9"/>
  <c r="L3" i="18"/>
  <c r="Q3" i="18" s="1"/>
  <c r="Z26" i="9"/>
  <c r="U3" i="18"/>
  <c r="AD3" i="18"/>
  <c r="BC3" i="18" s="1"/>
  <c r="P3" i="18"/>
  <c r="T3" i="18"/>
  <c r="N3" i="18"/>
  <c r="R4" i="18"/>
  <c r="S4" i="18" s="1"/>
  <c r="M3" i="18"/>
  <c r="AE33" i="18"/>
  <c r="AA4" i="18"/>
  <c r="O4" i="18"/>
  <c r="W4" i="18" s="1"/>
  <c r="Q4" i="18"/>
  <c r="V4" i="18" s="1"/>
  <c r="X4" i="18"/>
  <c r="Y3" i="18"/>
  <c r="Z4" i="18"/>
  <c r="AB4" i="18" s="1"/>
  <c r="V4" i="9"/>
  <c r="U4" i="9"/>
  <c r="V26" i="9"/>
  <c r="U26" i="9"/>
  <c r="U15" i="9"/>
  <c r="O15" i="9"/>
  <c r="S16" i="9"/>
  <c r="T16" i="9" s="1"/>
  <c r="AA16" i="9"/>
  <c r="AC16" i="9" s="1"/>
  <c r="AO37" i="9"/>
  <c r="AT37" i="9"/>
  <c r="AM37" i="9"/>
  <c r="AS37" i="9"/>
  <c r="AL37" i="9"/>
  <c r="AJ37" i="9"/>
  <c r="AU37" i="9"/>
  <c r="AE4" i="9"/>
  <c r="O26" i="9"/>
  <c r="W5" i="9"/>
  <c r="AN37" i="9"/>
  <c r="AG37" i="9"/>
  <c r="AI37" i="9"/>
  <c r="AH37" i="9"/>
  <c r="Q4" i="9"/>
  <c r="AE15" i="9"/>
  <c r="Q26" i="9"/>
  <c r="AR37" i="9"/>
  <c r="AK37" i="9"/>
  <c r="AG25" i="9"/>
  <c r="AK25" i="9"/>
  <c r="AO25" i="9"/>
  <c r="AH25" i="9"/>
  <c r="AL25" i="9"/>
  <c r="AM25" i="9"/>
  <c r="AF25" i="9"/>
  <c r="AN25" i="9"/>
  <c r="AI25" i="9"/>
  <c r="AJ25" i="9"/>
  <c r="AI3" i="9"/>
  <c r="AM3" i="9"/>
  <c r="AF3" i="9"/>
  <c r="AJ3" i="9"/>
  <c r="AN3" i="9"/>
  <c r="AK3" i="9"/>
  <c r="AL3" i="9"/>
  <c r="AG3" i="9"/>
  <c r="AO3" i="9"/>
  <c r="AH3" i="9"/>
  <c r="AF14" i="9"/>
  <c r="AJ14" i="9"/>
  <c r="AN14" i="9"/>
  <c r="AG14" i="9"/>
  <c r="AK14" i="9"/>
  <c r="AO14" i="9"/>
  <c r="AH14" i="9"/>
  <c r="AI14" i="9"/>
  <c r="AL14" i="9"/>
  <c r="AM14" i="9"/>
  <c r="AF37" i="9"/>
  <c r="O4" i="9"/>
  <c r="N15" i="9"/>
  <c r="Z15" i="9"/>
  <c r="AQ37" i="9"/>
  <c r="Z4" i="9"/>
  <c r="N4" i="9"/>
  <c r="AE26" i="9"/>
  <c r="Q15" i="9"/>
  <c r="N26" i="9"/>
  <c r="S5" i="9"/>
  <c r="T5" i="9" s="1"/>
  <c r="AA5" i="9"/>
  <c r="AC5" i="9" s="1"/>
  <c r="W16" i="9"/>
  <c r="Y27" i="9"/>
  <c r="Y16" i="9"/>
  <c r="Y5" i="9"/>
  <c r="P5" i="9"/>
  <c r="X5" i="9" s="1"/>
  <c r="AB5" i="9"/>
  <c r="P27" i="9"/>
  <c r="X27" i="9" s="1"/>
  <c r="AB27" i="9"/>
  <c r="P16" i="9"/>
  <c r="X16" i="9" s="1"/>
  <c r="AB16" i="9"/>
  <c r="W27" i="9"/>
  <c r="Z2" i="18" l="1"/>
  <c r="AB2" i="18" s="1"/>
  <c r="R2" i="18"/>
  <c r="S2" i="18" s="1"/>
  <c r="X22" i="18"/>
  <c r="V22" i="18"/>
  <c r="AZ32" i="18"/>
  <c r="E24" i="9"/>
  <c r="D24" i="9"/>
  <c r="AE24" i="9" s="1"/>
  <c r="F24" i="9"/>
  <c r="G24" i="9"/>
  <c r="H24" i="9"/>
  <c r="I24" i="9"/>
  <c r="J24" i="9"/>
  <c r="K24" i="9"/>
  <c r="L24" i="9"/>
  <c r="AL24" i="9"/>
  <c r="AX24" i="9"/>
  <c r="AO24" i="9"/>
  <c r="AQ24" i="9"/>
  <c r="AV24" i="9"/>
  <c r="AK24" i="9"/>
  <c r="AM24" i="9"/>
  <c r="AY24" i="9"/>
  <c r="AN24" i="9"/>
  <c r="AZ24" i="9"/>
  <c r="AJ24" i="9"/>
  <c r="AW24" i="9"/>
  <c r="AF24" i="9"/>
  <c r="AR24" i="9"/>
  <c r="AG24" i="9"/>
  <c r="AS24" i="9"/>
  <c r="AH24" i="9"/>
  <c r="AT24" i="9"/>
  <c r="AI24" i="9"/>
  <c r="AU24" i="9"/>
  <c r="D2" i="9"/>
  <c r="AE2" i="9" s="1"/>
  <c r="E2" i="9"/>
  <c r="F2" i="9"/>
  <c r="AD2" i="9"/>
  <c r="G2" i="9"/>
  <c r="H2" i="9"/>
  <c r="I2" i="9"/>
  <c r="J2" i="9"/>
  <c r="Q2" i="9" s="1"/>
  <c r="K2" i="9"/>
  <c r="L2" i="9"/>
  <c r="AN2" i="9"/>
  <c r="AZ2" i="9"/>
  <c r="AF2" i="9"/>
  <c r="AG2" i="9"/>
  <c r="AX2" i="9"/>
  <c r="AY2" i="9"/>
  <c r="AO2" i="9"/>
  <c r="AQ2" i="9"/>
  <c r="AR2" i="9"/>
  <c r="AS2" i="9"/>
  <c r="AS35" i="9" s="1"/>
  <c r="AM2" i="9"/>
  <c r="AH2" i="9"/>
  <c r="AT2" i="9"/>
  <c r="AI2" i="9"/>
  <c r="AU2" i="9"/>
  <c r="AJ2" i="9"/>
  <c r="AV2" i="9"/>
  <c r="AK2" i="9"/>
  <c r="AW2" i="9"/>
  <c r="AL2" i="9"/>
  <c r="I13" i="9"/>
  <c r="J13" i="9"/>
  <c r="K13" i="9"/>
  <c r="L13" i="9"/>
  <c r="G13" i="9"/>
  <c r="H13" i="9"/>
  <c r="D13" i="9"/>
  <c r="AE13" i="9" s="1"/>
  <c r="BD13" i="9" s="1"/>
  <c r="E13" i="9"/>
  <c r="F13" i="9"/>
  <c r="AG13" i="9"/>
  <c r="AS13" i="9"/>
  <c r="AJ13" i="9"/>
  <c r="AW13" i="9"/>
  <c r="AX13" i="9"/>
  <c r="AQ13" i="9"/>
  <c r="AF13" i="9"/>
  <c r="AH13" i="9"/>
  <c r="AT13" i="9"/>
  <c r="AI13" i="9"/>
  <c r="AU13" i="9"/>
  <c r="AV13" i="9"/>
  <c r="AK13" i="9"/>
  <c r="AL13" i="9"/>
  <c r="AR13" i="9"/>
  <c r="AM13" i="9"/>
  <c r="AY13" i="9"/>
  <c r="AN13" i="9"/>
  <c r="AZ13" i="9"/>
  <c r="AO13" i="9"/>
  <c r="BA2" i="18"/>
  <c r="BB2" i="18" s="1"/>
  <c r="O22" i="18"/>
  <c r="W22" i="18" s="1"/>
  <c r="AA22" i="18"/>
  <c r="V12" i="18"/>
  <c r="O2" i="18"/>
  <c r="W2" i="18" s="1"/>
  <c r="AA2" i="18"/>
  <c r="BA22" i="18"/>
  <c r="BB22" i="18" s="1"/>
  <c r="AA12" i="18"/>
  <c r="O12" i="18"/>
  <c r="W12" i="18" s="1"/>
  <c r="R22" i="18"/>
  <c r="S22" i="18" s="1"/>
  <c r="X12" i="18"/>
  <c r="R12" i="18"/>
  <c r="S12" i="18" s="1"/>
  <c r="AO32" i="18"/>
  <c r="BA32" i="18" s="1"/>
  <c r="BB32" i="18" s="1"/>
  <c r="AY36" i="9"/>
  <c r="AW36" i="9"/>
  <c r="AZ33" i="18"/>
  <c r="BA37" i="9"/>
  <c r="BA14" i="9"/>
  <c r="BA3" i="9"/>
  <c r="AZ36" i="9"/>
  <c r="BA25" i="9"/>
  <c r="AV36" i="9"/>
  <c r="AX36" i="9"/>
  <c r="BA13" i="18"/>
  <c r="BB13" i="18" s="1"/>
  <c r="BA23" i="18"/>
  <c r="BB23" i="18" s="1"/>
  <c r="BB26" i="9"/>
  <c r="BC26" i="9" s="1"/>
  <c r="BD26" i="9" s="1"/>
  <c r="BA3" i="18"/>
  <c r="AP37" i="9"/>
  <c r="BB15" i="9"/>
  <c r="BC15" i="9" s="1"/>
  <c r="BD15" i="9" s="1"/>
  <c r="AP3" i="9"/>
  <c r="BB38" i="9"/>
  <c r="BC38" i="9" s="1"/>
  <c r="BA34" i="18"/>
  <c r="BB4" i="9"/>
  <c r="BC4" i="9" s="1"/>
  <c r="BD4" i="9" s="1"/>
  <c r="AP14" i="9"/>
  <c r="AO33" i="18"/>
  <c r="AP25" i="9"/>
  <c r="R13" i="18"/>
  <c r="S13" i="18" s="1"/>
  <c r="Z13" i="18"/>
  <c r="AB13" i="18" s="1"/>
  <c r="V13" i="18"/>
  <c r="Q23" i="18"/>
  <c r="V23" i="18" s="1"/>
  <c r="S15" i="9"/>
  <c r="T15" i="9" s="1"/>
  <c r="Z23" i="18"/>
  <c r="AB23" i="18" s="1"/>
  <c r="X13" i="18"/>
  <c r="O23" i="18"/>
  <c r="W23" i="18" s="1"/>
  <c r="AA23" i="18"/>
  <c r="AA13" i="18"/>
  <c r="O13" i="18"/>
  <c r="W13" i="18" s="1"/>
  <c r="R23" i="18"/>
  <c r="S23" i="18" s="1"/>
  <c r="BB35" i="18"/>
  <c r="BB4" i="18"/>
  <c r="X3" i="18"/>
  <c r="AA26" i="9"/>
  <c r="AC26" i="9" s="1"/>
  <c r="V3" i="18"/>
  <c r="Z3" i="18"/>
  <c r="AB3" i="18" s="1"/>
  <c r="R3" i="18"/>
  <c r="S3" i="18" s="1"/>
  <c r="O3" i="18"/>
  <c r="W3" i="18" s="1"/>
  <c r="AA3" i="18"/>
  <c r="V3" i="9"/>
  <c r="AA15" i="9"/>
  <c r="AC15" i="9" s="1"/>
  <c r="U3" i="9"/>
  <c r="V14" i="9"/>
  <c r="U14" i="9"/>
  <c r="V25" i="9"/>
  <c r="U25" i="9"/>
  <c r="AE25" i="9"/>
  <c r="S26" i="9"/>
  <c r="T26" i="9" s="1"/>
  <c r="Y4" i="9"/>
  <c r="R15" i="9"/>
  <c r="W15" i="9" s="1"/>
  <c r="W26" i="9"/>
  <c r="Q25" i="9"/>
  <c r="W4" i="9"/>
  <c r="Z14" i="9"/>
  <c r="Q3" i="9"/>
  <c r="O14" i="9"/>
  <c r="M25" i="9"/>
  <c r="R25" i="9" s="1"/>
  <c r="AE3" i="9"/>
  <c r="N14" i="9"/>
  <c r="AU36" i="9"/>
  <c r="AG36" i="9"/>
  <c r="AS36" i="9"/>
  <c r="AR36" i="9"/>
  <c r="O25" i="9"/>
  <c r="N3" i="9"/>
  <c r="Z3" i="9"/>
  <c r="Q14" i="9"/>
  <c r="AH36" i="9"/>
  <c r="AQ36" i="9"/>
  <c r="AN36" i="9"/>
  <c r="AM36" i="9"/>
  <c r="Z25" i="9"/>
  <c r="M14" i="9"/>
  <c r="R14" i="9" s="1"/>
  <c r="AT36" i="9"/>
  <c r="AL36" i="9"/>
  <c r="AJ36" i="9"/>
  <c r="AI36" i="9"/>
  <c r="AA4" i="9"/>
  <c r="AC4" i="9" s="1"/>
  <c r="O3" i="9"/>
  <c r="M3" i="9"/>
  <c r="R3" i="9" s="1"/>
  <c r="AE14" i="9"/>
  <c r="AO36" i="9"/>
  <c r="AK36" i="9"/>
  <c r="AF36" i="9"/>
  <c r="N25" i="9"/>
  <c r="Y26" i="9"/>
  <c r="AB4" i="9"/>
  <c r="P4" i="9"/>
  <c r="X4" i="9" s="1"/>
  <c r="P26" i="9"/>
  <c r="X26" i="9" s="1"/>
  <c r="AB26" i="9"/>
  <c r="P15" i="9"/>
  <c r="X15" i="9" s="1"/>
  <c r="AB15" i="9"/>
  <c r="S4" i="9"/>
  <c r="T4" i="9" s="1"/>
  <c r="U13" i="9" l="1"/>
  <c r="AM35" i="9"/>
  <c r="U2" i="9"/>
  <c r="O13" i="9"/>
  <c r="AP13" i="9"/>
  <c r="BB13" i="9" s="1"/>
  <c r="BC13" i="9" s="1"/>
  <c r="V13" i="9"/>
  <c r="AH35" i="9"/>
  <c r="V2" i="9"/>
  <c r="AW35" i="9"/>
  <c r="V24" i="9"/>
  <c r="U24" i="9"/>
  <c r="AU35" i="9"/>
  <c r="M13" i="9"/>
  <c r="R13" i="9" s="1"/>
  <c r="M24" i="9"/>
  <c r="R24" i="9" s="1"/>
  <c r="M2" i="9"/>
  <c r="R2" i="9" s="1"/>
  <c r="W2" i="9" s="1"/>
  <c r="BA13" i="9"/>
  <c r="AR35" i="9"/>
  <c r="AL35" i="9"/>
  <c r="BA2" i="9"/>
  <c r="AQ35" i="9"/>
  <c r="Q13" i="9"/>
  <c r="AO35" i="9"/>
  <c r="Z2" i="9"/>
  <c r="AP24" i="9"/>
  <c r="AK35" i="9"/>
  <c r="AY35" i="9"/>
  <c r="AV35" i="9"/>
  <c r="AX35" i="9"/>
  <c r="O2" i="9"/>
  <c r="N13" i="9"/>
  <c r="AJ35" i="9"/>
  <c r="AG35" i="9"/>
  <c r="N2" i="9"/>
  <c r="Q24" i="9"/>
  <c r="AP2" i="9"/>
  <c r="AF35" i="9"/>
  <c r="AI35" i="9"/>
  <c r="AZ35" i="9"/>
  <c r="Z13" i="9"/>
  <c r="AT35" i="9"/>
  <c r="AN35" i="9"/>
  <c r="Z24" i="9"/>
  <c r="O24" i="9"/>
  <c r="BA24" i="9"/>
  <c r="N24" i="9"/>
  <c r="BA36" i="9"/>
  <c r="BB3" i="9"/>
  <c r="BC3" i="9" s="1"/>
  <c r="BD3" i="9" s="1"/>
  <c r="AP36" i="9"/>
  <c r="BB25" i="9"/>
  <c r="BC25" i="9" s="1"/>
  <c r="BD25" i="9" s="1"/>
  <c r="BB37" i="9"/>
  <c r="BA33" i="18"/>
  <c r="BB14" i="9"/>
  <c r="BC14" i="9" s="1"/>
  <c r="BD14" i="9" s="1"/>
  <c r="BB34" i="18"/>
  <c r="BB3" i="18"/>
  <c r="AA25" i="9"/>
  <c r="AC25" i="9" s="1"/>
  <c r="W25" i="9"/>
  <c r="S14" i="9"/>
  <c r="T14" i="9" s="1"/>
  <c r="S3" i="9"/>
  <c r="T3" i="9" s="1"/>
  <c r="Y25" i="9"/>
  <c r="W3" i="9"/>
  <c r="AA14" i="9"/>
  <c r="AC14" i="9" s="1"/>
  <c r="Y3" i="9"/>
  <c r="Y14" i="9"/>
  <c r="P25" i="9"/>
  <c r="X25" i="9" s="1"/>
  <c r="AB25" i="9"/>
  <c r="P3" i="9"/>
  <c r="X3" i="9" s="1"/>
  <c r="AB3" i="9"/>
  <c r="W14" i="9"/>
  <c r="S25" i="9"/>
  <c r="T25" i="9" s="1"/>
  <c r="AA3" i="9"/>
  <c r="AC3" i="9" s="1"/>
  <c r="P14" i="9"/>
  <c r="X14" i="9" s="1"/>
  <c r="AB14" i="9"/>
  <c r="AA13" i="9" l="1"/>
  <c r="Y2" i="9"/>
  <c r="S13" i="9"/>
  <c r="T13" i="9" s="1"/>
  <c r="S2" i="9"/>
  <c r="T2" i="9" s="1"/>
  <c r="S24" i="9"/>
  <c r="T24" i="9" s="1"/>
  <c r="AC13" i="9"/>
  <c r="Y13" i="9"/>
  <c r="Y24" i="9"/>
  <c r="W24" i="9"/>
  <c r="BA35" i="9"/>
  <c r="P24" i="9"/>
  <c r="X24" i="9" s="1"/>
  <c r="AB24" i="9"/>
  <c r="AP35" i="9"/>
  <c r="BB2" i="9"/>
  <c r="BC2" i="9" s="1"/>
  <c r="BD2" i="9" s="1"/>
  <c r="AA24" i="9"/>
  <c r="AC24" i="9" s="1"/>
  <c r="P2" i="9"/>
  <c r="X2" i="9" s="1"/>
  <c r="AB2" i="9"/>
  <c r="BB24" i="9"/>
  <c r="BC24" i="9" s="1"/>
  <c r="BD24" i="9" s="1"/>
  <c r="AA2" i="9"/>
  <c r="AC2" i="9" s="1"/>
  <c r="P13" i="9"/>
  <c r="X13" i="9" s="1"/>
  <c r="AB13" i="9"/>
  <c r="W13" i="9"/>
  <c r="BB36" i="9"/>
  <c r="BC36" i="9" s="1"/>
  <c r="BB33" i="18"/>
  <c r="BC37" i="9"/>
  <c r="N50" i="20"/>
  <c r="N6" i="20"/>
  <c r="N10" i="20"/>
  <c r="N51" i="20"/>
  <c r="N7" i="20"/>
  <c r="N11" i="20"/>
  <c r="N48" i="20"/>
  <c r="N4" i="20"/>
  <c r="N8" i="20"/>
  <c r="N49" i="20"/>
  <c r="N5" i="20"/>
  <c r="N9" i="20"/>
  <c r="BB35" i="9" l="1"/>
  <c r="BC35" i="9" s="1"/>
  <c r="J11" i="20"/>
  <c r="N3" i="20"/>
  <c r="Q365" i="30" s="1"/>
  <c r="N47" i="20"/>
  <c r="Q368" i="30" s="1"/>
  <c r="Z28" i="18"/>
  <c r="AB28" i="18" s="1"/>
  <c r="Z7" i="18"/>
  <c r="AB7" i="18" s="1"/>
  <c r="F367" i="30"/>
  <c r="F36" i="30"/>
  <c r="E14" i="30"/>
  <c r="F118" i="30"/>
  <c r="E344" i="30"/>
  <c r="F371" i="30"/>
  <c r="F305" i="30"/>
  <c r="E415" i="30"/>
  <c r="E260" i="30"/>
  <c r="E51" i="30"/>
  <c r="F60" i="30"/>
  <c r="F377" i="30"/>
  <c r="E94" i="30"/>
  <c r="F293" i="30"/>
  <c r="F375" i="30"/>
  <c r="F130" i="30"/>
  <c r="F98" i="30"/>
  <c r="E59" i="30"/>
  <c r="F388" i="30"/>
  <c r="F254" i="30"/>
  <c r="F26" i="30"/>
  <c r="E144" i="30"/>
  <c r="F139" i="30"/>
  <c r="E300" i="30"/>
  <c r="E272" i="30"/>
  <c r="E127" i="30"/>
  <c r="F115" i="30"/>
  <c r="F310" i="30"/>
  <c r="E45" i="30"/>
  <c r="F107" i="30"/>
  <c r="F155" i="30"/>
  <c r="E73" i="30"/>
  <c r="F89" i="30"/>
  <c r="F68" i="30"/>
  <c r="E352" i="30"/>
  <c r="F23" i="30"/>
  <c r="F268" i="30"/>
  <c r="E152" i="30"/>
  <c r="F376" i="30"/>
  <c r="F267" i="30"/>
  <c r="E317" i="30"/>
  <c r="E148" i="30"/>
  <c r="F64" i="30"/>
  <c r="E18" i="30"/>
  <c r="E327" i="30"/>
  <c r="F125" i="30"/>
  <c r="F350" i="30"/>
  <c r="E393" i="30"/>
  <c r="F306" i="30"/>
  <c r="F152" i="30"/>
  <c r="E266" i="30"/>
  <c r="E56" i="30"/>
  <c r="E23" i="30"/>
  <c r="F15" i="30"/>
  <c r="F311" i="30"/>
  <c r="F91" i="30"/>
  <c r="E357" i="30"/>
  <c r="E157" i="30"/>
  <c r="F30" i="30"/>
  <c r="F260" i="30"/>
  <c r="F116" i="30"/>
  <c r="E294" i="30"/>
  <c r="E97" i="30"/>
  <c r="E132" i="30"/>
  <c r="E303" i="30"/>
  <c r="E83" i="30"/>
  <c r="F101" i="30"/>
  <c r="F368" i="30"/>
  <c r="F390" i="30"/>
  <c r="F251" i="30"/>
  <c r="F27" i="30"/>
  <c r="E305" i="30"/>
  <c r="E93" i="30"/>
  <c r="E116" i="30"/>
  <c r="F272" i="30"/>
  <c r="F13" i="30"/>
  <c r="E306" i="30"/>
  <c r="E2" i="30"/>
  <c r="E315" i="30"/>
  <c r="E99" i="30"/>
  <c r="F113" i="30"/>
  <c r="F380" i="30"/>
  <c r="F397" i="30"/>
  <c r="E399" i="30"/>
  <c r="F121" i="30"/>
  <c r="F54" i="30"/>
  <c r="F75" i="30"/>
  <c r="F379" i="30"/>
  <c r="F244" i="30"/>
  <c r="F90" i="30"/>
  <c r="F287" i="30"/>
  <c r="F4" i="30"/>
  <c r="E323" i="30"/>
  <c r="F86" i="30"/>
  <c r="E33" i="30"/>
  <c r="F363" i="30"/>
  <c r="F289" i="30"/>
  <c r="F20" i="30"/>
  <c r="F255" i="30"/>
  <c r="F406" i="30"/>
  <c r="F48" i="30"/>
  <c r="F154" i="30"/>
  <c r="E134" i="30"/>
  <c r="E128" i="30"/>
  <c r="E397" i="30"/>
  <c r="E64" i="30"/>
  <c r="E268" i="30"/>
  <c r="E403" i="30"/>
  <c r="E111" i="30"/>
  <c r="E377" i="30"/>
  <c r="E387" i="30"/>
  <c r="E395" i="30"/>
  <c r="E142" i="30"/>
  <c r="F79" i="30"/>
  <c r="F312" i="30"/>
  <c r="F242" i="30"/>
  <c r="F420" i="30"/>
  <c r="E312" i="30"/>
  <c r="E288" i="30"/>
  <c r="E365" i="30"/>
  <c r="F124" i="30"/>
  <c r="E375" i="30"/>
  <c r="E24" i="30"/>
  <c r="F159" i="30"/>
  <c r="E285" i="30"/>
  <c r="E60" i="30"/>
  <c r="E414" i="30"/>
  <c r="E81" i="30"/>
  <c r="E295" i="30"/>
  <c r="F93" i="30"/>
  <c r="F315" i="30"/>
  <c r="E361" i="30"/>
  <c r="F38" i="30"/>
  <c r="F120" i="30"/>
  <c r="F278" i="30"/>
  <c r="E243" i="30"/>
  <c r="F33" i="30"/>
  <c r="F362" i="30"/>
  <c r="F147" i="30"/>
  <c r="E405" i="30"/>
  <c r="E277" i="30"/>
  <c r="F330" i="30"/>
  <c r="E406" i="30"/>
  <c r="E278" i="30"/>
  <c r="E65" i="30"/>
  <c r="E88" i="30"/>
  <c r="E287" i="30"/>
  <c r="E35" i="30"/>
  <c r="F85" i="30"/>
  <c r="F352" i="30"/>
  <c r="F374" i="30"/>
  <c r="E417" i="30"/>
  <c r="E289" i="30"/>
  <c r="E61" i="30"/>
  <c r="E72" i="30"/>
  <c r="F256" i="30"/>
  <c r="E354" i="30"/>
  <c r="E66" i="30"/>
  <c r="F262" i="30"/>
  <c r="E363" i="30"/>
  <c r="F21" i="30"/>
  <c r="E4" i="30"/>
  <c r="Z17" i="18"/>
  <c r="AB17" i="18" s="1"/>
  <c r="Z18" i="18"/>
  <c r="AB18" i="18" s="1"/>
  <c r="F309" i="30"/>
  <c r="F62" i="30"/>
  <c r="F385" i="30"/>
  <c r="F257" i="30"/>
  <c r="F297" i="30"/>
  <c r="E316" i="30"/>
  <c r="F263" i="30"/>
  <c r="F355" i="30"/>
  <c r="F410" i="30"/>
  <c r="F146" i="30"/>
  <c r="E118" i="30"/>
  <c r="F59" i="30"/>
  <c r="F417" i="30"/>
  <c r="F369" i="30"/>
  <c r="F285" i="30"/>
  <c r="F265" i="30"/>
  <c r="F102" i="30"/>
  <c r="F44" i="30"/>
  <c r="F82" i="30"/>
  <c r="F58" i="30"/>
  <c r="F8" i="30"/>
  <c r="E333" i="30"/>
  <c r="E343" i="30"/>
  <c r="E380" i="30"/>
  <c r="F51" i="30"/>
  <c r="F321" i="30"/>
  <c r="F389" i="30"/>
  <c r="E292" i="30"/>
  <c r="E320" i="30"/>
  <c r="F405" i="30"/>
  <c r="F345" i="30"/>
  <c r="F409" i="30"/>
  <c r="F248" i="30"/>
  <c r="F142" i="30"/>
  <c r="E284" i="30"/>
  <c r="F42" i="30"/>
  <c r="E25" i="30"/>
  <c r="F35" i="30"/>
  <c r="E400" i="30"/>
  <c r="F16" i="30"/>
  <c r="E276" i="30"/>
  <c r="F76" i="30"/>
  <c r="E102" i="30"/>
  <c r="E248" i="30"/>
  <c r="E112" i="30"/>
  <c r="E158" i="30"/>
  <c r="E269" i="30"/>
  <c r="E398" i="30"/>
  <c r="E279" i="30"/>
  <c r="E364" i="30"/>
  <c r="F135" i="30"/>
  <c r="F126" i="30"/>
  <c r="E159" i="30"/>
  <c r="E96" i="30"/>
  <c r="E384" i="30"/>
  <c r="E249" i="30"/>
  <c r="E378" i="30"/>
  <c r="E259" i="30"/>
  <c r="E150" i="30"/>
  <c r="E296" i="30"/>
  <c r="F66" i="30"/>
  <c r="E46" i="30"/>
  <c r="F366" i="30"/>
  <c r="E409" i="30"/>
  <c r="F338" i="30"/>
  <c r="E282" i="30"/>
  <c r="E100" i="30"/>
  <c r="E39" i="30"/>
  <c r="F356" i="30"/>
  <c r="E360" i="30"/>
  <c r="E280" i="30"/>
  <c r="E41" i="30"/>
  <c r="E110" i="30"/>
  <c r="F247" i="30"/>
  <c r="E301" i="30"/>
  <c r="E104" i="30"/>
  <c r="F5" i="30"/>
  <c r="E113" i="30"/>
  <c r="E311" i="30"/>
  <c r="F109" i="30"/>
  <c r="E71" i="30"/>
  <c r="F335" i="30"/>
  <c r="F119" i="30"/>
  <c r="E381" i="30"/>
  <c r="E253" i="30"/>
  <c r="F282" i="30"/>
  <c r="F351" i="30"/>
  <c r="F140" i="30"/>
  <c r="E382" i="30"/>
  <c r="E254" i="30"/>
  <c r="F318" i="30"/>
  <c r="F2" i="30"/>
  <c r="E263" i="30"/>
  <c r="E11" i="30"/>
  <c r="F61" i="30"/>
  <c r="E40" i="30"/>
  <c r="F279" i="30"/>
  <c r="F55" i="30"/>
  <c r="E329" i="30"/>
  <c r="E129" i="30"/>
  <c r="E388" i="30"/>
  <c r="F296" i="30"/>
  <c r="F84" i="30"/>
  <c r="E330" i="30"/>
  <c r="E34" i="30"/>
  <c r="F11" i="30"/>
  <c r="E339" i="30"/>
  <c r="E131" i="30"/>
  <c r="F137" i="30"/>
  <c r="F404" i="30"/>
  <c r="E328" i="30"/>
  <c r="F343" i="30"/>
  <c r="F275" i="30"/>
  <c r="F127" i="30"/>
  <c r="F47" i="30"/>
  <c r="E389" i="30"/>
  <c r="E325" i="30"/>
  <c r="E261" i="30"/>
  <c r="E125" i="30"/>
  <c r="F298" i="30"/>
  <c r="F399" i="30"/>
  <c r="F292" i="30"/>
  <c r="F148" i="30"/>
  <c r="F80" i="30"/>
  <c r="E390" i="30"/>
  <c r="E326" i="30"/>
  <c r="E262" i="30"/>
  <c r="E30" i="30"/>
  <c r="F334" i="30"/>
  <c r="F3" i="30"/>
  <c r="F14" i="30"/>
  <c r="E335" i="30"/>
  <c r="E271" i="30"/>
  <c r="E123" i="30"/>
  <c r="E19" i="30"/>
  <c r="F133" i="30"/>
  <c r="F69" i="30"/>
  <c r="F400" i="30"/>
  <c r="E48" i="30"/>
  <c r="E29" i="30"/>
  <c r="F358" i="30"/>
  <c r="F291" i="30"/>
  <c r="F143" i="30"/>
  <c r="F63" i="30"/>
  <c r="E401" i="30"/>
  <c r="E337" i="30"/>
  <c r="E273" i="30"/>
  <c r="E137" i="30"/>
  <c r="F322" i="30"/>
  <c r="E404" i="30"/>
  <c r="F419" i="30"/>
  <c r="F304" i="30"/>
  <c r="F160" i="30"/>
  <c r="F92" i="30"/>
  <c r="E402" i="30"/>
  <c r="E338" i="30"/>
  <c r="E274" i="30"/>
  <c r="E42" i="30"/>
  <c r="E57" i="30"/>
  <c r="F34" i="30"/>
  <c r="E76" i="30"/>
  <c r="E347" i="30"/>
  <c r="E283" i="30"/>
  <c r="E139" i="30"/>
  <c r="E31" i="30"/>
  <c r="F145" i="30"/>
  <c r="F81" i="30"/>
  <c r="F412" i="30"/>
  <c r="F348" i="30"/>
  <c r="F329" i="30"/>
  <c r="F403" i="30"/>
  <c r="E82" i="30"/>
  <c r="F301" i="30"/>
  <c r="E356" i="30"/>
  <c r="F22" i="30"/>
  <c r="F349" i="30"/>
  <c r="F261" i="30"/>
  <c r="F277" i="30"/>
  <c r="E154" i="30"/>
  <c r="F88" i="30"/>
  <c r="E146" i="30"/>
  <c r="F333" i="30"/>
  <c r="F28" i="30"/>
  <c r="E334" i="30"/>
  <c r="F387" i="30"/>
  <c r="F110" i="30"/>
  <c r="F32" i="30"/>
  <c r="F280" i="30"/>
  <c r="E340" i="30"/>
  <c r="E106" i="30"/>
  <c r="E126" i="30"/>
  <c r="F383" i="30"/>
  <c r="F415" i="30"/>
  <c r="F77" i="30"/>
  <c r="E130" i="30"/>
  <c r="F24" i="30"/>
  <c r="F108" i="30"/>
  <c r="F253" i="30"/>
  <c r="F344" i="30"/>
  <c r="F57" i="30"/>
  <c r="E5" i="30"/>
  <c r="E22" i="30"/>
  <c r="E281" i="30"/>
  <c r="E410" i="30"/>
  <c r="E291" i="30"/>
  <c r="F106" i="30"/>
  <c r="E79" i="30"/>
  <c r="F386" i="30"/>
  <c r="E85" i="30"/>
  <c r="E302" i="30"/>
  <c r="E91" i="30"/>
  <c r="F414" i="30"/>
  <c r="F39" i="30"/>
  <c r="E117" i="30"/>
  <c r="F284" i="30"/>
  <c r="E318" i="30"/>
  <c r="E408" i="30"/>
  <c r="E115" i="30"/>
  <c r="F392" i="30"/>
  <c r="F131" i="30"/>
  <c r="E265" i="30"/>
  <c r="F407" i="30"/>
  <c r="E394" i="30"/>
  <c r="F342" i="30"/>
  <c r="E275" i="30"/>
  <c r="F73" i="30"/>
  <c r="F378" i="30"/>
  <c r="E293" i="30"/>
  <c r="E69" i="30"/>
  <c r="E84" i="30"/>
  <c r="F324" i="30"/>
  <c r="E358" i="30"/>
  <c r="E70" i="30"/>
  <c r="F270" i="30"/>
  <c r="E367" i="30"/>
  <c r="F29" i="30"/>
  <c r="E12" i="30"/>
  <c r="F323" i="30"/>
  <c r="F103" i="30"/>
  <c r="E369" i="30"/>
  <c r="F258" i="30"/>
  <c r="F336" i="30"/>
  <c r="F128" i="30"/>
  <c r="E370" i="30"/>
  <c r="E242" i="30"/>
  <c r="F294" i="30"/>
  <c r="E379" i="30"/>
  <c r="E251" i="30"/>
  <c r="E8" i="30"/>
  <c r="F45" i="30"/>
  <c r="E28" i="30"/>
  <c r="Z8" i="18"/>
  <c r="AB8" i="18" s="1"/>
  <c r="F353" i="30"/>
  <c r="F359" i="30"/>
  <c r="E304" i="30"/>
  <c r="F401" i="30"/>
  <c r="E122" i="30"/>
  <c r="F408" i="30"/>
  <c r="F317" i="30"/>
  <c r="F150" i="30"/>
  <c r="F138" i="30"/>
  <c r="E90" i="30"/>
  <c r="E38" i="30"/>
  <c r="F381" i="30"/>
  <c r="F418" i="30"/>
  <c r="E391" i="30"/>
  <c r="E135" i="30"/>
  <c r="F273" i="30"/>
  <c r="F78" i="30"/>
  <c r="E348" i="30"/>
  <c r="E75" i="30"/>
  <c r="E314" i="30"/>
  <c r="E308" i="30"/>
  <c r="F151" i="30"/>
  <c r="E68" i="30"/>
  <c r="F41" i="30"/>
  <c r="F156" i="30"/>
  <c r="F347" i="30"/>
  <c r="E98" i="30"/>
  <c r="F10" i="30"/>
  <c r="E376" i="30"/>
  <c r="E420" i="30"/>
  <c r="F136" i="30"/>
  <c r="E36" i="30"/>
  <c r="F373" i="30"/>
  <c r="E6" i="30"/>
  <c r="E145" i="30"/>
  <c r="E346" i="30"/>
  <c r="E151" i="30"/>
  <c r="F67" i="30"/>
  <c r="E63" i="30"/>
  <c r="F319" i="30"/>
  <c r="F246" i="30"/>
  <c r="E78" i="30"/>
  <c r="F245" i="30"/>
  <c r="F370" i="30"/>
  <c r="E413" i="30"/>
  <c r="F346" i="30"/>
  <c r="F252" i="30"/>
  <c r="E286" i="30"/>
  <c r="E108" i="30"/>
  <c r="E43" i="30"/>
  <c r="F360" i="30"/>
  <c r="F95" i="30"/>
  <c r="F328" i="30"/>
  <c r="E362" i="30"/>
  <c r="E74" i="30"/>
  <c r="E371" i="30"/>
  <c r="E20" i="30"/>
  <c r="F295" i="30"/>
  <c r="F71" i="30"/>
  <c r="E341" i="30"/>
  <c r="E141" i="30"/>
  <c r="E412" i="30"/>
  <c r="F308" i="30"/>
  <c r="F96" i="30"/>
  <c r="E342" i="30"/>
  <c r="E54" i="30"/>
  <c r="F46" i="30"/>
  <c r="E351" i="30"/>
  <c r="E147" i="30"/>
  <c r="F149" i="30"/>
  <c r="F416" i="30"/>
  <c r="E55" i="30"/>
  <c r="F307" i="30"/>
  <c r="F87" i="30"/>
  <c r="E353" i="30"/>
  <c r="E153" i="30"/>
  <c r="F18" i="30"/>
  <c r="F320" i="30"/>
  <c r="F112" i="30"/>
  <c r="E418" i="30"/>
  <c r="E290" i="30"/>
  <c r="E89" i="30"/>
  <c r="E120" i="30"/>
  <c r="E299" i="30"/>
  <c r="E47" i="30"/>
  <c r="F97" i="30"/>
  <c r="F364" i="30"/>
  <c r="Z27" i="18"/>
  <c r="AB27" i="18" s="1"/>
  <c r="F94" i="30"/>
  <c r="F413" i="30"/>
  <c r="F341" i="30"/>
  <c r="E407" i="30"/>
  <c r="F158" i="30"/>
  <c r="E136" i="30"/>
  <c r="F357" i="30"/>
  <c r="F249" i="30"/>
  <c r="F393" i="30"/>
  <c r="E256" i="30"/>
  <c r="F300" i="30"/>
  <c r="F325" i="30"/>
  <c r="F361" i="30"/>
  <c r="F337" i="30"/>
  <c r="F394" i="30"/>
  <c r="F70" i="30"/>
  <c r="F12" i="30"/>
  <c r="E324" i="30"/>
  <c r="E411" i="30"/>
  <c r="E419" i="30"/>
  <c r="E396" i="30"/>
  <c r="F141" i="30"/>
  <c r="E252" i="30"/>
  <c r="E313" i="30"/>
  <c r="F365" i="30"/>
  <c r="F395" i="30"/>
  <c r="F269" i="30"/>
  <c r="F122" i="30"/>
  <c r="E133" i="30"/>
  <c r="F402" i="30"/>
  <c r="F313" i="30"/>
  <c r="F411" i="30"/>
  <c r="F134" i="30"/>
  <c r="F281" i="30"/>
  <c r="F114" i="30"/>
  <c r="E114" i="30"/>
  <c r="E368" i="30"/>
  <c r="F25" i="30"/>
  <c r="E109" i="30"/>
  <c r="E107" i="30"/>
  <c r="E372" i="30"/>
  <c r="E244" i="30"/>
  <c r="E138" i="30"/>
  <c r="F40" i="30"/>
  <c r="E67" i="30"/>
  <c r="E160" i="30"/>
  <c r="E9" i="30"/>
  <c r="F354" i="30"/>
  <c r="F314" i="30"/>
  <c r="E270" i="30"/>
  <c r="E27" i="30"/>
  <c r="E332" i="30"/>
  <c r="F74" i="30"/>
  <c r="E336" i="30"/>
  <c r="E143" i="30"/>
  <c r="E80" i="30"/>
  <c r="F331" i="30"/>
  <c r="F274" i="30"/>
  <c r="E250" i="30"/>
  <c r="E3" i="30"/>
  <c r="E86" i="30"/>
  <c r="E21" i="30"/>
  <c r="E17" i="30"/>
  <c r="E37" i="30"/>
  <c r="F299" i="30"/>
  <c r="E345" i="30"/>
  <c r="F100" i="30"/>
  <c r="E58" i="30"/>
  <c r="E355" i="30"/>
  <c r="F153" i="30"/>
  <c r="F283" i="30"/>
  <c r="E264" i="30"/>
  <c r="E95" i="30"/>
  <c r="F9" i="30"/>
  <c r="E7" i="30"/>
  <c r="F99" i="30"/>
  <c r="F332" i="30"/>
  <c r="E366" i="30"/>
  <c r="F286" i="30"/>
  <c r="E247" i="30"/>
  <c r="F37" i="30"/>
  <c r="E49" i="30"/>
  <c r="F303" i="30"/>
  <c r="F83" i="30"/>
  <c r="E349" i="30"/>
  <c r="E149" i="30"/>
  <c r="F7" i="30"/>
  <c r="F316" i="30"/>
  <c r="F104" i="30"/>
  <c r="E350" i="30"/>
  <c r="E62" i="30"/>
  <c r="F250" i="30"/>
  <c r="E359" i="30"/>
  <c r="E155" i="30"/>
  <c r="F157" i="30"/>
  <c r="F17" i="30"/>
  <c r="F382" i="30"/>
  <c r="F243" i="30"/>
  <c r="F19" i="30"/>
  <c r="E297" i="30"/>
  <c r="E77" i="30"/>
  <c r="E92" i="30"/>
  <c r="F264" i="30"/>
  <c r="E298" i="30"/>
  <c r="E105" i="30"/>
  <c r="E140" i="30"/>
  <c r="E307" i="30"/>
  <c r="E87" i="30"/>
  <c r="F105" i="30"/>
  <c r="F372" i="30"/>
  <c r="F398" i="30"/>
  <c r="F327" i="30"/>
  <c r="F259" i="30"/>
  <c r="F111" i="30"/>
  <c r="F31" i="30"/>
  <c r="E373" i="30"/>
  <c r="E309" i="30"/>
  <c r="E245" i="30"/>
  <c r="E101" i="30"/>
  <c r="F266" i="30"/>
  <c r="E124" i="30"/>
  <c r="F340" i="30"/>
  <c r="F276" i="30"/>
  <c r="F132" i="30"/>
  <c r="F56" i="30"/>
  <c r="E374" i="30"/>
  <c r="E310" i="30"/>
  <c r="E246" i="30"/>
  <c r="E10" i="30"/>
  <c r="F302" i="30"/>
  <c r="E392" i="30"/>
  <c r="E383" i="30"/>
  <c r="E319" i="30"/>
  <c r="E255" i="30"/>
  <c r="E103" i="30"/>
  <c r="E16" i="30"/>
  <c r="F117" i="30"/>
  <c r="F49" i="30"/>
  <c r="F384" i="30"/>
  <c r="E32" i="30"/>
  <c r="E13" i="30"/>
  <c r="F339" i="30"/>
  <c r="F271" i="30"/>
  <c r="F123" i="30"/>
  <c r="F43" i="30"/>
  <c r="E385" i="30"/>
  <c r="E321" i="30"/>
  <c r="E257" i="30"/>
  <c r="E121" i="30"/>
  <c r="F290" i="30"/>
  <c r="E156" i="30"/>
  <c r="F391" i="30"/>
  <c r="F288" i="30"/>
  <c r="F144" i="30"/>
  <c r="F72" i="30"/>
  <c r="E386" i="30"/>
  <c r="E322" i="30"/>
  <c r="E258" i="30"/>
  <c r="E26" i="30"/>
  <c r="F326" i="30"/>
  <c r="E416" i="30"/>
  <c r="F6" i="30"/>
  <c r="E331" i="30"/>
  <c r="E267" i="30"/>
  <c r="E119" i="30"/>
  <c r="E15" i="30"/>
  <c r="F129" i="30"/>
  <c r="F65" i="30"/>
  <c r="F396" i="30"/>
  <c r="E44" i="30"/>
  <c r="Z30" i="18"/>
  <c r="AB30" i="18" s="1"/>
  <c r="Z21" i="18"/>
  <c r="AB21" i="18" s="1"/>
  <c r="Z31" i="18"/>
  <c r="AB31" i="18" s="1"/>
  <c r="Z20" i="18"/>
  <c r="AB20" i="18" s="1"/>
  <c r="Z29" i="18"/>
  <c r="AB29" i="18" s="1"/>
  <c r="S54" i="30" l="1"/>
  <c r="S82" i="30" s="1"/>
  <c r="S52" i="30"/>
  <c r="S358" i="30" s="1"/>
  <c r="S24" i="30"/>
  <c r="S302" i="30"/>
  <c r="T54" i="30"/>
  <c r="T82" i="30" s="1"/>
  <c r="T291" i="30"/>
  <c r="T13" i="30"/>
  <c r="T41" i="30"/>
  <c r="T347" i="30" s="1"/>
  <c r="T55" i="30"/>
  <c r="T83" i="30" s="1"/>
  <c r="S291" i="30"/>
  <c r="S13" i="30"/>
  <c r="S41" i="30"/>
  <c r="S347" i="30" s="1"/>
  <c r="T52" i="30"/>
  <c r="T358" i="30" s="1"/>
  <c r="T24" i="30"/>
  <c r="T302" i="30"/>
  <c r="S55" i="30"/>
  <c r="S83" i="30" s="1"/>
  <c r="R30" i="18"/>
  <c r="S30" i="18" s="1"/>
  <c r="O30" i="18"/>
  <c r="W30" i="18" s="1"/>
  <c r="R17" i="18"/>
  <c r="S17" i="18" s="1"/>
  <c r="O17" i="18"/>
  <c r="W17" i="18" s="1"/>
  <c r="R31" i="18"/>
  <c r="S31" i="18" s="1"/>
  <c r="O31" i="18"/>
  <c r="W31" i="18" s="1"/>
  <c r="R7" i="18"/>
  <c r="S7" i="18" s="1"/>
  <c r="O7" i="18"/>
  <c r="W7" i="18" s="1"/>
  <c r="R29" i="18"/>
  <c r="S29" i="18" s="1"/>
  <c r="O29" i="18"/>
  <c r="W29" i="18" s="1"/>
  <c r="R20" i="18"/>
  <c r="S20" i="18" s="1"/>
  <c r="O20" i="18"/>
  <c r="W20" i="18" s="1"/>
  <c r="R21" i="18"/>
  <c r="S21" i="18" s="1"/>
  <c r="O21" i="18"/>
  <c r="W21" i="18" s="1"/>
  <c r="R8" i="18"/>
  <c r="S8" i="18" s="1"/>
  <c r="O8" i="18"/>
  <c r="W8" i="18" s="1"/>
  <c r="R27" i="18"/>
  <c r="S27" i="18" s="1"/>
  <c r="O27" i="18"/>
  <c r="W27" i="18" s="1"/>
  <c r="R18" i="18"/>
  <c r="S18" i="18" s="1"/>
  <c r="O18" i="18"/>
  <c r="W18" i="18" s="1"/>
  <c r="R28" i="18"/>
  <c r="S28" i="18" s="1"/>
  <c r="O28" i="18"/>
  <c r="W28" i="18" s="1"/>
  <c r="T285" i="30"/>
  <c r="T296" i="30"/>
  <c r="S286" i="30"/>
  <c r="T300" i="30"/>
  <c r="T284" i="30"/>
  <c r="S282" i="30"/>
  <c r="S283" i="30"/>
  <c r="T295" i="30"/>
  <c r="T280" i="30"/>
  <c r="T294" i="30"/>
  <c r="T287" i="30"/>
  <c r="S285" i="30"/>
  <c r="T297" i="30"/>
  <c r="T286" i="30"/>
  <c r="S280" i="30"/>
  <c r="S294" i="30"/>
  <c r="S295" i="30"/>
  <c r="T282" i="30"/>
  <c r="T290" i="30"/>
  <c r="S299" i="30"/>
  <c r="S298" i="30"/>
  <c r="S289" i="30"/>
  <c r="T299" i="30"/>
  <c r="S284" i="30"/>
  <c r="T288" i="30"/>
  <c r="S292" i="30"/>
  <c r="S287" i="30"/>
  <c r="T298" i="30"/>
  <c r="S300" i="30"/>
  <c r="S290" i="30"/>
  <c r="S296" i="30"/>
  <c r="S281" i="30"/>
  <c r="T289" i="30"/>
  <c r="S288" i="30"/>
  <c r="T281" i="30"/>
  <c r="T301" i="30"/>
  <c r="S297" i="30"/>
  <c r="T292" i="30"/>
  <c r="T293" i="30"/>
  <c r="T283" i="30"/>
  <c r="S301" i="30"/>
  <c r="S293" i="30"/>
  <c r="T35" i="30"/>
  <c r="T341" i="30" s="1"/>
  <c r="S48" i="30"/>
  <c r="S354" i="30" s="1"/>
  <c r="T39" i="30"/>
  <c r="T345" i="30" s="1"/>
  <c r="S38" i="30"/>
  <c r="S344" i="30" s="1"/>
  <c r="S49" i="30"/>
  <c r="S355" i="30" s="1"/>
  <c r="T34" i="30"/>
  <c r="T340" i="30" s="1"/>
  <c r="S32" i="30"/>
  <c r="S338" i="30" s="1"/>
  <c r="T45" i="30"/>
  <c r="T351" i="30" s="1"/>
  <c r="S35" i="30"/>
  <c r="S341" i="30" s="1"/>
  <c r="S50" i="30"/>
  <c r="S356" i="30" s="1"/>
  <c r="S42" i="30"/>
  <c r="S348" i="30" s="1"/>
  <c r="S46" i="30"/>
  <c r="S352" i="30" s="1"/>
  <c r="T30" i="30"/>
  <c r="T336" i="30" s="1"/>
  <c r="T37" i="30"/>
  <c r="T343" i="30" s="1"/>
  <c r="S47" i="30"/>
  <c r="S353" i="30" s="1"/>
  <c r="T42" i="30"/>
  <c r="T348" i="30" s="1"/>
  <c r="T47" i="30"/>
  <c r="T353" i="30" s="1"/>
  <c r="S37" i="30"/>
  <c r="S343" i="30" s="1"/>
  <c r="T51" i="30"/>
  <c r="T357" i="30" s="1"/>
  <c r="T43" i="30"/>
  <c r="T349" i="30" s="1"/>
  <c r="S31" i="30"/>
  <c r="S337" i="30" s="1"/>
  <c r="S34" i="30"/>
  <c r="S340" i="30" s="1"/>
  <c r="T38" i="30"/>
  <c r="T344" i="30" s="1"/>
  <c r="T50" i="30"/>
  <c r="T356" i="30" s="1"/>
  <c r="S44" i="30"/>
  <c r="S350" i="30" s="1"/>
  <c r="T32" i="30"/>
  <c r="T338" i="30" s="1"/>
  <c r="T33" i="30"/>
  <c r="T339" i="30" s="1"/>
  <c r="S43" i="30"/>
  <c r="S349" i="30" s="1"/>
  <c r="T36" i="30"/>
  <c r="T342" i="30" s="1"/>
  <c r="T46" i="30"/>
  <c r="T352" i="30" s="1"/>
  <c r="S39" i="30"/>
  <c r="S345" i="30" s="1"/>
  <c r="T49" i="30"/>
  <c r="T355" i="30" s="1"/>
  <c r="T31" i="30"/>
  <c r="T337" i="30" s="1"/>
  <c r="S36" i="30"/>
  <c r="S342" i="30" s="1"/>
  <c r="S40" i="30"/>
  <c r="S346" i="30" s="1"/>
  <c r="T48" i="30"/>
  <c r="T354" i="30" s="1"/>
  <c r="S33" i="30"/>
  <c r="S339" i="30" s="1"/>
  <c r="T44" i="30"/>
  <c r="T350" i="30" s="1"/>
  <c r="S45" i="30"/>
  <c r="S351" i="30" s="1"/>
  <c r="S30" i="30"/>
  <c r="S336" i="30" s="1"/>
  <c r="S51" i="30"/>
  <c r="S357" i="30" s="1"/>
  <c r="T40" i="30"/>
  <c r="T346" i="30" s="1"/>
  <c r="T7" i="30"/>
  <c r="S18" i="30"/>
  <c r="S5" i="30"/>
  <c r="T9" i="30"/>
  <c r="S3" i="30"/>
  <c r="S11" i="30"/>
  <c r="T10" i="30"/>
  <c r="S12" i="30"/>
  <c r="T53" i="30"/>
  <c r="T81" i="30" s="1"/>
  <c r="T2" i="30"/>
  <c r="T16" i="30"/>
  <c r="T11" i="30"/>
  <c r="S14" i="30"/>
  <c r="T22" i="30"/>
  <c r="T20" i="30"/>
  <c r="T17" i="30"/>
  <c r="S17" i="30"/>
  <c r="S19" i="30"/>
  <c r="T4" i="30"/>
  <c r="T8" i="30"/>
  <c r="S23" i="30"/>
  <c r="T12" i="30"/>
  <c r="T21" i="30"/>
  <c r="S22" i="30"/>
  <c r="S4" i="30"/>
  <c r="S8" i="30"/>
  <c r="S16" i="30"/>
  <c r="S53" i="30"/>
  <c r="S81" i="30" s="1"/>
  <c r="S2" i="30"/>
  <c r="S10" i="30"/>
  <c r="T6" i="30"/>
  <c r="T19" i="30"/>
  <c r="T5" i="30"/>
  <c r="S20" i="30"/>
  <c r="T18" i="30"/>
  <c r="S21" i="30"/>
  <c r="S6" i="30"/>
  <c r="T3" i="30"/>
  <c r="S9" i="30"/>
  <c r="T23" i="30"/>
  <c r="S7" i="30"/>
  <c r="T14" i="30"/>
  <c r="T15" i="30"/>
  <c r="S15" i="30"/>
  <c r="S84" i="30" l="1"/>
  <c r="T84" i="30"/>
  <c r="T359" i="30"/>
  <c r="S361" i="30"/>
  <c r="S359" i="30"/>
  <c r="T361" i="30"/>
  <c r="S360" i="30"/>
  <c r="T360" i="30"/>
  <c r="T68" i="30"/>
  <c r="T72" i="30"/>
  <c r="S64" i="30"/>
  <c r="T74" i="30"/>
  <c r="T60" i="30"/>
  <c r="S62" i="30"/>
  <c r="S65" i="30"/>
  <c r="T65" i="30"/>
  <c r="S78" i="30"/>
  <c r="T62" i="30"/>
  <c r="S76" i="30"/>
  <c r="T80" i="30"/>
  <c r="S79" i="30"/>
  <c r="S61" i="30"/>
  <c r="T59" i="30"/>
  <c r="T64" i="30"/>
  <c r="S72" i="30"/>
  <c r="S59" i="30"/>
  <c r="T75" i="30"/>
  <c r="S63" i="30"/>
  <c r="S77" i="30"/>
  <c r="T63" i="30"/>
  <c r="S80" i="30"/>
  <c r="T76" i="30"/>
  <c r="T77" i="30"/>
  <c r="S71" i="30"/>
  <c r="T78" i="30"/>
  <c r="T71" i="30"/>
  <c r="T70" i="30"/>
  <c r="S74" i="30"/>
  <c r="T73" i="30"/>
  <c r="S66" i="30"/>
  <c r="S69" i="30"/>
  <c r="S73" i="30"/>
  <c r="S68" i="30"/>
  <c r="S67" i="30"/>
  <c r="T61" i="30"/>
  <c r="T66" i="30"/>
  <c r="T79" i="30"/>
  <c r="S75" i="30"/>
  <c r="S70" i="30"/>
  <c r="S60" i="30"/>
  <c r="T67" i="30"/>
  <c r="T69" i="30"/>
  <c r="S303" i="30"/>
  <c r="T305" i="30"/>
  <c r="S305" i="30"/>
  <c r="S304" i="30"/>
  <c r="T303" i="30"/>
  <c r="T304" i="30"/>
  <c r="S25" i="30"/>
  <c r="T27" i="30"/>
  <c r="S26" i="30"/>
  <c r="S56" i="30"/>
  <c r="T56" i="30"/>
  <c r="T25" i="30"/>
  <c r="T26" i="30"/>
  <c r="S27" i="30"/>
  <c r="T362" i="30" l="1"/>
  <c r="S362" i="30"/>
  <c r="T306" i="30"/>
  <c r="S306" i="30"/>
  <c r="S28" i="30"/>
  <c r="T28" i="30"/>
  <c r="AI313" i="30" l="1"/>
  <c r="AI283" i="30"/>
  <c r="AI293" i="30"/>
  <c r="AI273" i="30"/>
  <c r="D49" i="30"/>
  <c r="C84" i="30"/>
  <c r="BF322" i="30"/>
  <c r="BF338" i="30"/>
  <c r="B110" i="30"/>
  <c r="D317" i="30"/>
  <c r="D285" i="30"/>
  <c r="B416" i="30"/>
  <c r="BF54" i="30"/>
  <c r="C268" i="30"/>
  <c r="BF24" i="30"/>
  <c r="D414" i="30"/>
  <c r="D306" i="30"/>
  <c r="C390" i="30"/>
  <c r="C286" i="30"/>
  <c r="BF79" i="30"/>
  <c r="C262" i="30"/>
  <c r="D160" i="30"/>
  <c r="BF326" i="30"/>
  <c r="B390" i="30"/>
  <c r="BF406" i="30"/>
  <c r="B82" i="30"/>
  <c r="D313" i="30"/>
  <c r="D66" i="30"/>
  <c r="C281" i="30"/>
  <c r="BF244" i="30"/>
  <c r="B388" i="30"/>
  <c r="B160" i="30"/>
  <c r="C344" i="30"/>
  <c r="C264" i="30"/>
  <c r="C113" i="30"/>
  <c r="C14" i="30"/>
  <c r="D143" i="30"/>
  <c r="BF319" i="30"/>
  <c r="B111" i="30"/>
  <c r="D418" i="30"/>
  <c r="B391" i="30"/>
  <c r="C291" i="30"/>
  <c r="C156" i="30"/>
  <c r="BF330" i="30"/>
  <c r="B410" i="30"/>
  <c r="D325" i="30"/>
  <c r="D293" i="30"/>
  <c r="D277" i="30"/>
  <c r="D245" i="30"/>
  <c r="D110" i="30"/>
  <c r="C158" i="30"/>
  <c r="C94" i="30"/>
  <c r="BF100" i="30"/>
  <c r="D420" i="30"/>
  <c r="D260" i="30"/>
  <c r="D61" i="30"/>
  <c r="C42" i="30"/>
  <c r="BF361" i="30"/>
  <c r="BF16" i="30"/>
  <c r="D28" i="30"/>
  <c r="C298" i="30"/>
  <c r="C36" i="30"/>
  <c r="BF307" i="30"/>
  <c r="BF363" i="30"/>
  <c r="C402" i="30"/>
  <c r="BF359" i="30"/>
  <c r="D319" i="30"/>
  <c r="D271" i="30"/>
  <c r="C383" i="30"/>
  <c r="C335" i="30"/>
  <c r="C319" i="30"/>
  <c r="D153" i="30"/>
  <c r="C314" i="30"/>
  <c r="C270" i="30"/>
  <c r="BF91" i="30"/>
  <c r="C8" i="30"/>
  <c r="D334" i="30"/>
  <c r="BF343" i="30"/>
  <c r="BF259" i="30"/>
  <c r="C63" i="30"/>
  <c r="C292" i="30"/>
  <c r="D370" i="30"/>
  <c r="C244" i="30"/>
  <c r="C12" i="30"/>
  <c r="BF387" i="30"/>
  <c r="BF119" i="30"/>
  <c r="D383" i="30"/>
  <c r="D335" i="30"/>
  <c r="D72" i="30"/>
  <c r="D21" i="30"/>
  <c r="C399" i="30"/>
  <c r="C351" i="30"/>
  <c r="C303" i="30"/>
  <c r="C136" i="30"/>
  <c r="BF302" i="30"/>
  <c r="BF350" i="30"/>
  <c r="BF74" i="30"/>
  <c r="BF33" i="30"/>
  <c r="D401" i="30"/>
  <c r="D353" i="30"/>
  <c r="D305" i="30"/>
  <c r="D257" i="30"/>
  <c r="D138" i="30"/>
  <c r="D90" i="30"/>
  <c r="C401" i="30"/>
  <c r="C305" i="30"/>
  <c r="C138" i="30"/>
  <c r="C90" i="30"/>
  <c r="C39" i="30"/>
  <c r="BF252" i="30"/>
  <c r="BF300" i="30"/>
  <c r="BF348" i="30"/>
  <c r="BF396" i="30"/>
  <c r="BF72" i="30"/>
  <c r="BF120" i="30"/>
  <c r="D384" i="30"/>
  <c r="D336" i="30"/>
  <c r="D288" i="30"/>
  <c r="D121" i="30"/>
  <c r="D73" i="30"/>
  <c r="D22" i="30"/>
  <c r="C400" i="30"/>
  <c r="C352" i="30"/>
  <c r="C304" i="30"/>
  <c r="C256" i="30"/>
  <c r="C137" i="30"/>
  <c r="C38" i="30"/>
  <c r="BF253" i="30"/>
  <c r="BF301" i="30"/>
  <c r="BF349" i="30"/>
  <c r="BF397" i="30"/>
  <c r="BF73" i="30"/>
  <c r="BF121" i="30"/>
  <c r="D338" i="30"/>
  <c r="D254" i="30"/>
  <c r="D103" i="30"/>
  <c r="C370" i="30"/>
  <c r="C290" i="30"/>
  <c r="C139" i="30"/>
  <c r="C55" i="30"/>
  <c r="BF263" i="30"/>
  <c r="BF311" i="30"/>
  <c r="BF367" i="30"/>
  <c r="BF71" i="30"/>
  <c r="BF151" i="30"/>
  <c r="D250" i="30"/>
  <c r="C354" i="30"/>
  <c r="C44" i="30"/>
  <c r="BF415" i="30"/>
  <c r="BF46" i="30"/>
  <c r="D322" i="30"/>
  <c r="C255" i="30"/>
  <c r="D303" i="30"/>
  <c r="D152" i="30"/>
  <c r="D37" i="30"/>
  <c r="D5" i="30"/>
  <c r="C415" i="30"/>
  <c r="C367" i="30"/>
  <c r="C287" i="30"/>
  <c r="C271" i="30"/>
  <c r="C152" i="30"/>
  <c r="C120" i="30"/>
  <c r="C104" i="30"/>
  <c r="C72" i="30"/>
  <c r="C56" i="30"/>
  <c r="BF286" i="30"/>
  <c r="BF318" i="30"/>
  <c r="BF58" i="30"/>
  <c r="BF17" i="30"/>
  <c r="BF49" i="30"/>
  <c r="D417" i="30"/>
  <c r="D385" i="30"/>
  <c r="D369" i="30"/>
  <c r="D337" i="30"/>
  <c r="D321" i="30"/>
  <c r="D289" i="30"/>
  <c r="D273" i="30"/>
  <c r="D154" i="30"/>
  <c r="D122" i="30"/>
  <c r="D106" i="30"/>
  <c r="D74" i="30"/>
  <c r="D58" i="30"/>
  <c r="C337" i="30"/>
  <c r="C154" i="30"/>
  <c r="C122" i="30"/>
  <c r="C106" i="30"/>
  <c r="C74" i="30"/>
  <c r="C58" i="30"/>
  <c r="C23" i="30"/>
  <c r="C7" i="30"/>
  <c r="BF268" i="30"/>
  <c r="BF284" i="30"/>
  <c r="BF316" i="30"/>
  <c r="BF332" i="30"/>
  <c r="BF364" i="30"/>
  <c r="BF380" i="30"/>
  <c r="BF412" i="30"/>
  <c r="BF56" i="30"/>
  <c r="BF88" i="30"/>
  <c r="BF104" i="30"/>
  <c r="BF136" i="30"/>
  <c r="BF152" i="30"/>
  <c r="BF15" i="30"/>
  <c r="BF31" i="30"/>
  <c r="D416" i="30"/>
  <c r="D400" i="30"/>
  <c r="D368" i="30"/>
  <c r="D352" i="30"/>
  <c r="D320" i="30"/>
  <c r="D304" i="30"/>
  <c r="D272" i="30"/>
  <c r="D256" i="30"/>
  <c r="D137" i="30"/>
  <c r="D105" i="30"/>
  <c r="D89" i="30"/>
  <c r="D57" i="30"/>
  <c r="D38" i="30"/>
  <c r="D6" i="30"/>
  <c r="C416" i="30"/>
  <c r="C384" i="30"/>
  <c r="C368" i="30"/>
  <c r="C336" i="30"/>
  <c r="C320" i="30"/>
  <c r="C288" i="30"/>
  <c r="C272" i="30"/>
  <c r="C153" i="30"/>
  <c r="C121" i="30"/>
  <c r="C105" i="30"/>
  <c r="C73" i="30"/>
  <c r="C22" i="30"/>
  <c r="C6" i="30"/>
  <c r="BF269" i="30"/>
  <c r="BF285" i="30"/>
  <c r="BF317" i="30"/>
  <c r="BF333" i="30"/>
  <c r="BF365" i="30"/>
  <c r="BF381" i="30"/>
  <c r="BF413" i="30"/>
  <c r="BF57" i="30"/>
  <c r="BF89" i="30"/>
  <c r="BF105" i="30"/>
  <c r="BF137" i="30"/>
  <c r="BF153" i="30"/>
  <c r="BF20" i="30"/>
  <c r="BF40" i="30"/>
  <c r="D394" i="30"/>
  <c r="D310" i="30"/>
  <c r="D286" i="30"/>
  <c r="D155" i="30"/>
  <c r="D127" i="30"/>
  <c r="D79" i="30"/>
  <c r="D48" i="30"/>
  <c r="C398" i="30"/>
  <c r="C346" i="30"/>
  <c r="C318" i="30"/>
  <c r="C266" i="30"/>
  <c r="C107" i="30"/>
  <c r="C83" i="30"/>
  <c r="C28" i="30"/>
  <c r="C4" i="30"/>
  <c r="BF279" i="30"/>
  <c r="BF295" i="30"/>
  <c r="BF327" i="30"/>
  <c r="BF347" i="30"/>
  <c r="BF395" i="30"/>
  <c r="BF419" i="30"/>
  <c r="BF95" i="30"/>
  <c r="BF30" i="30"/>
  <c r="D402" i="30"/>
  <c r="D362" i="30"/>
  <c r="D282" i="30"/>
  <c r="D139" i="30"/>
  <c r="D4" i="30"/>
  <c r="C394" i="30"/>
  <c r="C127" i="30"/>
  <c r="C91" i="30"/>
  <c r="BF243" i="30"/>
  <c r="BF371" i="30"/>
  <c r="BF123" i="30"/>
  <c r="D88" i="30"/>
  <c r="D55" i="30"/>
  <c r="D366" i="30"/>
  <c r="C88" i="30"/>
  <c r="BF87" i="30"/>
  <c r="BF127" i="30"/>
  <c r="D24" i="30"/>
  <c r="C57" i="30"/>
  <c r="D386" i="30"/>
  <c r="C147" i="30"/>
  <c r="D120" i="30"/>
  <c r="D56" i="30"/>
  <c r="C385" i="30"/>
  <c r="D326" i="30"/>
  <c r="BF287" i="30"/>
  <c r="D98" i="30"/>
  <c r="D30" i="30"/>
  <c r="C40" i="30"/>
  <c r="BF355" i="30"/>
  <c r="BF111" i="30"/>
  <c r="D302" i="30"/>
  <c r="D382" i="30"/>
  <c r="C312" i="30"/>
  <c r="C24" i="30"/>
  <c r="BF271" i="30"/>
  <c r="BF331" i="30"/>
  <c r="D130" i="30"/>
  <c r="C248" i="30"/>
  <c r="BF339" i="30"/>
  <c r="D378" i="30"/>
  <c r="D350" i="30"/>
  <c r="D346" i="30"/>
  <c r="D82" i="30"/>
  <c r="C16" i="30"/>
  <c r="C376" i="30"/>
  <c r="D270" i="30"/>
  <c r="D266" i="30"/>
  <c r="BF63" i="30"/>
  <c r="C112" i="30"/>
  <c r="D46" i="30"/>
  <c r="C151" i="30"/>
  <c r="D136" i="30"/>
  <c r="D104" i="30"/>
  <c r="C369" i="30"/>
  <c r="BF398" i="30"/>
  <c r="BF106" i="30"/>
  <c r="C92" i="30"/>
  <c r="C395" i="30"/>
  <c r="D294" i="30"/>
  <c r="BF67" i="30"/>
  <c r="D339" i="30"/>
  <c r="D76" i="30"/>
  <c r="C371" i="30"/>
  <c r="C307" i="30"/>
  <c r="C108" i="30"/>
  <c r="D158" i="30"/>
  <c r="D94" i="30"/>
  <c r="D27" i="30"/>
  <c r="C62" i="30"/>
  <c r="BF248" i="30"/>
  <c r="BF296" i="30"/>
  <c r="BF360" i="30"/>
  <c r="BF68" i="30"/>
  <c r="BF27" i="30"/>
  <c r="D276" i="30"/>
  <c r="D141" i="30"/>
  <c r="D77" i="30"/>
  <c r="C378" i="30"/>
  <c r="C372" i="30"/>
  <c r="C124" i="30"/>
  <c r="D387" i="30"/>
  <c r="D323" i="30"/>
  <c r="D124" i="30"/>
  <c r="D108" i="30"/>
  <c r="D60" i="30"/>
  <c r="C419" i="30"/>
  <c r="C403" i="30"/>
  <c r="C140" i="30"/>
  <c r="BF346" i="30"/>
  <c r="BF13" i="30"/>
  <c r="BF45" i="30"/>
  <c r="D389" i="30"/>
  <c r="D373" i="30"/>
  <c r="D341" i="30"/>
  <c r="D126" i="30"/>
  <c r="D43" i="30"/>
  <c r="C357" i="30"/>
  <c r="C293" i="30"/>
  <c r="C126" i="30"/>
  <c r="C43" i="30"/>
  <c r="C27" i="30"/>
  <c r="BF264" i="30"/>
  <c r="BF280" i="30"/>
  <c r="BF344" i="30"/>
  <c r="BF392" i="30"/>
  <c r="BF408" i="30"/>
  <c r="BF148" i="30"/>
  <c r="BF43" i="30"/>
  <c r="D372" i="30"/>
  <c r="D308" i="30"/>
  <c r="D244" i="30"/>
  <c r="D157" i="30"/>
  <c r="D93" i="30"/>
  <c r="D26" i="30"/>
  <c r="C404" i="30"/>
  <c r="C340" i="30"/>
  <c r="C324" i="30"/>
  <c r="C308" i="30"/>
  <c r="C157" i="30"/>
  <c r="C109" i="30"/>
  <c r="C93" i="30"/>
  <c r="C10" i="30"/>
  <c r="BF249" i="30"/>
  <c r="BF281" i="30"/>
  <c r="BF297" i="30"/>
  <c r="BF329" i="30"/>
  <c r="BF345" i="30"/>
  <c r="BF377" i="30"/>
  <c r="BF393" i="30"/>
  <c r="BF85" i="30"/>
  <c r="BF101" i="30"/>
  <c r="BF133" i="30"/>
  <c r="D142" i="30"/>
  <c r="C60" i="30"/>
  <c r="D405" i="30"/>
  <c r="C355" i="30"/>
  <c r="C339" i="30"/>
  <c r="C323" i="30"/>
  <c r="C275" i="30"/>
  <c r="C243" i="30"/>
  <c r="D292" i="30"/>
  <c r="C350" i="30"/>
  <c r="D78" i="30"/>
  <c r="C356" i="30"/>
  <c r="C276" i="30"/>
  <c r="C260" i="30"/>
  <c r="BF323" i="30"/>
  <c r="D109" i="30"/>
  <c r="D41" i="30"/>
  <c r="BF84" i="30"/>
  <c r="BF116" i="30"/>
  <c r="D324" i="30"/>
  <c r="C389" i="30"/>
  <c r="D291" i="30"/>
  <c r="D156" i="30"/>
  <c r="D25" i="30"/>
  <c r="C387" i="30"/>
  <c r="C259" i="30"/>
  <c r="D357" i="30"/>
  <c r="D309" i="30"/>
  <c r="C373" i="30"/>
  <c r="C110" i="30"/>
  <c r="C78" i="30"/>
  <c r="C11" i="30"/>
  <c r="BF312" i="30"/>
  <c r="BF376" i="30"/>
  <c r="BF132" i="30"/>
  <c r="BF11" i="30"/>
  <c r="D340" i="30"/>
  <c r="D125" i="30"/>
  <c r="C420" i="30"/>
  <c r="C77" i="30"/>
  <c r="C26" i="30"/>
  <c r="BF265" i="30"/>
  <c r="BF313" i="30"/>
  <c r="BF409" i="30"/>
  <c r="BF69" i="30"/>
  <c r="BF117" i="30"/>
  <c r="BF149" i="30"/>
  <c r="BF36" i="30"/>
  <c r="D374" i="30"/>
  <c r="D290" i="30"/>
  <c r="D135" i="30"/>
  <c r="D107" i="30"/>
  <c r="D83" i="30"/>
  <c r="D59" i="30"/>
  <c r="D8" i="30"/>
  <c r="C406" i="30"/>
  <c r="C326" i="30"/>
  <c r="C274" i="30"/>
  <c r="C246" i="30"/>
  <c r="C143" i="30"/>
  <c r="C87" i="30"/>
  <c r="BF275" i="30"/>
  <c r="BF291" i="30"/>
  <c r="BF411" i="30"/>
  <c r="BF143" i="30"/>
  <c r="BF55" i="30"/>
  <c r="D258" i="30"/>
  <c r="D63" i="30"/>
  <c r="D20" i="30"/>
  <c r="C366" i="30"/>
  <c r="C322" i="30"/>
  <c r="C282" i="30"/>
  <c r="C242" i="30"/>
  <c r="C135" i="30"/>
  <c r="C99" i="30"/>
  <c r="C59" i="30"/>
  <c r="BF403" i="30"/>
  <c r="BF75" i="30"/>
  <c r="BF115" i="30"/>
  <c r="BF34" i="30"/>
  <c r="D410" i="30"/>
  <c r="D398" i="30"/>
  <c r="D342" i="30"/>
  <c r="D318" i="30"/>
  <c r="D262" i="30"/>
  <c r="D62" i="30"/>
  <c r="D42" i="30"/>
  <c r="D10" i="30"/>
  <c r="C388" i="30"/>
  <c r="C76" i="30"/>
  <c r="BF155" i="30"/>
  <c r="D261" i="30"/>
  <c r="D9" i="30"/>
  <c r="C115" i="30"/>
  <c r="BF328" i="30"/>
  <c r="D404" i="30"/>
  <c r="D388" i="30"/>
  <c r="D356" i="30"/>
  <c r="D140" i="30"/>
  <c r="D92" i="30"/>
  <c r="C142" i="30"/>
  <c r="D151" i="30"/>
  <c r="D111" i="30"/>
  <c r="D99" i="30"/>
  <c r="BF254" i="30"/>
  <c r="BF366" i="30"/>
  <c r="D7" i="30"/>
  <c r="C417" i="30"/>
  <c r="C273" i="30"/>
  <c r="C89" i="30"/>
  <c r="D45" i="30"/>
  <c r="D345" i="30"/>
  <c r="D97" i="30"/>
  <c r="C360" i="30"/>
  <c r="BF48" i="30"/>
  <c r="BF379" i="30"/>
  <c r="BF139" i="30"/>
  <c r="D29" i="30"/>
  <c r="C80" i="30"/>
  <c r="D393" i="30"/>
  <c r="D113" i="30"/>
  <c r="D81" i="30"/>
  <c r="D65" i="30"/>
  <c r="C296" i="30"/>
  <c r="D406" i="30"/>
  <c r="D298" i="30"/>
  <c r="D14" i="30"/>
  <c r="C392" i="30"/>
  <c r="C280" i="30"/>
  <c r="C343" i="30"/>
  <c r="C15" i="30"/>
  <c r="D64" i="30"/>
  <c r="C375" i="30"/>
  <c r="C327" i="30"/>
  <c r="C311" i="30"/>
  <c r="C295" i="30"/>
  <c r="C279" i="30"/>
  <c r="C263" i="30"/>
  <c r="C247" i="30"/>
  <c r="C160" i="30"/>
  <c r="C128" i="30"/>
  <c r="C96" i="30"/>
  <c r="C64" i="30"/>
  <c r="BF98" i="30"/>
  <c r="BF25" i="30"/>
  <c r="D377" i="30"/>
  <c r="D329" i="30"/>
  <c r="D265" i="30"/>
  <c r="C313" i="30"/>
  <c r="C114" i="30"/>
  <c r="C47" i="30"/>
  <c r="C31" i="30"/>
  <c r="BF260" i="30"/>
  <c r="BF276" i="30"/>
  <c r="BF292" i="30"/>
  <c r="BF308" i="30"/>
  <c r="BF324" i="30"/>
  <c r="BF340" i="30"/>
  <c r="BF372" i="30"/>
  <c r="BF388" i="30"/>
  <c r="BF404" i="30"/>
  <c r="BF96" i="30"/>
  <c r="BF112" i="30"/>
  <c r="BF128" i="30"/>
  <c r="BF144" i="30"/>
  <c r="D408" i="30"/>
  <c r="D392" i="30"/>
  <c r="D376" i="30"/>
  <c r="D360" i="30"/>
  <c r="D344" i="30"/>
  <c r="D328" i="30"/>
  <c r="D312" i="30"/>
  <c r="D296" i="30"/>
  <c r="D280" i="30"/>
  <c r="D264" i="30"/>
  <c r="D248" i="30"/>
  <c r="D129" i="30"/>
  <c r="C408" i="30"/>
  <c r="C328" i="30"/>
  <c r="C145" i="30"/>
  <c r="C129" i="30"/>
  <c r="C97" i="30"/>
  <c r="C81" i="30"/>
  <c r="C65" i="30"/>
  <c r="C46" i="30"/>
  <c r="C30" i="30"/>
  <c r="BF261" i="30"/>
  <c r="BF341" i="30"/>
  <c r="BF357" i="30"/>
  <c r="BF145" i="30"/>
  <c r="BF28" i="30"/>
  <c r="D115" i="30"/>
  <c r="D91" i="30"/>
  <c r="D67" i="30"/>
  <c r="D36" i="30"/>
  <c r="D12" i="30"/>
  <c r="C414" i="30"/>
  <c r="C386" i="30"/>
  <c r="C358" i="30"/>
  <c r="C330" i="30"/>
  <c r="C306" i="30"/>
  <c r="C278" i="30"/>
  <c r="C250" i="30"/>
  <c r="C95" i="30"/>
  <c r="C71" i="30"/>
  <c r="BF407" i="30"/>
  <c r="BF18" i="30"/>
  <c r="BF42" i="30"/>
  <c r="D119" i="30"/>
  <c r="D75" i="30"/>
  <c r="D32" i="30"/>
  <c r="C410" i="30"/>
  <c r="C374" i="30"/>
  <c r="C334" i="30"/>
  <c r="C294" i="30"/>
  <c r="C254" i="30"/>
  <c r="C111" i="30"/>
  <c r="C67" i="30"/>
  <c r="BF107" i="30"/>
  <c r="BF22" i="30"/>
  <c r="D242" i="30"/>
  <c r="D114" i="30"/>
  <c r="C144" i="30"/>
  <c r="BF255" i="30"/>
  <c r="BF303" i="30"/>
  <c r="BF391" i="30"/>
  <c r="BF59" i="30"/>
  <c r="BF83" i="30"/>
  <c r="BF147" i="30"/>
  <c r="BF39" i="30"/>
  <c r="D409" i="30"/>
  <c r="D361" i="30"/>
  <c r="D281" i="30"/>
  <c r="D145" i="30"/>
  <c r="C391" i="30"/>
  <c r="C123" i="30"/>
  <c r="BF420" i="30"/>
  <c r="BF64" i="30"/>
  <c r="BF12" i="30"/>
  <c r="D86" i="30"/>
  <c r="C407" i="30"/>
  <c r="D146" i="30"/>
  <c r="BF23" i="30"/>
  <c r="D297" i="30"/>
  <c r="D249" i="30"/>
  <c r="D13" i="30"/>
  <c r="C359" i="30"/>
  <c r="BF356" i="30"/>
  <c r="BF80" i="30"/>
  <c r="BF277" i="30"/>
  <c r="D287" i="30"/>
  <c r="C21" i="30"/>
  <c r="C348" i="30"/>
  <c r="D349" i="30"/>
  <c r="D301" i="30"/>
  <c r="D54" i="30"/>
  <c r="D2" i="30"/>
  <c r="D18" i="30"/>
  <c r="D354" i="30"/>
  <c r="D358" i="30"/>
  <c r="D330" i="30"/>
  <c r="C364" i="30"/>
  <c r="BF103" i="30"/>
  <c r="D96" i="30"/>
  <c r="D132" i="30"/>
  <c r="D17" i="30"/>
  <c r="C379" i="30"/>
  <c r="C347" i="30"/>
  <c r="C283" i="30"/>
  <c r="C100" i="30"/>
  <c r="BF37" i="30"/>
  <c r="D381" i="30"/>
  <c r="D19" i="30"/>
  <c r="C333" i="30"/>
  <c r="C134" i="30"/>
  <c r="C70" i="30"/>
  <c r="C19" i="30"/>
  <c r="BF272" i="30"/>
  <c r="BF288" i="30"/>
  <c r="BF352" i="30"/>
  <c r="BF416" i="30"/>
  <c r="BF76" i="30"/>
  <c r="BF140" i="30"/>
  <c r="D348" i="30"/>
  <c r="D284" i="30"/>
  <c r="D149" i="30"/>
  <c r="D101" i="30"/>
  <c r="C396" i="30"/>
  <c r="C51" i="30"/>
  <c r="C2" i="30"/>
  <c r="BF289" i="30"/>
  <c r="BF369" i="30"/>
  <c r="BF125" i="30"/>
  <c r="C418" i="30"/>
  <c r="C310" i="30"/>
  <c r="C258" i="30"/>
  <c r="C103" i="30"/>
  <c r="BF299" i="30"/>
  <c r="BF131" i="30"/>
  <c r="BF159" i="30"/>
  <c r="BF14" i="30"/>
  <c r="BF32" i="30"/>
  <c r="D131" i="30"/>
  <c r="D87" i="30"/>
  <c r="C382" i="30"/>
  <c r="C342" i="30"/>
  <c r="C155" i="30"/>
  <c r="C119" i="30"/>
  <c r="BF99" i="30"/>
  <c r="BF135" i="30"/>
  <c r="BF10" i="30"/>
  <c r="D246" i="30"/>
  <c r="D134" i="30"/>
  <c r="D118" i="30"/>
  <c r="C412" i="30"/>
  <c r="C284" i="30"/>
  <c r="C148" i="30"/>
  <c r="C116" i="30"/>
  <c r="C48" i="30"/>
  <c r="C32" i="30"/>
  <c r="BF315" i="30"/>
  <c r="BF335" i="30"/>
  <c r="BF351" i="30"/>
  <c r="C79" i="30"/>
  <c r="D148" i="30"/>
  <c r="D33" i="30"/>
  <c r="C331" i="30"/>
  <c r="C267" i="30"/>
  <c r="C132" i="30"/>
  <c r="C68" i="30"/>
  <c r="BF21" i="30"/>
  <c r="D3" i="30"/>
  <c r="C102" i="30"/>
  <c r="C35" i="30"/>
  <c r="BF336" i="30"/>
  <c r="BF400" i="30"/>
  <c r="BF60" i="30"/>
  <c r="BF108" i="30"/>
  <c r="D412" i="30"/>
  <c r="D380" i="30"/>
  <c r="D332" i="30"/>
  <c r="D268" i="30"/>
  <c r="C300" i="30"/>
  <c r="C69" i="30"/>
  <c r="C18" i="30"/>
  <c r="BF305" i="30"/>
  <c r="BF353" i="30"/>
  <c r="BF385" i="30"/>
  <c r="BF93" i="30"/>
  <c r="BF157" i="30"/>
  <c r="D44" i="30"/>
  <c r="C362" i="30"/>
  <c r="C75" i="30"/>
  <c r="D40" i="30"/>
  <c r="D150" i="30"/>
  <c r="D70" i="30"/>
  <c r="BF383" i="30"/>
  <c r="D269" i="30"/>
  <c r="D396" i="30"/>
  <c r="C302" i="30"/>
  <c r="BF337" i="30"/>
  <c r="D68" i="30"/>
  <c r="C411" i="30"/>
  <c r="C363" i="30"/>
  <c r="C315" i="30"/>
  <c r="C299" i="30"/>
  <c r="C251" i="30"/>
  <c r="D365" i="30"/>
  <c r="D253" i="30"/>
  <c r="D102" i="30"/>
  <c r="C413" i="30"/>
  <c r="C285" i="30"/>
  <c r="C150" i="30"/>
  <c r="C118" i="30"/>
  <c r="C86" i="30"/>
  <c r="C54" i="30"/>
  <c r="C3" i="30"/>
  <c r="BF256" i="30"/>
  <c r="BF92" i="30"/>
  <c r="BF124" i="30"/>
  <c r="BF156" i="30"/>
  <c r="BF19" i="30"/>
  <c r="D364" i="30"/>
  <c r="D300" i="30"/>
  <c r="D252" i="30"/>
  <c r="D85" i="30"/>
  <c r="C252" i="30"/>
  <c r="C133" i="30"/>
  <c r="C34" i="30"/>
  <c r="BF257" i="30"/>
  <c r="BF273" i="30"/>
  <c r="BF321" i="30"/>
  <c r="BF61" i="30"/>
  <c r="BF109" i="30"/>
  <c r="BF141" i="30"/>
  <c r="BF44" i="30"/>
  <c r="D147" i="30"/>
  <c r="D71" i="30"/>
  <c r="D16" i="30"/>
  <c r="C338" i="30"/>
  <c r="C159" i="30"/>
  <c r="BF267" i="30"/>
  <c r="D390" i="30"/>
  <c r="D314" i="30"/>
  <c r="D278" i="30"/>
  <c r="D274" i="30"/>
  <c r="BF283" i="30"/>
  <c r="BF399" i="30"/>
  <c r="D34" i="30"/>
  <c r="C380" i="30"/>
  <c r="C332" i="30"/>
  <c r="C316" i="30"/>
  <c r="C20" i="30"/>
  <c r="BF247" i="30"/>
  <c r="BF251" i="30"/>
  <c r="BF375" i="30"/>
  <c r="D413" i="30"/>
  <c r="D397" i="30"/>
  <c r="D333" i="30"/>
  <c r="D117" i="30"/>
  <c r="D69" i="30"/>
  <c r="C131" i="30"/>
  <c r="BF304" i="30"/>
  <c r="BF320" i="30"/>
  <c r="BF384" i="30"/>
  <c r="D295" i="30"/>
  <c r="C29" i="30"/>
  <c r="BF358" i="30"/>
  <c r="C361" i="30"/>
  <c r="BF245" i="30"/>
  <c r="BF81" i="30"/>
  <c r="D391" i="30"/>
  <c r="C13" i="30"/>
  <c r="BF246" i="30"/>
  <c r="D355" i="30"/>
  <c r="D307" i="30"/>
  <c r="D243" i="30"/>
  <c r="C25" i="30"/>
  <c r="BF70" i="30"/>
  <c r="C146" i="30"/>
  <c r="C82" i="30"/>
  <c r="D407" i="30"/>
  <c r="D15" i="30"/>
  <c r="C405" i="30"/>
  <c r="C277" i="30"/>
  <c r="C125" i="30"/>
  <c r="C61" i="30"/>
  <c r="BF129" i="30"/>
  <c r="BF29" i="30"/>
  <c r="D11" i="30"/>
  <c r="C325" i="30"/>
  <c r="C141" i="30"/>
  <c r="D411" i="30"/>
  <c r="D395" i="30"/>
  <c r="D363" i="30"/>
  <c r="D331" i="30"/>
  <c r="D315" i="30"/>
  <c r="D299" i="30"/>
  <c r="D267" i="30"/>
  <c r="D251" i="30"/>
  <c r="C33" i="30"/>
  <c r="C17" i="30"/>
  <c r="BF242" i="30"/>
  <c r="BF258" i="30"/>
  <c r="BF290" i="30"/>
  <c r="BF306" i="30"/>
  <c r="BF354" i="30"/>
  <c r="BF370" i="30"/>
  <c r="BF386" i="30"/>
  <c r="BF418" i="30"/>
  <c r="BF126" i="30"/>
  <c r="D39" i="30"/>
  <c r="D379" i="30"/>
  <c r="BF274" i="30"/>
  <c r="BF78" i="30"/>
  <c r="BF142" i="30"/>
  <c r="D159" i="30"/>
  <c r="D116" i="30"/>
  <c r="D100" i="30"/>
  <c r="C49" i="30"/>
  <c r="BF402" i="30"/>
  <c r="BF94" i="30"/>
  <c r="BF110" i="30"/>
  <c r="C365" i="30"/>
  <c r="C349" i="30"/>
  <c r="C289" i="30"/>
  <c r="C261" i="30"/>
  <c r="C245" i="30"/>
  <c r="BF77" i="30"/>
  <c r="BF51" i="30"/>
  <c r="D84" i="30"/>
  <c r="D347" i="30"/>
  <c r="D283" i="30"/>
  <c r="BF62" i="30"/>
  <c r="BF154" i="30"/>
  <c r="C377" i="30"/>
  <c r="C301" i="30"/>
  <c r="BF47" i="30"/>
  <c r="BF150" i="30"/>
  <c r="C117" i="30"/>
  <c r="D133" i="30"/>
  <c r="BF368" i="30"/>
  <c r="D316" i="30"/>
  <c r="D80" i="30"/>
  <c r="BF401" i="30"/>
  <c r="BF417" i="30"/>
  <c r="C397" i="30"/>
  <c r="C381" i="30"/>
  <c r="C329" i="30"/>
  <c r="C66" i="30"/>
  <c r="BF41" i="30"/>
  <c r="C409" i="30"/>
  <c r="C393" i="30"/>
  <c r="C101" i="30"/>
  <c r="C85" i="30"/>
  <c r="BF97" i="30"/>
  <c r="BF35" i="30"/>
  <c r="D375" i="30"/>
  <c r="D359" i="30"/>
  <c r="D327" i="30"/>
  <c r="D311" i="30"/>
  <c r="D279" i="30"/>
  <c r="D263" i="30"/>
  <c r="D247" i="30"/>
  <c r="C45" i="30"/>
  <c r="BF262" i="30"/>
  <c r="BF294" i="30"/>
  <c r="BF310" i="30"/>
  <c r="BF342" i="30"/>
  <c r="BF374" i="30"/>
  <c r="BF390" i="30"/>
  <c r="BF66" i="30"/>
  <c r="BF82" i="30"/>
  <c r="BF114" i="30"/>
  <c r="BF130" i="30"/>
  <c r="BF158" i="30"/>
  <c r="D35" i="30"/>
  <c r="C269" i="30"/>
  <c r="C253" i="30"/>
  <c r="D123" i="30"/>
  <c r="D95" i="30"/>
  <c r="D144" i="30"/>
  <c r="D128" i="30"/>
  <c r="D112" i="30"/>
  <c r="C130" i="30"/>
  <c r="BF325" i="30"/>
  <c r="D343" i="30"/>
  <c r="BF278" i="30"/>
  <c r="BF146" i="30"/>
  <c r="D419" i="30"/>
  <c r="D403" i="30"/>
  <c r="D371" i="30"/>
  <c r="D275" i="30"/>
  <c r="D259" i="30"/>
  <c r="C41" i="30"/>
  <c r="C9" i="30"/>
  <c r="BF250" i="30"/>
  <c r="BF266" i="30"/>
  <c r="BF282" i="30"/>
  <c r="BF298" i="30"/>
  <c r="BF314" i="30"/>
  <c r="BF362" i="30"/>
  <c r="BF378" i="30"/>
  <c r="BF394" i="30"/>
  <c r="BF410" i="30"/>
  <c r="BF86" i="30"/>
  <c r="BF102" i="30"/>
  <c r="BF118" i="30"/>
  <c r="BF134" i="30"/>
  <c r="D47" i="30"/>
  <c r="D31" i="30"/>
  <c r="C345" i="30"/>
  <c r="C317" i="30"/>
  <c r="C265" i="30"/>
  <c r="D51" i="30"/>
  <c r="C149" i="30"/>
  <c r="BF389" i="30"/>
  <c r="BF405" i="30"/>
  <c r="BF26" i="30"/>
  <c r="C297" i="30"/>
  <c r="C98" i="30"/>
  <c r="BF309" i="30"/>
  <c r="BF373" i="30"/>
  <c r="BF65" i="30"/>
  <c r="D415" i="30"/>
  <c r="D399" i="30"/>
  <c r="D367" i="30"/>
  <c r="D351" i="30"/>
  <c r="D255" i="30"/>
  <c r="C37" i="30"/>
  <c r="C5" i="30"/>
  <c r="BF270" i="30"/>
  <c r="BF334" i="30"/>
  <c r="BF382" i="30"/>
  <c r="BF414" i="30"/>
  <c r="BF90" i="30"/>
  <c r="BF122" i="30"/>
  <c r="BF138" i="30"/>
  <c r="C249" i="30"/>
  <c r="BF293" i="30"/>
  <c r="BF113" i="30"/>
  <c r="BF38" i="30"/>
  <c r="D23" i="30"/>
  <c r="C353" i="30"/>
  <c r="C341" i="30"/>
  <c r="C321" i="30"/>
  <c r="C309" i="30"/>
  <c r="C257" i="30"/>
  <c r="Z19" i="18"/>
  <c r="AB19" i="18" s="1"/>
  <c r="Z11" i="18"/>
  <c r="AB11" i="18" s="1"/>
  <c r="Z9" i="18"/>
  <c r="AB9" i="18" s="1"/>
  <c r="Z10" i="18"/>
  <c r="AB10" i="18" s="1"/>
  <c r="R291" i="30" l="1"/>
  <c r="R41" i="30"/>
  <c r="R347" i="30" s="1"/>
  <c r="R13" i="30"/>
  <c r="R55" i="30"/>
  <c r="R52" i="30"/>
  <c r="R358" i="30" s="1"/>
  <c r="R24" i="30"/>
  <c r="R302" i="30"/>
  <c r="Q41" i="30"/>
  <c r="Q347" i="30" s="1"/>
  <c r="Q13" i="30"/>
  <c r="Q291" i="30"/>
  <c r="Q55" i="30"/>
  <c r="Q83" i="30" s="1"/>
  <c r="Q54" i="30"/>
  <c r="Q82" i="30" s="1"/>
  <c r="Q52" i="30"/>
  <c r="Q358" i="30" s="1"/>
  <c r="Q302" i="30"/>
  <c r="Q24" i="30"/>
  <c r="R54" i="30"/>
  <c r="N82" i="30"/>
  <c r="N391" i="30"/>
  <c r="N110" i="30"/>
  <c r="N160" i="30"/>
  <c r="N390" i="30"/>
  <c r="N111" i="30"/>
  <c r="N388" i="30"/>
  <c r="N410" i="30"/>
  <c r="N416" i="30"/>
  <c r="AI303" i="30"/>
  <c r="AI304" i="30"/>
  <c r="AI310" i="30"/>
  <c r="AI305" i="30"/>
  <c r="AI311" i="30"/>
  <c r="AI309" i="30"/>
  <c r="AI308" i="30"/>
  <c r="AI306" i="30"/>
  <c r="AI312" i="30"/>
  <c r="AI307" i="30"/>
  <c r="AI280" i="30"/>
  <c r="AI275" i="30"/>
  <c r="AI274" i="30"/>
  <c r="AI276" i="30"/>
  <c r="AI279" i="30"/>
  <c r="AI282" i="30"/>
  <c r="AI278" i="30"/>
  <c r="AI281" i="30"/>
  <c r="AI277" i="30"/>
  <c r="AI284" i="30"/>
  <c r="AI285" i="30"/>
  <c r="AI288" i="30"/>
  <c r="AI289" i="30"/>
  <c r="AI292" i="30"/>
  <c r="AI287" i="30"/>
  <c r="AI286" i="30"/>
  <c r="AI291" i="30"/>
  <c r="AI290" i="30"/>
  <c r="AI315" i="30"/>
  <c r="AI317" i="30"/>
  <c r="AI316" i="30"/>
  <c r="AI319" i="30"/>
  <c r="AI318" i="30"/>
  <c r="AI320" i="30"/>
  <c r="AI321" i="30"/>
  <c r="AI314" i="30"/>
  <c r="AI322" i="30"/>
  <c r="AI298" i="30"/>
  <c r="AI295" i="30"/>
  <c r="AI296" i="30"/>
  <c r="AI301" i="30"/>
  <c r="AI302" i="30"/>
  <c r="AI300" i="30"/>
  <c r="AI294" i="30"/>
  <c r="AI299" i="30"/>
  <c r="AI297" i="30"/>
  <c r="AI323" i="30"/>
  <c r="AI329" i="30"/>
  <c r="AI332" i="30"/>
  <c r="AI324" i="30"/>
  <c r="AI327" i="30"/>
  <c r="AI326" i="30"/>
  <c r="AI330" i="30"/>
  <c r="AI328" i="30"/>
  <c r="AI331" i="30"/>
  <c r="AI325" i="30"/>
  <c r="R11" i="18"/>
  <c r="S11" i="18" s="1"/>
  <c r="O11" i="18"/>
  <c r="W11" i="18" s="1"/>
  <c r="R19" i="18"/>
  <c r="S19" i="18" s="1"/>
  <c r="O19" i="18"/>
  <c r="W19" i="18" s="1"/>
  <c r="R9" i="18"/>
  <c r="S9" i="18" s="1"/>
  <c r="O9" i="18"/>
  <c r="W9" i="18" s="1"/>
  <c r="R10" i="18"/>
  <c r="S10" i="18" s="1"/>
  <c r="O10" i="18"/>
  <c r="W10" i="18" s="1"/>
  <c r="R288" i="30"/>
  <c r="R287" i="30"/>
  <c r="R299" i="30"/>
  <c r="R286" i="30"/>
  <c r="R282" i="30"/>
  <c r="R284" i="30"/>
  <c r="R295" i="30"/>
  <c r="Q289" i="30"/>
  <c r="Q294" i="30"/>
  <c r="R296" i="30"/>
  <c r="R293" i="30"/>
  <c r="R298" i="30"/>
  <c r="Q284" i="30"/>
  <c r="R281" i="30"/>
  <c r="R283" i="30"/>
  <c r="Q287" i="30"/>
  <c r="Q280" i="30"/>
  <c r="R292" i="30"/>
  <c r="Q290" i="30"/>
  <c r="Q296" i="30"/>
  <c r="Q286" i="30"/>
  <c r="Q300" i="30"/>
  <c r="R280" i="30"/>
  <c r="R290" i="30"/>
  <c r="Q283" i="30"/>
  <c r="Q285" i="30"/>
  <c r="R285" i="30"/>
  <c r="R300" i="30"/>
  <c r="Q292" i="30"/>
  <c r="Q298" i="30"/>
  <c r="Q297" i="30"/>
  <c r="Q293" i="30"/>
  <c r="R289" i="30"/>
  <c r="Q301" i="30"/>
  <c r="Q282" i="30"/>
  <c r="Q299" i="30"/>
  <c r="Q288" i="30"/>
  <c r="R297" i="30"/>
  <c r="Q281" i="30"/>
  <c r="R294" i="30"/>
  <c r="R301" i="30"/>
  <c r="Q295" i="30"/>
  <c r="R37" i="30"/>
  <c r="R343" i="30" s="1"/>
  <c r="Q36" i="30"/>
  <c r="Q342" i="30" s="1"/>
  <c r="R35" i="30"/>
  <c r="R341" i="30" s="1"/>
  <c r="Q47" i="30"/>
  <c r="Q353" i="30" s="1"/>
  <c r="R49" i="30"/>
  <c r="R355" i="30" s="1"/>
  <c r="R30" i="30"/>
  <c r="R336" i="30" s="1"/>
  <c r="Q38" i="30"/>
  <c r="Q344" i="30" s="1"/>
  <c r="R45" i="30"/>
  <c r="R351" i="30" s="1"/>
  <c r="R33" i="30"/>
  <c r="R339" i="30" s="1"/>
  <c r="Q37" i="30"/>
  <c r="Q343" i="30" s="1"/>
  <c r="R40" i="30"/>
  <c r="R346" i="30" s="1"/>
  <c r="R50" i="30"/>
  <c r="R356" i="30" s="1"/>
  <c r="Q42" i="30"/>
  <c r="Q348" i="30" s="1"/>
  <c r="Q48" i="30"/>
  <c r="Q354" i="30" s="1"/>
  <c r="R32" i="30"/>
  <c r="R338" i="30" s="1"/>
  <c r="R44" i="30"/>
  <c r="R350" i="30" s="1"/>
  <c r="R48" i="30"/>
  <c r="R354" i="30" s="1"/>
  <c r="Q51" i="30"/>
  <c r="Q357" i="30" s="1"/>
  <c r="Q33" i="30"/>
  <c r="Q339" i="30" s="1"/>
  <c r="Q30" i="30"/>
  <c r="Q336" i="30" s="1"/>
  <c r="R42" i="30"/>
  <c r="R348" i="30" s="1"/>
  <c r="Q44" i="30"/>
  <c r="Q350" i="30" s="1"/>
  <c r="R47" i="30"/>
  <c r="R353" i="30" s="1"/>
  <c r="R31" i="30"/>
  <c r="R337" i="30" s="1"/>
  <c r="R46" i="30"/>
  <c r="R352" i="30" s="1"/>
  <c r="Q43" i="30"/>
  <c r="Q349" i="30" s="1"/>
  <c r="Q34" i="30"/>
  <c r="Q340" i="30" s="1"/>
  <c r="Q50" i="30"/>
  <c r="Q356" i="30" s="1"/>
  <c r="R36" i="30"/>
  <c r="R342" i="30" s="1"/>
  <c r="Q31" i="30"/>
  <c r="Q337" i="30" s="1"/>
  <c r="R38" i="30"/>
  <c r="R344" i="30" s="1"/>
  <c r="Q32" i="30"/>
  <c r="Q338" i="30" s="1"/>
  <c r="Q49" i="30"/>
  <c r="Q355" i="30" s="1"/>
  <c r="Q46" i="30"/>
  <c r="Q352" i="30" s="1"/>
  <c r="Q35" i="30"/>
  <c r="Q341" i="30" s="1"/>
  <c r="Q40" i="30"/>
  <c r="Q346" i="30" s="1"/>
  <c r="R34" i="30"/>
  <c r="R340" i="30" s="1"/>
  <c r="Q39" i="30"/>
  <c r="Q345" i="30" s="1"/>
  <c r="R39" i="30"/>
  <c r="R345" i="30" s="1"/>
  <c r="R43" i="30"/>
  <c r="R349" i="30" s="1"/>
  <c r="R51" i="30"/>
  <c r="R357" i="30" s="1"/>
  <c r="Q45" i="30"/>
  <c r="Q351" i="30" s="1"/>
  <c r="B65" i="30"/>
  <c r="B26" i="30"/>
  <c r="B314" i="30"/>
  <c r="B277" i="30"/>
  <c r="B114" i="30"/>
  <c r="B417" i="30"/>
  <c r="B305" i="30"/>
  <c r="B267" i="30"/>
  <c r="B131" i="30"/>
  <c r="B77" i="30"/>
  <c r="B369" i="30"/>
  <c r="B337" i="30"/>
  <c r="B289" i="30"/>
  <c r="B320" i="30"/>
  <c r="B272" i="30"/>
  <c r="B355" i="30"/>
  <c r="B287" i="30"/>
  <c r="B48" i="30"/>
  <c r="B12" i="30"/>
  <c r="B293" i="30"/>
  <c r="B80" i="30"/>
  <c r="B324" i="30"/>
  <c r="B276" i="30"/>
  <c r="B138" i="30"/>
  <c r="B323" i="30"/>
  <c r="B55" i="30"/>
  <c r="B119" i="30"/>
  <c r="B411" i="30"/>
  <c r="B409" i="30"/>
  <c r="B265" i="30"/>
  <c r="B133" i="30"/>
  <c r="B412" i="30"/>
  <c r="B87" i="30"/>
  <c r="B295" i="30"/>
  <c r="B20" i="30"/>
  <c r="B46" i="30"/>
  <c r="B357" i="30"/>
  <c r="B342" i="30"/>
  <c r="B38" i="30"/>
  <c r="B145" i="30"/>
  <c r="B282" i="30"/>
  <c r="B401" i="30"/>
  <c r="B294" i="30"/>
  <c r="B97" i="30"/>
  <c r="B273" i="30"/>
  <c r="B384" i="30"/>
  <c r="B51" i="30"/>
  <c r="B370" i="30"/>
  <c r="B274" i="30"/>
  <c r="B242" i="30"/>
  <c r="B42" i="30"/>
  <c r="B3" i="30"/>
  <c r="B399" i="30"/>
  <c r="B141" i="30"/>
  <c r="B124" i="30"/>
  <c r="B362" i="30"/>
  <c r="B298" i="30"/>
  <c r="B158" i="30"/>
  <c r="B261" i="30"/>
  <c r="B66" i="30"/>
  <c r="B358" i="30"/>
  <c r="B278" i="30"/>
  <c r="B256" i="30"/>
  <c r="B94" i="30"/>
  <c r="B402" i="30"/>
  <c r="B78" i="30"/>
  <c r="B62" i="30"/>
  <c r="B386" i="30"/>
  <c r="B322" i="30"/>
  <c r="B70" i="30"/>
  <c r="B250" i="30"/>
  <c r="B81" i="30"/>
  <c r="B374" i="30"/>
  <c r="B5" i="30"/>
  <c r="B352" i="30"/>
  <c r="B61" i="30"/>
  <c r="B92" i="30"/>
  <c r="B157" i="30"/>
  <c r="B336" i="30"/>
  <c r="B135" i="30"/>
  <c r="B14" i="30"/>
  <c r="B24" i="30"/>
  <c r="B140" i="30"/>
  <c r="B76" i="30"/>
  <c r="B90" i="30"/>
  <c r="B398" i="30"/>
  <c r="B39" i="30"/>
  <c r="B373" i="30"/>
  <c r="B319" i="30"/>
  <c r="B22" i="30"/>
  <c r="B28" i="30"/>
  <c r="B405" i="30"/>
  <c r="B420" i="30"/>
  <c r="B356" i="30"/>
  <c r="B308" i="30"/>
  <c r="B244" i="30"/>
  <c r="B147" i="30"/>
  <c r="B58" i="30"/>
  <c r="B366" i="30"/>
  <c r="B334" i="30"/>
  <c r="B91" i="30"/>
  <c r="B115" i="30"/>
  <c r="B75" i="30"/>
  <c r="B363" i="30"/>
  <c r="B313" i="30"/>
  <c r="B132" i="30"/>
  <c r="B116" i="30"/>
  <c r="B360" i="30"/>
  <c r="B16" i="30"/>
  <c r="B101" i="30"/>
  <c r="B345" i="30"/>
  <c r="B329" i="30"/>
  <c r="B297" i="30"/>
  <c r="B328" i="30"/>
  <c r="B280" i="30"/>
  <c r="B118" i="30"/>
  <c r="B27" i="30"/>
  <c r="B291" i="30"/>
  <c r="B59" i="30"/>
  <c r="B318" i="30"/>
  <c r="B419" i="30"/>
  <c r="B243" i="30"/>
  <c r="B6" i="30"/>
  <c r="B95" i="30"/>
  <c r="B333" i="30"/>
  <c r="B152" i="30"/>
  <c r="B136" i="30"/>
  <c r="B151" i="30"/>
  <c r="B263" i="30"/>
  <c r="B4" i="30"/>
  <c r="B397" i="30"/>
  <c r="B253" i="30"/>
  <c r="B300" i="30"/>
  <c r="B268" i="30"/>
  <c r="B106" i="30"/>
  <c r="B259" i="30"/>
  <c r="B2" i="30"/>
  <c r="B393" i="30"/>
  <c r="B43" i="30"/>
  <c r="B86" i="30"/>
  <c r="B83" i="30"/>
  <c r="B339" i="30"/>
  <c r="B292" i="30"/>
  <c r="B385" i="30"/>
  <c r="B102" i="30"/>
  <c r="B394" i="30"/>
  <c r="B262" i="30"/>
  <c r="B130" i="30"/>
  <c r="B326" i="30"/>
  <c r="B142" i="30"/>
  <c r="B258" i="30"/>
  <c r="B44" i="30"/>
  <c r="B156" i="30"/>
  <c r="B108" i="30"/>
  <c r="B368" i="30"/>
  <c r="B335" i="30"/>
  <c r="B125" i="30"/>
  <c r="B288" i="30"/>
  <c r="B383" i="30"/>
  <c r="B129" i="30"/>
  <c r="B144" i="30"/>
  <c r="B260" i="30"/>
  <c r="B264" i="30"/>
  <c r="B377" i="30"/>
  <c r="B281" i="30"/>
  <c r="B148" i="30"/>
  <c r="B57" i="30"/>
  <c r="B365" i="30"/>
  <c r="B317" i="30"/>
  <c r="B364" i="30"/>
  <c r="B415" i="30"/>
  <c r="B367" i="30"/>
  <c r="B155" i="30"/>
  <c r="B146" i="30"/>
  <c r="B98" i="30"/>
  <c r="B19" i="30"/>
  <c r="B93" i="30"/>
  <c r="B338" i="30"/>
  <c r="B126" i="30"/>
  <c r="B418" i="30"/>
  <c r="B354" i="30"/>
  <c r="B150" i="30"/>
  <c r="B330" i="30"/>
  <c r="B7" i="30"/>
  <c r="B41" i="30"/>
  <c r="B109" i="30"/>
  <c r="B321" i="30"/>
  <c r="B60" i="30"/>
  <c r="B79" i="30"/>
  <c r="B283" i="30"/>
  <c r="B353" i="30"/>
  <c r="B10" i="30"/>
  <c r="B99" i="30"/>
  <c r="B251" i="30"/>
  <c r="B315" i="30"/>
  <c r="B54" i="30"/>
  <c r="B37" i="30"/>
  <c r="B254" i="30"/>
  <c r="B107" i="30"/>
  <c r="B407" i="30"/>
  <c r="B325" i="30"/>
  <c r="B128" i="30"/>
  <c r="B404" i="30"/>
  <c r="B310" i="30"/>
  <c r="B30" i="30"/>
  <c r="B143" i="30"/>
  <c r="B403" i="30"/>
  <c r="B67" i="30"/>
  <c r="B36" i="30"/>
  <c r="B69" i="30"/>
  <c r="B11" i="30"/>
  <c r="B248" i="30"/>
  <c r="B249" i="30"/>
  <c r="B100" i="30"/>
  <c r="B344" i="30"/>
  <c r="B266" i="30"/>
  <c r="B296" i="30"/>
  <c r="B139" i="30"/>
  <c r="B303" i="30"/>
  <c r="B271" i="30"/>
  <c r="B123" i="30"/>
  <c r="B371" i="30"/>
  <c r="B395" i="30"/>
  <c r="B279" i="30"/>
  <c r="B105" i="30"/>
  <c r="B413" i="30"/>
  <c r="B269" i="30"/>
  <c r="B380" i="30"/>
  <c r="B332" i="30"/>
  <c r="B17" i="30"/>
  <c r="B311" i="30"/>
  <c r="B349" i="30"/>
  <c r="B47" i="30"/>
  <c r="B120" i="30"/>
  <c r="B122" i="30"/>
  <c r="B302" i="30"/>
  <c r="B299" i="30"/>
  <c r="B8" i="30"/>
  <c r="B306" i="30"/>
  <c r="B9" i="30"/>
  <c r="B247" i="30"/>
  <c r="B257" i="30"/>
  <c r="B400" i="30"/>
  <c r="B304" i="30"/>
  <c r="B96" i="30"/>
  <c r="B25" i="30"/>
  <c r="B387" i="30"/>
  <c r="B149" i="30"/>
  <c r="B45" i="30"/>
  <c r="B13" i="30"/>
  <c r="B68" i="30"/>
  <c r="B127" i="30"/>
  <c r="B40" i="30"/>
  <c r="B153" i="30"/>
  <c r="B89" i="30"/>
  <c r="B56" i="30"/>
  <c r="B284" i="30"/>
  <c r="B382" i="30"/>
  <c r="B73" i="30"/>
  <c r="B348" i="30"/>
  <c r="B113" i="30"/>
  <c r="B245" i="30"/>
  <c r="B389" i="30"/>
  <c r="B346" i="30"/>
  <c r="B406" i="30"/>
  <c r="B31" i="30"/>
  <c r="B414" i="30"/>
  <c r="B270" i="30"/>
  <c r="B134" i="30"/>
  <c r="B35" i="30"/>
  <c r="B246" i="30"/>
  <c r="B154" i="30"/>
  <c r="B290" i="30"/>
  <c r="B32" i="30"/>
  <c r="B21" i="30"/>
  <c r="B103" i="30"/>
  <c r="B159" i="30"/>
  <c r="B375" i="30"/>
  <c r="B351" i="30"/>
  <c r="B350" i="30"/>
  <c r="B372" i="30"/>
  <c r="B331" i="30"/>
  <c r="B18" i="30"/>
  <c r="B341" i="30"/>
  <c r="B309" i="30"/>
  <c r="B23" i="30"/>
  <c r="B112" i="30"/>
  <c r="B64" i="30"/>
  <c r="B340" i="30"/>
  <c r="B286" i="30"/>
  <c r="B359" i="30"/>
  <c r="B34" i="30"/>
  <c r="B307" i="30"/>
  <c r="B117" i="30"/>
  <c r="B361" i="30"/>
  <c r="B312" i="30"/>
  <c r="B29" i="30"/>
  <c r="B85" i="30"/>
  <c r="B84" i="30"/>
  <c r="B408" i="30"/>
  <c r="B392" i="30"/>
  <c r="B378" i="30"/>
  <c r="B343" i="30"/>
  <c r="B63" i="30"/>
  <c r="B379" i="30"/>
  <c r="B255" i="30"/>
  <c r="B74" i="30"/>
  <c r="B33" i="30"/>
  <c r="B347" i="30"/>
  <c r="B327" i="30"/>
  <c r="B137" i="30"/>
  <c r="B381" i="30"/>
  <c r="B285" i="30"/>
  <c r="B15" i="30"/>
  <c r="B104" i="30"/>
  <c r="B88" i="30"/>
  <c r="B316" i="30"/>
  <c r="B49" i="30"/>
  <c r="B71" i="30"/>
  <c r="B121" i="30"/>
  <c r="B301" i="30"/>
  <c r="B72" i="30"/>
  <c r="B396" i="30"/>
  <c r="B252" i="30"/>
  <c r="B376" i="30"/>
  <c r="B275" i="30"/>
  <c r="Q53" i="30"/>
  <c r="Q81" i="30" s="1"/>
  <c r="R53" i="30"/>
  <c r="R22" i="30"/>
  <c r="R20" i="30"/>
  <c r="R18" i="30"/>
  <c r="R4" i="30"/>
  <c r="Q20" i="30"/>
  <c r="Q18" i="30"/>
  <c r="Q16" i="30"/>
  <c r="Q12" i="30"/>
  <c r="Q10" i="30"/>
  <c r="Q8" i="30"/>
  <c r="Q6" i="30"/>
  <c r="R10" i="30"/>
  <c r="R6" i="30"/>
  <c r="Q14" i="30"/>
  <c r="Q5" i="30"/>
  <c r="Q3" i="30"/>
  <c r="Q2" i="30"/>
  <c r="R23" i="30"/>
  <c r="R21" i="30"/>
  <c r="R19" i="30"/>
  <c r="R15" i="30"/>
  <c r="Q23" i="30"/>
  <c r="Q21" i="30"/>
  <c r="Q9" i="30"/>
  <c r="R11" i="30"/>
  <c r="R16" i="30"/>
  <c r="Q22" i="30"/>
  <c r="R12" i="30"/>
  <c r="R8" i="30"/>
  <c r="R14" i="30"/>
  <c r="R17" i="30"/>
  <c r="R5" i="30"/>
  <c r="R3" i="30"/>
  <c r="R2" i="30"/>
  <c r="Q19" i="30"/>
  <c r="Q17" i="30"/>
  <c r="Q15" i="30"/>
  <c r="Q11" i="30"/>
  <c r="Q7" i="30"/>
  <c r="R9" i="30"/>
  <c r="R7" i="30"/>
  <c r="Q4" i="30"/>
  <c r="Q84" i="30" l="1"/>
  <c r="R119" i="30"/>
  <c r="Q119" i="30"/>
  <c r="P119" i="30"/>
  <c r="S119" i="30"/>
  <c r="AA43" i="30" s="1"/>
  <c r="R116" i="30"/>
  <c r="R112" i="30"/>
  <c r="R118" i="30"/>
  <c r="R113" i="30"/>
  <c r="R115" i="30"/>
  <c r="R117" i="30"/>
  <c r="R114" i="30"/>
  <c r="Q113" i="30"/>
  <c r="Q115" i="30"/>
  <c r="Q117" i="30"/>
  <c r="Q112" i="30"/>
  <c r="Q114" i="30"/>
  <c r="Q116" i="30"/>
  <c r="Q118" i="30"/>
  <c r="P113" i="30"/>
  <c r="P115" i="30"/>
  <c r="P117" i="30"/>
  <c r="S112" i="30"/>
  <c r="S115" i="30"/>
  <c r="S118" i="30"/>
  <c r="P112" i="30"/>
  <c r="S116" i="30"/>
  <c r="S113" i="30"/>
  <c r="S117" i="30"/>
  <c r="P114" i="30"/>
  <c r="P116" i="30"/>
  <c r="S114" i="30"/>
  <c r="R83" i="30"/>
  <c r="R82" i="30"/>
  <c r="R81" i="30"/>
  <c r="P55" i="30"/>
  <c r="P52" i="30"/>
  <c r="Z52" i="30" s="1"/>
  <c r="P24" i="30"/>
  <c r="Z24" i="30" s="1"/>
  <c r="P302" i="30"/>
  <c r="V330" i="30" s="1"/>
  <c r="P54" i="30"/>
  <c r="P291" i="30"/>
  <c r="V319" i="30" s="1"/>
  <c r="P41" i="30"/>
  <c r="Z41" i="30" s="1"/>
  <c r="P13" i="30"/>
  <c r="Z13" i="30" s="1"/>
  <c r="N346" i="30"/>
  <c r="N129" i="30"/>
  <c r="N396" i="30"/>
  <c r="N104" i="30"/>
  <c r="N74" i="30"/>
  <c r="N84" i="30"/>
  <c r="N359" i="30"/>
  <c r="N18" i="30"/>
  <c r="N21" i="30"/>
  <c r="N414" i="30"/>
  <c r="N73" i="30"/>
  <c r="N68" i="30"/>
  <c r="N400" i="30"/>
  <c r="N122" i="30"/>
  <c r="N269" i="30"/>
  <c r="N303" i="30"/>
  <c r="N11" i="30"/>
  <c r="N404" i="30"/>
  <c r="N315" i="30"/>
  <c r="N321" i="30"/>
  <c r="N126" i="30"/>
  <c r="N415" i="30"/>
  <c r="N264" i="30"/>
  <c r="N368" i="30"/>
  <c r="N262" i="30"/>
  <c r="N43" i="30"/>
  <c r="N397" i="30"/>
  <c r="N6" i="30"/>
  <c r="N280" i="30"/>
  <c r="N116" i="30"/>
  <c r="N366" i="30"/>
  <c r="N28" i="30"/>
  <c r="N140" i="30"/>
  <c r="N352" i="30"/>
  <c r="N62" i="30"/>
  <c r="N261" i="30"/>
  <c r="N42" i="30"/>
  <c r="N294" i="30"/>
  <c r="N20" i="30"/>
  <c r="N119" i="30"/>
  <c r="N12" i="30"/>
  <c r="N369" i="30"/>
  <c r="N314" i="30"/>
  <c r="N121" i="30"/>
  <c r="N149" i="30"/>
  <c r="N19" i="30"/>
  <c r="N72" i="30"/>
  <c r="N255" i="30"/>
  <c r="N286" i="30"/>
  <c r="N32" i="30"/>
  <c r="N382" i="30"/>
  <c r="N257" i="30"/>
  <c r="N120" i="30"/>
  <c r="N139" i="30"/>
  <c r="N128" i="30"/>
  <c r="N109" i="30"/>
  <c r="N364" i="30"/>
  <c r="N260" i="30"/>
  <c r="N108" i="30"/>
  <c r="N394" i="30"/>
  <c r="N4" i="30"/>
  <c r="N243" i="30"/>
  <c r="N328" i="30"/>
  <c r="N132" i="30"/>
  <c r="N58" i="30"/>
  <c r="N22" i="30"/>
  <c r="N24" i="30"/>
  <c r="N5" i="30"/>
  <c r="N78" i="30"/>
  <c r="N158" i="30"/>
  <c r="N242" i="30"/>
  <c r="N401" i="30"/>
  <c r="N295" i="30"/>
  <c r="N55" i="30"/>
  <c r="N48" i="30"/>
  <c r="N77" i="30"/>
  <c r="N26" i="30"/>
  <c r="N312" i="30"/>
  <c r="N10" i="30"/>
  <c r="N15" i="30"/>
  <c r="N85" i="30"/>
  <c r="N331" i="30"/>
  <c r="N31" i="30"/>
  <c r="N13" i="30"/>
  <c r="N413" i="30"/>
  <c r="N69" i="30"/>
  <c r="N251" i="30"/>
  <c r="N338" i="30"/>
  <c r="N393" i="30"/>
  <c r="N301" i="30"/>
  <c r="N285" i="30"/>
  <c r="N379" i="30"/>
  <c r="N29" i="30"/>
  <c r="N340" i="30"/>
  <c r="N372" i="30"/>
  <c r="N290" i="30"/>
  <c r="N406" i="30"/>
  <c r="N284" i="30"/>
  <c r="N45" i="30"/>
  <c r="N247" i="30"/>
  <c r="N47" i="30"/>
  <c r="N105" i="30"/>
  <c r="N296" i="30"/>
  <c r="N36" i="30"/>
  <c r="N325" i="30"/>
  <c r="N99" i="30"/>
  <c r="N41" i="30"/>
  <c r="N93" i="30"/>
  <c r="N317" i="30"/>
  <c r="N144" i="30"/>
  <c r="N156" i="30"/>
  <c r="N102" i="30"/>
  <c r="N2" i="30"/>
  <c r="N263" i="30"/>
  <c r="N419" i="30"/>
  <c r="N297" i="30"/>
  <c r="N313" i="30"/>
  <c r="N147" i="30"/>
  <c r="N319" i="30"/>
  <c r="N14" i="30"/>
  <c r="N374" i="30"/>
  <c r="N402" i="30"/>
  <c r="N298" i="30"/>
  <c r="N274" i="30"/>
  <c r="N282" i="30"/>
  <c r="N87" i="30"/>
  <c r="N323" i="30"/>
  <c r="N287" i="30"/>
  <c r="N131" i="30"/>
  <c r="N65" i="30"/>
  <c r="N64" i="30"/>
  <c r="N9" i="30"/>
  <c r="N266" i="30"/>
  <c r="N365" i="30"/>
  <c r="N151" i="30"/>
  <c r="N363" i="30"/>
  <c r="N373" i="30"/>
  <c r="N362" i="30"/>
  <c r="N412" i="30"/>
  <c r="N350" i="30"/>
  <c r="N67" i="30"/>
  <c r="N259" i="30"/>
  <c r="N244" i="30"/>
  <c r="N94" i="30"/>
  <c r="N370" i="30"/>
  <c r="N145" i="30"/>
  <c r="N138" i="30"/>
  <c r="N355" i="30"/>
  <c r="N267" i="30"/>
  <c r="N71" i="30"/>
  <c r="N137" i="30"/>
  <c r="N343" i="30"/>
  <c r="N361" i="30"/>
  <c r="N112" i="30"/>
  <c r="N351" i="30"/>
  <c r="N246" i="30"/>
  <c r="N389" i="30"/>
  <c r="N89" i="30"/>
  <c r="N387" i="30"/>
  <c r="N306" i="30"/>
  <c r="N311" i="30"/>
  <c r="N395" i="30"/>
  <c r="N344" i="30"/>
  <c r="N403" i="30"/>
  <c r="N107" i="30"/>
  <c r="N353" i="30"/>
  <c r="N330" i="30"/>
  <c r="N98" i="30"/>
  <c r="N57" i="30"/>
  <c r="N383" i="30"/>
  <c r="N258" i="30"/>
  <c r="N292" i="30"/>
  <c r="N106" i="30"/>
  <c r="N136" i="30"/>
  <c r="N59" i="30"/>
  <c r="N345" i="30"/>
  <c r="N75" i="30"/>
  <c r="N308" i="30"/>
  <c r="N39" i="30"/>
  <c r="N336" i="30"/>
  <c r="N250" i="30"/>
  <c r="N256" i="30"/>
  <c r="N124" i="30"/>
  <c r="N51" i="30"/>
  <c r="N38" i="30"/>
  <c r="N133" i="30"/>
  <c r="N276" i="30"/>
  <c r="N272" i="30"/>
  <c r="N305" i="30"/>
  <c r="N275" i="30"/>
  <c r="N49" i="30"/>
  <c r="N327" i="30"/>
  <c r="N378" i="30"/>
  <c r="N117" i="30"/>
  <c r="N23" i="30"/>
  <c r="N375" i="30"/>
  <c r="N35" i="30"/>
  <c r="N245" i="30"/>
  <c r="N153" i="30"/>
  <c r="N25" i="30"/>
  <c r="N8" i="30"/>
  <c r="N17" i="30"/>
  <c r="N371" i="30"/>
  <c r="N100" i="30"/>
  <c r="N143" i="30"/>
  <c r="N254" i="30"/>
  <c r="N283" i="30"/>
  <c r="N150" i="30"/>
  <c r="N146" i="30"/>
  <c r="N148" i="30"/>
  <c r="N288" i="30"/>
  <c r="N142" i="30"/>
  <c r="N339" i="30"/>
  <c r="N268" i="30"/>
  <c r="N152" i="30"/>
  <c r="N291" i="30"/>
  <c r="N101" i="30"/>
  <c r="N115" i="30"/>
  <c r="N356" i="30"/>
  <c r="N398" i="30"/>
  <c r="N157" i="30"/>
  <c r="N70" i="30"/>
  <c r="N278" i="30"/>
  <c r="N141" i="30"/>
  <c r="N384" i="30"/>
  <c r="N342" i="30"/>
  <c r="N265" i="30"/>
  <c r="N324" i="30"/>
  <c r="N320" i="30"/>
  <c r="N417" i="30"/>
  <c r="N381" i="30"/>
  <c r="N154" i="30"/>
  <c r="N279" i="30"/>
  <c r="N7" i="30"/>
  <c r="N385" i="30"/>
  <c r="N329" i="30"/>
  <c r="N81" i="30"/>
  <c r="N376" i="30"/>
  <c r="N347" i="30"/>
  <c r="N307" i="30"/>
  <c r="N159" i="30"/>
  <c r="N113" i="30"/>
  <c r="N96" i="30"/>
  <c r="N332" i="30"/>
  <c r="N249" i="30"/>
  <c r="N37" i="30"/>
  <c r="N354" i="30"/>
  <c r="N281" i="30"/>
  <c r="N326" i="30"/>
  <c r="N300" i="30"/>
  <c r="N27" i="30"/>
  <c r="N16" i="30"/>
  <c r="N91" i="30"/>
  <c r="N90" i="30"/>
  <c r="N92" i="30"/>
  <c r="N322" i="30"/>
  <c r="N358" i="30"/>
  <c r="N399" i="30"/>
  <c r="N273" i="30"/>
  <c r="N357" i="30"/>
  <c r="N409" i="30"/>
  <c r="N80" i="30"/>
  <c r="N289" i="30"/>
  <c r="N114" i="30"/>
  <c r="N63" i="30"/>
  <c r="N56" i="30"/>
  <c r="N349" i="30"/>
  <c r="N407" i="30"/>
  <c r="N44" i="30"/>
  <c r="N318" i="30"/>
  <c r="N135" i="30"/>
  <c r="N316" i="30"/>
  <c r="N392" i="30"/>
  <c r="N309" i="30"/>
  <c r="N134" i="30"/>
  <c r="N40" i="30"/>
  <c r="N299" i="30"/>
  <c r="N123" i="30"/>
  <c r="N30" i="30"/>
  <c r="N79" i="30"/>
  <c r="N155" i="30"/>
  <c r="N125" i="30"/>
  <c r="N83" i="30"/>
  <c r="N333" i="30"/>
  <c r="N420" i="30"/>
  <c r="N252" i="30"/>
  <c r="N88" i="30"/>
  <c r="N33" i="30"/>
  <c r="N408" i="30"/>
  <c r="N34" i="30"/>
  <c r="N341" i="30"/>
  <c r="N103" i="30"/>
  <c r="N270" i="30"/>
  <c r="N348" i="30"/>
  <c r="N127" i="30"/>
  <c r="N304" i="30"/>
  <c r="N302" i="30"/>
  <c r="N380" i="30"/>
  <c r="N271" i="30"/>
  <c r="N248" i="30"/>
  <c r="N310" i="30"/>
  <c r="N54" i="30"/>
  <c r="N60" i="30"/>
  <c r="N418" i="30"/>
  <c r="N367" i="30"/>
  <c r="N377" i="30"/>
  <c r="N335" i="30"/>
  <c r="N130" i="30"/>
  <c r="N86" i="30"/>
  <c r="N253" i="30"/>
  <c r="N95" i="30"/>
  <c r="N118" i="30"/>
  <c r="N360" i="30"/>
  <c r="N334" i="30"/>
  <c r="N405" i="30"/>
  <c r="N76" i="30"/>
  <c r="N61" i="30"/>
  <c r="N386" i="30"/>
  <c r="N66" i="30"/>
  <c r="N3" i="30"/>
  <c r="N97" i="30"/>
  <c r="N46" i="30"/>
  <c r="N411" i="30"/>
  <c r="N293" i="30"/>
  <c r="N337" i="30"/>
  <c r="N277" i="30"/>
  <c r="R360" i="30"/>
  <c r="R361" i="30"/>
  <c r="R359" i="30"/>
  <c r="Q361" i="30"/>
  <c r="Q359" i="30"/>
  <c r="Q360" i="30"/>
  <c r="R67" i="30"/>
  <c r="Q63" i="30"/>
  <c r="R66" i="30"/>
  <c r="Q62" i="30"/>
  <c r="R75" i="30"/>
  <c r="Q61" i="30"/>
  <c r="R60" i="30"/>
  <c r="R68" i="30"/>
  <c r="Q66" i="30"/>
  <c r="R63" i="30"/>
  <c r="R80" i="30"/>
  <c r="Q73" i="30"/>
  <c r="Q67" i="30"/>
  <c r="Q74" i="30"/>
  <c r="Q59" i="30"/>
  <c r="Q71" i="30"/>
  <c r="Q72" i="30"/>
  <c r="Q79" i="30"/>
  <c r="Q76" i="30"/>
  <c r="Q65" i="30"/>
  <c r="Q64" i="30"/>
  <c r="Q80" i="30"/>
  <c r="R79" i="30"/>
  <c r="R62" i="30"/>
  <c r="Q77" i="30"/>
  <c r="R64" i="30"/>
  <c r="R74" i="30"/>
  <c r="R70" i="30"/>
  <c r="R76" i="30"/>
  <c r="Q70" i="30"/>
  <c r="R61" i="30"/>
  <c r="R77" i="30"/>
  <c r="R65" i="30"/>
  <c r="Q69" i="30"/>
  <c r="R71" i="30"/>
  <c r="Q68" i="30"/>
  <c r="Q60" i="30"/>
  <c r="Q78" i="30"/>
  <c r="R59" i="30"/>
  <c r="R72" i="30"/>
  <c r="R78" i="30"/>
  <c r="R73" i="30"/>
  <c r="Q75" i="30"/>
  <c r="R69" i="30"/>
  <c r="Q88" i="30"/>
  <c r="Q96" i="30"/>
  <c r="Q92" i="30"/>
  <c r="Q89" i="30"/>
  <c r="Q93" i="30"/>
  <c r="Q97" i="30"/>
  <c r="Q87" i="30"/>
  <c r="Q104" i="30"/>
  <c r="Q101" i="30"/>
  <c r="Q105" i="30"/>
  <c r="Q100" i="30"/>
  <c r="Q99" i="30"/>
  <c r="R103" i="30"/>
  <c r="R87" i="30"/>
  <c r="R91" i="30"/>
  <c r="R99" i="30"/>
  <c r="R95" i="30"/>
  <c r="Q95" i="30"/>
  <c r="R100" i="30"/>
  <c r="R92" i="30"/>
  <c r="R88" i="30"/>
  <c r="R104" i="30"/>
  <c r="R96" i="30"/>
  <c r="Q103" i="30"/>
  <c r="R97" i="30"/>
  <c r="R93" i="30"/>
  <c r="R89" i="30"/>
  <c r="R105" i="30"/>
  <c r="R101" i="30"/>
  <c r="Q91" i="30"/>
  <c r="P295" i="30"/>
  <c r="V323" i="30" s="1"/>
  <c r="R304" i="30"/>
  <c r="P300" i="30"/>
  <c r="V328" i="30" s="1"/>
  <c r="Q303" i="30"/>
  <c r="P301" i="30"/>
  <c r="V329" i="30" s="1"/>
  <c r="Q305" i="30"/>
  <c r="R305" i="30"/>
  <c r="Q304" i="30"/>
  <c r="P299" i="30"/>
  <c r="V327" i="30" s="1"/>
  <c r="P298" i="30"/>
  <c r="V326" i="30" s="1"/>
  <c r="R303" i="30"/>
  <c r="P297" i="30"/>
  <c r="V325" i="30" s="1"/>
  <c r="P296" i="30"/>
  <c r="V324" i="30" s="1"/>
  <c r="P282" i="30"/>
  <c r="V310" i="30" s="1"/>
  <c r="P293" i="30"/>
  <c r="V321" i="30" s="1"/>
  <c r="P289" i="30"/>
  <c r="V317" i="30" s="1"/>
  <c r="P283" i="30"/>
  <c r="V311" i="30" s="1"/>
  <c r="P280" i="30"/>
  <c r="V308" i="30" s="1"/>
  <c r="P294" i="30"/>
  <c r="V322" i="30" s="1"/>
  <c r="P285" i="30"/>
  <c r="V313" i="30" s="1"/>
  <c r="P281" i="30"/>
  <c r="V309" i="30" s="1"/>
  <c r="P288" i="30"/>
  <c r="V316" i="30" s="1"/>
  <c r="P286" i="30"/>
  <c r="V314" i="30" s="1"/>
  <c r="P287" i="30"/>
  <c r="V315" i="30" s="1"/>
  <c r="P290" i="30"/>
  <c r="V318" i="30" s="1"/>
  <c r="P292" i="30"/>
  <c r="V320" i="30" s="1"/>
  <c r="P284" i="30"/>
  <c r="V312" i="30" s="1"/>
  <c r="P37" i="30"/>
  <c r="Z37" i="30" s="1"/>
  <c r="P50" i="30"/>
  <c r="Z50" i="30" s="1"/>
  <c r="P49" i="30"/>
  <c r="Z49" i="30" s="1"/>
  <c r="P30" i="30"/>
  <c r="Z30" i="30" s="1"/>
  <c r="P48" i="30"/>
  <c r="Z48" i="30" s="1"/>
  <c r="P40" i="30"/>
  <c r="Z40" i="30" s="1"/>
  <c r="P42" i="30"/>
  <c r="Z42" i="30" s="1"/>
  <c r="P33" i="30"/>
  <c r="Z33" i="30" s="1"/>
  <c r="P47" i="30"/>
  <c r="Z47" i="30" s="1"/>
  <c r="P34" i="30"/>
  <c r="Z34" i="30" s="1"/>
  <c r="P39" i="30"/>
  <c r="Z39" i="30" s="1"/>
  <c r="P44" i="30"/>
  <c r="Z44" i="30" s="1"/>
  <c r="P35" i="30"/>
  <c r="Z35" i="30" s="1"/>
  <c r="P46" i="30"/>
  <c r="Z46" i="30" s="1"/>
  <c r="P31" i="30"/>
  <c r="Z31" i="30" s="1"/>
  <c r="P38" i="30"/>
  <c r="Z38" i="30" s="1"/>
  <c r="P45" i="30"/>
  <c r="Z45" i="30" s="1"/>
  <c r="P36" i="30"/>
  <c r="Z36" i="30" s="1"/>
  <c r="P51" i="30"/>
  <c r="Z51" i="30" s="1"/>
  <c r="P32" i="30"/>
  <c r="Z32" i="30" s="1"/>
  <c r="P43" i="30"/>
  <c r="Z43" i="30" s="1"/>
  <c r="P4" i="30"/>
  <c r="Z4" i="30" s="1"/>
  <c r="P5" i="30"/>
  <c r="Z5" i="30" s="1"/>
  <c r="P3" i="30"/>
  <c r="Z3" i="30" s="1"/>
  <c r="P53" i="30"/>
  <c r="P11" i="30"/>
  <c r="Z11" i="30" s="1"/>
  <c r="P16" i="30"/>
  <c r="Z16" i="30" s="1"/>
  <c r="P6" i="30"/>
  <c r="Z6" i="30" s="1"/>
  <c r="P22" i="30"/>
  <c r="Z22" i="30" s="1"/>
  <c r="P18" i="30"/>
  <c r="Z18" i="30" s="1"/>
  <c r="P10" i="30"/>
  <c r="Z10" i="30" s="1"/>
  <c r="P21" i="30"/>
  <c r="Z21" i="30" s="1"/>
  <c r="P17" i="30"/>
  <c r="Z17" i="30" s="1"/>
  <c r="P9" i="30"/>
  <c r="Z9" i="30" s="1"/>
  <c r="P14" i="30"/>
  <c r="Z14" i="30" s="1"/>
  <c r="P8" i="30"/>
  <c r="Z8" i="30" s="1"/>
  <c r="P20" i="30"/>
  <c r="Z20" i="30" s="1"/>
  <c r="P23" i="30"/>
  <c r="Z23" i="30" s="1"/>
  <c r="P19" i="30"/>
  <c r="Z19" i="30" s="1"/>
  <c r="P15" i="30"/>
  <c r="Z15" i="30" s="1"/>
  <c r="P7" i="30"/>
  <c r="Z7" i="30" s="1"/>
  <c r="P12" i="30"/>
  <c r="Z12" i="30" s="1"/>
  <c r="P2" i="30"/>
  <c r="Q56" i="30"/>
  <c r="R56" i="30"/>
  <c r="A72" i="20"/>
  <c r="Q25" i="30"/>
  <c r="Q27" i="30"/>
  <c r="R26" i="30"/>
  <c r="Q26" i="30"/>
  <c r="R25" i="30"/>
  <c r="R27" i="30"/>
  <c r="AB392" i="30" l="1"/>
  <c r="X72" i="20"/>
  <c r="AB72" i="20"/>
  <c r="H72" i="20"/>
  <c r="L72" i="20"/>
  <c r="P72" i="20"/>
  <c r="T72" i="20"/>
  <c r="AB377" i="30"/>
  <c r="AB378" i="30"/>
  <c r="AB379" i="30"/>
  <c r="AB372" i="30"/>
  <c r="AB373" i="30"/>
  <c r="AB374" i="30"/>
  <c r="AB376" i="30"/>
  <c r="AB375" i="30"/>
  <c r="AB369" i="30"/>
  <c r="AB370" i="30"/>
  <c r="AB371" i="30"/>
  <c r="AB364" i="30"/>
  <c r="AB365" i="30"/>
  <c r="AB368" i="30"/>
  <c r="AB366" i="30"/>
  <c r="AB367" i="30"/>
  <c r="AB381" i="30"/>
  <c r="AB389" i="30"/>
  <c r="AB382" i="30"/>
  <c r="AB390" i="30"/>
  <c r="AB383" i="30"/>
  <c r="AB391" i="30"/>
  <c r="AB384" i="30"/>
  <c r="AB380" i="30"/>
  <c r="AB385" i="30"/>
  <c r="AB386" i="30"/>
  <c r="AB387" i="30"/>
  <c r="AB388" i="30"/>
  <c r="R84" i="30"/>
  <c r="AA41" i="30"/>
  <c r="Z2" i="30"/>
  <c r="Z54" i="30"/>
  <c r="Z53" i="30"/>
  <c r="Z55" i="30"/>
  <c r="P338" i="30"/>
  <c r="Z338" i="30" s="1"/>
  <c r="P346" i="30"/>
  <c r="Z346" i="30" s="1"/>
  <c r="P336" i="30"/>
  <c r="P345" i="30"/>
  <c r="Z345" i="30" s="1"/>
  <c r="P347" i="30"/>
  <c r="Z347" i="30" s="1"/>
  <c r="P341" i="30"/>
  <c r="Z341" i="30" s="1"/>
  <c r="P343" i="30"/>
  <c r="Z343" i="30" s="1"/>
  <c r="P340" i="30"/>
  <c r="P344" i="30"/>
  <c r="Z344" i="30" s="1"/>
  <c r="P339" i="30"/>
  <c r="Z339" i="30" s="1"/>
  <c r="P342" i="30"/>
  <c r="Z342" i="30" s="1"/>
  <c r="P337" i="30"/>
  <c r="Z337" i="30" s="1"/>
  <c r="J39" i="20"/>
  <c r="Z31" i="20"/>
  <c r="J2" i="20"/>
  <c r="Z71" i="20"/>
  <c r="J71" i="20"/>
  <c r="AD71" i="20"/>
  <c r="N71" i="20"/>
  <c r="J46" i="20"/>
  <c r="N52" i="20"/>
  <c r="AD12" i="20"/>
  <c r="S89" i="30"/>
  <c r="X89" i="30" s="1"/>
  <c r="T89" i="30"/>
  <c r="S104" i="30"/>
  <c r="X104" i="30" s="1"/>
  <c r="T104" i="30"/>
  <c r="S99" i="30"/>
  <c r="X99" i="30" s="1"/>
  <c r="T99" i="30"/>
  <c r="U99" i="30" s="1"/>
  <c r="S96" i="30"/>
  <c r="X96" i="30" s="1"/>
  <c r="T96" i="30"/>
  <c r="S97" i="30"/>
  <c r="X97" i="30" s="1"/>
  <c r="T97" i="30"/>
  <c r="S88" i="30"/>
  <c r="X88" i="30" s="1"/>
  <c r="T88" i="30"/>
  <c r="S91" i="30"/>
  <c r="X91" i="30" s="1"/>
  <c r="T91" i="30"/>
  <c r="S95" i="30"/>
  <c r="X95" i="30" s="1"/>
  <c r="T95" i="30"/>
  <c r="S92" i="30"/>
  <c r="X92" i="30" s="1"/>
  <c r="T92" i="30"/>
  <c r="S87" i="30"/>
  <c r="X87" i="30" s="1"/>
  <c r="T87" i="30"/>
  <c r="S105" i="30"/>
  <c r="X105" i="30" s="1"/>
  <c r="T105" i="30"/>
  <c r="S100" i="30"/>
  <c r="X100" i="30" s="1"/>
  <c r="T100" i="30"/>
  <c r="S103" i="30"/>
  <c r="X103" i="30" s="1"/>
  <c r="T103" i="30"/>
  <c r="U103" i="30" s="1"/>
  <c r="S93" i="30"/>
  <c r="X93" i="30" s="1"/>
  <c r="T93" i="30"/>
  <c r="S101" i="30"/>
  <c r="X101" i="30" s="1"/>
  <c r="T101" i="30"/>
  <c r="Q90" i="30"/>
  <c r="AD43" i="30" s="1"/>
  <c r="Q102" i="30"/>
  <c r="Q94" i="30"/>
  <c r="Q106" i="30"/>
  <c r="Q98" i="30"/>
  <c r="V71" i="20"/>
  <c r="R71" i="20"/>
  <c r="B53" i="20"/>
  <c r="AG355" i="30"/>
  <c r="AG347" i="30"/>
  <c r="AG358" i="30"/>
  <c r="AG352" i="30"/>
  <c r="AG342" i="30"/>
  <c r="AG345" i="30"/>
  <c r="AG353" i="30"/>
  <c r="AG341" i="30"/>
  <c r="AG344" i="30"/>
  <c r="AG343" i="30"/>
  <c r="AG339" i="30"/>
  <c r="AG354" i="30"/>
  <c r="AG351" i="30"/>
  <c r="AG337" i="30"/>
  <c r="AG338" i="30"/>
  <c r="B13" i="20"/>
  <c r="B84" i="20"/>
  <c r="R362" i="30"/>
  <c r="Q362" i="30"/>
  <c r="P350" i="30"/>
  <c r="Z350" i="30" s="1"/>
  <c r="P357" i="30"/>
  <c r="Z357" i="30" s="1"/>
  <c r="P355" i="30"/>
  <c r="Z355" i="30" s="1"/>
  <c r="P352" i="30"/>
  <c r="Z352" i="30" s="1"/>
  <c r="P356" i="30"/>
  <c r="Z356" i="30" s="1"/>
  <c r="P351" i="30"/>
  <c r="Z351" i="30" s="1"/>
  <c r="P353" i="30"/>
  <c r="Z353" i="30" s="1"/>
  <c r="P358" i="30"/>
  <c r="Z358" i="30" s="1"/>
  <c r="P348" i="30"/>
  <c r="P349" i="30"/>
  <c r="Z349" i="30" s="1"/>
  <c r="P354" i="30"/>
  <c r="Z354" i="30" s="1"/>
  <c r="P67" i="30"/>
  <c r="Z67" i="30" s="1"/>
  <c r="P71" i="30"/>
  <c r="Z71" i="30" s="1"/>
  <c r="P73" i="30"/>
  <c r="Z73" i="30" s="1"/>
  <c r="P63" i="30"/>
  <c r="Z63" i="30" s="1"/>
  <c r="P75" i="30"/>
  <c r="Z75" i="30" s="1"/>
  <c r="P76" i="30"/>
  <c r="Z76" i="30" s="1"/>
  <c r="P65" i="30"/>
  <c r="Z65" i="30" s="1"/>
  <c r="P70" i="30"/>
  <c r="Z70" i="30" s="1"/>
  <c r="P60" i="30"/>
  <c r="Z60" i="30" s="1"/>
  <c r="P66" i="30"/>
  <c r="Z66" i="30" s="1"/>
  <c r="P72" i="30"/>
  <c r="Z72" i="30" s="1"/>
  <c r="P61" i="30"/>
  <c r="Z61" i="30" s="1"/>
  <c r="P69" i="30"/>
  <c r="Z69" i="30" s="1"/>
  <c r="P59" i="30"/>
  <c r="Z59" i="30" s="1"/>
  <c r="P79" i="30"/>
  <c r="Z79" i="30" s="1"/>
  <c r="P77" i="30"/>
  <c r="Z77" i="30" s="1"/>
  <c r="P64" i="30"/>
  <c r="Z64" i="30" s="1"/>
  <c r="P74" i="30"/>
  <c r="Z74" i="30" s="1"/>
  <c r="P62" i="30"/>
  <c r="Z62" i="30" s="1"/>
  <c r="P68" i="30"/>
  <c r="Z68" i="30" s="1"/>
  <c r="P78" i="30"/>
  <c r="Z78" i="30" s="1"/>
  <c r="P80" i="30"/>
  <c r="Z80" i="30" s="1"/>
  <c r="J92" i="20"/>
  <c r="Z284" i="30"/>
  <c r="Z292" i="30"/>
  <c r="Z280" i="30"/>
  <c r="AG349" i="30"/>
  <c r="AG357" i="30"/>
  <c r="AG356" i="30"/>
  <c r="AG350" i="30"/>
  <c r="AG346" i="30"/>
  <c r="Z298" i="30"/>
  <c r="Z293" i="30"/>
  <c r="Z299" i="30"/>
  <c r="Z287" i="30"/>
  <c r="Z285" i="30"/>
  <c r="Z282" i="30"/>
  <c r="Z288" i="30"/>
  <c r="Z290" i="30"/>
  <c r="Z281" i="30"/>
  <c r="Z289" i="30"/>
  <c r="Z302" i="30"/>
  <c r="Z300" i="30"/>
  <c r="Z286" i="30"/>
  <c r="Z296" i="30"/>
  <c r="Z283" i="30"/>
  <c r="Z301" i="30"/>
  <c r="Z294" i="30"/>
  <c r="Z291" i="30"/>
  <c r="Z297" i="30"/>
  <c r="Z295" i="30"/>
  <c r="R306" i="30"/>
  <c r="P304" i="30"/>
  <c r="V332" i="30" s="1"/>
  <c r="Q306" i="30"/>
  <c r="P303" i="30"/>
  <c r="V331" i="30" s="1"/>
  <c r="P305" i="30"/>
  <c r="V333" i="30" s="1"/>
  <c r="AG348" i="30"/>
  <c r="AG336" i="30"/>
  <c r="AG340" i="30"/>
  <c r="P82" i="30"/>
  <c r="P81" i="30"/>
  <c r="P83" i="30"/>
  <c r="J40" i="20"/>
  <c r="P26" i="30"/>
  <c r="P25" i="30"/>
  <c r="P27" i="30"/>
  <c r="P56" i="30"/>
  <c r="AG55" i="30" s="1"/>
  <c r="A73" i="20"/>
  <c r="R28" i="30"/>
  <c r="Q28" i="30"/>
  <c r="V97" i="30"/>
  <c r="V92" i="30"/>
  <c r="AA38" i="30"/>
  <c r="V96" i="30"/>
  <c r="V89" i="30"/>
  <c r="V88" i="30"/>
  <c r="V93" i="30"/>
  <c r="AD392" i="30" l="1"/>
  <c r="AE392" i="30"/>
  <c r="Z26" i="30"/>
  <c r="Z83" i="30"/>
  <c r="Z27" i="30"/>
  <c r="Z82" i="30"/>
  <c r="Z56" i="30"/>
  <c r="AE45" i="30" s="1"/>
  <c r="Z25" i="30"/>
  <c r="H84" i="20"/>
  <c r="J84" i="20" s="1"/>
  <c r="P84" i="20"/>
  <c r="X84" i="20"/>
  <c r="Z84" i="20" s="1"/>
  <c r="T84" i="20"/>
  <c r="V84" i="20" s="1"/>
  <c r="L84" i="20"/>
  <c r="N84" i="20" s="1"/>
  <c r="AB84" i="20"/>
  <c r="AD84" i="20" s="1"/>
  <c r="X73" i="20"/>
  <c r="Z73" i="20" s="1"/>
  <c r="AB73" i="20"/>
  <c r="AD73" i="20" s="1"/>
  <c r="H73" i="20"/>
  <c r="J73" i="20" s="1"/>
  <c r="L73" i="20"/>
  <c r="N73" i="20" s="1"/>
  <c r="P73" i="20"/>
  <c r="R73" i="20" s="1"/>
  <c r="T73" i="20"/>
  <c r="V73" i="20" s="1"/>
  <c r="B54" i="20"/>
  <c r="B55" i="20" s="1"/>
  <c r="H53" i="20"/>
  <c r="J53" i="20" s="1"/>
  <c r="AB53" i="20"/>
  <c r="X53" i="20"/>
  <c r="T53" i="20"/>
  <c r="P53" i="20"/>
  <c r="L53" i="20"/>
  <c r="B14" i="20"/>
  <c r="B15" i="20" s="1"/>
  <c r="AB13" i="20"/>
  <c r="H13" i="20"/>
  <c r="J13" i="20" s="1"/>
  <c r="X13" i="20"/>
  <c r="P13" i="20"/>
  <c r="L13" i="20"/>
  <c r="T13" i="20"/>
  <c r="U88" i="30"/>
  <c r="U104" i="30"/>
  <c r="U101" i="30"/>
  <c r="U100" i="30"/>
  <c r="U89" i="30"/>
  <c r="U105" i="30"/>
  <c r="AD380" i="30"/>
  <c r="AE380" i="30"/>
  <c r="AD367" i="30"/>
  <c r="AE367" i="30"/>
  <c r="AD375" i="30"/>
  <c r="AE375" i="30"/>
  <c r="AD384" i="30"/>
  <c r="AE384" i="30"/>
  <c r="AD366" i="30"/>
  <c r="AE366" i="30"/>
  <c r="AE376" i="30"/>
  <c r="AD376" i="30"/>
  <c r="AD383" i="30"/>
  <c r="AE383" i="30"/>
  <c r="AD365" i="30"/>
  <c r="AE365" i="30"/>
  <c r="AD373" i="30"/>
  <c r="AE373" i="30"/>
  <c r="AD391" i="30"/>
  <c r="AE391" i="30"/>
  <c r="AD368" i="30"/>
  <c r="AE368" i="30"/>
  <c r="AE388" i="30"/>
  <c r="AD388" i="30"/>
  <c r="AE390" i="30"/>
  <c r="AD390" i="30"/>
  <c r="AD364" i="30"/>
  <c r="AE364" i="30"/>
  <c r="AD372" i="30"/>
  <c r="AE372" i="30"/>
  <c r="AE374" i="30"/>
  <c r="AD374" i="30"/>
  <c r="AE387" i="30"/>
  <c r="AD387" i="30"/>
  <c r="AE382" i="30"/>
  <c r="AD382" i="30"/>
  <c r="AD371" i="30"/>
  <c r="AE371" i="30"/>
  <c r="AD379" i="30"/>
  <c r="AE379" i="30"/>
  <c r="AD386" i="30"/>
  <c r="AE386" i="30"/>
  <c r="AE389" i="30"/>
  <c r="AD389" i="30"/>
  <c r="AD370" i="30"/>
  <c r="AE370" i="30"/>
  <c r="AD378" i="30"/>
  <c r="AE378" i="30"/>
  <c r="AD385" i="30"/>
  <c r="AE385" i="30"/>
  <c r="AE381" i="30"/>
  <c r="AD381" i="30"/>
  <c r="AE369" i="30"/>
  <c r="AD369" i="30"/>
  <c r="AD377" i="30"/>
  <c r="AE377" i="30"/>
  <c r="AG359" i="30"/>
  <c r="N64" i="20"/>
  <c r="R64" i="20"/>
  <c r="AD64" i="20"/>
  <c r="P84" i="30"/>
  <c r="Z81" i="30"/>
  <c r="AG361" i="30"/>
  <c r="AG360" i="30"/>
  <c r="AA42" i="30"/>
  <c r="AC352" i="30"/>
  <c r="AE352" i="30" s="1"/>
  <c r="AC355" i="30"/>
  <c r="AE355" i="30" s="1"/>
  <c r="AC354" i="30"/>
  <c r="AE354" i="30" s="1"/>
  <c r="AC357" i="30"/>
  <c r="AE357" i="30" s="1"/>
  <c r="AC349" i="30"/>
  <c r="AE349" i="30" s="1"/>
  <c r="AC353" i="30"/>
  <c r="AE353" i="30" s="1"/>
  <c r="AC350" i="30"/>
  <c r="AE350" i="30" s="1"/>
  <c r="AC351" i="30"/>
  <c r="AE351" i="30" s="1"/>
  <c r="AC356" i="30"/>
  <c r="AE356" i="30" s="1"/>
  <c r="AC358" i="30"/>
  <c r="AE358" i="30" s="1"/>
  <c r="U93" i="30"/>
  <c r="U91" i="30"/>
  <c r="U92" i="30"/>
  <c r="AC347" i="30"/>
  <c r="AE347" i="30" s="1"/>
  <c r="AC342" i="30"/>
  <c r="AE342" i="30" s="1"/>
  <c r="AC344" i="30"/>
  <c r="AE344" i="30" s="1"/>
  <c r="AC346" i="30"/>
  <c r="AE346" i="30" s="1"/>
  <c r="AC341" i="30"/>
  <c r="AE341" i="30" s="1"/>
  <c r="AC343" i="30"/>
  <c r="AE343" i="30" s="1"/>
  <c r="AC345" i="30"/>
  <c r="AE345" i="30" s="1"/>
  <c r="AC337" i="30"/>
  <c r="AE337" i="30" s="1"/>
  <c r="AC339" i="30"/>
  <c r="AE339" i="30" s="1"/>
  <c r="AC338" i="30"/>
  <c r="AE338" i="30" s="1"/>
  <c r="U97" i="30"/>
  <c r="U95" i="30"/>
  <c r="U96" i="30"/>
  <c r="X90" i="30"/>
  <c r="N83" i="20"/>
  <c r="V63" i="20"/>
  <c r="Z83" i="20"/>
  <c r="N91" i="20"/>
  <c r="J52" i="20"/>
  <c r="R91" i="20"/>
  <c r="N31" i="20"/>
  <c r="AD91" i="20"/>
  <c r="R31" i="20"/>
  <c r="Z91" i="20"/>
  <c r="AD31" i="20"/>
  <c r="V91" i="20"/>
  <c r="AD83" i="20"/>
  <c r="V83" i="20"/>
  <c r="AD63" i="20"/>
  <c r="R83" i="20"/>
  <c r="Z63" i="20"/>
  <c r="V31" i="20"/>
  <c r="J83" i="20"/>
  <c r="N63" i="20"/>
  <c r="R63" i="20"/>
  <c r="J63" i="20"/>
  <c r="J12" i="20"/>
  <c r="J91" i="20"/>
  <c r="X98" i="30"/>
  <c r="J47" i="20"/>
  <c r="Z12" i="20"/>
  <c r="J72" i="20"/>
  <c r="AD52" i="20"/>
  <c r="AD72" i="20"/>
  <c r="J3" i="20"/>
  <c r="Z72" i="20"/>
  <c r="V72" i="20"/>
  <c r="R72" i="20"/>
  <c r="N72" i="20"/>
  <c r="N12" i="20"/>
  <c r="Z52" i="20"/>
  <c r="U87" i="30"/>
  <c r="X94" i="30"/>
  <c r="AG56" i="30" s="1"/>
  <c r="X106" i="30"/>
  <c r="X102" i="30"/>
  <c r="R52" i="20"/>
  <c r="V12" i="20"/>
  <c r="V52" i="20"/>
  <c r="R12" i="20"/>
  <c r="B85" i="20"/>
  <c r="P359" i="30"/>
  <c r="Z359" i="30" s="1"/>
  <c r="P360" i="30"/>
  <c r="Z360" i="30" s="1"/>
  <c r="P361" i="30"/>
  <c r="Z361" i="30" s="1"/>
  <c r="Z336" i="30"/>
  <c r="Z340" i="30"/>
  <c r="Z348" i="30"/>
  <c r="Z305" i="30"/>
  <c r="Z304" i="30"/>
  <c r="Z303" i="30"/>
  <c r="P306" i="30"/>
  <c r="J48" i="20"/>
  <c r="J4" i="20"/>
  <c r="J41" i="20"/>
  <c r="P364" i="30" s="1"/>
  <c r="J93" i="20"/>
  <c r="P28" i="30"/>
  <c r="AG53" i="30" s="1"/>
  <c r="A74" i="20"/>
  <c r="V104" i="30"/>
  <c r="V99" i="30"/>
  <c r="V100" i="30"/>
  <c r="AA39" i="30"/>
  <c r="V95" i="30"/>
  <c r="V105" i="30"/>
  <c r="AA40" i="30"/>
  <c r="V101" i="30"/>
  <c r="V103" i="30"/>
  <c r="V334" i="30" l="1"/>
  <c r="AI45" i="30"/>
  <c r="AG54" i="30"/>
  <c r="Z84" i="30"/>
  <c r="Z28" i="30"/>
  <c r="AE47" i="30" s="1"/>
  <c r="U90" i="30"/>
  <c r="T90" i="30" s="1"/>
  <c r="U102" i="30"/>
  <c r="T102" i="30" s="1"/>
  <c r="AB74" i="20"/>
  <c r="AD74" i="20" s="1"/>
  <c r="H74" i="20"/>
  <c r="J74" i="20" s="1"/>
  <c r="P74" i="20"/>
  <c r="R74" i="20" s="1"/>
  <c r="T74" i="20"/>
  <c r="V74" i="20" s="1"/>
  <c r="L74" i="20"/>
  <c r="N74" i="20" s="1"/>
  <c r="X74" i="20"/>
  <c r="Z74" i="20" s="1"/>
  <c r="T85" i="20"/>
  <c r="V85" i="20" s="1"/>
  <c r="AB85" i="20"/>
  <c r="AD85" i="20" s="1"/>
  <c r="H85" i="20"/>
  <c r="J85" i="20" s="1"/>
  <c r="X85" i="20"/>
  <c r="Z85" i="20" s="1"/>
  <c r="L85" i="20"/>
  <c r="N85" i="20" s="1"/>
  <c r="P85" i="20"/>
  <c r="H55" i="20"/>
  <c r="J55" i="20" s="1"/>
  <c r="AB55" i="20"/>
  <c r="AD55" i="20" s="1"/>
  <c r="T55" i="20"/>
  <c r="V55" i="20" s="1"/>
  <c r="P55" i="20"/>
  <c r="R55" i="20" s="1"/>
  <c r="L55" i="20"/>
  <c r="N55" i="20" s="1"/>
  <c r="X55" i="20"/>
  <c r="Z55" i="20" s="1"/>
  <c r="L54" i="20"/>
  <c r="N54" i="20" s="1"/>
  <c r="H54" i="20"/>
  <c r="J54" i="20" s="1"/>
  <c r="X54" i="20"/>
  <c r="Z54" i="20" s="1"/>
  <c r="AB54" i="20"/>
  <c r="AD54" i="20" s="1"/>
  <c r="T54" i="20"/>
  <c r="V54" i="20" s="1"/>
  <c r="P54" i="20"/>
  <c r="R54" i="20" s="1"/>
  <c r="X15" i="20"/>
  <c r="Z15" i="20" s="1"/>
  <c r="L15" i="20"/>
  <c r="H15" i="20"/>
  <c r="J15" i="20" s="1"/>
  <c r="AB15" i="20"/>
  <c r="AD15" i="20" s="1"/>
  <c r="T15" i="20"/>
  <c r="V15" i="20" s="1"/>
  <c r="P15" i="20"/>
  <c r="R15" i="20" s="1"/>
  <c r="P14" i="20"/>
  <c r="R14" i="20" s="1"/>
  <c r="H14" i="20"/>
  <c r="J14" i="20" s="1"/>
  <c r="T14" i="20"/>
  <c r="V14" i="20" s="1"/>
  <c r="L14" i="20"/>
  <c r="N14" i="20" s="1"/>
  <c r="X14" i="20"/>
  <c r="Z14" i="20" s="1"/>
  <c r="AB14" i="20"/>
  <c r="AD14" i="20" s="1"/>
  <c r="U106" i="30"/>
  <c r="AE46" i="30" s="1"/>
  <c r="N32" i="20"/>
  <c r="N92" i="20"/>
  <c r="AD32" i="20"/>
  <c r="AD92" i="20"/>
  <c r="P379" i="30"/>
  <c r="Z64" i="20"/>
  <c r="Z92" i="20"/>
  <c r="V32" i="20"/>
  <c r="V64" i="20"/>
  <c r="V92" i="20"/>
  <c r="R32" i="20"/>
  <c r="R92" i="20"/>
  <c r="R84" i="20"/>
  <c r="R53" i="20"/>
  <c r="R13" i="20"/>
  <c r="N53" i="20"/>
  <c r="N13" i="20"/>
  <c r="AD53" i="20"/>
  <c r="AD13" i="20"/>
  <c r="Z53" i="20"/>
  <c r="Z13" i="20"/>
  <c r="V53" i="20"/>
  <c r="V13" i="20"/>
  <c r="U98" i="30"/>
  <c r="T98" i="30" s="1"/>
  <c r="N65" i="20"/>
  <c r="R65" i="20"/>
  <c r="V65" i="20"/>
  <c r="Z65" i="20"/>
  <c r="AD65" i="20"/>
  <c r="N93" i="20"/>
  <c r="R93" i="20"/>
  <c r="V93" i="20"/>
  <c r="Z93" i="20"/>
  <c r="AD93" i="20"/>
  <c r="N34" i="20"/>
  <c r="R34" i="20"/>
  <c r="V34" i="20"/>
  <c r="Z34" i="20"/>
  <c r="AD34" i="20"/>
  <c r="N33" i="20"/>
  <c r="R33" i="20"/>
  <c r="V33" i="20"/>
  <c r="Z33" i="20"/>
  <c r="AD33" i="20"/>
  <c r="AG362" i="30"/>
  <c r="AC360" i="30"/>
  <c r="AE360" i="30" s="1"/>
  <c r="AC359" i="30"/>
  <c r="AE359" i="30" s="1"/>
  <c r="AC348" i="30"/>
  <c r="AE348" i="30" s="1"/>
  <c r="U94" i="30"/>
  <c r="T94" i="30" s="1"/>
  <c r="AC340" i="30"/>
  <c r="AE340" i="30" s="1"/>
  <c r="AC336" i="30"/>
  <c r="AE336" i="30" s="1"/>
  <c r="AI51" i="30"/>
  <c r="AE51" i="30"/>
  <c r="AA361" i="30"/>
  <c r="AC361" i="30" s="1"/>
  <c r="AE361" i="30" s="1"/>
  <c r="J31" i="20"/>
  <c r="Z32" i="20"/>
  <c r="B86" i="20"/>
  <c r="P362" i="30"/>
  <c r="B56" i="20"/>
  <c r="B16" i="20"/>
  <c r="J65" i="20"/>
  <c r="Z306" i="30"/>
  <c r="J32" i="20"/>
  <c r="J49" i="20"/>
  <c r="J5" i="20"/>
  <c r="A75" i="20"/>
  <c r="V102" i="30"/>
  <c r="V90" i="30"/>
  <c r="V87" i="30"/>
  <c r="V91" i="30"/>
  <c r="V94" i="30"/>
  <c r="V98" i="30"/>
  <c r="AI47" i="30" l="1"/>
  <c r="T106" i="30"/>
  <c r="AI46" i="30"/>
  <c r="P75" i="20"/>
  <c r="R75" i="20" s="1"/>
  <c r="T75" i="20"/>
  <c r="V75" i="20" s="1"/>
  <c r="H75" i="20"/>
  <c r="J75" i="20" s="1"/>
  <c r="X75" i="20"/>
  <c r="Z75" i="20" s="1"/>
  <c r="AB75" i="20"/>
  <c r="AD75" i="20" s="1"/>
  <c r="L75" i="20"/>
  <c r="N75" i="20" s="1"/>
  <c r="P86" i="20"/>
  <c r="R86" i="20" s="1"/>
  <c r="T86" i="20"/>
  <c r="V86" i="20" s="1"/>
  <c r="X86" i="20"/>
  <c r="Z86" i="20" s="1"/>
  <c r="H86" i="20"/>
  <c r="AB86" i="20"/>
  <c r="AD86" i="20" s="1"/>
  <c r="L86" i="20"/>
  <c r="N86" i="20" s="1"/>
  <c r="AB56" i="20"/>
  <c r="X56" i="20"/>
  <c r="Z56" i="20" s="1"/>
  <c r="L56" i="20"/>
  <c r="N56" i="20" s="1"/>
  <c r="H56" i="20"/>
  <c r="J56" i="20" s="1"/>
  <c r="P56" i="20"/>
  <c r="R56" i="20" s="1"/>
  <c r="T56" i="20"/>
  <c r="V56" i="20" s="1"/>
  <c r="L16" i="20"/>
  <c r="N16" i="20" s="1"/>
  <c r="X16" i="20"/>
  <c r="P16" i="20"/>
  <c r="R16" i="20" s="1"/>
  <c r="AB16" i="20"/>
  <c r="AD16" i="20" s="1"/>
  <c r="T16" i="20"/>
  <c r="V16" i="20" s="1"/>
  <c r="H16" i="20"/>
  <c r="J16" i="20" s="1"/>
  <c r="R85" i="20"/>
  <c r="N15" i="20"/>
  <c r="N35" i="20"/>
  <c r="V35" i="20"/>
  <c r="Z35" i="20"/>
  <c r="AD35" i="20"/>
  <c r="N66" i="20"/>
  <c r="R66" i="20"/>
  <c r="V66" i="20"/>
  <c r="Z66" i="20"/>
  <c r="AD66" i="20"/>
  <c r="Z362" i="30"/>
  <c r="AE50" i="30" s="1"/>
  <c r="AA45" i="30"/>
  <c r="AC45" i="30" s="1"/>
  <c r="AI48" i="30"/>
  <c r="AE48" i="30"/>
  <c r="AI49" i="30"/>
  <c r="AE49" i="30"/>
  <c r="B87" i="20"/>
  <c r="R35" i="20"/>
  <c r="B17" i="20"/>
  <c r="B57" i="20"/>
  <c r="J34" i="20"/>
  <c r="J66" i="20"/>
  <c r="J50" i="20"/>
  <c r="A76" i="20"/>
  <c r="V106" i="30"/>
  <c r="P76" i="20" l="1"/>
  <c r="T76" i="20"/>
  <c r="V76" i="20" s="1"/>
  <c r="X76" i="20"/>
  <c r="Z76" i="20" s="1"/>
  <c r="L76" i="20"/>
  <c r="N76" i="20" s="1"/>
  <c r="AB76" i="20"/>
  <c r="AD76" i="20" s="1"/>
  <c r="H76" i="20"/>
  <c r="J76" i="20" s="1"/>
  <c r="T87" i="20"/>
  <c r="V87" i="20" s="1"/>
  <c r="X87" i="20"/>
  <c r="Z87" i="20" s="1"/>
  <c r="AB87" i="20"/>
  <c r="AD87" i="20" s="1"/>
  <c r="L87" i="20"/>
  <c r="N87" i="20" s="1"/>
  <c r="P87" i="20"/>
  <c r="R87" i="20" s="1"/>
  <c r="H87" i="20"/>
  <c r="J87" i="20" s="1"/>
  <c r="AB57" i="20"/>
  <c r="AD57" i="20" s="1"/>
  <c r="L57" i="20"/>
  <c r="N57" i="20" s="1"/>
  <c r="T57" i="20"/>
  <c r="V57" i="20" s="1"/>
  <c r="H57" i="20"/>
  <c r="J57" i="20" s="1"/>
  <c r="X57" i="20"/>
  <c r="Z57" i="20" s="1"/>
  <c r="P57" i="20"/>
  <c r="R57" i="20" s="1"/>
  <c r="AB17" i="20"/>
  <c r="AD17" i="20" s="1"/>
  <c r="T17" i="20"/>
  <c r="V17" i="20" s="1"/>
  <c r="X17" i="20"/>
  <c r="Z17" i="20" s="1"/>
  <c r="P17" i="20"/>
  <c r="R17" i="20" s="1"/>
  <c r="H17" i="20"/>
  <c r="J17" i="20" s="1"/>
  <c r="L17" i="20"/>
  <c r="N17" i="20" s="1"/>
  <c r="J33" i="20"/>
  <c r="AD56" i="20"/>
  <c r="N36" i="20"/>
  <c r="R36" i="20"/>
  <c r="V36" i="20"/>
  <c r="Z36" i="20"/>
  <c r="AD36" i="20"/>
  <c r="N67" i="20"/>
  <c r="V67" i="20"/>
  <c r="Z67" i="20"/>
  <c r="AD67" i="20"/>
  <c r="N95" i="20"/>
  <c r="R95" i="20"/>
  <c r="V95" i="20"/>
  <c r="Z95" i="20"/>
  <c r="AD95" i="20"/>
  <c r="AA362" i="30"/>
  <c r="AC362" i="30" s="1"/>
  <c r="AI50" i="30"/>
  <c r="AI52" i="30" s="1"/>
  <c r="R94" i="20"/>
  <c r="J86" i="20"/>
  <c r="J94" i="20"/>
  <c r="Z94" i="20"/>
  <c r="V94" i="20"/>
  <c r="AD94" i="20"/>
  <c r="N94" i="20"/>
  <c r="J6" i="20"/>
  <c r="Z16" i="20"/>
  <c r="J95" i="20"/>
  <c r="B88" i="20"/>
  <c r="B58" i="20"/>
  <c r="B18" i="20"/>
  <c r="J67" i="20"/>
  <c r="J35" i="20"/>
  <c r="J7" i="20"/>
  <c r="A77" i="20"/>
  <c r="T88" i="20" l="1"/>
  <c r="V88" i="20" s="1"/>
  <c r="X88" i="20"/>
  <c r="Z88" i="20" s="1"/>
  <c r="AB88" i="20"/>
  <c r="AD88" i="20" s="1"/>
  <c r="P88" i="20"/>
  <c r="R88" i="20" s="1"/>
  <c r="L88" i="20"/>
  <c r="N88" i="20" s="1"/>
  <c r="H88" i="20"/>
  <c r="J88" i="20" s="1"/>
  <c r="H77" i="20"/>
  <c r="J77" i="20" s="1"/>
  <c r="T77" i="20"/>
  <c r="V77" i="20" s="1"/>
  <c r="AB77" i="20"/>
  <c r="AD77" i="20" s="1"/>
  <c r="P77" i="20"/>
  <c r="R77" i="20" s="1"/>
  <c r="X77" i="20"/>
  <c r="Z77" i="20" s="1"/>
  <c r="L77" i="20"/>
  <c r="N77" i="20" s="1"/>
  <c r="X58" i="20"/>
  <c r="Z58" i="20" s="1"/>
  <c r="P58" i="20"/>
  <c r="R58" i="20" s="1"/>
  <c r="L58" i="20"/>
  <c r="N58" i="20" s="1"/>
  <c r="H58" i="20"/>
  <c r="J58" i="20" s="1"/>
  <c r="T58" i="20"/>
  <c r="V58" i="20" s="1"/>
  <c r="AB58" i="20"/>
  <c r="AD58" i="20" s="1"/>
  <c r="AB18" i="20"/>
  <c r="AD18" i="20" s="1"/>
  <c r="L18" i="20"/>
  <c r="N18" i="20" s="1"/>
  <c r="T18" i="20"/>
  <c r="V18" i="20" s="1"/>
  <c r="P18" i="20"/>
  <c r="R18" i="20" s="1"/>
  <c r="X18" i="20"/>
  <c r="Z18" i="20" s="1"/>
  <c r="H18" i="20"/>
  <c r="J18" i="20" s="1"/>
  <c r="J51" i="20"/>
  <c r="R37" i="20"/>
  <c r="V37" i="20"/>
  <c r="Z37" i="20"/>
  <c r="AD37" i="20"/>
  <c r="N68" i="20"/>
  <c r="R68" i="20"/>
  <c r="V68" i="20"/>
  <c r="Z68" i="20"/>
  <c r="AD68" i="20"/>
  <c r="V96" i="20"/>
  <c r="Z96" i="20"/>
  <c r="AD96" i="20"/>
  <c r="AE362" i="30"/>
  <c r="R67" i="20"/>
  <c r="R76" i="20"/>
  <c r="J96" i="20"/>
  <c r="B89" i="20"/>
  <c r="N37" i="20"/>
  <c r="B19" i="20"/>
  <c r="B59" i="20"/>
  <c r="J36" i="20"/>
  <c r="J68" i="20"/>
  <c r="J8" i="20"/>
  <c r="A78" i="20"/>
  <c r="H78" i="20" l="1"/>
  <c r="J78" i="20" s="1"/>
  <c r="T78" i="20"/>
  <c r="V78" i="20" s="1"/>
  <c r="X78" i="20"/>
  <c r="Z78" i="20" s="1"/>
  <c r="AB78" i="20"/>
  <c r="AD78" i="20" s="1"/>
  <c r="L78" i="20"/>
  <c r="N78" i="20" s="1"/>
  <c r="P78" i="20"/>
  <c r="R78" i="20" s="1"/>
  <c r="H89" i="20"/>
  <c r="J89" i="20" s="1"/>
  <c r="AB89" i="20"/>
  <c r="AD89" i="20" s="1"/>
  <c r="X89" i="20"/>
  <c r="Z89" i="20" s="1"/>
  <c r="T89" i="20"/>
  <c r="V89" i="20" s="1"/>
  <c r="L89" i="20"/>
  <c r="N89" i="20" s="1"/>
  <c r="P89" i="20"/>
  <c r="R89" i="20" s="1"/>
  <c r="T59" i="20"/>
  <c r="V59" i="20" s="1"/>
  <c r="P59" i="20"/>
  <c r="R59" i="20" s="1"/>
  <c r="L59" i="20"/>
  <c r="N59" i="20" s="1"/>
  <c r="H59" i="20"/>
  <c r="J59" i="20" s="1"/>
  <c r="AB59" i="20"/>
  <c r="AD59" i="20" s="1"/>
  <c r="X59" i="20"/>
  <c r="Z59" i="20" s="1"/>
  <c r="H19" i="20"/>
  <c r="J19" i="20" s="1"/>
  <c r="AB19" i="20"/>
  <c r="AD19" i="20" s="1"/>
  <c r="T19" i="20"/>
  <c r="V19" i="20" s="1"/>
  <c r="L19" i="20"/>
  <c r="N19" i="20" s="1"/>
  <c r="X19" i="20"/>
  <c r="Z19" i="20" s="1"/>
  <c r="P19" i="20"/>
  <c r="R19" i="20" s="1"/>
  <c r="J97" i="20"/>
  <c r="N97" i="20"/>
  <c r="R97" i="20"/>
  <c r="V97" i="20"/>
  <c r="Z97" i="20"/>
  <c r="AD97" i="20"/>
  <c r="N69" i="20"/>
  <c r="R69" i="20"/>
  <c r="V69" i="20"/>
  <c r="Z69" i="20"/>
  <c r="AD69" i="20"/>
  <c r="R96" i="20"/>
  <c r="N96" i="20"/>
  <c r="B90" i="20"/>
  <c r="B60" i="20"/>
  <c r="B20" i="20"/>
  <c r="J69" i="20"/>
  <c r="J37" i="20"/>
  <c r="J9" i="20"/>
  <c r="A79" i="20"/>
  <c r="P79" i="20" l="1"/>
  <c r="R79" i="20" s="1"/>
  <c r="T79" i="20"/>
  <c r="V79" i="20" s="1"/>
  <c r="H79" i="20"/>
  <c r="J79" i="20" s="1"/>
  <c r="X79" i="20"/>
  <c r="Z79" i="20" s="1"/>
  <c r="AB79" i="20"/>
  <c r="AD79" i="20" s="1"/>
  <c r="L79" i="20"/>
  <c r="N79" i="20" s="1"/>
  <c r="AB90" i="20"/>
  <c r="H90" i="20"/>
  <c r="L90" i="20"/>
  <c r="P90" i="20"/>
  <c r="T90" i="20"/>
  <c r="X90" i="20"/>
  <c r="P60" i="20"/>
  <c r="R60" i="20" s="1"/>
  <c r="AB60" i="20"/>
  <c r="AD60" i="20" s="1"/>
  <c r="X60" i="20"/>
  <c r="Z60" i="20" s="1"/>
  <c r="L60" i="20"/>
  <c r="N60" i="20" s="1"/>
  <c r="H60" i="20"/>
  <c r="J60" i="20" s="1"/>
  <c r="T60" i="20"/>
  <c r="V60" i="20" s="1"/>
  <c r="AB20" i="20"/>
  <c r="AD20" i="20" s="1"/>
  <c r="T20" i="20"/>
  <c r="V20" i="20" s="1"/>
  <c r="X20" i="20"/>
  <c r="Z20" i="20" s="1"/>
  <c r="P20" i="20"/>
  <c r="R20" i="20" s="1"/>
  <c r="L20" i="20"/>
  <c r="N20" i="20" s="1"/>
  <c r="H20" i="20"/>
  <c r="J20" i="20" s="1"/>
  <c r="N70" i="20"/>
  <c r="R70" i="20"/>
  <c r="V70" i="20"/>
  <c r="AD70" i="20"/>
  <c r="N98" i="20"/>
  <c r="R98" i="20"/>
  <c r="V98" i="20"/>
  <c r="Z98" i="20"/>
  <c r="AD98" i="20"/>
  <c r="J98" i="20"/>
  <c r="B21" i="20"/>
  <c r="B61" i="20"/>
  <c r="J10" i="20"/>
  <c r="A80" i="20"/>
  <c r="X80" i="20" l="1"/>
  <c r="Z80" i="20" s="1"/>
  <c r="AB80" i="20"/>
  <c r="AD80" i="20" s="1"/>
  <c r="H80" i="20"/>
  <c r="J80" i="20" s="1"/>
  <c r="T80" i="20"/>
  <c r="V80" i="20" s="1"/>
  <c r="L80" i="20"/>
  <c r="N80" i="20" s="1"/>
  <c r="P80" i="20"/>
  <c r="R80" i="20" s="1"/>
  <c r="H61" i="20"/>
  <c r="J61" i="20" s="1"/>
  <c r="AB61" i="20"/>
  <c r="AD61" i="20" s="1"/>
  <c r="X61" i="20"/>
  <c r="Z61" i="20" s="1"/>
  <c r="T61" i="20"/>
  <c r="V61" i="20" s="1"/>
  <c r="P61" i="20"/>
  <c r="R61" i="20" s="1"/>
  <c r="L61" i="20"/>
  <c r="N61" i="20" s="1"/>
  <c r="AB21" i="20"/>
  <c r="AD21" i="20" s="1"/>
  <c r="X21" i="20"/>
  <c r="Z21" i="20" s="1"/>
  <c r="P21" i="20"/>
  <c r="R21" i="20" s="1"/>
  <c r="L21" i="20"/>
  <c r="N21" i="20" s="1"/>
  <c r="T21" i="20"/>
  <c r="V21" i="20" s="1"/>
  <c r="H21" i="20"/>
  <c r="J21" i="20" s="1"/>
  <c r="J90" i="20"/>
  <c r="V90" i="20"/>
  <c r="Z90" i="20"/>
  <c r="R90" i="20"/>
  <c r="Z70" i="20"/>
  <c r="J70" i="20"/>
  <c r="AD90" i="20"/>
  <c r="N90" i="20"/>
  <c r="N99" i="20"/>
  <c r="R99" i="20"/>
  <c r="V99" i="20"/>
  <c r="Z99" i="20"/>
  <c r="AD99" i="20"/>
  <c r="J99" i="20"/>
  <c r="B22" i="20"/>
  <c r="B62" i="20"/>
  <c r="A81" i="20"/>
  <c r="AB81" i="20" l="1"/>
  <c r="AD81" i="20" s="1"/>
  <c r="L81" i="20"/>
  <c r="N81" i="20" s="1"/>
  <c r="H81" i="20"/>
  <c r="J81" i="20" s="1"/>
  <c r="X81" i="20"/>
  <c r="Z81" i="20" s="1"/>
  <c r="T81" i="20"/>
  <c r="V81" i="20" s="1"/>
  <c r="P81" i="20"/>
  <c r="R81" i="20" s="1"/>
  <c r="L62" i="20"/>
  <c r="AB62" i="20"/>
  <c r="X62" i="20"/>
  <c r="T62" i="20"/>
  <c r="H62" i="20"/>
  <c r="P62" i="20"/>
  <c r="H22" i="20"/>
  <c r="J22" i="20" s="1"/>
  <c r="X22" i="20"/>
  <c r="Z22" i="20" s="1"/>
  <c r="P22" i="20"/>
  <c r="R22" i="20" s="1"/>
  <c r="AB22" i="20"/>
  <c r="AD22" i="20" s="1"/>
  <c r="T22" i="20"/>
  <c r="V22" i="20" s="1"/>
  <c r="L22" i="20"/>
  <c r="N22" i="20" s="1"/>
  <c r="N100" i="20"/>
  <c r="R100" i="20"/>
  <c r="V100" i="20"/>
  <c r="Z100" i="20"/>
  <c r="AD100" i="20"/>
  <c r="J100" i="20"/>
  <c r="B23" i="20"/>
  <c r="A82" i="20"/>
  <c r="H82" i="20" l="1"/>
  <c r="P82" i="20"/>
  <c r="AB82" i="20"/>
  <c r="T82" i="20"/>
  <c r="L82" i="20"/>
  <c r="X82" i="20"/>
  <c r="L23" i="20"/>
  <c r="N23" i="20" s="1"/>
  <c r="X23" i="20"/>
  <c r="Z23" i="20" s="1"/>
  <c r="H23" i="20"/>
  <c r="J23" i="20" s="1"/>
  <c r="AB23" i="20"/>
  <c r="AD23" i="20" s="1"/>
  <c r="T23" i="20"/>
  <c r="V23" i="20" s="1"/>
  <c r="P23" i="20"/>
  <c r="R23" i="20" s="1"/>
  <c r="J62" i="20"/>
  <c r="V62" i="20"/>
  <c r="R62" i="20"/>
  <c r="N62" i="20"/>
  <c r="AD62" i="20"/>
  <c r="Z62" i="20"/>
  <c r="N101" i="20"/>
  <c r="R101" i="20"/>
  <c r="V101" i="20"/>
  <c r="AD101" i="20"/>
  <c r="J101" i="20"/>
  <c r="B24" i="20"/>
  <c r="X24" i="20" l="1"/>
  <c r="Z24" i="20" s="1"/>
  <c r="P24" i="20"/>
  <c r="R24" i="20" s="1"/>
  <c r="L24" i="20"/>
  <c r="N24" i="20" s="1"/>
  <c r="AB24" i="20"/>
  <c r="AD24" i="20" s="1"/>
  <c r="T24" i="20"/>
  <c r="V24" i="20" s="1"/>
  <c r="H24" i="20"/>
  <c r="J24" i="20" s="1"/>
  <c r="J82" i="20"/>
  <c r="AD82" i="20"/>
  <c r="Z82" i="20"/>
  <c r="Z101" i="20"/>
  <c r="V82" i="20"/>
  <c r="R82" i="20"/>
  <c r="N82" i="20"/>
  <c r="B25" i="20"/>
  <c r="L25" i="20" l="1"/>
  <c r="N25" i="20" s="1"/>
  <c r="AB25" i="20"/>
  <c r="AD25" i="20" s="1"/>
  <c r="T25" i="20"/>
  <c r="V25" i="20" s="1"/>
  <c r="X25" i="20"/>
  <c r="Z25" i="20" s="1"/>
  <c r="P25" i="20"/>
  <c r="R25" i="20" s="1"/>
  <c r="H25" i="20"/>
  <c r="J25" i="20" s="1"/>
  <c r="V386" i="30"/>
  <c r="V384" i="30"/>
  <c r="V388" i="30"/>
  <c r="V385" i="30"/>
  <c r="V387" i="30"/>
  <c r="V382" i="30"/>
  <c r="U386" i="30"/>
  <c r="U387" i="30"/>
  <c r="U385" i="30"/>
  <c r="U382" i="30"/>
  <c r="U384" i="30"/>
  <c r="U388" i="30"/>
  <c r="T386" i="30"/>
  <c r="T387" i="30"/>
  <c r="T382" i="30"/>
  <c r="T384" i="30"/>
  <c r="T388" i="30"/>
  <c r="T385" i="30"/>
  <c r="S386" i="30"/>
  <c r="S384" i="30"/>
  <c r="S388" i="30"/>
  <c r="S385" i="30"/>
  <c r="S382" i="30"/>
  <c r="S387" i="30"/>
  <c r="R386" i="30"/>
  <c r="R387" i="30"/>
  <c r="R384" i="30"/>
  <c r="R385" i="30"/>
  <c r="R382" i="30"/>
  <c r="R388" i="30"/>
  <c r="Q386" i="30"/>
  <c r="Q385" i="30"/>
  <c r="Q384" i="30"/>
  <c r="Q387" i="30"/>
  <c r="Q388" i="30"/>
  <c r="Q382" i="30"/>
  <c r="P383" i="30"/>
  <c r="P380" i="30"/>
  <c r="P386" i="30"/>
  <c r="P384" i="30"/>
  <c r="P388" i="30"/>
  <c r="P387" i="30"/>
  <c r="P382" i="30"/>
  <c r="W386" i="30"/>
  <c r="W382" i="30"/>
  <c r="W387" i="30"/>
  <c r="W384" i="30"/>
  <c r="W388" i="30"/>
  <c r="W385" i="30"/>
  <c r="B26" i="20"/>
  <c r="AB26" i="20" l="1"/>
  <c r="AD26" i="20" s="1"/>
  <c r="L26" i="20"/>
  <c r="N26" i="20" s="1"/>
  <c r="X26" i="20"/>
  <c r="Z26" i="20" s="1"/>
  <c r="H26" i="20"/>
  <c r="J26" i="20" s="1"/>
  <c r="P26" i="20"/>
  <c r="R26" i="20" s="1"/>
  <c r="T26" i="20"/>
  <c r="V26" i="20" s="1"/>
  <c r="R371" i="30"/>
  <c r="R372" i="30"/>
  <c r="R369" i="30"/>
  <c r="R367" i="30"/>
  <c r="R370" i="30"/>
  <c r="R373" i="30"/>
  <c r="V371" i="30"/>
  <c r="V369" i="30"/>
  <c r="V370" i="30"/>
  <c r="V367" i="30"/>
  <c r="V373" i="30"/>
  <c r="V372" i="30"/>
  <c r="W371" i="30"/>
  <c r="W369" i="30"/>
  <c r="W373" i="30"/>
  <c r="W370" i="30"/>
  <c r="W367" i="30"/>
  <c r="W372" i="30"/>
  <c r="P371" i="30"/>
  <c r="P365" i="30"/>
  <c r="P368" i="30"/>
  <c r="P369" i="30"/>
  <c r="P367" i="30"/>
  <c r="P372" i="30"/>
  <c r="P373" i="30"/>
  <c r="Q371" i="30"/>
  <c r="Q372" i="30"/>
  <c r="Q367" i="30"/>
  <c r="Q369" i="30"/>
  <c r="Q370" i="30"/>
  <c r="Q373" i="30"/>
  <c r="U371" i="30"/>
  <c r="U367" i="30"/>
  <c r="U372" i="30"/>
  <c r="U370" i="30"/>
  <c r="U369" i="30"/>
  <c r="U373" i="30"/>
  <c r="T371" i="30"/>
  <c r="T370" i="30"/>
  <c r="T367" i="30"/>
  <c r="T372" i="30"/>
  <c r="T369" i="30"/>
  <c r="T373" i="30"/>
  <c r="S371" i="30"/>
  <c r="S372" i="30"/>
  <c r="S370" i="30"/>
  <c r="S367" i="30"/>
  <c r="S369" i="30"/>
  <c r="S373" i="30"/>
  <c r="B27" i="20"/>
  <c r="P385" i="30"/>
  <c r="AB27" i="20" l="1"/>
  <c r="T27" i="20"/>
  <c r="L27" i="20"/>
  <c r="N27" i="20" s="1"/>
  <c r="X27" i="20"/>
  <c r="Z27" i="20" s="1"/>
  <c r="P27" i="20"/>
  <c r="H27" i="20"/>
  <c r="J27" i="20" s="1"/>
  <c r="Q390" i="30"/>
  <c r="Q391" i="30"/>
  <c r="J64" i="20"/>
  <c r="P370" i="30" s="1"/>
  <c r="B28" i="20"/>
  <c r="AB28" i="20" l="1"/>
  <c r="T28" i="20"/>
  <c r="H28" i="20"/>
  <c r="J28" i="20" s="1"/>
  <c r="X28" i="20"/>
  <c r="P28" i="20"/>
  <c r="R28" i="20" s="1"/>
  <c r="L28" i="20"/>
  <c r="R27" i="20"/>
  <c r="V27" i="20"/>
  <c r="AD27" i="20"/>
  <c r="W390" i="30"/>
  <c r="Q375" i="30"/>
  <c r="P391" i="30"/>
  <c r="W391" i="30"/>
  <c r="R391" i="30"/>
  <c r="S391" i="30"/>
  <c r="Q376" i="30"/>
  <c r="T390" i="30"/>
  <c r="U390" i="30"/>
  <c r="V391" i="30"/>
  <c r="T391" i="30"/>
  <c r="P390" i="30"/>
  <c r="R390" i="30"/>
  <c r="V390" i="30"/>
  <c r="S390" i="30"/>
  <c r="U391" i="30"/>
  <c r="B29" i="20"/>
  <c r="AB29" i="20" l="1"/>
  <c r="AD29" i="20" s="1"/>
  <c r="X29" i="20"/>
  <c r="P29" i="20"/>
  <c r="R29" i="20" s="1"/>
  <c r="T29" i="20"/>
  <c r="V29" i="20" s="1"/>
  <c r="H29" i="20"/>
  <c r="J29" i="20" s="1"/>
  <c r="L29" i="20"/>
  <c r="N29" i="20" s="1"/>
  <c r="N28" i="20"/>
  <c r="AD28" i="20"/>
  <c r="Z28" i="20"/>
  <c r="U375" i="30"/>
  <c r="S376" i="30"/>
  <c r="W375" i="30"/>
  <c r="T375" i="30"/>
  <c r="P375" i="30"/>
  <c r="S375" i="30"/>
  <c r="R376" i="30"/>
  <c r="V376" i="30"/>
  <c r="V375" i="30"/>
  <c r="U376" i="30"/>
  <c r="P376" i="30"/>
  <c r="T376" i="30"/>
  <c r="W376" i="30"/>
  <c r="R375" i="30"/>
  <c r="V28" i="20"/>
  <c r="B30" i="20"/>
  <c r="L30" i="20" l="1"/>
  <c r="Q381" i="30" s="1"/>
  <c r="V381" i="30"/>
  <c r="H30" i="20"/>
  <c r="P381" i="30" s="1"/>
  <c r="X30" i="20"/>
  <c r="T381" i="30" s="1"/>
  <c r="P30" i="20"/>
  <c r="R381" i="30" s="1"/>
  <c r="T30" i="20"/>
  <c r="S381" i="30" s="1"/>
  <c r="W381" i="30"/>
  <c r="AB30" i="20"/>
  <c r="U381" i="30" s="1"/>
  <c r="Z29" i="20"/>
  <c r="V366" i="30" l="1"/>
  <c r="AD30" i="20"/>
  <c r="U366" i="30" s="1"/>
  <c r="Z30" i="20"/>
  <c r="T366" i="30" s="1"/>
  <c r="J30" i="20"/>
  <c r="P366" i="30" s="1"/>
  <c r="R30" i="20"/>
  <c r="R366" i="30" s="1"/>
  <c r="N30" i="20"/>
  <c r="Q366" i="30" s="1"/>
  <c r="W366" i="30"/>
  <c r="V30" i="20"/>
  <c r="S366" i="30" s="1"/>
  <c r="W389" i="30" l="1"/>
  <c r="V389" i="30"/>
  <c r="Q389" i="30"/>
  <c r="R389" i="30"/>
  <c r="S389" i="30"/>
  <c r="T389" i="30"/>
  <c r="U389" i="30"/>
  <c r="P389" i="30"/>
  <c r="U374" i="30" l="1"/>
  <c r="T374" i="30"/>
  <c r="R374" i="30"/>
  <c r="V374" i="30"/>
  <c r="Q374" i="30"/>
  <c r="W374" i="30"/>
  <c r="S374" i="30"/>
  <c r="P374" i="30" l="1"/>
  <c r="W392" i="30"/>
  <c r="S392" i="30"/>
  <c r="R392" i="30"/>
  <c r="V392" i="30"/>
  <c r="P392" i="30"/>
  <c r="T392" i="30"/>
  <c r="Q392" i="30"/>
  <c r="U392" i="30"/>
  <c r="T377" i="30" l="1"/>
  <c r="R377" i="30"/>
  <c r="Q377" i="30"/>
  <c r="V377" i="30"/>
  <c r="P377" i="30"/>
  <c r="U377" i="30"/>
  <c r="W377" i="30" l="1"/>
  <c r="S377" i="30"/>
</calcChain>
</file>

<file path=xl/sharedStrings.xml><?xml version="1.0" encoding="utf-8"?>
<sst xmlns="http://schemas.openxmlformats.org/spreadsheetml/2006/main" count="6386" uniqueCount="771">
  <si>
    <t>QG</t>
    <phoneticPr fontId="1" type="noConversion"/>
  </si>
  <si>
    <t>Type</t>
    <phoneticPr fontId="1" type="noConversion"/>
  </si>
  <si>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</si>
  <si>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</si>
  <si>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</si>
  <si>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</si>
  <si>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</si>
  <si>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</si>
  <si>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</si>
  <si>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</si>
  <si>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QG</t>
    <phoneticPr fontId="1" type="noConversion"/>
  </si>
  <si>
    <t>2~9</t>
    <phoneticPr fontId="1" type="noConversion"/>
  </si>
  <si>
    <t>10~19</t>
    <phoneticPr fontId="1" type="noConversion"/>
  </si>
  <si>
    <t>20~29</t>
    <phoneticPr fontId="1" type="noConversion"/>
  </si>
  <si>
    <t>30~54</t>
    <phoneticPr fontId="1" type="noConversion"/>
  </si>
  <si>
    <t>30~39</t>
    <phoneticPr fontId="1" type="noConversion"/>
  </si>
  <si>
    <t>40~49</t>
    <phoneticPr fontId="1" type="noConversion"/>
  </si>
  <si>
    <t>50~59</t>
    <phoneticPr fontId="1" type="noConversion"/>
  </si>
  <si>
    <t>60~69</t>
    <phoneticPr fontId="1" type="noConversion"/>
  </si>
  <si>
    <t>70~79</t>
    <phoneticPr fontId="1" type="noConversion"/>
  </si>
  <si>
    <t>80~89</t>
    <phoneticPr fontId="1" type="noConversion"/>
  </si>
  <si>
    <t>90~99</t>
    <phoneticPr fontId="1" type="noConversion"/>
  </si>
  <si>
    <t>100~216</t>
    <phoneticPr fontId="1" type="noConversion"/>
  </si>
  <si>
    <t>130~139</t>
    <phoneticPr fontId="1" type="noConversion"/>
  </si>
  <si>
    <t>140~149</t>
    <phoneticPr fontId="1" type="noConversion"/>
  </si>
  <si>
    <t>150~159</t>
    <phoneticPr fontId="1" type="noConversion"/>
  </si>
  <si>
    <t>160~169</t>
    <phoneticPr fontId="1" type="noConversion"/>
  </si>
  <si>
    <t>170~179</t>
    <phoneticPr fontId="1" type="noConversion"/>
  </si>
  <si>
    <t>180~189</t>
    <phoneticPr fontId="1" type="noConversion"/>
  </si>
  <si>
    <t>190~199</t>
    <phoneticPr fontId="1" type="noConversion"/>
  </si>
  <si>
    <t>200~209</t>
    <phoneticPr fontId="1" type="noConversion"/>
  </si>
  <si>
    <t>210~219</t>
    <phoneticPr fontId="1" type="noConversion"/>
  </si>
  <si>
    <t>220~381</t>
    <phoneticPr fontId="1" type="noConversion"/>
  </si>
  <si>
    <t>Cl/s</t>
    <phoneticPr fontId="1" type="noConversion"/>
  </si>
  <si>
    <t>Ce/s</t>
    <phoneticPr fontId="1" type="noConversion"/>
  </si>
  <si>
    <t>100~129</t>
    <phoneticPr fontId="1" type="noConversion"/>
  </si>
  <si>
    <t>Year</t>
    <phoneticPr fontId="1" type="noConversion"/>
  </si>
  <si>
    <t>STNB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</si>
  <si>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</si>
  <si>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</si>
  <si>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</si>
  <si>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</si>
  <si>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</si>
  <si>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</si>
  <si>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</si>
  <si>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</si>
  <si>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</si>
  <si>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INT</t>
    <phoneticPr fontId="1" type="noConversion"/>
  </si>
  <si>
    <t>Ce/s</t>
    <phoneticPr fontId="1" type="noConversion"/>
  </si>
  <si>
    <t>Day</t>
    <phoneticPr fontId="1" type="noConversion"/>
  </si>
  <si>
    <t>Month</t>
    <phoneticPr fontId="1" type="noConversion"/>
  </si>
  <si>
    <t>Min</t>
    <phoneticPr fontId="1" type="noConversion"/>
  </si>
  <si>
    <t>Sec</t>
    <phoneticPr fontId="1" type="noConversion"/>
  </si>
  <si>
    <t>mode</t>
    <phoneticPr fontId="1" type="noConversion"/>
  </si>
  <si>
    <t>BBBV</t>
    <phoneticPr fontId="1" type="noConversion"/>
  </si>
  <si>
    <t>Lcl</t>
    <phoneticPr fontId="1" type="noConversion"/>
  </si>
  <si>
    <t>Rcl</t>
    <phoneticPr fontId="1" type="noConversion"/>
  </si>
  <si>
    <t>Dcl</t>
    <phoneticPr fontId="1" type="noConversion"/>
  </si>
  <si>
    <t>Leff</t>
    <phoneticPr fontId="1" type="noConversion"/>
  </si>
  <si>
    <t>Reff</t>
    <phoneticPr fontId="1" type="noConversion"/>
  </si>
  <si>
    <t>Deff</t>
    <phoneticPr fontId="1" type="noConversion"/>
  </si>
  <si>
    <t>GZiNi</t>
    <phoneticPr fontId="1" type="noConversion"/>
  </si>
  <si>
    <t>HZiNi</t>
    <phoneticPr fontId="1" type="noConversion"/>
  </si>
  <si>
    <t>Time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</si>
  <si>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</si>
  <si>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</si>
  <si>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</si>
  <si>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</si>
  <si>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Cls~Sao</t>
    <phoneticPr fontId="1" type="noConversion"/>
  </si>
  <si>
    <t>Bvs</t>
    <phoneticPr fontId="1" type="noConversion"/>
  </si>
  <si>
    <t>Other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</si>
  <si>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</si>
  <si>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</si>
  <si>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</si>
  <si>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</si>
  <si>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</si>
  <si>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</si>
  <si>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</si>
  <si>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</si>
  <si>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</si>
  <si>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</si>
  <si>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</si>
  <si>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</si>
  <si>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</si>
  <si>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5th</t>
  </si>
  <si>
    <t>6th</t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</si>
  <si>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</si>
  <si>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</si>
  <si>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</si>
  <si>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</si>
  <si>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</si>
  <si>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</si>
  <si>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</si>
  <si>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</si>
  <si>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</si>
  <si>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</si>
  <si>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</si>
  <si>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</si>
  <si>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</si>
  <si>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</si>
  <si>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10th</t>
    <phoneticPr fontId="1" type="noConversion"/>
  </si>
  <si>
    <t>T1</t>
    <phoneticPr fontId="1" type="noConversion"/>
  </si>
  <si>
    <t>N</t>
    <phoneticPr fontId="1" type="noConversion"/>
  </si>
  <si>
    <t>B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</si>
  <si>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</si>
  <si>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</si>
  <si>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</si>
  <si>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</si>
  <si>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bt1</t>
    <phoneticPr fontId="1" type="noConversion"/>
  </si>
  <si>
    <t>bt2</t>
  </si>
  <si>
    <t>bt3</t>
  </si>
  <si>
    <t>bt4</t>
  </si>
  <si>
    <t>bt5</t>
  </si>
  <si>
    <t>bt6</t>
  </si>
  <si>
    <t>bt7</t>
  </si>
  <si>
    <t>bt8</t>
  </si>
  <si>
    <t>bt9</t>
  </si>
  <si>
    <t>bt10</t>
  </si>
  <si>
    <t>bt11</t>
  </si>
  <si>
    <t>bt12</t>
  </si>
  <si>
    <t>bt13</t>
  </si>
  <si>
    <t>bt14</t>
  </si>
  <si>
    <t>bt15</t>
  </si>
  <si>
    <t>bt16</t>
  </si>
  <si>
    <t>bt17</t>
  </si>
  <si>
    <t>bt18</t>
  </si>
  <si>
    <t>bt19</t>
  </si>
  <si>
    <t>bt20</t>
  </si>
  <si>
    <t>it1</t>
    <phoneticPr fontId="1" type="noConversion"/>
  </si>
  <si>
    <t>it2</t>
  </si>
  <si>
    <t>it3</t>
  </si>
  <si>
    <t>it4</t>
  </si>
  <si>
    <t>it5</t>
  </si>
  <si>
    <t>it6</t>
  </si>
  <si>
    <t>it7</t>
  </si>
  <si>
    <t>it8</t>
  </si>
  <si>
    <t>it9</t>
  </si>
  <si>
    <t>it10</t>
  </si>
  <si>
    <t>it11</t>
  </si>
  <si>
    <t>it12</t>
  </si>
  <si>
    <t>et2</t>
  </si>
  <si>
    <t>et3</t>
  </si>
  <si>
    <t>et4</t>
  </si>
  <si>
    <t>et5</t>
  </si>
  <si>
    <t>bb5</t>
  </si>
  <si>
    <t>bb6</t>
  </si>
  <si>
    <t>bb7</t>
  </si>
  <si>
    <t>bb8</t>
  </si>
  <si>
    <t>bb9</t>
  </si>
  <si>
    <t>bb10</t>
  </si>
  <si>
    <t>bb11</t>
  </si>
  <si>
    <t>bb12</t>
  </si>
  <si>
    <t>bb13</t>
  </si>
  <si>
    <t>bb14</t>
  </si>
  <si>
    <t>bb15</t>
  </si>
  <si>
    <t>bb16</t>
  </si>
  <si>
    <t>bb17</t>
  </si>
  <si>
    <t>bb18</t>
  </si>
  <si>
    <t>bb19</t>
  </si>
  <si>
    <t>bb20</t>
  </si>
  <si>
    <t>ib2</t>
  </si>
  <si>
    <t>ib3</t>
  </si>
  <si>
    <t>ib4</t>
  </si>
  <si>
    <t>ib5</t>
  </si>
  <si>
    <t>ib6</t>
  </si>
  <si>
    <t>ib7</t>
  </si>
  <si>
    <t>ib8</t>
  </si>
  <si>
    <t>ib9</t>
  </si>
  <si>
    <t>ib10</t>
  </si>
  <si>
    <t>ib11</t>
  </si>
  <si>
    <t>ib12</t>
  </si>
  <si>
    <t>eb2</t>
  </si>
  <si>
    <t>eb3</t>
  </si>
  <si>
    <t>eb4</t>
  </si>
  <si>
    <t>eb5</t>
  </si>
  <si>
    <t>bb2</t>
  </si>
  <si>
    <t>bb3</t>
  </si>
  <si>
    <t>bb4</t>
  </si>
  <si>
    <t>bt21</t>
  </si>
  <si>
    <t>bt22</t>
  </si>
  <si>
    <t>bt23</t>
  </si>
  <si>
    <t>bt24</t>
  </si>
  <si>
    <t>bt25</t>
  </si>
  <si>
    <t>bt26</t>
  </si>
  <si>
    <t>bt27</t>
  </si>
  <si>
    <t>bt28</t>
  </si>
  <si>
    <t>bt29</t>
  </si>
  <si>
    <t>bt30</t>
  </si>
  <si>
    <t>bt31</t>
  </si>
  <si>
    <t>bt32</t>
  </si>
  <si>
    <t>bt33</t>
  </si>
  <si>
    <t>bt34</t>
  </si>
  <si>
    <t>bt35</t>
  </si>
  <si>
    <t>bt36</t>
  </si>
  <si>
    <t>bt37</t>
  </si>
  <si>
    <t>bt38</t>
  </si>
  <si>
    <t>bt39</t>
  </si>
  <si>
    <t>bt40</t>
  </si>
  <si>
    <t>it13</t>
  </si>
  <si>
    <t>it14</t>
  </si>
  <si>
    <t>it15</t>
  </si>
  <si>
    <t>it16</t>
  </si>
  <si>
    <t>it17</t>
  </si>
  <si>
    <t>it18</t>
  </si>
  <si>
    <t>it19</t>
  </si>
  <si>
    <t>it20</t>
  </si>
  <si>
    <t>it21</t>
  </si>
  <si>
    <t>it22</t>
  </si>
  <si>
    <t>it23</t>
  </si>
  <si>
    <t>it24</t>
  </si>
  <si>
    <t>et1</t>
    <phoneticPr fontId="1" type="noConversion"/>
  </si>
  <si>
    <t>et6</t>
  </si>
  <si>
    <t>et7</t>
  </si>
  <si>
    <t>et8</t>
  </si>
  <si>
    <t>et9</t>
  </si>
  <si>
    <t>et10</t>
  </si>
  <si>
    <t>bb1</t>
    <phoneticPr fontId="1" type="noConversion"/>
  </si>
  <si>
    <t>bb21</t>
  </si>
  <si>
    <t>bb22</t>
  </si>
  <si>
    <t>bb23</t>
  </si>
  <si>
    <t>bb24</t>
  </si>
  <si>
    <t>bb25</t>
  </si>
  <si>
    <t>bb26</t>
  </si>
  <si>
    <t>bb27</t>
  </si>
  <si>
    <t>bb28</t>
  </si>
  <si>
    <t>bb29</t>
  </si>
  <si>
    <t>bb30</t>
  </si>
  <si>
    <t>bb31</t>
  </si>
  <si>
    <t>bb32</t>
  </si>
  <si>
    <t>bb33</t>
  </si>
  <si>
    <t>bb34</t>
  </si>
  <si>
    <t>bb35</t>
  </si>
  <si>
    <t>bb36</t>
  </si>
  <si>
    <t>bb37</t>
  </si>
  <si>
    <t>bb38</t>
  </si>
  <si>
    <t>bb39</t>
  </si>
  <si>
    <t>bb40</t>
  </si>
  <si>
    <t>ib1</t>
    <phoneticPr fontId="1" type="noConversion"/>
  </si>
  <si>
    <t>ib13</t>
  </si>
  <si>
    <t>ib14</t>
  </si>
  <si>
    <t>ib15</t>
  </si>
  <si>
    <t>ib16</t>
  </si>
  <si>
    <t>ib17</t>
  </si>
  <si>
    <t>ib18</t>
  </si>
  <si>
    <t>ib19</t>
  </si>
  <si>
    <t>ib20</t>
  </si>
  <si>
    <t>ib21</t>
  </si>
  <si>
    <t>ib22</t>
  </si>
  <si>
    <t>ib23</t>
  </si>
  <si>
    <t>ib24</t>
  </si>
  <si>
    <t>eb1</t>
    <phoneticPr fontId="1" type="noConversion"/>
  </si>
  <si>
    <t>eb6</t>
  </si>
  <si>
    <t>eb7</t>
  </si>
  <si>
    <t>eb8</t>
  </si>
  <si>
    <t>eb9</t>
  </si>
  <si>
    <t>eb10</t>
  </si>
  <si>
    <t>bt.20</t>
    <phoneticPr fontId="1" type="noConversion"/>
  </si>
  <si>
    <t>it.12</t>
    <phoneticPr fontId="1" type="noConversion"/>
  </si>
  <si>
    <t>et.5</t>
    <phoneticPr fontId="1" type="noConversion"/>
  </si>
  <si>
    <t>bb.20</t>
    <phoneticPr fontId="1" type="noConversion"/>
  </si>
  <si>
    <t>ib.12</t>
    <phoneticPr fontId="1" type="noConversion"/>
  </si>
  <si>
    <t>eb.5</t>
    <phoneticPr fontId="1" type="noConversion"/>
  </si>
  <si>
    <t>t.37</t>
    <phoneticPr fontId="1" type="noConversion"/>
  </si>
  <si>
    <t>b.37</t>
    <phoneticPr fontId="1" type="noConversion"/>
  </si>
  <si>
    <t>bt.40</t>
    <phoneticPr fontId="1" type="noConversion"/>
  </si>
  <si>
    <t>it.24</t>
    <phoneticPr fontId="1" type="noConversion"/>
  </si>
  <si>
    <t>et.10</t>
    <phoneticPr fontId="1" type="noConversion"/>
  </si>
  <si>
    <t>bb.40</t>
    <phoneticPr fontId="1" type="noConversion"/>
  </si>
  <si>
    <t>ib.24</t>
    <phoneticPr fontId="1" type="noConversion"/>
  </si>
  <si>
    <t>eb.10</t>
    <phoneticPr fontId="1" type="noConversion"/>
  </si>
  <si>
    <t>t.74</t>
    <phoneticPr fontId="1" type="noConversion"/>
  </si>
  <si>
    <t>b.74</t>
    <phoneticPr fontId="1" type="noConversion"/>
  </si>
  <si>
    <t>F</t>
    <phoneticPr fontId="1" type="noConversion"/>
  </si>
  <si>
    <t>5SR</t>
    <phoneticPr fontId="1" type="noConversion"/>
  </si>
  <si>
    <t>5SR</t>
  </si>
  <si>
    <t>Openings</t>
    <phoneticPr fontId="1" type="noConversion"/>
  </si>
  <si>
    <t>Islands</t>
    <phoneticPr fontId="1" type="noConversion"/>
  </si>
  <si>
    <t>KeyRank</t>
    <phoneticPr fontId="1" type="noConversion"/>
  </si>
  <si>
    <t>bs.20</t>
    <phoneticPr fontId="1" type="noConversion"/>
  </si>
  <si>
    <t>is.12</t>
    <phoneticPr fontId="1" type="noConversion"/>
  </si>
  <si>
    <t>es.5</t>
    <phoneticPr fontId="1" type="noConversion"/>
  </si>
  <si>
    <t>bs.40</t>
    <phoneticPr fontId="1" type="noConversion"/>
  </si>
  <si>
    <t>is.24</t>
    <phoneticPr fontId="1" type="noConversion"/>
  </si>
  <si>
    <t>es.10</t>
    <phoneticPr fontId="1" type="noConversion"/>
  </si>
  <si>
    <t>bpp.20</t>
    <phoneticPr fontId="1" type="noConversion"/>
  </si>
  <si>
    <t>ipp.12</t>
    <phoneticPr fontId="1" type="noConversion"/>
  </si>
  <si>
    <t>epp.5</t>
    <phoneticPr fontId="1" type="noConversion"/>
  </si>
  <si>
    <t>T100</t>
    <phoneticPr fontId="1" type="noConversion"/>
  </si>
  <si>
    <t>Bv</t>
    <phoneticPr fontId="1" type="noConversion"/>
  </si>
  <si>
    <t>Stnb</t>
    <phoneticPr fontId="1" type="noConversion"/>
  </si>
  <si>
    <t>PB</t>
    <phoneticPr fontId="1" type="noConversion"/>
  </si>
  <si>
    <t>bs1</t>
    <phoneticPr fontId="1" type="noConversion"/>
  </si>
  <si>
    <t>bs2</t>
  </si>
  <si>
    <t>bs3</t>
  </si>
  <si>
    <t>bs4</t>
  </si>
  <si>
    <t>bs5</t>
  </si>
  <si>
    <t>bs6</t>
  </si>
  <si>
    <t>bs7</t>
  </si>
  <si>
    <t>bs8</t>
  </si>
  <si>
    <t>bs9</t>
  </si>
  <si>
    <t>bs10</t>
  </si>
  <si>
    <t>bs11</t>
  </si>
  <si>
    <t>bs12</t>
  </si>
  <si>
    <t>bs13</t>
  </si>
  <si>
    <t>bs14</t>
  </si>
  <si>
    <t>bs15</t>
  </si>
  <si>
    <t>bs16</t>
  </si>
  <si>
    <t>bs17</t>
  </si>
  <si>
    <t>bs18</t>
  </si>
  <si>
    <t>bs19</t>
  </si>
  <si>
    <t>bs20</t>
  </si>
  <si>
    <t>bs21</t>
  </si>
  <si>
    <t>bs22</t>
  </si>
  <si>
    <t>bs23</t>
  </si>
  <si>
    <t>bs24</t>
  </si>
  <si>
    <t>bs25</t>
  </si>
  <si>
    <t>bs26</t>
  </si>
  <si>
    <t>bs27</t>
  </si>
  <si>
    <t>bs28</t>
  </si>
  <si>
    <t>bs29</t>
  </si>
  <si>
    <t>bs30</t>
  </si>
  <si>
    <t>bs31</t>
  </si>
  <si>
    <t>bs32</t>
  </si>
  <si>
    <t>bs33</t>
  </si>
  <si>
    <t>bs34</t>
  </si>
  <si>
    <t>bs35</t>
  </si>
  <si>
    <t>bs36</t>
  </si>
  <si>
    <t>bs37</t>
  </si>
  <si>
    <t>bs38</t>
  </si>
  <si>
    <t>bs39</t>
  </si>
  <si>
    <t>bs40</t>
  </si>
  <si>
    <t>is1</t>
    <phoneticPr fontId="1" type="noConversion"/>
  </si>
  <si>
    <t>is2</t>
  </si>
  <si>
    <t>is3</t>
  </si>
  <si>
    <t>is4</t>
  </si>
  <si>
    <t>is5</t>
  </si>
  <si>
    <t>is6</t>
  </si>
  <si>
    <t>is7</t>
  </si>
  <si>
    <t>is8</t>
  </si>
  <si>
    <t>is9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</si>
  <si>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</si>
  <si>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</si>
  <si>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</si>
  <si>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</si>
  <si>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</si>
  <si>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</si>
  <si>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</si>
  <si>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</si>
  <si>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</si>
  <si>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</si>
  <si>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</si>
  <si>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is21</t>
  </si>
  <si>
    <t>is22</t>
  </si>
  <si>
    <t>is23</t>
  </si>
  <si>
    <t>is24</t>
  </si>
  <si>
    <t>es1</t>
    <phoneticPr fontId="1" type="noConversion"/>
  </si>
  <si>
    <t>es2</t>
  </si>
  <si>
    <t>es3</t>
  </si>
  <si>
    <t>es4</t>
  </si>
  <si>
    <t>es5</t>
  </si>
  <si>
    <t>es6</t>
  </si>
  <si>
    <t>es7</t>
  </si>
  <si>
    <t>es8</t>
  </si>
  <si>
    <t>es9</t>
  </si>
  <si>
    <t>es10</t>
  </si>
  <si>
    <t>bpp.40</t>
    <phoneticPr fontId="1" type="noConversion"/>
  </si>
  <si>
    <t>ipp.24</t>
    <phoneticPr fontId="1" type="noConversion"/>
  </si>
  <si>
    <t>epp.10</t>
    <phoneticPr fontId="1" type="noConversion"/>
  </si>
  <si>
    <t>Ce/s</t>
    <phoneticPr fontId="1" type="noConversion"/>
  </si>
  <si>
    <t>Cl/s</t>
    <phoneticPr fontId="1" type="noConversion"/>
  </si>
  <si>
    <t>Corr</t>
    <phoneticPr fontId="1" type="noConversion"/>
  </si>
  <si>
    <t>Thrp</t>
    <phoneticPr fontId="1" type="noConversion"/>
  </si>
  <si>
    <t>Path</t>
    <phoneticPr fontId="1" type="noConversion"/>
  </si>
  <si>
    <t>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</si>
  <si>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</si>
  <si>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</si>
  <si>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</si>
  <si>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PPP</t>
    <phoneticPr fontId="1" type="noConversion"/>
  </si>
  <si>
    <t>NR</t>
    <phoneticPr fontId="1" type="noConversion"/>
  </si>
  <si>
    <t>RA</t>
    <phoneticPr fontId="1" type="noConversion"/>
  </si>
  <si>
    <t>IOME</t>
    <phoneticPr fontId="1" type="noConversion"/>
  </si>
  <si>
    <t>IOE</t>
    <phoneticPr fontId="1" type="noConversion"/>
  </si>
  <si>
    <t>CES</t>
    <phoneticPr fontId="1" type="noConversion"/>
  </si>
  <si>
    <t>PPP100</t>
    <phoneticPr fontId="1" type="noConversion"/>
  </si>
  <si>
    <t>Cate</t>
    <phoneticPr fontId="1" type="noConversion"/>
  </si>
  <si>
    <t>BT</t>
    <phoneticPr fontId="1" type="noConversion"/>
  </si>
  <si>
    <t>BB</t>
    <phoneticPr fontId="1" type="noConversion"/>
  </si>
  <si>
    <t>BS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</si>
  <si>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</si>
  <si>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</si>
  <si>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</si>
  <si>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ET</t>
    <phoneticPr fontId="1" type="noConversion"/>
  </si>
  <si>
    <t>EB</t>
    <phoneticPr fontId="1" type="noConversion"/>
  </si>
  <si>
    <t>ES</t>
    <phoneticPr fontId="1" type="noConversion"/>
  </si>
  <si>
    <t>H</t>
    <phoneticPr fontId="1" type="noConversion"/>
  </si>
  <si>
    <t>Min</t>
    <phoneticPr fontId="1" type="noConversion"/>
  </si>
  <si>
    <t>Sec</t>
    <phoneticPr fontId="1" type="noConversion"/>
  </si>
  <si>
    <t>PP</t>
    <phoneticPr fontId="1" type="noConversion"/>
  </si>
  <si>
    <t>RI</t>
    <phoneticPr fontId="1" type="noConversion"/>
  </si>
  <si>
    <t>ppp.37</t>
    <phoneticPr fontId="1" type="noConversion"/>
  </si>
  <si>
    <t>ppp.74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</si>
  <si>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</si>
  <si>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</si>
  <si>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</si>
  <si>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ALL</t>
    <phoneticPr fontId="1" type="noConversion"/>
  </si>
  <si>
    <t>80% PB Peak Status</t>
    <phoneticPr fontId="1" type="noConversion"/>
  </si>
  <si>
    <t>60% PB Peak Status</t>
    <phoneticPr fontId="1" type="noConversion"/>
  </si>
  <si>
    <t>Days</t>
    <phoneticPr fontId="1" type="noConversion"/>
  </si>
  <si>
    <t>Traditional Time Marathon</t>
    <phoneticPr fontId="1" type="noConversion"/>
  </si>
  <si>
    <t>Min</t>
    <phoneticPr fontId="1" type="noConversion"/>
  </si>
  <si>
    <t>Sec</t>
    <phoneticPr fontId="1" type="noConversion"/>
  </si>
  <si>
    <t>Sup</t>
    <phoneticPr fontId="1" type="noConversion"/>
  </si>
  <si>
    <t>ASB10</t>
    <phoneticPr fontId="1" type="noConversion"/>
  </si>
  <si>
    <t>BV10</t>
    <phoneticPr fontId="1" type="noConversion"/>
  </si>
  <si>
    <t>Sub</t>
    <phoneticPr fontId="1" type="noConversion"/>
  </si>
  <si>
    <t>Collection</t>
    <phoneticPr fontId="1" type="noConversion"/>
  </si>
  <si>
    <t>Week</t>
    <phoneticPr fontId="1" type="noConversion"/>
  </si>
  <si>
    <t>Time~QG</t>
    <phoneticPr fontId="1" type="noConversion"/>
  </si>
  <si>
    <t>Value</t>
    <phoneticPr fontId="1" type="noConversion"/>
  </si>
  <si>
    <t>Bv</t>
    <phoneticPr fontId="1" type="noConversion"/>
  </si>
  <si>
    <t>ASB</t>
    <phoneticPr fontId="1" type="noConversion"/>
  </si>
  <si>
    <t>STNB</t>
    <phoneticPr fontId="1" type="noConversion"/>
  </si>
  <si>
    <t>All</t>
    <phoneticPr fontId="1" type="noConversion"/>
  </si>
  <si>
    <t>All</t>
    <phoneticPr fontId="1" type="noConversion"/>
  </si>
  <si>
    <t>Bv.T</t>
    <phoneticPr fontId="1" type="noConversion"/>
  </si>
  <si>
    <t>Time.T</t>
    <phoneticPr fontId="1" type="noConversion"/>
  </si>
  <si>
    <t>Path.T</t>
    <phoneticPr fontId="1" type="noConversion"/>
  </si>
  <si>
    <t>L.T</t>
    <phoneticPr fontId="1" type="noConversion"/>
  </si>
  <si>
    <t>R.T</t>
    <phoneticPr fontId="1" type="noConversion"/>
  </si>
  <si>
    <t>LE.T</t>
    <phoneticPr fontId="1" type="noConversion"/>
  </si>
  <si>
    <t>Cl.T</t>
    <phoneticPr fontId="1" type="noConversion"/>
  </si>
  <si>
    <t>Op.T</t>
    <phoneticPr fontId="1" type="noConversion"/>
  </si>
  <si>
    <t>Is.T</t>
    <phoneticPr fontId="1" type="noConversion"/>
  </si>
  <si>
    <t>Load Csv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</si>
  <si>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</si>
  <si>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</si>
  <si>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</si>
  <si>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</si>
  <si>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Date</t>
    <phoneticPr fontId="1" type="noConversion"/>
  </si>
  <si>
    <t>T10</t>
    <phoneticPr fontId="1" type="noConversion"/>
  </si>
  <si>
    <t>T9</t>
    <phoneticPr fontId="1" type="noConversion"/>
  </si>
  <si>
    <t>T8</t>
    <phoneticPr fontId="1" type="noConversion"/>
  </si>
  <si>
    <t>T7</t>
    <phoneticPr fontId="1" type="noConversion"/>
  </si>
  <si>
    <t>T6</t>
    <phoneticPr fontId="1" type="noConversion"/>
  </si>
  <si>
    <t>Move</t>
    <phoneticPr fontId="1" type="noConversion"/>
  </si>
  <si>
    <t>IOME</t>
    <phoneticPr fontId="1" type="noConversion"/>
  </si>
  <si>
    <t>Op</t>
    <phoneticPr fontId="1" type="noConversion"/>
  </si>
  <si>
    <t>Is</t>
    <phoneticPr fontId="1" type="noConversion"/>
  </si>
  <si>
    <t>lsf</t>
    <phoneticPr fontId="1" type="noConversion"/>
  </si>
  <si>
    <t>year</t>
    <phoneticPr fontId="1" type="noConversion"/>
  </si>
  <si>
    <t>Path</t>
    <phoneticPr fontId="1" type="noConversion"/>
  </si>
  <si>
    <t>Sao</t>
    <phoneticPr fontId="1" type="noConversion"/>
  </si>
  <si>
    <t>R</t>
    <phoneticPr fontId="1" type="noConversion"/>
  </si>
  <si>
    <t>YT[&lt;=15]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</si>
  <si>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</si>
  <si>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</si>
  <si>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</si>
  <si>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LSF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</si>
  <si>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</si>
  <si>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</si>
  <si>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</si>
  <si>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Match</t>
    <phoneticPr fontId="1" type="noConversion"/>
  </si>
  <si>
    <t>LSFB</t>
    <phoneticPr fontId="1" type="noConversion"/>
  </si>
  <si>
    <t>LSFI</t>
    <phoneticPr fontId="1" type="noConversion"/>
  </si>
  <si>
    <t>LSFE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</si>
  <si>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</si>
  <si>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</si>
  <si>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</si>
  <si>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NT%B</t>
    <phoneticPr fontId="1" type="noConversion"/>
  </si>
  <si>
    <t>NT%I</t>
    <phoneticPr fontId="1" type="noConversion"/>
  </si>
  <si>
    <t>NT%E</t>
    <phoneticPr fontId="1" type="noConversion"/>
  </si>
  <si>
    <t>NFBT.5</t>
    <phoneticPr fontId="1" type="noConversion"/>
  </si>
  <si>
    <t>NFIT.5</t>
    <phoneticPr fontId="1" type="noConversion"/>
  </si>
  <si>
    <t>NFET.5</t>
    <phoneticPr fontId="1" type="noConversion"/>
  </si>
  <si>
    <t>NFBB.5</t>
    <phoneticPr fontId="1" type="noConversion"/>
  </si>
  <si>
    <t>NFIB.5</t>
    <phoneticPr fontId="1" type="noConversion"/>
  </si>
  <si>
    <t>NFEB.5</t>
    <phoneticPr fontId="1" type="noConversion"/>
  </si>
  <si>
    <t>NFBS.5</t>
    <phoneticPr fontId="1" type="noConversion"/>
  </si>
  <si>
    <t>NFIS.5</t>
    <phoneticPr fontId="1" type="noConversion"/>
  </si>
  <si>
    <t>NFES.5</t>
    <phoneticPr fontId="1" type="noConversion"/>
  </si>
  <si>
    <t>S.5</t>
    <phoneticPr fontId="1" type="noConversion"/>
  </si>
  <si>
    <t>BT.1</t>
    <phoneticPr fontId="1" type="noConversion"/>
  </si>
  <si>
    <t>IT.1</t>
    <phoneticPr fontId="1" type="noConversion"/>
  </si>
  <si>
    <t>ET.1</t>
    <phoneticPr fontId="1" type="noConversion"/>
  </si>
  <si>
    <t>BB.1</t>
    <phoneticPr fontId="1" type="noConversion"/>
  </si>
  <si>
    <t>IB.1</t>
    <phoneticPr fontId="1" type="noConversion"/>
  </si>
  <si>
    <t>EB.1</t>
    <phoneticPr fontId="1" type="noConversion"/>
  </si>
  <si>
    <t>BS.1</t>
    <phoneticPr fontId="1" type="noConversion"/>
  </si>
  <si>
    <t>IS.1</t>
    <phoneticPr fontId="1" type="noConversion"/>
  </si>
  <si>
    <t>ES.1</t>
    <phoneticPr fontId="1" type="noConversion"/>
  </si>
  <si>
    <t>bt.1/.5</t>
    <phoneticPr fontId="1" type="noConversion"/>
  </si>
  <si>
    <t>it.1/.5</t>
    <phoneticPr fontId="1" type="noConversion"/>
  </si>
  <si>
    <t>et.1/.5</t>
    <phoneticPr fontId="1" type="noConversion"/>
  </si>
  <si>
    <t>bb.5/.1</t>
    <phoneticPr fontId="1" type="noConversion"/>
  </si>
  <si>
    <t>ib.5/.1</t>
    <phoneticPr fontId="1" type="noConversion"/>
  </si>
  <si>
    <t>eb.5/.1</t>
    <phoneticPr fontId="1" type="noConversion"/>
  </si>
  <si>
    <t>BegTimeRecord</t>
    <phoneticPr fontId="1" type="noConversion"/>
  </si>
  <si>
    <t>IntTimeRecord</t>
    <phoneticPr fontId="1" type="noConversion"/>
  </si>
  <si>
    <t>ExpTimeRecord</t>
    <phoneticPr fontId="1" type="noConversion"/>
  </si>
  <si>
    <t>BegBvsRecord</t>
    <phoneticPr fontId="1" type="noConversion"/>
  </si>
  <si>
    <t>IntBvsRecord</t>
    <phoneticPr fontId="1" type="noConversion"/>
  </si>
  <si>
    <t>ExpBvsRecord</t>
    <phoneticPr fontId="1" type="noConversion"/>
  </si>
  <si>
    <t>BegSTNBRecord</t>
    <phoneticPr fontId="1" type="noConversion"/>
  </si>
  <si>
    <t>IntSTNBRecord</t>
    <phoneticPr fontId="1" type="noConversion"/>
  </si>
  <si>
    <t>ExpSTNBRecord</t>
    <phoneticPr fontId="1" type="noConversion"/>
  </si>
  <si>
    <t>Month</t>
    <phoneticPr fontId="1" type="noConversion"/>
  </si>
  <si>
    <t>Time</t>
    <phoneticPr fontId="1" type="noConversion"/>
  </si>
  <si>
    <t>BBBV</t>
    <phoneticPr fontId="1" type="noConversion"/>
  </si>
  <si>
    <t>3bv/s</t>
    <phoneticPr fontId="1" type="noConversion"/>
  </si>
  <si>
    <t>ce/s</t>
    <phoneticPr fontId="1" type="noConversion"/>
  </si>
  <si>
    <t>cl/s</t>
    <phoneticPr fontId="1" type="noConversion"/>
  </si>
  <si>
    <t>days</t>
    <phoneticPr fontId="1" type="noConversion"/>
  </si>
  <si>
    <t>New</t>
    <phoneticPr fontId="1" type="noConversion"/>
  </si>
  <si>
    <t>bv1</t>
    <phoneticPr fontId="1" type="noConversion"/>
  </si>
  <si>
    <t>game/day</t>
    <phoneticPr fontId="1" type="noConversion"/>
  </si>
  <si>
    <t>MedalValue</t>
    <phoneticPr fontId="1" type="noConversion"/>
  </si>
  <si>
    <t>TopValue</t>
    <phoneticPr fontId="1" type="noConversion"/>
  </si>
  <si>
    <t>bv0</t>
    <phoneticPr fontId="1" type="noConversion"/>
  </si>
  <si>
    <t>t020</t>
    <phoneticPr fontId="1" type="noConversion"/>
  </si>
  <si>
    <t>t040</t>
    <phoneticPr fontId="1" type="noConversion"/>
  </si>
  <si>
    <t>t060</t>
    <phoneticPr fontId="1" type="noConversion"/>
  </si>
  <si>
    <t>t080</t>
    <phoneticPr fontId="1" type="noConversion"/>
  </si>
  <si>
    <t>bv2</t>
    <phoneticPr fontId="1" type="noConversion"/>
  </si>
  <si>
    <t>bv3</t>
    <phoneticPr fontId="1" type="noConversion"/>
  </si>
  <si>
    <t>bv4</t>
    <phoneticPr fontId="1" type="noConversion"/>
  </si>
  <si>
    <t>bv5</t>
    <phoneticPr fontId="1" type="noConversion"/>
  </si>
  <si>
    <t>bv6</t>
    <phoneticPr fontId="1" type="noConversion"/>
  </si>
  <si>
    <t>bv7</t>
    <phoneticPr fontId="1" type="noConversion"/>
  </si>
  <si>
    <t>bv8</t>
    <phoneticPr fontId="1" type="noConversion"/>
  </si>
  <si>
    <t>bv9</t>
    <phoneticPr fontId="1" type="noConversion"/>
  </si>
  <si>
    <t>t100</t>
    <phoneticPr fontId="1" type="noConversion"/>
  </si>
  <si>
    <t>t120</t>
    <phoneticPr fontId="1" type="noConversion"/>
  </si>
  <si>
    <t>t140</t>
    <phoneticPr fontId="1" type="noConversion"/>
  </si>
  <si>
    <t>t160</t>
    <phoneticPr fontId="1" type="noConversion"/>
  </si>
  <si>
    <t>t180</t>
    <phoneticPr fontId="1" type="noConversion"/>
  </si>
  <si>
    <t>t200</t>
    <phoneticPr fontId="1" type="noConversion"/>
  </si>
  <si>
    <t>AvgInfo</t>
    <phoneticPr fontId="1" type="noConversion"/>
  </si>
  <si>
    <t>MV/day</t>
    <phoneticPr fontId="1" type="noConversion"/>
  </si>
  <si>
    <t>TV/day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</si>
  <si>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</si>
  <si>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</si>
  <si>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</si>
  <si>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</si>
  <si>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move</t>
    <phoneticPr fontId="1" type="noConversion"/>
  </si>
  <si>
    <t>corr</t>
    <phoneticPr fontId="1" type="noConversion"/>
  </si>
  <si>
    <t>thrp</t>
    <phoneticPr fontId="1" type="noConversion"/>
  </si>
  <si>
    <t>nf%</t>
    <phoneticPr fontId="1" type="noConversion"/>
  </si>
  <si>
    <t>nf.5</t>
    <phoneticPr fontId="1" type="noConversion"/>
  </si>
  <si>
    <t>bs.5/.1^</t>
    <phoneticPr fontId="1" type="noConversion"/>
  </si>
  <si>
    <t>is.5/.1^</t>
    <phoneticPr fontId="1" type="noConversion"/>
  </si>
  <si>
    <t>es.5/.1^</t>
    <phoneticPr fontId="1" type="noConversion"/>
  </si>
  <si>
    <t>Bv</t>
    <phoneticPr fontId="1" type="noConversion"/>
  </si>
  <si>
    <t>Rare</t>
    <phoneticPr fontId="1" type="noConversion"/>
  </si>
  <si>
    <t>V</t>
    <phoneticPr fontId="1" type="noConversion"/>
  </si>
  <si>
    <t>Rank</t>
    <phoneticPr fontId="1" type="noConversion"/>
  </si>
  <si>
    <t>Value</t>
    <phoneticPr fontId="1" type="noConversion"/>
  </si>
  <si>
    <t>t020</t>
    <phoneticPr fontId="1" type="noConversion"/>
  </si>
  <si>
    <t>t040</t>
    <phoneticPr fontId="1" type="noConversion"/>
  </si>
  <si>
    <t>t060</t>
  </si>
  <si>
    <t>t080</t>
  </si>
  <si>
    <t>t100</t>
  </si>
  <si>
    <t>t120</t>
  </si>
  <si>
    <t>t140</t>
  </si>
  <si>
    <t>t160</t>
  </si>
  <si>
    <t>t180</t>
  </si>
  <si>
    <t>t200</t>
  </si>
  <si>
    <t>t020</t>
    <phoneticPr fontId="1" type="noConversion"/>
  </si>
  <si>
    <t>t040</t>
    <phoneticPr fontId="1" type="noConversion"/>
  </si>
  <si>
    <t>t020</t>
    <phoneticPr fontId="1" type="noConversion"/>
  </si>
  <si>
    <t>t040</t>
    <phoneticPr fontId="1" type="noConversion"/>
  </si>
  <si>
    <t>sao</t>
    <phoneticPr fontId="1" type="noConversion"/>
  </si>
  <si>
    <t>iome</t>
    <phoneticPr fontId="1" type="noConversion"/>
  </si>
  <si>
    <t>MV/day+TV/day</t>
    <phoneticPr fontId="1" type="noConversion"/>
  </si>
  <si>
    <t>MedalValue+TopValue</t>
    <phoneticPr fontId="1" type="noConversion"/>
  </si>
  <si>
    <t>150~196</t>
    <phoneticPr fontId="1" type="noConversion"/>
  </si>
  <si>
    <t>30~36,99~109</t>
    <phoneticPr fontId="1" type="noConversion"/>
  </si>
  <si>
    <t>110~118</t>
    <phoneticPr fontId="1" type="noConversion"/>
  </si>
  <si>
    <t>119~127</t>
    <phoneticPr fontId="1" type="noConversion"/>
  </si>
  <si>
    <t>128~134</t>
    <phoneticPr fontId="1" type="noConversion"/>
  </si>
  <si>
    <t>135~142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</si>
  <si>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</si>
  <si>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</si>
  <si>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</si>
  <si>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</si>
  <si>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45,49,54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</si>
  <si>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</si>
  <si>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</si>
  <si>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</si>
  <si>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100~104,255~267</t>
    <phoneticPr fontId="1" type="noConversion"/>
  </si>
  <si>
    <t>268~278</t>
    <phoneticPr fontId="1" type="noConversion"/>
  </si>
  <si>
    <t>279~288</t>
    <phoneticPr fontId="1" type="noConversion"/>
  </si>
  <si>
    <t>5~6,29~35</t>
    <phoneticPr fontId="1" type="noConversion"/>
  </si>
  <si>
    <t>3~4,36~41</t>
    <phoneticPr fontId="1" type="noConversion"/>
  </si>
  <si>
    <t>2,42~44,46~47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</si>
  <si>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</si>
  <si>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</si>
  <si>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</si>
  <si>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Total</t>
    <phoneticPr fontId="1" type="noConversion"/>
  </si>
  <si>
    <t>&gt;1/2</t>
    <phoneticPr fontId="1" type="noConversion"/>
  </si>
  <si>
    <t>&gt;3/4</t>
    <phoneticPr fontId="1" type="noConversion"/>
  </si>
  <si>
    <t>MinBv</t>
    <phoneticPr fontId="1" type="noConversion"/>
  </si>
  <si>
    <t>MaxBv</t>
    <phoneticPr fontId="1" type="noConversion"/>
  </si>
  <si>
    <t>N</t>
    <phoneticPr fontId="1" type="noConversion"/>
  </si>
  <si>
    <t>R</t>
    <phoneticPr fontId="1" type="noConversion"/>
  </si>
  <si>
    <t>SR</t>
    <phoneticPr fontId="1" type="noConversion"/>
  </si>
  <si>
    <t>SSR</t>
    <phoneticPr fontId="1" type="noConversion"/>
  </si>
  <si>
    <t>3SR</t>
    <phoneticPr fontId="1" type="noConversion"/>
  </si>
  <si>
    <t>4SR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</si>
  <si>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</si>
  <si>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</si>
  <si>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</si>
  <si>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</si>
  <si>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tot</t>
    <phoneticPr fontId="1" type="noConversion"/>
  </si>
  <si>
    <t>win.r</t>
    <phoneticPr fontId="1" type="noConversion"/>
  </si>
  <si>
    <t>min</t>
    <phoneticPr fontId="1" type="noConversion"/>
  </si>
  <si>
    <t>max</t>
    <phoneticPr fontId="1" type="noConversion"/>
  </si>
  <si>
    <t>n</t>
    <phoneticPr fontId="1" type="noConversion"/>
  </si>
  <si>
    <t>r</t>
    <phoneticPr fontId="1" type="noConversion"/>
  </si>
  <si>
    <t>sr</t>
    <phoneticPr fontId="1" type="noConversion"/>
  </si>
  <si>
    <t>ssr</t>
    <phoneticPr fontId="1" type="noConversion"/>
  </si>
  <si>
    <t>4sr</t>
    <phoneticPr fontId="1" type="noConversion"/>
  </si>
  <si>
    <t>&gt;7/8</t>
    <phoneticPr fontId="1" type="noConversion"/>
  </si>
  <si>
    <t>b.t</t>
    <phoneticPr fontId="1" type="noConversion"/>
  </si>
  <si>
    <t>i.t</t>
    <phoneticPr fontId="1" type="noConversion"/>
  </si>
  <si>
    <t>e.t</t>
    <phoneticPr fontId="1" type="noConversion"/>
  </si>
  <si>
    <t>b.b</t>
    <phoneticPr fontId="1" type="noConversion"/>
  </si>
  <si>
    <t>i.b</t>
    <phoneticPr fontId="1" type="noConversion"/>
  </si>
  <si>
    <t>e.b</t>
    <phoneticPr fontId="1" type="noConversion"/>
  </si>
  <si>
    <t>b.s</t>
    <phoneticPr fontId="1" type="noConversion"/>
  </si>
  <si>
    <t>i.s</t>
    <phoneticPr fontId="1" type="noConversion"/>
  </si>
  <si>
    <t>e.s</t>
    <phoneticPr fontId="1" type="noConversion"/>
  </si>
  <si>
    <t>5sr</t>
    <phoneticPr fontId="1" type="noConversion"/>
  </si>
  <si>
    <t>Version=39.5</t>
    <phoneticPr fontId="1" type="noConversion"/>
  </si>
  <si>
    <t>3sr</t>
    <phoneticPr fontId="1" type="noConversion"/>
  </si>
  <si>
    <t>e.s.info</t>
    <phoneticPr fontId="1" type="noConversion"/>
  </si>
  <si>
    <t>i.s.info</t>
    <phoneticPr fontId="1" type="noConversion"/>
  </si>
  <si>
    <t>&gt;1/8</t>
    <phoneticPr fontId="1" type="noConversion"/>
  </si>
  <si>
    <t>&gt;1/4</t>
    <phoneticPr fontId="1" type="noConversion"/>
  </si>
  <si>
    <t>&gt;3/8</t>
    <phoneticPr fontId="1" type="noConversion"/>
  </si>
  <si>
    <t>&gt;1/2</t>
    <phoneticPr fontId="1" type="noConversion"/>
  </si>
  <si>
    <t>&gt;5/8</t>
    <phoneticPr fontId="1" type="noConversion"/>
  </si>
  <si>
    <t>&gt;3/4</t>
    <phoneticPr fontId="1" type="noConversion"/>
  </si>
  <si>
    <t>&gt;7/8</t>
    <phoneticPr fontId="1" type="noConversion"/>
  </si>
  <si>
    <t>Cost</t>
    <phoneticPr fontId="1" type="noConversion"/>
  </si>
  <si>
    <t>疯狂</t>
  </si>
  <si>
    <t>125~242</t>
    <phoneticPr fontId="1" type="noConversion"/>
  </si>
  <si>
    <t>125~236</t>
    <phoneticPr fontId="1" type="noConversion"/>
  </si>
  <si>
    <t>125~214</t>
    <phoneticPr fontId="1" type="noConversion"/>
  </si>
  <si>
    <t>125~202</t>
    <phoneticPr fontId="1" type="noConversion"/>
  </si>
  <si>
    <t>125~191</t>
    <phoneticPr fontId="1" type="noConversion"/>
  </si>
  <si>
    <t>125~180</t>
    <phoneticPr fontId="1" type="noConversion"/>
  </si>
  <si>
    <t>~</t>
    <phoneticPr fontId="1" type="noConversion"/>
  </si>
  <si>
    <t>30~64</t>
    <phoneticPr fontId="1" type="noConversion"/>
  </si>
  <si>
    <t>30~55</t>
    <phoneticPr fontId="1" type="noConversion"/>
  </si>
  <si>
    <t>30~48</t>
    <phoneticPr fontId="1" type="noConversion"/>
  </si>
  <si>
    <t>30~37</t>
    <phoneticPr fontId="1" type="noConversion"/>
  </si>
  <si>
    <t>30~30</t>
    <phoneticPr fontId="1" type="noConversion"/>
  </si>
  <si>
    <t>3~21</t>
    <phoneticPr fontId="1" type="noConversion"/>
  </si>
  <si>
    <t>3~18</t>
    <phoneticPr fontId="1" type="noConversion"/>
  </si>
  <si>
    <t>3~9</t>
    <phoneticPr fontId="1" type="noConversion"/>
  </si>
  <si>
    <t>3~5</t>
    <phoneticPr fontId="1" type="noConversion"/>
  </si>
  <si>
    <t>37~99</t>
    <phoneticPr fontId="1" type="noConversion"/>
  </si>
  <si>
    <t>69~99</t>
    <phoneticPr fontId="1" type="noConversion"/>
  </si>
  <si>
    <t>18~29</t>
    <phoneticPr fontId="1" type="noConversion"/>
  </si>
  <si>
    <t>sup3.8</t>
    <phoneticPr fontId="1" type="noConversion"/>
  </si>
  <si>
    <t>st48</t>
    <phoneticPr fontId="1" type="noConversion"/>
  </si>
  <si>
    <t>rt5.5</t>
    <phoneticPr fontId="1" type="noConversion"/>
  </si>
  <si>
    <t>sup2.4</t>
    <phoneticPr fontId="1" type="noConversion"/>
  </si>
  <si>
    <t>st40</t>
    <phoneticPr fontId="1" type="noConversion"/>
  </si>
  <si>
    <t>rt18</t>
    <phoneticPr fontId="1" type="noConversion"/>
  </si>
  <si>
    <t>sup2.3</t>
    <phoneticPr fontId="1" type="noConversion"/>
  </si>
  <si>
    <t>rt72</t>
    <phoneticPr fontId="1" type="noConversion"/>
  </si>
  <si>
    <t>sup4</t>
    <phoneticPr fontId="1" type="noConversion"/>
  </si>
  <si>
    <t>st56</t>
    <phoneticPr fontId="1" type="noConversion"/>
  </si>
  <si>
    <t>rt5</t>
    <phoneticPr fontId="1" type="noConversion"/>
  </si>
  <si>
    <t>sup2.6</t>
    <phoneticPr fontId="1" type="noConversion"/>
  </si>
  <si>
    <t>st44</t>
    <phoneticPr fontId="1" type="noConversion"/>
  </si>
  <si>
    <t>rt17</t>
    <phoneticPr fontId="1" type="noConversion"/>
  </si>
  <si>
    <t>st51</t>
    <phoneticPr fontId="1" type="noConversion"/>
  </si>
  <si>
    <t>rt69</t>
    <phoneticPr fontId="1" type="noConversion"/>
  </si>
  <si>
    <t>sup4.2</t>
    <phoneticPr fontId="1" type="noConversion"/>
  </si>
  <si>
    <t>st64</t>
    <phoneticPr fontId="1" type="noConversion"/>
  </si>
  <si>
    <t>rt4.5</t>
    <phoneticPr fontId="1" type="noConversion"/>
  </si>
  <si>
    <t>sup2.8</t>
    <phoneticPr fontId="1" type="noConversion"/>
  </si>
  <si>
    <t>rt16</t>
    <phoneticPr fontId="1" type="noConversion"/>
  </si>
  <si>
    <t>sup2.5</t>
    <phoneticPr fontId="1" type="noConversion"/>
  </si>
  <si>
    <t>st54</t>
    <phoneticPr fontId="1" type="noConversion"/>
  </si>
  <si>
    <t>rt66</t>
    <phoneticPr fontId="1" type="noConversion"/>
  </si>
  <si>
    <t>sup4.4</t>
    <phoneticPr fontId="1" type="noConversion"/>
  </si>
  <si>
    <t>st72</t>
    <phoneticPr fontId="1" type="noConversion"/>
  </si>
  <si>
    <t>rt4</t>
    <phoneticPr fontId="1" type="noConversion"/>
  </si>
  <si>
    <t>sup3</t>
    <phoneticPr fontId="1" type="noConversion"/>
  </si>
  <si>
    <t>st52</t>
    <phoneticPr fontId="1" type="noConversion"/>
  </si>
  <si>
    <t>rt15</t>
    <phoneticPr fontId="1" type="noConversion"/>
  </si>
  <si>
    <t>st57</t>
    <phoneticPr fontId="1" type="noConversion"/>
  </si>
  <si>
    <t>rt63</t>
    <phoneticPr fontId="1" type="noConversion"/>
  </si>
  <si>
    <t>sup4.6</t>
    <phoneticPr fontId="1" type="noConversion"/>
  </si>
  <si>
    <t>st80</t>
    <phoneticPr fontId="1" type="noConversion"/>
  </si>
  <si>
    <t>rt3.5</t>
    <phoneticPr fontId="1" type="noConversion"/>
  </si>
  <si>
    <t>sup3.2</t>
    <phoneticPr fontId="1" type="noConversion"/>
  </si>
  <si>
    <t>rt14</t>
    <phoneticPr fontId="1" type="noConversion"/>
  </si>
  <si>
    <t>sup2.7</t>
    <phoneticPr fontId="1" type="noConversion"/>
  </si>
  <si>
    <t>st60</t>
    <phoneticPr fontId="1" type="noConversion"/>
  </si>
  <si>
    <t>rt60</t>
    <phoneticPr fontId="1" type="noConversion"/>
  </si>
  <si>
    <t>3.57[12]3.36~65</t>
    <phoneticPr fontId="1" type="noConversion"/>
  </si>
  <si>
    <t>18.57[35]1.88~37</t>
    <phoneticPr fontId="1" type="noConversion"/>
  </si>
  <si>
    <t>67.57[138]2.04~47</t>
    <phoneticPr fontId="1" type="noConversion"/>
  </si>
  <si>
    <t>6.12[26]4.25~57</t>
    <phoneticPr fontId="1" type="noConversion"/>
  </si>
  <si>
    <t>20.48[58]2.83~53</t>
    <phoneticPr fontId="1" type="noConversion"/>
  </si>
  <si>
    <t>4.16[16]3.85~67</t>
    <phoneticPr fontId="1" type="noConversion"/>
  </si>
  <si>
    <t>3.5[11]3.14~62</t>
    <phoneticPr fontId="1" type="noConversion"/>
  </si>
  <si>
    <t>29.4[89]3.03~44</t>
    <phoneticPr fontId="1" type="noConversion"/>
  </si>
  <si>
    <t>87.15[214]2.46~47</t>
    <phoneticPr fontId="1" type="noConversion"/>
  </si>
  <si>
    <t>73.33[171]2.33~50</t>
    <phoneticPr fontId="1" type="noConversion"/>
  </si>
  <si>
    <t>3.31[10]3.02~62</t>
    <phoneticPr fontId="1" type="noConversion"/>
  </si>
  <si>
    <t>31.46[97]3.08~42</t>
    <phoneticPr fontId="1" type="noConversion"/>
  </si>
  <si>
    <t>4.03[16]3.97~71</t>
    <phoneticPr fontId="1" type="noConversion"/>
  </si>
  <si>
    <t>3.19[10]3.13~66</t>
    <phoneticPr fontId="1" type="noConversion"/>
  </si>
  <si>
    <t>17.81[42]2.36~48</t>
    <phoneticPr fontId="1" type="noConversion"/>
  </si>
  <si>
    <t>74.65[186]2.49~53</t>
    <phoneticPr fontId="1" type="noConversion"/>
  </si>
  <si>
    <t>16.83[41]2.44~52</t>
    <phoneticPr fontId="1" type="noConversion"/>
  </si>
  <si>
    <t>66.72[141]2.11~49</t>
    <phoneticPr fontId="1" type="noConversion"/>
  </si>
  <si>
    <t>25.83[84]3.25~51</t>
    <phoneticPr fontId="1" type="noConversion"/>
  </si>
  <si>
    <t>75.17[193]2.57~54</t>
    <phoneticPr fontId="1" type="noConversion"/>
  </si>
  <si>
    <t>69.38[174]2.51~56</t>
    <phoneticPr fontId="1" type="noConversion"/>
  </si>
  <si>
    <t>5.25[23]4.38~65</t>
    <phoneticPr fontId="1" type="noConversion"/>
  </si>
  <si>
    <t>18.7[55]2.94~58</t>
    <phoneticPr fontId="1" type="noConversion"/>
  </si>
  <si>
    <t>65.28[146]2.24~52</t>
    <phoneticPr fontId="1" type="noConversion"/>
  </si>
  <si>
    <t>3.14[11]3.5~74</t>
    <phoneticPr fontId="1" type="noConversion"/>
  </si>
  <si>
    <t>16.77[35]2.09~45</t>
    <phoneticPr fontId="1" type="noConversion"/>
  </si>
  <si>
    <t>3.84[17]4.43~82</t>
    <phoneticPr fontId="1" type="noConversion"/>
  </si>
  <si>
    <t>3.13[12]3.83~82</t>
    <phoneticPr fontId="1" type="noConversion"/>
  </si>
  <si>
    <t>27.97[97]3.47~52</t>
    <phoneticPr fontId="1" type="noConversion"/>
  </si>
  <si>
    <t>82.09[216]2.63~52</t>
    <phoneticPr fontId="1" type="noConversion"/>
  </si>
  <si>
    <t>68.85[172]2.5~56</t>
    <phoneticPr fontId="1" type="noConversion"/>
  </si>
  <si>
    <t>62.53[125]2~48</t>
    <phoneticPr fontId="1" type="noConversion"/>
  </si>
  <si>
    <t>4.48[20]4.46~74</t>
    <phoneticPr fontId="1" type="noConversion"/>
  </si>
  <si>
    <t>3[10]3.33~73</t>
    <phoneticPr fontId="1" type="noConversion"/>
  </si>
  <si>
    <t>6.04[27]4.47~60</t>
    <phoneticPr fontId="1" type="noConversion"/>
  </si>
  <si>
    <t>74.82[208]2.78~59</t>
    <phoneticPr fontId="1" type="noConversion"/>
  </si>
  <si>
    <t>71.65[195]2.72~60</t>
    <phoneticPr fontId="1" type="noConversion"/>
  </si>
  <si>
    <t>14.12[37]2.62~63</t>
    <phoneticPr fontId="1" type="noConversion"/>
  </si>
  <si>
    <t>62.97[163]2.59~62</t>
    <phoneticPr fontId="1" type="noConversion"/>
  </si>
  <si>
    <t>67.9[191]2.81~64</t>
    <phoneticPr fontId="1" type="noConversion"/>
  </si>
  <si>
    <t>61.94[138]2.23~54</t>
    <phoneticPr fontId="1" type="noConversion"/>
  </si>
  <si>
    <t>60.46[152]2.51~62</t>
    <phoneticPr fontId="1" type="noConversion"/>
  </si>
  <si>
    <t>5.28[24]4.55~67</t>
    <phoneticPr fontId="1" type="noConversion"/>
  </si>
  <si>
    <t>83.1[236]2.84~56</t>
    <phoneticPr fontId="1" type="noConversion"/>
  </si>
  <si>
    <t>59.17[146]2.47~62</t>
    <phoneticPr fontId="1" type="noConversion"/>
  </si>
  <si>
    <t>63.97[173]2.7~64</t>
    <phoneticPr fontId="1" type="noConversion"/>
  </si>
  <si>
    <t>3.69[18]4.88~93</t>
    <phoneticPr fontId="1" type="noConversion"/>
  </si>
  <si>
    <t>58.3[141]2.42~61</t>
    <phoneticPr fontId="1" type="noConversion"/>
  </si>
  <si>
    <t>63.73[180]2.82~67</t>
    <phoneticPr fontId="1" type="noConversion"/>
  </si>
  <si>
    <t>13.41[30]2.24~56</t>
    <phoneticPr fontId="1" type="noConversion"/>
  </si>
  <si>
    <t>57.36[125]2.18~56</t>
    <phoneticPr fontId="1" type="noConversion"/>
  </si>
  <si>
    <t>Num</t>
    <phoneticPr fontId="1" type="noConversion"/>
  </si>
  <si>
    <t>ces</t>
    <phoneticPr fontId="1" type="noConversion"/>
  </si>
  <si>
    <t>bvs</t>
    <phoneticPr fontId="1" type="noConversion"/>
  </si>
  <si>
    <t>c/b</t>
    <phoneticPr fontId="1" type="noConversion"/>
  </si>
  <si>
    <t>奇迹</t>
    <phoneticPr fontId="1" type="noConversion"/>
  </si>
  <si>
    <t>疯狂</t>
    <phoneticPr fontId="1" type="noConversion"/>
  </si>
  <si>
    <t>困难</t>
    <phoneticPr fontId="1" type="noConversion"/>
  </si>
  <si>
    <t>常规</t>
    <phoneticPr fontId="1" type="noConversion"/>
  </si>
  <si>
    <t>简单</t>
    <phoneticPr fontId="1" type="noConversion"/>
  </si>
  <si>
    <t>stats_csv.csv</t>
    <phoneticPr fontId="1" type="noConversion"/>
  </si>
  <si>
    <t>11~40</t>
    <phoneticPr fontId="1" type="noConversion"/>
  </si>
  <si>
    <t>125~141</t>
    <phoneticPr fontId="1" type="noConversion"/>
  </si>
  <si>
    <t>3~25</t>
    <phoneticPr fontId="1" type="noConversion"/>
  </si>
  <si>
    <t>150~242</t>
    <phoneticPr fontId="1" type="noConversion"/>
  </si>
  <si>
    <t>10~40</t>
    <phoneticPr fontId="1" type="noConversion"/>
  </si>
  <si>
    <t>14~40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</si>
</sst>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&quot;¥&quot;#,##0.0_);\(&quot;¥&quot;#,##0.0\)"/>
    <numFmt numFmtId="186" formatCode="0.000%"/>
    <numFmt numFmtId="187" formatCode="m/d"/>
    <numFmt numFmtId="188" formatCode="&quot;¥&quot;#,##0.0;&quot;¥&quot;\-#,##0.0"/>
    <numFmt numFmtId="189" formatCode="0.0000_ "/>
    <numFmt numFmtId="190" formatCode="yy/m"/>
    <numFmt numFmtId="191" formatCode="yyyy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等线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25EBB7"/>
        <bgColor theme="0"/>
      </patternFill>
    </fill>
    <fill>
      <patternFill patternType="solid">
        <fgColor rgb="FFD6007B"/>
        <bgColor theme="0"/>
      </patternFill>
    </fill>
    <fill>
      <patternFill patternType="solid">
        <fgColor rgb="FFFF57B7"/>
        <bgColor theme="0"/>
      </patternFill>
    </fill>
    <fill>
      <patternFill patternType="solid">
        <fgColor rgb="FF0FB58D"/>
        <bgColor theme="0"/>
      </patternFill>
    </fill>
    <fill>
      <patternFill patternType="solid">
        <fgColor theme="0"/>
        <bgColor theme="0"/>
      </patternFill>
    </fill>
    <fill>
      <patternFill patternType="solid">
        <fgColor rgb="FFD3F410"/>
        <bgColor indexed="64"/>
      </patternFill>
    </fill>
    <fill>
      <patternFill patternType="solid">
        <fgColor rgb="FF003B68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945210"/>
        <bgColor indexed="64"/>
      </patternFill>
    </fill>
    <fill>
      <patternFill patternType="solid">
        <fgColor rgb="FFFF97D2"/>
        <bgColor theme="0"/>
      </patternFill>
    </fill>
    <fill>
      <patternFill patternType="solid">
        <fgColor rgb="FF760043"/>
        <bgColor theme="0"/>
      </patternFill>
    </fill>
    <fill>
      <patternFill patternType="solid">
        <fgColor rgb="FF7030A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07513F"/>
        <bgColor theme="0"/>
      </patternFill>
    </fill>
    <fill>
      <patternFill patternType="solid">
        <fgColor rgb="FF0C8E6F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theme="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57B7"/>
        <bgColor indexed="64"/>
      </patternFill>
    </fill>
    <fill>
      <patternFill patternType="solid">
        <fgColor rgb="FF808080"/>
        <bgColor theme="0"/>
      </patternFill>
    </fill>
    <fill>
      <patternFill patternType="solid">
        <fgColor rgb="FFFF5B5B"/>
        <bgColor theme="0"/>
      </patternFill>
    </fill>
    <fill>
      <patternFill patternType="solid">
        <fgColor rgb="FF92D050"/>
        <bgColor theme="0"/>
      </patternFill>
    </fill>
    <fill>
      <patternFill patternType="solid">
        <fgColor rgb="FF00B0F0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rgb="FFFF97D2"/>
        <bgColor indexed="64"/>
      </patternFill>
    </fill>
    <fill>
      <patternFill patternType="solid">
        <fgColor rgb="FF0C8E6F"/>
        <bgColor indexed="64"/>
      </patternFill>
    </fill>
    <fill>
      <patternFill patternType="solid">
        <fgColor rgb="FF7DF3D4"/>
        <bgColor indexed="64"/>
      </patternFill>
    </fill>
    <fill>
      <patternFill patternType="solid">
        <fgColor rgb="FF76004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8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2" fontId="2" fillId="4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76" fontId="2" fillId="7" borderId="1" xfId="0" applyNumberFormat="1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2" fillId="6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80" fontId="2" fillId="2" borderId="1" xfId="0" applyNumberFormat="1" applyFont="1" applyFill="1" applyBorder="1" applyAlignment="1">
      <alignment horizontal="center" vertical="center"/>
    </xf>
    <xf numFmtId="180" fontId="2" fillId="2" borderId="2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2" fillId="17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7" fontId="2" fillId="10" borderId="1" xfId="0" applyNumberFormat="1" applyFont="1" applyFill="1" applyBorder="1" applyAlignment="1">
      <alignment horizontal="center" vertical="center"/>
    </xf>
    <xf numFmtId="183" fontId="2" fillId="10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178" fontId="2" fillId="4" borderId="6" xfId="0" applyNumberFormat="1" applyFont="1" applyFill="1" applyBorder="1" applyAlignment="1">
      <alignment horizontal="center" vertical="center"/>
    </xf>
    <xf numFmtId="184" fontId="2" fillId="3" borderId="2" xfId="0" applyNumberFormat="1" applyFont="1" applyFill="1" applyBorder="1" applyAlignment="1">
      <alignment horizontal="center" vertical="center"/>
    </xf>
    <xf numFmtId="176" fontId="2" fillId="3" borderId="9" xfId="0" applyNumberFormat="1" applyFont="1" applyFill="1" applyBorder="1" applyAlignment="1">
      <alignment horizontal="center" vertical="center"/>
    </xf>
    <xf numFmtId="177" fontId="2" fillId="3" borderId="9" xfId="0" applyNumberFormat="1" applyFont="1" applyFill="1" applyBorder="1" applyAlignment="1">
      <alignment horizontal="center" vertical="center"/>
    </xf>
    <xf numFmtId="180" fontId="2" fillId="3" borderId="9" xfId="0" applyNumberFormat="1" applyFont="1" applyFill="1" applyBorder="1" applyAlignment="1">
      <alignment horizontal="center" vertical="center"/>
    </xf>
    <xf numFmtId="178" fontId="2" fillId="4" borderId="31" xfId="0" applyNumberFormat="1" applyFont="1" applyFill="1" applyBorder="1" applyAlignment="1">
      <alignment horizontal="center" vertical="center"/>
    </xf>
    <xf numFmtId="177" fontId="2" fillId="4" borderId="9" xfId="0" applyNumberFormat="1" applyFont="1" applyFill="1" applyBorder="1" applyAlignment="1">
      <alignment horizontal="center" vertical="center"/>
    </xf>
    <xf numFmtId="184" fontId="2" fillId="3" borderId="1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80" fontId="2" fillId="3" borderId="1" xfId="0" applyNumberFormat="1" applyFont="1" applyFill="1" applyBorder="1" applyAlignment="1">
      <alignment horizontal="center" vertical="center"/>
    </xf>
    <xf numFmtId="183" fontId="2" fillId="0" borderId="2" xfId="0" applyNumberFormat="1" applyFont="1" applyBorder="1" applyAlignment="1">
      <alignment horizontal="center" vertical="center"/>
    </xf>
    <xf numFmtId="178" fontId="2" fillId="0" borderId="10" xfId="0" applyNumberFormat="1" applyFont="1" applyBorder="1" applyAlignment="1">
      <alignment horizontal="center" vertical="center"/>
    </xf>
    <xf numFmtId="177" fontId="2" fillId="0" borderId="3" xfId="0" applyNumberFormat="1" applyFont="1" applyBorder="1" applyAlignment="1">
      <alignment horizontal="center" vertical="center"/>
    </xf>
    <xf numFmtId="184" fontId="2" fillId="0" borderId="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80" fontId="2" fillId="0" borderId="2" xfId="0" applyNumberFormat="1" applyFont="1" applyBorder="1" applyAlignment="1">
      <alignment horizontal="center" vertical="center"/>
    </xf>
    <xf numFmtId="184" fontId="2" fillId="0" borderId="1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78" fontId="2" fillId="0" borderId="12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183" fontId="2" fillId="0" borderId="16" xfId="0" applyNumberFormat="1" applyFont="1" applyBorder="1" applyAlignment="1">
      <alignment horizontal="center" vertical="center"/>
    </xf>
    <xf numFmtId="178" fontId="2" fillId="0" borderId="24" xfId="0" applyNumberFormat="1" applyFont="1" applyBorder="1" applyAlignment="1">
      <alignment horizontal="center" vertical="center"/>
    </xf>
    <xf numFmtId="177" fontId="2" fillId="0" borderId="19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80" fontId="2" fillId="0" borderId="16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6" fontId="2" fillId="0" borderId="9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83" fontId="2" fillId="0" borderId="17" xfId="0" applyNumberFormat="1" applyFont="1" applyBorder="1" applyAlignment="1">
      <alignment horizontal="center" vertical="center"/>
    </xf>
    <xf numFmtId="177" fontId="2" fillId="0" borderId="20" xfId="0" applyNumberFormat="1" applyFont="1" applyBorder="1" applyAlignment="1">
      <alignment horizontal="center" vertical="center"/>
    </xf>
    <xf numFmtId="180" fontId="2" fillId="0" borderId="17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6" fontId="2" fillId="0" borderId="14" xfId="0" applyNumberFormat="1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183" fontId="2" fillId="0" borderId="18" xfId="0" applyNumberFormat="1" applyFont="1" applyBorder="1" applyAlignment="1">
      <alignment horizontal="center" vertical="center"/>
    </xf>
    <xf numFmtId="178" fontId="2" fillId="0" borderId="15" xfId="0" applyNumberFormat="1" applyFont="1" applyBorder="1" applyAlignment="1">
      <alignment horizontal="center" vertical="center"/>
    </xf>
    <xf numFmtId="177" fontId="2" fillId="0" borderId="21" xfId="0" applyNumberFormat="1" applyFont="1" applyBorder="1" applyAlignment="1">
      <alignment horizontal="center" vertical="center"/>
    </xf>
    <xf numFmtId="180" fontId="2" fillId="0" borderId="18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176" fontId="2" fillId="0" borderId="4" xfId="0" applyNumberFormat="1" applyFont="1" applyBorder="1" applyAlignment="1">
      <alignment horizontal="center" vertical="center"/>
    </xf>
    <xf numFmtId="183" fontId="2" fillId="0" borderId="22" xfId="0" applyNumberFormat="1" applyFont="1" applyBorder="1" applyAlignment="1">
      <alignment horizontal="center" vertical="center"/>
    </xf>
    <xf numFmtId="178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80" fontId="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83" fontId="2" fillId="0" borderId="3" xfId="0" applyNumberFormat="1" applyFont="1" applyBorder="1" applyAlignment="1">
      <alignment horizontal="center" vertical="center"/>
    </xf>
    <xf numFmtId="180" fontId="2" fillId="0" borderId="3" xfId="0" applyNumberFormat="1" applyFont="1" applyBorder="1" applyAlignment="1">
      <alignment horizontal="center" vertical="center"/>
    </xf>
    <xf numFmtId="183" fontId="2" fillId="0" borderId="19" xfId="0" applyNumberFormat="1" applyFont="1" applyBorder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180" fontId="2" fillId="0" borderId="19" xfId="0" applyNumberFormat="1" applyFont="1" applyBorder="1" applyAlignment="1">
      <alignment horizontal="center" vertical="center"/>
    </xf>
    <xf numFmtId="183" fontId="2" fillId="0" borderId="20" xfId="0" applyNumberFormat="1" applyFont="1" applyBorder="1" applyAlignment="1">
      <alignment horizontal="center" vertical="center"/>
    </xf>
    <xf numFmtId="178" fontId="2" fillId="0" borderId="9" xfId="0" applyNumberFormat="1" applyFont="1" applyBorder="1" applyAlignment="1">
      <alignment horizontal="center" vertical="center"/>
    </xf>
    <xf numFmtId="180" fontId="2" fillId="0" borderId="20" xfId="0" applyNumberFormat="1" applyFont="1" applyBorder="1" applyAlignment="1">
      <alignment horizontal="center" vertical="center"/>
    </xf>
    <xf numFmtId="183" fontId="2" fillId="0" borderId="21" xfId="0" applyNumberFormat="1" applyFont="1" applyBorder="1" applyAlignment="1">
      <alignment horizontal="center" vertical="center"/>
    </xf>
    <xf numFmtId="178" fontId="2" fillId="0" borderId="14" xfId="0" applyNumberFormat="1" applyFont="1" applyBorder="1" applyAlignment="1">
      <alignment horizontal="center" vertical="center"/>
    </xf>
    <xf numFmtId="180" fontId="2" fillId="0" borderId="21" xfId="0" applyNumberFormat="1" applyFont="1" applyBorder="1" applyAlignment="1">
      <alignment horizontal="center" vertical="center"/>
    </xf>
    <xf numFmtId="183" fontId="2" fillId="0" borderId="4" xfId="0" applyNumberFormat="1" applyFont="1" applyBorder="1" applyAlignment="1">
      <alignment horizontal="center" vertical="center"/>
    </xf>
    <xf numFmtId="177" fontId="2" fillId="3" borderId="6" xfId="0" applyNumberFormat="1" applyFont="1" applyFill="1" applyBorder="1" applyAlignment="1">
      <alignment horizontal="center" vertical="center"/>
    </xf>
    <xf numFmtId="182" fontId="2" fillId="3" borderId="9" xfId="0" applyNumberFormat="1" applyFont="1" applyFill="1" applyBorder="1" applyAlignment="1">
      <alignment horizontal="center" vertical="center"/>
    </xf>
    <xf numFmtId="179" fontId="2" fillId="3" borderId="9" xfId="0" applyNumberFormat="1" applyFont="1" applyFill="1" applyBorder="1" applyAlignment="1">
      <alignment horizontal="center" vertical="center"/>
    </xf>
    <xf numFmtId="177" fontId="2" fillId="3" borderId="31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77" fontId="2" fillId="3" borderId="27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7" fontId="2" fillId="3" borderId="28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82" fontId="2" fillId="2" borderId="6" xfId="0" applyNumberFormat="1" applyFont="1" applyFill="1" applyBorder="1" applyAlignment="1">
      <alignment horizontal="center" vertical="center"/>
    </xf>
    <xf numFmtId="176" fontId="2" fillId="2" borderId="6" xfId="0" applyNumberFormat="1" applyFont="1" applyFill="1" applyBorder="1" applyAlignment="1">
      <alignment horizontal="center" vertical="center"/>
    </xf>
    <xf numFmtId="177" fontId="2" fillId="2" borderId="6" xfId="0" applyNumberFormat="1" applyFont="1" applyFill="1" applyBorder="1" applyAlignment="1">
      <alignment horizontal="center" vertical="center"/>
    </xf>
    <xf numFmtId="180" fontId="2" fillId="2" borderId="6" xfId="0" applyNumberFormat="1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177" fontId="2" fillId="3" borderId="29" xfId="0" applyNumberFormat="1" applyFont="1" applyFill="1" applyBorder="1" applyAlignment="1">
      <alignment horizontal="center" vertical="center"/>
    </xf>
    <xf numFmtId="177" fontId="2" fillId="2" borderId="19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82" fontId="2" fillId="2" borderId="9" xfId="0" applyNumberFormat="1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177" fontId="2" fillId="2" borderId="9" xfId="0" applyNumberFormat="1" applyFont="1" applyFill="1" applyBorder="1" applyAlignment="1">
      <alignment horizontal="center" vertical="center"/>
    </xf>
    <xf numFmtId="180" fontId="2" fillId="2" borderId="9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 vertical="center"/>
    </xf>
    <xf numFmtId="177" fontId="2" fillId="2" borderId="17" xfId="0" applyNumberFormat="1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182" fontId="2" fillId="2" borderId="14" xfId="0" applyNumberFormat="1" applyFont="1" applyFill="1" applyBorder="1" applyAlignment="1">
      <alignment horizontal="center" vertical="center"/>
    </xf>
    <xf numFmtId="176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77" fontId="2" fillId="2" borderId="18" xfId="0" applyNumberFormat="1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182" fontId="2" fillId="2" borderId="4" xfId="0" applyNumberFormat="1" applyFont="1" applyFill="1" applyBorder="1" applyAlignment="1">
      <alignment horizontal="center" vertical="center"/>
    </xf>
    <xf numFmtId="176" fontId="2" fillId="2" borderId="4" xfId="0" applyNumberFormat="1" applyFont="1" applyFill="1" applyBorder="1" applyAlignment="1">
      <alignment horizontal="center" vertical="center"/>
    </xf>
    <xf numFmtId="177" fontId="2" fillId="2" borderId="7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7" fontId="2" fillId="2" borderId="4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180" fontId="2" fillId="2" borderId="3" xfId="0" applyNumberFormat="1" applyFont="1" applyFill="1" applyBorder="1" applyAlignment="1">
      <alignment horizontal="center" vertical="center"/>
    </xf>
    <xf numFmtId="177" fontId="2" fillId="2" borderId="16" xfId="0" applyNumberFormat="1" applyFont="1" applyFill="1" applyBorder="1" applyAlignment="1">
      <alignment horizontal="center" vertical="center"/>
    </xf>
    <xf numFmtId="180" fontId="2" fillId="2" borderId="19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80" fontId="2" fillId="3" borderId="27" xfId="0" applyNumberFormat="1" applyFont="1" applyFill="1" applyBorder="1" applyAlignment="1">
      <alignment horizontal="center" vertical="center"/>
    </xf>
    <xf numFmtId="179" fontId="2" fillId="2" borderId="20" xfId="0" applyNumberFormat="1" applyFont="1" applyFill="1" applyBorder="1" applyAlignment="1">
      <alignment horizontal="center" vertical="center"/>
    </xf>
    <xf numFmtId="180" fontId="2" fillId="3" borderId="28" xfId="0" applyNumberFormat="1" applyFont="1" applyFill="1" applyBorder="1" applyAlignment="1">
      <alignment horizontal="center" vertical="center"/>
    </xf>
    <xf numFmtId="179" fontId="2" fillId="2" borderId="3" xfId="0" applyNumberFormat="1" applyFont="1" applyFill="1" applyBorder="1" applyAlignment="1">
      <alignment horizontal="center" vertical="center"/>
    </xf>
    <xf numFmtId="180" fontId="2" fillId="3" borderId="29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180" fontId="2" fillId="2" borderId="7" xfId="0" applyNumberFormat="1" applyFont="1" applyFill="1" applyBorder="1" applyAlignment="1">
      <alignment horizontal="center" vertical="center"/>
    </xf>
    <xf numFmtId="177" fontId="2" fillId="2" borderId="22" xfId="0" applyNumberFormat="1" applyFont="1" applyFill="1" applyBorder="1" applyAlignment="1">
      <alignment horizontal="center" vertical="center"/>
    </xf>
    <xf numFmtId="179" fontId="2" fillId="3" borderId="28" xfId="0" applyNumberFormat="1" applyFont="1" applyFill="1" applyBorder="1" applyAlignment="1">
      <alignment horizontal="center" vertical="center"/>
    </xf>
    <xf numFmtId="180" fontId="2" fillId="2" borderId="16" xfId="0" applyNumberFormat="1" applyFont="1" applyFill="1" applyBorder="1" applyAlignment="1">
      <alignment horizontal="center" vertical="center"/>
    </xf>
    <xf numFmtId="182" fontId="2" fillId="2" borderId="17" xfId="0" applyNumberFormat="1" applyFont="1" applyFill="1" applyBorder="1" applyAlignment="1">
      <alignment horizontal="center" vertical="center"/>
    </xf>
    <xf numFmtId="182" fontId="2" fillId="3" borderId="27" xfId="0" applyNumberFormat="1" applyFont="1" applyFill="1" applyBorder="1" applyAlignment="1">
      <alignment horizontal="center" vertical="center"/>
    </xf>
    <xf numFmtId="182" fontId="2" fillId="2" borderId="2" xfId="0" applyNumberFormat="1" applyFont="1" applyFill="1" applyBorder="1" applyAlignment="1">
      <alignment horizontal="center" vertical="center"/>
    </xf>
    <xf numFmtId="182" fontId="2" fillId="3" borderId="28" xfId="0" applyNumberFormat="1" applyFont="1" applyFill="1" applyBorder="1" applyAlignment="1">
      <alignment horizontal="center" vertical="center"/>
    </xf>
    <xf numFmtId="182" fontId="2" fillId="2" borderId="18" xfId="0" applyNumberFormat="1" applyFont="1" applyFill="1" applyBorder="1" applyAlignment="1">
      <alignment horizontal="center" vertical="center"/>
    </xf>
    <xf numFmtId="182" fontId="2" fillId="3" borderId="29" xfId="0" applyNumberFormat="1" applyFont="1" applyFill="1" applyBorder="1" applyAlignment="1">
      <alignment horizontal="center" vertical="center"/>
    </xf>
    <xf numFmtId="182" fontId="2" fillId="2" borderId="7" xfId="0" applyNumberFormat="1" applyFont="1" applyFill="1" applyBorder="1" applyAlignment="1">
      <alignment horizontal="center" vertical="center"/>
    </xf>
    <xf numFmtId="182" fontId="2" fillId="3" borderId="30" xfId="0" applyNumberFormat="1" applyFont="1" applyFill="1" applyBorder="1" applyAlignment="1">
      <alignment horizontal="center" vertical="center"/>
    </xf>
    <xf numFmtId="180" fontId="2" fillId="2" borderId="4" xfId="0" applyNumberFormat="1" applyFont="1" applyFill="1" applyBorder="1" applyAlignment="1">
      <alignment horizontal="center" vertical="center"/>
    </xf>
    <xf numFmtId="182" fontId="2" fillId="2" borderId="16" xfId="0" applyNumberFormat="1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76" fontId="2" fillId="2" borderId="20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176" fontId="2" fillId="2" borderId="21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76" fontId="2" fillId="2" borderId="22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176" fontId="2" fillId="2" borderId="19" xfId="0" applyNumberFormat="1" applyFont="1" applyFill="1" applyBorder="1" applyAlignment="1">
      <alignment horizontal="center" vertical="center"/>
    </xf>
    <xf numFmtId="182" fontId="2" fillId="2" borderId="20" xfId="0" applyNumberFormat="1" applyFont="1" applyFill="1" applyBorder="1" applyAlignment="1">
      <alignment horizontal="center" vertical="center"/>
    </xf>
    <xf numFmtId="182" fontId="2" fillId="2" borderId="3" xfId="0" applyNumberFormat="1" applyFont="1" applyFill="1" applyBorder="1" applyAlignment="1">
      <alignment horizontal="center" vertical="center"/>
    </xf>
    <xf numFmtId="182" fontId="2" fillId="2" borderId="21" xfId="0" applyNumberFormat="1" applyFont="1" applyFill="1" applyBorder="1" applyAlignment="1">
      <alignment horizontal="center" vertical="center"/>
    </xf>
    <xf numFmtId="182" fontId="2" fillId="2" borderId="22" xfId="0" applyNumberFormat="1" applyFont="1" applyFill="1" applyBorder="1" applyAlignment="1">
      <alignment horizontal="center" vertical="center"/>
    </xf>
    <xf numFmtId="182" fontId="2" fillId="2" borderId="19" xfId="0" applyNumberFormat="1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182" fontId="2" fillId="0" borderId="4" xfId="0" applyNumberFormat="1" applyFont="1" applyBorder="1" applyAlignment="1">
      <alignment horizontal="center" vertical="center"/>
    </xf>
    <xf numFmtId="180" fontId="2" fillId="0" borderId="4" xfId="0" applyNumberFormat="1" applyFont="1" applyBorder="1" applyAlignment="1">
      <alignment horizontal="center" vertical="center"/>
    </xf>
    <xf numFmtId="179" fontId="2" fillId="0" borderId="4" xfId="0" applyNumberFormat="1" applyFont="1" applyBorder="1" applyAlignment="1">
      <alignment horizontal="center" vertical="center"/>
    </xf>
    <xf numFmtId="181" fontId="2" fillId="3" borderId="9" xfId="0" applyNumberFormat="1" applyFont="1" applyFill="1" applyBorder="1" applyAlignment="1">
      <alignment horizontal="center" vertical="center"/>
    </xf>
    <xf numFmtId="183" fontId="2" fillId="3" borderId="9" xfId="0" applyNumberFormat="1" applyFont="1" applyFill="1" applyBorder="1" applyAlignment="1">
      <alignment horizontal="center" vertical="center"/>
    </xf>
    <xf numFmtId="184" fontId="2" fillId="2" borderId="2" xfId="0" applyNumberFormat="1" applyFont="1" applyFill="1" applyBorder="1" applyAlignment="1">
      <alignment horizontal="center" vertical="center"/>
    </xf>
    <xf numFmtId="184" fontId="2" fillId="2" borderId="12" xfId="0" applyNumberFormat="1" applyFont="1" applyFill="1" applyBorder="1" applyAlignment="1">
      <alignment horizontal="center" vertical="center"/>
    </xf>
    <xf numFmtId="181" fontId="2" fillId="2" borderId="6" xfId="0" applyNumberFormat="1" applyFont="1" applyFill="1" applyBorder="1" applyAlignment="1">
      <alignment horizontal="center" vertical="center"/>
    </xf>
    <xf numFmtId="183" fontId="2" fillId="2" borderId="6" xfId="0" applyNumberFormat="1" applyFont="1" applyFill="1" applyBorder="1" applyAlignment="1">
      <alignment horizontal="center" vertical="center"/>
    </xf>
    <xf numFmtId="184" fontId="2" fillId="0" borderId="16" xfId="0" applyNumberFormat="1" applyFont="1" applyBorder="1" applyAlignment="1">
      <alignment horizontal="center" vertical="center"/>
    </xf>
    <xf numFmtId="184" fontId="2" fillId="0" borderId="24" xfId="0" applyNumberFormat="1" applyFont="1" applyBorder="1" applyAlignment="1">
      <alignment horizontal="center" vertical="center"/>
    </xf>
    <xf numFmtId="181" fontId="2" fillId="2" borderId="9" xfId="0" applyNumberFormat="1" applyFont="1" applyFill="1" applyBorder="1" applyAlignment="1">
      <alignment horizontal="center" vertical="center"/>
    </xf>
    <xf numFmtId="183" fontId="2" fillId="2" borderId="9" xfId="0" applyNumberFormat="1" applyFont="1" applyFill="1" applyBorder="1" applyAlignment="1">
      <alignment horizontal="center" vertical="center"/>
    </xf>
    <xf numFmtId="184" fontId="2" fillId="0" borderId="17" xfId="0" applyNumberFormat="1" applyFont="1" applyBorder="1" applyAlignment="1">
      <alignment horizontal="center" vertical="center"/>
    </xf>
    <xf numFmtId="184" fontId="2" fillId="0" borderId="10" xfId="0" applyNumberFormat="1" applyFont="1" applyBorder="1" applyAlignment="1">
      <alignment horizontal="center" vertical="center"/>
    </xf>
    <xf numFmtId="181" fontId="2" fillId="2" borderId="14" xfId="0" applyNumberFormat="1" applyFont="1" applyFill="1" applyBorder="1" applyAlignment="1">
      <alignment horizontal="center" vertical="center"/>
    </xf>
    <xf numFmtId="183" fontId="2" fillId="2" borderId="14" xfId="0" applyNumberFormat="1" applyFont="1" applyFill="1" applyBorder="1" applyAlignment="1">
      <alignment horizontal="center" vertical="center"/>
    </xf>
    <xf numFmtId="184" fontId="2" fillId="0" borderId="18" xfId="0" applyNumberFormat="1" applyFont="1" applyBorder="1" applyAlignment="1">
      <alignment horizontal="center" vertical="center"/>
    </xf>
    <xf numFmtId="184" fontId="2" fillId="0" borderId="15" xfId="0" applyNumberFormat="1" applyFont="1" applyBorder="1" applyAlignment="1">
      <alignment horizontal="center" vertical="center"/>
    </xf>
    <xf numFmtId="181" fontId="2" fillId="2" borderId="4" xfId="0" applyNumberFormat="1" applyFont="1" applyFill="1" applyBorder="1" applyAlignment="1">
      <alignment horizontal="center" vertical="center"/>
    </xf>
    <xf numFmtId="183" fontId="2" fillId="2" borderId="4" xfId="0" applyNumberFormat="1" applyFont="1" applyFill="1" applyBorder="1" applyAlignment="1">
      <alignment horizontal="center" vertical="center"/>
    </xf>
    <xf numFmtId="184" fontId="2" fillId="2" borderId="7" xfId="0" applyNumberFormat="1" applyFont="1" applyFill="1" applyBorder="1" applyAlignment="1">
      <alignment horizontal="center" vertical="center"/>
    </xf>
    <xf numFmtId="184" fontId="2" fillId="2" borderId="26" xfId="0" applyNumberFormat="1" applyFont="1" applyFill="1" applyBorder="1" applyAlignment="1">
      <alignment horizontal="center" vertical="center"/>
    </xf>
    <xf numFmtId="184" fontId="2" fillId="2" borderId="4" xfId="0" applyNumberFormat="1" applyFont="1" applyFill="1" applyBorder="1" applyAlignment="1">
      <alignment horizontal="center" vertical="center"/>
    </xf>
    <xf numFmtId="177" fontId="2" fillId="6" borderId="3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0" fontId="2" fillId="6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86" fontId="2" fillId="6" borderId="1" xfId="0" applyNumberFormat="1" applyFont="1" applyFill="1" applyBorder="1" applyAlignment="1">
      <alignment horizontal="center" vertical="center"/>
    </xf>
    <xf numFmtId="185" fontId="2" fillId="3" borderId="1" xfId="0" applyNumberFormat="1" applyFont="1" applyFill="1" applyBorder="1" applyAlignment="1">
      <alignment horizontal="center" vertical="center"/>
    </xf>
    <xf numFmtId="58" fontId="2" fillId="7" borderId="1" xfId="0" applyNumberFormat="1" applyFont="1" applyFill="1" applyBorder="1" applyAlignment="1">
      <alignment horizontal="center" vertical="center"/>
    </xf>
    <xf numFmtId="176" fontId="2" fillId="0" borderId="3" xfId="0" applyNumberFormat="1" applyFont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8" fontId="2" fillId="7" borderId="1" xfId="0" applyNumberFormat="1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80" fontId="2" fillId="5" borderId="1" xfId="0" applyNumberFormat="1" applyFont="1" applyFill="1" applyBorder="1" applyAlignment="1">
      <alignment horizontal="center" vertical="center"/>
    </xf>
    <xf numFmtId="188" fontId="2" fillId="3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85" fontId="2" fillId="8" borderId="1" xfId="0" applyNumberFormat="1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88" fontId="2" fillId="8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85" fontId="2" fillId="5" borderId="1" xfId="0" applyNumberFormat="1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188" fontId="2" fillId="5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185" fontId="2" fillId="6" borderId="1" xfId="0" applyNumberFormat="1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10" fontId="2" fillId="2" borderId="1" xfId="0" applyNumberFormat="1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179" fontId="2" fillId="6" borderId="3" xfId="0" applyNumberFormat="1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177" fontId="2" fillId="9" borderId="1" xfId="0" applyNumberFormat="1" applyFont="1" applyFill="1" applyBorder="1" applyAlignment="1">
      <alignment horizontal="center" vertical="center"/>
    </xf>
    <xf numFmtId="185" fontId="2" fillId="9" borderId="1" xfId="0" applyNumberFormat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88" fontId="2" fillId="9" borderId="1" xfId="0" applyNumberFormat="1" applyFont="1" applyFill="1" applyBorder="1" applyAlignment="1">
      <alignment horizontal="center" vertical="center"/>
    </xf>
    <xf numFmtId="185" fontId="2" fillId="4" borderId="1" xfId="0" applyNumberFormat="1" applyFont="1" applyFill="1" applyBorder="1" applyAlignment="1">
      <alignment horizontal="center" vertical="center"/>
    </xf>
    <xf numFmtId="188" fontId="2" fillId="4" borderId="1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7" fontId="2" fillId="6" borderId="0" xfId="0" applyNumberFormat="1" applyFont="1" applyFill="1" applyAlignment="1">
      <alignment horizontal="center" vertical="center"/>
    </xf>
    <xf numFmtId="179" fontId="2" fillId="9" borderId="1" xfId="0" applyNumberFormat="1" applyFont="1" applyFill="1" applyBorder="1" applyAlignment="1">
      <alignment horizontal="center" vertical="center"/>
    </xf>
    <xf numFmtId="178" fontId="2" fillId="9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177" fontId="2" fillId="7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85" fontId="2" fillId="34" borderId="1" xfId="0" applyNumberFormat="1" applyFont="1" applyFill="1" applyBorder="1" applyAlignment="1">
      <alignment horizontal="center" vertical="center"/>
    </xf>
    <xf numFmtId="187" fontId="2" fillId="6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88" fontId="2" fillId="34" borderId="1" xfId="0" applyNumberFormat="1" applyFont="1" applyFill="1" applyBorder="1" applyAlignment="1">
      <alignment horizontal="center" vertical="center"/>
    </xf>
    <xf numFmtId="177" fontId="2" fillId="6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0" fontId="2" fillId="7" borderId="1" xfId="0" applyNumberFormat="1" applyFont="1" applyFill="1" applyBorder="1" applyAlignment="1">
      <alignment horizontal="center" vertical="center"/>
    </xf>
    <xf numFmtId="9" fontId="2" fillId="7" borderId="1" xfId="0" applyNumberFormat="1" applyFont="1" applyFill="1" applyBorder="1" applyAlignment="1">
      <alignment horizontal="center" vertical="center"/>
    </xf>
    <xf numFmtId="182" fontId="2" fillId="7" borderId="1" xfId="0" applyNumberFormat="1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vertical="center"/>
    </xf>
    <xf numFmtId="180" fontId="2" fillId="7" borderId="1" xfId="0" applyNumberFormat="1" applyFont="1" applyFill="1" applyBorder="1" applyAlignment="1">
      <alignment horizontal="center" vertical="center"/>
    </xf>
    <xf numFmtId="9" fontId="2" fillId="5" borderId="1" xfId="0" applyNumberFormat="1" applyFont="1" applyFill="1" applyBorder="1" applyAlignment="1">
      <alignment horizontal="center" vertical="center"/>
    </xf>
    <xf numFmtId="182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6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182" fontId="3" fillId="2" borderId="6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176" fontId="2" fillId="7" borderId="6" xfId="0" applyNumberFormat="1" applyFont="1" applyFill="1" applyBorder="1" applyAlignment="1">
      <alignment horizontal="center" vertical="center"/>
    </xf>
    <xf numFmtId="181" fontId="2" fillId="0" borderId="6" xfId="0" applyNumberFormat="1" applyFont="1" applyBorder="1" applyAlignment="1">
      <alignment horizontal="center" vertical="center"/>
    </xf>
    <xf numFmtId="179" fontId="2" fillId="0" borderId="6" xfId="0" applyNumberFormat="1" applyFont="1" applyBorder="1" applyAlignment="1">
      <alignment horizontal="center" vertical="center"/>
    </xf>
    <xf numFmtId="182" fontId="2" fillId="0" borderId="6" xfId="0" applyNumberFormat="1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181" fontId="2" fillId="0" borderId="4" xfId="0" applyNumberFormat="1" applyFont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176" fontId="2" fillId="5" borderId="9" xfId="0" applyNumberFormat="1" applyFont="1" applyFill="1" applyBorder="1" applyAlignment="1">
      <alignment horizontal="center" vertical="center"/>
    </xf>
    <xf numFmtId="181" fontId="2" fillId="0" borderId="9" xfId="0" applyNumberFormat="1" applyFont="1" applyBorder="1" applyAlignment="1">
      <alignment horizontal="center" vertical="center"/>
    </xf>
    <xf numFmtId="179" fontId="2" fillId="0" borderId="9" xfId="0" applyNumberFormat="1" applyFont="1" applyBorder="1" applyAlignment="1">
      <alignment horizontal="center" vertical="center"/>
    </xf>
    <xf numFmtId="182" fontId="2" fillId="0" borderId="9" xfId="0" applyNumberFormat="1" applyFont="1" applyBorder="1" applyAlignment="1">
      <alignment horizontal="center" vertical="center"/>
    </xf>
    <xf numFmtId="181" fontId="2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181" fontId="2" fillId="0" borderId="12" xfId="0" applyNumberFormat="1" applyFont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176" fontId="2" fillId="5" borderId="14" xfId="0" applyNumberFormat="1" applyFont="1" applyFill="1" applyBorder="1" applyAlignment="1">
      <alignment horizontal="center" vertical="center"/>
    </xf>
    <xf numFmtId="181" fontId="2" fillId="0" borderId="14" xfId="0" applyNumberFormat="1" applyFont="1" applyBorder="1" applyAlignment="1">
      <alignment horizontal="center" vertical="center"/>
    </xf>
    <xf numFmtId="179" fontId="2" fillId="0" borderId="14" xfId="0" applyNumberFormat="1" applyFont="1" applyBorder="1" applyAlignment="1">
      <alignment horizontal="center" vertical="center"/>
    </xf>
    <xf numFmtId="182" fontId="2" fillId="0" borderId="14" xfId="0" applyNumberFormat="1" applyFont="1" applyBorder="1" applyAlignment="1">
      <alignment horizontal="center" vertical="center"/>
    </xf>
    <xf numFmtId="181" fontId="2" fillId="0" borderId="15" xfId="0" applyNumberFormat="1" applyFont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176" fontId="2" fillId="3" borderId="6" xfId="0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8" fontId="2" fillId="2" borderId="9" xfId="0" applyNumberFormat="1" applyFon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6" fontId="2" fillId="0" borderId="10" xfId="0" applyNumberFormat="1" applyFont="1" applyBorder="1" applyAlignment="1">
      <alignment horizontal="center" vertical="center"/>
    </xf>
    <xf numFmtId="176" fontId="2" fillId="0" borderId="12" xfId="0" applyNumberFormat="1" applyFont="1" applyBorder="1" applyAlignment="1">
      <alignment horizontal="center" vertical="center"/>
    </xf>
    <xf numFmtId="176" fontId="2" fillId="0" borderId="15" xfId="0" applyNumberFormat="1" applyFont="1" applyBorder="1" applyAlignment="1">
      <alignment horizontal="center" vertical="center"/>
    </xf>
    <xf numFmtId="189" fontId="2" fillId="0" borderId="1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2" fillId="0" borderId="8" xfId="0" applyNumberFormat="1" applyFont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0" fontId="2" fillId="0" borderId="11" xfId="0" applyNumberFormat="1" applyFont="1" applyBorder="1" applyAlignment="1">
      <alignment horizontal="center" vertical="center"/>
    </xf>
    <xf numFmtId="0" fontId="2" fillId="0" borderId="12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center" vertical="center"/>
    </xf>
    <xf numFmtId="0" fontId="2" fillId="0" borderId="14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0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82" fontId="2" fillId="2" borderId="2" xfId="0" applyNumberFormat="1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82" fontId="2" fillId="2" borderId="3" xfId="0" applyNumberFormat="1" applyFont="1" applyFill="1" applyBorder="1" applyAlignment="1">
      <alignment horizontal="center" vertical="center"/>
    </xf>
    <xf numFmtId="177" fontId="2" fillId="3" borderId="32" xfId="0" applyNumberFormat="1" applyFont="1" applyFill="1" applyBorder="1" applyAlignment="1">
      <alignment horizontal="center" vertical="center"/>
    </xf>
    <xf numFmtId="184" fontId="2" fillId="0" borderId="6" xfId="0" applyNumberFormat="1" applyFont="1" applyBorder="1" applyAlignment="1">
      <alignment horizontal="center" vertical="center"/>
    </xf>
    <xf numFmtId="177" fontId="2" fillId="3" borderId="30" xfId="0" applyNumberFormat="1" applyFont="1" applyFill="1" applyBorder="1" applyAlignment="1">
      <alignment horizontal="center" vertical="center"/>
    </xf>
    <xf numFmtId="184" fontId="2" fillId="0" borderId="7" xfId="0" applyNumberFormat="1" applyFont="1" applyBorder="1" applyAlignment="1">
      <alignment horizontal="center" vertical="center"/>
    </xf>
    <xf numFmtId="184" fontId="2" fillId="0" borderId="26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79" fontId="2" fillId="3" borderId="30" xfId="0" applyNumberFormat="1" applyFont="1" applyFill="1" applyBorder="1" applyAlignment="1">
      <alignment horizontal="center" vertical="center"/>
    </xf>
    <xf numFmtId="179" fontId="2" fillId="3" borderId="32" xfId="0" applyNumberFormat="1" applyFont="1" applyFill="1" applyBorder="1" applyAlignment="1">
      <alignment horizontal="center" vertical="center"/>
    </xf>
    <xf numFmtId="182" fontId="2" fillId="3" borderId="32" xfId="0" applyNumberFormat="1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176" fontId="2" fillId="4" borderId="6" xfId="0" applyNumberFormat="1" applyFont="1" applyFill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176" fontId="2" fillId="0" borderId="11" xfId="0" applyNumberFormat="1" applyFont="1" applyBorder="1" applyAlignment="1">
      <alignment horizontal="center" vertical="center"/>
    </xf>
    <xf numFmtId="176" fontId="2" fillId="0" borderId="23" xfId="0" applyNumberFormat="1" applyFont="1" applyBorder="1" applyAlignment="1">
      <alignment horizontal="center" vertical="center"/>
    </xf>
    <xf numFmtId="176" fontId="2" fillId="0" borderId="1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25" xfId="0" applyFont="1" applyFill="1" applyBorder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19" xfId="0" applyFont="1" applyFill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90" fontId="4" fillId="0" borderId="1" xfId="0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83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91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7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" xfId="0" applyNumberFormat="1" applyFont="1" applyFill="1" applyBorder="1" applyAlignment="1">
      <alignment horizontal="center" vertical="center"/>
    </xf>
    <xf numFmtId="0" fontId="2" fillId="9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89" fontId="2" fillId="6" borderId="1" xfId="0" applyNumberFormat="1" applyFont="1" applyFill="1" applyBorder="1" applyAlignme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76" fontId="2" fillId="7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77" fontId="2" fillId="9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89" fontId="2" fillId="4" borderId="1" xfId="0" applyNumberFormat="1" applyFont="1" applyFill="1" applyBorder="1" applyAlignment="1">
      <alignment vertical="center"/>
    </xf>
    <xf numFmtId="189" fontId="2" fillId="6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177" fontId="2" fillId="6" borderId="2" xfId="0" applyNumberFormat="1" applyFont="1" applyFill="1" applyBorder="1" applyAlignment="1">
      <alignment horizontal="center" vertical="center"/>
    </xf>
    <xf numFmtId="177" fontId="2" fillId="6" borderId="5" xfId="0" applyNumberFormat="1" applyFont="1" applyFill="1" applyBorder="1" applyAlignment="1">
      <alignment horizontal="center" vertical="center"/>
    </xf>
    <xf numFmtId="177" fontId="2" fillId="6" borderId="3" xfId="0" applyNumberFormat="1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5" xfId="0" applyNumberFormat="1" applyFont="1" applyFill="1" applyBorder="1" applyAlignment="1">
      <alignment horizontal="center" vertical="center"/>
    </xf>
    <xf numFmtId="176" fontId="2" fillId="0" borderId="2" xfId="0" applyNumberFormat="1" applyFont="1" applyBorder="1" applyAlignment="1">
      <alignment horizontal="center"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3" xfId="0" applyNumberFormat="1" applyFont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8" fontId="2" fillId="2" borderId="5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77" fontId="2" fillId="9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5" fontId="2" fillId="5" borderId="1" xfId="0" applyNumberFormat="1" applyFont="1" applyFill="1" applyBorder="1" applyAlignment="1">
      <alignment horizontal="center" vertical="center"/>
    </xf>
    <xf numFmtId="185" fontId="2" fillId="3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85" fontId="2" fillId="7" borderId="1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80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180" fontId="2" fillId="2" borderId="2" xfId="0" applyNumberFormat="1" applyFont="1" applyFill="1" applyBorder="1" applyAlignment="1">
      <alignment horizontal="center" vertical="center"/>
    </xf>
    <xf numFmtId="180" fontId="2" fillId="2" borderId="3" xfId="0" applyNumberFormat="1" applyFont="1" applyFill="1" applyBorder="1" applyAlignment="1">
      <alignment horizontal="center" vertical="center"/>
    </xf>
    <xf numFmtId="185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176" fontId="2" fillId="7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182" fontId="2" fillId="2" borderId="2" xfId="0" applyNumberFormat="1" applyFont="1" applyFill="1" applyBorder="1" applyAlignment="1">
      <alignment horizontal="center" vertical="center"/>
    </xf>
    <xf numFmtId="182" fontId="2" fillId="2" borderId="3" xfId="0" applyNumberFormat="1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84" fontId="2" fillId="2" borderId="2" xfId="0" applyNumberFormat="1" applyFont="1" applyFill="1" applyBorder="1" applyAlignment="1">
      <alignment horizontal="center" vertical="center"/>
    </xf>
    <xf numFmtId="184" fontId="2" fillId="2" borderId="3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185" fontId="2" fillId="6" borderId="1" xfId="0" applyNumberFormat="1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77" fontId="2" fillId="4" borderId="2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3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9" fontId="2" fillId="21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9" fontId="2" fillId="31" borderId="3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179" fontId="2" fillId="21" borderId="3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3" xfId="0" applyNumberFormat="1" applyFont="1" applyFill="1" applyBorder="1" applyAlignment="1">
      <alignment horizontal="center" vertical="center"/>
    </xf>
    <xf numFmtId="179" fontId="2" fillId="27" borderId="1" xfId="0" applyNumberFormat="1" applyFont="1" applyFill="1" applyBorder="1" applyAlignment="1">
      <alignment horizontal="center" vertical="center"/>
    </xf>
    <xf numFmtId="179" fontId="2" fillId="43" borderId="3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79" fontId="2" fillId="42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30" borderId="3" xfId="0" applyNumberFormat="1" applyFont="1" applyFill="1" applyBorder="1" applyAlignment="1">
      <alignment horizontal="center" vertical="center"/>
    </xf>
    <xf numFmtId="179" fontId="2" fillId="42" borderId="3" xfId="0" applyNumberFormat="1" applyFont="1" applyFill="1" applyBorder="1" applyAlignment="1">
      <alignment horizontal="center" vertical="center"/>
    </xf>
    <xf numFmtId="179" fontId="2" fillId="27" borderId="3" xfId="0" applyNumberFormat="1" applyFont="1" applyFill="1" applyBorder="1" applyAlignment="1">
      <alignment horizontal="center" vertical="center"/>
    </xf>
    <xf numFmtId="176" fontId="2" fillId="27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6" fontId="2" fillId="43" borderId="3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176" fontId="2" fillId="22" borderId="1" xfId="0" applyNumberFormat="1" applyFont="1" applyFill="1" applyBorder="1" applyAlignment="1">
      <alignment horizontal="center" vertical="center"/>
    </xf>
    <xf numFmtId="176" fontId="2" fillId="21" borderId="1" xfId="0" applyNumberFormat="1" applyFont="1" applyFill="1" applyBorder="1" applyAlignment="1">
      <alignment horizontal="center" vertical="center"/>
    </xf>
    <xf numFmtId="176" fontId="2" fillId="21" borderId="3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8" borderId="3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4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1" borderId="3" xfId="0" applyNumberFormat="1" applyFont="1" applyFill="1" applyBorder="1" applyAlignment="1">
      <alignment horizontal="center" vertical="center"/>
    </xf>
    <xf numFmtId="176" fontId="2" fillId="30" borderId="3" xfId="0" applyNumberFormat="1" applyFont="1" applyFill="1" applyBorder="1" applyAlignment="1">
      <alignment horizontal="center" vertical="center"/>
    </xf>
    <xf numFmtId="176" fontId="2" fillId="29" borderId="3" xfId="0" applyNumberFormat="1" applyFont="1" applyFill="1" applyBorder="1" applyAlignment="1">
      <alignment horizontal="center" vertical="center"/>
    </xf>
    <xf numFmtId="176" fontId="2" fillId="27" borderId="3" xfId="0" applyNumberFormat="1" applyFont="1" applyFill="1" applyBorder="1" applyAlignment="1">
      <alignment horizontal="center" vertical="center"/>
    </xf>
    <xf numFmtId="0" fontId="2" fillId="22" borderId="1" xfId="0" applyNumberFormat="1" applyFont="1" applyFill="1" applyBorder="1" applyAlignment="1">
      <alignment horizontal="center" vertical="center"/>
    </xf>
    <xf numFmtId="0" fontId="2" fillId="21" borderId="1" xfId="0" applyNumberFormat="1" applyFont="1" applyFill="1" applyBorder="1" applyAlignment="1">
      <alignment horizontal="center" vertical="center"/>
    </xf>
    <xf numFmtId="0" fontId="2" fillId="28" borderId="1" xfId="0" applyNumberFormat="1" applyFont="1" applyFill="1" applyBorder="1" applyAlignment="1">
      <alignment horizontal="center" vertical="center"/>
    </xf>
    <xf numFmtId="0" fontId="2" fillId="11" borderId="1" xfId="0" applyNumberFormat="1" applyFont="1" applyFill="1" applyBorder="1" applyAlignment="1">
      <alignment horizontal="center" vertical="center"/>
    </xf>
    <xf numFmtId="0" fontId="2" fillId="31" borderId="1" xfId="0" applyNumberFormat="1" applyFont="1" applyFill="1" applyBorder="1" applyAlignment="1">
      <alignment horizontal="center" vertical="center"/>
    </xf>
    <xf numFmtId="0" fontId="2" fillId="31" borderId="3" xfId="0" applyNumberFormat="1" applyFont="1" applyFill="1" applyBorder="1" applyAlignment="1">
      <alignment horizontal="center" vertical="center"/>
    </xf>
    <xf numFmtId="0" fontId="2" fillId="27" borderId="1" xfId="0" applyNumberFormat="1" applyFont="1" applyFill="1" applyBorder="1" applyAlignment="1">
      <alignment horizontal="center" vertical="center"/>
    </xf>
    <xf numFmtId="0" fontId="2" fillId="29" borderId="1" xfId="0" applyNumberFormat="1" applyFont="1" applyFill="1" applyBorder="1" applyAlignment="1">
      <alignment horizontal="center" vertical="center"/>
    </xf>
    <xf numFmtId="0" fontId="2" fillId="29" borderId="3" xfId="0" applyNumberFormat="1" applyFont="1" applyFill="1" applyBorder="1" applyAlignment="1">
      <alignment horizontal="center" vertical="center"/>
    </xf>
    <xf numFmtId="0" fontId="2" fillId="43" borderId="1" xfId="0" applyNumberFormat="1" applyFont="1" applyFill="1" applyBorder="1" applyAlignment="1">
      <alignment horizontal="center" vertical="center"/>
    </xf>
    <xf numFmtId="0" fontId="2" fillId="30" borderId="1" xfId="0" applyNumberFormat="1" applyFont="1" applyFill="1" applyBorder="1" applyAlignment="1">
      <alignment horizontal="center" vertical="center"/>
    </xf>
    <xf numFmtId="0" fontId="2" fillId="29" borderId="3" xfId="0" applyFont="1" applyFill="1" applyBorder="1" applyAlignment="1">
      <alignment horizontal="center" vertical="center"/>
    </xf>
    <xf numFmtId="0" fontId="2" fillId="27" borderId="3" xfId="0" applyFont="1" applyFill="1" applyBorder="1" applyAlignment="1">
      <alignment horizontal="center" vertical="center"/>
    </xf>
    <xf numFmtId="0" fontId="2" fillId="22" borderId="3" xfId="0" applyFont="1" applyFill="1" applyBorder="1" applyAlignment="1">
      <alignment horizontal="center" vertical="center"/>
    </xf>
    <xf numFmtId="0" fontId="2" fillId="42" borderId="3" xfId="0" applyFont="1" applyFill="1" applyBorder="1" applyAlignment="1">
      <alignment horizontal="center" vertical="center"/>
    </xf>
    <xf numFmtId="0" fontId="2" fillId="43" borderId="3" xfId="0" applyFont="1" applyFill="1" applyBorder="1" applyAlignment="1">
      <alignment horizontal="center" vertical="center"/>
    </xf>
    <xf numFmtId="0" fontId="2" fillId="28" borderId="3" xfId="0" applyFont="1" applyFill="1" applyBorder="1" applyAlignment="1">
      <alignment horizontal="center" vertical="center"/>
    </xf>
    <xf numFmtId="0" fontId="2" fillId="30" borderId="3" xfId="0" applyFont="1" applyFill="1" applyBorder="1" applyAlignment="1">
      <alignment horizontal="center" vertical="center"/>
    </xf>
    <xf numFmtId="0" fontId="2" fillId="27" borderId="3" xfId="0" applyNumberFormat="1" applyFont="1" applyFill="1" applyBorder="1" applyAlignment="1">
      <alignment horizontal="center" vertical="center"/>
    </xf>
    <xf numFmtId="0" fontId="2" fillId="42" borderId="1" xfId="0" applyNumberFormat="1" applyFont="1" applyFill="1" applyBorder="1" applyAlignment="1">
      <alignment horizontal="center" vertical="center"/>
    </xf>
    <xf numFmtId="0" fontId="2" fillId="42" borderId="3" xfId="0" applyNumberFormat="1" applyFont="1" applyFill="1" applyBorder="1" applyAlignment="1">
      <alignment horizontal="center" vertical="center"/>
    </xf>
    <xf numFmtId="0" fontId="2" fillId="43" borderId="3" xfId="0" applyNumberFormat="1" applyFont="1" applyFill="1" applyBorder="1" applyAlignment="1">
      <alignment horizontal="center" vertical="center"/>
    </xf>
    <xf numFmtId="0" fontId="2" fillId="30" borderId="3" xfId="0" applyNumberFormat="1" applyFont="1" applyFill="1" applyBorder="1" applyAlignment="1">
      <alignment horizontal="center" vertical="center"/>
    </xf>
    <xf numFmtId="177" fontId="2" fillId="19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7" fontId="2" fillId="22" borderId="1" xfId="0" applyNumberFormat="1" applyFont="1" applyFill="1" applyBorder="1" applyAlignment="1">
      <alignment horizontal="center" vertical="center"/>
    </xf>
    <xf numFmtId="177" fontId="2" fillId="21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7" fontId="2" fillId="27" borderId="1" xfId="0" applyNumberFormat="1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181" fontId="2" fillId="11" borderId="1" xfId="0" applyNumberFormat="1" applyFont="1" applyFill="1" applyBorder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1" fontId="2" fillId="2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81" fontId="2" fillId="21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81" fontId="2" fillId="27" borderId="1" xfId="0" applyNumberFormat="1" applyFont="1" applyFill="1" applyBorder="1" applyAlignment="1">
      <alignment horizontal="center" vertical="center"/>
    </xf>
    <xf numFmtId="181" fontId="2" fillId="19" borderId="1" xfId="0" applyNumberFormat="1" applyFont="1" applyFill="1" applyBorder="1" applyAlignment="1">
      <alignment horizontal="center" vertical="center"/>
    </xf>
    <xf numFmtId="181" fontId="2" fillId="9" borderId="1" xfId="0" applyNumberFormat="1" applyFont="1" applyFill="1" applyBorder="1" applyAlignment="1">
      <alignment horizontal="center" vertical="center"/>
    </xf>
    <xf numFmtId="181" fontId="2" fillId="42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0" fontId="2" fillId="31" borderId="1" xfId="0" applyNumberFormat="1" applyFont="1" applyFill="1" applyBorder="1" applyAlignment="1">
      <alignment horizontal="center" vertical="center"/>
    </xf>
    <xf numFmtId="180" fontId="2" fillId="30" borderId="1" xfId="0" applyNumberFormat="1" applyFont="1" applyFill="1" applyBorder="1" applyAlignment="1">
      <alignment horizontal="center" vertical="center"/>
    </xf>
    <xf numFmtId="180" fontId="2" fillId="27" borderId="1" xfId="0" applyNumberFormat="1" applyFont="1" applyFill="1" applyBorder="1" applyAlignment="1">
      <alignment horizontal="center" vertical="center"/>
    </xf>
    <xf numFmtId="180" fontId="2" fillId="8" borderId="1" xfId="0" applyNumberFormat="1" applyFont="1" applyFill="1" applyBorder="1" applyAlignment="1">
      <alignment horizontal="center" vertical="center"/>
    </xf>
    <xf numFmtId="180" fontId="2" fillId="21" borderId="1" xfId="0" applyNumberFormat="1" applyFont="1" applyFill="1" applyBorder="1" applyAlignment="1">
      <alignment horizontal="center" vertical="center"/>
    </xf>
    <xf numFmtId="180" fontId="2" fillId="11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0" fontId="2" fillId="43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42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2" borderId="1" xfId="0" applyNumberFormat="1" applyFont="1" applyFill="1" applyBorder="1" applyAlignment="1">
      <alignment horizontal="center" vertical="center"/>
    </xf>
    <xf numFmtId="183" fontId="2" fillId="43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27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8" fontId="2" fillId="21" borderId="1" xfId="0" applyNumberFormat="1" applyFont="1" applyFill="1" applyBorder="1" applyAlignment="1">
      <alignment horizontal="center" vertical="center"/>
    </xf>
    <xf numFmtId="176" fontId="2" fillId="21" borderId="2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6" fontId="2" fillId="22" borderId="2" xfId="0" applyNumberFormat="1" applyFont="1" applyFill="1" applyBorder="1" applyAlignment="1">
      <alignment horizontal="center" vertical="center"/>
    </xf>
    <xf numFmtId="176" fontId="2" fillId="5" borderId="2" xfId="0" applyNumberFormat="1" applyFont="1" applyFill="1" applyBorder="1" applyAlignment="1">
      <alignment horizontal="center" vertical="center"/>
    </xf>
    <xf numFmtId="176" fontId="2" fillId="8" borderId="2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7" fontId="2" fillId="24" borderId="1" xfId="0" applyNumberFormat="1" applyFont="1" applyFill="1" applyBorder="1" applyAlignment="1">
      <alignment horizontal="center" vertical="center"/>
    </xf>
    <xf numFmtId="177" fontId="2" fillId="44" borderId="1" xfId="0" applyNumberFormat="1" applyFont="1" applyFill="1" applyBorder="1" applyAlignment="1">
      <alignment horizontal="center" vertical="center"/>
    </xf>
    <xf numFmtId="177" fontId="2" fillId="23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8" fontId="2" fillId="11" borderId="1" xfId="0" applyNumberFormat="1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8" fontId="2" fillId="27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0" fontId="2" fillId="42" borderId="11" xfId="0" applyFont="1" applyFill="1" applyBorder="1" applyAlignment="1">
      <alignment horizontal="center" vertical="center"/>
    </xf>
    <xf numFmtId="10" fontId="2" fillId="42" borderId="1" xfId="0" applyNumberFormat="1" applyFont="1" applyFill="1" applyBorder="1" applyAlignment="1">
      <alignment horizontal="center" vertical="center"/>
    </xf>
    <xf numFmtId="0" fontId="2" fillId="45" borderId="12" xfId="0" applyFont="1" applyFill="1" applyBorder="1" applyAlignment="1">
      <alignment horizontal="center" vertical="center"/>
    </xf>
    <xf numFmtId="0" fontId="2" fillId="45" borderId="1" xfId="0" applyFont="1" applyFill="1" applyBorder="1" applyAlignment="1">
      <alignment horizontal="center" vertical="center"/>
    </xf>
    <xf numFmtId="10" fontId="2" fillId="30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0" fontId="2" fillId="30" borderId="11" xfId="0" applyFont="1" applyFill="1" applyBorder="1" applyAlignment="1">
      <alignment horizontal="center" vertical="center"/>
    </xf>
    <xf numFmtId="0" fontId="2" fillId="46" borderId="12" xfId="0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12" xfId="0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0" fontId="2" fillId="48" borderId="12" xfId="0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9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0" fontId="2" fillId="4" borderId="14" xfId="0" applyNumberFormat="1" applyFont="1" applyFill="1" applyBorder="1" applyAlignment="1">
      <alignment horizontal="center" vertical="center"/>
    </xf>
    <xf numFmtId="0" fontId="2" fillId="49" borderId="15" xfId="0" applyFont="1" applyFill="1" applyBorder="1" applyAlignment="1">
      <alignment horizontal="center" vertical="center"/>
    </xf>
    <xf numFmtId="0" fontId="2" fillId="20" borderId="1" xfId="0" applyNumberFormat="1" applyFont="1" applyFill="1" applyBorder="1" applyAlignment="1">
      <alignment horizontal="center" vertical="center"/>
    </xf>
    <xf numFmtId="0" fontId="2" fillId="3" borderId="6" xfId="0" applyNumberFormat="1" applyFont="1" applyFill="1" applyBorder="1" applyAlignment="1">
      <alignment horizontal="center" vertical="center"/>
    </xf>
    <xf numFmtId="0" fontId="2" fillId="43" borderId="6" xfId="0" applyNumberFormat="1" applyFont="1" applyFill="1" applyBorder="1" applyAlignment="1">
      <alignment horizontal="center" vertical="center"/>
    </xf>
    <xf numFmtId="0" fontId="2" fillId="3" borderId="9" xfId="0" applyNumberFormat="1" applyFont="1" applyFill="1" applyBorder="1" applyAlignment="1">
      <alignment horizontal="center" vertical="center"/>
    </xf>
    <xf numFmtId="0" fontId="2" fillId="21" borderId="9" xfId="0" applyNumberFormat="1" applyFont="1" applyFill="1" applyBorder="1" applyAlignment="1">
      <alignment horizontal="center" vertical="center"/>
    </xf>
    <xf numFmtId="0" fontId="2" fillId="31" borderId="14" xfId="0" applyNumberFormat="1" applyFont="1" applyFill="1" applyBorder="1" applyAlignment="1">
      <alignment horizontal="center" vertical="center"/>
    </xf>
    <xf numFmtId="0" fontId="2" fillId="30" borderId="1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2" fillId="31" borderId="4" xfId="0" applyNumberFormat="1" applyFont="1" applyFill="1" applyBorder="1" applyAlignment="1">
      <alignment horizontal="center" vertical="center"/>
    </xf>
    <xf numFmtId="0" fontId="2" fillId="19" borderId="1" xfId="0" applyNumberFormat="1" applyFont="1" applyFill="1" applyBorder="1" applyAlignment="1">
      <alignment horizontal="center" vertical="center"/>
    </xf>
    <xf numFmtId="0" fontId="2" fillId="22" borderId="6" xfId="0" applyNumberFormat="1" applyFont="1" applyFill="1" applyBorder="1" applyAlignment="1">
      <alignment horizontal="center" vertical="center"/>
    </xf>
    <xf numFmtId="0" fontId="2" fillId="8" borderId="6" xfId="0" applyNumberFormat="1" applyFont="1" applyFill="1" applyBorder="1" applyAlignment="1">
      <alignment horizontal="center" vertical="center"/>
    </xf>
    <xf numFmtId="0" fontId="2" fillId="28" borderId="14" xfId="0" applyNumberFormat="1" applyFont="1" applyFill="1" applyBorder="1" applyAlignment="1">
      <alignment horizontal="center" vertical="center"/>
    </xf>
    <xf numFmtId="0" fontId="2" fillId="28" borderId="4" xfId="0" applyNumberFormat="1" applyFont="1" applyFill="1" applyBorder="1" applyAlignment="1">
      <alignment horizontal="center" vertical="center"/>
    </xf>
    <xf numFmtId="0" fontId="2" fillId="11" borderId="4" xfId="0" applyNumberFormat="1" applyFont="1" applyFill="1" applyBorder="1" applyAlignment="1">
      <alignment horizontal="center" vertical="center"/>
    </xf>
    <xf numFmtId="0" fontId="2" fillId="31" borderId="6" xfId="0" applyNumberFormat="1" applyFont="1" applyFill="1" applyBorder="1" applyAlignment="1">
      <alignment horizontal="center" vertical="center"/>
    </xf>
    <xf numFmtId="0" fontId="2" fillId="11" borderId="9" xfId="0" applyNumberFormat="1" applyFont="1" applyFill="1" applyBorder="1" applyAlignment="1">
      <alignment horizontal="center" vertical="center"/>
    </xf>
    <xf numFmtId="0" fontId="2" fillId="31" borderId="9" xfId="0" applyNumberFormat="1" applyFont="1" applyFill="1" applyBorder="1" applyAlignment="1">
      <alignment horizontal="center" vertical="center"/>
    </xf>
    <xf numFmtId="0" fontId="2" fillId="27" borderId="14" xfId="0" applyNumberFormat="1" applyFont="1" applyFill="1" applyBorder="1" applyAlignment="1">
      <alignment horizontal="center" vertical="center"/>
    </xf>
    <xf numFmtId="0" fontId="2" fillId="30" borderId="4" xfId="0" applyNumberFormat="1" applyFont="1" applyFill="1" applyBorder="1" applyAlignment="1">
      <alignment horizontal="center" vertical="center"/>
    </xf>
    <xf numFmtId="177" fontId="4" fillId="28" borderId="1" xfId="0" applyNumberFormat="1" applyFont="1" applyFill="1" applyBorder="1" applyAlignment="1">
      <alignment horizontal="center" vertical="center"/>
    </xf>
    <xf numFmtId="177" fontId="4" fillId="8" borderId="1" xfId="0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 vertical="center"/>
    </xf>
    <xf numFmtId="176" fontId="4" fillId="27" borderId="1" xfId="0" applyNumberFormat="1" applyFont="1" applyFill="1" applyBorder="1" applyAlignment="1">
      <alignment horizontal="center" vertical="center"/>
    </xf>
    <xf numFmtId="177" fontId="4" fillId="11" borderId="1" xfId="0" applyNumberFormat="1" applyFont="1" applyFill="1" applyBorder="1" applyAlignment="1">
      <alignment horizontal="center" vertical="center"/>
    </xf>
    <xf numFmtId="177" fontId="4" fillId="21" borderId="1" xfId="0" applyNumberFormat="1" applyFont="1" applyFill="1" applyBorder="1" applyAlignment="1">
      <alignment horizontal="center" vertical="center"/>
    </xf>
    <xf numFmtId="177" fontId="4" fillId="3" borderId="1" xfId="0" applyNumberFormat="1" applyFont="1" applyFill="1" applyBorder="1" applyAlignment="1">
      <alignment horizontal="center" vertical="center"/>
    </xf>
    <xf numFmtId="176" fontId="4" fillId="29" borderId="1" xfId="0" applyNumberFormat="1" applyFont="1" applyFill="1" applyBorder="1" applyAlignment="1">
      <alignment horizontal="center" vertical="center"/>
    </xf>
    <xf numFmtId="177" fontId="4" fillId="27" borderId="1" xfId="0" applyNumberFormat="1" applyFont="1" applyFill="1" applyBorder="1" applyAlignment="1">
      <alignment horizontal="center" vertical="center"/>
    </xf>
    <xf numFmtId="177" fontId="4" fillId="31" borderId="1" xfId="0" applyNumberFormat="1" applyFont="1" applyFill="1" applyBorder="1" applyAlignment="1">
      <alignment horizontal="center" vertical="center"/>
    </xf>
    <xf numFmtId="177" fontId="4" fillId="29" borderId="1" xfId="0" applyNumberFormat="1" applyFont="1" applyFill="1" applyBorder="1" applyAlignment="1">
      <alignment horizontal="center" vertical="center"/>
    </xf>
    <xf numFmtId="176" fontId="4" fillId="43" borderId="1" xfId="0" applyNumberFormat="1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177" fontId="4" fillId="22" borderId="1" xfId="0" applyNumberFormat="1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 vertical="center"/>
    </xf>
    <xf numFmtId="179" fontId="4" fillId="31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 applyAlignment="1">
      <alignment horizontal="center" vertical="center"/>
    </xf>
    <xf numFmtId="179" fontId="4" fillId="8" borderId="1" xfId="0" applyNumberFormat="1" applyFont="1" applyFill="1" applyBorder="1" applyAlignment="1">
      <alignment horizontal="center" vertical="center"/>
    </xf>
    <xf numFmtId="179" fontId="4" fillId="29" borderId="1" xfId="0" applyNumberFormat="1" applyFont="1" applyFill="1" applyBorder="1" applyAlignment="1">
      <alignment horizontal="center" vertical="center"/>
    </xf>
    <xf numFmtId="179" fontId="4" fillId="43" borderId="1" xfId="0" applyNumberFormat="1" applyFont="1" applyFill="1" applyBorder="1" applyAlignment="1">
      <alignment horizontal="center" vertical="center"/>
    </xf>
    <xf numFmtId="179" fontId="4" fillId="28" borderId="1" xfId="0" applyNumberFormat="1" applyFont="1" applyFill="1" applyBorder="1" applyAlignment="1">
      <alignment horizontal="center" vertical="center"/>
    </xf>
    <xf numFmtId="179" fontId="4" fillId="21" borderId="1" xfId="0" applyNumberFormat="1" applyFont="1" applyFill="1" applyBorder="1" applyAlignment="1">
      <alignment horizontal="center" vertical="center"/>
    </xf>
    <xf numFmtId="179" fontId="4" fillId="11" borderId="1" xfId="0" applyNumberFormat="1" applyFont="1" applyFill="1" applyBorder="1" applyAlignment="1">
      <alignment horizontal="center" vertical="center"/>
    </xf>
    <xf numFmtId="179" fontId="4" fillId="27" borderId="1" xfId="0" applyNumberFormat="1" applyFont="1" applyFill="1" applyBorder="1" applyAlignment="1">
      <alignment horizontal="center" vertical="center"/>
    </xf>
    <xf numFmtId="179" fontId="4" fillId="22" borderId="1" xfId="0" applyNumberFormat="1" applyFont="1" applyFill="1" applyBorder="1" applyAlignment="1">
      <alignment horizontal="center" vertical="center"/>
    </xf>
    <xf numFmtId="179" fontId="4" fillId="30" borderId="1" xfId="0" applyNumberFormat="1" applyFont="1" applyFill="1" applyBorder="1" applyAlignment="1">
      <alignment horizontal="center" vertical="center"/>
    </xf>
    <xf numFmtId="176" fontId="4" fillId="30" borderId="1" xfId="0" applyNumberFormat="1" applyFont="1" applyFill="1" applyBorder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 vertical="center"/>
    </xf>
    <xf numFmtId="181" fontId="4" fillId="29" borderId="1" xfId="0" applyNumberFormat="1" applyFont="1" applyFill="1" applyBorder="1" applyAlignment="1">
      <alignment horizontal="center" vertical="center"/>
    </xf>
    <xf numFmtId="181" fontId="4" fillId="27" borderId="1" xfId="0" applyNumberFormat="1" applyFont="1" applyFill="1" applyBorder="1" applyAlignment="1">
      <alignment horizontal="center" vertical="center"/>
    </xf>
    <xf numFmtId="176" fontId="2" fillId="27" borderId="6" xfId="0" applyNumberFormat="1" applyFont="1" applyFill="1" applyBorder="1" applyAlignment="1">
      <alignment horizontal="center" vertical="center"/>
    </xf>
    <xf numFmtId="176" fontId="2" fillId="43" borderId="6" xfId="0" applyNumberFormat="1" applyFont="1" applyFill="1" applyBorder="1" applyAlignment="1">
      <alignment horizontal="center" vertical="center"/>
    </xf>
    <xf numFmtId="176" fontId="2" fillId="21" borderId="9" xfId="0" applyNumberFormat="1" applyFont="1" applyFill="1" applyBorder="1" applyAlignment="1">
      <alignment horizontal="center" vertical="center"/>
    </xf>
    <xf numFmtId="176" fontId="2" fillId="31" borderId="9" xfId="0" applyNumberFormat="1" applyFont="1" applyFill="1" applyBorder="1" applyAlignment="1">
      <alignment horizontal="center" vertical="center"/>
    </xf>
    <xf numFmtId="176" fontId="2" fillId="21" borderId="14" xfId="0" applyNumberFormat="1" applyFont="1" applyFill="1" applyBorder="1" applyAlignment="1">
      <alignment horizontal="center" vertical="center"/>
    </xf>
    <xf numFmtId="176" fontId="2" fillId="27" borderId="14" xfId="0" applyNumberFormat="1" applyFont="1" applyFill="1" applyBorder="1" applyAlignment="1">
      <alignment horizontal="center" vertical="center"/>
    </xf>
    <xf numFmtId="176" fontId="2" fillId="31" borderId="14" xfId="0" applyNumberFormat="1" applyFont="1" applyFill="1" applyBorder="1" applyAlignment="1">
      <alignment horizontal="center" vertical="center"/>
    </xf>
    <xf numFmtId="176" fontId="2" fillId="42" borderId="4" xfId="0" applyNumberFormat="1" applyFont="1" applyFill="1" applyBorder="1" applyAlignment="1">
      <alignment horizontal="center" vertical="center"/>
    </xf>
    <xf numFmtId="176" fontId="2" fillId="31" borderId="4" xfId="0" applyNumberFormat="1" applyFont="1" applyFill="1" applyBorder="1" applyAlignment="1">
      <alignment horizontal="center" vertical="center"/>
    </xf>
    <xf numFmtId="176" fontId="2" fillId="22" borderId="6" xfId="0" applyNumberFormat="1" applyFont="1" applyFill="1" applyBorder="1" applyAlignment="1">
      <alignment horizontal="center" vertical="center"/>
    </xf>
    <xf numFmtId="176" fontId="2" fillId="42" borderId="6" xfId="0" applyNumberFormat="1" applyFont="1" applyFill="1" applyBorder="1" applyAlignment="1">
      <alignment horizontal="center" vertical="center"/>
    </xf>
    <xf numFmtId="176" fontId="2" fillId="43" borderId="9" xfId="0" applyNumberFormat="1" applyFont="1" applyFill="1" applyBorder="1" applyAlignment="1">
      <alignment horizontal="center" vertical="center"/>
    </xf>
    <xf numFmtId="176" fontId="2" fillId="30" borderId="14" xfId="0" applyNumberFormat="1" applyFont="1" applyFill="1" applyBorder="1" applyAlignment="1">
      <alignment horizontal="center" vertical="center"/>
    </xf>
    <xf numFmtId="177" fontId="2" fillId="11" borderId="6" xfId="0" applyNumberFormat="1" applyFont="1" applyFill="1" applyBorder="1" applyAlignment="1">
      <alignment horizontal="center" vertical="center"/>
    </xf>
    <xf numFmtId="177" fontId="2" fillId="21" borderId="6" xfId="0" applyNumberFormat="1" applyFont="1" applyFill="1" applyBorder="1" applyAlignment="1">
      <alignment horizontal="center" vertical="center"/>
    </xf>
    <xf numFmtId="177" fontId="2" fillId="22" borderId="6" xfId="0" applyNumberFormat="1" applyFont="1" applyFill="1" applyBorder="1" applyAlignment="1">
      <alignment horizontal="center" vertical="center"/>
    </xf>
    <xf numFmtId="177" fontId="2" fillId="31" borderId="6" xfId="0" applyNumberFormat="1" applyFont="1" applyFill="1" applyBorder="1" applyAlignment="1">
      <alignment horizontal="center" vertical="center"/>
    </xf>
    <xf numFmtId="177" fontId="2" fillId="28" borderId="6" xfId="0" applyNumberFormat="1" applyFont="1" applyFill="1" applyBorder="1" applyAlignment="1">
      <alignment horizontal="center" vertical="center"/>
    </xf>
    <xf numFmtId="177" fontId="2" fillId="29" borderId="9" xfId="0" applyNumberFormat="1" applyFont="1" applyFill="1" applyBorder="1" applyAlignment="1">
      <alignment horizontal="center" vertical="center"/>
    </xf>
    <xf numFmtId="177" fontId="2" fillId="18" borderId="9" xfId="0" applyNumberFormat="1" applyFont="1" applyFill="1" applyBorder="1" applyAlignment="1">
      <alignment horizontal="center" vertical="center"/>
    </xf>
    <xf numFmtId="177" fontId="2" fillId="30" borderId="9" xfId="0" applyNumberFormat="1" applyFont="1" applyFill="1" applyBorder="1" applyAlignment="1">
      <alignment horizontal="center" vertical="center"/>
    </xf>
    <xf numFmtId="177" fontId="2" fillId="5" borderId="9" xfId="0" applyNumberFormat="1" applyFont="1" applyFill="1" applyBorder="1" applyAlignment="1">
      <alignment horizontal="center" vertical="center"/>
    </xf>
    <xf numFmtId="177" fontId="2" fillId="8" borderId="9" xfId="0" applyNumberFormat="1" applyFont="1" applyFill="1" applyBorder="1" applyAlignment="1">
      <alignment horizontal="center" vertical="center"/>
    </xf>
    <xf numFmtId="177" fontId="2" fillId="11" borderId="9" xfId="0" applyNumberFormat="1" applyFont="1" applyFill="1" applyBorder="1" applyAlignment="1">
      <alignment horizontal="center" vertical="center"/>
    </xf>
    <xf numFmtId="177" fontId="2" fillId="21" borderId="9" xfId="0" applyNumberFormat="1" applyFont="1" applyFill="1" applyBorder="1" applyAlignment="1">
      <alignment horizontal="center" vertical="center"/>
    </xf>
    <xf numFmtId="177" fontId="2" fillId="22" borderId="9" xfId="0" applyNumberFormat="1" applyFont="1" applyFill="1" applyBorder="1" applyAlignment="1">
      <alignment horizontal="center" vertical="center"/>
    </xf>
    <xf numFmtId="177" fontId="2" fillId="18" borderId="1" xfId="0" applyNumberFormat="1" applyFont="1" applyFill="1" applyBorder="1" applyAlignment="1">
      <alignment horizontal="center" vertical="center"/>
    </xf>
    <xf numFmtId="177" fontId="2" fillId="31" borderId="14" xfId="0" applyNumberFormat="1" applyFont="1" applyFill="1" applyBorder="1" applyAlignment="1">
      <alignment horizontal="center" vertical="center"/>
    </xf>
    <xf numFmtId="177" fontId="2" fillId="19" borderId="14" xfId="0" applyNumberFormat="1" applyFont="1" applyFill="1" applyBorder="1" applyAlignment="1">
      <alignment horizontal="center" vertical="center"/>
    </xf>
    <xf numFmtId="177" fontId="2" fillId="12" borderId="14" xfId="0" applyNumberFormat="1" applyFont="1" applyFill="1" applyBorder="1" applyAlignment="1">
      <alignment horizontal="center" vertical="center"/>
    </xf>
    <xf numFmtId="177" fontId="2" fillId="11" borderId="14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177" fontId="2" fillId="22" borderId="14" xfId="0" applyNumberFormat="1" applyFont="1" applyFill="1" applyBorder="1" applyAlignment="1">
      <alignment horizontal="center" vertical="center"/>
    </xf>
    <xf numFmtId="177" fontId="2" fillId="30" borderId="14" xfId="0" applyNumberFormat="1" applyFont="1" applyFill="1" applyBorder="1" applyAlignment="1">
      <alignment horizontal="center" vertical="center"/>
    </xf>
    <xf numFmtId="177" fontId="2" fillId="28" borderId="14" xfId="0" applyNumberFormat="1" applyFont="1" applyFill="1" applyBorder="1" applyAlignment="1">
      <alignment horizontal="center" vertical="center"/>
    </xf>
    <xf numFmtId="177" fontId="2" fillId="21" borderId="14" xfId="0" applyNumberFormat="1" applyFont="1" applyFill="1" applyBorder="1" applyAlignment="1">
      <alignment horizontal="center" vertical="center"/>
    </xf>
    <xf numFmtId="177" fontId="2" fillId="29" borderId="7" xfId="0" applyNumberFormat="1" applyFont="1" applyFill="1" applyBorder="1" applyAlignment="1">
      <alignment horizontal="center" vertical="center"/>
    </xf>
    <xf numFmtId="177" fontId="2" fillId="18" borderId="25" xfId="0" applyNumberFormat="1" applyFont="1" applyFill="1" applyBorder="1" applyAlignment="1">
      <alignment horizontal="center" vertical="center"/>
    </xf>
    <xf numFmtId="177" fontId="2" fillId="18" borderId="26" xfId="0" applyNumberFormat="1" applyFont="1" applyFill="1" applyBorder="1" applyAlignment="1">
      <alignment horizontal="center" vertical="center"/>
    </xf>
    <xf numFmtId="177" fontId="2" fillId="5" borderId="7" xfId="0" applyNumberFormat="1" applyFont="1" applyFill="1" applyBorder="1" applyAlignment="1">
      <alignment horizontal="center" vertical="center"/>
    </xf>
    <xf numFmtId="177" fontId="2" fillId="22" borderId="25" xfId="0" applyNumberFormat="1" applyFont="1" applyFill="1" applyBorder="1" applyAlignment="1">
      <alignment horizontal="center" vertical="center"/>
    </xf>
    <xf numFmtId="177" fontId="2" fillId="20" borderId="26" xfId="0" applyNumberFormat="1" applyFont="1" applyFill="1" applyBorder="1" applyAlignment="1">
      <alignment horizontal="center" vertical="center"/>
    </xf>
    <xf numFmtId="177" fontId="2" fillId="11" borderId="7" xfId="0" applyNumberFormat="1" applyFont="1" applyFill="1" applyBorder="1" applyAlignment="1">
      <alignment horizontal="center" vertical="center"/>
    </xf>
    <xf numFmtId="177" fontId="2" fillId="21" borderId="25" xfId="0" applyNumberFormat="1" applyFont="1" applyFill="1" applyBorder="1" applyAlignment="1">
      <alignment horizontal="center" vertical="center"/>
    </xf>
    <xf numFmtId="177" fontId="2" fillId="22" borderId="26" xfId="0" applyNumberFormat="1" applyFont="1" applyFill="1" applyBorder="1" applyAlignment="1">
      <alignment horizontal="center" vertical="center"/>
    </xf>
    <xf numFmtId="177" fontId="2" fillId="27" borderId="2" xfId="0" applyNumberFormat="1" applyFont="1" applyFill="1" applyBorder="1" applyAlignment="1">
      <alignment horizontal="center" vertical="center"/>
    </xf>
    <xf numFmtId="177" fontId="2" fillId="18" borderId="11" xfId="0" applyNumberFormat="1" applyFont="1" applyFill="1" applyBorder="1" applyAlignment="1">
      <alignment horizontal="center" vertical="center"/>
    </xf>
    <xf numFmtId="177" fontId="2" fillId="18" borderId="12" xfId="0" applyNumberFormat="1" applyFont="1" applyFill="1" applyBorder="1" applyAlignment="1">
      <alignment horizontal="center" vertical="center"/>
    </xf>
    <xf numFmtId="177" fontId="2" fillId="5" borderId="2" xfId="0" applyNumberFormat="1" applyFont="1" applyFill="1" applyBorder="1" applyAlignment="1">
      <alignment horizontal="center" vertical="center"/>
    </xf>
    <xf numFmtId="177" fontId="2" fillId="22" borderId="11" xfId="0" applyNumberFormat="1" applyFont="1" applyFill="1" applyBorder="1" applyAlignment="1">
      <alignment horizontal="center" vertical="center"/>
    </xf>
    <xf numFmtId="177" fontId="2" fillId="20" borderId="12" xfId="0" applyNumberFormat="1" applyFont="1" applyFill="1" applyBorder="1" applyAlignment="1">
      <alignment horizontal="center" vertical="center"/>
    </xf>
    <xf numFmtId="177" fontId="2" fillId="28" borderId="2" xfId="0" applyNumberFormat="1" applyFont="1" applyFill="1" applyBorder="1" applyAlignment="1">
      <alignment horizontal="center" vertical="center"/>
    </xf>
    <xf numFmtId="177" fontId="2" fillId="21" borderId="11" xfId="0" applyNumberFormat="1" applyFont="1" applyFill="1" applyBorder="1" applyAlignment="1">
      <alignment horizontal="center" vertical="center"/>
    </xf>
    <xf numFmtId="177" fontId="2" fillId="8" borderId="12" xfId="0" applyNumberFormat="1" applyFont="1" applyFill="1" applyBorder="1" applyAlignment="1">
      <alignment horizontal="center" vertical="center"/>
    </xf>
    <xf numFmtId="177" fontId="2" fillId="21" borderId="2" xfId="0" applyNumberFormat="1" applyFont="1" applyFill="1" applyBorder="1" applyAlignment="1">
      <alignment horizontal="center" vertical="center"/>
    </xf>
    <xf numFmtId="177" fontId="2" fillId="24" borderId="11" xfId="0" applyNumberFormat="1" applyFont="1" applyFill="1" applyBorder="1" applyAlignment="1">
      <alignment horizontal="center" vertical="center"/>
    </xf>
    <xf numFmtId="177" fontId="2" fillId="44" borderId="12" xfId="0" applyNumberFormat="1" applyFont="1" applyFill="1" applyBorder="1" applyAlignment="1">
      <alignment horizontal="center" vertical="center"/>
    </xf>
    <xf numFmtId="177" fontId="2" fillId="3" borderId="12" xfId="0" applyNumberFormat="1" applyFont="1" applyFill="1" applyBorder="1" applyAlignment="1">
      <alignment horizontal="center" vertical="center"/>
    </xf>
    <xf numFmtId="177" fontId="2" fillId="11" borderId="2" xfId="0" applyNumberFormat="1" applyFont="1" applyFill="1" applyBorder="1" applyAlignment="1">
      <alignment horizontal="center" vertical="center"/>
    </xf>
    <xf numFmtId="177" fontId="2" fillId="22" borderId="2" xfId="0" applyNumberFormat="1" applyFont="1" applyFill="1" applyBorder="1" applyAlignment="1">
      <alignment horizontal="center" vertical="center"/>
    </xf>
    <xf numFmtId="177" fontId="2" fillId="4" borderId="11" xfId="0" applyNumberFormat="1" applyFont="1" applyFill="1" applyBorder="1" applyAlignment="1">
      <alignment horizontal="center" vertical="center"/>
    </xf>
    <xf numFmtId="177" fontId="2" fillId="12" borderId="12" xfId="0" applyNumberFormat="1" applyFont="1" applyFill="1" applyBorder="1" applyAlignment="1">
      <alignment horizontal="center" vertical="center"/>
    </xf>
    <xf numFmtId="177" fontId="2" fillId="9" borderId="12" xfId="0" applyNumberFormat="1" applyFont="1" applyFill="1" applyBorder="1" applyAlignment="1">
      <alignment horizontal="center" vertical="center"/>
    </xf>
    <xf numFmtId="177" fontId="2" fillId="19" borderId="2" xfId="0" applyNumberFormat="1" applyFont="1" applyFill="1" applyBorder="1" applyAlignment="1">
      <alignment horizontal="center" vertical="center"/>
    </xf>
    <xf numFmtId="177" fontId="2" fillId="24" borderId="12" xfId="0" applyNumberFormat="1" applyFont="1" applyFill="1" applyBorder="1" applyAlignment="1">
      <alignment horizontal="center" vertical="center"/>
    </xf>
    <xf numFmtId="177" fontId="2" fillId="3" borderId="2" xfId="0" applyNumberFormat="1" applyFont="1" applyFill="1" applyBorder="1" applyAlignment="1">
      <alignment horizontal="center" vertical="center"/>
    </xf>
    <xf numFmtId="177" fontId="2" fillId="4" borderId="12" xfId="0" applyNumberFormat="1" applyFont="1" applyFill="1" applyBorder="1" applyAlignment="1">
      <alignment horizontal="center" vertical="center"/>
    </xf>
    <xf numFmtId="177" fontId="2" fillId="5" borderId="11" xfId="0" applyNumberFormat="1" applyFont="1" applyFill="1" applyBorder="1" applyAlignment="1">
      <alignment horizontal="center" vertical="center"/>
    </xf>
    <xf numFmtId="177" fontId="2" fillId="23" borderId="12" xfId="0" applyNumberFormat="1" applyFont="1" applyFill="1" applyBorder="1" applyAlignment="1">
      <alignment horizontal="center" vertical="center"/>
    </xf>
    <xf numFmtId="177" fontId="2" fillId="21" borderId="12" xfId="0" applyNumberFormat="1" applyFont="1" applyFill="1" applyBorder="1" applyAlignment="1">
      <alignment horizontal="center" vertical="center"/>
    </xf>
    <xf numFmtId="177" fontId="2" fillId="19" borderId="11" xfId="0" applyNumberFormat="1" applyFont="1" applyFill="1" applyBorder="1" applyAlignment="1">
      <alignment horizontal="center" vertical="center"/>
    </xf>
    <xf numFmtId="177" fontId="2" fillId="8" borderId="11" xfId="0" applyNumberFormat="1" applyFont="1" applyFill="1" applyBorder="1" applyAlignment="1">
      <alignment horizontal="center" vertical="center"/>
    </xf>
    <xf numFmtId="177" fontId="2" fillId="8" borderId="2" xfId="0" applyNumberFormat="1" applyFont="1" applyFill="1" applyBorder="1" applyAlignment="1">
      <alignment horizontal="center" vertical="center"/>
    </xf>
    <xf numFmtId="177" fontId="2" fillId="20" borderId="2" xfId="0" applyNumberFormat="1" applyFont="1" applyFill="1" applyBorder="1" applyAlignment="1">
      <alignment horizontal="center" vertical="center"/>
    </xf>
    <xf numFmtId="177" fontId="2" fillId="22" borderId="12" xfId="0" applyNumberFormat="1" applyFont="1" applyFill="1" applyBorder="1" applyAlignment="1">
      <alignment horizontal="center" vertical="center"/>
    </xf>
    <xf numFmtId="177" fontId="2" fillId="50" borderId="12" xfId="0" applyNumberFormat="1" applyFont="1" applyFill="1" applyBorder="1" applyAlignment="1">
      <alignment horizontal="center" vertical="center"/>
    </xf>
    <xf numFmtId="177" fontId="2" fillId="31" borderId="2" xfId="0" applyNumberFormat="1" applyFont="1" applyFill="1" applyBorder="1" applyAlignment="1">
      <alignment horizontal="center" vertical="center"/>
    </xf>
    <xf numFmtId="177" fontId="2" fillId="22" borderId="16" xfId="0" applyNumberFormat="1" applyFont="1" applyFill="1" applyBorder="1" applyAlignment="1">
      <alignment horizontal="center" vertical="center"/>
    </xf>
    <xf numFmtId="177" fontId="2" fillId="19" borderId="23" xfId="0" applyNumberFormat="1" applyFont="1" applyFill="1" applyBorder="1" applyAlignment="1">
      <alignment horizontal="center" vertical="center"/>
    </xf>
    <xf numFmtId="177" fontId="2" fillId="19" borderId="24" xfId="0" applyNumberFormat="1" applyFont="1" applyFill="1" applyBorder="1" applyAlignment="1">
      <alignment horizontal="center" vertical="center"/>
    </xf>
    <xf numFmtId="177" fontId="2" fillId="28" borderId="16" xfId="0" applyNumberFormat="1" applyFont="1" applyFill="1" applyBorder="1" applyAlignment="1">
      <alignment horizontal="center" vertical="center"/>
    </xf>
    <xf numFmtId="177" fontId="2" fillId="8" borderId="23" xfId="0" applyNumberFormat="1" applyFont="1" applyFill="1" applyBorder="1" applyAlignment="1">
      <alignment horizontal="center" vertical="center"/>
    </xf>
    <xf numFmtId="177" fontId="2" fillId="3" borderId="24" xfId="0" applyNumberFormat="1" applyFont="1" applyFill="1" applyBorder="1" applyAlignment="1">
      <alignment horizontal="center" vertical="center"/>
    </xf>
    <xf numFmtId="177" fontId="2" fillId="11" borderId="16" xfId="0" applyNumberFormat="1" applyFont="1" applyFill="1" applyBorder="1" applyAlignment="1">
      <alignment horizontal="center" vertic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8" borderId="24" xfId="0" applyNumberFormat="1" applyFont="1" applyFill="1" applyBorder="1" applyAlignment="1">
      <alignment horizontal="center" vertical="center"/>
    </xf>
    <xf numFmtId="177" fontId="2" fillId="29" borderId="17" xfId="0" applyNumberFormat="1" applyFont="1" applyFill="1" applyBorder="1" applyAlignment="1">
      <alignment horizontal="center" vertical="center"/>
    </xf>
    <xf numFmtId="177" fontId="2" fillId="18" borderId="8" xfId="0" applyNumberFormat="1" applyFont="1" applyFill="1" applyBorder="1" applyAlignment="1">
      <alignment horizontal="center" vertical="center"/>
    </xf>
    <xf numFmtId="177" fontId="2" fillId="18" borderId="10" xfId="0" applyNumberFormat="1" applyFont="1" applyFill="1" applyBorder="1" applyAlignment="1">
      <alignment horizontal="center" vertical="center"/>
    </xf>
    <xf numFmtId="177" fontId="2" fillId="28" borderId="17" xfId="0" applyNumberFormat="1" applyFont="1" applyFill="1" applyBorder="1" applyAlignment="1">
      <alignment horizontal="center" vertical="center"/>
    </xf>
    <xf numFmtId="177" fontId="2" fillId="22" borderId="8" xfId="0" applyNumberFormat="1" applyFont="1" applyFill="1" applyBorder="1" applyAlignment="1">
      <alignment horizontal="center" vertical="center"/>
    </xf>
    <xf numFmtId="177" fontId="2" fillId="9" borderId="10" xfId="0" applyNumberFormat="1" applyFont="1" applyFill="1" applyBorder="1" applyAlignment="1">
      <alignment horizontal="center" vertical="center"/>
    </xf>
    <xf numFmtId="177" fontId="2" fillId="11" borderId="17" xfId="0" applyNumberFormat="1" applyFont="1" applyFill="1" applyBorder="1" applyAlignment="1">
      <alignment horizontal="center" vertical="center"/>
    </xf>
    <xf numFmtId="177" fontId="2" fillId="21" borderId="8" xfId="0" applyNumberFormat="1" applyFont="1" applyFill="1" applyBorder="1" applyAlignment="1">
      <alignment horizontal="center" vertical="center"/>
    </xf>
    <xf numFmtId="177" fontId="2" fillId="22" borderId="10" xfId="0" applyNumberFormat="1" applyFont="1" applyFill="1" applyBorder="1" applyAlignment="1">
      <alignment horizontal="center" vertical="center"/>
    </xf>
    <xf numFmtId="177" fontId="2" fillId="29" borderId="2" xfId="0" applyNumberFormat="1" applyFont="1" applyFill="1" applyBorder="1" applyAlignment="1">
      <alignment horizontal="center" vertical="center"/>
    </xf>
    <xf numFmtId="177" fontId="2" fillId="27" borderId="11" xfId="0" applyNumberFormat="1" applyFont="1" applyFill="1" applyBorder="1" applyAlignment="1">
      <alignment horizontal="center" vertical="center"/>
    </xf>
    <xf numFmtId="177" fontId="2" fillId="11" borderId="11" xfId="0" applyNumberFormat="1" applyFont="1" applyFill="1" applyBorder="1" applyAlignment="1">
      <alignment horizontal="center" vertical="center"/>
    </xf>
    <xf numFmtId="177" fontId="2" fillId="31" borderId="11" xfId="0" applyNumberFormat="1" applyFont="1" applyFill="1" applyBorder="1" applyAlignment="1">
      <alignment horizontal="center" vertical="center"/>
    </xf>
    <xf numFmtId="177" fontId="2" fillId="30" borderId="11" xfId="0" applyNumberFormat="1" applyFont="1" applyFill="1" applyBorder="1" applyAlignment="1">
      <alignment horizontal="center" vertical="center"/>
    </xf>
    <xf numFmtId="177" fontId="2" fillId="51" borderId="12" xfId="0" applyNumberFormat="1" applyFont="1" applyFill="1" applyBorder="1" applyAlignment="1">
      <alignment horizontal="center" vertical="center"/>
    </xf>
    <xf numFmtId="177" fontId="2" fillId="30" borderId="2" xfId="0" applyNumberFormat="1" applyFont="1" applyFill="1" applyBorder="1" applyAlignment="1">
      <alignment horizontal="center" vertical="center"/>
    </xf>
    <xf numFmtId="177" fontId="2" fillId="28" borderId="11" xfId="0" applyNumberFormat="1" applyFont="1" applyFill="1" applyBorder="1" applyAlignment="1">
      <alignment horizontal="center" vertical="center"/>
    </xf>
    <xf numFmtId="177" fontId="2" fillId="52" borderId="12" xfId="0" applyNumberFormat="1" applyFont="1" applyFill="1" applyBorder="1" applyAlignment="1">
      <alignment horizontal="center" vertical="center"/>
    </xf>
    <xf numFmtId="177" fontId="2" fillId="53" borderId="12" xfId="0" applyNumberFormat="1" applyFont="1" applyFill="1" applyBorder="1" applyAlignment="1">
      <alignment horizontal="center" vertical="center"/>
    </xf>
    <xf numFmtId="177" fontId="2" fillId="20" borderId="11" xfId="0" applyNumberFormat="1" applyFont="1" applyFill="1" applyBorder="1" applyAlignment="1">
      <alignment horizontal="center" vertical="center"/>
    </xf>
    <xf numFmtId="177" fontId="2" fillId="3" borderId="11" xfId="0" applyNumberFormat="1" applyFont="1" applyFill="1" applyBorder="1" applyAlignment="1">
      <alignment horizontal="center" vertical="center"/>
    </xf>
    <xf numFmtId="177" fontId="2" fillId="8" borderId="18" xfId="0" applyNumberFormat="1" applyFont="1" applyFill="1" applyBorder="1" applyAlignment="1">
      <alignment horizontal="center" vertical="center"/>
    </xf>
    <xf numFmtId="177" fontId="2" fillId="19" borderId="13" xfId="0" applyNumberFormat="1" applyFont="1" applyFill="1" applyBorder="1" applyAlignment="1">
      <alignment horizontal="center" vertical="center"/>
    </xf>
    <xf numFmtId="177" fontId="2" fillId="12" borderId="15" xfId="0" applyNumberFormat="1" applyFont="1" applyFill="1" applyBorder="1" applyAlignment="1">
      <alignment horizontal="center" vertical="center"/>
    </xf>
    <xf numFmtId="177" fontId="2" fillId="28" borderId="18" xfId="0" applyNumberFormat="1" applyFont="1" applyFill="1" applyBorder="1" applyAlignment="1">
      <alignment horizontal="center" vertical="center"/>
    </xf>
    <xf numFmtId="177" fontId="2" fillId="22" borderId="13" xfId="0" applyNumberFormat="1" applyFont="1" applyFill="1" applyBorder="1" applyAlignment="1">
      <alignment horizontal="center" vertical="center"/>
    </xf>
    <xf numFmtId="177" fontId="2" fillId="3" borderId="15" xfId="0" applyNumberFormat="1" applyFont="1" applyFill="1" applyBorder="1" applyAlignment="1">
      <alignment horizontal="center" vertical="center"/>
    </xf>
    <xf numFmtId="177" fontId="2" fillId="11" borderId="18" xfId="0" applyNumberFormat="1" applyFont="1" applyFill="1" applyBorder="1" applyAlignment="1">
      <alignment horizontal="center" vertical="center"/>
    </xf>
    <xf numFmtId="177" fontId="2" fillId="5" borderId="13" xfId="0" applyNumberFormat="1" applyFont="1" applyFill="1" applyBorder="1" applyAlignment="1">
      <alignment horizontal="center" vertical="center"/>
    </xf>
    <xf numFmtId="177" fontId="2" fillId="8" borderId="15" xfId="0" applyNumberFormat="1" applyFont="1" applyFill="1" applyBorder="1" applyAlignment="1">
      <alignment horizontal="center" vertical="center"/>
    </xf>
    <xf numFmtId="179" fontId="4" fillId="42" borderId="1" xfId="0" applyNumberFormat="1" applyFont="1" applyFill="1" applyBorder="1" applyAlignment="1">
      <alignment horizontal="center" vertical="center"/>
    </xf>
    <xf numFmtId="176" fontId="2" fillId="20" borderId="9" xfId="0" applyNumberFormat="1" applyFont="1" applyFill="1" applyBorder="1" applyAlignment="1">
      <alignment horizontal="center" vertical="center"/>
    </xf>
    <xf numFmtId="176" fontId="2" fillId="20" borderId="4" xfId="0" applyNumberFormat="1" applyFont="1" applyFill="1" applyBorder="1" applyAlignment="1">
      <alignment horizontal="center" vertical="center"/>
    </xf>
    <xf numFmtId="176" fontId="2" fillId="27" borderId="9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882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  <dxf>
      <fill>
        <patternFill>
          <bgColor rgb="FF505050"/>
        </patternFill>
      </fill>
    </dxf>
    <dxf>
      <fill>
        <patternFill>
          <bgColor rgb="FF707070"/>
        </patternFill>
      </fill>
    </dxf>
    <dxf>
      <fill>
        <patternFill>
          <bgColor rgb="FF909090"/>
        </patternFill>
      </fill>
    </dxf>
    <dxf>
      <fill>
        <patternFill>
          <bgColor rgb="FFACB8AC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F57B7"/>
        </patternFill>
      </fill>
    </dxf>
    <dxf>
      <fill>
        <patternFill>
          <bgColor rgb="FFD6007B"/>
        </patternFill>
      </fill>
    </dxf>
    <dxf>
      <fill>
        <patternFill>
          <bgColor rgb="FF25EBB7"/>
        </patternFill>
      </fill>
    </dxf>
    <dxf>
      <fill>
        <patternFill>
          <bgColor rgb="FF0FB58D"/>
        </patternFill>
      </fill>
    </dxf>
  </dxfs>
  <tableStyles count="0" defaultTableStyle="TableStyleMedium2" defaultPivotStyle="PivotStyleMedium9"/>
  <colors>
    <mruColors>
      <color rgb="FFFF6969"/>
      <color rgb="FF14D2A0"/>
      <color rgb="FF0C8E6F"/>
      <color rgb="FF0B8366"/>
      <color rgb="FF15E1AC"/>
      <color rgb="FF0D9575"/>
      <color rgb="FF07513F"/>
      <color rgb="FF0FB18A"/>
      <color rgb="FF7DF3D4"/>
      <color rgb="FF8FF5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AW3450"/>
  <sheetViews>
    <sheetView workbookViewId="0">
      <pane ySplit="1" topLeftCell="A2" activePane="bottomLeft" state="frozen"/>
      <selection pane="bottomLeft"/>
    </sheetView>
  </sheetViews>
  <sheetFormatPr defaultColWidth="6.44140625" defaultRowHeight="13.2" x14ac:dyDescent="0.25"/>
  <cols>
    <col min="1" max="1" width="4.44140625" style="1" bestFit="1" customWidth="1"/>
    <col min="2" max="2" width="6.109375" style="1" bestFit="1" customWidth="1"/>
    <col min="3" max="3" width="5.44140625" style="1" bestFit="1" customWidth="1"/>
    <col min="4" max="4" width="4.88671875" style="1" hidden="1" customWidth="1"/>
    <col min="5" max="5" width="4.109375" style="1" hidden="1" customWidth="1"/>
    <col min="6" max="6" width="4.33203125" style="1" hidden="1" customWidth="1"/>
    <col min="7" max="7" width="5.44140625" style="1" bestFit="1" customWidth="1"/>
    <col min="8" max="8" width="6.88671875" style="2" bestFit="1" customWidth="1"/>
    <col min="9" max="9" width="6" style="1" bestFit="1" customWidth="1"/>
    <col min="10" max="10" width="6.88671875" style="1" hidden="1" customWidth="1"/>
    <col min="11" max="11" width="5" style="1" hidden="1" customWidth="1"/>
    <col min="12" max="20" width="4.88671875" style="1" hidden="1" customWidth="1"/>
    <col min="21" max="21" width="3.6640625" style="1" bestFit="1" customWidth="1"/>
    <col min="22" max="22" width="3.88671875" style="1" bestFit="1" customWidth="1"/>
    <col min="23" max="23" width="3.88671875" style="1" hidden="1" customWidth="1"/>
    <col min="24" max="24" width="4" style="1" bestFit="1" customWidth="1"/>
    <col min="25" max="26" width="4.21875" style="1" hidden="1" customWidth="1"/>
    <col min="27" max="27" width="8.33203125" style="1" bestFit="1" customWidth="1"/>
    <col min="28" max="28" width="6.6640625" style="1" bestFit="1" customWidth="1"/>
    <col min="29" max="29" width="6.33203125" style="1" customWidth="1"/>
    <col min="30" max="30" width="5.44140625" style="1" hidden="1" customWidth="1"/>
    <col min="31" max="31" width="5.33203125" style="1" hidden="1" customWidth="1"/>
    <col min="32" max="33" width="6.109375" style="3" customWidth="1"/>
    <col min="34" max="35" width="6.109375" style="1" customWidth="1"/>
    <col min="36" max="36" width="8.33203125" style="1" bestFit="1" customWidth="1"/>
    <col min="37" max="49" width="5.6640625" style="1" customWidth="1"/>
    <col min="50" max="16384" width="6.44140625" style="5"/>
  </cols>
  <sheetData>
    <row r="1" spans="1:49" s="519" customFormat="1" x14ac:dyDescent="0.25">
      <c r="A1" s="6" t="s">
        <v>49</v>
      </c>
      <c r="B1" s="6" t="s">
        <v>50</v>
      </c>
      <c r="C1" s="6" t="s">
        <v>36</v>
      </c>
      <c r="D1" s="6"/>
      <c r="E1" s="6"/>
      <c r="F1" s="6"/>
      <c r="G1" s="6" t="s">
        <v>53</v>
      </c>
      <c r="H1" s="6" t="s">
        <v>6</v>
      </c>
      <c r="I1" s="6" t="s">
        <v>54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 t="s">
        <v>55</v>
      </c>
      <c r="V1" s="6" t="s">
        <v>56</v>
      </c>
      <c r="W1" s="6" t="s">
        <v>57</v>
      </c>
      <c r="X1" s="6" t="s">
        <v>58</v>
      </c>
      <c r="Y1" s="6" t="s">
        <v>59</v>
      </c>
      <c r="Z1" s="6" t="s">
        <v>60</v>
      </c>
      <c r="AA1" s="6" t="s">
        <v>275</v>
      </c>
      <c r="AB1" s="6" t="s">
        <v>276</v>
      </c>
      <c r="AC1" s="6" t="s">
        <v>8</v>
      </c>
      <c r="AD1" s="6" t="s">
        <v>61</v>
      </c>
      <c r="AE1" s="6" t="s">
        <v>62</v>
      </c>
      <c r="AF1" s="6" t="s">
        <v>2</v>
      </c>
      <c r="AG1" s="6" t="s">
        <v>0</v>
      </c>
      <c r="AH1" s="6" t="str">
        <f>IF(Arb!$AJ$28=1,"Week","周期")</f>
        <v>周期</v>
      </c>
      <c r="AI1" s="6" t="str">
        <f>IF(Arb!$AJ$28=1,"Valid","有效")</f>
        <v>有效</v>
      </c>
      <c r="AJ1" s="41" t="str">
        <f>IF(Arb!$AJ$28=1,"StyleSet","风格设定")</f>
        <v>风格设定</v>
      </c>
      <c r="AK1" s="6" t="str">
        <f>IF(Arb!$AJ$28=1,"Year","年")</f>
        <v>年</v>
      </c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</row>
    <row r="2" spans="1:49" x14ac:dyDescent="0.25">
      <c r="A2" s="1">
        <v>27</v>
      </c>
      <c r="B2" s="1">
        <v>10</v>
      </c>
      <c r="C2" s="1">
        <v>2019</v>
      </c>
      <c r="G2" s="1" t="s">
        <v>38</v>
      </c>
      <c r="H2" s="2">
        <v>12.98</v>
      </c>
      <c r="I2" s="1">
        <v>33</v>
      </c>
      <c r="U2" s="1">
        <v>43</v>
      </c>
      <c r="X2" s="1">
        <v>40</v>
      </c>
      <c r="AA2" s="1">
        <v>2</v>
      </c>
      <c r="AB2" s="1">
        <v>2</v>
      </c>
      <c r="AC2" s="1">
        <v>1706</v>
      </c>
      <c r="AD2" s="1">
        <v>0</v>
      </c>
      <c r="AE2" s="1">
        <v>0</v>
      </c>
      <c r="AF2" s="3">
        <v>2.5423728813559321</v>
      </c>
      <c r="AG2" s="3">
        <v>2.3662086481578379</v>
      </c>
      <c r="AH2" s="1">
        <v>6251</v>
      </c>
      <c r="AI2" s="1" t="b">
        <v>1</v>
      </c>
      <c r="AJ2" s="4">
        <v>0.25</v>
      </c>
      <c r="AK2" s="1" t="s">
        <v>755</v>
      </c>
      <c r="AL2" s="1" t="s">
        <v>756</v>
      </c>
      <c r="AM2" s="1" t="s">
        <v>757</v>
      </c>
      <c r="AN2" s="1" t="s">
        <v>758</v>
      </c>
    </row>
    <row r="3" spans="1:49" x14ac:dyDescent="0.25">
      <c r="A3" s="1">
        <v>27</v>
      </c>
      <c r="B3" s="1">
        <v>10</v>
      </c>
      <c r="C3" s="1">
        <v>2019</v>
      </c>
      <c r="G3" s="1" t="s">
        <v>38</v>
      </c>
      <c r="H3" s="2">
        <v>6.71</v>
      </c>
      <c r="I3" s="1">
        <v>19</v>
      </c>
      <c r="U3" s="1">
        <v>28</v>
      </c>
      <c r="X3" s="1">
        <v>24</v>
      </c>
      <c r="AA3" s="1">
        <v>3</v>
      </c>
      <c r="AB3" s="1">
        <v>7</v>
      </c>
      <c r="AC3" s="1">
        <v>936</v>
      </c>
      <c r="AF3" s="3">
        <v>2.8315946348733236</v>
      </c>
      <c r="AG3" s="3">
        <v>1.338673552497019</v>
      </c>
      <c r="AH3" s="1">
        <v>6251</v>
      </c>
      <c r="AI3" s="1" t="b">
        <v>1</v>
      </c>
      <c r="AJ3" s="4" t="str">
        <f>IF(AJ2=0,"NF",IF(AJ2=0.5,"Flag",IF(AJ2=0.25,"All","Fool")))</f>
        <v>All</v>
      </c>
      <c r="AK3" s="1">
        <v>6.2</v>
      </c>
      <c r="AL3" s="1">
        <v>2</v>
      </c>
    </row>
    <row r="4" spans="1:49" x14ac:dyDescent="0.25">
      <c r="A4" s="1">
        <v>27</v>
      </c>
      <c r="B4" s="1">
        <v>10</v>
      </c>
      <c r="C4" s="1">
        <v>2019</v>
      </c>
      <c r="G4" s="1" t="s">
        <v>38</v>
      </c>
      <c r="H4" s="2">
        <v>3.18</v>
      </c>
      <c r="I4" s="1">
        <v>7</v>
      </c>
      <c r="U4" s="1">
        <v>15</v>
      </c>
      <c r="X4" s="1">
        <v>9</v>
      </c>
      <c r="AA4" s="1">
        <v>2</v>
      </c>
      <c r="AB4" s="1">
        <v>3</v>
      </c>
      <c r="AC4" s="1">
        <v>588</v>
      </c>
      <c r="AF4" s="3">
        <v>2.2012578616352201</v>
      </c>
      <c r="AG4" s="3">
        <v>1.021005458595778</v>
      </c>
      <c r="AH4" s="1">
        <v>6251</v>
      </c>
      <c r="AI4" s="1" t="b">
        <v>1</v>
      </c>
      <c r="AJ4" s="1" t="str">
        <f>IF(Arb!$AJ$28=1,"Games","局数")</f>
        <v>局数</v>
      </c>
      <c r="AK4" s="1">
        <v>6.4</v>
      </c>
      <c r="AL4" s="1">
        <v>2</v>
      </c>
    </row>
    <row r="5" spans="1:49" x14ac:dyDescent="0.25">
      <c r="A5" s="1">
        <v>27</v>
      </c>
      <c r="B5" s="1">
        <v>10</v>
      </c>
      <c r="C5" s="1">
        <v>2019</v>
      </c>
      <c r="G5" s="1" t="s">
        <v>38</v>
      </c>
      <c r="H5" s="2">
        <v>7.72</v>
      </c>
      <c r="I5" s="1">
        <v>26</v>
      </c>
      <c r="U5" s="1">
        <v>36</v>
      </c>
      <c r="X5" s="1">
        <v>30</v>
      </c>
      <c r="AA5" s="1">
        <v>2</v>
      </c>
      <c r="AB5" s="1">
        <v>1</v>
      </c>
      <c r="AC5" s="1">
        <v>1202</v>
      </c>
      <c r="AF5" s="3">
        <v>3.3678756476683938</v>
      </c>
      <c r="AG5" s="3">
        <v>1.2415838722100179</v>
      </c>
      <c r="AH5" s="1">
        <v>6251</v>
      </c>
      <c r="AI5" s="1" t="b">
        <v>1</v>
      </c>
      <c r="AJ5" s="1">
        <v>3449</v>
      </c>
      <c r="AK5" s="1">
        <v>6.6</v>
      </c>
      <c r="AL5" s="1">
        <v>2</v>
      </c>
    </row>
    <row r="6" spans="1:49" x14ac:dyDescent="0.25">
      <c r="A6" s="1">
        <v>27</v>
      </c>
      <c r="B6" s="1">
        <v>10</v>
      </c>
      <c r="C6" s="1">
        <v>2019</v>
      </c>
      <c r="G6" s="1" t="s">
        <v>38</v>
      </c>
      <c r="H6" s="2">
        <v>6.74</v>
      </c>
      <c r="I6" s="1">
        <v>20</v>
      </c>
      <c r="U6" s="1">
        <v>30</v>
      </c>
      <c r="X6" s="1">
        <v>26</v>
      </c>
      <c r="AA6" s="1">
        <v>4</v>
      </c>
      <c r="AB6" s="1">
        <v>4</v>
      </c>
      <c r="AC6" s="1">
        <v>969</v>
      </c>
      <c r="AF6" s="3">
        <v>2.9673590504451037</v>
      </c>
      <c r="AG6" s="3">
        <v>1.2814209748885175</v>
      </c>
      <c r="AH6" s="1">
        <v>6251</v>
      </c>
      <c r="AI6" s="1" t="b">
        <v>1</v>
      </c>
      <c r="AK6" s="1">
        <v>6.8</v>
      </c>
      <c r="AL6" s="1">
        <v>2</v>
      </c>
    </row>
    <row r="7" spans="1:49" x14ac:dyDescent="0.25">
      <c r="A7" s="1">
        <v>27</v>
      </c>
      <c r="B7" s="1">
        <v>10</v>
      </c>
      <c r="C7" s="1">
        <v>2019</v>
      </c>
      <c r="G7" s="1" t="s">
        <v>38</v>
      </c>
      <c r="H7" s="2">
        <v>6.51</v>
      </c>
      <c r="I7" s="1">
        <v>17</v>
      </c>
      <c r="U7" s="1">
        <v>28</v>
      </c>
      <c r="X7" s="1">
        <v>22</v>
      </c>
      <c r="AA7" s="1">
        <v>3</v>
      </c>
      <c r="AB7" s="1">
        <v>6</v>
      </c>
      <c r="AC7" s="1">
        <v>1032</v>
      </c>
      <c r="AF7" s="3">
        <v>2.6113671274961598</v>
      </c>
      <c r="AG7" s="3">
        <v>1.4211462034163123</v>
      </c>
      <c r="AH7" s="1">
        <v>6251</v>
      </c>
      <c r="AI7" s="1" t="b">
        <v>1</v>
      </c>
      <c r="AJ7" s="1" t="str">
        <f>IF(Arb!$AJ$28=1,"Year","年")</f>
        <v>年</v>
      </c>
      <c r="AK7" s="1">
        <v>7</v>
      </c>
      <c r="AL7" s="1">
        <v>2</v>
      </c>
    </row>
    <row r="8" spans="1:49" x14ac:dyDescent="0.25">
      <c r="A8" s="1">
        <v>27</v>
      </c>
      <c r="B8" s="1">
        <v>10</v>
      </c>
      <c r="C8" s="1">
        <v>2019</v>
      </c>
      <c r="G8" s="1" t="s">
        <v>38</v>
      </c>
      <c r="H8" s="2">
        <v>5.58</v>
      </c>
      <c r="I8" s="1">
        <v>17</v>
      </c>
      <c r="U8" s="1">
        <v>25</v>
      </c>
      <c r="X8" s="1">
        <v>22</v>
      </c>
      <c r="AA8" s="1">
        <v>2</v>
      </c>
      <c r="AB8" s="1">
        <v>4</v>
      </c>
      <c r="AC8" s="1">
        <v>958</v>
      </c>
      <c r="AF8" s="3">
        <v>3.0465949820788532</v>
      </c>
      <c r="AG8" s="3">
        <v>1.0935262603652405</v>
      </c>
      <c r="AH8" s="1">
        <v>6251</v>
      </c>
      <c r="AI8" s="1" t="b">
        <v>1</v>
      </c>
      <c r="AJ8" s="1">
        <v>2050</v>
      </c>
      <c r="AK8" s="1">
        <v>7.2</v>
      </c>
      <c r="AL8" s="1">
        <v>2</v>
      </c>
    </row>
    <row r="9" spans="1:49" x14ac:dyDescent="0.25">
      <c r="A9" s="1">
        <v>27</v>
      </c>
      <c r="B9" s="1">
        <v>10</v>
      </c>
      <c r="C9" s="1">
        <v>2019</v>
      </c>
      <c r="G9" s="1" t="s">
        <v>38</v>
      </c>
      <c r="H9" s="2">
        <v>6.77</v>
      </c>
      <c r="I9" s="1">
        <v>22</v>
      </c>
      <c r="U9" s="1">
        <v>32</v>
      </c>
      <c r="X9" s="1">
        <v>28</v>
      </c>
      <c r="AA9" s="1">
        <v>3</v>
      </c>
      <c r="AB9" s="1">
        <v>3</v>
      </c>
      <c r="AC9" s="1">
        <v>868</v>
      </c>
      <c r="AF9" s="3">
        <v>3.2496307237813888</v>
      </c>
      <c r="AG9" s="3">
        <v>1.1737566233402379</v>
      </c>
      <c r="AH9" s="1">
        <v>6251</v>
      </c>
      <c r="AI9" s="1" t="b">
        <v>1</v>
      </c>
      <c r="AJ9" s="1" t="str">
        <f>IF(Arb!$AJ$28=1,"Month","月")</f>
        <v>月</v>
      </c>
      <c r="AK9" s="1">
        <v>7.4</v>
      </c>
      <c r="AL9" s="1">
        <v>2</v>
      </c>
    </row>
    <row r="10" spans="1:49" x14ac:dyDescent="0.25">
      <c r="A10" s="1">
        <v>27</v>
      </c>
      <c r="B10" s="1">
        <v>10</v>
      </c>
      <c r="C10" s="1">
        <v>2019</v>
      </c>
      <c r="G10" s="1" t="s">
        <v>38</v>
      </c>
      <c r="H10" s="2">
        <v>3.57</v>
      </c>
      <c r="I10" s="1">
        <v>12</v>
      </c>
      <c r="U10" s="1">
        <v>14</v>
      </c>
      <c r="X10" s="1">
        <v>12</v>
      </c>
      <c r="AA10" s="1">
        <v>1</v>
      </c>
      <c r="AB10" s="1">
        <v>3</v>
      </c>
      <c r="AC10" s="1">
        <v>579</v>
      </c>
      <c r="AF10" s="3">
        <v>3.3613445378151261</v>
      </c>
      <c r="AG10" s="3">
        <v>0.72502790374615722</v>
      </c>
      <c r="AH10" s="1">
        <v>6251</v>
      </c>
      <c r="AI10" s="1" t="b">
        <v>1</v>
      </c>
      <c r="AJ10" s="1">
        <v>12</v>
      </c>
      <c r="AK10" s="1">
        <v>7.6</v>
      </c>
      <c r="AL10" s="1">
        <v>2</v>
      </c>
    </row>
    <row r="11" spans="1:49" x14ac:dyDescent="0.25">
      <c r="A11" s="1">
        <v>27</v>
      </c>
      <c r="B11" s="1">
        <v>10</v>
      </c>
      <c r="C11" s="1">
        <v>2019</v>
      </c>
      <c r="G11" s="1" t="s">
        <v>38</v>
      </c>
      <c r="H11" s="2">
        <v>6.7</v>
      </c>
      <c r="I11" s="1">
        <v>18</v>
      </c>
      <c r="U11" s="1">
        <v>28</v>
      </c>
      <c r="X11" s="1">
        <v>24</v>
      </c>
      <c r="AA11" s="1">
        <v>3</v>
      </c>
      <c r="AB11" s="1">
        <v>1</v>
      </c>
      <c r="AC11" s="1">
        <v>838</v>
      </c>
      <c r="AF11" s="3">
        <v>2.6865671641791042</v>
      </c>
      <c r="AG11" s="3">
        <v>1.4094661800263097</v>
      </c>
      <c r="AH11" s="1">
        <v>6251</v>
      </c>
      <c r="AI11" s="1" t="b">
        <v>1</v>
      </c>
      <c r="AK11" s="1">
        <v>7.8</v>
      </c>
      <c r="AL11" s="1">
        <v>2</v>
      </c>
    </row>
    <row r="12" spans="1:49" x14ac:dyDescent="0.25">
      <c r="A12" s="1">
        <v>27</v>
      </c>
      <c r="B12" s="1">
        <v>10</v>
      </c>
      <c r="C12" s="1">
        <v>2019</v>
      </c>
      <c r="G12" s="1" t="s">
        <v>38</v>
      </c>
      <c r="H12" s="2">
        <v>6.98</v>
      </c>
      <c r="I12" s="1">
        <v>17</v>
      </c>
      <c r="U12" s="1">
        <v>35</v>
      </c>
      <c r="X12" s="1">
        <v>26</v>
      </c>
      <c r="AA12" s="1">
        <v>4</v>
      </c>
      <c r="AB12" s="1">
        <v>2</v>
      </c>
      <c r="AC12" s="1">
        <v>855</v>
      </c>
      <c r="AF12" s="3">
        <v>2.4355300859598854</v>
      </c>
      <c r="AG12" s="3">
        <v>1.5999458972576637</v>
      </c>
      <c r="AH12" s="1">
        <v>6251</v>
      </c>
      <c r="AI12" s="1" t="b">
        <v>1</v>
      </c>
      <c r="AJ12" s="1" t="str">
        <f>IF(Arb!$AJ$28=1,"WeekMax","周期行数")</f>
        <v>周期行数</v>
      </c>
    </row>
    <row r="13" spans="1:49" x14ac:dyDescent="0.25">
      <c r="A13" s="1">
        <v>27</v>
      </c>
      <c r="B13" s="1">
        <v>10</v>
      </c>
      <c r="C13" s="1">
        <v>2019</v>
      </c>
      <c r="G13" s="1" t="s">
        <v>38</v>
      </c>
      <c r="H13" s="2">
        <v>6.23</v>
      </c>
      <c r="I13" s="1">
        <v>19</v>
      </c>
      <c r="U13" s="1">
        <v>29</v>
      </c>
      <c r="X13" s="1">
        <v>24</v>
      </c>
      <c r="AA13" s="1">
        <v>3</v>
      </c>
      <c r="AB13" s="1">
        <v>4</v>
      </c>
      <c r="AC13" s="1">
        <v>860</v>
      </c>
      <c r="AF13" s="3">
        <v>3.0497592295345104</v>
      </c>
      <c r="AG13" s="3">
        <v>1.1799838908855436</v>
      </c>
      <c r="AH13" s="1">
        <v>6251</v>
      </c>
      <c r="AI13" s="1" t="b">
        <v>1</v>
      </c>
      <c r="AJ13" s="1">
        <v>52</v>
      </c>
    </row>
    <row r="14" spans="1:49" x14ac:dyDescent="0.25">
      <c r="A14" s="1">
        <v>27</v>
      </c>
      <c r="B14" s="1">
        <v>10</v>
      </c>
      <c r="C14" s="1">
        <v>2019</v>
      </c>
      <c r="G14" s="1" t="s">
        <v>38</v>
      </c>
      <c r="H14" s="2">
        <v>4.96</v>
      </c>
      <c r="I14" s="1">
        <v>15</v>
      </c>
      <c r="U14" s="1">
        <v>23</v>
      </c>
      <c r="X14" s="1">
        <v>18</v>
      </c>
      <c r="AA14" s="1">
        <v>3</v>
      </c>
      <c r="AB14" s="1">
        <v>3</v>
      </c>
      <c r="AC14" s="1">
        <v>894</v>
      </c>
      <c r="AF14" s="3">
        <v>3.024193548387097</v>
      </c>
      <c r="AG14" s="3">
        <v>1.0144428628048052</v>
      </c>
      <c r="AH14" s="1">
        <v>6251</v>
      </c>
      <c r="AI14" s="1" t="b">
        <v>1</v>
      </c>
    </row>
    <row r="15" spans="1:49" x14ac:dyDescent="0.25">
      <c r="A15" s="1">
        <v>27</v>
      </c>
      <c r="B15" s="1">
        <v>10</v>
      </c>
      <c r="C15" s="1">
        <v>2019</v>
      </c>
      <c r="G15" s="1" t="s">
        <v>38</v>
      </c>
      <c r="H15" s="2">
        <v>6.33</v>
      </c>
      <c r="I15" s="1">
        <v>20</v>
      </c>
      <c r="U15" s="1">
        <v>24</v>
      </c>
      <c r="X15" s="1">
        <v>22</v>
      </c>
      <c r="AA15" s="1">
        <v>2</v>
      </c>
      <c r="AB15" s="1">
        <v>1</v>
      </c>
      <c r="AC15" s="1">
        <v>783</v>
      </c>
      <c r="AF15" s="3">
        <v>3.1595576619273302</v>
      </c>
      <c r="AG15" s="3">
        <v>1.1517449358556022</v>
      </c>
      <c r="AH15" s="1">
        <v>6251</v>
      </c>
      <c r="AI15" s="1" t="b">
        <v>1</v>
      </c>
      <c r="AJ15" s="1" t="s">
        <v>277</v>
      </c>
    </row>
    <row r="16" spans="1:49" x14ac:dyDescent="0.25">
      <c r="A16" s="1">
        <v>27</v>
      </c>
      <c r="B16" s="1">
        <v>10</v>
      </c>
      <c r="C16" s="1">
        <v>2019</v>
      </c>
      <c r="G16" s="1" t="s">
        <v>38</v>
      </c>
      <c r="H16" s="2">
        <v>4.16</v>
      </c>
      <c r="I16" s="1">
        <v>16</v>
      </c>
      <c r="U16" s="1">
        <v>22</v>
      </c>
      <c r="X16" s="1">
        <v>19</v>
      </c>
      <c r="AA16" s="1">
        <v>2</v>
      </c>
      <c r="AB16" s="1">
        <v>3</v>
      </c>
      <c r="AC16" s="1">
        <v>684</v>
      </c>
      <c r="AF16" s="3">
        <v>3.8461538461538458</v>
      </c>
      <c r="AG16" s="3">
        <v>0.70524282984760311</v>
      </c>
      <c r="AH16" s="1">
        <v>6251</v>
      </c>
      <c r="AI16" s="1" t="b">
        <v>1</v>
      </c>
      <c r="AJ16" s="1">
        <v>5</v>
      </c>
    </row>
    <row r="17" spans="1:45" x14ac:dyDescent="0.25">
      <c r="A17" s="1">
        <v>27</v>
      </c>
      <c r="B17" s="1">
        <v>10</v>
      </c>
      <c r="C17" s="1">
        <v>2019</v>
      </c>
      <c r="G17" s="1" t="s">
        <v>38</v>
      </c>
      <c r="H17" s="2">
        <v>3.81</v>
      </c>
      <c r="I17" s="1">
        <v>13</v>
      </c>
      <c r="U17" s="1">
        <v>15</v>
      </c>
      <c r="X17" s="1">
        <v>13</v>
      </c>
      <c r="AA17" s="1">
        <v>1</v>
      </c>
      <c r="AB17" s="1">
        <v>3</v>
      </c>
      <c r="AC17" s="1">
        <v>587</v>
      </c>
      <c r="AF17" s="3">
        <v>3.4120734908136483</v>
      </c>
      <c r="AG17" s="3">
        <v>0.74753082588465913</v>
      </c>
      <c r="AH17" s="1">
        <v>6251</v>
      </c>
      <c r="AI17" s="1" t="b">
        <v>1</v>
      </c>
    </row>
    <row r="18" spans="1:45" x14ac:dyDescent="0.25">
      <c r="A18" s="1">
        <v>27</v>
      </c>
      <c r="B18" s="1">
        <v>10</v>
      </c>
      <c r="C18" s="1">
        <v>2019</v>
      </c>
      <c r="G18" s="1" t="s">
        <v>38</v>
      </c>
      <c r="H18" s="2">
        <v>5.72</v>
      </c>
      <c r="I18" s="1">
        <v>19</v>
      </c>
      <c r="U18" s="1">
        <v>26</v>
      </c>
      <c r="X18" s="1">
        <v>24</v>
      </c>
      <c r="AA18" s="1">
        <v>3</v>
      </c>
      <c r="AB18" s="1">
        <v>4</v>
      </c>
      <c r="AC18" s="1">
        <v>884</v>
      </c>
      <c r="AF18" s="3">
        <v>3.3216783216783217</v>
      </c>
      <c r="AG18" s="3">
        <v>1.0205156002289357</v>
      </c>
      <c r="AH18" s="1">
        <v>6251</v>
      </c>
      <c r="AI18" s="1" t="b">
        <v>1</v>
      </c>
      <c r="AJ18" s="1" t="s">
        <v>453</v>
      </c>
    </row>
    <row r="19" spans="1:45" x14ac:dyDescent="0.25">
      <c r="A19" s="1">
        <v>27</v>
      </c>
      <c r="B19" s="1">
        <v>10</v>
      </c>
      <c r="C19" s="1">
        <v>2019</v>
      </c>
      <c r="G19" s="1" t="s">
        <v>38</v>
      </c>
      <c r="H19" s="2">
        <v>7.16</v>
      </c>
      <c r="I19" s="1">
        <v>20</v>
      </c>
      <c r="U19" s="1">
        <v>32</v>
      </c>
      <c r="X19" s="1">
        <v>25</v>
      </c>
      <c r="AA19" s="1">
        <v>3</v>
      </c>
      <c r="AB19" s="1">
        <v>4</v>
      </c>
      <c r="AC19" s="1">
        <v>1092</v>
      </c>
      <c r="AF19" s="3">
        <v>2.7932960893854748</v>
      </c>
      <c r="AG19" s="3">
        <v>1.4201105122304907</v>
      </c>
      <c r="AH19" s="1">
        <v>6251</v>
      </c>
      <c r="AI19" s="1" t="b">
        <v>1</v>
      </c>
      <c r="AJ19" s="1">
        <v>4</v>
      </c>
    </row>
    <row r="20" spans="1:45" x14ac:dyDescent="0.25">
      <c r="A20" s="1">
        <v>27</v>
      </c>
      <c r="B20" s="1">
        <v>10</v>
      </c>
      <c r="C20" s="1">
        <v>2019</v>
      </c>
      <c r="G20" s="1" t="s">
        <v>38</v>
      </c>
      <c r="H20" s="2">
        <v>5.0599999999999996</v>
      </c>
      <c r="I20" s="1">
        <v>12</v>
      </c>
      <c r="U20" s="1">
        <v>22</v>
      </c>
      <c r="X20" s="1">
        <v>19</v>
      </c>
      <c r="AA20" s="1">
        <v>4</v>
      </c>
      <c r="AB20" s="1">
        <v>3</v>
      </c>
      <c r="AC20" s="1">
        <v>677</v>
      </c>
      <c r="AF20" s="3">
        <v>2.3715415019762847</v>
      </c>
      <c r="AG20" s="3">
        <v>1.3118211620540934</v>
      </c>
      <c r="AH20" s="1">
        <v>6251</v>
      </c>
      <c r="AI20" s="1" t="b">
        <v>1</v>
      </c>
    </row>
    <row r="21" spans="1:45" x14ac:dyDescent="0.25">
      <c r="A21" s="1">
        <v>27</v>
      </c>
      <c r="B21" s="1">
        <v>10</v>
      </c>
      <c r="C21" s="1">
        <v>2019</v>
      </c>
      <c r="G21" s="1" t="s">
        <v>38</v>
      </c>
      <c r="H21" s="2">
        <v>6.32</v>
      </c>
      <c r="I21" s="1">
        <v>21</v>
      </c>
      <c r="U21" s="1">
        <v>27</v>
      </c>
      <c r="X21" s="1">
        <v>25</v>
      </c>
      <c r="AA21" s="1">
        <v>2</v>
      </c>
      <c r="AB21" s="1">
        <v>1</v>
      </c>
      <c r="AC21" s="1">
        <v>965</v>
      </c>
      <c r="AF21" s="3">
        <v>3.3227848101265822</v>
      </c>
      <c r="AG21" s="3">
        <v>1.0939557071851451</v>
      </c>
      <c r="AH21" s="1">
        <v>6251</v>
      </c>
      <c r="AI21" s="1" t="b">
        <v>1</v>
      </c>
      <c r="AJ21" s="1" t="str">
        <f>IF(Arb!$AJ$28=1,"WeekLen","周期天数")</f>
        <v>周期天数</v>
      </c>
    </row>
    <row r="22" spans="1:45" x14ac:dyDescent="0.25">
      <c r="A22" s="1">
        <v>27</v>
      </c>
      <c r="B22" s="1">
        <v>10</v>
      </c>
      <c r="C22" s="1">
        <v>2019</v>
      </c>
      <c r="G22" s="1" t="s">
        <v>38</v>
      </c>
      <c r="H22" s="2">
        <v>6.12</v>
      </c>
      <c r="I22" s="1">
        <v>26</v>
      </c>
      <c r="U22" s="1">
        <v>33</v>
      </c>
      <c r="X22" s="1">
        <v>28</v>
      </c>
      <c r="AA22" s="1">
        <v>2</v>
      </c>
      <c r="AB22" s="1">
        <v>1</v>
      </c>
      <c r="AC22" s="1">
        <v>968</v>
      </c>
      <c r="AF22" s="3">
        <v>4.2483660130718954</v>
      </c>
      <c r="AG22" s="3">
        <v>0.83657343506197934</v>
      </c>
      <c r="AH22" s="1">
        <v>6251</v>
      </c>
      <c r="AI22" s="1" t="b">
        <v>1</v>
      </c>
      <c r="AJ22" s="1">
        <v>7</v>
      </c>
    </row>
    <row r="23" spans="1:45" x14ac:dyDescent="0.25">
      <c r="A23" s="1">
        <v>27</v>
      </c>
      <c r="B23" s="1">
        <v>10</v>
      </c>
      <c r="C23" s="1">
        <v>2019</v>
      </c>
      <c r="G23" s="1" t="s">
        <v>38</v>
      </c>
      <c r="H23" s="2">
        <v>5.66</v>
      </c>
      <c r="I23" s="1">
        <v>15</v>
      </c>
      <c r="U23" s="1">
        <v>29</v>
      </c>
      <c r="X23" s="1">
        <v>23</v>
      </c>
      <c r="AA23" s="1">
        <v>3</v>
      </c>
      <c r="AB23" s="1">
        <v>4</v>
      </c>
      <c r="AC23" s="1">
        <v>917</v>
      </c>
      <c r="AF23" s="3">
        <v>2.6501766784452294</v>
      </c>
      <c r="AG23" s="3">
        <v>1.2696870028711442</v>
      </c>
      <c r="AH23" s="1">
        <v>6251</v>
      </c>
      <c r="AI23" s="1" t="b">
        <v>1</v>
      </c>
    </row>
    <row r="24" spans="1:45" x14ac:dyDescent="0.25">
      <c r="A24" s="1">
        <v>27</v>
      </c>
      <c r="B24" s="1">
        <v>10</v>
      </c>
      <c r="C24" s="1">
        <v>2019</v>
      </c>
      <c r="G24" s="1" t="s">
        <v>38</v>
      </c>
      <c r="H24" s="2">
        <v>4.74</v>
      </c>
      <c r="I24" s="1">
        <v>11</v>
      </c>
      <c r="U24" s="1">
        <v>16</v>
      </c>
      <c r="X24" s="1">
        <v>13</v>
      </c>
      <c r="AA24" s="1">
        <v>2</v>
      </c>
      <c r="AB24" s="1">
        <v>3</v>
      </c>
      <c r="AC24" s="1">
        <v>741</v>
      </c>
      <c r="AF24" s="3">
        <v>2.3206751054852321</v>
      </c>
      <c r="AG24" s="3">
        <v>1.2806501234099867</v>
      </c>
      <c r="AH24" s="1">
        <v>6251</v>
      </c>
      <c r="AI24" s="1" t="b">
        <v>1</v>
      </c>
      <c r="AJ24" s="1" t="str">
        <f>IF(Arb!$AJ$28=1,"ColorRow","填色行数")</f>
        <v>填色行数</v>
      </c>
    </row>
    <row r="25" spans="1:45" x14ac:dyDescent="0.25">
      <c r="A25" s="1">
        <v>27</v>
      </c>
      <c r="B25" s="1">
        <v>10</v>
      </c>
      <c r="C25" s="1">
        <v>2019</v>
      </c>
      <c r="G25" s="1" t="s">
        <v>38</v>
      </c>
      <c r="H25" s="2">
        <v>4.32</v>
      </c>
      <c r="I25" s="1">
        <v>12</v>
      </c>
      <c r="U25" s="1">
        <v>21</v>
      </c>
      <c r="X25" s="1">
        <v>17</v>
      </c>
      <c r="AA25" s="1">
        <v>2</v>
      </c>
      <c r="AB25" s="1">
        <v>3</v>
      </c>
      <c r="AC25" s="1">
        <v>826</v>
      </c>
      <c r="AF25" s="3">
        <v>2.7777777777777777</v>
      </c>
      <c r="AG25" s="3">
        <v>1.0026309890401912</v>
      </c>
      <c r="AH25" s="1">
        <v>6251</v>
      </c>
      <c r="AI25" s="1" t="b">
        <v>1</v>
      </c>
      <c r="AJ25" s="1">
        <v>20</v>
      </c>
    </row>
    <row r="26" spans="1:45" x14ac:dyDescent="0.25">
      <c r="A26" s="1">
        <v>27</v>
      </c>
      <c r="B26" s="1">
        <v>10</v>
      </c>
      <c r="C26" s="1">
        <v>2019</v>
      </c>
      <c r="G26" s="1" t="s">
        <v>38</v>
      </c>
      <c r="H26" s="2">
        <v>5.56</v>
      </c>
      <c r="I26" s="1">
        <v>14</v>
      </c>
      <c r="U26" s="1">
        <v>25</v>
      </c>
      <c r="X26" s="1">
        <v>22</v>
      </c>
      <c r="AA26" s="1">
        <v>3</v>
      </c>
      <c r="AB26" s="1">
        <v>4</v>
      </c>
      <c r="AC26" s="1">
        <v>860</v>
      </c>
      <c r="AF26" s="3">
        <v>2.5179856115107917</v>
      </c>
      <c r="AG26" s="3">
        <v>1.3197726071275901</v>
      </c>
      <c r="AH26" s="1">
        <v>6251</v>
      </c>
      <c r="AI26" s="1" t="b">
        <v>1</v>
      </c>
      <c r="AP26" s="1" t="s">
        <v>398</v>
      </c>
      <c r="AQ26" s="1" t="s">
        <v>378</v>
      </c>
      <c r="AR26" s="1" t="s">
        <v>379</v>
      </c>
      <c r="AS26" s="1" t="s">
        <v>397</v>
      </c>
    </row>
    <row r="27" spans="1:45" x14ac:dyDescent="0.25">
      <c r="A27" s="1">
        <v>28</v>
      </c>
      <c r="B27" s="1">
        <v>10</v>
      </c>
      <c r="C27" s="1">
        <v>2019</v>
      </c>
      <c r="G27" s="1" t="s">
        <v>38</v>
      </c>
      <c r="H27" s="2">
        <v>7.83</v>
      </c>
      <c r="I27" s="1">
        <v>26</v>
      </c>
      <c r="U27" s="1">
        <v>36</v>
      </c>
      <c r="X27" s="1">
        <v>32</v>
      </c>
      <c r="AA27" s="1">
        <v>2</v>
      </c>
      <c r="AB27" s="1">
        <v>4</v>
      </c>
      <c r="AC27" s="1">
        <v>1078</v>
      </c>
      <c r="AF27" s="3">
        <v>3.3205619412515963</v>
      </c>
      <c r="AG27" s="3">
        <v>1.2718082783409659</v>
      </c>
      <c r="AH27" s="1">
        <v>6252</v>
      </c>
      <c r="AI27" s="1" t="b">
        <v>1</v>
      </c>
      <c r="AJ27" s="1" t="str">
        <f>IF(Arb!$AJ$28=1,"IsEnglish","是否英文")</f>
        <v>是否英文</v>
      </c>
      <c r="AP27" s="6">
        <f>AQ33/AQ27</f>
        <v>24.012820512820511</v>
      </c>
      <c r="AQ27" s="4">
        <v>1.56</v>
      </c>
      <c r="AR27" s="4">
        <v>31</v>
      </c>
      <c r="AS27" s="4">
        <v>77.900000000000006</v>
      </c>
    </row>
    <row r="28" spans="1:45" x14ac:dyDescent="0.25">
      <c r="A28" s="1">
        <v>28</v>
      </c>
      <c r="B28" s="1">
        <v>10</v>
      </c>
      <c r="C28" s="1">
        <v>2019</v>
      </c>
      <c r="G28" s="1" t="s">
        <v>38</v>
      </c>
      <c r="H28" s="2">
        <v>4.41</v>
      </c>
      <c r="I28" s="1">
        <v>11</v>
      </c>
      <c r="U28" s="1">
        <v>12</v>
      </c>
      <c r="X28" s="1">
        <v>11</v>
      </c>
      <c r="AA28" s="1">
        <v>1</v>
      </c>
      <c r="AB28" s="1">
        <v>3</v>
      </c>
      <c r="AC28" s="1">
        <v>688</v>
      </c>
      <c r="AF28" s="3">
        <v>2.4943310657596371</v>
      </c>
      <c r="AG28" s="3">
        <v>1.1327991564315611</v>
      </c>
      <c r="AH28" s="1">
        <v>6252</v>
      </c>
      <c r="AI28" s="1" t="b">
        <v>1</v>
      </c>
      <c r="AJ28" s="1">
        <v>0</v>
      </c>
      <c r="AP28" s="6">
        <f>AQ28*AQ27</f>
        <v>12.589200000000002</v>
      </c>
      <c r="AQ28" s="4">
        <v>8.07</v>
      </c>
      <c r="AR28" s="4">
        <v>44</v>
      </c>
      <c r="AS28" s="4">
        <v>4.93</v>
      </c>
    </row>
    <row r="29" spans="1:45" x14ac:dyDescent="0.25">
      <c r="A29" s="1">
        <v>28</v>
      </c>
      <c r="B29" s="1">
        <v>10</v>
      </c>
      <c r="C29" s="1">
        <v>2019</v>
      </c>
      <c r="G29" s="1" t="s">
        <v>38</v>
      </c>
      <c r="H29" s="2">
        <v>5.46</v>
      </c>
      <c r="I29" s="1">
        <v>13</v>
      </c>
      <c r="U29" s="1">
        <v>22</v>
      </c>
      <c r="X29" s="1">
        <v>17</v>
      </c>
      <c r="AA29" s="1">
        <v>3</v>
      </c>
      <c r="AB29" s="1">
        <v>4</v>
      </c>
      <c r="AC29" s="1">
        <v>833</v>
      </c>
      <c r="AF29" s="3">
        <v>2.3809523809523809</v>
      </c>
      <c r="AG29" s="3">
        <v>1.3781108129265871</v>
      </c>
      <c r="AH29" s="1">
        <v>6252</v>
      </c>
      <c r="AI29" s="1" t="b">
        <v>1</v>
      </c>
      <c r="AP29" s="6">
        <f>AQ27^1.7/AQ29</f>
        <v>10.865650856762869</v>
      </c>
      <c r="AQ29" s="4">
        <v>0.19600000000000001</v>
      </c>
      <c r="AR29" s="4">
        <v>25</v>
      </c>
      <c r="AS29" s="1">
        <v>1</v>
      </c>
    </row>
    <row r="30" spans="1:45" x14ac:dyDescent="0.25">
      <c r="A30" s="1">
        <v>28</v>
      </c>
      <c r="B30" s="1">
        <v>10</v>
      </c>
      <c r="C30" s="1">
        <v>2019</v>
      </c>
      <c r="G30" s="1" t="s">
        <v>38</v>
      </c>
      <c r="H30" s="2">
        <v>5.18</v>
      </c>
      <c r="I30" s="1">
        <v>13</v>
      </c>
      <c r="U30" s="1">
        <v>25</v>
      </c>
      <c r="X30" s="1">
        <v>19</v>
      </c>
      <c r="AA30" s="1">
        <v>4</v>
      </c>
      <c r="AB30" s="1">
        <v>3</v>
      </c>
      <c r="AC30" s="1">
        <v>793</v>
      </c>
      <c r="AF30" s="3">
        <v>2.50965250965251</v>
      </c>
      <c r="AG30" s="3">
        <v>1.2601354790009507</v>
      </c>
      <c r="AH30" s="1">
        <v>6252</v>
      </c>
      <c r="AI30" s="1" t="b">
        <v>1</v>
      </c>
      <c r="AJ30" s="1" t="s">
        <v>382</v>
      </c>
      <c r="AP30" s="6">
        <f>AQ33/AQ30</f>
        <v>3.9514767932489452</v>
      </c>
      <c r="AQ30" s="4">
        <v>9.48</v>
      </c>
      <c r="AR30" s="4">
        <v>34</v>
      </c>
      <c r="AS30" s="1">
        <v>2020</v>
      </c>
    </row>
    <row r="31" spans="1:45" x14ac:dyDescent="0.25">
      <c r="A31" s="1">
        <v>28</v>
      </c>
      <c r="B31" s="1">
        <v>10</v>
      </c>
      <c r="C31" s="1">
        <v>2019</v>
      </c>
      <c r="G31" s="1" t="s">
        <v>38</v>
      </c>
      <c r="H31" s="2">
        <v>7.34</v>
      </c>
      <c r="I31" s="1">
        <v>24</v>
      </c>
      <c r="U31" s="1">
        <v>32</v>
      </c>
      <c r="X31" s="1">
        <v>28</v>
      </c>
      <c r="AA31" s="1">
        <v>2</v>
      </c>
      <c r="AB31" s="1">
        <v>3</v>
      </c>
      <c r="AC31" s="1">
        <v>1120</v>
      </c>
      <c r="AF31" s="3">
        <v>3.2697547683923704</v>
      </c>
      <c r="AG31" s="3">
        <v>1.2344458959071201</v>
      </c>
      <c r="AH31" s="1">
        <v>6252</v>
      </c>
      <c r="AI31" s="1" t="b">
        <v>1</v>
      </c>
      <c r="AJ31" s="1">
        <v>1</v>
      </c>
      <c r="AP31" s="6">
        <f>AQ30*AQ31</f>
        <v>52.329599999999999</v>
      </c>
      <c r="AQ31" s="4">
        <v>5.52</v>
      </c>
      <c r="AR31" s="4">
        <v>34</v>
      </c>
      <c r="AS31" s="1">
        <v>12</v>
      </c>
    </row>
    <row r="32" spans="1:45" x14ac:dyDescent="0.25">
      <c r="A32" s="1">
        <v>28</v>
      </c>
      <c r="B32" s="1">
        <v>10</v>
      </c>
      <c r="C32" s="1">
        <v>2019</v>
      </c>
      <c r="G32" s="1" t="s">
        <v>38</v>
      </c>
      <c r="H32" s="2">
        <v>7.19</v>
      </c>
      <c r="I32" s="1">
        <v>21</v>
      </c>
      <c r="U32" s="1">
        <v>33</v>
      </c>
      <c r="X32" s="1">
        <v>28</v>
      </c>
      <c r="AA32" s="1">
        <v>3</v>
      </c>
      <c r="AB32" s="1">
        <v>2</v>
      </c>
      <c r="AC32" s="1">
        <v>978</v>
      </c>
      <c r="AF32" s="3">
        <v>2.9207232267037551</v>
      </c>
      <c r="AG32" s="3">
        <v>1.3621339545134423</v>
      </c>
      <c r="AH32" s="1">
        <v>6252</v>
      </c>
      <c r="AI32" s="1" t="b">
        <v>1</v>
      </c>
      <c r="AP32" s="6">
        <f>AQ30^1.7/AQ32</f>
        <v>41.990174120992201</v>
      </c>
      <c r="AQ32" s="4">
        <v>1.0900000000000001</v>
      </c>
      <c r="AR32" s="4">
        <v>32</v>
      </c>
      <c r="AS32" s="1">
        <v>12</v>
      </c>
    </row>
    <row r="33" spans="1:49" x14ac:dyDescent="0.25">
      <c r="A33" s="1">
        <v>28</v>
      </c>
      <c r="B33" s="1">
        <v>10</v>
      </c>
      <c r="C33" s="1">
        <v>2019</v>
      </c>
      <c r="G33" s="1" t="s">
        <v>38</v>
      </c>
      <c r="H33" s="2">
        <v>9.07</v>
      </c>
      <c r="I33" s="1">
        <v>26</v>
      </c>
      <c r="U33" s="1">
        <v>38</v>
      </c>
      <c r="X33" s="1">
        <v>32</v>
      </c>
      <c r="AA33" s="1">
        <v>4</v>
      </c>
      <c r="AB33" s="1">
        <v>2</v>
      </c>
      <c r="AC33" s="1">
        <v>1201</v>
      </c>
      <c r="AF33" s="3">
        <v>2.8665931642778388</v>
      </c>
      <c r="AG33" s="3">
        <v>1.6328979358007627</v>
      </c>
      <c r="AH33" s="1">
        <v>6252</v>
      </c>
      <c r="AI33" s="1" t="b">
        <v>1</v>
      </c>
      <c r="AJ33" s="1" t="str">
        <f>IF(Arb!$AJ$28=1,"QuickMode","快速模式")</f>
        <v>快速模式</v>
      </c>
      <c r="AP33" s="6"/>
      <c r="AQ33" s="4">
        <v>37.46</v>
      </c>
      <c r="AR33" s="4">
        <v>33</v>
      </c>
      <c r="AS33" s="1">
        <v>2019</v>
      </c>
    </row>
    <row r="34" spans="1:49" x14ac:dyDescent="0.25">
      <c r="A34" s="1">
        <v>28</v>
      </c>
      <c r="B34" s="1">
        <v>10</v>
      </c>
      <c r="C34" s="1">
        <v>2019</v>
      </c>
      <c r="G34" s="1" t="s">
        <v>38</v>
      </c>
      <c r="H34" s="2">
        <v>4.8099999999999996</v>
      </c>
      <c r="I34" s="1">
        <v>10</v>
      </c>
      <c r="U34" s="1">
        <v>16</v>
      </c>
      <c r="X34" s="1">
        <v>14</v>
      </c>
      <c r="AA34" s="1">
        <v>3</v>
      </c>
      <c r="AB34" s="1">
        <v>3</v>
      </c>
      <c r="AC34" s="1">
        <v>730</v>
      </c>
      <c r="AF34" s="3">
        <v>2.0790020790020791</v>
      </c>
      <c r="AG34" s="3">
        <v>1.4442641455256886</v>
      </c>
      <c r="AH34" s="1">
        <v>6252</v>
      </c>
      <c r="AI34" s="1" t="b">
        <v>1</v>
      </c>
      <c r="AJ34" s="1">
        <v>1</v>
      </c>
      <c r="AP34" s="6">
        <f>AQ33*AQ34</f>
        <v>166.697</v>
      </c>
      <c r="AQ34" s="4">
        <v>4.45</v>
      </c>
      <c r="AR34" s="4">
        <v>33</v>
      </c>
      <c r="AS34" s="1">
        <v>10</v>
      </c>
    </row>
    <row r="35" spans="1:49" x14ac:dyDescent="0.25">
      <c r="A35" s="1">
        <v>28</v>
      </c>
      <c r="B35" s="1">
        <v>10</v>
      </c>
      <c r="C35" s="1">
        <v>2019</v>
      </c>
      <c r="G35" s="1" t="s">
        <v>38</v>
      </c>
      <c r="H35" s="2">
        <v>4.88</v>
      </c>
      <c r="I35" s="1">
        <v>10</v>
      </c>
      <c r="U35" s="1">
        <v>20</v>
      </c>
      <c r="X35" s="1">
        <v>14</v>
      </c>
      <c r="AA35" s="1">
        <v>4</v>
      </c>
      <c r="AB35" s="1">
        <v>5</v>
      </c>
      <c r="AC35" s="1">
        <v>715</v>
      </c>
      <c r="AF35" s="3">
        <v>2.0491803278688523</v>
      </c>
      <c r="AG35" s="3">
        <v>1.4801771562427473</v>
      </c>
      <c r="AH35" s="1">
        <v>6252</v>
      </c>
      <c r="AI35" s="1" t="b">
        <v>1</v>
      </c>
      <c r="AK35" s="1">
        <f ca="1">SUM(OFFSET(AK$36,0,1,23,12))</f>
        <v>254</v>
      </c>
      <c r="AP35" s="6">
        <f>AQ33^1.7/AQ35</f>
        <v>148.99946890486279</v>
      </c>
      <c r="AQ35" s="4">
        <v>3.1760000000000002</v>
      </c>
      <c r="AR35" s="4">
        <v>34</v>
      </c>
      <c r="AS35" s="1">
        <v>26</v>
      </c>
    </row>
    <row r="36" spans="1:49" x14ac:dyDescent="0.25">
      <c r="A36" s="1">
        <v>28</v>
      </c>
      <c r="B36" s="1">
        <v>10</v>
      </c>
      <c r="C36" s="1">
        <v>2019</v>
      </c>
      <c r="G36" s="1" t="s">
        <v>38</v>
      </c>
      <c r="H36" s="2">
        <v>5.38</v>
      </c>
      <c r="I36" s="1">
        <v>12</v>
      </c>
      <c r="U36" s="1">
        <v>24</v>
      </c>
      <c r="X36" s="1">
        <v>20</v>
      </c>
      <c r="AA36" s="1">
        <v>3</v>
      </c>
      <c r="AB36" s="1">
        <v>6</v>
      </c>
      <c r="AC36" s="1">
        <v>819</v>
      </c>
      <c r="AF36" s="3">
        <v>2.2304832713754648</v>
      </c>
      <c r="AG36" s="3">
        <v>1.455957247419418</v>
      </c>
      <c r="AH36" s="1">
        <v>6252</v>
      </c>
      <c r="AI36" s="1" t="b">
        <v>1</v>
      </c>
      <c r="AJ36" s="1">
        <v>1881</v>
      </c>
      <c r="AK36" s="1">
        <v>2019</v>
      </c>
      <c r="AL36" s="1">
        <v>0</v>
      </c>
      <c r="AM36" s="467">
        <v>0</v>
      </c>
      <c r="AN36" s="467">
        <v>0</v>
      </c>
      <c r="AO36" s="467">
        <v>0</v>
      </c>
      <c r="AP36" s="467">
        <v>0</v>
      </c>
      <c r="AQ36" s="467">
        <v>0</v>
      </c>
      <c r="AR36" s="467">
        <v>0</v>
      </c>
      <c r="AS36" s="467">
        <v>0</v>
      </c>
      <c r="AT36" s="467">
        <v>0</v>
      </c>
      <c r="AU36" s="467">
        <v>5</v>
      </c>
      <c r="AV36" s="467">
        <v>29</v>
      </c>
      <c r="AW36" s="467">
        <v>25</v>
      </c>
    </row>
    <row r="37" spans="1:49" x14ac:dyDescent="0.25">
      <c r="A37" s="1">
        <v>28</v>
      </c>
      <c r="B37" s="1">
        <v>10</v>
      </c>
      <c r="C37" s="1">
        <v>2019</v>
      </c>
      <c r="G37" s="1" t="s">
        <v>38</v>
      </c>
      <c r="H37" s="2">
        <v>6.95</v>
      </c>
      <c r="I37" s="1">
        <v>18</v>
      </c>
      <c r="U37" s="1">
        <v>28</v>
      </c>
      <c r="X37" s="1">
        <v>23</v>
      </c>
      <c r="AA37" s="1">
        <v>3</v>
      </c>
      <c r="AB37" s="1">
        <v>3</v>
      </c>
      <c r="AC37" s="1">
        <v>1001</v>
      </c>
      <c r="AF37" s="3">
        <v>2.5899280575539567</v>
      </c>
      <c r="AG37" s="3">
        <v>1.5000359333444881</v>
      </c>
      <c r="AH37" s="1">
        <v>6252</v>
      </c>
      <c r="AI37" s="1" t="b">
        <v>1</v>
      </c>
      <c r="AJ37" s="1">
        <v>531</v>
      </c>
      <c r="AK37" s="1">
        <v>2020</v>
      </c>
      <c r="AL37" s="467">
        <v>20</v>
      </c>
      <c r="AM37" s="467">
        <v>15</v>
      </c>
      <c r="AN37" s="467">
        <v>26</v>
      </c>
      <c r="AO37" s="467">
        <v>21</v>
      </c>
      <c r="AP37" s="467">
        <v>15</v>
      </c>
      <c r="AQ37" s="467">
        <v>15</v>
      </c>
      <c r="AR37" s="467">
        <v>18</v>
      </c>
      <c r="AS37" s="467">
        <v>21</v>
      </c>
      <c r="AT37" s="467">
        <v>16</v>
      </c>
      <c r="AU37" s="467">
        <v>12</v>
      </c>
      <c r="AV37" s="467">
        <v>13</v>
      </c>
      <c r="AW37" s="467">
        <v>3</v>
      </c>
    </row>
    <row r="38" spans="1:49" x14ac:dyDescent="0.25">
      <c r="A38" s="1">
        <v>28</v>
      </c>
      <c r="B38" s="1">
        <v>10</v>
      </c>
      <c r="C38" s="1">
        <v>2019</v>
      </c>
      <c r="G38" s="1" t="s">
        <v>38</v>
      </c>
      <c r="H38" s="2">
        <v>3.82</v>
      </c>
      <c r="I38" s="1">
        <v>11</v>
      </c>
      <c r="U38" s="1">
        <v>15</v>
      </c>
      <c r="X38" s="1">
        <v>13</v>
      </c>
      <c r="AA38" s="1">
        <v>2</v>
      </c>
      <c r="AB38" s="1">
        <v>3</v>
      </c>
      <c r="AC38" s="1">
        <v>453</v>
      </c>
      <c r="AF38" s="3">
        <v>2.8795811518324608</v>
      </c>
      <c r="AG38" s="3">
        <v>0.88739102460703301</v>
      </c>
      <c r="AH38" s="1">
        <v>6252</v>
      </c>
      <c r="AI38" s="1" t="b">
        <v>1</v>
      </c>
      <c r="AJ38" s="1">
        <v>1037</v>
      </c>
      <c r="AK38" s="467"/>
      <c r="AL38" s="467"/>
      <c r="AM38" s="467"/>
      <c r="AN38" s="467"/>
      <c r="AO38" s="467"/>
      <c r="AP38" s="467"/>
      <c r="AQ38" s="467"/>
      <c r="AR38" s="467"/>
      <c r="AS38" s="467"/>
      <c r="AT38" s="467"/>
      <c r="AU38" s="467"/>
      <c r="AV38" s="467"/>
      <c r="AW38" s="467"/>
    </row>
    <row r="39" spans="1:49" x14ac:dyDescent="0.25">
      <c r="A39" s="1">
        <v>28</v>
      </c>
      <c r="B39" s="1">
        <v>10</v>
      </c>
      <c r="C39" s="1">
        <v>2019</v>
      </c>
      <c r="G39" s="1" t="s">
        <v>38</v>
      </c>
      <c r="H39" s="2">
        <v>5.13</v>
      </c>
      <c r="I39" s="1">
        <v>13</v>
      </c>
      <c r="U39" s="1">
        <v>23</v>
      </c>
      <c r="X39" s="1">
        <v>18</v>
      </c>
      <c r="AA39" s="1">
        <v>3</v>
      </c>
      <c r="AB39" s="1">
        <v>3</v>
      </c>
      <c r="AC39" s="1">
        <v>821</v>
      </c>
      <c r="AF39" s="3">
        <v>2.53411306042885</v>
      </c>
      <c r="AG39" s="3">
        <v>1.2395275056231807</v>
      </c>
      <c r="AH39" s="1">
        <v>6252</v>
      </c>
      <c r="AI39" s="1" t="b">
        <v>1</v>
      </c>
      <c r="AK39" s="467"/>
      <c r="AL39" s="467"/>
      <c r="AM39" s="467"/>
      <c r="AN39" s="467"/>
      <c r="AO39" s="467"/>
      <c r="AP39" s="467"/>
      <c r="AQ39" s="467"/>
      <c r="AR39" s="467"/>
      <c r="AS39" s="467"/>
      <c r="AT39" s="467"/>
      <c r="AU39" s="467"/>
      <c r="AV39" s="467"/>
      <c r="AW39" s="467"/>
    </row>
    <row r="40" spans="1:49" x14ac:dyDescent="0.25">
      <c r="A40" s="1">
        <v>28</v>
      </c>
      <c r="B40" s="1">
        <v>10</v>
      </c>
      <c r="C40" s="1">
        <v>2019</v>
      </c>
      <c r="G40" s="1" t="s">
        <v>38</v>
      </c>
      <c r="H40" s="2">
        <v>7.71</v>
      </c>
      <c r="I40" s="1">
        <v>25</v>
      </c>
      <c r="U40" s="1">
        <v>36</v>
      </c>
      <c r="X40" s="1">
        <v>33</v>
      </c>
      <c r="AA40" s="1">
        <v>3</v>
      </c>
      <c r="AB40" s="1">
        <v>2</v>
      </c>
      <c r="AC40" s="1">
        <v>1117</v>
      </c>
      <c r="AF40" s="3">
        <v>3.2425421530479897</v>
      </c>
      <c r="AG40" s="3">
        <v>1.288405096321112</v>
      </c>
      <c r="AH40" s="1">
        <v>6252</v>
      </c>
      <c r="AI40" s="1" t="b">
        <v>1</v>
      </c>
      <c r="AK40" s="467"/>
      <c r="AL40" s="467"/>
      <c r="AM40" s="467"/>
      <c r="AN40" s="467"/>
      <c r="AO40" s="467"/>
      <c r="AP40" s="467"/>
      <c r="AQ40" s="467"/>
      <c r="AR40" s="467"/>
      <c r="AS40" s="467"/>
      <c r="AT40" s="467"/>
      <c r="AU40" s="467"/>
      <c r="AV40" s="467"/>
      <c r="AW40" s="467"/>
    </row>
    <row r="41" spans="1:49" x14ac:dyDescent="0.25">
      <c r="A41" s="1">
        <v>28</v>
      </c>
      <c r="B41" s="1">
        <v>10</v>
      </c>
      <c r="C41" s="1">
        <v>2019</v>
      </c>
      <c r="G41" s="1" t="s">
        <v>38</v>
      </c>
      <c r="H41" s="2">
        <v>7.05</v>
      </c>
      <c r="I41" s="1">
        <v>23</v>
      </c>
      <c r="U41" s="1">
        <v>26</v>
      </c>
      <c r="X41" s="1">
        <v>25</v>
      </c>
      <c r="AA41" s="1">
        <v>2</v>
      </c>
      <c r="AB41" s="1">
        <v>1</v>
      </c>
      <c r="AC41" s="1">
        <v>911</v>
      </c>
      <c r="AF41" s="3">
        <v>3.2624113475177308</v>
      </c>
      <c r="AG41" s="3">
        <v>1.2028006742173576</v>
      </c>
      <c r="AH41" s="1">
        <v>6252</v>
      </c>
      <c r="AI41" s="1" t="b">
        <v>1</v>
      </c>
      <c r="AK41" s="467"/>
      <c r="AL41" s="467"/>
      <c r="AM41" s="467"/>
      <c r="AN41" s="467"/>
      <c r="AO41" s="467"/>
      <c r="AP41" s="467"/>
      <c r="AQ41" s="467"/>
      <c r="AR41" s="467"/>
      <c r="AS41" s="467"/>
      <c r="AT41" s="467"/>
      <c r="AU41" s="467"/>
      <c r="AV41" s="467"/>
      <c r="AW41" s="467"/>
    </row>
    <row r="42" spans="1:49" x14ac:dyDescent="0.25">
      <c r="A42" s="1">
        <v>28</v>
      </c>
      <c r="B42" s="1">
        <v>10</v>
      </c>
      <c r="C42" s="1">
        <v>2019</v>
      </c>
      <c r="G42" s="1" t="s">
        <v>38</v>
      </c>
      <c r="H42" s="2">
        <v>6.56</v>
      </c>
      <c r="I42" s="1">
        <v>14</v>
      </c>
      <c r="U42" s="1">
        <v>24</v>
      </c>
      <c r="X42" s="1">
        <v>21</v>
      </c>
      <c r="AA42" s="1">
        <v>3</v>
      </c>
      <c r="AB42" s="1">
        <v>2</v>
      </c>
      <c r="AC42" s="1">
        <v>824</v>
      </c>
      <c r="AF42" s="3">
        <v>2.1341463414634148</v>
      </c>
      <c r="AG42" s="3">
        <v>1.7482699438142648</v>
      </c>
      <c r="AH42" s="1">
        <v>6252</v>
      </c>
      <c r="AI42" s="1" t="b">
        <v>1</v>
      </c>
      <c r="AK42" s="467"/>
      <c r="AL42" s="467"/>
      <c r="AM42" s="467"/>
      <c r="AN42" s="467"/>
      <c r="AO42" s="467"/>
      <c r="AP42" s="467"/>
      <c r="AQ42" s="467"/>
      <c r="AR42" s="467"/>
      <c r="AS42" s="467"/>
      <c r="AT42" s="467"/>
      <c r="AU42" s="467"/>
      <c r="AV42" s="467"/>
      <c r="AW42" s="467"/>
    </row>
    <row r="43" spans="1:49" x14ac:dyDescent="0.25">
      <c r="A43" s="1">
        <v>28</v>
      </c>
      <c r="B43" s="1">
        <v>10</v>
      </c>
      <c r="C43" s="1">
        <v>2019</v>
      </c>
      <c r="G43" s="1" t="s">
        <v>38</v>
      </c>
      <c r="H43" s="2">
        <v>5.33</v>
      </c>
      <c r="I43" s="1">
        <v>15</v>
      </c>
      <c r="U43" s="1">
        <v>23</v>
      </c>
      <c r="X43" s="1">
        <v>19</v>
      </c>
      <c r="AA43" s="1">
        <v>1</v>
      </c>
      <c r="AB43" s="1">
        <v>4</v>
      </c>
      <c r="AC43" s="1">
        <v>749</v>
      </c>
      <c r="AF43" s="3">
        <v>2.8142589118198873</v>
      </c>
      <c r="AG43" s="3">
        <v>1.1464232793421592</v>
      </c>
      <c r="AH43" s="1">
        <v>6252</v>
      </c>
      <c r="AI43" s="1" t="b">
        <v>1</v>
      </c>
      <c r="AK43" s="467"/>
      <c r="AL43" s="467"/>
      <c r="AM43" s="467"/>
      <c r="AN43" s="467"/>
      <c r="AO43" s="467"/>
      <c r="AP43" s="467"/>
      <c r="AQ43" s="467"/>
      <c r="AR43" s="467"/>
      <c r="AS43" s="467"/>
      <c r="AT43" s="467"/>
      <c r="AU43" s="467"/>
      <c r="AV43" s="467"/>
      <c r="AW43" s="467"/>
    </row>
    <row r="44" spans="1:49" x14ac:dyDescent="0.25">
      <c r="A44" s="1">
        <v>28</v>
      </c>
      <c r="B44" s="1">
        <v>10</v>
      </c>
      <c r="C44" s="1">
        <v>2019</v>
      </c>
      <c r="G44" s="1" t="s">
        <v>38</v>
      </c>
      <c r="H44" s="2">
        <v>5.17</v>
      </c>
      <c r="I44" s="1">
        <v>12</v>
      </c>
      <c r="U44" s="1">
        <v>21</v>
      </c>
      <c r="X44" s="1">
        <v>15</v>
      </c>
      <c r="AA44" s="1">
        <v>3</v>
      </c>
      <c r="AB44" s="1">
        <v>3</v>
      </c>
      <c r="AC44" s="1">
        <v>719</v>
      </c>
      <c r="AF44" s="3">
        <v>2.3210831721470018</v>
      </c>
      <c r="AG44" s="3">
        <v>1.3606695852685429</v>
      </c>
      <c r="AH44" s="1">
        <v>6252</v>
      </c>
      <c r="AI44" s="1" t="b">
        <v>1</v>
      </c>
      <c r="AK44" s="467"/>
      <c r="AL44" s="467"/>
      <c r="AM44" s="467"/>
      <c r="AN44" s="467"/>
      <c r="AO44" s="467"/>
      <c r="AP44" s="467"/>
      <c r="AQ44" s="467"/>
      <c r="AR44" s="467"/>
      <c r="AS44" s="467"/>
      <c r="AT44" s="467"/>
      <c r="AU44" s="467"/>
      <c r="AV44" s="467"/>
      <c r="AW44" s="467"/>
    </row>
    <row r="45" spans="1:49" x14ac:dyDescent="0.25">
      <c r="A45" s="1">
        <v>28</v>
      </c>
      <c r="B45" s="1">
        <v>10</v>
      </c>
      <c r="C45" s="1">
        <v>2019</v>
      </c>
      <c r="G45" s="1" t="s">
        <v>38</v>
      </c>
      <c r="H45" s="2">
        <v>5.78</v>
      </c>
      <c r="I45" s="1">
        <v>20</v>
      </c>
      <c r="U45" s="1">
        <v>29</v>
      </c>
      <c r="X45" s="1">
        <v>26</v>
      </c>
      <c r="AA45" s="1">
        <v>3</v>
      </c>
      <c r="AB45" s="1">
        <v>3</v>
      </c>
      <c r="AC45" s="1">
        <v>960</v>
      </c>
      <c r="AF45" s="3">
        <v>3.4602076124567471</v>
      </c>
      <c r="AG45" s="3">
        <v>0.98684132936805113</v>
      </c>
      <c r="AH45" s="1">
        <v>6252</v>
      </c>
      <c r="AI45" s="1" t="b">
        <v>1</v>
      </c>
    </row>
    <row r="46" spans="1:49" x14ac:dyDescent="0.25">
      <c r="A46" s="1">
        <v>28</v>
      </c>
      <c r="B46" s="1">
        <v>10</v>
      </c>
      <c r="C46" s="1">
        <v>2019</v>
      </c>
      <c r="G46" s="1" t="s">
        <v>38</v>
      </c>
      <c r="H46" s="2">
        <v>5.45</v>
      </c>
      <c r="I46" s="1">
        <v>14</v>
      </c>
      <c r="U46" s="1">
        <v>22</v>
      </c>
      <c r="X46" s="1">
        <v>20</v>
      </c>
      <c r="AA46" s="1">
        <v>3</v>
      </c>
      <c r="AB46" s="1">
        <v>2</v>
      </c>
      <c r="AC46" s="1">
        <v>726</v>
      </c>
      <c r="AF46" s="3">
        <v>2.568807339449541</v>
      </c>
      <c r="AG46" s="3">
        <v>1.2756925468343234</v>
      </c>
      <c r="AH46" s="1">
        <v>6252</v>
      </c>
      <c r="AI46" s="1" t="b">
        <v>1</v>
      </c>
    </row>
    <row r="47" spans="1:49" x14ac:dyDescent="0.25">
      <c r="A47" s="1">
        <v>28</v>
      </c>
      <c r="B47" s="1">
        <v>10</v>
      </c>
      <c r="C47" s="1">
        <v>2019</v>
      </c>
      <c r="G47" s="1" t="s">
        <v>38</v>
      </c>
      <c r="H47" s="2">
        <v>6.76</v>
      </c>
      <c r="I47" s="1">
        <v>20</v>
      </c>
      <c r="U47" s="1">
        <v>30</v>
      </c>
      <c r="X47" s="1">
        <v>25</v>
      </c>
      <c r="AA47" s="1">
        <v>3</v>
      </c>
      <c r="AB47" s="1">
        <v>3</v>
      </c>
      <c r="AC47" s="1">
        <v>981</v>
      </c>
      <c r="AF47" s="3">
        <v>2.9585798816568047</v>
      </c>
      <c r="AG47" s="3">
        <v>1.2878918278146383</v>
      </c>
      <c r="AH47" s="1">
        <v>6252</v>
      </c>
      <c r="AI47" s="1" t="b">
        <v>1</v>
      </c>
    </row>
    <row r="48" spans="1:49" x14ac:dyDescent="0.25">
      <c r="A48" s="1">
        <v>28</v>
      </c>
      <c r="B48" s="1">
        <v>10</v>
      </c>
      <c r="C48" s="1">
        <v>2019</v>
      </c>
      <c r="G48" s="1" t="s">
        <v>38</v>
      </c>
      <c r="H48" s="2">
        <v>9.4499999999999993</v>
      </c>
      <c r="I48" s="1">
        <v>28</v>
      </c>
      <c r="U48" s="1">
        <v>42</v>
      </c>
      <c r="X48" s="1">
        <v>33</v>
      </c>
      <c r="AA48" s="1">
        <v>2</v>
      </c>
      <c r="AB48" s="1">
        <v>2</v>
      </c>
      <c r="AC48" s="1">
        <v>1553</v>
      </c>
      <c r="AF48" s="3">
        <v>2.9629629629629632</v>
      </c>
      <c r="AG48" s="3">
        <v>1.6258334073695313</v>
      </c>
      <c r="AH48" s="1">
        <v>6252</v>
      </c>
      <c r="AI48" s="1" t="b">
        <v>1</v>
      </c>
    </row>
    <row r="49" spans="1:35" x14ac:dyDescent="0.25">
      <c r="A49" s="1">
        <v>28</v>
      </c>
      <c r="B49" s="1">
        <v>10</v>
      </c>
      <c r="C49" s="1">
        <v>2019</v>
      </c>
      <c r="G49" s="1" t="s">
        <v>38</v>
      </c>
      <c r="H49" s="2">
        <v>7.04</v>
      </c>
      <c r="I49" s="1">
        <v>22</v>
      </c>
      <c r="U49" s="1">
        <v>37</v>
      </c>
      <c r="X49" s="1">
        <v>32</v>
      </c>
      <c r="AA49" s="1">
        <v>4</v>
      </c>
      <c r="AB49" s="1">
        <v>5</v>
      </c>
      <c r="AC49" s="1">
        <v>1181</v>
      </c>
      <c r="AF49" s="3">
        <v>3.125</v>
      </c>
      <c r="AG49" s="3">
        <v>1.2544427322609761</v>
      </c>
      <c r="AH49" s="1">
        <v>6252</v>
      </c>
      <c r="AI49" s="1" t="b">
        <v>1</v>
      </c>
    </row>
    <row r="50" spans="1:35" x14ac:dyDescent="0.25">
      <c r="A50" s="1">
        <v>28</v>
      </c>
      <c r="B50" s="1">
        <v>10</v>
      </c>
      <c r="C50" s="1">
        <v>2019</v>
      </c>
      <c r="G50" s="1" t="s">
        <v>38</v>
      </c>
      <c r="H50" s="2">
        <v>6.86</v>
      </c>
      <c r="I50" s="1">
        <v>22</v>
      </c>
      <c r="U50" s="1">
        <v>30</v>
      </c>
      <c r="X50" s="1">
        <v>27</v>
      </c>
      <c r="AA50" s="1">
        <v>3</v>
      </c>
      <c r="AB50" s="1">
        <v>5</v>
      </c>
      <c r="AC50" s="1">
        <v>997</v>
      </c>
      <c r="AF50" s="3">
        <v>3.2069970845481048</v>
      </c>
      <c r="AG50" s="3">
        <v>1.2004064377766981</v>
      </c>
      <c r="AH50" s="1">
        <v>6252</v>
      </c>
      <c r="AI50" s="1" t="b">
        <v>1</v>
      </c>
    </row>
    <row r="51" spans="1:35" x14ac:dyDescent="0.25">
      <c r="A51" s="1">
        <v>28</v>
      </c>
      <c r="B51" s="1">
        <v>10</v>
      </c>
      <c r="C51" s="1">
        <v>2019</v>
      </c>
      <c r="G51" s="1" t="s">
        <v>38</v>
      </c>
      <c r="H51" s="2">
        <v>6.67</v>
      </c>
      <c r="I51" s="1">
        <v>20</v>
      </c>
      <c r="U51" s="1">
        <v>31</v>
      </c>
      <c r="X51" s="1">
        <v>28</v>
      </c>
      <c r="AA51" s="1">
        <v>4</v>
      </c>
      <c r="AB51" s="1">
        <v>2</v>
      </c>
      <c r="AC51" s="1">
        <v>944</v>
      </c>
      <c r="AF51" s="3">
        <v>2.9985007496251876</v>
      </c>
      <c r="AG51" s="3">
        <v>1.2588788060086691</v>
      </c>
      <c r="AH51" s="1">
        <v>6252</v>
      </c>
      <c r="AI51" s="1" t="b">
        <v>1</v>
      </c>
    </row>
    <row r="52" spans="1:35" x14ac:dyDescent="0.25">
      <c r="A52" s="1">
        <v>28</v>
      </c>
      <c r="B52" s="1">
        <v>10</v>
      </c>
      <c r="C52" s="1">
        <v>2019</v>
      </c>
      <c r="G52" s="1" t="s">
        <v>38</v>
      </c>
      <c r="H52" s="2">
        <v>7.37</v>
      </c>
      <c r="I52" s="1">
        <v>19</v>
      </c>
      <c r="U52" s="1">
        <v>32</v>
      </c>
      <c r="X52" s="1">
        <v>26</v>
      </c>
      <c r="AA52" s="1">
        <v>4</v>
      </c>
      <c r="AB52" s="1">
        <v>3</v>
      </c>
      <c r="AC52" s="1">
        <v>1030</v>
      </c>
      <c r="AF52" s="3">
        <v>2.5780189959294435</v>
      </c>
      <c r="AG52" s="3">
        <v>1.570149945324198</v>
      </c>
      <c r="AH52" s="1">
        <v>6252</v>
      </c>
      <c r="AI52" s="1" t="b">
        <v>1</v>
      </c>
    </row>
    <row r="53" spans="1:35" x14ac:dyDescent="0.25">
      <c r="A53" s="1">
        <v>28</v>
      </c>
      <c r="B53" s="1">
        <v>10</v>
      </c>
      <c r="C53" s="1">
        <v>2019</v>
      </c>
      <c r="G53" s="1" t="s">
        <v>38</v>
      </c>
      <c r="H53" s="2">
        <v>6.91</v>
      </c>
      <c r="I53" s="1">
        <v>22</v>
      </c>
      <c r="U53" s="1">
        <v>29</v>
      </c>
      <c r="X53" s="1">
        <v>26</v>
      </c>
      <c r="AA53" s="1">
        <v>2</v>
      </c>
      <c r="AB53" s="1">
        <v>4</v>
      </c>
      <c r="AC53" s="1">
        <v>1162</v>
      </c>
      <c r="AF53" s="3">
        <v>3.1837916063675831</v>
      </c>
      <c r="AG53" s="3">
        <v>1.2153181943588904</v>
      </c>
      <c r="AH53" s="1">
        <v>6252</v>
      </c>
      <c r="AI53" s="1" t="b">
        <v>1</v>
      </c>
    </row>
    <row r="54" spans="1:35" x14ac:dyDescent="0.25">
      <c r="A54" s="1">
        <v>28</v>
      </c>
      <c r="B54" s="1">
        <v>10</v>
      </c>
      <c r="C54" s="1">
        <v>2019</v>
      </c>
      <c r="G54" s="1" t="s">
        <v>38</v>
      </c>
      <c r="H54" s="2">
        <v>7.21</v>
      </c>
      <c r="I54" s="1">
        <v>22</v>
      </c>
      <c r="U54" s="1">
        <v>34</v>
      </c>
      <c r="X54" s="1">
        <v>27</v>
      </c>
      <c r="AA54" s="1">
        <v>3</v>
      </c>
      <c r="AB54" s="1">
        <v>2</v>
      </c>
      <c r="AC54" s="1">
        <v>1071</v>
      </c>
      <c r="AF54" s="3">
        <v>3.0513176144244105</v>
      </c>
      <c r="AG54" s="3">
        <v>1.3063732206058674</v>
      </c>
      <c r="AH54" s="1">
        <v>6252</v>
      </c>
      <c r="AI54" s="1" t="b">
        <v>1</v>
      </c>
    </row>
    <row r="55" spans="1:35" x14ac:dyDescent="0.25">
      <c r="A55" s="1">
        <v>28</v>
      </c>
      <c r="B55" s="1">
        <v>10</v>
      </c>
      <c r="C55" s="1">
        <v>2019</v>
      </c>
      <c r="G55" s="1" t="s">
        <v>38</v>
      </c>
      <c r="H55" s="2">
        <v>8.56</v>
      </c>
      <c r="I55" s="1">
        <v>25</v>
      </c>
      <c r="U55" s="1">
        <v>43</v>
      </c>
      <c r="X55" s="1">
        <v>33</v>
      </c>
      <c r="AA55" s="1">
        <v>4</v>
      </c>
      <c r="AB55" s="1">
        <v>4</v>
      </c>
      <c r="AC55" s="1">
        <v>1405</v>
      </c>
      <c r="AF55" s="3">
        <v>2.9205607476635511</v>
      </c>
      <c r="AG55" s="3">
        <v>1.539094872326412</v>
      </c>
      <c r="AH55" s="1">
        <v>6252</v>
      </c>
      <c r="AI55" s="1" t="b">
        <v>1</v>
      </c>
    </row>
    <row r="56" spans="1:35" x14ac:dyDescent="0.25">
      <c r="A56" s="1">
        <v>28</v>
      </c>
      <c r="B56" s="1">
        <v>10</v>
      </c>
      <c r="C56" s="1">
        <v>2019</v>
      </c>
      <c r="G56" s="1" t="s">
        <v>38</v>
      </c>
      <c r="H56" s="2">
        <v>4.18</v>
      </c>
      <c r="I56" s="1">
        <v>10</v>
      </c>
      <c r="V56" s="1">
        <v>15</v>
      </c>
      <c r="X56" s="1">
        <v>13</v>
      </c>
      <c r="AA56" s="1">
        <v>2</v>
      </c>
      <c r="AB56" s="1">
        <v>4</v>
      </c>
      <c r="AC56" s="1">
        <v>624</v>
      </c>
      <c r="AF56" s="3">
        <v>2.3923444976076556</v>
      </c>
      <c r="AG56" s="3">
        <v>1.137626445015494</v>
      </c>
      <c r="AH56" s="1">
        <v>6252</v>
      </c>
      <c r="AI56" s="1" t="b">
        <v>1</v>
      </c>
    </row>
    <row r="57" spans="1:35" x14ac:dyDescent="0.25">
      <c r="A57" s="1">
        <v>28</v>
      </c>
      <c r="B57" s="1">
        <v>10</v>
      </c>
      <c r="C57" s="1">
        <v>2019</v>
      </c>
      <c r="G57" s="1" t="s">
        <v>38</v>
      </c>
      <c r="H57" s="2">
        <v>6.59</v>
      </c>
      <c r="I57" s="1">
        <v>11</v>
      </c>
      <c r="V57" s="1">
        <v>27</v>
      </c>
      <c r="X57" s="1">
        <v>18</v>
      </c>
      <c r="AA57" s="1">
        <v>3</v>
      </c>
      <c r="AB57" s="1">
        <v>4</v>
      </c>
      <c r="AC57" s="1">
        <v>792</v>
      </c>
      <c r="AF57" s="3">
        <v>1.6691957511380882</v>
      </c>
      <c r="AG57" s="3">
        <v>2.2423970822082731</v>
      </c>
      <c r="AH57" s="1">
        <v>6252</v>
      </c>
      <c r="AI57" s="1" t="b">
        <v>1</v>
      </c>
    </row>
    <row r="58" spans="1:35" x14ac:dyDescent="0.25">
      <c r="A58" s="1">
        <v>28</v>
      </c>
      <c r="B58" s="1">
        <v>10</v>
      </c>
      <c r="C58" s="1">
        <v>2019</v>
      </c>
      <c r="G58" s="1" t="s">
        <v>38</v>
      </c>
      <c r="H58" s="2">
        <v>7.49</v>
      </c>
      <c r="I58" s="1">
        <v>24</v>
      </c>
      <c r="V58" s="1">
        <v>27</v>
      </c>
      <c r="X58" s="1">
        <v>22</v>
      </c>
      <c r="AA58" s="1">
        <v>1</v>
      </c>
      <c r="AB58" s="1">
        <v>1</v>
      </c>
      <c r="AC58" s="1">
        <v>823</v>
      </c>
      <c r="AF58" s="3">
        <v>3.2042723631508676</v>
      </c>
      <c r="AG58" s="3">
        <v>1.2776380826716138</v>
      </c>
      <c r="AH58" s="1">
        <v>6252</v>
      </c>
      <c r="AI58" s="1" t="b">
        <v>1</v>
      </c>
    </row>
    <row r="59" spans="1:35" x14ac:dyDescent="0.25">
      <c r="A59" s="1">
        <v>28</v>
      </c>
      <c r="B59" s="1">
        <v>10</v>
      </c>
      <c r="C59" s="1">
        <v>2019</v>
      </c>
      <c r="G59" s="1" t="s">
        <v>38</v>
      </c>
      <c r="H59" s="2">
        <v>5.23</v>
      </c>
      <c r="I59" s="1">
        <v>15</v>
      </c>
      <c r="V59" s="1">
        <v>20</v>
      </c>
      <c r="X59" s="1">
        <v>17</v>
      </c>
      <c r="AA59" s="1">
        <v>2</v>
      </c>
      <c r="AB59" s="1">
        <v>2</v>
      </c>
      <c r="AC59" s="1">
        <v>768</v>
      </c>
      <c r="AF59" s="3">
        <v>2.8680688336520075</v>
      </c>
      <c r="AG59" s="3">
        <v>1.1100987458895881</v>
      </c>
      <c r="AH59" s="1">
        <v>6252</v>
      </c>
      <c r="AI59" s="1" t="b">
        <v>1</v>
      </c>
    </row>
    <row r="60" spans="1:35" x14ac:dyDescent="0.25">
      <c r="A60" s="1">
        <v>28</v>
      </c>
      <c r="B60" s="1">
        <v>10</v>
      </c>
      <c r="C60" s="1">
        <v>2019</v>
      </c>
      <c r="G60" s="1" t="s">
        <v>38</v>
      </c>
      <c r="H60" s="2">
        <v>5.07</v>
      </c>
      <c r="I60" s="1">
        <v>16</v>
      </c>
      <c r="U60" s="1">
        <v>24</v>
      </c>
      <c r="X60" s="1">
        <v>20</v>
      </c>
      <c r="AA60" s="1">
        <v>2</v>
      </c>
      <c r="AB60" s="1">
        <v>4</v>
      </c>
      <c r="AC60" s="1">
        <v>787</v>
      </c>
      <c r="AF60" s="3">
        <v>3.1558185404339247</v>
      </c>
      <c r="AG60" s="3">
        <v>0.98717363571152772</v>
      </c>
      <c r="AH60" s="1">
        <v>6252</v>
      </c>
      <c r="AI60" s="1" t="b">
        <v>1</v>
      </c>
    </row>
    <row r="61" spans="1:35" x14ac:dyDescent="0.25">
      <c r="A61" s="1">
        <v>28</v>
      </c>
      <c r="B61" s="1">
        <v>10</v>
      </c>
      <c r="C61" s="1">
        <v>2019</v>
      </c>
      <c r="G61" s="1" t="s">
        <v>38</v>
      </c>
      <c r="H61" s="2">
        <v>7.31</v>
      </c>
      <c r="I61" s="1">
        <v>22</v>
      </c>
      <c r="U61" s="1">
        <v>35</v>
      </c>
      <c r="X61" s="1">
        <v>30</v>
      </c>
      <c r="AA61" s="1">
        <v>3</v>
      </c>
      <c r="AB61" s="1">
        <v>3</v>
      </c>
      <c r="AC61" s="1">
        <v>1155</v>
      </c>
      <c r="AF61" s="3">
        <v>3.0095759233926129</v>
      </c>
      <c r="AG61" s="3">
        <v>1.3373246816237023</v>
      </c>
      <c r="AH61" s="1">
        <v>6252</v>
      </c>
      <c r="AI61" s="1" t="b">
        <v>1</v>
      </c>
    </row>
    <row r="62" spans="1:35" x14ac:dyDescent="0.25">
      <c r="A62" s="1">
        <v>28</v>
      </c>
      <c r="B62" s="1">
        <v>10</v>
      </c>
      <c r="C62" s="1">
        <v>2019</v>
      </c>
      <c r="G62" s="1" t="s">
        <v>38</v>
      </c>
      <c r="H62" s="2">
        <v>5.58</v>
      </c>
      <c r="I62" s="1">
        <v>14</v>
      </c>
      <c r="U62" s="1">
        <v>26</v>
      </c>
      <c r="X62" s="1">
        <v>20</v>
      </c>
      <c r="AA62" s="1">
        <v>3</v>
      </c>
      <c r="AB62" s="1">
        <v>5</v>
      </c>
      <c r="AC62" s="1">
        <v>765</v>
      </c>
      <c r="AF62" s="3">
        <v>2.5089605734767026</v>
      </c>
      <c r="AG62" s="3">
        <v>1.3278533161577921</v>
      </c>
      <c r="AH62" s="1">
        <v>6252</v>
      </c>
      <c r="AI62" s="1" t="b">
        <v>1</v>
      </c>
    </row>
    <row r="63" spans="1:35" x14ac:dyDescent="0.25">
      <c r="A63" s="1">
        <v>28</v>
      </c>
      <c r="B63" s="1">
        <v>10</v>
      </c>
      <c r="C63" s="1">
        <v>2019</v>
      </c>
      <c r="G63" s="1" t="s">
        <v>38</v>
      </c>
      <c r="H63" s="2">
        <v>7.96</v>
      </c>
      <c r="I63" s="1">
        <v>28</v>
      </c>
      <c r="U63" s="1">
        <v>36</v>
      </c>
      <c r="X63" s="1">
        <v>32</v>
      </c>
      <c r="AA63" s="1">
        <v>3</v>
      </c>
      <c r="AB63" s="1">
        <v>2</v>
      </c>
      <c r="AC63" s="1">
        <v>1223</v>
      </c>
      <c r="AF63" s="3">
        <v>3.5175879396984926</v>
      </c>
      <c r="AG63" s="3">
        <v>1.2144906728220435</v>
      </c>
      <c r="AH63" s="1">
        <v>6252</v>
      </c>
      <c r="AI63" s="1" t="b">
        <v>1</v>
      </c>
    </row>
    <row r="64" spans="1:35" x14ac:dyDescent="0.25">
      <c r="A64" s="1">
        <v>28</v>
      </c>
      <c r="B64" s="1">
        <v>10</v>
      </c>
      <c r="C64" s="1">
        <v>2019</v>
      </c>
      <c r="G64" s="1" t="s">
        <v>38</v>
      </c>
      <c r="H64" s="2">
        <v>7.17</v>
      </c>
      <c r="I64" s="1">
        <v>20</v>
      </c>
      <c r="U64" s="1">
        <v>31</v>
      </c>
      <c r="X64" s="1">
        <v>30</v>
      </c>
      <c r="AA64" s="1">
        <v>5</v>
      </c>
      <c r="AB64" s="1">
        <v>3</v>
      </c>
      <c r="AC64" s="1">
        <v>1044</v>
      </c>
      <c r="AF64" s="3">
        <v>2.7894002789400281</v>
      </c>
      <c r="AG64" s="3">
        <v>1.4234839309816283</v>
      </c>
      <c r="AH64" s="1">
        <v>6252</v>
      </c>
      <c r="AI64" s="1" t="b">
        <v>1</v>
      </c>
    </row>
    <row r="65" spans="1:35" x14ac:dyDescent="0.25">
      <c r="A65" s="1">
        <v>28</v>
      </c>
      <c r="B65" s="1">
        <v>10</v>
      </c>
      <c r="C65" s="1">
        <v>2019</v>
      </c>
      <c r="G65" s="1" t="s">
        <v>38</v>
      </c>
      <c r="H65" s="2">
        <v>4.84</v>
      </c>
      <c r="I65" s="1">
        <v>14</v>
      </c>
      <c r="U65" s="1">
        <v>22</v>
      </c>
      <c r="X65" s="1">
        <v>21</v>
      </c>
      <c r="AA65" s="1">
        <v>3</v>
      </c>
      <c r="AB65" s="1">
        <v>4</v>
      </c>
      <c r="AC65" s="1">
        <v>803</v>
      </c>
      <c r="AF65" s="3">
        <v>2.8925619834710745</v>
      </c>
      <c r="AG65" s="3">
        <v>1.0425792548345441</v>
      </c>
      <c r="AH65" s="1">
        <v>6252</v>
      </c>
      <c r="AI65" s="1" t="b">
        <v>1</v>
      </c>
    </row>
    <row r="66" spans="1:35" x14ac:dyDescent="0.25">
      <c r="A66" s="1">
        <v>28</v>
      </c>
      <c r="B66" s="1">
        <v>10</v>
      </c>
      <c r="C66" s="1">
        <v>2019</v>
      </c>
      <c r="G66" s="1" t="s">
        <v>38</v>
      </c>
      <c r="H66" s="2">
        <v>5.31</v>
      </c>
      <c r="I66" s="1">
        <v>17</v>
      </c>
      <c r="U66" s="1">
        <v>22</v>
      </c>
      <c r="X66" s="1">
        <v>19</v>
      </c>
      <c r="AA66" s="1">
        <v>2</v>
      </c>
      <c r="AB66" s="1">
        <v>4</v>
      </c>
      <c r="AC66" s="1">
        <v>797</v>
      </c>
      <c r="AF66" s="3">
        <v>3.2015065913370999</v>
      </c>
      <c r="AG66" s="3">
        <v>1.0051057661011233</v>
      </c>
      <c r="AH66" s="1">
        <v>6252</v>
      </c>
      <c r="AI66" s="1" t="b">
        <v>1</v>
      </c>
    </row>
    <row r="67" spans="1:35" x14ac:dyDescent="0.25">
      <c r="A67" s="1">
        <v>28</v>
      </c>
      <c r="B67" s="1">
        <v>10</v>
      </c>
      <c r="C67" s="1">
        <v>2019</v>
      </c>
      <c r="G67" s="1" t="s">
        <v>38</v>
      </c>
      <c r="H67" s="2">
        <v>5.27</v>
      </c>
      <c r="I67" s="1">
        <v>16</v>
      </c>
      <c r="U67" s="1">
        <v>28</v>
      </c>
      <c r="X67" s="1">
        <v>20</v>
      </c>
      <c r="AA67" s="1">
        <v>3</v>
      </c>
      <c r="AB67" s="1">
        <v>3</v>
      </c>
      <c r="AC67" s="1">
        <v>817</v>
      </c>
      <c r="AF67" s="3">
        <v>3.0360531309297913</v>
      </c>
      <c r="AG67" s="3">
        <v>1.0542850865048425</v>
      </c>
      <c r="AH67" s="1">
        <v>6252</v>
      </c>
      <c r="AI67" s="1" t="b">
        <v>1</v>
      </c>
    </row>
    <row r="68" spans="1:35" x14ac:dyDescent="0.25">
      <c r="A68" s="1">
        <v>28</v>
      </c>
      <c r="B68" s="1">
        <v>10</v>
      </c>
      <c r="C68" s="1">
        <v>2019</v>
      </c>
      <c r="G68" s="1" t="s">
        <v>38</v>
      </c>
      <c r="H68" s="2">
        <v>5.17</v>
      </c>
      <c r="I68" s="1">
        <v>18</v>
      </c>
      <c r="U68" s="1">
        <v>24</v>
      </c>
      <c r="X68" s="1">
        <v>20</v>
      </c>
      <c r="AA68" s="1">
        <v>2</v>
      </c>
      <c r="AB68" s="1">
        <v>3</v>
      </c>
      <c r="AC68" s="1">
        <v>748</v>
      </c>
      <c r="AF68" s="3">
        <v>3.4816247582205029</v>
      </c>
      <c r="AG68" s="3">
        <v>0.90711305684569532</v>
      </c>
      <c r="AH68" s="1">
        <v>6252</v>
      </c>
      <c r="AI68" s="1" t="b">
        <v>1</v>
      </c>
    </row>
    <row r="69" spans="1:35" x14ac:dyDescent="0.25">
      <c r="A69" s="1">
        <v>28</v>
      </c>
      <c r="B69" s="1">
        <v>10</v>
      </c>
      <c r="C69" s="1">
        <v>2019</v>
      </c>
      <c r="G69" s="1" t="s">
        <v>38</v>
      </c>
      <c r="H69" s="2">
        <v>5.29</v>
      </c>
      <c r="I69" s="1">
        <v>20</v>
      </c>
      <c r="U69" s="1">
        <v>24</v>
      </c>
      <c r="X69" s="1">
        <v>20</v>
      </c>
      <c r="AA69" s="1">
        <v>1</v>
      </c>
      <c r="AB69" s="1">
        <v>2</v>
      </c>
      <c r="AC69" s="1">
        <v>864</v>
      </c>
      <c r="AF69" s="3">
        <v>3.7807183364839321</v>
      </c>
      <c r="AG69" s="3">
        <v>0.84887676563937853</v>
      </c>
      <c r="AH69" s="1">
        <v>6252</v>
      </c>
      <c r="AI69" s="1" t="b">
        <v>1</v>
      </c>
    </row>
    <row r="70" spans="1:35" x14ac:dyDescent="0.25">
      <c r="A70" s="1">
        <v>28</v>
      </c>
      <c r="B70" s="1">
        <v>10</v>
      </c>
      <c r="C70" s="1">
        <v>2019</v>
      </c>
      <c r="G70" s="1" t="s">
        <v>38</v>
      </c>
      <c r="H70" s="2">
        <v>4.78</v>
      </c>
      <c r="I70" s="1">
        <v>11</v>
      </c>
      <c r="U70" s="1">
        <v>16</v>
      </c>
      <c r="X70" s="1">
        <v>12</v>
      </c>
      <c r="AA70" s="1">
        <v>2</v>
      </c>
      <c r="AB70" s="1">
        <v>4</v>
      </c>
      <c r="AC70" s="1">
        <v>778</v>
      </c>
      <c r="AF70" s="3">
        <v>2.3012552301255229</v>
      </c>
      <c r="AG70" s="3">
        <v>1.299076537475701</v>
      </c>
      <c r="AH70" s="1">
        <v>6252</v>
      </c>
      <c r="AI70" s="1" t="b">
        <v>1</v>
      </c>
    </row>
    <row r="71" spans="1:35" x14ac:dyDescent="0.25">
      <c r="A71" s="1">
        <v>28</v>
      </c>
      <c r="B71" s="1">
        <v>10</v>
      </c>
      <c r="C71" s="1">
        <v>2019</v>
      </c>
      <c r="G71" s="1" t="s">
        <v>38</v>
      </c>
      <c r="H71" s="2">
        <v>5.53</v>
      </c>
      <c r="I71" s="1">
        <v>15</v>
      </c>
      <c r="U71" s="1">
        <v>20</v>
      </c>
      <c r="X71" s="1">
        <v>15</v>
      </c>
      <c r="AA71" s="1">
        <v>1</v>
      </c>
      <c r="AB71" s="1">
        <v>2</v>
      </c>
      <c r="AC71" s="1">
        <v>858</v>
      </c>
      <c r="AF71" s="3">
        <v>2.7124773960216997</v>
      </c>
      <c r="AG71" s="3">
        <v>1.2205103431163074</v>
      </c>
      <c r="AH71" s="1">
        <v>6252</v>
      </c>
      <c r="AI71" s="1" t="b">
        <v>1</v>
      </c>
    </row>
    <row r="72" spans="1:35" x14ac:dyDescent="0.25">
      <c r="A72" s="1">
        <v>28</v>
      </c>
      <c r="B72" s="1">
        <v>10</v>
      </c>
      <c r="C72" s="1">
        <v>2019</v>
      </c>
      <c r="G72" s="1" t="s">
        <v>38</v>
      </c>
      <c r="H72" s="2">
        <v>5.17</v>
      </c>
      <c r="I72" s="1">
        <v>14</v>
      </c>
      <c r="U72" s="1">
        <v>24</v>
      </c>
      <c r="X72" s="1">
        <v>20</v>
      </c>
      <c r="AA72" s="1">
        <v>3</v>
      </c>
      <c r="AB72" s="1">
        <v>3</v>
      </c>
      <c r="AC72" s="1">
        <v>841</v>
      </c>
      <c r="AF72" s="3">
        <v>2.7079303675048356</v>
      </c>
      <c r="AG72" s="3">
        <v>1.1662882159444654</v>
      </c>
      <c r="AH72" s="1">
        <v>6252</v>
      </c>
      <c r="AI72" s="1" t="b">
        <v>1</v>
      </c>
    </row>
    <row r="73" spans="1:35" x14ac:dyDescent="0.25">
      <c r="A73" s="1">
        <v>28</v>
      </c>
      <c r="B73" s="1">
        <v>10</v>
      </c>
      <c r="C73" s="1">
        <v>2019</v>
      </c>
      <c r="G73" s="1" t="s">
        <v>38</v>
      </c>
      <c r="H73" s="2">
        <v>7.4</v>
      </c>
      <c r="I73" s="1">
        <v>23</v>
      </c>
      <c r="U73" s="1">
        <v>32</v>
      </c>
      <c r="X73" s="1">
        <v>26</v>
      </c>
      <c r="AA73" s="1">
        <v>3</v>
      </c>
      <c r="AB73" s="1">
        <v>4</v>
      </c>
      <c r="AC73" s="1">
        <v>1096</v>
      </c>
      <c r="AF73" s="3">
        <v>3.1081081081081079</v>
      </c>
      <c r="AG73" s="3">
        <v>1.3060688979847028</v>
      </c>
      <c r="AH73" s="1">
        <v>6252</v>
      </c>
      <c r="AI73" s="1" t="b">
        <v>1</v>
      </c>
    </row>
    <row r="74" spans="1:35" x14ac:dyDescent="0.25">
      <c r="A74" s="1">
        <v>28</v>
      </c>
      <c r="B74" s="1">
        <v>10</v>
      </c>
      <c r="C74" s="1">
        <v>2019</v>
      </c>
      <c r="G74" s="1" t="s">
        <v>38</v>
      </c>
      <c r="H74" s="2">
        <v>4.8499999999999996</v>
      </c>
      <c r="I74" s="1">
        <v>16</v>
      </c>
      <c r="U74" s="1">
        <v>21</v>
      </c>
      <c r="X74" s="1">
        <v>20</v>
      </c>
      <c r="AA74" s="1">
        <v>2</v>
      </c>
      <c r="AB74" s="1">
        <v>3</v>
      </c>
      <c r="AC74" s="1">
        <v>774</v>
      </c>
      <c r="AF74" s="3">
        <v>3.2989690721649487</v>
      </c>
      <c r="AG74" s="3">
        <v>0.91546337253144627</v>
      </c>
      <c r="AH74" s="1">
        <v>6252</v>
      </c>
      <c r="AI74" s="1" t="b">
        <v>1</v>
      </c>
    </row>
    <row r="75" spans="1:35" x14ac:dyDescent="0.25">
      <c r="A75" s="1">
        <v>28</v>
      </c>
      <c r="B75" s="1">
        <v>10</v>
      </c>
      <c r="C75" s="1">
        <v>2019</v>
      </c>
      <c r="G75" s="1" t="s">
        <v>38</v>
      </c>
      <c r="H75" s="2">
        <v>6.2</v>
      </c>
      <c r="I75" s="1">
        <v>16</v>
      </c>
      <c r="U75" s="1">
        <v>25</v>
      </c>
      <c r="X75" s="1">
        <v>20</v>
      </c>
      <c r="AA75" s="1">
        <v>3</v>
      </c>
      <c r="AB75" s="1">
        <v>2</v>
      </c>
      <c r="AC75" s="1">
        <v>880</v>
      </c>
      <c r="AF75" s="3">
        <v>2.5806451612903225</v>
      </c>
      <c r="AG75" s="3">
        <v>1.3897794621722614</v>
      </c>
      <c r="AH75" s="1">
        <v>6252</v>
      </c>
      <c r="AI75" s="1" t="b">
        <v>1</v>
      </c>
    </row>
    <row r="76" spans="1:35" x14ac:dyDescent="0.25">
      <c r="A76" s="1">
        <v>28</v>
      </c>
      <c r="B76" s="1">
        <v>10</v>
      </c>
      <c r="C76" s="1">
        <v>2019</v>
      </c>
      <c r="G76" s="1" t="s">
        <v>38</v>
      </c>
      <c r="H76" s="2">
        <v>5.04</v>
      </c>
      <c r="I76" s="1">
        <v>11</v>
      </c>
      <c r="U76" s="1">
        <v>24</v>
      </c>
      <c r="X76" s="1">
        <v>19</v>
      </c>
      <c r="AA76" s="1">
        <v>4</v>
      </c>
      <c r="AB76" s="1">
        <v>2</v>
      </c>
      <c r="AC76" s="1">
        <v>852</v>
      </c>
      <c r="AF76" s="3">
        <v>2.1825396825396823</v>
      </c>
      <c r="AG76" s="3">
        <v>1.4214750026224283</v>
      </c>
      <c r="AH76" s="1">
        <v>6252</v>
      </c>
      <c r="AI76" s="1" t="b">
        <v>1</v>
      </c>
    </row>
    <row r="77" spans="1:35" x14ac:dyDescent="0.25">
      <c r="A77" s="1">
        <v>28</v>
      </c>
      <c r="B77" s="1">
        <v>10</v>
      </c>
      <c r="C77" s="1">
        <v>2019</v>
      </c>
      <c r="G77" s="1" t="s">
        <v>38</v>
      </c>
      <c r="H77" s="2">
        <v>5.3</v>
      </c>
      <c r="I77" s="1">
        <v>11</v>
      </c>
      <c r="U77" s="1">
        <v>24</v>
      </c>
      <c r="X77" s="1">
        <v>18</v>
      </c>
      <c r="AA77" s="1">
        <v>4</v>
      </c>
      <c r="AB77" s="1">
        <v>6</v>
      </c>
      <c r="AC77" s="1">
        <v>742</v>
      </c>
      <c r="AF77" s="3">
        <v>2.0754716981132075</v>
      </c>
      <c r="AG77" s="3">
        <v>1.5483755082667683</v>
      </c>
      <c r="AH77" s="1">
        <v>6252</v>
      </c>
      <c r="AI77" s="1" t="b">
        <v>1</v>
      </c>
    </row>
    <row r="78" spans="1:35" x14ac:dyDescent="0.25">
      <c r="A78" s="1">
        <v>28</v>
      </c>
      <c r="B78" s="1">
        <v>10</v>
      </c>
      <c r="C78" s="1">
        <v>2019</v>
      </c>
      <c r="G78" s="1" t="s">
        <v>38</v>
      </c>
      <c r="H78" s="2">
        <v>7.37</v>
      </c>
      <c r="I78" s="1">
        <v>22</v>
      </c>
      <c r="V78" s="1">
        <v>27</v>
      </c>
      <c r="X78" s="1">
        <v>24</v>
      </c>
      <c r="AA78" s="1">
        <v>2</v>
      </c>
      <c r="AB78" s="1">
        <v>3</v>
      </c>
      <c r="AC78" s="1">
        <v>1029</v>
      </c>
      <c r="AF78" s="3">
        <v>2.9850746268656714</v>
      </c>
      <c r="AG78" s="3">
        <v>1.3560385891436255</v>
      </c>
      <c r="AH78" s="1">
        <v>6252</v>
      </c>
      <c r="AI78" s="1" t="b">
        <v>1</v>
      </c>
    </row>
    <row r="79" spans="1:35" x14ac:dyDescent="0.25">
      <c r="A79" s="1">
        <v>29</v>
      </c>
      <c r="B79" s="1">
        <v>10</v>
      </c>
      <c r="C79" s="1">
        <v>2019</v>
      </c>
      <c r="G79" s="1" t="s">
        <v>38</v>
      </c>
      <c r="H79" s="2">
        <v>8.6300000000000008</v>
      </c>
      <c r="I79" s="1">
        <v>22</v>
      </c>
      <c r="U79" s="1">
        <v>38</v>
      </c>
      <c r="X79" s="1">
        <v>32</v>
      </c>
      <c r="AA79" s="1">
        <v>3</v>
      </c>
      <c r="AB79" s="1">
        <v>2</v>
      </c>
      <c r="AC79" s="1">
        <v>1308</v>
      </c>
      <c r="AF79" s="3">
        <v>2.5492468134414832</v>
      </c>
      <c r="AG79" s="3">
        <v>1.773354951494911</v>
      </c>
      <c r="AH79" s="1">
        <v>6252</v>
      </c>
      <c r="AI79" s="1" t="b">
        <v>1</v>
      </c>
    </row>
    <row r="80" spans="1:35" x14ac:dyDescent="0.25">
      <c r="A80" s="1">
        <v>29</v>
      </c>
      <c r="B80" s="1">
        <v>10</v>
      </c>
      <c r="C80" s="1">
        <v>2019</v>
      </c>
      <c r="G80" s="1" t="s">
        <v>38</v>
      </c>
      <c r="H80" s="2">
        <v>5.17</v>
      </c>
      <c r="I80" s="1">
        <v>18</v>
      </c>
      <c r="U80" s="1">
        <v>23</v>
      </c>
      <c r="X80" s="1">
        <v>20</v>
      </c>
      <c r="AA80" s="1">
        <v>2</v>
      </c>
      <c r="AB80" s="1">
        <v>2</v>
      </c>
      <c r="AC80" s="1">
        <v>733</v>
      </c>
      <c r="AF80" s="3">
        <v>3.4816247582205029</v>
      </c>
      <c r="AG80" s="3">
        <v>0.90711305684569532</v>
      </c>
      <c r="AH80" s="1">
        <v>6252</v>
      </c>
      <c r="AI80" s="1" t="b">
        <v>1</v>
      </c>
    </row>
    <row r="81" spans="1:35" x14ac:dyDescent="0.25">
      <c r="A81" s="1">
        <v>29</v>
      </c>
      <c r="B81" s="1">
        <v>10</v>
      </c>
      <c r="C81" s="1">
        <v>2019</v>
      </c>
      <c r="G81" s="1" t="s">
        <v>38</v>
      </c>
      <c r="H81" s="2">
        <v>6.32</v>
      </c>
      <c r="I81" s="1">
        <v>17</v>
      </c>
      <c r="U81" s="1">
        <v>28</v>
      </c>
      <c r="X81" s="1">
        <v>22</v>
      </c>
      <c r="AA81" s="1">
        <v>3</v>
      </c>
      <c r="AB81" s="1">
        <v>8</v>
      </c>
      <c r="AC81" s="1">
        <v>882</v>
      </c>
      <c r="AF81" s="3">
        <v>2.6898734177215187</v>
      </c>
      <c r="AG81" s="3">
        <v>1.3513570500522381</v>
      </c>
      <c r="AH81" s="1">
        <v>6252</v>
      </c>
      <c r="AI81" s="1" t="b">
        <v>1</v>
      </c>
    </row>
    <row r="82" spans="1:35" x14ac:dyDescent="0.25">
      <c r="A82" s="1">
        <v>29</v>
      </c>
      <c r="B82" s="1">
        <v>10</v>
      </c>
      <c r="C82" s="1">
        <v>2019</v>
      </c>
      <c r="G82" s="1" t="s">
        <v>38</v>
      </c>
      <c r="H82" s="2">
        <v>4.3600000000000003</v>
      </c>
      <c r="I82" s="1">
        <v>10</v>
      </c>
      <c r="U82" s="1">
        <v>21</v>
      </c>
      <c r="X82" s="1">
        <v>17</v>
      </c>
      <c r="AA82" s="1">
        <v>2</v>
      </c>
      <c r="AB82" s="1">
        <v>2</v>
      </c>
      <c r="AC82" s="1">
        <v>640</v>
      </c>
      <c r="AF82" s="3">
        <v>2.2935779816513762</v>
      </c>
      <c r="AG82" s="3">
        <v>1.2221570905834196</v>
      </c>
      <c r="AH82" s="1">
        <v>6252</v>
      </c>
      <c r="AI82" s="1" t="b">
        <v>1</v>
      </c>
    </row>
    <row r="83" spans="1:35" x14ac:dyDescent="0.25">
      <c r="A83" s="1">
        <v>29</v>
      </c>
      <c r="B83" s="1">
        <v>10</v>
      </c>
      <c r="C83" s="1">
        <v>2019</v>
      </c>
      <c r="G83" s="1" t="s">
        <v>38</v>
      </c>
      <c r="H83" s="2">
        <v>5.83</v>
      </c>
      <c r="I83" s="1">
        <v>17</v>
      </c>
      <c r="U83" s="1">
        <v>30</v>
      </c>
      <c r="X83" s="1">
        <v>24</v>
      </c>
      <c r="AA83" s="1">
        <v>4</v>
      </c>
      <c r="AB83" s="1">
        <v>3</v>
      </c>
      <c r="AC83" s="1">
        <v>866</v>
      </c>
      <c r="AF83" s="3">
        <v>2.9159519725557459</v>
      </c>
      <c r="AG83" s="3">
        <v>1.1781148268233652</v>
      </c>
      <c r="AH83" s="1">
        <v>6252</v>
      </c>
      <c r="AI83" s="1" t="b">
        <v>1</v>
      </c>
    </row>
    <row r="84" spans="1:35" x14ac:dyDescent="0.25">
      <c r="A84" s="1">
        <v>29</v>
      </c>
      <c r="B84" s="1">
        <v>10</v>
      </c>
      <c r="C84" s="1">
        <v>2019</v>
      </c>
      <c r="G84" s="1" t="s">
        <v>38</v>
      </c>
      <c r="H84" s="2">
        <v>6.49</v>
      </c>
      <c r="I84" s="1">
        <v>14</v>
      </c>
      <c r="U84" s="1">
        <v>27</v>
      </c>
      <c r="X84" s="1">
        <v>21</v>
      </c>
      <c r="AA84" s="1">
        <v>4</v>
      </c>
      <c r="AB84" s="1">
        <v>3</v>
      </c>
      <c r="AC84" s="1">
        <v>935</v>
      </c>
      <c r="AF84" s="3">
        <v>2.157164869029276</v>
      </c>
      <c r="AG84" s="3">
        <v>1.7166744716714697</v>
      </c>
      <c r="AH84" s="1">
        <v>6252</v>
      </c>
      <c r="AI84" s="1" t="b">
        <v>1</v>
      </c>
    </row>
    <row r="85" spans="1:35" x14ac:dyDescent="0.25">
      <c r="A85" s="1">
        <v>29</v>
      </c>
      <c r="B85" s="1">
        <v>10</v>
      </c>
      <c r="C85" s="1">
        <v>2019</v>
      </c>
      <c r="G85" s="1" t="s">
        <v>38</v>
      </c>
      <c r="H85" s="2">
        <v>4.24</v>
      </c>
      <c r="I85" s="1">
        <v>15</v>
      </c>
      <c r="U85" s="1">
        <v>21</v>
      </c>
      <c r="X85" s="1">
        <v>18</v>
      </c>
      <c r="AA85" s="1">
        <v>4</v>
      </c>
      <c r="AB85" s="1">
        <v>6</v>
      </c>
      <c r="AC85" s="1">
        <v>637</v>
      </c>
      <c r="AF85" s="3">
        <v>3.5377358490566038</v>
      </c>
      <c r="AG85" s="3">
        <v>0.77701731581420708</v>
      </c>
      <c r="AH85" s="1">
        <v>6252</v>
      </c>
      <c r="AI85" s="1" t="b">
        <v>1</v>
      </c>
    </row>
    <row r="86" spans="1:35" x14ac:dyDescent="0.25">
      <c r="A86" s="1">
        <v>29</v>
      </c>
      <c r="B86" s="1">
        <v>10</v>
      </c>
      <c r="C86" s="1">
        <v>2019</v>
      </c>
      <c r="G86" s="1" t="s">
        <v>38</v>
      </c>
      <c r="H86" s="2">
        <v>6.96</v>
      </c>
      <c r="I86" s="1">
        <v>21</v>
      </c>
      <c r="U86" s="1">
        <v>33</v>
      </c>
      <c r="X86" s="1">
        <v>28</v>
      </c>
      <c r="AA86" s="1">
        <v>4</v>
      </c>
      <c r="AB86" s="1">
        <v>6</v>
      </c>
      <c r="AC86" s="1">
        <v>1232</v>
      </c>
      <c r="AF86" s="3">
        <v>3.0172413793103448</v>
      </c>
      <c r="AG86" s="3">
        <v>1.288891657282432</v>
      </c>
      <c r="AH86" s="1">
        <v>6252</v>
      </c>
      <c r="AI86" s="1" t="b">
        <v>1</v>
      </c>
    </row>
    <row r="87" spans="1:35" x14ac:dyDescent="0.25">
      <c r="A87" s="1">
        <v>29</v>
      </c>
      <c r="B87" s="1">
        <v>10</v>
      </c>
      <c r="C87" s="1">
        <v>2019</v>
      </c>
      <c r="G87" s="1" t="s">
        <v>38</v>
      </c>
      <c r="H87" s="2">
        <v>7.38</v>
      </c>
      <c r="I87" s="1">
        <v>19</v>
      </c>
      <c r="U87" s="1">
        <v>38</v>
      </c>
      <c r="X87" s="1">
        <v>31</v>
      </c>
      <c r="AA87" s="1">
        <v>5</v>
      </c>
      <c r="AB87" s="1">
        <v>3</v>
      </c>
      <c r="AC87" s="1">
        <v>1257</v>
      </c>
      <c r="AF87" s="3">
        <v>2.5745257452574526</v>
      </c>
      <c r="AG87" s="3">
        <v>1.5737734492042197</v>
      </c>
      <c r="AH87" s="1">
        <v>6252</v>
      </c>
      <c r="AI87" s="1" t="b">
        <v>1</v>
      </c>
    </row>
    <row r="88" spans="1:35" x14ac:dyDescent="0.25">
      <c r="A88" s="1">
        <v>29</v>
      </c>
      <c r="B88" s="1">
        <v>10</v>
      </c>
      <c r="C88" s="1">
        <v>2019</v>
      </c>
      <c r="G88" s="1" t="s">
        <v>38</v>
      </c>
      <c r="H88" s="2">
        <v>6.03</v>
      </c>
      <c r="I88" s="1">
        <v>19</v>
      </c>
      <c r="U88" s="1">
        <v>27</v>
      </c>
      <c r="X88" s="1">
        <v>24</v>
      </c>
      <c r="AA88" s="1">
        <v>3</v>
      </c>
      <c r="AB88" s="1">
        <v>3</v>
      </c>
      <c r="AC88" s="1">
        <v>1071</v>
      </c>
      <c r="AF88" s="3">
        <v>3.1509121061359866</v>
      </c>
      <c r="AG88" s="3">
        <v>1.1163126076208514</v>
      </c>
      <c r="AH88" s="1">
        <v>6252</v>
      </c>
      <c r="AI88" s="1" t="b">
        <v>1</v>
      </c>
    </row>
    <row r="89" spans="1:35" x14ac:dyDescent="0.25">
      <c r="A89" s="1">
        <v>29</v>
      </c>
      <c r="B89" s="1">
        <v>10</v>
      </c>
      <c r="C89" s="1">
        <v>2019</v>
      </c>
      <c r="G89" s="1" t="s">
        <v>38</v>
      </c>
      <c r="H89" s="2">
        <v>7.37</v>
      </c>
      <c r="I89" s="1">
        <v>27</v>
      </c>
      <c r="U89" s="1">
        <v>37</v>
      </c>
      <c r="X89" s="1">
        <v>32</v>
      </c>
      <c r="AA89" s="1">
        <v>4</v>
      </c>
      <c r="AB89" s="1">
        <v>1</v>
      </c>
      <c r="AC89" s="1">
        <v>1100</v>
      </c>
      <c r="AF89" s="3">
        <v>3.6635006784260513</v>
      </c>
      <c r="AG89" s="3">
        <v>1.104920331894806</v>
      </c>
      <c r="AH89" s="1">
        <v>6252</v>
      </c>
      <c r="AI89" s="1" t="b">
        <v>1</v>
      </c>
    </row>
    <row r="90" spans="1:35" x14ac:dyDescent="0.25">
      <c r="A90" s="1">
        <v>29</v>
      </c>
      <c r="B90" s="1">
        <v>10</v>
      </c>
      <c r="C90" s="1">
        <v>2019</v>
      </c>
      <c r="G90" s="1" t="s">
        <v>38</v>
      </c>
      <c r="H90" s="2">
        <v>5.46</v>
      </c>
      <c r="I90" s="1">
        <v>19</v>
      </c>
      <c r="U90" s="1">
        <v>25</v>
      </c>
      <c r="X90" s="1">
        <v>23</v>
      </c>
      <c r="AA90" s="1">
        <v>3</v>
      </c>
      <c r="AB90" s="1">
        <v>3</v>
      </c>
      <c r="AC90" s="1">
        <v>792</v>
      </c>
      <c r="AF90" s="3">
        <v>3.4798534798534799</v>
      </c>
      <c r="AG90" s="3">
        <v>0.94291792463398061</v>
      </c>
      <c r="AH90" s="1">
        <v>6252</v>
      </c>
      <c r="AI90" s="1" t="b">
        <v>1</v>
      </c>
    </row>
    <row r="91" spans="1:35" x14ac:dyDescent="0.25">
      <c r="A91" s="1">
        <v>29</v>
      </c>
      <c r="B91" s="1">
        <v>10</v>
      </c>
      <c r="C91" s="1">
        <v>2019</v>
      </c>
      <c r="G91" s="1" t="s">
        <v>38</v>
      </c>
      <c r="H91" s="2">
        <v>6.12</v>
      </c>
      <c r="I91" s="1">
        <v>13</v>
      </c>
      <c r="U91" s="1">
        <v>29</v>
      </c>
      <c r="X91" s="1">
        <v>22</v>
      </c>
      <c r="AA91" s="1">
        <v>4</v>
      </c>
      <c r="AB91" s="1">
        <v>5</v>
      </c>
      <c r="AC91" s="1">
        <v>1051</v>
      </c>
      <c r="AF91" s="3">
        <v>2.1241830065359477</v>
      </c>
      <c r="AG91" s="3">
        <v>1.6731468701239587</v>
      </c>
      <c r="AH91" s="1">
        <v>6252</v>
      </c>
      <c r="AI91" s="1" t="b">
        <v>1</v>
      </c>
    </row>
    <row r="92" spans="1:35" x14ac:dyDescent="0.25">
      <c r="A92" s="1">
        <v>29</v>
      </c>
      <c r="B92" s="1">
        <v>10</v>
      </c>
      <c r="C92" s="1">
        <v>2019</v>
      </c>
      <c r="G92" s="1" t="s">
        <v>38</v>
      </c>
      <c r="H92" s="2">
        <v>4.4400000000000004</v>
      </c>
      <c r="I92" s="1">
        <v>9</v>
      </c>
      <c r="U92" s="1">
        <v>19</v>
      </c>
      <c r="X92" s="1">
        <v>18</v>
      </c>
      <c r="AA92" s="1">
        <v>3</v>
      </c>
      <c r="AB92" s="1">
        <v>3</v>
      </c>
      <c r="AC92" s="1">
        <v>715</v>
      </c>
      <c r="AF92" s="3">
        <v>2.0270270270270268</v>
      </c>
      <c r="AG92" s="3">
        <v>1.4005819973348657</v>
      </c>
      <c r="AH92" s="1">
        <v>6252</v>
      </c>
      <c r="AI92" s="1" t="b">
        <v>1</v>
      </c>
    </row>
    <row r="93" spans="1:35" x14ac:dyDescent="0.25">
      <c r="A93" s="1">
        <v>29</v>
      </c>
      <c r="B93" s="1">
        <v>10</v>
      </c>
      <c r="C93" s="1">
        <v>2019</v>
      </c>
      <c r="G93" s="1" t="s">
        <v>38</v>
      </c>
      <c r="H93" s="2">
        <v>9.77</v>
      </c>
      <c r="I93" s="1">
        <v>22</v>
      </c>
      <c r="V93" s="1">
        <v>41</v>
      </c>
      <c r="X93" s="1">
        <v>28</v>
      </c>
      <c r="AA93" s="1">
        <v>4</v>
      </c>
      <c r="AB93" s="1">
        <v>5</v>
      </c>
      <c r="AC93" s="1">
        <v>1136</v>
      </c>
      <c r="AF93" s="3">
        <v>2.2517911975435005</v>
      </c>
      <c r="AG93" s="3">
        <v>2.1897678615868084</v>
      </c>
      <c r="AH93" s="1">
        <v>6252</v>
      </c>
      <c r="AI93" s="1" t="b">
        <v>1</v>
      </c>
    </row>
    <row r="94" spans="1:35" x14ac:dyDescent="0.25">
      <c r="A94" s="1">
        <v>29</v>
      </c>
      <c r="B94" s="1">
        <v>10</v>
      </c>
      <c r="C94" s="1">
        <v>2019</v>
      </c>
      <c r="G94" s="1" t="s">
        <v>38</v>
      </c>
      <c r="H94" s="2">
        <v>6.94</v>
      </c>
      <c r="I94" s="1">
        <v>22</v>
      </c>
      <c r="U94" s="1">
        <v>33</v>
      </c>
      <c r="X94" s="1">
        <v>27</v>
      </c>
      <c r="AA94" s="1">
        <v>3</v>
      </c>
      <c r="AB94" s="1">
        <v>3</v>
      </c>
      <c r="AC94" s="1">
        <v>926</v>
      </c>
      <c r="AF94" s="3">
        <v>3.1700288184438037</v>
      </c>
      <c r="AG94" s="3">
        <v>1.2243016053347551</v>
      </c>
      <c r="AH94" s="1">
        <v>6252</v>
      </c>
      <c r="AI94" s="1" t="b">
        <v>1</v>
      </c>
    </row>
    <row r="95" spans="1:35" x14ac:dyDescent="0.25">
      <c r="A95" s="1">
        <v>29</v>
      </c>
      <c r="B95" s="1">
        <v>10</v>
      </c>
      <c r="C95" s="1">
        <v>2019</v>
      </c>
      <c r="G95" s="1" t="s">
        <v>38</v>
      </c>
      <c r="H95" s="2">
        <v>5.7</v>
      </c>
      <c r="I95" s="1">
        <v>15</v>
      </c>
      <c r="U95" s="1">
        <v>23</v>
      </c>
      <c r="X95" s="1">
        <v>21</v>
      </c>
      <c r="AA95" s="1">
        <v>3</v>
      </c>
      <c r="AB95" s="1">
        <v>6</v>
      </c>
      <c r="AC95" s="1">
        <v>819</v>
      </c>
      <c r="AF95" s="3">
        <v>2.6315789473684208</v>
      </c>
      <c r="AG95" s="3">
        <v>1.2849788976198862</v>
      </c>
      <c r="AH95" s="1">
        <v>6252</v>
      </c>
      <c r="AI95" s="1" t="b">
        <v>1</v>
      </c>
    </row>
    <row r="96" spans="1:35" x14ac:dyDescent="0.25">
      <c r="A96" s="1">
        <v>29</v>
      </c>
      <c r="B96" s="1">
        <v>10</v>
      </c>
      <c r="C96" s="1">
        <v>2019</v>
      </c>
      <c r="G96" s="1" t="s">
        <v>38</v>
      </c>
      <c r="H96" s="2">
        <v>6.92</v>
      </c>
      <c r="I96" s="1">
        <v>26</v>
      </c>
      <c r="U96" s="1">
        <v>31</v>
      </c>
      <c r="X96" s="1">
        <v>27</v>
      </c>
      <c r="AA96" s="1">
        <v>1</v>
      </c>
      <c r="AB96" s="1">
        <v>1</v>
      </c>
      <c r="AC96" s="1">
        <v>1080</v>
      </c>
      <c r="AF96" s="3">
        <v>3.7572254335260116</v>
      </c>
      <c r="AG96" s="3">
        <v>1.0308773856304065</v>
      </c>
      <c r="AH96" s="1">
        <v>6252</v>
      </c>
      <c r="AI96" s="1" t="b">
        <v>1</v>
      </c>
    </row>
    <row r="97" spans="1:35" x14ac:dyDescent="0.25">
      <c r="A97" s="1">
        <v>29</v>
      </c>
      <c r="B97" s="1">
        <v>10</v>
      </c>
      <c r="C97" s="1">
        <v>2019</v>
      </c>
      <c r="G97" s="1" t="s">
        <v>38</v>
      </c>
      <c r="H97" s="2">
        <v>5.76</v>
      </c>
      <c r="I97" s="1">
        <v>14</v>
      </c>
      <c r="U97" s="1">
        <v>31</v>
      </c>
      <c r="X97" s="1">
        <v>26</v>
      </c>
      <c r="AA97" s="1">
        <v>4</v>
      </c>
      <c r="AB97" s="1">
        <v>2</v>
      </c>
      <c r="AC97" s="1">
        <v>788</v>
      </c>
      <c r="AF97" s="3">
        <v>2.4305555555555558</v>
      </c>
      <c r="AG97" s="3">
        <v>1.4014905900316514</v>
      </c>
      <c r="AH97" s="1">
        <v>6252</v>
      </c>
      <c r="AI97" s="1" t="b">
        <v>1</v>
      </c>
    </row>
    <row r="98" spans="1:35" x14ac:dyDescent="0.25">
      <c r="A98" s="1">
        <v>29</v>
      </c>
      <c r="B98" s="1">
        <v>10</v>
      </c>
      <c r="C98" s="1">
        <v>2019</v>
      </c>
      <c r="G98" s="1" t="s">
        <v>38</v>
      </c>
      <c r="H98" s="2">
        <v>5.69</v>
      </c>
      <c r="I98" s="1">
        <v>14</v>
      </c>
      <c r="U98" s="1">
        <v>22</v>
      </c>
      <c r="X98" s="1">
        <v>19</v>
      </c>
      <c r="AA98" s="1">
        <v>3</v>
      </c>
      <c r="AB98" s="1">
        <v>5</v>
      </c>
      <c r="AC98" s="1">
        <v>1014</v>
      </c>
      <c r="AF98" s="3">
        <v>2.4604569420035149</v>
      </c>
      <c r="AG98" s="3">
        <v>1.3726594907715399</v>
      </c>
      <c r="AH98" s="1">
        <v>6252</v>
      </c>
      <c r="AI98" s="1" t="b">
        <v>1</v>
      </c>
    </row>
    <row r="99" spans="1:35" x14ac:dyDescent="0.25">
      <c r="A99" s="1">
        <v>31</v>
      </c>
      <c r="B99" s="1">
        <v>10</v>
      </c>
      <c r="C99" s="1">
        <v>2019</v>
      </c>
      <c r="G99" s="1" t="s">
        <v>38</v>
      </c>
      <c r="H99" s="2">
        <v>4.26</v>
      </c>
      <c r="I99" s="1">
        <v>11</v>
      </c>
      <c r="U99" s="1">
        <v>16</v>
      </c>
      <c r="X99" s="1">
        <v>12</v>
      </c>
      <c r="AA99" s="1">
        <v>2</v>
      </c>
      <c r="AB99" s="1">
        <v>3</v>
      </c>
      <c r="AC99" s="1">
        <v>565</v>
      </c>
      <c r="AF99" s="3">
        <v>2.5821596244131455</v>
      </c>
      <c r="AG99" s="3">
        <v>1.0680796321320578</v>
      </c>
      <c r="AH99" s="1">
        <v>6252</v>
      </c>
      <c r="AI99" s="1" t="b">
        <v>1</v>
      </c>
    </row>
    <row r="100" spans="1:35" x14ac:dyDescent="0.25">
      <c r="A100" s="1">
        <v>31</v>
      </c>
      <c r="B100" s="1">
        <v>10</v>
      </c>
      <c r="C100" s="1">
        <v>2019</v>
      </c>
      <c r="G100" s="1" t="s">
        <v>38</v>
      </c>
      <c r="H100" s="2">
        <v>5.89</v>
      </c>
      <c r="I100" s="1">
        <v>18</v>
      </c>
      <c r="U100" s="1">
        <v>25</v>
      </c>
      <c r="X100" s="1">
        <v>24</v>
      </c>
      <c r="AA100" s="1">
        <v>3</v>
      </c>
      <c r="AB100" s="1">
        <v>1</v>
      </c>
      <c r="AC100" s="1">
        <v>929</v>
      </c>
      <c r="AF100" s="3">
        <v>3.0560271646859083</v>
      </c>
      <c r="AG100" s="3">
        <v>1.1322009006783142</v>
      </c>
      <c r="AH100" s="1">
        <v>6252</v>
      </c>
      <c r="AI100" s="1" t="b">
        <v>1</v>
      </c>
    </row>
    <row r="101" spans="1:35" x14ac:dyDescent="0.25">
      <c r="A101" s="1">
        <v>31</v>
      </c>
      <c r="B101" s="1">
        <v>10</v>
      </c>
      <c r="C101" s="1">
        <v>2019</v>
      </c>
      <c r="G101" s="1" t="s">
        <v>38</v>
      </c>
      <c r="H101" s="2">
        <v>4.3099999999999996</v>
      </c>
      <c r="I101" s="1">
        <v>13</v>
      </c>
      <c r="U101" s="1">
        <v>15</v>
      </c>
      <c r="X101" s="1">
        <v>14</v>
      </c>
      <c r="AA101" s="1">
        <v>1</v>
      </c>
      <c r="AB101" s="1">
        <v>2</v>
      </c>
      <c r="AC101" s="1">
        <v>520</v>
      </c>
      <c r="AF101" s="3">
        <v>3.0162412993039447</v>
      </c>
      <c r="AG101" s="3">
        <v>0.92186644410771712</v>
      </c>
      <c r="AH101" s="1">
        <v>6252</v>
      </c>
      <c r="AI101" s="1" t="b">
        <v>1</v>
      </c>
    </row>
    <row r="102" spans="1:35" x14ac:dyDescent="0.25">
      <c r="A102" s="1">
        <v>31</v>
      </c>
      <c r="B102" s="1">
        <v>10</v>
      </c>
      <c r="C102" s="1">
        <v>2019</v>
      </c>
      <c r="G102" s="1" t="s">
        <v>38</v>
      </c>
      <c r="H102" s="2">
        <v>7.41</v>
      </c>
      <c r="I102" s="1">
        <v>17</v>
      </c>
      <c r="U102" s="1">
        <v>28</v>
      </c>
      <c r="X102" s="1">
        <v>23</v>
      </c>
      <c r="AA102" s="1">
        <v>2</v>
      </c>
      <c r="AB102" s="1">
        <v>2</v>
      </c>
      <c r="AC102" s="1">
        <v>1059</v>
      </c>
      <c r="AF102" s="3">
        <v>2.2941970310391362</v>
      </c>
      <c r="AG102" s="3">
        <v>1.771095714451361</v>
      </c>
      <c r="AH102" s="1">
        <v>6252</v>
      </c>
      <c r="AI102" s="1" t="b">
        <v>1</v>
      </c>
    </row>
    <row r="103" spans="1:35" x14ac:dyDescent="0.25">
      <c r="A103" s="1">
        <v>31</v>
      </c>
      <c r="B103" s="1">
        <v>10</v>
      </c>
      <c r="C103" s="1">
        <v>2019</v>
      </c>
      <c r="G103" s="1" t="s">
        <v>38</v>
      </c>
      <c r="H103" s="2">
        <v>5.59</v>
      </c>
      <c r="I103" s="1">
        <v>21</v>
      </c>
      <c r="U103" s="1">
        <v>28</v>
      </c>
      <c r="X103" s="1">
        <v>26</v>
      </c>
      <c r="AA103" s="1">
        <v>3</v>
      </c>
      <c r="AB103" s="1">
        <v>2</v>
      </c>
      <c r="AC103" s="1">
        <v>844</v>
      </c>
      <c r="AF103" s="3">
        <v>3.7567084078711988</v>
      </c>
      <c r="AG103" s="3">
        <v>0.88793418960675707</v>
      </c>
      <c r="AH103" s="1">
        <v>6252</v>
      </c>
      <c r="AI103" s="1" t="b">
        <v>1</v>
      </c>
    </row>
    <row r="104" spans="1:35" x14ac:dyDescent="0.25">
      <c r="A104" s="1">
        <v>31</v>
      </c>
      <c r="B104" s="1">
        <v>10</v>
      </c>
      <c r="C104" s="1">
        <v>2019</v>
      </c>
      <c r="G104" s="1" t="s">
        <v>38</v>
      </c>
      <c r="H104" s="2">
        <v>5.36</v>
      </c>
      <c r="I104" s="1">
        <v>18</v>
      </c>
      <c r="U104" s="1">
        <v>24</v>
      </c>
      <c r="X104" s="1">
        <v>23</v>
      </c>
      <c r="AA104" s="1">
        <v>2</v>
      </c>
      <c r="AB104" s="1">
        <v>1</v>
      </c>
      <c r="AC104" s="1">
        <v>840</v>
      </c>
      <c r="AF104" s="3">
        <v>3.3582089552238803</v>
      </c>
      <c r="AG104" s="3">
        <v>0.96451200460898512</v>
      </c>
      <c r="AH104" s="1">
        <v>6252</v>
      </c>
      <c r="AI104" s="1" t="b">
        <v>1</v>
      </c>
    </row>
    <row r="105" spans="1:35" x14ac:dyDescent="0.25">
      <c r="A105" s="1">
        <v>31</v>
      </c>
      <c r="B105" s="1">
        <v>10</v>
      </c>
      <c r="C105" s="1">
        <v>2019</v>
      </c>
      <c r="G105" s="1" t="s">
        <v>38</v>
      </c>
      <c r="H105" s="2">
        <v>4.5599999999999996</v>
      </c>
      <c r="I105" s="1">
        <v>11</v>
      </c>
      <c r="U105" s="1">
        <v>23</v>
      </c>
      <c r="X105" s="1">
        <v>21</v>
      </c>
      <c r="AA105" s="1">
        <v>4</v>
      </c>
      <c r="AB105" s="1">
        <v>2</v>
      </c>
      <c r="AC105" s="1">
        <v>716</v>
      </c>
      <c r="AF105" s="3">
        <v>2.4122807017543861</v>
      </c>
      <c r="AG105" s="3">
        <v>1.1990783106272433</v>
      </c>
      <c r="AH105" s="1">
        <v>6252</v>
      </c>
      <c r="AI105" s="1" t="b">
        <v>1</v>
      </c>
    </row>
    <row r="106" spans="1:35" x14ac:dyDescent="0.25">
      <c r="A106" s="1">
        <v>31</v>
      </c>
      <c r="B106" s="1">
        <v>10</v>
      </c>
      <c r="C106" s="1">
        <v>2019</v>
      </c>
      <c r="G106" s="1" t="s">
        <v>38</v>
      </c>
      <c r="H106" s="2">
        <v>5.86</v>
      </c>
      <c r="I106" s="1">
        <v>13</v>
      </c>
      <c r="U106" s="1">
        <v>29</v>
      </c>
      <c r="X106" s="1">
        <v>25</v>
      </c>
      <c r="AA106" s="1">
        <v>4</v>
      </c>
      <c r="AB106" s="1">
        <v>4</v>
      </c>
      <c r="AC106" s="1">
        <v>967</v>
      </c>
      <c r="AF106" s="3">
        <v>2.2184300341296925</v>
      </c>
      <c r="AG106" s="3">
        <v>1.5541130058514021</v>
      </c>
      <c r="AH106" s="1">
        <v>6252</v>
      </c>
      <c r="AI106" s="1" t="b">
        <v>1</v>
      </c>
    </row>
    <row r="107" spans="1:35" x14ac:dyDescent="0.25">
      <c r="A107" s="1">
        <v>31</v>
      </c>
      <c r="B107" s="1">
        <v>10</v>
      </c>
      <c r="C107" s="1">
        <v>2019</v>
      </c>
      <c r="G107" s="1" t="s">
        <v>38</v>
      </c>
      <c r="H107" s="2">
        <v>6.56</v>
      </c>
      <c r="I107" s="1">
        <v>14</v>
      </c>
      <c r="U107" s="1">
        <v>22</v>
      </c>
      <c r="X107" s="1">
        <v>19</v>
      </c>
      <c r="AA107" s="1">
        <v>3</v>
      </c>
      <c r="AB107" s="1">
        <v>3</v>
      </c>
      <c r="AC107" s="1">
        <v>833</v>
      </c>
      <c r="AF107" s="3">
        <v>2.1341463414634148</v>
      </c>
      <c r="AG107" s="3">
        <v>1.7482699438142648</v>
      </c>
      <c r="AH107" s="1">
        <v>6252</v>
      </c>
      <c r="AI107" s="1" t="b">
        <v>1</v>
      </c>
    </row>
    <row r="108" spans="1:35" x14ac:dyDescent="0.25">
      <c r="A108" s="1">
        <v>31</v>
      </c>
      <c r="B108" s="1">
        <v>10</v>
      </c>
      <c r="C108" s="1">
        <v>2019</v>
      </c>
      <c r="G108" s="1" t="s">
        <v>38</v>
      </c>
      <c r="H108" s="2">
        <v>9.0500000000000007</v>
      </c>
      <c r="I108" s="1">
        <v>22</v>
      </c>
      <c r="V108" s="1">
        <v>38</v>
      </c>
      <c r="X108" s="1">
        <v>27</v>
      </c>
      <c r="AA108" s="1">
        <v>2</v>
      </c>
      <c r="AB108" s="1">
        <v>1</v>
      </c>
      <c r="AC108" s="1">
        <v>915</v>
      </c>
      <c r="AF108" s="3">
        <v>2.430939226519337</v>
      </c>
      <c r="AG108" s="3">
        <v>1.9225600066873065</v>
      </c>
      <c r="AH108" s="1">
        <v>6252</v>
      </c>
      <c r="AI108" s="1" t="b">
        <v>1</v>
      </c>
    </row>
    <row r="109" spans="1:35" x14ac:dyDescent="0.25">
      <c r="A109" s="1">
        <v>31</v>
      </c>
      <c r="B109" s="1">
        <v>10</v>
      </c>
      <c r="C109" s="1">
        <v>2019</v>
      </c>
      <c r="G109" s="1" t="s">
        <v>38</v>
      </c>
      <c r="H109" s="2">
        <v>7.34</v>
      </c>
      <c r="I109" s="1">
        <v>20</v>
      </c>
      <c r="U109" s="1">
        <v>37</v>
      </c>
      <c r="X109" s="1">
        <v>30</v>
      </c>
      <c r="AA109" s="1">
        <v>4</v>
      </c>
      <c r="AB109" s="1">
        <v>1</v>
      </c>
      <c r="AC109" s="1">
        <v>1014</v>
      </c>
      <c r="AF109" s="3">
        <v>2.7247956403269757</v>
      </c>
      <c r="AG109" s="3">
        <v>1.4813350750885441</v>
      </c>
      <c r="AH109" s="1">
        <v>6252</v>
      </c>
      <c r="AI109" s="1" t="b">
        <v>1</v>
      </c>
    </row>
    <row r="110" spans="1:35" x14ac:dyDescent="0.25">
      <c r="A110" s="1">
        <v>1</v>
      </c>
      <c r="B110" s="1">
        <v>11</v>
      </c>
      <c r="C110" s="1">
        <v>2019</v>
      </c>
      <c r="G110" s="1" t="s">
        <v>38</v>
      </c>
      <c r="H110" s="2">
        <v>4.13</v>
      </c>
      <c r="I110" s="1">
        <v>12</v>
      </c>
      <c r="U110" s="1">
        <v>20</v>
      </c>
      <c r="X110" s="1">
        <v>16</v>
      </c>
      <c r="AA110" s="1">
        <v>3</v>
      </c>
      <c r="AB110" s="1">
        <v>2</v>
      </c>
      <c r="AC110" s="1">
        <v>627</v>
      </c>
      <c r="AF110" s="3">
        <v>2.9055690072639226</v>
      </c>
      <c r="AG110" s="3">
        <v>0.92882488350246728</v>
      </c>
      <c r="AH110" s="1">
        <v>6252</v>
      </c>
      <c r="AI110" s="1" t="b">
        <v>1</v>
      </c>
    </row>
    <row r="111" spans="1:35" x14ac:dyDescent="0.25">
      <c r="A111" s="1">
        <v>1</v>
      </c>
      <c r="B111" s="1">
        <v>11</v>
      </c>
      <c r="C111" s="1">
        <v>2019</v>
      </c>
      <c r="G111" s="1" t="s">
        <v>38</v>
      </c>
      <c r="H111" s="2">
        <v>3.5</v>
      </c>
      <c r="I111" s="1">
        <v>11</v>
      </c>
      <c r="U111" s="1">
        <v>13</v>
      </c>
      <c r="X111" s="1">
        <v>12</v>
      </c>
      <c r="AA111" s="1">
        <v>2</v>
      </c>
      <c r="AB111" s="1">
        <v>2</v>
      </c>
      <c r="AC111" s="1">
        <v>491</v>
      </c>
      <c r="AF111" s="3">
        <v>3.1428571428571428</v>
      </c>
      <c r="AG111" s="3">
        <v>0.76475617124758355</v>
      </c>
      <c r="AH111" s="1">
        <v>6252</v>
      </c>
      <c r="AI111" s="1" t="b">
        <v>1</v>
      </c>
    </row>
    <row r="112" spans="1:35" x14ac:dyDescent="0.25">
      <c r="A112" s="1">
        <v>1</v>
      </c>
      <c r="B112" s="1">
        <v>11</v>
      </c>
      <c r="C112" s="1">
        <v>2019</v>
      </c>
      <c r="G112" s="1" t="s">
        <v>38</v>
      </c>
      <c r="H112" s="2">
        <v>6.52</v>
      </c>
      <c r="I112" s="1">
        <v>22</v>
      </c>
      <c r="U112" s="1">
        <v>33</v>
      </c>
      <c r="X112" s="1">
        <v>28</v>
      </c>
      <c r="AA112" s="1">
        <v>3</v>
      </c>
      <c r="AB112" s="1">
        <v>3</v>
      </c>
      <c r="AC112" s="1">
        <v>1029</v>
      </c>
      <c r="AF112" s="3">
        <v>3.3742331288343559</v>
      </c>
      <c r="AG112" s="3">
        <v>1.1010276662719596</v>
      </c>
      <c r="AH112" s="1">
        <v>6252</v>
      </c>
      <c r="AI112" s="1" t="b">
        <v>1</v>
      </c>
    </row>
    <row r="113" spans="1:35" x14ac:dyDescent="0.25">
      <c r="A113" s="1">
        <v>1</v>
      </c>
      <c r="B113" s="1">
        <v>11</v>
      </c>
      <c r="C113" s="1">
        <v>2019</v>
      </c>
      <c r="G113" s="1" t="s">
        <v>38</v>
      </c>
      <c r="H113" s="2">
        <v>4.59</v>
      </c>
      <c r="I113" s="1">
        <v>12</v>
      </c>
      <c r="U113" s="1">
        <v>25</v>
      </c>
      <c r="X113" s="1">
        <v>19</v>
      </c>
      <c r="AA113" s="1">
        <v>4</v>
      </c>
      <c r="AB113" s="1">
        <v>2</v>
      </c>
      <c r="AC113" s="1">
        <v>652</v>
      </c>
      <c r="AF113" s="3">
        <v>2.6143790849673203</v>
      </c>
      <c r="AG113" s="3">
        <v>1.1114765884031261</v>
      </c>
      <c r="AH113" s="1">
        <v>6252</v>
      </c>
      <c r="AI113" s="1" t="b">
        <v>1</v>
      </c>
    </row>
    <row r="114" spans="1:35" x14ac:dyDescent="0.25">
      <c r="A114" s="1">
        <v>1</v>
      </c>
      <c r="B114" s="1">
        <v>11</v>
      </c>
      <c r="C114" s="1">
        <v>2019</v>
      </c>
      <c r="G114" s="1" t="s">
        <v>38</v>
      </c>
      <c r="H114" s="2">
        <v>7.44</v>
      </c>
      <c r="I114" s="1">
        <v>25</v>
      </c>
      <c r="U114" s="1">
        <v>37</v>
      </c>
      <c r="X114" s="1">
        <v>31</v>
      </c>
      <c r="AA114" s="1">
        <v>3</v>
      </c>
      <c r="AB114" s="1">
        <v>3</v>
      </c>
      <c r="AC114" s="1">
        <v>1125</v>
      </c>
      <c r="AF114" s="3">
        <v>3.3602150537634405</v>
      </c>
      <c r="AG114" s="3">
        <v>1.2126458414061072</v>
      </c>
      <c r="AH114" s="1">
        <v>6252</v>
      </c>
      <c r="AI114" s="1" t="b">
        <v>1</v>
      </c>
    </row>
    <row r="115" spans="1:35" x14ac:dyDescent="0.25">
      <c r="A115" s="1">
        <v>1</v>
      </c>
      <c r="B115" s="1">
        <v>11</v>
      </c>
      <c r="C115" s="1">
        <v>2019</v>
      </c>
      <c r="G115" s="1" t="s">
        <v>38</v>
      </c>
      <c r="H115" s="2">
        <v>6.53</v>
      </c>
      <c r="I115" s="1">
        <v>15</v>
      </c>
      <c r="U115" s="1">
        <v>30</v>
      </c>
      <c r="X115" s="1">
        <v>25</v>
      </c>
      <c r="AA115" s="1">
        <v>4</v>
      </c>
      <c r="AB115" s="1">
        <v>5</v>
      </c>
      <c r="AC115" s="1">
        <v>878</v>
      </c>
      <c r="AF115" s="3">
        <v>2.2970903522205206</v>
      </c>
      <c r="AG115" s="3">
        <v>1.6190533109737093</v>
      </c>
      <c r="AH115" s="1">
        <v>6252</v>
      </c>
      <c r="AI115" s="1" t="b">
        <v>1</v>
      </c>
    </row>
    <row r="116" spans="1:35" x14ac:dyDescent="0.25">
      <c r="A116" s="1">
        <v>1</v>
      </c>
      <c r="B116" s="1">
        <v>11</v>
      </c>
      <c r="C116" s="1">
        <v>2019</v>
      </c>
      <c r="G116" s="1" t="s">
        <v>38</v>
      </c>
      <c r="H116" s="2">
        <v>7.51</v>
      </c>
      <c r="I116" s="1">
        <v>17</v>
      </c>
      <c r="V116" s="1">
        <v>31</v>
      </c>
      <c r="X116" s="1">
        <v>25</v>
      </c>
      <c r="AA116" s="1">
        <v>2</v>
      </c>
      <c r="AB116" s="1">
        <v>3</v>
      </c>
      <c r="AC116" s="1">
        <v>826</v>
      </c>
      <c r="AF116" s="3">
        <v>2.2636484687083889</v>
      </c>
      <c r="AG116" s="3">
        <v>1.811919802912562</v>
      </c>
      <c r="AH116" s="1">
        <v>6252</v>
      </c>
      <c r="AI116" s="1" t="b">
        <v>1</v>
      </c>
    </row>
    <row r="117" spans="1:35" x14ac:dyDescent="0.25">
      <c r="A117" s="1">
        <v>1</v>
      </c>
      <c r="B117" s="1">
        <v>11</v>
      </c>
      <c r="C117" s="1">
        <v>2019</v>
      </c>
      <c r="G117" s="1" t="s">
        <v>38</v>
      </c>
      <c r="H117" s="2">
        <v>9.07</v>
      </c>
      <c r="I117" s="1">
        <v>23</v>
      </c>
      <c r="U117" s="1">
        <v>38</v>
      </c>
      <c r="X117" s="1">
        <v>31</v>
      </c>
      <c r="AA117" s="1">
        <v>4</v>
      </c>
      <c r="AB117" s="1">
        <v>4</v>
      </c>
      <c r="AC117" s="1">
        <v>1330</v>
      </c>
      <c r="AF117" s="3">
        <v>2.535832414553473</v>
      </c>
      <c r="AG117" s="3">
        <v>1.845884623079123</v>
      </c>
      <c r="AH117" s="1">
        <v>6252</v>
      </c>
      <c r="AI117" s="1" t="b">
        <v>1</v>
      </c>
    </row>
    <row r="118" spans="1:35" x14ac:dyDescent="0.25">
      <c r="A118" s="1">
        <v>1</v>
      </c>
      <c r="B118" s="1">
        <v>11</v>
      </c>
      <c r="C118" s="1">
        <v>2019</v>
      </c>
      <c r="G118" s="1" t="s">
        <v>38</v>
      </c>
      <c r="H118" s="2">
        <v>5.67</v>
      </c>
      <c r="I118" s="1">
        <v>14</v>
      </c>
      <c r="U118" s="1">
        <v>24</v>
      </c>
      <c r="X118" s="1">
        <v>22</v>
      </c>
      <c r="AA118" s="1">
        <v>3</v>
      </c>
      <c r="AB118" s="1">
        <v>5</v>
      </c>
      <c r="AC118" s="1">
        <v>845</v>
      </c>
      <c r="AF118" s="3">
        <v>2.4691358024691357</v>
      </c>
      <c r="AG118" s="3">
        <v>1.3644674016328262</v>
      </c>
      <c r="AH118" s="1">
        <v>6252</v>
      </c>
      <c r="AI118" s="1" t="b">
        <v>1</v>
      </c>
    </row>
    <row r="119" spans="1:35" x14ac:dyDescent="0.25">
      <c r="A119" s="1">
        <v>1</v>
      </c>
      <c r="B119" s="1">
        <v>11</v>
      </c>
      <c r="C119" s="1">
        <v>2019</v>
      </c>
      <c r="G119" s="1" t="s">
        <v>38</v>
      </c>
      <c r="H119" s="2">
        <v>4.55</v>
      </c>
      <c r="I119" s="1">
        <v>11</v>
      </c>
      <c r="U119" s="1">
        <v>18</v>
      </c>
      <c r="X119" s="1">
        <v>15</v>
      </c>
      <c r="AA119" s="1">
        <v>3</v>
      </c>
      <c r="AB119" s="1">
        <v>4</v>
      </c>
      <c r="AC119" s="1">
        <v>791</v>
      </c>
      <c r="AF119" s="3">
        <v>2.4175824175824179</v>
      </c>
      <c r="AG119" s="3">
        <v>1.1946114944038233</v>
      </c>
      <c r="AH119" s="1">
        <v>6252</v>
      </c>
      <c r="AI119" s="1" t="b">
        <v>1</v>
      </c>
    </row>
    <row r="120" spans="1:35" x14ac:dyDescent="0.25">
      <c r="A120" s="1">
        <v>1</v>
      </c>
      <c r="B120" s="1">
        <v>11</v>
      </c>
      <c r="C120" s="1">
        <v>2019</v>
      </c>
      <c r="G120" s="1" t="s">
        <v>38</v>
      </c>
      <c r="H120" s="2">
        <v>4.22</v>
      </c>
      <c r="I120" s="1">
        <v>15</v>
      </c>
      <c r="U120" s="1">
        <v>18</v>
      </c>
      <c r="X120" s="1">
        <v>16</v>
      </c>
      <c r="AA120" s="1">
        <v>3</v>
      </c>
      <c r="AB120" s="1">
        <v>3</v>
      </c>
      <c r="AC120" s="1">
        <v>579</v>
      </c>
      <c r="AF120" s="3">
        <v>3.5545023696682465</v>
      </c>
      <c r="AG120" s="3">
        <v>0.77079680814013452</v>
      </c>
      <c r="AH120" s="1">
        <v>6252</v>
      </c>
      <c r="AI120" s="1" t="b">
        <v>1</v>
      </c>
    </row>
    <row r="121" spans="1:35" x14ac:dyDescent="0.25">
      <c r="A121" s="1">
        <v>1</v>
      </c>
      <c r="B121" s="1">
        <v>11</v>
      </c>
      <c r="C121" s="1">
        <v>2019</v>
      </c>
      <c r="G121" s="1" t="s">
        <v>38</v>
      </c>
      <c r="H121" s="2">
        <v>7.48</v>
      </c>
      <c r="I121" s="1">
        <v>16</v>
      </c>
      <c r="U121" s="1">
        <v>28</v>
      </c>
      <c r="X121" s="1">
        <v>24</v>
      </c>
      <c r="AA121" s="1">
        <v>4</v>
      </c>
      <c r="AB121" s="1">
        <v>6</v>
      </c>
      <c r="AC121" s="1">
        <v>979</v>
      </c>
      <c r="AF121" s="3">
        <v>2.1390374331550799</v>
      </c>
      <c r="AG121" s="3">
        <v>1.9121093877080169</v>
      </c>
      <c r="AH121" s="1">
        <v>6252</v>
      </c>
      <c r="AI121" s="1" t="b">
        <v>1</v>
      </c>
    </row>
    <row r="122" spans="1:35" x14ac:dyDescent="0.25">
      <c r="A122" s="1">
        <v>1</v>
      </c>
      <c r="B122" s="1">
        <v>11</v>
      </c>
      <c r="C122" s="1">
        <v>2019</v>
      </c>
      <c r="G122" s="1" t="s">
        <v>38</v>
      </c>
      <c r="H122" s="2">
        <v>6.83</v>
      </c>
      <c r="I122" s="1">
        <v>18</v>
      </c>
      <c r="U122" s="1">
        <v>30</v>
      </c>
      <c r="X122" s="1">
        <v>24</v>
      </c>
      <c r="AA122" s="1">
        <v>3</v>
      </c>
      <c r="AB122" s="1">
        <v>4</v>
      </c>
      <c r="AC122" s="1">
        <v>861</v>
      </c>
      <c r="AF122" s="3">
        <v>2.6354319180087846</v>
      </c>
      <c r="AG122" s="3">
        <v>1.4562726432071251</v>
      </c>
      <c r="AH122" s="1">
        <v>6252</v>
      </c>
      <c r="AI122" s="1" t="b">
        <v>1</v>
      </c>
    </row>
    <row r="123" spans="1:35" x14ac:dyDescent="0.25">
      <c r="A123" s="1">
        <v>1</v>
      </c>
      <c r="B123" s="1">
        <v>11</v>
      </c>
      <c r="C123" s="1">
        <v>2019</v>
      </c>
      <c r="G123" s="1" t="s">
        <v>38</v>
      </c>
      <c r="H123" s="2">
        <v>9.4600000000000009</v>
      </c>
      <c r="I123" s="1">
        <v>31</v>
      </c>
      <c r="U123" s="1">
        <v>46</v>
      </c>
      <c r="X123" s="1">
        <v>37</v>
      </c>
      <c r="AA123" s="1">
        <v>3</v>
      </c>
      <c r="AB123" s="1">
        <v>1</v>
      </c>
      <c r="AC123" s="1">
        <v>1275</v>
      </c>
      <c r="AF123" s="3">
        <v>3.2769556025369977</v>
      </c>
      <c r="AG123" s="3">
        <v>1.4711374053250503</v>
      </c>
      <c r="AH123" s="1">
        <v>6252</v>
      </c>
      <c r="AI123" s="1" t="b">
        <v>1</v>
      </c>
    </row>
    <row r="124" spans="1:35" x14ac:dyDescent="0.25">
      <c r="A124" s="1">
        <v>1</v>
      </c>
      <c r="B124" s="1">
        <v>11</v>
      </c>
      <c r="C124" s="1">
        <v>2019</v>
      </c>
      <c r="G124" s="1" t="s">
        <v>38</v>
      </c>
      <c r="H124" s="2">
        <v>7.72</v>
      </c>
      <c r="I124" s="1">
        <v>27</v>
      </c>
      <c r="U124" s="1">
        <v>34</v>
      </c>
      <c r="X124" s="1">
        <v>30</v>
      </c>
      <c r="AA124" s="1">
        <v>3</v>
      </c>
      <c r="AB124" s="1">
        <v>2</v>
      </c>
      <c r="AC124" s="1">
        <v>1058</v>
      </c>
      <c r="AF124" s="3">
        <v>3.4974093264248705</v>
      </c>
      <c r="AG124" s="3">
        <v>1.1955992843503875</v>
      </c>
      <c r="AH124" s="1">
        <v>6252</v>
      </c>
      <c r="AI124" s="1" t="b">
        <v>1</v>
      </c>
    </row>
    <row r="125" spans="1:35" x14ac:dyDescent="0.25">
      <c r="A125" s="1">
        <v>1</v>
      </c>
      <c r="B125" s="1">
        <v>11</v>
      </c>
      <c r="C125" s="1">
        <v>2019</v>
      </c>
      <c r="G125" s="1" t="s">
        <v>38</v>
      </c>
      <c r="H125" s="2">
        <v>2.2000000000000002</v>
      </c>
      <c r="I125" s="1">
        <v>7</v>
      </c>
      <c r="U125" s="1">
        <v>10</v>
      </c>
      <c r="X125" s="1">
        <v>8</v>
      </c>
      <c r="AA125" s="1">
        <v>1</v>
      </c>
      <c r="AB125" s="1">
        <v>3</v>
      </c>
      <c r="AC125" s="1">
        <v>358</v>
      </c>
      <c r="AF125" s="3">
        <v>3.1818181818181817</v>
      </c>
      <c r="AG125" s="3">
        <v>0.54578364495061971</v>
      </c>
      <c r="AH125" s="1">
        <v>6252</v>
      </c>
      <c r="AI125" s="1" t="b">
        <v>1</v>
      </c>
    </row>
    <row r="126" spans="1:35" x14ac:dyDescent="0.25">
      <c r="A126" s="1">
        <v>1</v>
      </c>
      <c r="B126" s="1">
        <v>11</v>
      </c>
      <c r="C126" s="1">
        <v>2019</v>
      </c>
      <c r="G126" s="1" t="s">
        <v>38</v>
      </c>
      <c r="H126" s="2">
        <v>5.95</v>
      </c>
      <c r="I126" s="1">
        <v>19</v>
      </c>
      <c r="U126" s="1">
        <v>31</v>
      </c>
      <c r="X126" s="1">
        <v>25</v>
      </c>
      <c r="AA126" s="1">
        <v>3</v>
      </c>
      <c r="AB126" s="1">
        <v>3</v>
      </c>
      <c r="AC126" s="1">
        <v>852</v>
      </c>
      <c r="AF126" s="3">
        <v>3.1932773109243695</v>
      </c>
      <c r="AG126" s="3">
        <v>1.0912524726767614</v>
      </c>
      <c r="AH126" s="1">
        <v>6252</v>
      </c>
      <c r="AI126" s="1" t="b">
        <v>1</v>
      </c>
    </row>
    <row r="127" spans="1:35" x14ac:dyDescent="0.25">
      <c r="A127" s="1">
        <v>1</v>
      </c>
      <c r="B127" s="1">
        <v>11</v>
      </c>
      <c r="C127" s="1">
        <v>2019</v>
      </c>
      <c r="G127" s="1" t="s">
        <v>38</v>
      </c>
      <c r="H127" s="2">
        <v>5.43</v>
      </c>
      <c r="I127" s="1">
        <v>13</v>
      </c>
      <c r="U127" s="1">
        <v>17</v>
      </c>
      <c r="X127" s="1">
        <v>14</v>
      </c>
      <c r="AA127" s="1">
        <v>1</v>
      </c>
      <c r="AB127" s="1">
        <v>5</v>
      </c>
      <c r="AC127" s="1">
        <v>752</v>
      </c>
      <c r="AF127" s="3">
        <v>2.3941068139963169</v>
      </c>
      <c r="AG127" s="3">
        <v>1.3652631176529786</v>
      </c>
      <c r="AH127" s="1">
        <v>6252</v>
      </c>
      <c r="AI127" s="1" t="b">
        <v>1</v>
      </c>
    </row>
    <row r="128" spans="1:35" x14ac:dyDescent="0.25">
      <c r="A128" s="1">
        <v>1</v>
      </c>
      <c r="B128" s="1">
        <v>11</v>
      </c>
      <c r="C128" s="1">
        <v>2019</v>
      </c>
      <c r="G128" s="1" t="s">
        <v>38</v>
      </c>
      <c r="H128" s="2">
        <v>4</v>
      </c>
      <c r="I128" s="1">
        <v>10</v>
      </c>
      <c r="U128" s="1">
        <v>17</v>
      </c>
      <c r="X128" s="1">
        <v>13</v>
      </c>
      <c r="AA128" s="1">
        <v>2</v>
      </c>
      <c r="AB128" s="1">
        <v>3</v>
      </c>
      <c r="AC128" s="1">
        <v>562</v>
      </c>
      <c r="AF128" s="3">
        <v>2.5</v>
      </c>
      <c r="AG128" s="3">
        <v>1.0556063286183153</v>
      </c>
      <c r="AH128" s="1">
        <v>6252</v>
      </c>
      <c r="AI128" s="1" t="b">
        <v>1</v>
      </c>
    </row>
    <row r="129" spans="1:35" x14ac:dyDescent="0.25">
      <c r="A129" s="1">
        <v>1</v>
      </c>
      <c r="B129" s="1">
        <v>11</v>
      </c>
      <c r="C129" s="1">
        <v>2019</v>
      </c>
      <c r="G129" s="1" t="s">
        <v>38</v>
      </c>
      <c r="H129" s="2">
        <v>7.43</v>
      </c>
      <c r="I129" s="1">
        <v>22</v>
      </c>
      <c r="U129" s="1">
        <v>38</v>
      </c>
      <c r="X129" s="1">
        <v>32</v>
      </c>
      <c r="AA129" s="1">
        <v>4</v>
      </c>
      <c r="AB129" s="1">
        <v>4</v>
      </c>
      <c r="AC129" s="1">
        <v>1262</v>
      </c>
      <c r="AF129" s="3">
        <v>2.9609690444145356</v>
      </c>
      <c r="AG129" s="3">
        <v>1.374859448308974</v>
      </c>
      <c r="AH129" s="1">
        <v>6252</v>
      </c>
      <c r="AI129" s="1" t="b">
        <v>1</v>
      </c>
    </row>
    <row r="130" spans="1:35" x14ac:dyDescent="0.25">
      <c r="A130" s="1">
        <v>2</v>
      </c>
      <c r="B130" s="1">
        <v>11</v>
      </c>
      <c r="C130" s="1">
        <v>2019</v>
      </c>
      <c r="G130" s="1" t="s">
        <v>38</v>
      </c>
      <c r="H130" s="2">
        <v>3.97</v>
      </c>
      <c r="I130" s="1">
        <v>11</v>
      </c>
      <c r="U130" s="1">
        <v>20</v>
      </c>
      <c r="X130" s="1">
        <v>17</v>
      </c>
      <c r="AA130" s="1">
        <v>3</v>
      </c>
      <c r="AB130" s="1">
        <v>4</v>
      </c>
      <c r="AC130" s="1">
        <v>578</v>
      </c>
      <c r="AF130" s="3">
        <v>2.7707808564231735</v>
      </c>
      <c r="AG130" s="3">
        <v>0.94743882210447472</v>
      </c>
      <c r="AH130" s="1">
        <v>6252</v>
      </c>
      <c r="AI130" s="1" t="b">
        <v>1</v>
      </c>
    </row>
    <row r="131" spans="1:35" x14ac:dyDescent="0.25">
      <c r="A131" s="1">
        <v>2</v>
      </c>
      <c r="B131" s="1">
        <v>11</v>
      </c>
      <c r="C131" s="1">
        <v>2019</v>
      </c>
      <c r="G131" s="1" t="s">
        <v>38</v>
      </c>
      <c r="H131" s="2">
        <v>4.3600000000000003</v>
      </c>
      <c r="I131" s="1">
        <v>11</v>
      </c>
      <c r="U131" s="1">
        <v>17</v>
      </c>
      <c r="X131" s="1">
        <v>14</v>
      </c>
      <c r="AA131" s="1">
        <v>3</v>
      </c>
      <c r="AB131" s="1">
        <v>4</v>
      </c>
      <c r="AC131" s="1">
        <v>731</v>
      </c>
      <c r="AF131" s="3">
        <v>2.5229357798165135</v>
      </c>
      <c r="AG131" s="3">
        <v>1.1110519005303814</v>
      </c>
      <c r="AH131" s="1">
        <v>6252</v>
      </c>
      <c r="AI131" s="1" t="b">
        <v>1</v>
      </c>
    </row>
    <row r="132" spans="1:35" x14ac:dyDescent="0.25">
      <c r="A132" s="1">
        <v>2</v>
      </c>
      <c r="B132" s="1">
        <v>11</v>
      </c>
      <c r="C132" s="1">
        <v>2019</v>
      </c>
      <c r="G132" s="1" t="s">
        <v>38</v>
      </c>
      <c r="H132" s="2">
        <v>7.54</v>
      </c>
      <c r="I132" s="1">
        <v>23</v>
      </c>
      <c r="U132" s="1">
        <v>34</v>
      </c>
      <c r="X132" s="1">
        <v>27</v>
      </c>
      <c r="AA132" s="1">
        <v>3</v>
      </c>
      <c r="AB132" s="1">
        <v>3</v>
      </c>
      <c r="AC132" s="1">
        <v>1078</v>
      </c>
      <c r="AF132" s="3">
        <v>3.0503978779840848</v>
      </c>
      <c r="AG132" s="3">
        <v>1.3483525224945139</v>
      </c>
      <c r="AH132" s="1">
        <v>6252</v>
      </c>
      <c r="AI132" s="1" t="b">
        <v>1</v>
      </c>
    </row>
    <row r="133" spans="1:35" x14ac:dyDescent="0.25">
      <c r="A133" s="1">
        <v>2</v>
      </c>
      <c r="B133" s="1">
        <v>11</v>
      </c>
      <c r="C133" s="1">
        <v>2019</v>
      </c>
      <c r="G133" s="1" t="s">
        <v>38</v>
      </c>
      <c r="H133" s="2">
        <v>6.48</v>
      </c>
      <c r="I133" s="1">
        <v>19</v>
      </c>
      <c r="U133" s="1">
        <v>29</v>
      </c>
      <c r="X133" s="1">
        <v>27</v>
      </c>
      <c r="AA133" s="1">
        <v>4</v>
      </c>
      <c r="AB133" s="1">
        <v>2</v>
      </c>
      <c r="AC133" s="1">
        <v>914</v>
      </c>
      <c r="AF133" s="3">
        <v>2.9320987654320985</v>
      </c>
      <c r="AG133" s="3">
        <v>1.2616064742778044</v>
      </c>
      <c r="AH133" s="1">
        <v>6252</v>
      </c>
      <c r="AI133" s="1" t="b">
        <v>1</v>
      </c>
    </row>
    <row r="134" spans="1:35" x14ac:dyDescent="0.25">
      <c r="A134" s="1">
        <v>2</v>
      </c>
      <c r="B134" s="1">
        <v>11</v>
      </c>
      <c r="C134" s="1">
        <v>2019</v>
      </c>
      <c r="G134" s="1" t="s">
        <v>38</v>
      </c>
      <c r="H134" s="2">
        <v>7.89</v>
      </c>
      <c r="I134" s="1">
        <v>18</v>
      </c>
      <c r="U134" s="1">
        <v>32</v>
      </c>
      <c r="X134" s="1">
        <v>26</v>
      </c>
      <c r="AA134" s="1">
        <v>4</v>
      </c>
      <c r="AB134" s="1">
        <v>3</v>
      </c>
      <c r="AC134" s="1">
        <v>1066</v>
      </c>
      <c r="AF134" s="3">
        <v>2.2813688212927756</v>
      </c>
      <c r="AG134" s="3">
        <v>1.8610515386929787</v>
      </c>
      <c r="AH134" s="1">
        <v>6252</v>
      </c>
      <c r="AI134" s="1" t="b">
        <v>1</v>
      </c>
    </row>
    <row r="135" spans="1:35" x14ac:dyDescent="0.25">
      <c r="A135" s="1">
        <v>3</v>
      </c>
      <c r="B135" s="1">
        <v>11</v>
      </c>
      <c r="C135" s="1">
        <v>2019</v>
      </c>
      <c r="G135" s="1" t="s">
        <v>38</v>
      </c>
      <c r="H135" s="2">
        <v>8.3000000000000007</v>
      </c>
      <c r="I135" s="1">
        <v>22</v>
      </c>
      <c r="U135" s="1">
        <v>34</v>
      </c>
      <c r="X135" s="1">
        <v>28</v>
      </c>
      <c r="AA135" s="1">
        <v>3</v>
      </c>
      <c r="AB135" s="1">
        <v>4</v>
      </c>
      <c r="AC135" s="1">
        <v>1191</v>
      </c>
      <c r="AF135" s="3">
        <v>2.6506024096385539</v>
      </c>
      <c r="AG135" s="3">
        <v>1.6596254125365126</v>
      </c>
      <c r="AH135" s="1">
        <v>6252</v>
      </c>
      <c r="AI135" s="1" t="b">
        <v>1</v>
      </c>
    </row>
    <row r="136" spans="1:35" x14ac:dyDescent="0.25">
      <c r="A136" s="1">
        <v>3</v>
      </c>
      <c r="B136" s="1">
        <v>11</v>
      </c>
      <c r="C136" s="1">
        <v>2019</v>
      </c>
      <c r="G136" s="1" t="s">
        <v>38</v>
      </c>
      <c r="H136" s="2">
        <v>7.86</v>
      </c>
      <c r="I136" s="1">
        <v>22</v>
      </c>
      <c r="U136" s="1">
        <v>27</v>
      </c>
      <c r="X136" s="1">
        <v>25</v>
      </c>
      <c r="AA136" s="1">
        <v>2</v>
      </c>
      <c r="AB136" s="1">
        <v>3</v>
      </c>
      <c r="AC136" s="1">
        <v>835</v>
      </c>
      <c r="AF136" s="3">
        <v>2.7989821882951653</v>
      </c>
      <c r="AG136" s="3">
        <v>1.5128492261472273</v>
      </c>
      <c r="AH136" s="1">
        <v>6252</v>
      </c>
      <c r="AI136" s="1" t="b">
        <v>1</v>
      </c>
    </row>
    <row r="137" spans="1:35" x14ac:dyDescent="0.25">
      <c r="A137" s="1">
        <v>3</v>
      </c>
      <c r="B137" s="1">
        <v>11</v>
      </c>
      <c r="C137" s="1">
        <v>2019</v>
      </c>
      <c r="G137" s="1" t="s">
        <v>38</v>
      </c>
      <c r="H137" s="2">
        <v>5.59</v>
      </c>
      <c r="I137" s="1">
        <v>17</v>
      </c>
      <c r="U137" s="1">
        <v>19</v>
      </c>
      <c r="X137" s="1">
        <v>17</v>
      </c>
      <c r="AA137" s="1">
        <v>1</v>
      </c>
      <c r="AB137" s="1">
        <v>3</v>
      </c>
      <c r="AC137" s="1">
        <v>709</v>
      </c>
      <c r="AF137" s="3">
        <v>3.0411449016100178</v>
      </c>
      <c r="AG137" s="3">
        <v>1.0968598812789352</v>
      </c>
      <c r="AH137" s="1">
        <v>6252</v>
      </c>
      <c r="AI137" s="1" t="b">
        <v>1</v>
      </c>
    </row>
    <row r="138" spans="1:35" x14ac:dyDescent="0.25">
      <c r="A138" s="1">
        <v>3</v>
      </c>
      <c r="B138" s="1">
        <v>11</v>
      </c>
      <c r="C138" s="1">
        <v>2019</v>
      </c>
      <c r="G138" s="1" t="s">
        <v>38</v>
      </c>
      <c r="H138" s="2">
        <v>6.68</v>
      </c>
      <c r="I138" s="1">
        <v>22</v>
      </c>
      <c r="U138" s="1">
        <v>28</v>
      </c>
      <c r="X138" s="1">
        <v>26</v>
      </c>
      <c r="AA138" s="1">
        <v>2</v>
      </c>
      <c r="AB138" s="1">
        <v>2</v>
      </c>
      <c r="AC138" s="1">
        <v>794</v>
      </c>
      <c r="AF138" s="3">
        <v>3.2934131736526946</v>
      </c>
      <c r="AG138" s="3">
        <v>1.1473536600757195</v>
      </c>
      <c r="AH138" s="1">
        <v>6252</v>
      </c>
      <c r="AI138" s="1" t="b">
        <v>1</v>
      </c>
    </row>
    <row r="139" spans="1:35" x14ac:dyDescent="0.25">
      <c r="A139" s="1">
        <v>3</v>
      </c>
      <c r="B139" s="1">
        <v>11</v>
      </c>
      <c r="C139" s="1">
        <v>2019</v>
      </c>
      <c r="G139" s="1" t="s">
        <v>38</v>
      </c>
      <c r="H139" s="2">
        <v>7.3</v>
      </c>
      <c r="I139" s="1">
        <v>24</v>
      </c>
      <c r="U139" s="1">
        <v>35</v>
      </c>
      <c r="X139" s="1">
        <v>31</v>
      </c>
      <c r="AA139" s="1">
        <v>3</v>
      </c>
      <c r="AB139" s="1">
        <v>2</v>
      </c>
      <c r="AC139" s="1">
        <v>1211</v>
      </c>
      <c r="AF139" s="3">
        <v>3.2876712328767126</v>
      </c>
      <c r="AG139" s="3">
        <v>1.2230314373859481</v>
      </c>
      <c r="AH139" s="1">
        <v>6252</v>
      </c>
      <c r="AI139" s="1" t="b">
        <v>1</v>
      </c>
    </row>
    <row r="140" spans="1:35" x14ac:dyDescent="0.25">
      <c r="A140" s="1">
        <v>3</v>
      </c>
      <c r="B140" s="1">
        <v>11</v>
      </c>
      <c r="C140" s="1">
        <v>2019</v>
      </c>
      <c r="G140" s="1" t="s">
        <v>38</v>
      </c>
      <c r="H140" s="2">
        <v>7.96</v>
      </c>
      <c r="I140" s="1">
        <v>20</v>
      </c>
      <c r="U140" s="1">
        <v>32</v>
      </c>
      <c r="X140" s="1">
        <v>25</v>
      </c>
      <c r="AA140" s="1">
        <v>3</v>
      </c>
      <c r="AB140" s="1">
        <v>3</v>
      </c>
      <c r="AC140" s="1">
        <v>1073</v>
      </c>
      <c r="AF140" s="3">
        <v>2.512562814070352</v>
      </c>
      <c r="AG140" s="3">
        <v>1.7002869419508611</v>
      </c>
      <c r="AH140" s="1">
        <v>6252</v>
      </c>
      <c r="AI140" s="1" t="b">
        <v>1</v>
      </c>
    </row>
    <row r="141" spans="1:35" x14ac:dyDescent="0.25">
      <c r="A141" s="1">
        <v>3</v>
      </c>
      <c r="B141" s="1">
        <v>11</v>
      </c>
      <c r="C141" s="1">
        <v>2019</v>
      </c>
      <c r="G141" s="1" t="s">
        <v>38</v>
      </c>
      <c r="H141" s="2">
        <v>5.88</v>
      </c>
      <c r="I141" s="1">
        <v>16</v>
      </c>
      <c r="U141" s="1">
        <v>21</v>
      </c>
      <c r="X141" s="1">
        <v>20</v>
      </c>
      <c r="AA141" s="1">
        <v>3</v>
      </c>
      <c r="AB141" s="1">
        <v>6</v>
      </c>
      <c r="AC141" s="1">
        <v>779</v>
      </c>
      <c r="AF141" s="3">
        <v>2.7210884353741496</v>
      </c>
      <c r="AG141" s="3">
        <v>1.2700519091836118</v>
      </c>
      <c r="AH141" s="1">
        <v>6252</v>
      </c>
      <c r="AI141" s="1" t="b">
        <v>1</v>
      </c>
    </row>
    <row r="142" spans="1:35" x14ac:dyDescent="0.25">
      <c r="A142" s="1">
        <v>3</v>
      </c>
      <c r="B142" s="1">
        <v>11</v>
      </c>
      <c r="C142" s="1">
        <v>2019</v>
      </c>
      <c r="G142" s="1" t="s">
        <v>38</v>
      </c>
      <c r="H142" s="2">
        <v>5.82</v>
      </c>
      <c r="I142" s="1">
        <v>14</v>
      </c>
      <c r="U142" s="1">
        <v>23</v>
      </c>
      <c r="X142" s="1">
        <v>18</v>
      </c>
      <c r="AA142" s="1">
        <v>3</v>
      </c>
      <c r="AB142" s="1">
        <v>6</v>
      </c>
      <c r="AC142" s="1">
        <v>836</v>
      </c>
      <c r="AF142" s="3">
        <v>2.4054982817869415</v>
      </c>
      <c r="AG142" s="3">
        <v>1.4263990411480489</v>
      </c>
      <c r="AH142" s="1">
        <v>6252</v>
      </c>
      <c r="AI142" s="1" t="b">
        <v>1</v>
      </c>
    </row>
    <row r="143" spans="1:35" x14ac:dyDescent="0.25">
      <c r="A143" s="1">
        <v>3</v>
      </c>
      <c r="B143" s="1">
        <v>11</v>
      </c>
      <c r="C143" s="1">
        <v>2019</v>
      </c>
      <c r="G143" s="1" t="s">
        <v>38</v>
      </c>
      <c r="H143" s="2">
        <v>9.39</v>
      </c>
      <c r="I143" s="1">
        <v>25</v>
      </c>
      <c r="V143" s="1">
        <v>37</v>
      </c>
      <c r="X143" s="1">
        <v>30</v>
      </c>
      <c r="AA143" s="1">
        <v>3</v>
      </c>
      <c r="AB143" s="1">
        <v>1</v>
      </c>
      <c r="AC143" s="1">
        <v>1189</v>
      </c>
      <c r="AF143" s="3">
        <v>2.662406815761448</v>
      </c>
      <c r="AG143" s="3">
        <v>1.8013226013387849</v>
      </c>
      <c r="AH143" s="1">
        <v>6252</v>
      </c>
      <c r="AI143" s="1" t="b">
        <v>1</v>
      </c>
    </row>
    <row r="144" spans="1:35" x14ac:dyDescent="0.25">
      <c r="A144" s="1">
        <v>3</v>
      </c>
      <c r="B144" s="1">
        <v>11</v>
      </c>
      <c r="C144" s="1">
        <v>2019</v>
      </c>
      <c r="G144" s="1" t="s">
        <v>38</v>
      </c>
      <c r="H144" s="2">
        <v>6.95</v>
      </c>
      <c r="I144" s="1">
        <v>16</v>
      </c>
      <c r="V144" s="1">
        <v>25</v>
      </c>
      <c r="X144" s="1">
        <v>22</v>
      </c>
      <c r="AA144" s="1">
        <v>4</v>
      </c>
      <c r="AB144" s="1">
        <v>3</v>
      </c>
      <c r="AC144" s="1">
        <v>867</v>
      </c>
      <c r="AF144" s="3">
        <v>2.3021582733812949</v>
      </c>
      <c r="AG144" s="3">
        <v>1.6875404250125492</v>
      </c>
      <c r="AH144" s="1">
        <v>6252</v>
      </c>
      <c r="AI144" s="1" t="b">
        <v>1</v>
      </c>
    </row>
    <row r="145" spans="1:35" x14ac:dyDescent="0.25">
      <c r="A145" s="1">
        <v>3</v>
      </c>
      <c r="B145" s="1">
        <v>11</v>
      </c>
      <c r="C145" s="1">
        <v>2019</v>
      </c>
      <c r="G145" s="1" t="s">
        <v>38</v>
      </c>
      <c r="H145" s="2">
        <v>5.81</v>
      </c>
      <c r="I145" s="1">
        <v>19</v>
      </c>
      <c r="U145" s="1">
        <v>24</v>
      </c>
      <c r="X145" s="1">
        <v>22</v>
      </c>
      <c r="AA145" s="1">
        <v>2</v>
      </c>
      <c r="AB145" s="1">
        <v>2</v>
      </c>
      <c r="AC145" s="1">
        <v>722</v>
      </c>
      <c r="AF145" s="3">
        <v>3.2702237521514634</v>
      </c>
      <c r="AG145" s="3">
        <v>1.0479626975264436</v>
      </c>
      <c r="AH145" s="1">
        <v>6252</v>
      </c>
      <c r="AI145" s="1" t="b">
        <v>1</v>
      </c>
    </row>
    <row r="146" spans="1:35" x14ac:dyDescent="0.25">
      <c r="A146" s="1">
        <v>3</v>
      </c>
      <c r="B146" s="1">
        <v>11</v>
      </c>
      <c r="C146" s="1">
        <v>2019</v>
      </c>
      <c r="G146" s="1" t="s">
        <v>38</v>
      </c>
      <c r="H146" s="2">
        <v>4.49</v>
      </c>
      <c r="I146" s="1">
        <v>9</v>
      </c>
      <c r="U146" s="1">
        <v>11</v>
      </c>
      <c r="X146" s="1">
        <v>9</v>
      </c>
      <c r="AA146" s="1">
        <v>1</v>
      </c>
      <c r="AB146" s="1">
        <v>3</v>
      </c>
      <c r="AC146" s="1">
        <v>538</v>
      </c>
      <c r="AF146" s="3">
        <v>2.0044543429844097</v>
      </c>
      <c r="AG146" s="3">
        <v>1.4275005040472406</v>
      </c>
      <c r="AH146" s="1">
        <v>6252</v>
      </c>
      <c r="AI146" s="1" t="b">
        <v>1</v>
      </c>
    </row>
    <row r="147" spans="1:35" x14ac:dyDescent="0.25">
      <c r="A147" s="1">
        <v>3</v>
      </c>
      <c r="B147" s="1">
        <v>11</v>
      </c>
      <c r="C147" s="1">
        <v>2019</v>
      </c>
      <c r="G147" s="1" t="s">
        <v>38</v>
      </c>
      <c r="H147" s="2">
        <v>10.77</v>
      </c>
      <c r="I147" s="1">
        <v>25</v>
      </c>
      <c r="V147" s="1">
        <v>45</v>
      </c>
      <c r="X147" s="1">
        <v>32</v>
      </c>
      <c r="AA147" s="1">
        <v>3</v>
      </c>
      <c r="AB147" s="1">
        <v>3</v>
      </c>
      <c r="AC147" s="1">
        <v>1181</v>
      </c>
      <c r="AF147" s="3">
        <v>2.3212627669452184</v>
      </c>
      <c r="AG147" s="3">
        <v>2.2741896931429562</v>
      </c>
      <c r="AH147" s="1">
        <v>6252</v>
      </c>
      <c r="AI147" s="1" t="b">
        <v>1</v>
      </c>
    </row>
    <row r="148" spans="1:35" x14ac:dyDescent="0.25">
      <c r="A148" s="1">
        <v>3</v>
      </c>
      <c r="B148" s="1">
        <v>11</v>
      </c>
      <c r="C148" s="1">
        <v>2019</v>
      </c>
      <c r="G148" s="1" t="s">
        <v>38</v>
      </c>
      <c r="H148" s="2">
        <v>9.48</v>
      </c>
      <c r="I148" s="1">
        <v>23</v>
      </c>
      <c r="V148" s="1">
        <v>34</v>
      </c>
      <c r="X148" s="1">
        <v>26</v>
      </c>
      <c r="AA148" s="1">
        <v>3</v>
      </c>
      <c r="AB148" s="1">
        <v>3</v>
      </c>
      <c r="AC148" s="1">
        <v>1146</v>
      </c>
      <c r="AF148" s="3">
        <v>2.4261603375527425</v>
      </c>
      <c r="AG148" s="3">
        <v>1.9899691213861521</v>
      </c>
      <c r="AH148" s="1">
        <v>6252</v>
      </c>
      <c r="AI148" s="1" t="b">
        <v>1</v>
      </c>
    </row>
    <row r="149" spans="1:35" x14ac:dyDescent="0.25">
      <c r="A149" s="1">
        <v>3</v>
      </c>
      <c r="B149" s="1">
        <v>11</v>
      </c>
      <c r="C149" s="1">
        <v>2019</v>
      </c>
      <c r="G149" s="1" t="s">
        <v>38</v>
      </c>
      <c r="H149" s="2">
        <v>4.74</v>
      </c>
      <c r="I149" s="1">
        <v>13</v>
      </c>
      <c r="V149" s="1">
        <v>19</v>
      </c>
      <c r="X149" s="1">
        <v>17</v>
      </c>
      <c r="AA149" s="1">
        <v>2</v>
      </c>
      <c r="AB149" s="1">
        <v>2</v>
      </c>
      <c r="AC149" s="1">
        <v>546</v>
      </c>
      <c r="AF149" s="3">
        <v>2.7426160337552741</v>
      </c>
      <c r="AG149" s="3">
        <v>1.083627027500758</v>
      </c>
      <c r="AH149" s="1">
        <v>6252</v>
      </c>
      <c r="AI149" s="1" t="b">
        <v>1</v>
      </c>
    </row>
    <row r="150" spans="1:35" x14ac:dyDescent="0.25">
      <c r="A150" s="1">
        <v>3</v>
      </c>
      <c r="B150" s="1">
        <v>11</v>
      </c>
      <c r="C150" s="1">
        <v>2019</v>
      </c>
      <c r="G150" s="1" t="s">
        <v>38</v>
      </c>
      <c r="H150" s="2">
        <v>4.2699999999999996</v>
      </c>
      <c r="I150" s="1">
        <v>12</v>
      </c>
      <c r="U150" s="1">
        <v>19</v>
      </c>
      <c r="X150" s="1">
        <v>18</v>
      </c>
      <c r="AA150" s="1">
        <v>2</v>
      </c>
      <c r="AB150" s="1">
        <v>4</v>
      </c>
      <c r="AC150" s="1">
        <v>692</v>
      </c>
      <c r="AF150" s="3">
        <v>2.8103044496487124</v>
      </c>
      <c r="AG150" s="3">
        <v>0.98298330423661273</v>
      </c>
      <c r="AH150" s="1">
        <v>6252</v>
      </c>
      <c r="AI150" s="1" t="b">
        <v>1</v>
      </c>
    </row>
    <row r="151" spans="1:35" x14ac:dyDescent="0.25">
      <c r="A151" s="1">
        <v>3</v>
      </c>
      <c r="B151" s="1">
        <v>11</v>
      </c>
      <c r="C151" s="1">
        <v>2019</v>
      </c>
      <c r="G151" s="1" t="s">
        <v>38</v>
      </c>
      <c r="H151" s="2">
        <v>5.91</v>
      </c>
      <c r="I151" s="1">
        <v>18</v>
      </c>
      <c r="U151" s="1">
        <v>24</v>
      </c>
      <c r="X151" s="1">
        <v>21</v>
      </c>
      <c r="AA151" s="1">
        <v>2</v>
      </c>
      <c r="AB151" s="1">
        <v>2</v>
      </c>
      <c r="AC151" s="1">
        <v>765</v>
      </c>
      <c r="AF151" s="3">
        <v>3.0456852791878171</v>
      </c>
      <c r="AG151" s="3">
        <v>1.1387442902334657</v>
      </c>
      <c r="AH151" s="1">
        <v>6252</v>
      </c>
      <c r="AI151" s="1" t="b">
        <v>1</v>
      </c>
    </row>
    <row r="152" spans="1:35" x14ac:dyDescent="0.25">
      <c r="A152" s="1">
        <v>4</v>
      </c>
      <c r="B152" s="1">
        <v>11</v>
      </c>
      <c r="C152" s="1">
        <v>2019</v>
      </c>
      <c r="G152" s="1" t="s">
        <v>38</v>
      </c>
      <c r="H152" s="2">
        <v>4.5999999999999996</v>
      </c>
      <c r="I152" s="1">
        <v>16</v>
      </c>
      <c r="U152" s="1">
        <v>23</v>
      </c>
      <c r="X152" s="1">
        <v>19</v>
      </c>
      <c r="AA152" s="1">
        <v>2</v>
      </c>
      <c r="AB152" s="1">
        <v>3</v>
      </c>
      <c r="AC152" s="1">
        <v>678</v>
      </c>
      <c r="AF152" s="3">
        <v>3.4782608695652177</v>
      </c>
      <c r="AG152" s="3">
        <v>0.83669723001082796</v>
      </c>
      <c r="AH152" s="1">
        <v>6253</v>
      </c>
      <c r="AI152" s="1" t="b">
        <v>1</v>
      </c>
    </row>
    <row r="153" spans="1:35" x14ac:dyDescent="0.25">
      <c r="A153" s="1">
        <v>4</v>
      </c>
      <c r="B153" s="1">
        <v>11</v>
      </c>
      <c r="C153" s="1">
        <v>2019</v>
      </c>
      <c r="G153" s="1" t="s">
        <v>38</v>
      </c>
      <c r="H153" s="2">
        <v>6.3</v>
      </c>
      <c r="I153" s="1">
        <v>11</v>
      </c>
      <c r="U153" s="1">
        <v>23</v>
      </c>
      <c r="X153" s="1">
        <v>19</v>
      </c>
      <c r="AA153" s="1">
        <v>4</v>
      </c>
      <c r="AB153" s="1">
        <v>3</v>
      </c>
      <c r="AC153" s="1">
        <v>783</v>
      </c>
      <c r="AF153" s="3">
        <v>1.746031746031746</v>
      </c>
      <c r="AG153" s="3">
        <v>2.0772379528457541</v>
      </c>
      <c r="AH153" s="1">
        <v>6253</v>
      </c>
      <c r="AI153" s="1" t="b">
        <v>1</v>
      </c>
    </row>
    <row r="154" spans="1:35" x14ac:dyDescent="0.25">
      <c r="A154" s="1">
        <v>4</v>
      </c>
      <c r="B154" s="1">
        <v>11</v>
      </c>
      <c r="C154" s="1">
        <v>2019</v>
      </c>
      <c r="G154" s="1" t="s">
        <v>38</v>
      </c>
      <c r="H154" s="2">
        <v>6.31</v>
      </c>
      <c r="I154" s="1">
        <v>15</v>
      </c>
      <c r="U154" s="1">
        <v>31</v>
      </c>
      <c r="X154" s="1">
        <v>23</v>
      </c>
      <c r="AA154" s="1">
        <v>3</v>
      </c>
      <c r="AB154" s="1">
        <v>4</v>
      </c>
      <c r="AC154" s="1">
        <v>789</v>
      </c>
      <c r="AF154" s="3">
        <v>2.3771790808240887</v>
      </c>
      <c r="AG154" s="3">
        <v>1.5274206285407319</v>
      </c>
      <c r="AH154" s="1">
        <v>6253</v>
      </c>
      <c r="AI154" s="1" t="b">
        <v>1</v>
      </c>
    </row>
    <row r="155" spans="1:35" x14ac:dyDescent="0.25">
      <c r="A155" s="1">
        <v>4</v>
      </c>
      <c r="B155" s="1">
        <v>11</v>
      </c>
      <c r="C155" s="1">
        <v>2019</v>
      </c>
      <c r="G155" s="1" t="s">
        <v>38</v>
      </c>
      <c r="H155" s="2">
        <v>6.25</v>
      </c>
      <c r="I155" s="1">
        <v>18</v>
      </c>
      <c r="U155" s="1">
        <v>24</v>
      </c>
      <c r="X155" s="1">
        <v>21</v>
      </c>
      <c r="AA155" s="1">
        <v>2</v>
      </c>
      <c r="AB155" s="1">
        <v>2</v>
      </c>
      <c r="AC155" s="1">
        <v>891</v>
      </c>
      <c r="AF155" s="3">
        <v>2.88</v>
      </c>
      <c r="AG155" s="3">
        <v>1.2523436683222338</v>
      </c>
      <c r="AH155" s="1">
        <v>6253</v>
      </c>
      <c r="AI155" s="1" t="b">
        <v>1</v>
      </c>
    </row>
    <row r="156" spans="1:35" x14ac:dyDescent="0.25">
      <c r="A156" s="1">
        <v>4</v>
      </c>
      <c r="B156" s="1">
        <v>11</v>
      </c>
      <c r="C156" s="1">
        <v>2019</v>
      </c>
      <c r="G156" s="1" t="s">
        <v>38</v>
      </c>
      <c r="H156" s="2">
        <v>5.2</v>
      </c>
      <c r="I156" s="1">
        <v>11</v>
      </c>
      <c r="U156" s="1">
        <v>21</v>
      </c>
      <c r="X156" s="1">
        <v>18</v>
      </c>
      <c r="AA156" s="1">
        <v>3</v>
      </c>
      <c r="AB156" s="1">
        <v>4</v>
      </c>
      <c r="AC156" s="1">
        <v>764</v>
      </c>
      <c r="AF156" s="3">
        <v>2.1153846153846154</v>
      </c>
      <c r="AG156" s="3">
        <v>1.4990392317113723</v>
      </c>
      <c r="AH156" s="1">
        <v>6253</v>
      </c>
      <c r="AI156" s="1" t="b">
        <v>1</v>
      </c>
    </row>
    <row r="157" spans="1:35" x14ac:dyDescent="0.25">
      <c r="A157" s="1">
        <v>4</v>
      </c>
      <c r="B157" s="1">
        <v>11</v>
      </c>
      <c r="C157" s="1">
        <v>2019</v>
      </c>
      <c r="G157" s="1" t="s">
        <v>38</v>
      </c>
      <c r="H157" s="2">
        <v>6.8</v>
      </c>
      <c r="I157" s="1">
        <v>16</v>
      </c>
      <c r="U157" s="1">
        <v>28</v>
      </c>
      <c r="X157" s="1">
        <v>25</v>
      </c>
      <c r="AA157" s="1">
        <v>4</v>
      </c>
      <c r="AB157" s="1">
        <v>3</v>
      </c>
      <c r="AC157" s="1">
        <v>945</v>
      </c>
      <c r="AF157" s="3">
        <v>2.3529411764705883</v>
      </c>
      <c r="AG157" s="3">
        <v>1.6260922087559444</v>
      </c>
      <c r="AH157" s="1">
        <v>6253</v>
      </c>
      <c r="AI157" s="1" t="b">
        <v>1</v>
      </c>
    </row>
    <row r="158" spans="1:35" x14ac:dyDescent="0.25">
      <c r="A158" s="1">
        <v>4</v>
      </c>
      <c r="B158" s="1">
        <v>11</v>
      </c>
      <c r="C158" s="1">
        <v>2019</v>
      </c>
      <c r="G158" s="1" t="s">
        <v>38</v>
      </c>
      <c r="H158" s="2">
        <v>4.84</v>
      </c>
      <c r="I158" s="1">
        <v>13</v>
      </c>
      <c r="U158" s="1">
        <v>20</v>
      </c>
      <c r="X158" s="1">
        <v>16</v>
      </c>
      <c r="AA158" s="1">
        <v>3</v>
      </c>
      <c r="AB158" s="1">
        <v>2</v>
      </c>
      <c r="AC158" s="1">
        <v>649</v>
      </c>
      <c r="AF158" s="3">
        <v>2.6859504132231407</v>
      </c>
      <c r="AG158" s="3">
        <v>1.122777659052586</v>
      </c>
      <c r="AH158" s="1">
        <v>6253</v>
      </c>
      <c r="AI158" s="1" t="b">
        <v>1</v>
      </c>
    </row>
    <row r="159" spans="1:35" x14ac:dyDescent="0.25">
      <c r="A159" s="1">
        <v>4</v>
      </c>
      <c r="B159" s="1">
        <v>11</v>
      </c>
      <c r="C159" s="1">
        <v>2019</v>
      </c>
      <c r="G159" s="1" t="s">
        <v>38</v>
      </c>
      <c r="H159" s="2">
        <v>9.1199999999999992</v>
      </c>
      <c r="I159" s="1">
        <v>27</v>
      </c>
      <c r="U159" s="1">
        <v>45</v>
      </c>
      <c r="X159" s="1">
        <v>37</v>
      </c>
      <c r="AA159" s="1">
        <v>3</v>
      </c>
      <c r="AB159" s="1">
        <v>4</v>
      </c>
      <c r="AC159" s="1">
        <v>1278</v>
      </c>
      <c r="AF159" s="3">
        <v>2.9605263157894739</v>
      </c>
      <c r="AG159" s="3">
        <v>1.5871846731086541</v>
      </c>
      <c r="AH159" s="1">
        <v>6253</v>
      </c>
      <c r="AI159" s="1" t="b">
        <v>1</v>
      </c>
    </row>
    <row r="160" spans="1:35" x14ac:dyDescent="0.25">
      <c r="A160" s="1">
        <v>4</v>
      </c>
      <c r="B160" s="1">
        <v>11</v>
      </c>
      <c r="C160" s="1">
        <v>2019</v>
      </c>
      <c r="G160" s="1" t="s">
        <v>38</v>
      </c>
      <c r="H160" s="2">
        <v>6.09</v>
      </c>
      <c r="I160" s="1">
        <v>13</v>
      </c>
      <c r="U160" s="1">
        <v>25</v>
      </c>
      <c r="X160" s="1">
        <v>23</v>
      </c>
      <c r="AA160" s="1">
        <v>4</v>
      </c>
      <c r="AB160" s="1">
        <v>4</v>
      </c>
      <c r="AC160" s="1">
        <v>871</v>
      </c>
      <c r="AF160" s="3">
        <v>2.1346469622331692</v>
      </c>
      <c r="AG160" s="3">
        <v>1.6592279129106058</v>
      </c>
      <c r="AH160" s="1">
        <v>6253</v>
      </c>
      <c r="AI160" s="1" t="b">
        <v>1</v>
      </c>
    </row>
    <row r="161" spans="1:35" x14ac:dyDescent="0.25">
      <c r="A161" s="1">
        <v>4</v>
      </c>
      <c r="B161" s="1">
        <v>11</v>
      </c>
      <c r="C161" s="1">
        <v>2019</v>
      </c>
      <c r="G161" s="1" t="s">
        <v>38</v>
      </c>
      <c r="H161" s="2">
        <v>6.29</v>
      </c>
      <c r="I161" s="1">
        <v>16</v>
      </c>
      <c r="U161" s="1">
        <v>25</v>
      </c>
      <c r="X161" s="1">
        <v>20</v>
      </c>
      <c r="AA161" s="1">
        <v>2</v>
      </c>
      <c r="AB161" s="1">
        <v>1</v>
      </c>
      <c r="AC161" s="1">
        <v>716</v>
      </c>
      <c r="AF161" s="3">
        <v>2.5437201907790143</v>
      </c>
      <c r="AG161" s="3">
        <v>1.4242496276909073</v>
      </c>
      <c r="AH161" s="1">
        <v>6253</v>
      </c>
      <c r="AI161" s="1" t="b">
        <v>1</v>
      </c>
    </row>
    <row r="162" spans="1:35" x14ac:dyDescent="0.25">
      <c r="A162" s="1">
        <v>4</v>
      </c>
      <c r="B162" s="1">
        <v>11</v>
      </c>
      <c r="C162" s="1">
        <v>2019</v>
      </c>
      <c r="G162" s="1" t="s">
        <v>38</v>
      </c>
      <c r="H162" s="2">
        <v>4.45</v>
      </c>
      <c r="I162" s="1">
        <v>8</v>
      </c>
      <c r="U162" s="1">
        <v>11</v>
      </c>
      <c r="X162" s="1">
        <v>9</v>
      </c>
      <c r="AA162" s="1">
        <v>2</v>
      </c>
      <c r="AB162" s="1">
        <v>3</v>
      </c>
      <c r="AC162" s="1">
        <v>478</v>
      </c>
      <c r="AF162" s="3">
        <v>1.797752808988764</v>
      </c>
      <c r="AG162" s="3">
        <v>1.5816924139251363</v>
      </c>
      <c r="AH162" s="1">
        <v>6253</v>
      </c>
      <c r="AI162" s="1" t="b">
        <v>1</v>
      </c>
    </row>
    <row r="163" spans="1:35" x14ac:dyDescent="0.25">
      <c r="A163" s="1">
        <v>4</v>
      </c>
      <c r="B163" s="1">
        <v>11</v>
      </c>
      <c r="C163" s="1">
        <v>2019</v>
      </c>
      <c r="G163" s="1" t="s">
        <v>38</v>
      </c>
      <c r="H163" s="2">
        <v>3.88</v>
      </c>
      <c r="I163" s="1">
        <v>9</v>
      </c>
      <c r="U163" s="1">
        <v>13</v>
      </c>
      <c r="X163" s="1">
        <v>12</v>
      </c>
      <c r="AA163" s="1">
        <v>2</v>
      </c>
      <c r="AB163" s="1">
        <v>6</v>
      </c>
      <c r="AC163" s="1">
        <v>637</v>
      </c>
      <c r="AF163" s="3">
        <v>2.3195876288659796</v>
      </c>
      <c r="AG163" s="3">
        <v>1.1137082173841009</v>
      </c>
      <c r="AH163" s="1">
        <v>6253</v>
      </c>
      <c r="AI163" s="1" t="b">
        <v>1</v>
      </c>
    </row>
    <row r="164" spans="1:35" x14ac:dyDescent="0.25">
      <c r="A164" s="1">
        <v>4</v>
      </c>
      <c r="B164" s="1">
        <v>11</v>
      </c>
      <c r="C164" s="1">
        <v>2019</v>
      </c>
      <c r="G164" s="1" t="s">
        <v>38</v>
      </c>
      <c r="H164" s="2">
        <v>3.8</v>
      </c>
      <c r="I164" s="1">
        <v>8</v>
      </c>
      <c r="U164" s="1">
        <v>13</v>
      </c>
      <c r="X164" s="1">
        <v>11</v>
      </c>
      <c r="AA164" s="1">
        <v>2</v>
      </c>
      <c r="AB164" s="1">
        <v>3</v>
      </c>
      <c r="AC164" s="1">
        <v>550</v>
      </c>
      <c r="AF164" s="3">
        <v>2.1052631578947367</v>
      </c>
      <c r="AG164" s="3">
        <v>1.2093224834614555</v>
      </c>
      <c r="AH164" s="1">
        <v>6253</v>
      </c>
      <c r="AI164" s="1" t="b">
        <v>1</v>
      </c>
    </row>
    <row r="165" spans="1:35" x14ac:dyDescent="0.25">
      <c r="A165" s="1">
        <v>4</v>
      </c>
      <c r="B165" s="1">
        <v>11</v>
      </c>
      <c r="C165" s="1">
        <v>2019</v>
      </c>
      <c r="G165" s="1" t="s">
        <v>38</v>
      </c>
      <c r="H165" s="2">
        <v>5.82</v>
      </c>
      <c r="I165" s="1">
        <v>17</v>
      </c>
      <c r="U165" s="1">
        <v>24</v>
      </c>
      <c r="X165" s="1">
        <v>22</v>
      </c>
      <c r="AA165" s="1">
        <v>3</v>
      </c>
      <c r="AB165" s="1">
        <v>4</v>
      </c>
      <c r="AC165" s="1">
        <v>835</v>
      </c>
      <c r="AF165" s="3">
        <v>2.9209621993127146</v>
      </c>
      <c r="AG165" s="3">
        <v>1.1746815632983933</v>
      </c>
      <c r="AH165" s="1">
        <v>6253</v>
      </c>
      <c r="AI165" s="1" t="b">
        <v>1</v>
      </c>
    </row>
    <row r="166" spans="1:35" x14ac:dyDescent="0.25">
      <c r="A166" s="1">
        <v>4</v>
      </c>
      <c r="B166" s="1">
        <v>11</v>
      </c>
      <c r="C166" s="1">
        <v>2019</v>
      </c>
      <c r="G166" s="1" t="s">
        <v>38</v>
      </c>
      <c r="H166" s="2">
        <v>5.48</v>
      </c>
      <c r="I166" s="1">
        <v>15</v>
      </c>
      <c r="U166" s="1">
        <v>24</v>
      </c>
      <c r="X166" s="1">
        <v>21</v>
      </c>
      <c r="AA166" s="1">
        <v>3</v>
      </c>
      <c r="AB166" s="1">
        <v>3</v>
      </c>
      <c r="AC166" s="1">
        <v>883</v>
      </c>
      <c r="AF166" s="3">
        <v>2.7372262773722627</v>
      </c>
      <c r="AG166" s="3">
        <v>1.2018096596408865</v>
      </c>
      <c r="AH166" s="1">
        <v>6253</v>
      </c>
      <c r="AI166" s="1" t="b">
        <v>1</v>
      </c>
    </row>
    <row r="167" spans="1:35" x14ac:dyDescent="0.25">
      <c r="A167" s="1">
        <v>4</v>
      </c>
      <c r="B167" s="1">
        <v>11</v>
      </c>
      <c r="C167" s="1">
        <v>2019</v>
      </c>
      <c r="G167" s="1" t="s">
        <v>38</v>
      </c>
      <c r="H167" s="2">
        <v>6.18</v>
      </c>
      <c r="I167" s="1">
        <v>17</v>
      </c>
      <c r="U167" s="1">
        <v>24</v>
      </c>
      <c r="X167" s="1">
        <v>22</v>
      </c>
      <c r="AA167" s="1">
        <v>3</v>
      </c>
      <c r="AB167" s="1">
        <v>6</v>
      </c>
      <c r="AC167" s="1">
        <v>858</v>
      </c>
      <c r="AF167" s="3">
        <v>2.7508090614886731</v>
      </c>
      <c r="AG167" s="3">
        <v>1.3008627750406816</v>
      </c>
      <c r="AH167" s="1">
        <v>6253</v>
      </c>
      <c r="AI167" s="1" t="b">
        <v>1</v>
      </c>
    </row>
    <row r="168" spans="1:35" x14ac:dyDescent="0.25">
      <c r="A168" s="1">
        <v>4</v>
      </c>
      <c r="B168" s="1">
        <v>11</v>
      </c>
      <c r="C168" s="1">
        <v>2019</v>
      </c>
      <c r="G168" s="1" t="s">
        <v>38</v>
      </c>
      <c r="H168" s="2">
        <v>9.67</v>
      </c>
      <c r="I168" s="1">
        <v>21</v>
      </c>
      <c r="U168" s="1">
        <v>57</v>
      </c>
      <c r="X168" s="1">
        <v>24</v>
      </c>
      <c r="AA168" s="1">
        <v>2</v>
      </c>
      <c r="AB168" s="1">
        <v>1</v>
      </c>
      <c r="AC168" s="1">
        <v>956</v>
      </c>
      <c r="AF168" s="3">
        <v>2.1716649431230612</v>
      </c>
      <c r="AG168" s="3">
        <v>2.2542688568114606</v>
      </c>
      <c r="AH168" s="1">
        <v>6253</v>
      </c>
      <c r="AI168" s="1" t="b">
        <v>1</v>
      </c>
    </row>
    <row r="169" spans="1:35" x14ac:dyDescent="0.25">
      <c r="A169" s="1">
        <v>4</v>
      </c>
      <c r="B169" s="1">
        <v>11</v>
      </c>
      <c r="C169" s="1">
        <v>2019</v>
      </c>
      <c r="G169" s="1" t="s">
        <v>38</v>
      </c>
      <c r="H169" s="2">
        <v>7.13</v>
      </c>
      <c r="I169" s="1">
        <v>13</v>
      </c>
      <c r="U169" s="1">
        <v>49</v>
      </c>
      <c r="X169" s="1">
        <v>16</v>
      </c>
      <c r="AA169" s="1">
        <v>2</v>
      </c>
      <c r="AB169" s="1">
        <v>3</v>
      </c>
      <c r="AC169" s="1">
        <v>592</v>
      </c>
      <c r="AF169" s="3">
        <v>1.8232819074333801</v>
      </c>
      <c r="AG169" s="3">
        <v>2.1692462154680339</v>
      </c>
      <c r="AH169" s="1">
        <v>6253</v>
      </c>
      <c r="AI169" s="1" t="b">
        <v>1</v>
      </c>
    </row>
    <row r="170" spans="1:35" x14ac:dyDescent="0.25">
      <c r="A170" s="1">
        <v>4</v>
      </c>
      <c r="B170" s="1">
        <v>11</v>
      </c>
      <c r="C170" s="1">
        <v>2019</v>
      </c>
      <c r="G170" s="1" t="s">
        <v>38</v>
      </c>
      <c r="H170" s="2">
        <v>5.79</v>
      </c>
      <c r="I170" s="1">
        <v>8</v>
      </c>
      <c r="U170" s="1">
        <v>36</v>
      </c>
      <c r="X170" s="1">
        <v>8</v>
      </c>
      <c r="AA170" s="1">
        <v>1</v>
      </c>
      <c r="AB170" s="1">
        <v>3</v>
      </c>
      <c r="AC170" s="1">
        <v>459</v>
      </c>
      <c r="AF170" s="3">
        <v>1.3816925734024179</v>
      </c>
      <c r="AG170" s="3">
        <v>2.4743639027901252</v>
      </c>
      <c r="AH170" s="1">
        <v>6253</v>
      </c>
      <c r="AI170" s="1" t="b">
        <v>1</v>
      </c>
    </row>
    <row r="171" spans="1:35" x14ac:dyDescent="0.25">
      <c r="A171" s="1">
        <v>4</v>
      </c>
      <c r="B171" s="1">
        <v>11</v>
      </c>
      <c r="C171" s="1">
        <v>2019</v>
      </c>
      <c r="G171" s="1" t="s">
        <v>38</v>
      </c>
      <c r="H171" s="2">
        <v>8.7899999999999991</v>
      </c>
      <c r="I171" s="1">
        <v>11</v>
      </c>
      <c r="U171" s="1">
        <v>73</v>
      </c>
      <c r="X171" s="1">
        <v>16</v>
      </c>
      <c r="AA171" s="1">
        <v>2</v>
      </c>
      <c r="AB171" s="1">
        <v>3</v>
      </c>
      <c r="AC171" s="1">
        <v>679</v>
      </c>
      <c r="AF171" s="3">
        <v>1.2514220705346986</v>
      </c>
      <c r="AG171" s="3">
        <v>3.6592190015441757</v>
      </c>
      <c r="AH171" s="1">
        <v>6253</v>
      </c>
      <c r="AI171" s="1" t="b">
        <v>1</v>
      </c>
    </row>
    <row r="172" spans="1:35" x14ac:dyDescent="0.25">
      <c r="A172" s="1">
        <v>4</v>
      </c>
      <c r="B172" s="1">
        <v>11</v>
      </c>
      <c r="C172" s="1">
        <v>2019</v>
      </c>
      <c r="G172" s="1" t="s">
        <v>38</v>
      </c>
      <c r="H172" s="2">
        <v>10.36</v>
      </c>
      <c r="I172" s="1">
        <v>19</v>
      </c>
      <c r="U172" s="1">
        <v>89</v>
      </c>
      <c r="X172" s="1">
        <v>24</v>
      </c>
      <c r="AA172" s="1">
        <v>2</v>
      </c>
      <c r="AB172" s="1">
        <v>1</v>
      </c>
      <c r="AC172" s="1">
        <v>688</v>
      </c>
      <c r="AF172" s="3">
        <v>1.8339768339768341</v>
      </c>
      <c r="AG172" s="3">
        <v>2.8012894343529373</v>
      </c>
      <c r="AH172" s="1">
        <v>6253</v>
      </c>
      <c r="AI172" s="1" t="b">
        <v>1</v>
      </c>
    </row>
    <row r="173" spans="1:35" x14ac:dyDescent="0.25">
      <c r="A173" s="1">
        <v>4</v>
      </c>
      <c r="B173" s="1">
        <v>11</v>
      </c>
      <c r="C173" s="1">
        <v>2019</v>
      </c>
      <c r="G173" s="1" t="s">
        <v>38</v>
      </c>
      <c r="H173" s="2">
        <v>8.49</v>
      </c>
      <c r="I173" s="1">
        <v>11</v>
      </c>
      <c r="U173" s="1">
        <v>71</v>
      </c>
      <c r="X173" s="1">
        <v>15</v>
      </c>
      <c r="AA173" s="1">
        <v>2</v>
      </c>
      <c r="AB173" s="1">
        <v>3</v>
      </c>
      <c r="AC173" s="1">
        <v>621</v>
      </c>
      <c r="AF173" s="3">
        <v>1.2956419316843344</v>
      </c>
      <c r="AG173" s="3">
        <v>3.449454241813751</v>
      </c>
      <c r="AH173" s="1">
        <v>6253</v>
      </c>
      <c r="AI173" s="1" t="b">
        <v>1</v>
      </c>
    </row>
    <row r="174" spans="1:35" x14ac:dyDescent="0.25">
      <c r="A174" s="1">
        <v>4</v>
      </c>
      <c r="B174" s="1">
        <v>11</v>
      </c>
      <c r="C174" s="1">
        <v>2019</v>
      </c>
      <c r="G174" s="1" t="s">
        <v>38</v>
      </c>
      <c r="H174" s="2">
        <v>10.68</v>
      </c>
      <c r="I174" s="1">
        <v>12</v>
      </c>
      <c r="U174" s="1">
        <v>81</v>
      </c>
      <c r="X174" s="1">
        <v>19</v>
      </c>
      <c r="AA174" s="1">
        <v>5</v>
      </c>
      <c r="AB174" s="1">
        <v>5</v>
      </c>
      <c r="AC174" s="1">
        <v>777</v>
      </c>
      <c r="AF174" s="3">
        <v>1.1235955056179776</v>
      </c>
      <c r="AG174" s="3">
        <v>4.6707850721333211</v>
      </c>
      <c r="AH174" s="1">
        <v>6253</v>
      </c>
      <c r="AI174" s="1" t="b">
        <v>1</v>
      </c>
    </row>
    <row r="175" spans="1:35" x14ac:dyDescent="0.25">
      <c r="A175" s="1">
        <v>4</v>
      </c>
      <c r="B175" s="1">
        <v>11</v>
      </c>
      <c r="C175" s="1">
        <v>2019</v>
      </c>
      <c r="G175" s="1" t="s">
        <v>38</v>
      </c>
      <c r="H175" s="2">
        <v>11.73</v>
      </c>
      <c r="I175" s="1">
        <v>18</v>
      </c>
      <c r="U175" s="1">
        <v>113</v>
      </c>
      <c r="X175" s="1">
        <v>22</v>
      </c>
      <c r="AA175" s="1">
        <v>3</v>
      </c>
      <c r="AB175" s="1">
        <v>3</v>
      </c>
      <c r="AC175" s="1">
        <v>742</v>
      </c>
      <c r="AF175" s="3">
        <v>1.5345268542199488</v>
      </c>
      <c r="AG175" s="3">
        <v>3.6520281420635055</v>
      </c>
      <c r="AH175" s="1">
        <v>6253</v>
      </c>
      <c r="AI175" s="1" t="b">
        <v>1</v>
      </c>
    </row>
    <row r="176" spans="1:35" x14ac:dyDescent="0.25">
      <c r="A176" s="1">
        <v>4</v>
      </c>
      <c r="B176" s="1">
        <v>11</v>
      </c>
      <c r="C176" s="1">
        <v>2019</v>
      </c>
      <c r="G176" s="1" t="s">
        <v>38</v>
      </c>
      <c r="H176" s="2">
        <v>10.15</v>
      </c>
      <c r="I176" s="1">
        <v>13</v>
      </c>
      <c r="U176" s="1">
        <v>74</v>
      </c>
      <c r="X176" s="1">
        <v>19</v>
      </c>
      <c r="AA176" s="1">
        <v>3</v>
      </c>
      <c r="AB176" s="1">
        <v>4</v>
      </c>
      <c r="AC176" s="1">
        <v>750</v>
      </c>
      <c r="AF176" s="3">
        <v>1.2807881773399015</v>
      </c>
      <c r="AG176" s="3">
        <v>3.9541115720637938</v>
      </c>
      <c r="AH176" s="1">
        <v>6253</v>
      </c>
      <c r="AI176" s="1" t="b">
        <v>1</v>
      </c>
    </row>
    <row r="177" spans="1:35" x14ac:dyDescent="0.25">
      <c r="A177" s="1">
        <v>4</v>
      </c>
      <c r="B177" s="1">
        <v>11</v>
      </c>
      <c r="C177" s="1">
        <v>2019</v>
      </c>
      <c r="G177" s="1" t="s">
        <v>38</v>
      </c>
      <c r="H177" s="2">
        <v>8.08</v>
      </c>
      <c r="I177" s="1">
        <v>12</v>
      </c>
      <c r="U177" s="1">
        <v>78</v>
      </c>
      <c r="X177" s="1">
        <v>15</v>
      </c>
      <c r="AA177" s="1">
        <v>2</v>
      </c>
      <c r="AB177" s="1">
        <v>2</v>
      </c>
      <c r="AC177" s="1">
        <v>570</v>
      </c>
      <c r="AF177" s="3">
        <v>1.4851485148514851</v>
      </c>
      <c r="AG177" s="3">
        <v>2.9068195156165757</v>
      </c>
      <c r="AH177" s="1">
        <v>6253</v>
      </c>
      <c r="AI177" s="1" t="b">
        <v>1</v>
      </c>
    </row>
    <row r="178" spans="1:35" x14ac:dyDescent="0.25">
      <c r="A178" s="1">
        <v>4</v>
      </c>
      <c r="B178" s="1">
        <v>11</v>
      </c>
      <c r="C178" s="1">
        <v>2019</v>
      </c>
      <c r="G178" s="1" t="s">
        <v>38</v>
      </c>
      <c r="H178" s="2">
        <v>11.55</v>
      </c>
      <c r="I178" s="1">
        <v>22</v>
      </c>
      <c r="U178" s="1">
        <v>100</v>
      </c>
      <c r="X178" s="1">
        <v>29</v>
      </c>
      <c r="AA178" s="1">
        <v>3</v>
      </c>
      <c r="AB178" s="1">
        <v>4</v>
      </c>
      <c r="AC178" s="1">
        <v>865</v>
      </c>
      <c r="AF178" s="3">
        <v>1.9047619047619047</v>
      </c>
      <c r="AG178" s="3">
        <v>2.9104938930710147</v>
      </c>
      <c r="AH178" s="1">
        <v>6253</v>
      </c>
      <c r="AI178" s="1" t="b">
        <v>1</v>
      </c>
    </row>
    <row r="179" spans="1:35" x14ac:dyDescent="0.25">
      <c r="A179" s="1">
        <v>4</v>
      </c>
      <c r="B179" s="1">
        <v>11</v>
      </c>
      <c r="C179" s="1">
        <v>2019</v>
      </c>
      <c r="G179" s="1" t="s">
        <v>38</v>
      </c>
      <c r="H179" s="2">
        <v>12.41</v>
      </c>
      <c r="I179" s="1">
        <v>23</v>
      </c>
      <c r="U179" s="1">
        <v>100</v>
      </c>
      <c r="X179" s="1">
        <v>27</v>
      </c>
      <c r="AA179" s="1">
        <v>1</v>
      </c>
      <c r="AB179" s="1">
        <v>1</v>
      </c>
      <c r="AC179" s="1">
        <v>889</v>
      </c>
      <c r="AF179" s="3">
        <v>1.8533440773569703</v>
      </c>
      <c r="AG179" s="3">
        <v>3.1454601867493515</v>
      </c>
      <c r="AH179" s="1">
        <v>6253</v>
      </c>
      <c r="AI179" s="1" t="b">
        <v>1</v>
      </c>
    </row>
    <row r="180" spans="1:35" x14ac:dyDescent="0.25">
      <c r="A180" s="1">
        <v>4</v>
      </c>
      <c r="B180" s="1">
        <v>11</v>
      </c>
      <c r="C180" s="1">
        <v>2019</v>
      </c>
      <c r="G180" s="1" t="s">
        <v>38</v>
      </c>
      <c r="H180" s="2">
        <v>5.96</v>
      </c>
      <c r="I180" s="1">
        <v>12</v>
      </c>
      <c r="U180" s="1">
        <v>45</v>
      </c>
      <c r="X180" s="1">
        <v>14</v>
      </c>
      <c r="AA180" s="1">
        <v>2</v>
      </c>
      <c r="AB180" s="1">
        <v>3</v>
      </c>
      <c r="AC180" s="1">
        <v>563</v>
      </c>
      <c r="AF180" s="3">
        <v>2.0134228187919465</v>
      </c>
      <c r="AG180" s="3">
        <v>1.7327559368056662</v>
      </c>
      <c r="AH180" s="1">
        <v>6253</v>
      </c>
      <c r="AI180" s="1" t="b">
        <v>1</v>
      </c>
    </row>
    <row r="181" spans="1:35" x14ac:dyDescent="0.25">
      <c r="A181" s="1">
        <v>5</v>
      </c>
      <c r="B181" s="1">
        <v>11</v>
      </c>
      <c r="C181" s="1">
        <v>2019</v>
      </c>
      <c r="G181" s="1" t="s">
        <v>38</v>
      </c>
      <c r="H181" s="2">
        <v>6.08</v>
      </c>
      <c r="I181" s="1">
        <v>17</v>
      </c>
      <c r="U181" s="1">
        <v>24</v>
      </c>
      <c r="X181" s="1">
        <v>22</v>
      </c>
      <c r="AA181" s="1">
        <v>3</v>
      </c>
      <c r="AB181" s="1">
        <v>3</v>
      </c>
      <c r="AC181" s="1">
        <v>937</v>
      </c>
      <c r="AF181" s="3">
        <v>2.7960526315789473</v>
      </c>
      <c r="AG181" s="3">
        <v>1.2652815152324823</v>
      </c>
      <c r="AH181" s="1">
        <v>6253</v>
      </c>
      <c r="AI181" s="1" t="b">
        <v>1</v>
      </c>
    </row>
    <row r="182" spans="1:35" x14ac:dyDescent="0.25">
      <c r="A182" s="1">
        <v>5</v>
      </c>
      <c r="B182" s="1">
        <v>11</v>
      </c>
      <c r="C182" s="1">
        <v>2019</v>
      </c>
      <c r="G182" s="1" t="s">
        <v>38</v>
      </c>
      <c r="H182" s="2">
        <v>6.61</v>
      </c>
      <c r="I182" s="1">
        <v>20</v>
      </c>
      <c r="U182" s="1">
        <v>28</v>
      </c>
      <c r="X182" s="1">
        <v>23</v>
      </c>
      <c r="AA182" s="1">
        <v>2</v>
      </c>
      <c r="AB182" s="1">
        <v>1</v>
      </c>
      <c r="AC182" s="1">
        <v>875</v>
      </c>
      <c r="AF182" s="3">
        <v>3.02571860816944</v>
      </c>
      <c r="AG182" s="3">
        <v>1.239688251607397</v>
      </c>
      <c r="AH182" s="1">
        <v>6253</v>
      </c>
      <c r="AI182" s="1" t="b">
        <v>1</v>
      </c>
    </row>
    <row r="183" spans="1:35" x14ac:dyDescent="0.25">
      <c r="A183" s="1">
        <v>5</v>
      </c>
      <c r="B183" s="1">
        <v>11</v>
      </c>
      <c r="C183" s="1">
        <v>2019</v>
      </c>
      <c r="G183" s="1" t="s">
        <v>38</v>
      </c>
      <c r="H183" s="2">
        <v>4.34</v>
      </c>
      <c r="I183" s="1">
        <v>11</v>
      </c>
      <c r="U183" s="1">
        <v>16</v>
      </c>
      <c r="X183" s="1">
        <v>13</v>
      </c>
      <c r="AA183" s="1">
        <v>2</v>
      </c>
      <c r="AB183" s="1">
        <v>2</v>
      </c>
      <c r="AC183" s="1">
        <v>559</v>
      </c>
      <c r="AF183" s="3">
        <v>2.5345622119815667</v>
      </c>
      <c r="AG183" s="3">
        <v>1.1024016510825889</v>
      </c>
      <c r="AH183" s="1">
        <v>6253</v>
      </c>
      <c r="AI183" s="1" t="b">
        <v>1</v>
      </c>
    </row>
    <row r="184" spans="1:35" x14ac:dyDescent="0.25">
      <c r="A184" s="1">
        <v>5</v>
      </c>
      <c r="B184" s="1">
        <v>11</v>
      </c>
      <c r="C184" s="1">
        <v>2019</v>
      </c>
      <c r="G184" s="1" t="s">
        <v>38</v>
      </c>
      <c r="H184" s="2">
        <v>5.48</v>
      </c>
      <c r="I184" s="1">
        <v>14</v>
      </c>
      <c r="U184" s="1">
        <v>23</v>
      </c>
      <c r="X184" s="1">
        <v>20</v>
      </c>
      <c r="AA184" s="1">
        <v>3</v>
      </c>
      <c r="AB184" s="1">
        <v>4</v>
      </c>
      <c r="AC184" s="1">
        <v>742</v>
      </c>
      <c r="AF184" s="3">
        <v>2.554744525547445</v>
      </c>
      <c r="AG184" s="3">
        <v>1.2876532067580926</v>
      </c>
      <c r="AH184" s="1">
        <v>6253</v>
      </c>
      <c r="AI184" s="1" t="b">
        <v>1</v>
      </c>
    </row>
    <row r="185" spans="1:35" x14ac:dyDescent="0.25">
      <c r="A185" s="1">
        <v>5</v>
      </c>
      <c r="B185" s="1">
        <v>11</v>
      </c>
      <c r="C185" s="1">
        <v>2019</v>
      </c>
      <c r="G185" s="1" t="s">
        <v>38</v>
      </c>
      <c r="H185" s="2">
        <v>10.09</v>
      </c>
      <c r="I185" s="1">
        <v>27</v>
      </c>
      <c r="U185" s="1">
        <v>43</v>
      </c>
      <c r="X185" s="1">
        <v>36</v>
      </c>
      <c r="AA185" s="1">
        <v>4</v>
      </c>
      <c r="AB185" s="1">
        <v>2</v>
      </c>
      <c r="AC185" s="1">
        <v>1510</v>
      </c>
      <c r="AF185" s="3">
        <v>2.67591674925669</v>
      </c>
      <c r="AG185" s="3">
        <v>1.8847390049798987</v>
      </c>
      <c r="AH185" s="1">
        <v>6253</v>
      </c>
      <c r="AI185" s="1" t="b">
        <v>1</v>
      </c>
    </row>
    <row r="186" spans="1:35" x14ac:dyDescent="0.25">
      <c r="A186" s="1">
        <v>5</v>
      </c>
      <c r="B186" s="1">
        <v>11</v>
      </c>
      <c r="C186" s="1">
        <v>2019</v>
      </c>
      <c r="G186" s="1" t="s">
        <v>38</v>
      </c>
      <c r="H186" s="2">
        <v>6.15</v>
      </c>
      <c r="I186" s="1">
        <v>13</v>
      </c>
      <c r="U186" s="1">
        <v>25</v>
      </c>
      <c r="X186" s="1">
        <v>23</v>
      </c>
      <c r="AA186" s="1">
        <v>4</v>
      </c>
      <c r="AB186" s="1">
        <v>4</v>
      </c>
      <c r="AC186" s="1">
        <v>762</v>
      </c>
      <c r="AF186" s="3">
        <v>2.1138211382113821</v>
      </c>
      <c r="AG186" s="3">
        <v>1.6871136706266801</v>
      </c>
      <c r="AH186" s="1">
        <v>6253</v>
      </c>
      <c r="AI186" s="1" t="b">
        <v>1</v>
      </c>
    </row>
    <row r="187" spans="1:35" x14ac:dyDescent="0.25">
      <c r="A187" s="1">
        <v>5</v>
      </c>
      <c r="B187" s="1">
        <v>11</v>
      </c>
      <c r="C187" s="1">
        <v>2019</v>
      </c>
      <c r="G187" s="1" t="s">
        <v>38</v>
      </c>
      <c r="H187" s="2">
        <v>5.95</v>
      </c>
      <c r="I187" s="1">
        <v>18</v>
      </c>
      <c r="U187" s="1">
        <v>26</v>
      </c>
      <c r="X187" s="1">
        <v>22</v>
      </c>
      <c r="AA187" s="1">
        <v>2</v>
      </c>
      <c r="AB187" s="1">
        <v>2</v>
      </c>
      <c r="AC187" s="1">
        <v>851</v>
      </c>
      <c r="AF187" s="3">
        <v>3.0252100840336134</v>
      </c>
      <c r="AG187" s="3">
        <v>1.1518776100476926</v>
      </c>
      <c r="AH187" s="1">
        <v>6253</v>
      </c>
      <c r="AI187" s="1" t="b">
        <v>1</v>
      </c>
    </row>
    <row r="188" spans="1:35" x14ac:dyDescent="0.25">
      <c r="A188" s="1">
        <v>5</v>
      </c>
      <c r="B188" s="1">
        <v>11</v>
      </c>
      <c r="C188" s="1">
        <v>2019</v>
      </c>
      <c r="G188" s="1" t="s">
        <v>38</v>
      </c>
      <c r="H188" s="2">
        <v>5.72</v>
      </c>
      <c r="I188" s="1">
        <v>14</v>
      </c>
      <c r="U188" s="1">
        <v>26</v>
      </c>
      <c r="X188" s="1">
        <v>20</v>
      </c>
      <c r="AA188" s="1">
        <v>4</v>
      </c>
      <c r="AB188" s="1">
        <v>7</v>
      </c>
      <c r="AC188" s="1">
        <v>857</v>
      </c>
      <c r="AF188" s="3">
        <v>2.4475524475524475</v>
      </c>
      <c r="AG188" s="3">
        <v>1.3849854574535558</v>
      </c>
      <c r="AH188" s="1">
        <v>6253</v>
      </c>
      <c r="AI188" s="1" t="b">
        <v>1</v>
      </c>
    </row>
    <row r="189" spans="1:35" x14ac:dyDescent="0.25">
      <c r="A189" s="1">
        <v>5</v>
      </c>
      <c r="B189" s="1">
        <v>11</v>
      </c>
      <c r="C189" s="1">
        <v>2019</v>
      </c>
      <c r="G189" s="1" t="s">
        <v>38</v>
      </c>
      <c r="H189" s="2">
        <v>3.33</v>
      </c>
      <c r="I189" s="1">
        <v>10</v>
      </c>
      <c r="U189" s="1">
        <v>13</v>
      </c>
      <c r="X189" s="1">
        <v>11</v>
      </c>
      <c r="AA189" s="1">
        <v>1</v>
      </c>
      <c r="AB189" s="1">
        <v>4</v>
      </c>
      <c r="AC189" s="1">
        <v>549</v>
      </c>
      <c r="AF189" s="3">
        <v>3.0030030030030028</v>
      </c>
      <c r="AG189" s="3">
        <v>0.77295675509676465</v>
      </c>
      <c r="AH189" s="1">
        <v>6253</v>
      </c>
      <c r="AI189" s="1" t="b">
        <v>1</v>
      </c>
    </row>
    <row r="190" spans="1:35" x14ac:dyDescent="0.25">
      <c r="A190" s="1">
        <v>5</v>
      </c>
      <c r="B190" s="1">
        <v>11</v>
      </c>
      <c r="C190" s="1">
        <v>2019</v>
      </c>
      <c r="G190" s="1" t="s">
        <v>38</v>
      </c>
      <c r="H190" s="2">
        <v>6.2</v>
      </c>
      <c r="I190" s="1">
        <v>17</v>
      </c>
      <c r="U190" s="1">
        <v>30</v>
      </c>
      <c r="X190" s="1">
        <v>25</v>
      </c>
      <c r="AA190" s="1">
        <v>4</v>
      </c>
      <c r="AB190" s="1">
        <v>1</v>
      </c>
      <c r="AC190" s="1">
        <v>882</v>
      </c>
      <c r="AF190" s="3">
        <v>2.7419354838709675</v>
      </c>
      <c r="AG190" s="3">
        <v>1.3080277291033049</v>
      </c>
      <c r="AH190" s="1">
        <v>6253</v>
      </c>
      <c r="AI190" s="1" t="b">
        <v>1</v>
      </c>
    </row>
    <row r="191" spans="1:35" x14ac:dyDescent="0.25">
      <c r="A191" s="1">
        <v>5</v>
      </c>
      <c r="B191" s="1">
        <v>11</v>
      </c>
      <c r="C191" s="1">
        <v>2019</v>
      </c>
      <c r="G191" s="1" t="s">
        <v>38</v>
      </c>
      <c r="H191" s="2">
        <v>3.59</v>
      </c>
      <c r="I191" s="1">
        <v>10</v>
      </c>
      <c r="U191" s="1">
        <v>16</v>
      </c>
      <c r="X191" s="1">
        <v>12</v>
      </c>
      <c r="AA191" s="1">
        <v>2</v>
      </c>
      <c r="AB191" s="1">
        <v>7</v>
      </c>
      <c r="AC191" s="1">
        <v>536</v>
      </c>
      <c r="AF191" s="3">
        <v>2.785515320334262</v>
      </c>
      <c r="AG191" s="3">
        <v>0.87833575571945199</v>
      </c>
      <c r="AH191" s="1">
        <v>6253</v>
      </c>
      <c r="AI191" s="1" t="b">
        <v>1</v>
      </c>
    </row>
    <row r="192" spans="1:35" x14ac:dyDescent="0.25">
      <c r="A192" s="1">
        <v>5</v>
      </c>
      <c r="B192" s="1">
        <v>11</v>
      </c>
      <c r="C192" s="1">
        <v>2019</v>
      </c>
      <c r="G192" s="1" t="s">
        <v>38</v>
      </c>
      <c r="H192" s="2">
        <v>7.61</v>
      </c>
      <c r="I192" s="1">
        <v>23</v>
      </c>
      <c r="U192" s="1">
        <v>32</v>
      </c>
      <c r="X192" s="1">
        <v>25</v>
      </c>
      <c r="AA192" s="1">
        <v>2</v>
      </c>
      <c r="AB192" s="1">
        <v>2</v>
      </c>
      <c r="AC192" s="1">
        <v>995</v>
      </c>
      <c r="AF192" s="3">
        <v>3.0223390275952693</v>
      </c>
      <c r="AG192" s="3">
        <v>1.3697019703111997</v>
      </c>
      <c r="AH192" s="1">
        <v>6253</v>
      </c>
      <c r="AI192" s="1" t="b">
        <v>1</v>
      </c>
    </row>
    <row r="193" spans="1:35" x14ac:dyDescent="0.25">
      <c r="A193" s="1">
        <v>5</v>
      </c>
      <c r="B193" s="1">
        <v>11</v>
      </c>
      <c r="C193" s="1">
        <v>2019</v>
      </c>
      <c r="G193" s="1" t="s">
        <v>38</v>
      </c>
      <c r="H193" s="2">
        <v>5.34</v>
      </c>
      <c r="I193" s="1">
        <v>17</v>
      </c>
      <c r="U193" s="1">
        <v>19</v>
      </c>
      <c r="X193" s="1">
        <v>17</v>
      </c>
      <c r="AA193" s="1">
        <v>2</v>
      </c>
      <c r="AB193" s="1">
        <v>7</v>
      </c>
      <c r="AC193" s="1">
        <v>757</v>
      </c>
      <c r="AF193" s="3">
        <v>3.1835205992509366</v>
      </c>
      <c r="AG193" s="3">
        <v>1.0147784024985478</v>
      </c>
      <c r="AH193" s="1">
        <v>6253</v>
      </c>
      <c r="AI193" s="1" t="b">
        <v>1</v>
      </c>
    </row>
    <row r="194" spans="1:35" x14ac:dyDescent="0.25">
      <c r="A194" s="1">
        <v>5</v>
      </c>
      <c r="B194" s="1">
        <v>11</v>
      </c>
      <c r="C194" s="1">
        <v>2019</v>
      </c>
      <c r="G194" s="1" t="s">
        <v>38</v>
      </c>
      <c r="H194" s="2">
        <v>5.57</v>
      </c>
      <c r="I194" s="1">
        <v>14</v>
      </c>
      <c r="U194" s="1">
        <v>22</v>
      </c>
      <c r="X194" s="1">
        <v>18</v>
      </c>
      <c r="AA194" s="1">
        <v>2</v>
      </c>
      <c r="AB194" s="1">
        <v>2</v>
      </c>
      <c r="AC194" s="1">
        <v>873</v>
      </c>
      <c r="AF194" s="3">
        <v>2.5134649910233393</v>
      </c>
      <c r="AG194" s="3">
        <v>1.3238104228197327</v>
      </c>
      <c r="AH194" s="1">
        <v>6253</v>
      </c>
      <c r="AI194" s="1" t="b">
        <v>1</v>
      </c>
    </row>
    <row r="195" spans="1:35" x14ac:dyDescent="0.25">
      <c r="A195" s="1">
        <v>5</v>
      </c>
      <c r="B195" s="1">
        <v>11</v>
      </c>
      <c r="C195" s="1">
        <v>2019</v>
      </c>
      <c r="G195" s="1" t="s">
        <v>38</v>
      </c>
      <c r="H195" s="2">
        <v>5.0999999999999996</v>
      </c>
      <c r="I195" s="1">
        <v>10</v>
      </c>
      <c r="U195" s="1">
        <v>18</v>
      </c>
      <c r="X195" s="1">
        <v>12</v>
      </c>
      <c r="AA195" s="1">
        <v>3</v>
      </c>
      <c r="AB195" s="1">
        <v>6</v>
      </c>
      <c r="AC195" s="1">
        <v>681</v>
      </c>
      <c r="AF195" s="3">
        <v>1.9607843137254903</v>
      </c>
      <c r="AG195" s="3">
        <v>1.5953989407385711</v>
      </c>
      <c r="AH195" s="1">
        <v>6253</v>
      </c>
      <c r="AI195" s="1" t="b">
        <v>1</v>
      </c>
    </row>
    <row r="196" spans="1:35" x14ac:dyDescent="0.25">
      <c r="A196" s="1">
        <v>5</v>
      </c>
      <c r="B196" s="1">
        <v>11</v>
      </c>
      <c r="C196" s="1">
        <v>2019</v>
      </c>
      <c r="G196" s="1" t="s">
        <v>38</v>
      </c>
      <c r="H196" s="2">
        <v>7.23</v>
      </c>
      <c r="I196" s="1">
        <v>19</v>
      </c>
      <c r="U196" s="1">
        <v>28</v>
      </c>
      <c r="X196" s="1">
        <v>24</v>
      </c>
      <c r="AA196" s="1">
        <v>3</v>
      </c>
      <c r="AB196" s="1">
        <v>4</v>
      </c>
      <c r="AC196" s="1">
        <v>1079</v>
      </c>
      <c r="AF196" s="3">
        <v>2.627939142461964</v>
      </c>
      <c r="AG196" s="3">
        <v>1.5197827276777738</v>
      </c>
      <c r="AH196" s="1">
        <v>6253</v>
      </c>
      <c r="AI196" s="1" t="b">
        <v>1</v>
      </c>
    </row>
    <row r="197" spans="1:35" x14ac:dyDescent="0.25">
      <c r="A197" s="1">
        <v>5</v>
      </c>
      <c r="B197" s="1">
        <v>11</v>
      </c>
      <c r="C197" s="1">
        <v>2019</v>
      </c>
      <c r="G197" s="1" t="s">
        <v>38</v>
      </c>
      <c r="H197" s="2">
        <v>5.59</v>
      </c>
      <c r="I197" s="1">
        <v>18</v>
      </c>
      <c r="U197" s="1">
        <v>21</v>
      </c>
      <c r="X197" s="1">
        <v>20</v>
      </c>
      <c r="AA197" s="1">
        <v>2</v>
      </c>
      <c r="AB197" s="1">
        <v>1</v>
      </c>
      <c r="AC197" s="1">
        <v>792</v>
      </c>
      <c r="AF197" s="3">
        <v>3.2200357781753133</v>
      </c>
      <c r="AG197" s="3">
        <v>1.0359232212078833</v>
      </c>
      <c r="AH197" s="1">
        <v>6253</v>
      </c>
      <c r="AI197" s="1" t="b">
        <v>1</v>
      </c>
    </row>
    <row r="198" spans="1:35" x14ac:dyDescent="0.25">
      <c r="A198" s="1">
        <v>5</v>
      </c>
      <c r="B198" s="1">
        <v>11</v>
      </c>
      <c r="C198" s="1">
        <v>2019</v>
      </c>
      <c r="G198" s="1" t="s">
        <v>38</v>
      </c>
      <c r="H198" s="2">
        <v>5.16</v>
      </c>
      <c r="I198" s="1">
        <v>14</v>
      </c>
      <c r="V198" s="1">
        <v>24</v>
      </c>
      <c r="X198" s="1">
        <v>19</v>
      </c>
      <c r="AA198" s="1">
        <v>3</v>
      </c>
      <c r="AB198" s="1">
        <v>4</v>
      </c>
      <c r="AC198" s="1">
        <v>635</v>
      </c>
      <c r="AF198" s="3">
        <v>2.7131782945736433</v>
      </c>
      <c r="AG198" s="3">
        <v>1.1624558224034069</v>
      </c>
      <c r="AH198" s="1">
        <v>6253</v>
      </c>
      <c r="AI198" s="1" t="b">
        <v>1</v>
      </c>
    </row>
    <row r="199" spans="1:35" x14ac:dyDescent="0.25">
      <c r="A199" s="1">
        <v>5</v>
      </c>
      <c r="B199" s="1">
        <v>11</v>
      </c>
      <c r="C199" s="1">
        <v>2019</v>
      </c>
      <c r="G199" s="1" t="s">
        <v>38</v>
      </c>
      <c r="H199" s="2">
        <v>7.16</v>
      </c>
      <c r="I199" s="1">
        <v>16</v>
      </c>
      <c r="V199" s="1">
        <v>31</v>
      </c>
      <c r="X199" s="1">
        <v>25</v>
      </c>
      <c r="AA199" s="1">
        <v>4</v>
      </c>
      <c r="AB199" s="1">
        <v>5</v>
      </c>
      <c r="AC199" s="1">
        <v>945</v>
      </c>
      <c r="AF199" s="3">
        <v>2.2346368715083798</v>
      </c>
      <c r="AG199" s="3">
        <v>1.7751381402881132</v>
      </c>
      <c r="AH199" s="1">
        <v>6253</v>
      </c>
      <c r="AI199" s="1" t="b">
        <v>1</v>
      </c>
    </row>
    <row r="200" spans="1:35" x14ac:dyDescent="0.25">
      <c r="A200" s="1">
        <v>5</v>
      </c>
      <c r="B200" s="1">
        <v>11</v>
      </c>
      <c r="C200" s="1">
        <v>2019</v>
      </c>
      <c r="G200" s="1" t="s">
        <v>38</v>
      </c>
      <c r="H200" s="2">
        <v>7.8</v>
      </c>
      <c r="I200" s="1">
        <v>19</v>
      </c>
      <c r="V200" s="1">
        <v>34</v>
      </c>
      <c r="X200" s="1">
        <v>29</v>
      </c>
      <c r="AA200" s="1">
        <v>5</v>
      </c>
      <c r="AB200" s="1">
        <v>4</v>
      </c>
      <c r="AC200" s="1">
        <v>995</v>
      </c>
      <c r="AF200" s="3">
        <v>2.4358974358974361</v>
      </c>
      <c r="AG200" s="3">
        <v>1.7290486917718597</v>
      </c>
      <c r="AH200" s="1">
        <v>6253</v>
      </c>
      <c r="AI200" s="1" t="b">
        <v>1</v>
      </c>
    </row>
    <row r="201" spans="1:35" x14ac:dyDescent="0.25">
      <c r="A201" s="1">
        <v>5</v>
      </c>
      <c r="B201" s="1">
        <v>11</v>
      </c>
      <c r="C201" s="1">
        <v>2019</v>
      </c>
      <c r="G201" s="1" t="s">
        <v>38</v>
      </c>
      <c r="H201" s="2">
        <v>5.18</v>
      </c>
      <c r="I201" s="1">
        <v>10</v>
      </c>
      <c r="U201" s="1">
        <v>21</v>
      </c>
      <c r="X201" s="1">
        <v>18</v>
      </c>
      <c r="AA201" s="1">
        <v>4</v>
      </c>
      <c r="AB201" s="1">
        <v>3</v>
      </c>
      <c r="AC201" s="1">
        <v>743</v>
      </c>
      <c r="AF201" s="3">
        <v>1.9305019305019306</v>
      </c>
      <c r="AG201" s="3">
        <v>1.6381761227012359</v>
      </c>
      <c r="AH201" s="1">
        <v>6253</v>
      </c>
      <c r="AI201" s="1" t="b">
        <v>1</v>
      </c>
    </row>
    <row r="202" spans="1:35" x14ac:dyDescent="0.25">
      <c r="A202" s="1">
        <v>5</v>
      </c>
      <c r="B202" s="1">
        <v>11</v>
      </c>
      <c r="C202" s="1">
        <v>2019</v>
      </c>
      <c r="G202" s="1" t="s">
        <v>38</v>
      </c>
      <c r="H202" s="2">
        <v>7.95</v>
      </c>
      <c r="I202" s="1">
        <v>22</v>
      </c>
      <c r="V202" s="1">
        <v>30</v>
      </c>
      <c r="X202" s="1">
        <v>24</v>
      </c>
      <c r="AA202" s="1">
        <v>2</v>
      </c>
      <c r="AB202" s="1">
        <v>2</v>
      </c>
      <c r="AC202" s="1">
        <v>1009</v>
      </c>
      <c r="AF202" s="3">
        <v>2.7672955974842766</v>
      </c>
      <c r="AG202" s="3">
        <v>1.5424157024833591</v>
      </c>
      <c r="AH202" s="1">
        <v>6253</v>
      </c>
      <c r="AI202" s="1" t="b">
        <v>1</v>
      </c>
    </row>
    <row r="203" spans="1:35" x14ac:dyDescent="0.25">
      <c r="A203" s="1">
        <v>5</v>
      </c>
      <c r="B203" s="1">
        <v>11</v>
      </c>
      <c r="C203" s="1">
        <v>2019</v>
      </c>
      <c r="G203" s="1" t="s">
        <v>38</v>
      </c>
      <c r="H203" s="2">
        <v>3.05</v>
      </c>
      <c r="I203" s="1">
        <v>9</v>
      </c>
      <c r="U203" s="1">
        <v>11</v>
      </c>
      <c r="X203" s="1">
        <v>9</v>
      </c>
      <c r="AA203" s="1">
        <v>1</v>
      </c>
      <c r="AB203" s="1">
        <v>3</v>
      </c>
      <c r="AC203" s="1">
        <v>423</v>
      </c>
      <c r="AF203" s="3">
        <v>2.9508196721311477</v>
      </c>
      <c r="AG203" s="3">
        <v>0.73971975550932922</v>
      </c>
      <c r="AH203" s="1">
        <v>6253</v>
      </c>
      <c r="AI203" s="1" t="b">
        <v>1</v>
      </c>
    </row>
    <row r="204" spans="1:35" x14ac:dyDescent="0.25">
      <c r="A204" s="1">
        <v>5</v>
      </c>
      <c r="B204" s="1">
        <v>11</v>
      </c>
      <c r="C204" s="1">
        <v>2019</v>
      </c>
      <c r="G204" s="1" t="s">
        <v>38</v>
      </c>
      <c r="H204" s="2">
        <v>27.77</v>
      </c>
      <c r="I204" s="1">
        <v>14</v>
      </c>
      <c r="V204" s="1">
        <v>17</v>
      </c>
      <c r="X204" s="1">
        <v>17</v>
      </c>
      <c r="AA204" s="1">
        <v>4</v>
      </c>
      <c r="AB204" s="1">
        <v>5</v>
      </c>
      <c r="AC204" s="1">
        <v>912</v>
      </c>
      <c r="AF204" s="3">
        <v>0.50414115952466687</v>
      </c>
      <c r="AG204" s="3">
        <v>20.3212753215176</v>
      </c>
      <c r="AH204" s="1">
        <v>6253</v>
      </c>
      <c r="AI204" s="1" t="b">
        <v>1</v>
      </c>
    </row>
    <row r="205" spans="1:35" x14ac:dyDescent="0.25">
      <c r="A205" s="1">
        <v>5</v>
      </c>
      <c r="B205" s="1">
        <v>11</v>
      </c>
      <c r="C205" s="1">
        <v>2019</v>
      </c>
      <c r="G205" s="1" t="s">
        <v>38</v>
      </c>
      <c r="H205" s="2">
        <v>7.34</v>
      </c>
      <c r="I205" s="1">
        <v>21</v>
      </c>
      <c r="U205" s="1">
        <v>32</v>
      </c>
      <c r="X205" s="1">
        <v>28</v>
      </c>
      <c r="AA205" s="1">
        <v>3</v>
      </c>
      <c r="AB205" s="1">
        <v>3</v>
      </c>
      <c r="AC205" s="1">
        <v>1268</v>
      </c>
      <c r="AF205" s="3">
        <v>2.8610354223433241</v>
      </c>
      <c r="AG205" s="3">
        <v>1.4107953096081371</v>
      </c>
      <c r="AH205" s="1">
        <v>6253</v>
      </c>
      <c r="AI205" s="1" t="b">
        <v>1</v>
      </c>
    </row>
    <row r="206" spans="1:35" x14ac:dyDescent="0.25">
      <c r="A206" s="1">
        <v>5</v>
      </c>
      <c r="B206" s="1">
        <v>11</v>
      </c>
      <c r="C206" s="1">
        <v>2019</v>
      </c>
      <c r="G206" s="1" t="s">
        <v>38</v>
      </c>
      <c r="H206" s="2">
        <v>4.0999999999999996</v>
      </c>
      <c r="I206" s="1">
        <v>11</v>
      </c>
      <c r="U206" s="1">
        <v>20</v>
      </c>
      <c r="X206" s="1">
        <v>14</v>
      </c>
      <c r="AA206" s="1">
        <v>4</v>
      </c>
      <c r="AB206" s="1">
        <v>4</v>
      </c>
      <c r="AC206" s="1">
        <v>804</v>
      </c>
      <c r="AF206" s="3">
        <v>2.6829268292682928</v>
      </c>
      <c r="AG206" s="3">
        <v>1.0007828888066626</v>
      </c>
      <c r="AH206" s="1">
        <v>6253</v>
      </c>
      <c r="AI206" s="1" t="b">
        <v>1</v>
      </c>
    </row>
    <row r="207" spans="1:35" x14ac:dyDescent="0.25">
      <c r="A207" s="1">
        <v>5</v>
      </c>
      <c r="B207" s="1">
        <v>11</v>
      </c>
      <c r="C207" s="1">
        <v>2019</v>
      </c>
      <c r="G207" s="1" t="s">
        <v>38</v>
      </c>
      <c r="H207" s="2">
        <v>7.88</v>
      </c>
      <c r="I207" s="1">
        <v>18</v>
      </c>
      <c r="U207" s="1">
        <v>33</v>
      </c>
      <c r="X207" s="1">
        <v>30</v>
      </c>
      <c r="AA207" s="1">
        <v>4</v>
      </c>
      <c r="AB207" s="1">
        <v>3</v>
      </c>
      <c r="AC207" s="1">
        <v>1165</v>
      </c>
      <c r="AF207" s="3">
        <v>2.2842639593908629</v>
      </c>
      <c r="AG207" s="3">
        <v>1.8570434474594617</v>
      </c>
      <c r="AH207" s="1">
        <v>6253</v>
      </c>
      <c r="AI207" s="1" t="b">
        <v>1</v>
      </c>
    </row>
    <row r="208" spans="1:35" x14ac:dyDescent="0.25">
      <c r="A208" s="1">
        <v>5</v>
      </c>
      <c r="B208" s="1">
        <v>11</v>
      </c>
      <c r="C208" s="1">
        <v>2019</v>
      </c>
      <c r="G208" s="1" t="s">
        <v>38</v>
      </c>
      <c r="H208" s="2">
        <v>4.66</v>
      </c>
      <c r="I208" s="1">
        <v>16</v>
      </c>
      <c r="U208" s="1">
        <v>22</v>
      </c>
      <c r="X208" s="1">
        <v>20</v>
      </c>
      <c r="AA208" s="1">
        <v>3</v>
      </c>
      <c r="AB208" s="1">
        <v>2</v>
      </c>
      <c r="AC208" s="1">
        <v>822</v>
      </c>
      <c r="AF208" s="3">
        <v>3.4334763948497855</v>
      </c>
      <c r="AG208" s="3">
        <v>0.85533466942382752</v>
      </c>
      <c r="AH208" s="1">
        <v>6253</v>
      </c>
      <c r="AI208" s="1" t="b">
        <v>1</v>
      </c>
    </row>
    <row r="209" spans="1:35" x14ac:dyDescent="0.25">
      <c r="A209" s="1">
        <v>5</v>
      </c>
      <c r="B209" s="1">
        <v>11</v>
      </c>
      <c r="C209" s="1">
        <v>2019</v>
      </c>
      <c r="G209" s="1" t="s">
        <v>38</v>
      </c>
      <c r="H209" s="2">
        <v>7.25</v>
      </c>
      <c r="I209" s="1">
        <v>22</v>
      </c>
      <c r="U209" s="1">
        <v>31</v>
      </c>
      <c r="X209" s="1">
        <v>28</v>
      </c>
      <c r="AA209" s="1">
        <v>3</v>
      </c>
      <c r="AB209" s="1">
        <v>3</v>
      </c>
      <c r="AC209" s="1">
        <v>1167</v>
      </c>
      <c r="AF209" s="3">
        <v>3.0344827586206895</v>
      </c>
      <c r="AG209" s="3">
        <v>1.3187179883555744</v>
      </c>
      <c r="AH209" s="1">
        <v>6253</v>
      </c>
      <c r="AI209" s="1" t="b">
        <v>1</v>
      </c>
    </row>
    <row r="210" spans="1:35" x14ac:dyDescent="0.25">
      <c r="A210" s="1">
        <v>5</v>
      </c>
      <c r="B210" s="1">
        <v>11</v>
      </c>
      <c r="C210" s="1">
        <v>2019</v>
      </c>
      <c r="G210" s="1" t="s">
        <v>38</v>
      </c>
      <c r="H210" s="2">
        <v>5.36</v>
      </c>
      <c r="I210" s="1">
        <v>18</v>
      </c>
      <c r="U210" s="1">
        <v>20</v>
      </c>
      <c r="X210" s="1">
        <v>18</v>
      </c>
      <c r="AA210" s="1">
        <v>1</v>
      </c>
      <c r="AB210" s="1">
        <v>1</v>
      </c>
      <c r="AC210" s="1">
        <v>609</v>
      </c>
      <c r="AF210" s="3">
        <v>3.3582089552238803</v>
      </c>
      <c r="AG210" s="3">
        <v>0.96451200460898512</v>
      </c>
      <c r="AH210" s="1">
        <v>6253</v>
      </c>
      <c r="AI210" s="1" t="b">
        <v>1</v>
      </c>
    </row>
    <row r="211" spans="1:35" x14ac:dyDescent="0.25">
      <c r="A211" s="1">
        <v>5</v>
      </c>
      <c r="B211" s="1">
        <v>11</v>
      </c>
      <c r="C211" s="1">
        <v>2019</v>
      </c>
      <c r="G211" s="1" t="s">
        <v>38</v>
      </c>
      <c r="H211" s="2">
        <v>7.22</v>
      </c>
      <c r="I211" s="1">
        <v>15</v>
      </c>
      <c r="U211" s="1">
        <v>28</v>
      </c>
      <c r="X211" s="1">
        <v>22</v>
      </c>
      <c r="AA211" s="1">
        <v>4</v>
      </c>
      <c r="AB211" s="1">
        <v>4</v>
      </c>
      <c r="AC211" s="1">
        <v>954</v>
      </c>
      <c r="AF211" s="3">
        <v>2.0775623268698062</v>
      </c>
      <c r="AG211" s="3">
        <v>1.9205338971856303</v>
      </c>
      <c r="AH211" s="1">
        <v>6253</v>
      </c>
      <c r="AI211" s="1" t="b">
        <v>1</v>
      </c>
    </row>
    <row r="212" spans="1:35" x14ac:dyDescent="0.25">
      <c r="A212" s="1">
        <v>5</v>
      </c>
      <c r="B212" s="1">
        <v>11</v>
      </c>
      <c r="C212" s="1">
        <v>2019</v>
      </c>
      <c r="G212" s="1" t="s">
        <v>38</v>
      </c>
      <c r="H212" s="2">
        <v>4.3099999999999996</v>
      </c>
      <c r="I212" s="1">
        <v>11</v>
      </c>
      <c r="U212" s="1">
        <v>18</v>
      </c>
      <c r="X212" s="1">
        <v>15</v>
      </c>
      <c r="AA212" s="1">
        <v>2</v>
      </c>
      <c r="AB212" s="1">
        <v>3</v>
      </c>
      <c r="AC212" s="1">
        <v>567</v>
      </c>
      <c r="AF212" s="3">
        <v>2.552204176334107</v>
      </c>
      <c r="AG212" s="3">
        <v>1.0894785248545746</v>
      </c>
      <c r="AH212" s="1">
        <v>6253</v>
      </c>
      <c r="AI212" s="1" t="b">
        <v>1</v>
      </c>
    </row>
    <row r="213" spans="1:35" x14ac:dyDescent="0.25">
      <c r="A213" s="1">
        <v>5</v>
      </c>
      <c r="B213" s="1">
        <v>11</v>
      </c>
      <c r="C213" s="1">
        <v>2019</v>
      </c>
      <c r="G213" s="1" t="s">
        <v>38</v>
      </c>
      <c r="H213" s="2">
        <v>6.41</v>
      </c>
      <c r="I213" s="1">
        <v>23</v>
      </c>
      <c r="U213" s="1">
        <v>30</v>
      </c>
      <c r="X213" s="1">
        <v>26</v>
      </c>
      <c r="AA213" s="1">
        <v>1</v>
      </c>
      <c r="AB213" s="1">
        <v>4</v>
      </c>
      <c r="AC213" s="1">
        <v>951</v>
      </c>
      <c r="AF213" s="3">
        <v>3.5881435257410295</v>
      </c>
      <c r="AG213" s="3">
        <v>1.0231299882713694</v>
      </c>
      <c r="AH213" s="1">
        <v>6253</v>
      </c>
      <c r="AI213" s="1" t="b">
        <v>1</v>
      </c>
    </row>
    <row r="214" spans="1:35" x14ac:dyDescent="0.25">
      <c r="A214" s="1">
        <v>5</v>
      </c>
      <c r="B214" s="1">
        <v>11</v>
      </c>
      <c r="C214" s="1">
        <v>2019</v>
      </c>
      <c r="G214" s="1" t="s">
        <v>38</v>
      </c>
      <c r="H214" s="2">
        <v>4.03</v>
      </c>
      <c r="I214" s="1">
        <v>16</v>
      </c>
      <c r="U214" s="1">
        <v>17</v>
      </c>
      <c r="X214" s="1">
        <v>16</v>
      </c>
      <c r="AA214" s="1">
        <v>1</v>
      </c>
      <c r="AB214" s="1">
        <v>1</v>
      </c>
      <c r="AC214" s="1">
        <v>598</v>
      </c>
      <c r="AF214" s="3">
        <v>3.9702233250620345</v>
      </c>
      <c r="AG214" s="3">
        <v>0.66818788293719189</v>
      </c>
      <c r="AH214" s="1">
        <v>6253</v>
      </c>
      <c r="AI214" s="1" t="b">
        <v>1</v>
      </c>
    </row>
    <row r="215" spans="1:35" x14ac:dyDescent="0.25">
      <c r="A215" s="1">
        <v>5</v>
      </c>
      <c r="B215" s="1">
        <v>11</v>
      </c>
      <c r="C215" s="1">
        <v>2019</v>
      </c>
      <c r="G215" s="1" t="s">
        <v>38</v>
      </c>
      <c r="H215" s="2">
        <v>5.6</v>
      </c>
      <c r="I215" s="1">
        <v>15</v>
      </c>
      <c r="U215" s="1">
        <v>21</v>
      </c>
      <c r="X215" s="1">
        <v>18</v>
      </c>
      <c r="AA215" s="1">
        <v>3</v>
      </c>
      <c r="AB215" s="1">
        <v>1</v>
      </c>
      <c r="AC215" s="1">
        <v>640</v>
      </c>
      <c r="AF215" s="3">
        <v>2.6785714285714288</v>
      </c>
      <c r="AG215" s="3">
        <v>1.246890703194721</v>
      </c>
      <c r="AH215" s="1">
        <v>6253</v>
      </c>
      <c r="AI215" s="1" t="b">
        <v>1</v>
      </c>
    </row>
    <row r="216" spans="1:35" x14ac:dyDescent="0.25">
      <c r="A216" s="1">
        <v>5</v>
      </c>
      <c r="B216" s="1">
        <v>11</v>
      </c>
      <c r="C216" s="1">
        <v>2019</v>
      </c>
      <c r="G216" s="1" t="s">
        <v>38</v>
      </c>
      <c r="H216" s="2">
        <v>6.11</v>
      </c>
      <c r="I216" s="1">
        <v>8</v>
      </c>
      <c r="U216" s="1">
        <v>14</v>
      </c>
      <c r="X216" s="1">
        <v>12</v>
      </c>
      <c r="AA216" s="1">
        <v>3</v>
      </c>
      <c r="AB216" s="1">
        <v>3</v>
      </c>
      <c r="AC216" s="1">
        <v>672</v>
      </c>
      <c r="AF216" s="3">
        <v>1.3093289689034369</v>
      </c>
      <c r="AG216" s="3">
        <v>2.711315584773498</v>
      </c>
      <c r="AH216" s="1">
        <v>6253</v>
      </c>
      <c r="AI216" s="1" t="b">
        <v>1</v>
      </c>
    </row>
    <row r="217" spans="1:35" x14ac:dyDescent="0.25">
      <c r="A217" s="1">
        <v>5</v>
      </c>
      <c r="B217" s="1">
        <v>11</v>
      </c>
      <c r="C217" s="1">
        <v>2019</v>
      </c>
      <c r="G217" s="1" t="s">
        <v>38</v>
      </c>
      <c r="H217" s="2">
        <v>4.09</v>
      </c>
      <c r="I217" s="1">
        <v>15</v>
      </c>
      <c r="U217" s="1">
        <v>21</v>
      </c>
      <c r="X217" s="1">
        <v>18</v>
      </c>
      <c r="AA217" s="1">
        <v>2</v>
      </c>
      <c r="AB217" s="1">
        <v>3</v>
      </c>
      <c r="AC217" s="1">
        <v>712</v>
      </c>
      <c r="AF217" s="3">
        <v>3.6674816625916873</v>
      </c>
      <c r="AG217" s="3">
        <v>0.73086701923727349</v>
      </c>
      <c r="AH217" s="1">
        <v>6253</v>
      </c>
      <c r="AI217" s="1" t="b">
        <v>1</v>
      </c>
    </row>
    <row r="218" spans="1:35" x14ac:dyDescent="0.25">
      <c r="A218" s="1">
        <v>5</v>
      </c>
      <c r="B218" s="1">
        <v>11</v>
      </c>
      <c r="C218" s="1">
        <v>2019</v>
      </c>
      <c r="G218" s="1" t="s">
        <v>38</v>
      </c>
      <c r="H218" s="2">
        <v>4.88</v>
      </c>
      <c r="I218" s="1">
        <v>14</v>
      </c>
      <c r="U218" s="1">
        <v>20</v>
      </c>
      <c r="X218" s="1">
        <v>17</v>
      </c>
      <c r="AA218" s="1">
        <v>3</v>
      </c>
      <c r="AB218" s="1">
        <v>2</v>
      </c>
      <c r="AC218" s="1">
        <v>671</v>
      </c>
      <c r="AF218" s="3">
        <v>2.8688524590163933</v>
      </c>
      <c r="AG218" s="3">
        <v>1.0572693973162479</v>
      </c>
      <c r="AH218" s="1">
        <v>6253</v>
      </c>
      <c r="AI218" s="1" t="b">
        <v>1</v>
      </c>
    </row>
    <row r="219" spans="1:35" x14ac:dyDescent="0.25">
      <c r="A219" s="1">
        <v>5</v>
      </c>
      <c r="B219" s="1">
        <v>11</v>
      </c>
      <c r="C219" s="1">
        <v>2019</v>
      </c>
      <c r="G219" s="1" t="s">
        <v>38</v>
      </c>
      <c r="H219" s="2">
        <v>7.63</v>
      </c>
      <c r="I219" s="1">
        <v>23</v>
      </c>
      <c r="U219" s="1">
        <v>36</v>
      </c>
      <c r="X219" s="1">
        <v>30</v>
      </c>
      <c r="AA219" s="1">
        <v>3</v>
      </c>
      <c r="AB219" s="1">
        <v>3</v>
      </c>
      <c r="AC219" s="1">
        <v>1246</v>
      </c>
      <c r="AF219" s="3">
        <v>3.0144167758846661</v>
      </c>
      <c r="AG219" s="3">
        <v>1.3758271598875829</v>
      </c>
      <c r="AH219" s="1">
        <v>6253</v>
      </c>
      <c r="AI219" s="1" t="b">
        <v>1</v>
      </c>
    </row>
    <row r="220" spans="1:35" x14ac:dyDescent="0.25">
      <c r="A220" s="1">
        <v>5</v>
      </c>
      <c r="B220" s="1">
        <v>11</v>
      </c>
      <c r="C220" s="1">
        <v>2019</v>
      </c>
      <c r="G220" s="1" t="s">
        <v>38</v>
      </c>
      <c r="H220" s="2">
        <v>6.73</v>
      </c>
      <c r="I220" s="1">
        <v>15</v>
      </c>
      <c r="U220" s="1">
        <v>26</v>
      </c>
      <c r="X220" s="1">
        <v>22</v>
      </c>
      <c r="AA220" s="1">
        <v>4</v>
      </c>
      <c r="AB220" s="1">
        <v>3</v>
      </c>
      <c r="AC220" s="1">
        <v>842</v>
      </c>
      <c r="AF220" s="3">
        <v>2.2288261515601784</v>
      </c>
      <c r="AG220" s="3">
        <v>1.7042541104059679</v>
      </c>
      <c r="AH220" s="1">
        <v>6253</v>
      </c>
      <c r="AI220" s="1" t="b">
        <v>1</v>
      </c>
    </row>
    <row r="221" spans="1:35" x14ac:dyDescent="0.25">
      <c r="A221" s="1">
        <v>5</v>
      </c>
      <c r="B221" s="1">
        <v>11</v>
      </c>
      <c r="C221" s="1">
        <v>2019</v>
      </c>
      <c r="G221" s="1" t="s">
        <v>38</v>
      </c>
      <c r="H221" s="2">
        <v>7.22</v>
      </c>
      <c r="I221" s="1">
        <v>21</v>
      </c>
      <c r="U221" s="1">
        <v>32</v>
      </c>
      <c r="X221" s="1">
        <v>28</v>
      </c>
      <c r="AA221" s="1">
        <v>3</v>
      </c>
      <c r="AB221" s="1">
        <v>1</v>
      </c>
      <c r="AC221" s="1">
        <v>914</v>
      </c>
      <c r="AF221" s="3">
        <v>2.9085872576177287</v>
      </c>
      <c r="AG221" s="3">
        <v>1.3718099265611645</v>
      </c>
      <c r="AH221" s="1">
        <v>6253</v>
      </c>
      <c r="AI221" s="1" t="b">
        <v>1</v>
      </c>
    </row>
    <row r="222" spans="1:35" x14ac:dyDescent="0.25">
      <c r="A222" s="1">
        <v>5</v>
      </c>
      <c r="B222" s="1">
        <v>11</v>
      </c>
      <c r="C222" s="1">
        <v>2019</v>
      </c>
      <c r="G222" s="1" t="s">
        <v>38</v>
      </c>
      <c r="H222" s="2">
        <v>6.68</v>
      </c>
      <c r="I222" s="1">
        <v>18</v>
      </c>
      <c r="U222" s="1">
        <v>33</v>
      </c>
      <c r="X222" s="1">
        <v>27</v>
      </c>
      <c r="AA222" s="1">
        <v>4</v>
      </c>
      <c r="AB222" s="1">
        <v>5</v>
      </c>
      <c r="AC222" s="1">
        <v>1001</v>
      </c>
      <c r="AF222" s="3">
        <v>2.6946107784431139</v>
      </c>
      <c r="AG222" s="3">
        <v>1.4023211400925459</v>
      </c>
      <c r="AH222" s="1">
        <v>6253</v>
      </c>
      <c r="AI222" s="1" t="b">
        <v>1</v>
      </c>
    </row>
    <row r="223" spans="1:35" x14ac:dyDescent="0.25">
      <c r="A223" s="1">
        <v>5</v>
      </c>
      <c r="B223" s="1">
        <v>11</v>
      </c>
      <c r="C223" s="1">
        <v>2019</v>
      </c>
      <c r="G223" s="1" t="s">
        <v>38</v>
      </c>
      <c r="H223" s="2">
        <v>9.65</v>
      </c>
      <c r="I223" s="1">
        <v>26</v>
      </c>
      <c r="U223" s="1">
        <v>34</v>
      </c>
      <c r="X223" s="1">
        <v>29</v>
      </c>
      <c r="AA223" s="1">
        <v>2</v>
      </c>
      <c r="AB223" s="1">
        <v>2</v>
      </c>
      <c r="AC223" s="1">
        <v>1117</v>
      </c>
      <c r="AF223" s="3">
        <v>2.6943005181347148</v>
      </c>
      <c r="AG223" s="3">
        <v>1.8143584208219048</v>
      </c>
      <c r="AH223" s="1">
        <v>6253</v>
      </c>
      <c r="AI223" s="1" t="b">
        <v>1</v>
      </c>
    </row>
    <row r="224" spans="1:35" x14ac:dyDescent="0.25">
      <c r="A224" s="1">
        <v>5</v>
      </c>
      <c r="B224" s="1">
        <v>11</v>
      </c>
      <c r="C224" s="1">
        <v>2019</v>
      </c>
      <c r="G224" s="1" t="s">
        <v>38</v>
      </c>
      <c r="H224" s="2">
        <v>3.91</v>
      </c>
      <c r="I224" s="1">
        <v>10</v>
      </c>
      <c r="U224" s="1">
        <v>17</v>
      </c>
      <c r="X224" s="1">
        <v>15</v>
      </c>
      <c r="AA224" s="1">
        <v>2</v>
      </c>
      <c r="AB224" s="1">
        <v>3</v>
      </c>
      <c r="AC224" s="1">
        <v>597</v>
      </c>
      <c r="AF224" s="3">
        <v>2.5575447570332481</v>
      </c>
      <c r="AG224" s="3">
        <v>1.0155480756828061</v>
      </c>
      <c r="AH224" s="1">
        <v>6253</v>
      </c>
      <c r="AI224" s="1" t="b">
        <v>1</v>
      </c>
    </row>
    <row r="225" spans="1:35" x14ac:dyDescent="0.25">
      <c r="A225" s="1">
        <v>5</v>
      </c>
      <c r="B225" s="1">
        <v>11</v>
      </c>
      <c r="C225" s="1">
        <v>2019</v>
      </c>
      <c r="G225" s="1" t="s">
        <v>38</v>
      </c>
      <c r="H225" s="2">
        <v>3.86</v>
      </c>
      <c r="I225" s="1">
        <v>12</v>
      </c>
      <c r="U225" s="1">
        <v>14</v>
      </c>
      <c r="X225" s="1">
        <v>12</v>
      </c>
      <c r="AA225" s="1">
        <v>1</v>
      </c>
      <c r="AB225" s="1">
        <v>5</v>
      </c>
      <c r="AC225" s="1">
        <v>565</v>
      </c>
      <c r="AF225" s="3">
        <v>3.1088082901554404</v>
      </c>
      <c r="AG225" s="3">
        <v>0.82797490098402726</v>
      </c>
      <c r="AH225" s="1">
        <v>6253</v>
      </c>
      <c r="AI225" s="1" t="b">
        <v>1</v>
      </c>
    </row>
    <row r="226" spans="1:35" x14ac:dyDescent="0.25">
      <c r="A226" s="1">
        <v>5</v>
      </c>
      <c r="B226" s="1">
        <v>11</v>
      </c>
      <c r="C226" s="1">
        <v>2019</v>
      </c>
      <c r="G226" s="1" t="s">
        <v>38</v>
      </c>
      <c r="H226" s="2">
        <v>4.54</v>
      </c>
      <c r="I226" s="1">
        <v>14</v>
      </c>
      <c r="U226" s="1">
        <v>22</v>
      </c>
      <c r="X226" s="1">
        <v>18</v>
      </c>
      <c r="AA226" s="1">
        <v>2</v>
      </c>
      <c r="AB226" s="1">
        <v>3</v>
      </c>
      <c r="AC226" s="1">
        <v>714</v>
      </c>
      <c r="AF226" s="3">
        <v>3.0837004405286343</v>
      </c>
      <c r="AG226" s="3">
        <v>0.93511907101288472</v>
      </c>
      <c r="AH226" s="1">
        <v>6253</v>
      </c>
      <c r="AI226" s="1" t="b">
        <v>1</v>
      </c>
    </row>
    <row r="227" spans="1:35" x14ac:dyDescent="0.25">
      <c r="A227" s="1">
        <v>7</v>
      </c>
      <c r="B227" s="1">
        <v>11</v>
      </c>
      <c r="C227" s="1">
        <v>2019</v>
      </c>
      <c r="G227" s="1" t="s">
        <v>38</v>
      </c>
      <c r="H227" s="2">
        <v>4.71</v>
      </c>
      <c r="I227" s="1">
        <v>9</v>
      </c>
      <c r="U227" s="1">
        <v>22</v>
      </c>
      <c r="X227" s="1">
        <v>16</v>
      </c>
      <c r="AA227" s="1">
        <v>3</v>
      </c>
      <c r="AB227" s="1">
        <v>4</v>
      </c>
      <c r="AC227" s="1">
        <v>829</v>
      </c>
      <c r="AF227" s="3">
        <v>1.910828025477707</v>
      </c>
      <c r="AG227" s="3">
        <v>1.5484351902527289</v>
      </c>
      <c r="AH227" s="1">
        <v>6253</v>
      </c>
      <c r="AI227" s="1" t="b">
        <v>1</v>
      </c>
    </row>
    <row r="228" spans="1:35" x14ac:dyDescent="0.25">
      <c r="A228" s="1">
        <v>7</v>
      </c>
      <c r="B228" s="1">
        <v>11</v>
      </c>
      <c r="C228" s="1">
        <v>2019</v>
      </c>
      <c r="G228" s="1" t="s">
        <v>38</v>
      </c>
      <c r="H228" s="2">
        <v>6.07</v>
      </c>
      <c r="I228" s="1">
        <v>16</v>
      </c>
      <c r="U228" s="1">
        <v>24</v>
      </c>
      <c r="X228" s="1">
        <v>20</v>
      </c>
      <c r="AA228" s="1">
        <v>2</v>
      </c>
      <c r="AB228" s="1">
        <v>3</v>
      </c>
      <c r="AC228" s="1">
        <v>833</v>
      </c>
      <c r="AF228" s="3">
        <v>2.6359143327841843</v>
      </c>
      <c r="AG228" s="3">
        <v>1.3406048683171563</v>
      </c>
      <c r="AH228" s="1">
        <v>6253</v>
      </c>
      <c r="AI228" s="1" t="b">
        <v>1</v>
      </c>
    </row>
    <row r="229" spans="1:35" x14ac:dyDescent="0.25">
      <c r="A229" s="1">
        <v>7</v>
      </c>
      <c r="B229" s="1">
        <v>11</v>
      </c>
      <c r="C229" s="1">
        <v>2019</v>
      </c>
      <c r="G229" s="1" t="s">
        <v>38</v>
      </c>
      <c r="H229" s="2">
        <v>4.0199999999999996</v>
      </c>
      <c r="I229" s="1">
        <v>8</v>
      </c>
      <c r="U229" s="1">
        <v>15</v>
      </c>
      <c r="X229" s="1">
        <v>11</v>
      </c>
      <c r="AA229" s="1">
        <v>2</v>
      </c>
      <c r="AB229" s="1">
        <v>1</v>
      </c>
      <c r="AC229" s="1">
        <v>520</v>
      </c>
      <c r="AF229" s="3">
        <v>1.9900497512437814</v>
      </c>
      <c r="AG229" s="3">
        <v>1.3307433458967071</v>
      </c>
      <c r="AH229" s="1">
        <v>6253</v>
      </c>
      <c r="AI229" s="1" t="b">
        <v>1</v>
      </c>
    </row>
    <row r="230" spans="1:35" x14ac:dyDescent="0.25">
      <c r="A230" s="1">
        <v>7</v>
      </c>
      <c r="B230" s="1">
        <v>11</v>
      </c>
      <c r="C230" s="1">
        <v>2019</v>
      </c>
      <c r="G230" s="1" t="s">
        <v>38</v>
      </c>
      <c r="H230" s="2">
        <v>7.83</v>
      </c>
      <c r="I230" s="1">
        <v>20</v>
      </c>
      <c r="U230" s="1">
        <v>34</v>
      </c>
      <c r="X230" s="1">
        <v>28</v>
      </c>
      <c r="AA230" s="1">
        <v>4</v>
      </c>
      <c r="AB230" s="1">
        <v>6</v>
      </c>
      <c r="AC230" s="1">
        <v>1193</v>
      </c>
      <c r="AF230" s="3">
        <v>2.554278416347382</v>
      </c>
      <c r="AG230" s="3">
        <v>1.6533507618432555</v>
      </c>
      <c r="AH230" s="1">
        <v>6253</v>
      </c>
      <c r="AI230" s="1" t="b">
        <v>1</v>
      </c>
    </row>
    <row r="231" spans="1:35" x14ac:dyDescent="0.25">
      <c r="A231" s="1">
        <v>7</v>
      </c>
      <c r="B231" s="1">
        <v>11</v>
      </c>
      <c r="C231" s="1">
        <v>2019</v>
      </c>
      <c r="G231" s="1" t="s">
        <v>38</v>
      </c>
      <c r="H231" s="2">
        <v>4.57</v>
      </c>
      <c r="I231" s="1">
        <v>15</v>
      </c>
      <c r="U231" s="1">
        <v>21</v>
      </c>
      <c r="X231" s="1">
        <v>19</v>
      </c>
      <c r="AA231" s="1">
        <v>2</v>
      </c>
      <c r="AB231" s="1">
        <v>1</v>
      </c>
      <c r="AC231" s="1">
        <v>555</v>
      </c>
      <c r="AF231" s="3">
        <v>3.2822757111597372</v>
      </c>
      <c r="AG231" s="3">
        <v>0.88260479198809749</v>
      </c>
      <c r="AH231" s="1">
        <v>6253</v>
      </c>
      <c r="AI231" s="1" t="b">
        <v>1</v>
      </c>
    </row>
    <row r="232" spans="1:35" x14ac:dyDescent="0.25">
      <c r="A232" s="1">
        <v>7</v>
      </c>
      <c r="B232" s="1">
        <v>11</v>
      </c>
      <c r="C232" s="1">
        <v>2019</v>
      </c>
      <c r="G232" s="1" t="s">
        <v>38</v>
      </c>
      <c r="H232" s="2">
        <v>4.0999999999999996</v>
      </c>
      <c r="I232" s="1">
        <v>11</v>
      </c>
      <c r="U232" s="1">
        <v>17</v>
      </c>
      <c r="X232" s="1">
        <v>14</v>
      </c>
      <c r="AA232" s="1">
        <v>3</v>
      </c>
      <c r="AB232" s="1">
        <v>3</v>
      </c>
      <c r="AC232" s="1">
        <v>706</v>
      </c>
      <c r="AF232" s="3">
        <v>2.6829268292682928</v>
      </c>
      <c r="AG232" s="3">
        <v>1.0007828888066626</v>
      </c>
      <c r="AH232" s="1">
        <v>6253</v>
      </c>
      <c r="AI232" s="1" t="b">
        <v>1</v>
      </c>
    </row>
    <row r="233" spans="1:35" x14ac:dyDescent="0.25">
      <c r="A233" s="1">
        <v>7</v>
      </c>
      <c r="B233" s="1">
        <v>11</v>
      </c>
      <c r="C233" s="1">
        <v>2019</v>
      </c>
      <c r="G233" s="1" t="s">
        <v>38</v>
      </c>
      <c r="H233" s="2">
        <v>5.51</v>
      </c>
      <c r="I233" s="1">
        <v>11</v>
      </c>
      <c r="U233" s="1">
        <v>17</v>
      </c>
      <c r="X233" s="1">
        <v>15</v>
      </c>
      <c r="AA233" s="1">
        <v>1</v>
      </c>
      <c r="AB233" s="1">
        <v>4</v>
      </c>
      <c r="AC233" s="1">
        <v>870</v>
      </c>
      <c r="AF233" s="3">
        <v>1.9963702359346642</v>
      </c>
      <c r="AG233" s="3">
        <v>1.6541124592504721</v>
      </c>
      <c r="AH233" s="1">
        <v>6253</v>
      </c>
      <c r="AI233" s="1" t="b">
        <v>1</v>
      </c>
    </row>
    <row r="234" spans="1:35" x14ac:dyDescent="0.25">
      <c r="A234" s="1">
        <v>7</v>
      </c>
      <c r="B234" s="1">
        <v>11</v>
      </c>
      <c r="C234" s="1">
        <v>2019</v>
      </c>
      <c r="G234" s="1" t="s">
        <v>38</v>
      </c>
      <c r="H234" s="2">
        <v>7.61</v>
      </c>
      <c r="I234" s="1">
        <v>24</v>
      </c>
      <c r="U234" s="1">
        <v>39</v>
      </c>
      <c r="X234" s="1">
        <v>31</v>
      </c>
      <c r="AA234" s="1">
        <v>3</v>
      </c>
      <c r="AB234" s="1">
        <v>2</v>
      </c>
      <c r="AC234" s="1">
        <v>1323</v>
      </c>
      <c r="AF234" s="3">
        <v>3.1537450722733245</v>
      </c>
      <c r="AG234" s="3">
        <v>1.3126310548815663</v>
      </c>
      <c r="AH234" s="1">
        <v>6253</v>
      </c>
      <c r="AI234" s="1" t="b">
        <v>1</v>
      </c>
    </row>
    <row r="235" spans="1:35" x14ac:dyDescent="0.25">
      <c r="A235" s="1">
        <v>7</v>
      </c>
      <c r="B235" s="1">
        <v>11</v>
      </c>
      <c r="C235" s="1">
        <v>2019</v>
      </c>
      <c r="G235" s="1" t="s">
        <v>38</v>
      </c>
      <c r="H235" s="2">
        <v>5.83</v>
      </c>
      <c r="I235" s="1">
        <v>13</v>
      </c>
      <c r="U235" s="1">
        <v>22</v>
      </c>
      <c r="X235" s="1">
        <v>17</v>
      </c>
      <c r="AA235" s="1">
        <v>3</v>
      </c>
      <c r="AB235" s="1">
        <v>4</v>
      </c>
      <c r="AC235" s="1">
        <v>660</v>
      </c>
      <c r="AF235" s="3">
        <v>2.229845626072041</v>
      </c>
      <c r="AG235" s="3">
        <v>1.5406116966151697</v>
      </c>
      <c r="AH235" s="1">
        <v>6253</v>
      </c>
      <c r="AI235" s="1" t="b">
        <v>1</v>
      </c>
    </row>
    <row r="236" spans="1:35" x14ac:dyDescent="0.25">
      <c r="A236" s="1">
        <v>7</v>
      </c>
      <c r="B236" s="1">
        <v>11</v>
      </c>
      <c r="C236" s="1">
        <v>2019</v>
      </c>
      <c r="G236" s="1" t="s">
        <v>38</v>
      </c>
      <c r="H236" s="2">
        <v>5.29</v>
      </c>
      <c r="I236" s="1">
        <v>15</v>
      </c>
      <c r="U236" s="1">
        <v>17</v>
      </c>
      <c r="X236" s="1">
        <v>15</v>
      </c>
      <c r="AA236" s="1">
        <v>1</v>
      </c>
      <c r="AB236" s="1">
        <v>2</v>
      </c>
      <c r="AC236" s="1">
        <v>860</v>
      </c>
      <c r="AF236" s="3">
        <v>2.8355387523629489</v>
      </c>
      <c r="AG236" s="3">
        <v>1.1318356875191713</v>
      </c>
      <c r="AH236" s="1">
        <v>6253</v>
      </c>
      <c r="AI236" s="1" t="b">
        <v>1</v>
      </c>
    </row>
    <row r="237" spans="1:35" x14ac:dyDescent="0.25">
      <c r="A237" s="1">
        <v>7</v>
      </c>
      <c r="B237" s="1">
        <v>11</v>
      </c>
      <c r="C237" s="1">
        <v>2019</v>
      </c>
      <c r="G237" s="1" t="s">
        <v>38</v>
      </c>
      <c r="H237" s="2">
        <v>7.65</v>
      </c>
      <c r="I237" s="1">
        <v>23</v>
      </c>
      <c r="U237" s="1">
        <v>37</v>
      </c>
      <c r="X237" s="1">
        <v>32</v>
      </c>
      <c r="AA237" s="1">
        <v>3</v>
      </c>
      <c r="AB237" s="1">
        <v>2</v>
      </c>
      <c r="AC237" s="1">
        <v>1179</v>
      </c>
      <c r="AF237" s="3">
        <v>3.0065359477124183</v>
      </c>
      <c r="AG237" s="3">
        <v>1.3819635986695125</v>
      </c>
      <c r="AH237" s="1">
        <v>6253</v>
      </c>
      <c r="AI237" s="1" t="b">
        <v>1</v>
      </c>
    </row>
    <row r="238" spans="1:35" x14ac:dyDescent="0.25">
      <c r="A238" s="1">
        <v>7</v>
      </c>
      <c r="B238" s="1">
        <v>11</v>
      </c>
      <c r="C238" s="1">
        <v>2019</v>
      </c>
      <c r="G238" s="1" t="s">
        <v>38</v>
      </c>
      <c r="H238" s="2">
        <v>5.03</v>
      </c>
      <c r="I238" s="1">
        <v>8</v>
      </c>
      <c r="U238" s="1">
        <v>11</v>
      </c>
      <c r="X238" s="1">
        <v>10</v>
      </c>
      <c r="AA238" s="1">
        <v>2</v>
      </c>
      <c r="AB238" s="1">
        <v>4</v>
      </c>
      <c r="AC238" s="1">
        <v>608</v>
      </c>
      <c r="AF238" s="3">
        <v>1.5904572564612325</v>
      </c>
      <c r="AG238" s="3">
        <v>1.9479400533449849</v>
      </c>
      <c r="AH238" s="1">
        <v>6253</v>
      </c>
      <c r="AI238" s="1" t="b">
        <v>1</v>
      </c>
    </row>
    <row r="239" spans="1:35" x14ac:dyDescent="0.25">
      <c r="A239" s="1">
        <v>7</v>
      </c>
      <c r="B239" s="1">
        <v>11</v>
      </c>
      <c r="C239" s="1">
        <v>2019</v>
      </c>
      <c r="G239" s="1" t="s">
        <v>38</v>
      </c>
      <c r="H239" s="2">
        <v>5.42</v>
      </c>
      <c r="I239" s="1">
        <v>13</v>
      </c>
      <c r="U239" s="1">
        <v>19</v>
      </c>
      <c r="X239" s="1">
        <v>14</v>
      </c>
      <c r="AA239" s="1">
        <v>2</v>
      </c>
      <c r="AB239" s="1">
        <v>5</v>
      </c>
      <c r="AC239" s="1">
        <v>729</v>
      </c>
      <c r="AF239" s="3">
        <v>2.3985239852398523</v>
      </c>
      <c r="AG239" s="3">
        <v>1.3609915688172691</v>
      </c>
      <c r="AH239" s="1">
        <v>6253</v>
      </c>
      <c r="AI239" s="1" t="b">
        <v>1</v>
      </c>
    </row>
    <row r="240" spans="1:35" x14ac:dyDescent="0.25">
      <c r="A240" s="1">
        <v>7</v>
      </c>
      <c r="B240" s="1">
        <v>11</v>
      </c>
      <c r="C240" s="1">
        <v>2019</v>
      </c>
      <c r="G240" s="1" t="s">
        <v>38</v>
      </c>
      <c r="H240" s="2">
        <v>8.31</v>
      </c>
      <c r="I240" s="1">
        <v>20</v>
      </c>
      <c r="U240" s="1">
        <v>39</v>
      </c>
      <c r="X240" s="1">
        <v>33</v>
      </c>
      <c r="AA240" s="1">
        <v>5</v>
      </c>
      <c r="AB240" s="1">
        <v>4</v>
      </c>
      <c r="AC240" s="1">
        <v>1136</v>
      </c>
      <c r="AF240" s="3">
        <v>2.4067388688327314</v>
      </c>
      <c r="AG240" s="3">
        <v>1.8293286864027507</v>
      </c>
      <c r="AH240" s="1">
        <v>6253</v>
      </c>
      <c r="AI240" s="1" t="b">
        <v>1</v>
      </c>
    </row>
    <row r="241" spans="1:35" x14ac:dyDescent="0.25">
      <c r="A241" s="1">
        <v>7</v>
      </c>
      <c r="B241" s="1">
        <v>11</v>
      </c>
      <c r="C241" s="1">
        <v>2019</v>
      </c>
      <c r="G241" s="1" t="s">
        <v>38</v>
      </c>
      <c r="H241" s="2">
        <v>6.73</v>
      </c>
      <c r="I241" s="1">
        <v>12</v>
      </c>
      <c r="U241" s="1">
        <v>21</v>
      </c>
      <c r="X241" s="1">
        <v>17</v>
      </c>
      <c r="AA241" s="1">
        <v>4</v>
      </c>
      <c r="AB241" s="1">
        <v>3</v>
      </c>
      <c r="AC241" s="1">
        <v>881</v>
      </c>
      <c r="AF241" s="3">
        <v>1.7830609212481425</v>
      </c>
      <c r="AG241" s="3">
        <v>2.1303176380074595</v>
      </c>
      <c r="AH241" s="1">
        <v>6253</v>
      </c>
      <c r="AI241" s="1" t="b">
        <v>1</v>
      </c>
    </row>
    <row r="242" spans="1:35" x14ac:dyDescent="0.25">
      <c r="A242" s="1">
        <v>7</v>
      </c>
      <c r="B242" s="1">
        <v>11</v>
      </c>
      <c r="C242" s="1">
        <v>2019</v>
      </c>
      <c r="G242" s="1" t="s">
        <v>38</v>
      </c>
      <c r="H242" s="2">
        <v>7.19</v>
      </c>
      <c r="I242" s="1">
        <v>18</v>
      </c>
      <c r="U242" s="1">
        <v>28</v>
      </c>
      <c r="X242" s="1">
        <v>25</v>
      </c>
      <c r="AA242" s="1">
        <v>4</v>
      </c>
      <c r="AB242" s="1">
        <v>4</v>
      </c>
      <c r="AC242" s="1">
        <v>1020</v>
      </c>
      <c r="AF242" s="3">
        <v>2.5034770514603615</v>
      </c>
      <c r="AG242" s="3">
        <v>1.5891562802656827</v>
      </c>
      <c r="AH242" s="1">
        <v>6253</v>
      </c>
      <c r="AI242" s="1" t="b">
        <v>1</v>
      </c>
    </row>
    <row r="243" spans="1:35" x14ac:dyDescent="0.25">
      <c r="A243" s="1">
        <v>7</v>
      </c>
      <c r="B243" s="1">
        <v>11</v>
      </c>
      <c r="C243" s="1">
        <v>2019</v>
      </c>
      <c r="G243" s="1" t="s">
        <v>38</v>
      </c>
      <c r="H243" s="2">
        <v>7.71</v>
      </c>
      <c r="I243" s="1">
        <v>18</v>
      </c>
      <c r="U243" s="1">
        <v>36</v>
      </c>
      <c r="X243" s="1">
        <v>28</v>
      </c>
      <c r="AA243" s="1">
        <v>3</v>
      </c>
      <c r="AB243" s="1">
        <v>4</v>
      </c>
      <c r="AC243" s="1">
        <v>1129</v>
      </c>
      <c r="AF243" s="3">
        <v>2.3346303501945527</v>
      </c>
      <c r="AG243" s="3">
        <v>1.7894515226682113</v>
      </c>
      <c r="AH243" s="1">
        <v>6253</v>
      </c>
      <c r="AI243" s="1" t="b">
        <v>1</v>
      </c>
    </row>
    <row r="244" spans="1:35" x14ac:dyDescent="0.25">
      <c r="A244" s="1">
        <v>7</v>
      </c>
      <c r="B244" s="1">
        <v>11</v>
      </c>
      <c r="C244" s="1">
        <v>2019</v>
      </c>
      <c r="G244" s="1" t="s">
        <v>38</v>
      </c>
      <c r="H244" s="2">
        <v>5.17</v>
      </c>
      <c r="I244" s="1">
        <v>13</v>
      </c>
      <c r="U244" s="1">
        <v>27</v>
      </c>
      <c r="X244" s="1">
        <v>21</v>
      </c>
      <c r="AA244" s="1">
        <v>4</v>
      </c>
      <c r="AB244" s="1">
        <v>4</v>
      </c>
      <c r="AC244" s="1">
        <v>716</v>
      </c>
      <c r="AF244" s="3">
        <v>2.5145067698259189</v>
      </c>
      <c r="AG244" s="3">
        <v>1.2560026940940396</v>
      </c>
      <c r="AH244" s="1">
        <v>6253</v>
      </c>
      <c r="AI244" s="1" t="b">
        <v>1</v>
      </c>
    </row>
    <row r="245" spans="1:35" x14ac:dyDescent="0.25">
      <c r="A245" s="1">
        <v>7</v>
      </c>
      <c r="B245" s="1">
        <v>11</v>
      </c>
      <c r="C245" s="1">
        <v>2019</v>
      </c>
      <c r="G245" s="1" t="s">
        <v>38</v>
      </c>
      <c r="H245" s="2">
        <v>5.25</v>
      </c>
      <c r="I245" s="1">
        <v>11</v>
      </c>
      <c r="U245" s="1">
        <v>17</v>
      </c>
      <c r="X245" s="1">
        <v>15</v>
      </c>
      <c r="AA245" s="1">
        <v>3</v>
      </c>
      <c r="AB245" s="1">
        <v>5</v>
      </c>
      <c r="AC245" s="1">
        <v>798</v>
      </c>
      <c r="AF245" s="3">
        <v>2.0952380952380953</v>
      </c>
      <c r="AG245" s="3">
        <v>1.5236251423580358</v>
      </c>
      <c r="AH245" s="1">
        <v>6253</v>
      </c>
      <c r="AI245" s="1" t="b">
        <v>1</v>
      </c>
    </row>
    <row r="246" spans="1:35" x14ac:dyDescent="0.25">
      <c r="A246" s="1">
        <v>7</v>
      </c>
      <c r="B246" s="1">
        <v>11</v>
      </c>
      <c r="C246" s="1">
        <v>2019</v>
      </c>
      <c r="G246" s="1" t="s">
        <v>38</v>
      </c>
      <c r="H246" s="2">
        <v>4.17</v>
      </c>
      <c r="I246" s="1">
        <v>8</v>
      </c>
      <c r="U246" s="1">
        <v>17</v>
      </c>
      <c r="X246" s="1">
        <v>13</v>
      </c>
      <c r="AA246" s="1">
        <v>3</v>
      </c>
      <c r="AB246" s="1">
        <v>4</v>
      </c>
      <c r="AC246" s="1">
        <v>766</v>
      </c>
      <c r="AF246" s="3">
        <v>1.9184652278177459</v>
      </c>
      <c r="AG246" s="3">
        <v>1.4162545119506684</v>
      </c>
      <c r="AH246" s="1">
        <v>6253</v>
      </c>
      <c r="AI246" s="1" t="b">
        <v>1</v>
      </c>
    </row>
    <row r="247" spans="1:35" x14ac:dyDescent="0.25">
      <c r="A247" s="1">
        <v>7</v>
      </c>
      <c r="B247" s="1">
        <v>11</v>
      </c>
      <c r="C247" s="1">
        <v>2019</v>
      </c>
      <c r="G247" s="1" t="s">
        <v>38</v>
      </c>
      <c r="H247" s="2">
        <v>8.2899999999999991</v>
      </c>
      <c r="I247" s="1">
        <v>21</v>
      </c>
      <c r="U247" s="1">
        <v>36</v>
      </c>
      <c r="X247" s="1">
        <v>33</v>
      </c>
      <c r="AA247" s="1">
        <v>5</v>
      </c>
      <c r="AB247" s="1">
        <v>4</v>
      </c>
      <c r="AC247" s="1">
        <v>1072</v>
      </c>
      <c r="AF247" s="3">
        <v>2.5331724969843186</v>
      </c>
      <c r="AG247" s="3">
        <v>1.7350955949360263</v>
      </c>
      <c r="AH247" s="1">
        <v>6253</v>
      </c>
      <c r="AI247" s="1" t="b">
        <v>1</v>
      </c>
    </row>
    <row r="248" spans="1:35" x14ac:dyDescent="0.25">
      <c r="A248" s="1">
        <v>7</v>
      </c>
      <c r="B248" s="1">
        <v>11</v>
      </c>
      <c r="C248" s="1">
        <v>2019</v>
      </c>
      <c r="G248" s="1" t="s">
        <v>38</v>
      </c>
      <c r="H248" s="2">
        <v>5.08</v>
      </c>
      <c r="I248" s="1">
        <v>16</v>
      </c>
      <c r="U248" s="1">
        <v>24</v>
      </c>
      <c r="X248" s="1">
        <v>22</v>
      </c>
      <c r="AA248" s="1">
        <v>4</v>
      </c>
      <c r="AB248" s="1">
        <v>3</v>
      </c>
      <c r="AC248" s="1">
        <v>830</v>
      </c>
      <c r="AF248" s="3">
        <v>3.1496062992125982</v>
      </c>
      <c r="AG248" s="3">
        <v>0.9904859699713594</v>
      </c>
      <c r="AH248" s="1">
        <v>6253</v>
      </c>
      <c r="AI248" s="1" t="b">
        <v>1</v>
      </c>
    </row>
    <row r="249" spans="1:35" x14ac:dyDescent="0.25">
      <c r="A249" s="1">
        <v>7</v>
      </c>
      <c r="B249" s="1">
        <v>11</v>
      </c>
      <c r="C249" s="1">
        <v>2019</v>
      </c>
      <c r="G249" s="1" t="s">
        <v>38</v>
      </c>
      <c r="H249" s="2">
        <v>4.87</v>
      </c>
      <c r="I249" s="1">
        <v>13</v>
      </c>
      <c r="U249" s="1">
        <v>21</v>
      </c>
      <c r="X249" s="1">
        <v>19</v>
      </c>
      <c r="AA249" s="1">
        <v>3</v>
      </c>
      <c r="AB249" s="1">
        <v>3</v>
      </c>
      <c r="AC249" s="1">
        <v>898</v>
      </c>
      <c r="AF249" s="3">
        <v>2.6694045174537986</v>
      </c>
      <c r="AG249" s="3">
        <v>1.1346342310452582</v>
      </c>
      <c r="AH249" s="1">
        <v>6253</v>
      </c>
      <c r="AI249" s="1" t="b">
        <v>1</v>
      </c>
    </row>
    <row r="250" spans="1:35" x14ac:dyDescent="0.25">
      <c r="A250" s="1">
        <v>7</v>
      </c>
      <c r="B250" s="1">
        <v>11</v>
      </c>
      <c r="C250" s="1">
        <v>2019</v>
      </c>
      <c r="G250" s="1" t="s">
        <v>38</v>
      </c>
      <c r="H250" s="2">
        <v>4.7699999999999996</v>
      </c>
      <c r="I250" s="1">
        <v>18</v>
      </c>
      <c r="U250" s="1">
        <v>21</v>
      </c>
      <c r="X250" s="1">
        <v>18</v>
      </c>
      <c r="AA250" s="1">
        <v>1</v>
      </c>
      <c r="AB250" s="1">
        <v>1</v>
      </c>
      <c r="AC250" s="1">
        <v>743</v>
      </c>
      <c r="AF250" s="3">
        <v>3.7735849056603779</v>
      </c>
      <c r="AG250" s="3">
        <v>0.79105875105589751</v>
      </c>
      <c r="AH250" s="1">
        <v>6253</v>
      </c>
      <c r="AI250" s="1" t="b">
        <v>1</v>
      </c>
    </row>
    <row r="251" spans="1:35" x14ac:dyDescent="0.25">
      <c r="A251" s="1">
        <v>7</v>
      </c>
      <c r="B251" s="1">
        <v>11</v>
      </c>
      <c r="C251" s="1">
        <v>2019</v>
      </c>
      <c r="G251" s="1" t="s">
        <v>38</v>
      </c>
      <c r="H251" s="2">
        <v>6.06</v>
      </c>
      <c r="I251" s="1">
        <v>21</v>
      </c>
      <c r="U251" s="1">
        <v>26</v>
      </c>
      <c r="X251" s="1">
        <v>24</v>
      </c>
      <c r="AA251" s="1">
        <v>2</v>
      </c>
      <c r="AB251" s="1">
        <v>3</v>
      </c>
      <c r="AC251" s="1">
        <v>1018</v>
      </c>
      <c r="AF251" s="3">
        <v>3.4653465346534658</v>
      </c>
      <c r="AG251" s="3">
        <v>1.0185542525908255</v>
      </c>
      <c r="AH251" s="1">
        <v>6253</v>
      </c>
      <c r="AI251" s="1" t="b">
        <v>1</v>
      </c>
    </row>
    <row r="252" spans="1:35" x14ac:dyDescent="0.25">
      <c r="A252" s="1">
        <v>7</v>
      </c>
      <c r="B252" s="1">
        <v>11</v>
      </c>
      <c r="C252" s="1">
        <v>2019</v>
      </c>
      <c r="G252" s="1" t="s">
        <v>38</v>
      </c>
      <c r="H252" s="2">
        <v>5.05</v>
      </c>
      <c r="I252" s="1">
        <v>13</v>
      </c>
      <c r="U252" s="1">
        <v>22</v>
      </c>
      <c r="X252" s="1">
        <v>18</v>
      </c>
      <c r="AA252" s="1">
        <v>4</v>
      </c>
      <c r="AB252" s="1">
        <v>3</v>
      </c>
      <c r="AC252" s="1">
        <v>805</v>
      </c>
      <c r="AF252" s="3">
        <v>2.5742574257425743</v>
      </c>
      <c r="AG252" s="3">
        <v>1.206846375589115</v>
      </c>
      <c r="AH252" s="1">
        <v>6253</v>
      </c>
      <c r="AI252" s="1" t="b">
        <v>1</v>
      </c>
    </row>
    <row r="253" spans="1:35" x14ac:dyDescent="0.25">
      <c r="A253" s="1">
        <v>7</v>
      </c>
      <c r="B253" s="1">
        <v>11</v>
      </c>
      <c r="C253" s="1">
        <v>2019</v>
      </c>
      <c r="G253" s="1" t="s">
        <v>38</v>
      </c>
      <c r="H253" s="2">
        <v>3.2</v>
      </c>
      <c r="I253" s="1">
        <v>9</v>
      </c>
      <c r="U253" s="1">
        <v>16</v>
      </c>
      <c r="X253" s="1">
        <v>13</v>
      </c>
      <c r="AA253" s="1">
        <v>2</v>
      </c>
      <c r="AB253" s="1">
        <v>4</v>
      </c>
      <c r="AC253" s="1">
        <v>664</v>
      </c>
      <c r="AF253" s="3">
        <v>2.8125</v>
      </c>
      <c r="AG253" s="3">
        <v>0.80262457637573048</v>
      </c>
      <c r="AH253" s="1">
        <v>6253</v>
      </c>
      <c r="AI253" s="1" t="b">
        <v>1</v>
      </c>
    </row>
    <row r="254" spans="1:35" x14ac:dyDescent="0.25">
      <c r="A254" s="1">
        <v>7</v>
      </c>
      <c r="B254" s="1">
        <v>11</v>
      </c>
      <c r="C254" s="1">
        <v>2019</v>
      </c>
      <c r="G254" s="1" t="s">
        <v>38</v>
      </c>
      <c r="H254" s="2">
        <v>6.07</v>
      </c>
      <c r="I254" s="1">
        <v>16</v>
      </c>
      <c r="U254" s="1">
        <v>26</v>
      </c>
      <c r="X254" s="1">
        <v>22</v>
      </c>
      <c r="AA254" s="1">
        <v>4</v>
      </c>
      <c r="AB254" s="1">
        <v>4</v>
      </c>
      <c r="AC254" s="1">
        <v>1125</v>
      </c>
      <c r="AF254" s="3">
        <v>2.6359143327841843</v>
      </c>
      <c r="AG254" s="3">
        <v>1.3406048683171563</v>
      </c>
      <c r="AH254" s="1">
        <v>6253</v>
      </c>
      <c r="AI254" s="1" t="b">
        <v>1</v>
      </c>
    </row>
    <row r="255" spans="1:35" x14ac:dyDescent="0.25">
      <c r="A255" s="1">
        <v>7</v>
      </c>
      <c r="B255" s="1">
        <v>11</v>
      </c>
      <c r="C255" s="1">
        <v>2019</v>
      </c>
      <c r="G255" s="1" t="s">
        <v>38</v>
      </c>
      <c r="H255" s="2">
        <v>6.06</v>
      </c>
      <c r="I255" s="1">
        <v>19</v>
      </c>
      <c r="V255" s="1">
        <v>28</v>
      </c>
      <c r="X255" s="1">
        <v>22</v>
      </c>
      <c r="AA255" s="1">
        <v>3</v>
      </c>
      <c r="AB255" s="1">
        <v>3</v>
      </c>
      <c r="AC255" s="1">
        <v>865</v>
      </c>
      <c r="AF255" s="3">
        <v>3.1353135313531357</v>
      </c>
      <c r="AG255" s="3">
        <v>1.1257704897056493</v>
      </c>
      <c r="AH255" s="1">
        <v>6253</v>
      </c>
      <c r="AI255" s="1" t="b">
        <v>1</v>
      </c>
    </row>
    <row r="256" spans="1:35" x14ac:dyDescent="0.25">
      <c r="A256" s="1">
        <v>7</v>
      </c>
      <c r="B256" s="1">
        <v>11</v>
      </c>
      <c r="C256" s="1">
        <v>2019</v>
      </c>
      <c r="G256" s="1" t="s">
        <v>38</v>
      </c>
      <c r="H256" s="2">
        <v>5.57</v>
      </c>
      <c r="I256" s="1">
        <v>19</v>
      </c>
      <c r="V256" s="1">
        <v>22</v>
      </c>
      <c r="X256" s="1">
        <v>19</v>
      </c>
      <c r="AA256" s="1">
        <v>3</v>
      </c>
      <c r="AB256" s="1">
        <v>4</v>
      </c>
      <c r="AC256" s="1">
        <v>810</v>
      </c>
      <c r="AF256" s="3">
        <v>3.4111310592459603</v>
      </c>
      <c r="AG256" s="3">
        <v>0.97543925891980299</v>
      </c>
      <c r="AH256" s="1">
        <v>6253</v>
      </c>
      <c r="AI256" s="1" t="b">
        <v>1</v>
      </c>
    </row>
    <row r="257" spans="1:35" x14ac:dyDescent="0.25">
      <c r="A257" s="1">
        <v>7</v>
      </c>
      <c r="B257" s="1">
        <v>11</v>
      </c>
      <c r="C257" s="1">
        <v>2019</v>
      </c>
      <c r="G257" s="1" t="s">
        <v>38</v>
      </c>
      <c r="H257" s="2">
        <v>4.01</v>
      </c>
      <c r="I257" s="1">
        <v>14</v>
      </c>
      <c r="U257" s="1">
        <v>17</v>
      </c>
      <c r="X257" s="1">
        <v>16</v>
      </c>
      <c r="AA257" s="1">
        <v>1</v>
      </c>
      <c r="AB257" s="1">
        <v>4</v>
      </c>
      <c r="AC257" s="1">
        <v>632</v>
      </c>
      <c r="AF257" s="3">
        <v>3.491271820448878</v>
      </c>
      <c r="AG257" s="3">
        <v>0.75721184290742138</v>
      </c>
      <c r="AH257" s="1">
        <v>6253</v>
      </c>
      <c r="AI257" s="1" t="b">
        <v>1</v>
      </c>
    </row>
    <row r="258" spans="1:35" x14ac:dyDescent="0.25">
      <c r="A258" s="1">
        <v>7</v>
      </c>
      <c r="B258" s="1">
        <v>11</v>
      </c>
      <c r="C258" s="1">
        <v>2019</v>
      </c>
      <c r="G258" s="1" t="s">
        <v>38</v>
      </c>
      <c r="H258" s="2">
        <v>4.18</v>
      </c>
      <c r="I258" s="1">
        <v>11</v>
      </c>
      <c r="U258" s="1">
        <v>17</v>
      </c>
      <c r="X258" s="1">
        <v>15</v>
      </c>
      <c r="AA258" s="1">
        <v>3</v>
      </c>
      <c r="AB258" s="1">
        <v>5</v>
      </c>
      <c r="AC258" s="1">
        <v>724</v>
      </c>
      <c r="AF258" s="3">
        <v>2.6315789473684212</v>
      </c>
      <c r="AG258" s="3">
        <v>1.0342058591049945</v>
      </c>
      <c r="AH258" s="1">
        <v>6253</v>
      </c>
      <c r="AI258" s="1" t="b">
        <v>1</v>
      </c>
    </row>
    <row r="259" spans="1:35" x14ac:dyDescent="0.25">
      <c r="A259" s="1">
        <v>7</v>
      </c>
      <c r="B259" s="1">
        <v>11</v>
      </c>
      <c r="C259" s="1">
        <v>2019</v>
      </c>
      <c r="G259" s="1" t="s">
        <v>38</v>
      </c>
      <c r="H259" s="2">
        <v>4.74</v>
      </c>
      <c r="I259" s="1">
        <v>11</v>
      </c>
      <c r="U259" s="1">
        <v>16</v>
      </c>
      <c r="X259" s="1">
        <v>14</v>
      </c>
      <c r="AA259" s="1">
        <v>2</v>
      </c>
      <c r="AB259" s="1">
        <v>5</v>
      </c>
      <c r="AC259" s="1">
        <v>733</v>
      </c>
      <c r="AF259" s="3">
        <v>2.3206751054852321</v>
      </c>
      <c r="AG259" s="3">
        <v>1.2806501234099867</v>
      </c>
      <c r="AH259" s="1">
        <v>6253</v>
      </c>
      <c r="AI259" s="1" t="b">
        <v>1</v>
      </c>
    </row>
    <row r="260" spans="1:35" x14ac:dyDescent="0.25">
      <c r="A260" s="1">
        <v>7</v>
      </c>
      <c r="B260" s="1">
        <v>11</v>
      </c>
      <c r="C260" s="1">
        <v>2019</v>
      </c>
      <c r="G260" s="1" t="s">
        <v>38</v>
      </c>
      <c r="H260" s="2">
        <v>5.45</v>
      </c>
      <c r="I260" s="1">
        <v>20</v>
      </c>
      <c r="U260" s="1">
        <v>24</v>
      </c>
      <c r="X260" s="1">
        <v>21</v>
      </c>
      <c r="AA260" s="1">
        <v>1</v>
      </c>
      <c r="AB260" s="1">
        <v>4</v>
      </c>
      <c r="AC260" s="1">
        <v>971</v>
      </c>
      <c r="AF260" s="3">
        <v>3.6697247706422016</v>
      </c>
      <c r="AG260" s="3">
        <v>0.89298478278402649</v>
      </c>
      <c r="AH260" s="1">
        <v>6253</v>
      </c>
      <c r="AI260" s="1" t="b">
        <v>1</v>
      </c>
    </row>
    <row r="261" spans="1:35" x14ac:dyDescent="0.25">
      <c r="A261" s="1">
        <v>7</v>
      </c>
      <c r="B261" s="1">
        <v>11</v>
      </c>
      <c r="C261" s="1">
        <v>2019</v>
      </c>
      <c r="G261" s="1" t="s">
        <v>38</v>
      </c>
      <c r="H261" s="2">
        <v>3.61</v>
      </c>
      <c r="I261" s="1">
        <v>8</v>
      </c>
      <c r="U261" s="1">
        <v>15</v>
      </c>
      <c r="X261" s="1">
        <v>15</v>
      </c>
      <c r="AA261" s="1">
        <v>3</v>
      </c>
      <c r="AB261" s="1">
        <v>2</v>
      </c>
      <c r="AC261" s="1">
        <v>662</v>
      </c>
      <c r="AF261" s="3">
        <v>2.21606648199446</v>
      </c>
      <c r="AG261" s="3">
        <v>1.108338083512326</v>
      </c>
      <c r="AH261" s="1">
        <v>6253</v>
      </c>
      <c r="AI261" s="1" t="b">
        <v>1</v>
      </c>
    </row>
    <row r="262" spans="1:35" x14ac:dyDescent="0.25">
      <c r="A262" s="1">
        <v>7</v>
      </c>
      <c r="B262" s="1">
        <v>11</v>
      </c>
      <c r="C262" s="1">
        <v>2019</v>
      </c>
      <c r="G262" s="1" t="s">
        <v>38</v>
      </c>
      <c r="H262" s="2">
        <v>9.27</v>
      </c>
      <c r="I262" s="1">
        <v>22</v>
      </c>
      <c r="V262" s="1">
        <v>34</v>
      </c>
      <c r="X262" s="1">
        <v>23</v>
      </c>
      <c r="AA262" s="1">
        <v>2</v>
      </c>
      <c r="AB262" s="1">
        <v>2</v>
      </c>
      <c r="AC262" s="1">
        <v>1125</v>
      </c>
      <c r="AF262" s="3">
        <v>2.3732470334412081</v>
      </c>
      <c r="AG262" s="3">
        <v>2.0026860247968896</v>
      </c>
      <c r="AH262" s="1">
        <v>6253</v>
      </c>
      <c r="AI262" s="1" t="b">
        <v>1</v>
      </c>
    </row>
    <row r="263" spans="1:35" x14ac:dyDescent="0.25">
      <c r="A263" s="1">
        <v>7</v>
      </c>
      <c r="B263" s="1">
        <v>11</v>
      </c>
      <c r="C263" s="1">
        <v>2019</v>
      </c>
      <c r="G263" s="1" t="s">
        <v>38</v>
      </c>
      <c r="H263" s="2">
        <v>11.93</v>
      </c>
      <c r="I263" s="1">
        <v>27</v>
      </c>
      <c r="V263" s="1">
        <v>45</v>
      </c>
      <c r="X263" s="1">
        <v>30</v>
      </c>
      <c r="AA263" s="1">
        <v>3</v>
      </c>
      <c r="AB263" s="1">
        <v>3</v>
      </c>
      <c r="AC263" s="1">
        <v>1242</v>
      </c>
      <c r="AF263" s="3">
        <v>2.2632020117351215</v>
      </c>
      <c r="AG263" s="3">
        <v>2.5056764434341297</v>
      </c>
      <c r="AH263" s="1">
        <v>6253</v>
      </c>
      <c r="AI263" s="1" t="b">
        <v>1</v>
      </c>
    </row>
    <row r="264" spans="1:35" x14ac:dyDescent="0.25">
      <c r="A264" s="1">
        <v>7</v>
      </c>
      <c r="B264" s="1">
        <v>11</v>
      </c>
      <c r="C264" s="1">
        <v>2019</v>
      </c>
      <c r="G264" s="1" t="s">
        <v>38</v>
      </c>
      <c r="H264" s="2">
        <v>6.75</v>
      </c>
      <c r="I264" s="1">
        <v>24</v>
      </c>
      <c r="U264" s="1">
        <v>27</v>
      </c>
      <c r="X264" s="1">
        <v>25</v>
      </c>
      <c r="AA264" s="1">
        <v>1</v>
      </c>
      <c r="AB264" s="1">
        <v>3</v>
      </c>
      <c r="AC264" s="1">
        <v>944</v>
      </c>
      <c r="AF264" s="3">
        <v>3.5555555555555554</v>
      </c>
      <c r="AG264" s="3">
        <v>1.0705456031023275</v>
      </c>
      <c r="AH264" s="1">
        <v>6253</v>
      </c>
      <c r="AI264" s="1" t="b">
        <v>1</v>
      </c>
    </row>
    <row r="265" spans="1:35" x14ac:dyDescent="0.25">
      <c r="A265" s="1">
        <v>8</v>
      </c>
      <c r="B265" s="1">
        <v>11</v>
      </c>
      <c r="C265" s="1">
        <v>2019</v>
      </c>
      <c r="G265" s="1" t="s">
        <v>38</v>
      </c>
      <c r="H265" s="2">
        <v>6.2</v>
      </c>
      <c r="I265" s="1">
        <v>20</v>
      </c>
      <c r="U265" s="1">
        <v>28</v>
      </c>
      <c r="X265" s="1">
        <v>22</v>
      </c>
      <c r="AA265" s="1">
        <v>2</v>
      </c>
      <c r="AB265" s="1">
        <v>2</v>
      </c>
      <c r="AC265" s="1">
        <v>888</v>
      </c>
      <c r="AF265" s="3">
        <v>3.225806451612903</v>
      </c>
      <c r="AG265" s="3">
        <v>1.1118235697378092</v>
      </c>
      <c r="AH265" s="1">
        <v>6253</v>
      </c>
      <c r="AI265" s="1" t="b">
        <v>1</v>
      </c>
    </row>
    <row r="266" spans="1:35" x14ac:dyDescent="0.25">
      <c r="A266" s="1">
        <v>8</v>
      </c>
      <c r="B266" s="1">
        <v>11</v>
      </c>
      <c r="C266" s="1">
        <v>2019</v>
      </c>
      <c r="G266" s="1" t="s">
        <v>38</v>
      </c>
      <c r="H266" s="2">
        <v>5.1100000000000003</v>
      </c>
      <c r="I266" s="1">
        <v>10</v>
      </c>
      <c r="U266" s="1">
        <v>19</v>
      </c>
      <c r="X266" s="1">
        <v>15</v>
      </c>
      <c r="AA266" s="1">
        <v>2</v>
      </c>
      <c r="AB266" s="1">
        <v>3</v>
      </c>
      <c r="AC266" s="1">
        <v>600</v>
      </c>
      <c r="AF266" s="3">
        <v>1.9569471624266144</v>
      </c>
      <c r="AG266" s="3">
        <v>1.6007205860979667</v>
      </c>
      <c r="AH266" s="1">
        <v>6253</v>
      </c>
      <c r="AI266" s="1" t="b">
        <v>1</v>
      </c>
    </row>
    <row r="267" spans="1:35" x14ac:dyDescent="0.25">
      <c r="A267" s="1">
        <v>8</v>
      </c>
      <c r="B267" s="1">
        <v>11</v>
      </c>
      <c r="C267" s="1">
        <v>2019</v>
      </c>
      <c r="G267" s="1" t="s">
        <v>38</v>
      </c>
      <c r="H267" s="2">
        <v>5.68</v>
      </c>
      <c r="I267" s="1">
        <v>16</v>
      </c>
      <c r="U267" s="1">
        <v>26</v>
      </c>
      <c r="X267" s="1">
        <v>23</v>
      </c>
      <c r="AA267" s="1">
        <v>3</v>
      </c>
      <c r="AB267" s="1">
        <v>5</v>
      </c>
      <c r="AC267" s="1">
        <v>985</v>
      </c>
      <c r="AF267" s="3">
        <v>2.8169014084507045</v>
      </c>
      <c r="AG267" s="3">
        <v>1.1974908069517132</v>
      </c>
      <c r="AH267" s="1">
        <v>6253</v>
      </c>
      <c r="AI267" s="1" t="b">
        <v>1</v>
      </c>
    </row>
    <row r="268" spans="1:35" x14ac:dyDescent="0.25">
      <c r="A268" s="1">
        <v>8</v>
      </c>
      <c r="B268" s="1">
        <v>11</v>
      </c>
      <c r="C268" s="1">
        <v>2019</v>
      </c>
      <c r="G268" s="1" t="s">
        <v>38</v>
      </c>
      <c r="H268" s="2">
        <v>4.99</v>
      </c>
      <c r="I268" s="1">
        <v>21</v>
      </c>
      <c r="U268" s="1">
        <v>22</v>
      </c>
      <c r="X268" s="1">
        <v>21</v>
      </c>
      <c r="AA268" s="1">
        <v>1</v>
      </c>
      <c r="AB268" s="1">
        <v>2</v>
      </c>
      <c r="AC268" s="1">
        <v>631</v>
      </c>
      <c r="AF268" s="3">
        <v>4.2084168336673349</v>
      </c>
      <c r="AG268" s="3">
        <v>0.73206835288244532</v>
      </c>
      <c r="AH268" s="1">
        <v>6253</v>
      </c>
      <c r="AI268" s="1" t="b">
        <v>1</v>
      </c>
    </row>
    <row r="269" spans="1:35" x14ac:dyDescent="0.25">
      <c r="A269" s="1">
        <v>8</v>
      </c>
      <c r="B269" s="1">
        <v>11</v>
      </c>
      <c r="C269" s="1">
        <v>2019</v>
      </c>
      <c r="G269" s="1" t="s">
        <v>38</v>
      </c>
      <c r="H269" s="2">
        <v>3.31</v>
      </c>
      <c r="I269" s="1">
        <v>10</v>
      </c>
      <c r="U269" s="1">
        <v>15</v>
      </c>
      <c r="X269" s="1">
        <v>15</v>
      </c>
      <c r="AA269" s="1">
        <v>3</v>
      </c>
      <c r="AB269" s="1">
        <v>1</v>
      </c>
      <c r="AC269" s="1">
        <v>479</v>
      </c>
      <c r="AF269" s="3">
        <v>3.0211480362537766</v>
      </c>
      <c r="AG269" s="3">
        <v>0.76508130402412777</v>
      </c>
      <c r="AH269" s="1">
        <v>6253</v>
      </c>
      <c r="AI269" s="1" t="b">
        <v>1</v>
      </c>
    </row>
    <row r="270" spans="1:35" x14ac:dyDescent="0.25">
      <c r="A270" s="1">
        <v>8</v>
      </c>
      <c r="B270" s="1">
        <v>11</v>
      </c>
      <c r="C270" s="1">
        <v>2019</v>
      </c>
      <c r="G270" s="1" t="s">
        <v>38</v>
      </c>
      <c r="H270" s="2">
        <v>3.84</v>
      </c>
      <c r="I270" s="1">
        <v>13</v>
      </c>
      <c r="U270" s="1">
        <v>17</v>
      </c>
      <c r="X270" s="1">
        <v>16</v>
      </c>
      <c r="AA270" s="1">
        <v>2</v>
      </c>
      <c r="AB270" s="1">
        <v>4</v>
      </c>
      <c r="AC270" s="1">
        <v>555</v>
      </c>
      <c r="AF270" s="3">
        <v>3.385416666666667</v>
      </c>
      <c r="AG270" s="3">
        <v>0.75756469883535449</v>
      </c>
      <c r="AH270" s="1">
        <v>6253</v>
      </c>
      <c r="AI270" s="1" t="b">
        <v>1</v>
      </c>
    </row>
    <row r="271" spans="1:35" x14ac:dyDescent="0.25">
      <c r="A271" s="1">
        <v>8</v>
      </c>
      <c r="B271" s="1">
        <v>11</v>
      </c>
      <c r="C271" s="1">
        <v>2019</v>
      </c>
      <c r="G271" s="1" t="s">
        <v>38</v>
      </c>
      <c r="H271" s="2">
        <v>3</v>
      </c>
      <c r="I271" s="1">
        <v>7</v>
      </c>
      <c r="U271" s="1">
        <v>18</v>
      </c>
      <c r="X271" s="1">
        <v>12</v>
      </c>
      <c r="AA271" s="1">
        <v>3</v>
      </c>
      <c r="AB271" s="1">
        <v>2</v>
      </c>
      <c r="AC271" s="1">
        <v>513</v>
      </c>
      <c r="AF271" s="3">
        <v>2.3333333333333335</v>
      </c>
      <c r="AG271" s="3">
        <v>0.92471540570339705</v>
      </c>
      <c r="AH271" s="1">
        <v>6253</v>
      </c>
      <c r="AI271" s="1" t="b">
        <v>1</v>
      </c>
    </row>
    <row r="272" spans="1:35" x14ac:dyDescent="0.25">
      <c r="A272" s="1">
        <v>8</v>
      </c>
      <c r="B272" s="1">
        <v>11</v>
      </c>
      <c r="C272" s="1">
        <v>2019</v>
      </c>
      <c r="G272" s="1" t="s">
        <v>38</v>
      </c>
      <c r="H272" s="2">
        <v>5.64</v>
      </c>
      <c r="I272" s="1">
        <v>17</v>
      </c>
      <c r="U272" s="1">
        <v>23</v>
      </c>
      <c r="X272" s="1">
        <v>20</v>
      </c>
      <c r="AA272" s="1">
        <v>2</v>
      </c>
      <c r="AB272" s="1">
        <v>3</v>
      </c>
      <c r="AC272" s="1">
        <v>837</v>
      </c>
      <c r="AF272" s="3">
        <v>3.0141843971631208</v>
      </c>
      <c r="AG272" s="3">
        <v>1.113590597594968</v>
      </c>
      <c r="AH272" s="1">
        <v>6253</v>
      </c>
      <c r="AI272" s="1" t="b">
        <v>1</v>
      </c>
    </row>
    <row r="273" spans="1:35" x14ac:dyDescent="0.25">
      <c r="A273" s="1">
        <v>8</v>
      </c>
      <c r="B273" s="1">
        <v>11</v>
      </c>
      <c r="C273" s="1">
        <v>2019</v>
      </c>
      <c r="G273" s="1" t="s">
        <v>38</v>
      </c>
      <c r="H273" s="2">
        <v>4.87</v>
      </c>
      <c r="I273" s="1">
        <v>15</v>
      </c>
      <c r="U273" s="1">
        <v>19</v>
      </c>
      <c r="X273" s="1">
        <v>17</v>
      </c>
      <c r="AA273" s="1">
        <v>4</v>
      </c>
      <c r="AB273" s="1">
        <v>3</v>
      </c>
      <c r="AC273" s="1">
        <v>894</v>
      </c>
      <c r="AF273" s="3">
        <v>3.0800821355236141</v>
      </c>
      <c r="AG273" s="3">
        <v>0.98334966690589043</v>
      </c>
      <c r="AH273" s="1">
        <v>6253</v>
      </c>
      <c r="AI273" s="1" t="b">
        <v>1</v>
      </c>
    </row>
    <row r="274" spans="1:35" x14ac:dyDescent="0.25">
      <c r="A274" s="1">
        <v>8</v>
      </c>
      <c r="B274" s="1">
        <v>11</v>
      </c>
      <c r="C274" s="1">
        <v>2019</v>
      </c>
      <c r="G274" s="1" t="s">
        <v>38</v>
      </c>
      <c r="H274" s="2">
        <v>7.51</v>
      </c>
      <c r="I274" s="1">
        <v>20</v>
      </c>
      <c r="U274" s="1">
        <v>32</v>
      </c>
      <c r="X274" s="1">
        <v>26</v>
      </c>
      <c r="AA274" s="1">
        <v>3</v>
      </c>
      <c r="AB274" s="1">
        <v>4</v>
      </c>
      <c r="AC274" s="1">
        <v>1041</v>
      </c>
      <c r="AF274" s="3">
        <v>2.6631158455392812</v>
      </c>
      <c r="AG274" s="3">
        <v>1.5401318324756779</v>
      </c>
      <c r="AH274" s="1">
        <v>6253</v>
      </c>
      <c r="AI274" s="1" t="b">
        <v>1</v>
      </c>
    </row>
    <row r="275" spans="1:35" x14ac:dyDescent="0.25">
      <c r="A275" s="1">
        <v>8</v>
      </c>
      <c r="B275" s="1">
        <v>11</v>
      </c>
      <c r="C275" s="1">
        <v>2019</v>
      </c>
      <c r="G275" s="1" t="s">
        <v>38</v>
      </c>
      <c r="H275" s="2">
        <v>8.2100000000000009</v>
      </c>
      <c r="I275" s="1">
        <v>17</v>
      </c>
      <c r="U275" s="1">
        <v>28</v>
      </c>
      <c r="X275" s="1">
        <v>26</v>
      </c>
      <c r="AA275" s="1">
        <v>4</v>
      </c>
      <c r="AB275" s="1">
        <v>5</v>
      </c>
      <c r="AC275" s="1">
        <v>1081</v>
      </c>
      <c r="AF275" s="3">
        <v>2.0706455542021924</v>
      </c>
      <c r="AG275" s="3">
        <v>2.1083098885602181</v>
      </c>
      <c r="AH275" s="1">
        <v>6253</v>
      </c>
      <c r="AI275" s="1" t="b">
        <v>1</v>
      </c>
    </row>
    <row r="276" spans="1:35" x14ac:dyDescent="0.25">
      <c r="A276" s="1">
        <v>8</v>
      </c>
      <c r="B276" s="1">
        <v>11</v>
      </c>
      <c r="C276" s="1">
        <v>2019</v>
      </c>
      <c r="G276" s="1" t="s">
        <v>38</v>
      </c>
      <c r="H276" s="2">
        <v>6.5</v>
      </c>
      <c r="I276" s="1">
        <v>12</v>
      </c>
      <c r="U276" s="1">
        <v>23</v>
      </c>
      <c r="X276" s="1">
        <v>18</v>
      </c>
      <c r="AA276" s="1">
        <v>3</v>
      </c>
      <c r="AB276" s="1">
        <v>2</v>
      </c>
      <c r="AC276" s="1">
        <v>999</v>
      </c>
      <c r="AF276" s="3">
        <v>1.8461538461538463</v>
      </c>
      <c r="AG276" s="3">
        <v>2.0080358413432333</v>
      </c>
      <c r="AH276" s="1">
        <v>6253</v>
      </c>
      <c r="AI276" s="1" t="b">
        <v>1</v>
      </c>
    </row>
    <row r="277" spans="1:35" x14ac:dyDescent="0.25">
      <c r="A277" s="1">
        <v>8</v>
      </c>
      <c r="B277" s="1">
        <v>11</v>
      </c>
      <c r="C277" s="1">
        <v>2019</v>
      </c>
      <c r="G277" s="1" t="s">
        <v>38</v>
      </c>
      <c r="H277" s="2">
        <v>3.75</v>
      </c>
      <c r="I277" s="1">
        <v>9</v>
      </c>
      <c r="U277" s="1">
        <v>18</v>
      </c>
      <c r="X277" s="1">
        <v>14</v>
      </c>
      <c r="AA277" s="1">
        <v>3</v>
      </c>
      <c r="AB277" s="1">
        <v>3</v>
      </c>
      <c r="AC277" s="1">
        <v>611</v>
      </c>
      <c r="AF277" s="3">
        <v>2.4</v>
      </c>
      <c r="AG277" s="3">
        <v>1.0510191901097869</v>
      </c>
      <c r="AH277" s="1">
        <v>6253</v>
      </c>
      <c r="AI277" s="1" t="b">
        <v>1</v>
      </c>
    </row>
    <row r="278" spans="1:35" x14ac:dyDescent="0.25">
      <c r="A278" s="1">
        <v>8</v>
      </c>
      <c r="B278" s="1">
        <v>11</v>
      </c>
      <c r="C278" s="1">
        <v>2019</v>
      </c>
      <c r="G278" s="1" t="s">
        <v>38</v>
      </c>
      <c r="H278" s="2">
        <v>5.89</v>
      </c>
      <c r="I278" s="1">
        <v>16</v>
      </c>
      <c r="U278" s="1">
        <v>23</v>
      </c>
      <c r="X278" s="1">
        <v>20</v>
      </c>
      <c r="AA278" s="1">
        <v>2</v>
      </c>
      <c r="AB278" s="1">
        <v>3</v>
      </c>
      <c r="AC278" s="1">
        <v>758</v>
      </c>
      <c r="AF278" s="3">
        <v>2.7164685908319188</v>
      </c>
      <c r="AG278" s="3">
        <v>1.2737260132631034</v>
      </c>
      <c r="AH278" s="1">
        <v>6253</v>
      </c>
      <c r="AI278" s="1" t="b">
        <v>1</v>
      </c>
    </row>
    <row r="279" spans="1:35" x14ac:dyDescent="0.25">
      <c r="A279" s="1">
        <v>8</v>
      </c>
      <c r="B279" s="1">
        <v>11</v>
      </c>
      <c r="C279" s="1">
        <v>2019</v>
      </c>
      <c r="G279" s="1" t="s">
        <v>38</v>
      </c>
      <c r="H279" s="2">
        <v>6.13</v>
      </c>
      <c r="I279" s="1">
        <v>13</v>
      </c>
      <c r="U279" s="1">
        <v>26</v>
      </c>
      <c r="X279" s="1">
        <v>22</v>
      </c>
      <c r="AA279" s="1">
        <v>4</v>
      </c>
      <c r="AB279" s="1">
        <v>5</v>
      </c>
      <c r="AC279" s="1">
        <v>885</v>
      </c>
      <c r="AF279" s="3">
        <v>2.1207177814029365</v>
      </c>
      <c r="AG279" s="3">
        <v>1.6777971578431159</v>
      </c>
      <c r="AH279" s="1">
        <v>6253</v>
      </c>
      <c r="AI279" s="1" t="b">
        <v>1</v>
      </c>
    </row>
    <row r="280" spans="1:35" x14ac:dyDescent="0.25">
      <c r="A280" s="1">
        <v>8</v>
      </c>
      <c r="B280" s="1">
        <v>11</v>
      </c>
      <c r="C280" s="1">
        <v>2019</v>
      </c>
      <c r="G280" s="1" t="s">
        <v>38</v>
      </c>
      <c r="H280" s="2">
        <v>5.85</v>
      </c>
      <c r="I280" s="1">
        <v>14</v>
      </c>
      <c r="U280" s="1">
        <v>18</v>
      </c>
      <c r="X280" s="1">
        <v>16</v>
      </c>
      <c r="AA280" s="1">
        <v>2</v>
      </c>
      <c r="AB280" s="1">
        <v>4</v>
      </c>
      <c r="AC280" s="1">
        <v>782</v>
      </c>
      <c r="AF280" s="3">
        <v>2.3931623931623931</v>
      </c>
      <c r="AG280" s="3">
        <v>1.4389209529998186</v>
      </c>
      <c r="AH280" s="1">
        <v>6253</v>
      </c>
      <c r="AI280" s="1" t="b">
        <v>1</v>
      </c>
    </row>
    <row r="281" spans="1:35" x14ac:dyDescent="0.25">
      <c r="A281" s="1">
        <v>8</v>
      </c>
      <c r="B281" s="1">
        <v>11</v>
      </c>
      <c r="C281" s="1">
        <v>2019</v>
      </c>
      <c r="G281" s="1" t="s">
        <v>38</v>
      </c>
      <c r="H281" s="2">
        <v>6.05</v>
      </c>
      <c r="I281" s="1">
        <v>15</v>
      </c>
      <c r="U281" s="1">
        <v>21</v>
      </c>
      <c r="X281" s="1">
        <v>20</v>
      </c>
      <c r="AA281" s="1">
        <v>3</v>
      </c>
      <c r="AB281" s="1">
        <v>4</v>
      </c>
      <c r="AC281" s="1">
        <v>625</v>
      </c>
      <c r="AF281" s="3">
        <v>2.4793388429752068</v>
      </c>
      <c r="AG281" s="3">
        <v>1.4219780018151058</v>
      </c>
      <c r="AH281" s="1">
        <v>6253</v>
      </c>
      <c r="AI281" s="1" t="b">
        <v>1</v>
      </c>
    </row>
    <row r="282" spans="1:35" x14ac:dyDescent="0.25">
      <c r="A282" s="1">
        <v>8</v>
      </c>
      <c r="B282" s="1">
        <v>11</v>
      </c>
      <c r="C282" s="1">
        <v>2019</v>
      </c>
      <c r="G282" s="1" t="s">
        <v>38</v>
      </c>
      <c r="H282" s="2">
        <v>5.01</v>
      </c>
      <c r="I282" s="1">
        <v>12</v>
      </c>
      <c r="U282" s="1">
        <v>20</v>
      </c>
      <c r="X282" s="1">
        <v>17</v>
      </c>
      <c r="AA282" s="1">
        <v>3</v>
      </c>
      <c r="AB282" s="1">
        <v>4</v>
      </c>
      <c r="AC282" s="1">
        <v>782</v>
      </c>
      <c r="AF282" s="3">
        <v>2.3952095808383236</v>
      </c>
      <c r="AG282" s="3">
        <v>1.2898609293756949</v>
      </c>
      <c r="AH282" s="1">
        <v>6253</v>
      </c>
      <c r="AI282" s="1" t="b">
        <v>1</v>
      </c>
    </row>
    <row r="283" spans="1:35" x14ac:dyDescent="0.25">
      <c r="A283" s="1">
        <v>8</v>
      </c>
      <c r="B283" s="1">
        <v>11</v>
      </c>
      <c r="C283" s="1">
        <v>2019</v>
      </c>
      <c r="G283" s="1" t="s">
        <v>38</v>
      </c>
      <c r="H283" s="2">
        <v>6.53</v>
      </c>
      <c r="I283" s="1">
        <v>18</v>
      </c>
      <c r="U283" s="1">
        <v>29</v>
      </c>
      <c r="X283" s="1">
        <v>24</v>
      </c>
      <c r="AA283" s="1">
        <v>3</v>
      </c>
      <c r="AB283" s="1">
        <v>2</v>
      </c>
      <c r="AC283" s="1">
        <v>984</v>
      </c>
      <c r="AF283" s="3">
        <v>2.7565084226646248</v>
      </c>
      <c r="AG283" s="3">
        <v>1.3492110924780911</v>
      </c>
      <c r="AH283" s="1">
        <v>6253</v>
      </c>
      <c r="AI283" s="1" t="b">
        <v>1</v>
      </c>
    </row>
    <row r="284" spans="1:35" x14ac:dyDescent="0.25">
      <c r="A284" s="1">
        <v>8</v>
      </c>
      <c r="B284" s="1">
        <v>11</v>
      </c>
      <c r="C284" s="1">
        <v>2019</v>
      </c>
      <c r="G284" s="1" t="s">
        <v>38</v>
      </c>
      <c r="H284" s="2">
        <v>5.74</v>
      </c>
      <c r="I284" s="1">
        <v>14</v>
      </c>
      <c r="U284" s="1">
        <v>20</v>
      </c>
      <c r="X284" s="1">
        <v>17</v>
      </c>
      <c r="AA284" s="1">
        <v>2</v>
      </c>
      <c r="AB284" s="1">
        <v>5</v>
      </c>
      <c r="AC284" s="1">
        <v>865</v>
      </c>
      <c r="AF284" s="3">
        <v>2.4390243902439024</v>
      </c>
      <c r="AG284" s="3">
        <v>1.3932279596291259</v>
      </c>
      <c r="AH284" s="1">
        <v>6253</v>
      </c>
      <c r="AI284" s="1" t="b">
        <v>1</v>
      </c>
    </row>
    <row r="285" spans="1:35" x14ac:dyDescent="0.25">
      <c r="A285" s="1">
        <v>8</v>
      </c>
      <c r="B285" s="1">
        <v>11</v>
      </c>
      <c r="C285" s="1">
        <v>2019</v>
      </c>
      <c r="G285" s="1" t="s">
        <v>38</v>
      </c>
      <c r="H285" s="2">
        <v>5</v>
      </c>
      <c r="I285" s="1">
        <v>14</v>
      </c>
      <c r="U285" s="1">
        <v>24</v>
      </c>
      <c r="X285" s="1">
        <v>21</v>
      </c>
      <c r="AA285" s="1">
        <v>3</v>
      </c>
      <c r="AB285" s="1">
        <v>3</v>
      </c>
      <c r="AC285" s="1">
        <v>639</v>
      </c>
      <c r="AF285" s="3">
        <v>2.8</v>
      </c>
      <c r="AG285" s="3">
        <v>1.1018461834285886</v>
      </c>
      <c r="AH285" s="1">
        <v>6253</v>
      </c>
      <c r="AI285" s="1" t="b">
        <v>1</v>
      </c>
    </row>
    <row r="286" spans="1:35" x14ac:dyDescent="0.25">
      <c r="A286" s="1">
        <v>8</v>
      </c>
      <c r="B286" s="1">
        <v>11</v>
      </c>
      <c r="C286" s="1">
        <v>2019</v>
      </c>
      <c r="G286" s="1" t="s">
        <v>38</v>
      </c>
      <c r="H286" s="2">
        <v>7.66</v>
      </c>
      <c r="I286" s="1">
        <v>18</v>
      </c>
      <c r="U286" s="1">
        <v>26</v>
      </c>
      <c r="X286" s="1">
        <v>24</v>
      </c>
      <c r="AA286" s="1">
        <v>4</v>
      </c>
      <c r="AB286" s="1">
        <v>3</v>
      </c>
      <c r="AC286" s="1">
        <v>987</v>
      </c>
      <c r="AF286" s="3">
        <v>2.3498694516971277</v>
      </c>
      <c r="AG286" s="3">
        <v>1.7697682653493885</v>
      </c>
      <c r="AH286" s="1">
        <v>6253</v>
      </c>
      <c r="AI286" s="1" t="b">
        <v>1</v>
      </c>
    </row>
    <row r="287" spans="1:35" x14ac:dyDescent="0.25">
      <c r="A287" s="1">
        <v>8</v>
      </c>
      <c r="B287" s="1">
        <v>11</v>
      </c>
      <c r="C287" s="1">
        <v>2019</v>
      </c>
      <c r="G287" s="1" t="s">
        <v>38</v>
      </c>
      <c r="H287" s="2">
        <v>5.08</v>
      </c>
      <c r="I287" s="1">
        <v>7</v>
      </c>
      <c r="U287" s="1">
        <v>19</v>
      </c>
      <c r="X287" s="1">
        <v>14</v>
      </c>
      <c r="AA287" s="1">
        <v>3</v>
      </c>
      <c r="AB287" s="1">
        <v>3</v>
      </c>
      <c r="AC287" s="1">
        <v>713</v>
      </c>
      <c r="AF287" s="3">
        <v>1.3779527559055118</v>
      </c>
      <c r="AG287" s="3">
        <v>2.2639679313631071</v>
      </c>
      <c r="AH287" s="1">
        <v>6253</v>
      </c>
      <c r="AI287" s="1" t="b">
        <v>1</v>
      </c>
    </row>
    <row r="288" spans="1:35" x14ac:dyDescent="0.25">
      <c r="A288" s="1">
        <v>8</v>
      </c>
      <c r="B288" s="1">
        <v>11</v>
      </c>
      <c r="C288" s="1">
        <v>2019</v>
      </c>
      <c r="G288" s="1" t="s">
        <v>38</v>
      </c>
      <c r="H288" s="2">
        <v>9.1</v>
      </c>
      <c r="I288" s="1">
        <v>23</v>
      </c>
      <c r="U288" s="1">
        <v>35</v>
      </c>
      <c r="X288" s="1">
        <v>31</v>
      </c>
      <c r="AA288" s="1">
        <v>2</v>
      </c>
      <c r="AB288" s="1">
        <v>1</v>
      </c>
      <c r="AC288" s="1">
        <v>1088</v>
      </c>
      <c r="AF288" s="3">
        <v>2.5274725274725274</v>
      </c>
      <c r="AG288" s="3">
        <v>1.8562759199106611</v>
      </c>
      <c r="AH288" s="1">
        <v>6253</v>
      </c>
      <c r="AI288" s="1" t="b">
        <v>1</v>
      </c>
    </row>
    <row r="289" spans="1:35" x14ac:dyDescent="0.25">
      <c r="A289" s="1">
        <v>8</v>
      </c>
      <c r="B289" s="1">
        <v>11</v>
      </c>
      <c r="C289" s="1">
        <v>2019</v>
      </c>
      <c r="G289" s="1" t="s">
        <v>38</v>
      </c>
      <c r="H289" s="2">
        <v>5.86</v>
      </c>
      <c r="I289" s="1">
        <v>18</v>
      </c>
      <c r="U289" s="1">
        <v>23</v>
      </c>
      <c r="X289" s="1">
        <v>22</v>
      </c>
      <c r="AA289" s="1">
        <v>2</v>
      </c>
      <c r="AB289" s="1">
        <v>3</v>
      </c>
      <c r="AC289" s="1">
        <v>797</v>
      </c>
      <c r="AF289" s="3">
        <v>3.0716723549488054</v>
      </c>
      <c r="AG289" s="3">
        <v>1.1224149486704571</v>
      </c>
      <c r="AH289" s="1">
        <v>6253</v>
      </c>
      <c r="AI289" s="1" t="b">
        <v>1</v>
      </c>
    </row>
    <row r="290" spans="1:35" x14ac:dyDescent="0.25">
      <c r="A290" s="1">
        <v>8</v>
      </c>
      <c r="B290" s="1">
        <v>11</v>
      </c>
      <c r="C290" s="1">
        <v>2019</v>
      </c>
      <c r="G290" s="1" t="s">
        <v>38</v>
      </c>
      <c r="H290" s="2">
        <v>8.9</v>
      </c>
      <c r="I290" s="1">
        <v>23</v>
      </c>
      <c r="U290" s="1">
        <v>29</v>
      </c>
      <c r="X290" s="1">
        <v>26</v>
      </c>
      <c r="AA290" s="1">
        <v>2</v>
      </c>
      <c r="AB290" s="1">
        <v>5</v>
      </c>
      <c r="AC290" s="1">
        <v>1118</v>
      </c>
      <c r="AF290" s="3">
        <v>2.5842696629213484</v>
      </c>
      <c r="AG290" s="3">
        <v>1.787455239664933</v>
      </c>
      <c r="AH290" s="1">
        <v>6253</v>
      </c>
      <c r="AI290" s="1" t="b">
        <v>1</v>
      </c>
    </row>
    <row r="291" spans="1:35" x14ac:dyDescent="0.25">
      <c r="A291" s="1">
        <v>8</v>
      </c>
      <c r="B291" s="1">
        <v>11</v>
      </c>
      <c r="C291" s="1">
        <v>2019</v>
      </c>
      <c r="G291" s="1" t="s">
        <v>38</v>
      </c>
      <c r="H291" s="2">
        <v>6.1</v>
      </c>
      <c r="I291" s="1">
        <v>14</v>
      </c>
      <c r="U291" s="1">
        <v>30</v>
      </c>
      <c r="X291" s="1">
        <v>21</v>
      </c>
      <c r="AA291" s="1">
        <v>4</v>
      </c>
      <c r="AB291" s="1">
        <v>4</v>
      </c>
      <c r="AC291" s="1">
        <v>858</v>
      </c>
      <c r="AF291" s="3">
        <v>2.2950819672131151</v>
      </c>
      <c r="AG291" s="3">
        <v>1.5450149418287176</v>
      </c>
      <c r="AH291" s="1">
        <v>6253</v>
      </c>
      <c r="AI291" s="1" t="b">
        <v>1</v>
      </c>
    </row>
    <row r="292" spans="1:35" x14ac:dyDescent="0.25">
      <c r="A292" s="1">
        <v>8</v>
      </c>
      <c r="B292" s="1">
        <v>11</v>
      </c>
      <c r="C292" s="1">
        <v>2019</v>
      </c>
      <c r="G292" s="1" t="s">
        <v>38</v>
      </c>
      <c r="H292" s="2">
        <v>6.32</v>
      </c>
      <c r="I292" s="1">
        <v>16</v>
      </c>
      <c r="U292" s="1">
        <v>25</v>
      </c>
      <c r="X292" s="1">
        <v>20</v>
      </c>
      <c r="AA292" s="1">
        <v>3</v>
      </c>
      <c r="AB292" s="1">
        <v>3</v>
      </c>
      <c r="AC292" s="1">
        <v>819</v>
      </c>
      <c r="AF292" s="3">
        <v>2.5316455696202529</v>
      </c>
      <c r="AG292" s="3">
        <v>1.435816865680503</v>
      </c>
      <c r="AH292" s="1">
        <v>6253</v>
      </c>
      <c r="AI292" s="1" t="b">
        <v>1</v>
      </c>
    </row>
    <row r="293" spans="1:35" x14ac:dyDescent="0.25">
      <c r="A293" s="1">
        <v>8</v>
      </c>
      <c r="B293" s="1">
        <v>11</v>
      </c>
      <c r="C293" s="1">
        <v>2019</v>
      </c>
      <c r="G293" s="1" t="s">
        <v>38</v>
      </c>
      <c r="H293" s="2">
        <v>8.17</v>
      </c>
      <c r="I293" s="1">
        <v>18</v>
      </c>
      <c r="U293" s="1">
        <v>32</v>
      </c>
      <c r="X293" s="1">
        <v>28</v>
      </c>
      <c r="AA293" s="1">
        <v>4</v>
      </c>
      <c r="AB293" s="1">
        <v>3</v>
      </c>
      <c r="AC293" s="1">
        <v>1147</v>
      </c>
      <c r="AF293" s="3">
        <v>2.2031823745410035</v>
      </c>
      <c r="AG293" s="3">
        <v>1.9747175731407529</v>
      </c>
      <c r="AH293" s="1">
        <v>6253</v>
      </c>
      <c r="AI293" s="1" t="b">
        <v>1</v>
      </c>
    </row>
    <row r="294" spans="1:35" x14ac:dyDescent="0.25">
      <c r="A294" s="1">
        <v>8</v>
      </c>
      <c r="B294" s="1">
        <v>11</v>
      </c>
      <c r="C294" s="1">
        <v>2019</v>
      </c>
      <c r="G294" s="1" t="s">
        <v>38</v>
      </c>
      <c r="H294" s="2">
        <v>5.01</v>
      </c>
      <c r="I294" s="1">
        <v>18</v>
      </c>
      <c r="U294" s="1">
        <v>21</v>
      </c>
      <c r="X294" s="1">
        <v>19</v>
      </c>
      <c r="AA294" s="1">
        <v>2</v>
      </c>
      <c r="AB294" s="1">
        <v>4</v>
      </c>
      <c r="AC294" s="1">
        <v>753</v>
      </c>
      <c r="AF294" s="3">
        <v>3.5928143712574854</v>
      </c>
      <c r="AG294" s="3">
        <v>0.8599072862504632</v>
      </c>
      <c r="AH294" s="1">
        <v>6253</v>
      </c>
      <c r="AI294" s="1" t="b">
        <v>1</v>
      </c>
    </row>
    <row r="295" spans="1:35" x14ac:dyDescent="0.25">
      <c r="A295" s="1">
        <v>8</v>
      </c>
      <c r="B295" s="1">
        <v>11</v>
      </c>
      <c r="C295" s="1">
        <v>2019</v>
      </c>
      <c r="G295" s="1" t="s">
        <v>38</v>
      </c>
      <c r="H295" s="2">
        <v>5.99</v>
      </c>
      <c r="I295" s="1">
        <v>12</v>
      </c>
      <c r="U295" s="1">
        <v>15</v>
      </c>
      <c r="X295" s="1">
        <v>13</v>
      </c>
      <c r="AA295" s="1">
        <v>2</v>
      </c>
      <c r="AB295" s="1">
        <v>3</v>
      </c>
      <c r="AC295" s="1">
        <v>881</v>
      </c>
      <c r="AF295" s="3">
        <v>2.003338898163606</v>
      </c>
      <c r="AG295" s="3">
        <v>1.7476093195096769</v>
      </c>
      <c r="AH295" s="1">
        <v>6253</v>
      </c>
      <c r="AI295" s="1" t="b">
        <v>1</v>
      </c>
    </row>
    <row r="296" spans="1:35" x14ac:dyDescent="0.25">
      <c r="A296" s="1">
        <v>8</v>
      </c>
      <c r="B296" s="1">
        <v>11</v>
      </c>
      <c r="C296" s="1">
        <v>2019</v>
      </c>
      <c r="G296" s="1" t="s">
        <v>38</v>
      </c>
      <c r="H296" s="2">
        <v>7.02</v>
      </c>
      <c r="I296" s="1">
        <v>19</v>
      </c>
      <c r="U296" s="1">
        <v>30</v>
      </c>
      <c r="X296" s="1">
        <v>26</v>
      </c>
      <c r="AA296" s="1">
        <v>4</v>
      </c>
      <c r="AB296" s="1">
        <v>3</v>
      </c>
      <c r="AC296" s="1">
        <v>1069</v>
      </c>
      <c r="AF296" s="3">
        <v>2.7065527065527069</v>
      </c>
      <c r="AG296" s="3">
        <v>1.4455046386507953</v>
      </c>
      <c r="AH296" s="1">
        <v>6253</v>
      </c>
      <c r="AI296" s="1" t="b">
        <v>1</v>
      </c>
    </row>
    <row r="297" spans="1:35" x14ac:dyDescent="0.25">
      <c r="A297" s="1">
        <v>8</v>
      </c>
      <c r="B297" s="1">
        <v>11</v>
      </c>
      <c r="C297" s="1">
        <v>2019</v>
      </c>
      <c r="G297" s="1" t="s">
        <v>38</v>
      </c>
      <c r="H297" s="2">
        <v>5.74</v>
      </c>
      <c r="I297" s="1">
        <v>11</v>
      </c>
      <c r="U297" s="1">
        <v>20</v>
      </c>
      <c r="X297" s="1">
        <v>17</v>
      </c>
      <c r="AA297" s="1">
        <v>3</v>
      </c>
      <c r="AB297" s="1">
        <v>3</v>
      </c>
      <c r="AC297" s="1">
        <v>818</v>
      </c>
      <c r="AF297" s="3">
        <v>1.9163763066202091</v>
      </c>
      <c r="AG297" s="3">
        <v>1.7731992213461603</v>
      </c>
      <c r="AH297" s="1">
        <v>6253</v>
      </c>
      <c r="AI297" s="1" t="b">
        <v>1</v>
      </c>
    </row>
    <row r="298" spans="1:35" x14ac:dyDescent="0.25">
      <c r="A298" s="1">
        <v>9</v>
      </c>
      <c r="B298" s="1">
        <v>11</v>
      </c>
      <c r="C298" s="1">
        <v>2019</v>
      </c>
      <c r="G298" s="1" t="s">
        <v>38</v>
      </c>
      <c r="H298" s="2">
        <v>6.5</v>
      </c>
      <c r="I298" s="1">
        <v>20</v>
      </c>
      <c r="U298" s="1">
        <v>30</v>
      </c>
      <c r="X298" s="1">
        <v>25</v>
      </c>
      <c r="AA298" s="1">
        <v>2</v>
      </c>
      <c r="AB298" s="1">
        <v>3</v>
      </c>
      <c r="AC298" s="1">
        <v>840</v>
      </c>
      <c r="AF298" s="3">
        <v>3.0769230769230771</v>
      </c>
      <c r="AG298" s="3">
        <v>1.2048215048059401</v>
      </c>
      <c r="AH298" s="1">
        <v>6253</v>
      </c>
      <c r="AI298" s="1" t="b">
        <v>1</v>
      </c>
    </row>
    <row r="299" spans="1:35" x14ac:dyDescent="0.25">
      <c r="A299" s="1">
        <v>9</v>
      </c>
      <c r="B299" s="1">
        <v>11</v>
      </c>
      <c r="C299" s="1">
        <v>2019</v>
      </c>
      <c r="G299" s="1" t="s">
        <v>38</v>
      </c>
      <c r="H299" s="2">
        <v>5.62</v>
      </c>
      <c r="I299" s="1">
        <v>13</v>
      </c>
      <c r="U299" s="1">
        <v>23</v>
      </c>
      <c r="X299" s="1">
        <v>18</v>
      </c>
      <c r="AA299" s="1">
        <v>2</v>
      </c>
      <c r="AB299" s="1">
        <v>4</v>
      </c>
      <c r="AC299" s="1">
        <v>850</v>
      </c>
      <c r="AF299" s="3">
        <v>2.3131672597864767</v>
      </c>
      <c r="AG299" s="3">
        <v>1.4474660430803274</v>
      </c>
      <c r="AH299" s="1">
        <v>6253</v>
      </c>
      <c r="AI299" s="1" t="b">
        <v>1</v>
      </c>
    </row>
    <row r="300" spans="1:35" x14ac:dyDescent="0.25">
      <c r="A300" s="1">
        <v>9</v>
      </c>
      <c r="B300" s="1">
        <v>11</v>
      </c>
      <c r="C300" s="1">
        <v>2019</v>
      </c>
      <c r="G300" s="1" t="s">
        <v>38</v>
      </c>
      <c r="H300" s="2">
        <v>5.77</v>
      </c>
      <c r="I300" s="1">
        <v>20</v>
      </c>
      <c r="U300" s="1">
        <v>23</v>
      </c>
      <c r="X300" s="1">
        <v>20</v>
      </c>
      <c r="AA300" s="1">
        <v>1</v>
      </c>
      <c r="AB300" s="1">
        <v>3</v>
      </c>
      <c r="AC300" s="1">
        <v>804</v>
      </c>
      <c r="AF300" s="3">
        <v>3.4662045060658579</v>
      </c>
      <c r="AG300" s="3">
        <v>0.98394061272791755</v>
      </c>
      <c r="AH300" s="1">
        <v>6253</v>
      </c>
      <c r="AI300" s="1" t="b">
        <v>1</v>
      </c>
    </row>
    <row r="301" spans="1:35" x14ac:dyDescent="0.25">
      <c r="A301" s="1">
        <v>9</v>
      </c>
      <c r="B301" s="1">
        <v>11</v>
      </c>
      <c r="C301" s="1">
        <v>2019</v>
      </c>
      <c r="G301" s="1" t="s">
        <v>38</v>
      </c>
      <c r="H301" s="2">
        <v>6.58</v>
      </c>
      <c r="I301" s="1">
        <v>18</v>
      </c>
      <c r="U301" s="1">
        <v>31</v>
      </c>
      <c r="X301" s="1">
        <v>25</v>
      </c>
      <c r="AA301" s="1">
        <v>3</v>
      </c>
      <c r="AB301" s="1">
        <v>3</v>
      </c>
      <c r="AC301" s="1">
        <v>923</v>
      </c>
      <c r="AF301" s="3">
        <v>2.735562310030395</v>
      </c>
      <c r="AG301" s="3">
        <v>1.3668205949856471</v>
      </c>
      <c r="AH301" s="1">
        <v>6253</v>
      </c>
      <c r="AI301" s="1" t="b">
        <v>1</v>
      </c>
    </row>
    <row r="302" spans="1:35" x14ac:dyDescent="0.25">
      <c r="A302" s="1">
        <v>9</v>
      </c>
      <c r="B302" s="1">
        <v>11</v>
      </c>
      <c r="C302" s="1">
        <v>2019</v>
      </c>
      <c r="G302" s="1" t="s">
        <v>38</v>
      </c>
      <c r="H302" s="2">
        <v>8.08</v>
      </c>
      <c r="I302" s="1">
        <v>24</v>
      </c>
      <c r="U302" s="1">
        <v>36</v>
      </c>
      <c r="X302" s="1">
        <v>30</v>
      </c>
      <c r="AA302" s="1">
        <v>2</v>
      </c>
      <c r="AB302" s="1">
        <v>2</v>
      </c>
      <c r="AC302" s="1">
        <v>1097</v>
      </c>
      <c r="AF302" s="3">
        <v>2.9702970297029703</v>
      </c>
      <c r="AG302" s="3">
        <v>1.4534097578082878</v>
      </c>
      <c r="AH302" s="1">
        <v>6253</v>
      </c>
      <c r="AI302" s="1" t="b">
        <v>1</v>
      </c>
    </row>
    <row r="303" spans="1:35" x14ac:dyDescent="0.25">
      <c r="A303" s="1">
        <v>9</v>
      </c>
      <c r="B303" s="1">
        <v>11</v>
      </c>
      <c r="C303" s="1">
        <v>2019</v>
      </c>
      <c r="G303" s="1" t="s">
        <v>38</v>
      </c>
      <c r="H303" s="2">
        <v>8.0399999999999991</v>
      </c>
      <c r="I303" s="1">
        <v>19</v>
      </c>
      <c r="U303" s="1">
        <v>32</v>
      </c>
      <c r="X303" s="1">
        <v>27</v>
      </c>
      <c r="AA303" s="1">
        <v>4</v>
      </c>
      <c r="AB303" s="1">
        <v>5</v>
      </c>
      <c r="AC303" s="1">
        <v>1116</v>
      </c>
      <c r="AF303" s="3">
        <v>2.3631840796019903</v>
      </c>
      <c r="AG303" s="3">
        <v>1.8204622680247833</v>
      </c>
      <c r="AH303" s="1">
        <v>6253</v>
      </c>
      <c r="AI303" s="1" t="b">
        <v>1</v>
      </c>
    </row>
    <row r="304" spans="1:35" x14ac:dyDescent="0.25">
      <c r="A304" s="1">
        <v>9</v>
      </c>
      <c r="B304" s="1">
        <v>11</v>
      </c>
      <c r="C304" s="1">
        <v>2019</v>
      </c>
      <c r="G304" s="1" t="s">
        <v>38</v>
      </c>
      <c r="H304" s="2">
        <v>9.16</v>
      </c>
      <c r="I304" s="1">
        <v>31</v>
      </c>
      <c r="U304" s="1">
        <v>40</v>
      </c>
      <c r="X304" s="1">
        <v>37</v>
      </c>
      <c r="AA304" s="1">
        <v>3</v>
      </c>
      <c r="AB304" s="1">
        <v>1</v>
      </c>
      <c r="AC304" s="1">
        <v>1217</v>
      </c>
      <c r="AF304" s="3">
        <v>3.3842794759825328</v>
      </c>
      <c r="AG304" s="3">
        <v>1.3927097352914299</v>
      </c>
      <c r="AH304" s="1">
        <v>6253</v>
      </c>
      <c r="AI304" s="1" t="b">
        <v>1</v>
      </c>
    </row>
    <row r="305" spans="1:35" x14ac:dyDescent="0.25">
      <c r="A305" s="1">
        <v>9</v>
      </c>
      <c r="B305" s="1">
        <v>11</v>
      </c>
      <c r="C305" s="1">
        <v>2019</v>
      </c>
      <c r="G305" s="1" t="s">
        <v>38</v>
      </c>
      <c r="H305" s="2">
        <v>4.7</v>
      </c>
      <c r="I305" s="1">
        <v>12</v>
      </c>
      <c r="U305" s="1">
        <v>24</v>
      </c>
      <c r="X305" s="1">
        <v>19</v>
      </c>
      <c r="AA305" s="1">
        <v>3</v>
      </c>
      <c r="AB305" s="1">
        <v>2</v>
      </c>
      <c r="AC305" s="1">
        <v>574</v>
      </c>
      <c r="AF305" s="3">
        <v>2.5531914893617018</v>
      </c>
      <c r="AG305" s="3">
        <v>1.1571378842235072</v>
      </c>
      <c r="AH305" s="1">
        <v>6253</v>
      </c>
      <c r="AI305" s="1" t="b">
        <v>1</v>
      </c>
    </row>
    <row r="306" spans="1:35" x14ac:dyDescent="0.25">
      <c r="A306" s="1">
        <v>9</v>
      </c>
      <c r="B306" s="1">
        <v>11</v>
      </c>
      <c r="C306" s="1">
        <v>2019</v>
      </c>
      <c r="G306" s="1" t="s">
        <v>38</v>
      </c>
      <c r="H306" s="2">
        <v>6.46</v>
      </c>
      <c r="I306" s="1">
        <v>15</v>
      </c>
      <c r="U306" s="1">
        <v>26</v>
      </c>
      <c r="X306" s="1">
        <v>20</v>
      </c>
      <c r="AA306" s="1">
        <v>3</v>
      </c>
      <c r="AB306" s="1">
        <v>3</v>
      </c>
      <c r="AC306" s="1">
        <v>744</v>
      </c>
      <c r="AF306" s="3">
        <v>2.321981424148607</v>
      </c>
      <c r="AG306" s="3">
        <v>1.5896591769705737</v>
      </c>
      <c r="AH306" s="1">
        <v>6253</v>
      </c>
      <c r="AI306" s="1" t="b">
        <v>1</v>
      </c>
    </row>
    <row r="307" spans="1:35" x14ac:dyDescent="0.25">
      <c r="A307" s="1">
        <v>9</v>
      </c>
      <c r="B307" s="1">
        <v>11</v>
      </c>
      <c r="C307" s="1">
        <v>2019</v>
      </c>
      <c r="G307" s="1" t="s">
        <v>38</v>
      </c>
      <c r="H307" s="2">
        <v>8.93</v>
      </c>
      <c r="I307" s="1">
        <v>23</v>
      </c>
      <c r="V307" s="1">
        <v>38</v>
      </c>
      <c r="X307" s="1">
        <v>25</v>
      </c>
      <c r="AA307" s="1">
        <v>3</v>
      </c>
      <c r="AB307" s="1">
        <v>3</v>
      </c>
      <c r="AC307" s="1">
        <v>881</v>
      </c>
      <c r="AF307" s="3">
        <v>2.5755879059350506</v>
      </c>
      <c r="AG307" s="3">
        <v>1.797710040741463</v>
      </c>
      <c r="AH307" s="1">
        <v>6253</v>
      </c>
      <c r="AI307" s="1" t="b">
        <v>1</v>
      </c>
    </row>
    <row r="308" spans="1:35" x14ac:dyDescent="0.25">
      <c r="A308" s="1">
        <v>9</v>
      </c>
      <c r="B308" s="1">
        <v>11</v>
      </c>
      <c r="C308" s="1">
        <v>2019</v>
      </c>
      <c r="G308" s="1" t="s">
        <v>38</v>
      </c>
      <c r="H308" s="2">
        <v>5.23</v>
      </c>
      <c r="I308" s="1">
        <v>12</v>
      </c>
      <c r="V308" s="1">
        <v>18</v>
      </c>
      <c r="X308" s="1">
        <v>15</v>
      </c>
      <c r="AA308" s="1">
        <v>3</v>
      </c>
      <c r="AB308" s="1">
        <v>4</v>
      </c>
      <c r="AC308" s="1">
        <v>730</v>
      </c>
      <c r="AF308" s="3">
        <v>2.2944550669216057</v>
      </c>
      <c r="AG308" s="3">
        <v>1.3876234323619852</v>
      </c>
      <c r="AH308" s="1">
        <v>6253</v>
      </c>
      <c r="AI308" s="1" t="b">
        <v>1</v>
      </c>
    </row>
    <row r="309" spans="1:35" x14ac:dyDescent="0.25">
      <c r="A309" s="1">
        <v>9</v>
      </c>
      <c r="B309" s="1">
        <v>11</v>
      </c>
      <c r="C309" s="1">
        <v>2019</v>
      </c>
      <c r="G309" s="1" t="s">
        <v>38</v>
      </c>
      <c r="H309" s="2">
        <v>6.12</v>
      </c>
      <c r="I309" s="1">
        <v>16</v>
      </c>
      <c r="V309" s="1">
        <v>24</v>
      </c>
      <c r="X309" s="1">
        <v>20</v>
      </c>
      <c r="AA309" s="1">
        <v>3</v>
      </c>
      <c r="AB309" s="1">
        <v>3</v>
      </c>
      <c r="AC309" s="1">
        <v>688</v>
      </c>
      <c r="AF309" s="3">
        <v>2.6143790849673203</v>
      </c>
      <c r="AG309" s="3">
        <v>1.3594318319757164</v>
      </c>
      <c r="AH309" s="1">
        <v>6253</v>
      </c>
      <c r="AI309" s="1" t="b">
        <v>1</v>
      </c>
    </row>
    <row r="310" spans="1:35" x14ac:dyDescent="0.25">
      <c r="A310" s="1">
        <v>9</v>
      </c>
      <c r="B310" s="1">
        <v>11</v>
      </c>
      <c r="C310" s="1">
        <v>2019</v>
      </c>
      <c r="G310" s="1" t="s">
        <v>38</v>
      </c>
      <c r="H310" s="2">
        <v>8.1300000000000008</v>
      </c>
      <c r="I310" s="1">
        <v>22</v>
      </c>
      <c r="V310" s="1">
        <v>36</v>
      </c>
      <c r="X310" s="1">
        <v>32</v>
      </c>
      <c r="AA310" s="1">
        <v>4</v>
      </c>
      <c r="AB310" s="1">
        <v>6</v>
      </c>
      <c r="AC310" s="1">
        <v>1062</v>
      </c>
      <c r="AF310" s="3">
        <v>2.7060270602706025</v>
      </c>
      <c r="AG310" s="3">
        <v>1.6022535654764842</v>
      </c>
      <c r="AH310" s="1">
        <v>6253</v>
      </c>
      <c r="AI310" s="1" t="b">
        <v>1</v>
      </c>
    </row>
    <row r="311" spans="1:35" x14ac:dyDescent="0.25">
      <c r="A311" s="1">
        <v>10</v>
      </c>
      <c r="B311" s="1">
        <v>11</v>
      </c>
      <c r="C311" s="1">
        <v>2019</v>
      </c>
      <c r="G311" s="1" t="s">
        <v>38</v>
      </c>
      <c r="H311" s="2">
        <v>6.58</v>
      </c>
      <c r="I311" s="1">
        <v>18</v>
      </c>
      <c r="V311" s="1">
        <v>28</v>
      </c>
      <c r="X311" s="1">
        <v>24</v>
      </c>
      <c r="AA311" s="1">
        <v>5</v>
      </c>
      <c r="AB311" s="1">
        <v>3</v>
      </c>
      <c r="AC311" s="1">
        <v>1000</v>
      </c>
      <c r="AF311" s="3">
        <v>2.735562310030395</v>
      </c>
      <c r="AG311" s="3">
        <v>1.3668205949856471</v>
      </c>
      <c r="AH311" s="1">
        <v>6253</v>
      </c>
      <c r="AI311" s="1" t="b">
        <v>1</v>
      </c>
    </row>
    <row r="312" spans="1:35" x14ac:dyDescent="0.25">
      <c r="A312" s="1">
        <v>10</v>
      </c>
      <c r="B312" s="1">
        <v>11</v>
      </c>
      <c r="C312" s="1">
        <v>2019</v>
      </c>
      <c r="G312" s="1" t="s">
        <v>38</v>
      </c>
      <c r="H312" s="2">
        <v>6.33</v>
      </c>
      <c r="I312" s="1">
        <v>17</v>
      </c>
      <c r="U312" s="1">
        <v>26</v>
      </c>
      <c r="X312" s="1">
        <v>20</v>
      </c>
      <c r="AA312" s="1">
        <v>2</v>
      </c>
      <c r="AB312" s="1">
        <v>1</v>
      </c>
      <c r="AC312" s="1">
        <v>923</v>
      </c>
      <c r="AF312" s="3">
        <v>2.6856240126382307</v>
      </c>
      <c r="AG312" s="3">
        <v>1.3549940421830615</v>
      </c>
      <c r="AH312" s="1">
        <v>6253</v>
      </c>
      <c r="AI312" s="1" t="b">
        <v>1</v>
      </c>
    </row>
    <row r="313" spans="1:35" x14ac:dyDescent="0.25">
      <c r="A313" s="1">
        <v>10</v>
      </c>
      <c r="B313" s="1">
        <v>11</v>
      </c>
      <c r="C313" s="1">
        <v>2019</v>
      </c>
      <c r="G313" s="1" t="s">
        <v>38</v>
      </c>
      <c r="H313" s="2">
        <v>6.84</v>
      </c>
      <c r="I313" s="1">
        <v>18</v>
      </c>
      <c r="U313" s="1">
        <v>30</v>
      </c>
      <c r="X313" s="1">
        <v>24</v>
      </c>
      <c r="AA313" s="1">
        <v>3</v>
      </c>
      <c r="AB313" s="1">
        <v>4</v>
      </c>
      <c r="AC313" s="1">
        <v>1006</v>
      </c>
      <c r="AF313" s="3">
        <v>2.6315789473684212</v>
      </c>
      <c r="AG313" s="3">
        <v>1.4598991907172414</v>
      </c>
      <c r="AH313" s="1">
        <v>6253</v>
      </c>
      <c r="AI313" s="1" t="b">
        <v>1</v>
      </c>
    </row>
    <row r="314" spans="1:35" x14ac:dyDescent="0.25">
      <c r="A314" s="1">
        <v>10</v>
      </c>
      <c r="B314" s="1">
        <v>11</v>
      </c>
      <c r="C314" s="1">
        <v>2019</v>
      </c>
      <c r="G314" s="1" t="s">
        <v>38</v>
      </c>
      <c r="H314" s="2">
        <v>9.07</v>
      </c>
      <c r="I314" s="1">
        <v>19</v>
      </c>
      <c r="U314" s="1">
        <v>33</v>
      </c>
      <c r="X314" s="1">
        <v>29</v>
      </c>
      <c r="AA314" s="1">
        <v>3</v>
      </c>
      <c r="AB314" s="1">
        <v>2</v>
      </c>
      <c r="AC314" s="1">
        <v>1096</v>
      </c>
      <c r="AF314" s="3">
        <v>2.0948180815876514</v>
      </c>
      <c r="AG314" s="3">
        <v>2.2344919121484121</v>
      </c>
      <c r="AH314" s="1">
        <v>6253</v>
      </c>
      <c r="AI314" s="1" t="b">
        <v>1</v>
      </c>
    </row>
    <row r="315" spans="1:35" x14ac:dyDescent="0.25">
      <c r="A315" s="1">
        <v>10</v>
      </c>
      <c r="B315" s="1">
        <v>11</v>
      </c>
      <c r="C315" s="1">
        <v>2019</v>
      </c>
      <c r="G315" s="1" t="s">
        <v>38</v>
      </c>
      <c r="H315" s="2">
        <v>5.32</v>
      </c>
      <c r="I315" s="1">
        <v>11</v>
      </c>
      <c r="V315" s="1">
        <v>21</v>
      </c>
      <c r="X315" s="1">
        <v>15</v>
      </c>
      <c r="AA315" s="1">
        <v>2</v>
      </c>
      <c r="AB315" s="1">
        <v>2</v>
      </c>
      <c r="AC315" s="1">
        <v>777</v>
      </c>
      <c r="AF315" s="3">
        <v>2.0676691729323307</v>
      </c>
      <c r="AG315" s="3">
        <v>1.5583215973044773</v>
      </c>
      <c r="AH315" s="1">
        <v>6253</v>
      </c>
      <c r="AI315" s="1" t="b">
        <v>1</v>
      </c>
    </row>
    <row r="316" spans="1:35" x14ac:dyDescent="0.25">
      <c r="A316" s="1">
        <v>10</v>
      </c>
      <c r="B316" s="1">
        <v>11</v>
      </c>
      <c r="C316" s="1">
        <v>2019</v>
      </c>
      <c r="G316" s="1" t="s">
        <v>38</v>
      </c>
      <c r="H316" s="2">
        <v>4.8499999999999996</v>
      </c>
      <c r="I316" s="1">
        <v>10</v>
      </c>
      <c r="V316" s="1">
        <v>19</v>
      </c>
      <c r="X316" s="1">
        <v>14</v>
      </c>
      <c r="AA316" s="1">
        <v>3</v>
      </c>
      <c r="AB316" s="1">
        <v>3</v>
      </c>
      <c r="AC316" s="1">
        <v>696</v>
      </c>
      <c r="AF316" s="3">
        <v>2.061855670103093</v>
      </c>
      <c r="AG316" s="3">
        <v>1.4647413960503139</v>
      </c>
      <c r="AH316" s="1">
        <v>6253</v>
      </c>
      <c r="AI316" s="1" t="b">
        <v>1</v>
      </c>
    </row>
    <row r="317" spans="1:35" x14ac:dyDescent="0.25">
      <c r="A317" s="1">
        <v>10</v>
      </c>
      <c r="B317" s="1">
        <v>11</v>
      </c>
      <c r="C317" s="1">
        <v>2019</v>
      </c>
      <c r="G317" s="1" t="s">
        <v>38</v>
      </c>
      <c r="H317" s="2">
        <v>6.98</v>
      </c>
      <c r="I317" s="1">
        <v>15</v>
      </c>
      <c r="V317" s="1">
        <v>32</v>
      </c>
      <c r="X317" s="1">
        <v>24</v>
      </c>
      <c r="AA317" s="1">
        <v>4</v>
      </c>
      <c r="AB317" s="1">
        <v>4</v>
      </c>
      <c r="AC317" s="1">
        <v>910</v>
      </c>
      <c r="AF317" s="3">
        <v>2.1489971346704868</v>
      </c>
      <c r="AG317" s="3">
        <v>1.8132720168920187</v>
      </c>
      <c r="AH317" s="1">
        <v>6253</v>
      </c>
      <c r="AI317" s="1" t="b">
        <v>1</v>
      </c>
    </row>
    <row r="318" spans="1:35" x14ac:dyDescent="0.25">
      <c r="A318" s="1">
        <v>10</v>
      </c>
      <c r="B318" s="1">
        <v>11</v>
      </c>
      <c r="C318" s="1">
        <v>2019</v>
      </c>
      <c r="G318" s="1" t="s">
        <v>38</v>
      </c>
      <c r="H318" s="2">
        <v>6.13</v>
      </c>
      <c r="I318" s="1">
        <v>19</v>
      </c>
      <c r="U318" s="1">
        <v>29</v>
      </c>
      <c r="X318" s="1">
        <v>23</v>
      </c>
      <c r="AA318" s="1">
        <v>3</v>
      </c>
      <c r="AB318" s="1">
        <v>2</v>
      </c>
      <c r="AC318" s="1">
        <v>805</v>
      </c>
      <c r="AF318" s="3">
        <v>3.0995106035889073</v>
      </c>
      <c r="AG318" s="3">
        <v>1.1479664764189739</v>
      </c>
      <c r="AH318" s="1">
        <v>6253</v>
      </c>
      <c r="AI318" s="1" t="b">
        <v>1</v>
      </c>
    </row>
    <row r="319" spans="1:35" x14ac:dyDescent="0.25">
      <c r="A319" s="1">
        <v>10</v>
      </c>
      <c r="B319" s="1">
        <v>11</v>
      </c>
      <c r="C319" s="1">
        <v>2019</v>
      </c>
      <c r="G319" s="1" t="s">
        <v>38</v>
      </c>
      <c r="H319" s="2">
        <v>7.91</v>
      </c>
      <c r="I319" s="1">
        <v>23</v>
      </c>
      <c r="U319" s="1">
        <v>35</v>
      </c>
      <c r="X319" s="1">
        <v>31</v>
      </c>
      <c r="AA319" s="1">
        <v>4</v>
      </c>
      <c r="AB319" s="1">
        <v>3</v>
      </c>
      <c r="AC319" s="1">
        <v>1127</v>
      </c>
      <c r="AF319" s="3">
        <v>2.9077117572692792</v>
      </c>
      <c r="AG319" s="3">
        <v>1.462757002800591</v>
      </c>
      <c r="AH319" s="1">
        <v>6253</v>
      </c>
      <c r="AI319" s="1" t="b">
        <v>1</v>
      </c>
    </row>
    <row r="320" spans="1:35" x14ac:dyDescent="0.25">
      <c r="A320" s="1">
        <v>10</v>
      </c>
      <c r="B320" s="1">
        <v>11</v>
      </c>
      <c r="C320" s="1">
        <v>2019</v>
      </c>
      <c r="G320" s="1" t="s">
        <v>38</v>
      </c>
      <c r="H320" s="2">
        <v>3.49</v>
      </c>
      <c r="I320" s="1">
        <v>10</v>
      </c>
      <c r="V320" s="1">
        <v>12</v>
      </c>
      <c r="X320" s="1">
        <v>11</v>
      </c>
      <c r="AA320" s="1">
        <v>1</v>
      </c>
      <c r="AB320" s="1">
        <v>5</v>
      </c>
      <c r="AC320" s="1">
        <v>488</v>
      </c>
      <c r="AF320" s="3">
        <v>2.8653295128939824</v>
      </c>
      <c r="AG320" s="3">
        <v>0.837149892551729</v>
      </c>
      <c r="AH320" s="1">
        <v>6253</v>
      </c>
      <c r="AI320" s="1" t="b">
        <v>1</v>
      </c>
    </row>
    <row r="321" spans="1:35" x14ac:dyDescent="0.25">
      <c r="A321" s="1">
        <v>10</v>
      </c>
      <c r="B321" s="1">
        <v>11</v>
      </c>
      <c r="C321" s="1">
        <v>2019</v>
      </c>
      <c r="G321" s="1" t="s">
        <v>38</v>
      </c>
      <c r="H321" s="2">
        <v>4.8099999999999996</v>
      </c>
      <c r="I321" s="1">
        <v>12</v>
      </c>
      <c r="U321" s="1">
        <v>18</v>
      </c>
      <c r="X321" s="1">
        <v>16</v>
      </c>
      <c r="AA321" s="1">
        <v>3</v>
      </c>
      <c r="AB321" s="1">
        <v>3</v>
      </c>
      <c r="AC321" s="1">
        <v>735</v>
      </c>
      <c r="AF321" s="3">
        <v>2.4948024948024949</v>
      </c>
      <c r="AG321" s="3">
        <v>1.2035534546047406</v>
      </c>
      <c r="AH321" s="1">
        <v>6253</v>
      </c>
      <c r="AI321" s="1" t="b">
        <v>1</v>
      </c>
    </row>
    <row r="322" spans="1:35" x14ac:dyDescent="0.25">
      <c r="A322" s="1">
        <v>10</v>
      </c>
      <c r="B322" s="1">
        <v>11</v>
      </c>
      <c r="C322" s="1">
        <v>2019</v>
      </c>
      <c r="G322" s="1" t="s">
        <v>38</v>
      </c>
      <c r="H322" s="2">
        <v>9.82</v>
      </c>
      <c r="I322" s="1">
        <v>33</v>
      </c>
      <c r="V322" s="1">
        <v>41</v>
      </c>
      <c r="X322" s="1">
        <v>30</v>
      </c>
      <c r="AA322" s="1">
        <v>2</v>
      </c>
      <c r="AB322" s="1">
        <v>3</v>
      </c>
      <c r="AC322" s="1">
        <v>1222</v>
      </c>
      <c r="AF322" s="3">
        <v>3.3604887983706719</v>
      </c>
      <c r="AG322" s="3">
        <v>1.4725687821001707</v>
      </c>
      <c r="AH322" s="1">
        <v>6253</v>
      </c>
      <c r="AI322" s="1" t="b">
        <v>1</v>
      </c>
    </row>
    <row r="323" spans="1:35" x14ac:dyDescent="0.25">
      <c r="A323" s="1">
        <v>10</v>
      </c>
      <c r="B323" s="1">
        <v>11</v>
      </c>
      <c r="C323" s="1">
        <v>2019</v>
      </c>
      <c r="G323" s="1" t="s">
        <v>38</v>
      </c>
      <c r="H323" s="2">
        <v>7.07</v>
      </c>
      <c r="I323" s="1">
        <v>26</v>
      </c>
      <c r="U323" s="1">
        <v>34</v>
      </c>
      <c r="X323" s="1">
        <v>28</v>
      </c>
      <c r="AA323" s="1">
        <v>2</v>
      </c>
      <c r="AB323" s="1">
        <v>2</v>
      </c>
      <c r="AC323" s="1">
        <v>1148</v>
      </c>
      <c r="AF323" s="3">
        <v>3.6775106082036775</v>
      </c>
      <c r="AG323" s="3">
        <v>1.0691524992152763</v>
      </c>
      <c r="AH323" s="1">
        <v>6253</v>
      </c>
      <c r="AI323" s="1" t="b">
        <v>1</v>
      </c>
    </row>
    <row r="324" spans="1:35" x14ac:dyDescent="0.25">
      <c r="A324" s="1">
        <v>10</v>
      </c>
      <c r="B324" s="1">
        <v>11</v>
      </c>
      <c r="C324" s="1">
        <v>2019</v>
      </c>
      <c r="G324" s="1" t="s">
        <v>38</v>
      </c>
      <c r="H324" s="2">
        <v>5.05</v>
      </c>
      <c r="I324" s="1">
        <v>14</v>
      </c>
      <c r="U324" s="1">
        <v>22</v>
      </c>
      <c r="X324" s="1">
        <v>19</v>
      </c>
      <c r="AA324" s="1">
        <v>3</v>
      </c>
      <c r="AB324" s="1">
        <v>3</v>
      </c>
      <c r="AC324" s="1">
        <v>760</v>
      </c>
      <c r="AF324" s="3">
        <v>2.7722772277227725</v>
      </c>
      <c r="AG324" s="3">
        <v>1.1206430630470352</v>
      </c>
      <c r="AH324" s="1">
        <v>6253</v>
      </c>
      <c r="AI324" s="1" t="b">
        <v>1</v>
      </c>
    </row>
    <row r="325" spans="1:35" x14ac:dyDescent="0.25">
      <c r="A325" s="1">
        <v>10</v>
      </c>
      <c r="B325" s="1">
        <v>11</v>
      </c>
      <c r="C325" s="1">
        <v>2019</v>
      </c>
      <c r="G325" s="1" t="s">
        <v>38</v>
      </c>
      <c r="H325" s="2">
        <v>8.07</v>
      </c>
      <c r="I325" s="1">
        <v>25</v>
      </c>
      <c r="U325" s="1">
        <v>34</v>
      </c>
      <c r="X325" s="1">
        <v>30</v>
      </c>
      <c r="AA325" s="1">
        <v>2</v>
      </c>
      <c r="AB325" s="1">
        <v>3</v>
      </c>
      <c r="AC325" s="1">
        <v>1175</v>
      </c>
      <c r="AF325" s="3">
        <v>3.0978934324659231</v>
      </c>
      <c r="AG325" s="3">
        <v>1.3923390393554076</v>
      </c>
      <c r="AH325" s="1">
        <v>6253</v>
      </c>
      <c r="AI325" s="1" t="b">
        <v>1</v>
      </c>
    </row>
    <row r="326" spans="1:35" x14ac:dyDescent="0.25">
      <c r="A326" s="1">
        <v>10</v>
      </c>
      <c r="B326" s="1">
        <v>11</v>
      </c>
      <c r="C326" s="1">
        <v>2019</v>
      </c>
      <c r="G326" s="1" t="s">
        <v>38</v>
      </c>
      <c r="H326" s="2">
        <v>6.15</v>
      </c>
      <c r="I326" s="1">
        <v>20</v>
      </c>
      <c r="U326" s="1">
        <v>27</v>
      </c>
      <c r="X326" s="1">
        <v>24</v>
      </c>
      <c r="AA326" s="1">
        <v>3</v>
      </c>
      <c r="AB326" s="1">
        <v>2</v>
      </c>
      <c r="AC326" s="1">
        <v>863</v>
      </c>
      <c r="AF326" s="3">
        <v>3.2520325203252032</v>
      </c>
      <c r="AG326" s="3">
        <v>1.0966238859073421</v>
      </c>
      <c r="AH326" s="1">
        <v>6253</v>
      </c>
      <c r="AI326" s="1" t="b">
        <v>1</v>
      </c>
    </row>
    <row r="327" spans="1:35" x14ac:dyDescent="0.25">
      <c r="A327" s="1">
        <v>10</v>
      </c>
      <c r="B327" s="1">
        <v>11</v>
      </c>
      <c r="C327" s="1">
        <v>2019</v>
      </c>
      <c r="G327" s="1" t="s">
        <v>38</v>
      </c>
      <c r="H327" s="2">
        <v>5.0999999999999996</v>
      </c>
      <c r="I327" s="1">
        <v>14</v>
      </c>
      <c r="U327" s="1">
        <v>22</v>
      </c>
      <c r="X327" s="1">
        <v>17</v>
      </c>
      <c r="AA327" s="1">
        <v>4</v>
      </c>
      <c r="AB327" s="1">
        <v>2</v>
      </c>
      <c r="AC327" s="1">
        <v>770</v>
      </c>
      <c r="AF327" s="3">
        <v>2.7450980392156863</v>
      </c>
      <c r="AG327" s="3">
        <v>1.1395706719561223</v>
      </c>
      <c r="AH327" s="1">
        <v>6253</v>
      </c>
      <c r="AI327" s="1" t="b">
        <v>1</v>
      </c>
    </row>
    <row r="328" spans="1:35" x14ac:dyDescent="0.25">
      <c r="A328" s="1">
        <v>10</v>
      </c>
      <c r="B328" s="1">
        <v>11</v>
      </c>
      <c r="C328" s="1">
        <v>2019</v>
      </c>
      <c r="G328" s="1" t="s">
        <v>38</v>
      </c>
      <c r="H328" s="2">
        <v>5.04</v>
      </c>
      <c r="I328" s="1">
        <v>16</v>
      </c>
      <c r="U328" s="1">
        <v>19</v>
      </c>
      <c r="X328" s="1">
        <v>18</v>
      </c>
      <c r="AA328" s="1">
        <v>3</v>
      </c>
      <c r="AB328" s="1">
        <v>1</v>
      </c>
      <c r="AC328" s="1">
        <v>745</v>
      </c>
      <c r="AF328" s="3">
        <v>3.1746031746031744</v>
      </c>
      <c r="AG328" s="3">
        <v>0.97726406430291946</v>
      </c>
      <c r="AH328" s="1">
        <v>6253</v>
      </c>
      <c r="AI328" s="1" t="b">
        <v>1</v>
      </c>
    </row>
    <row r="329" spans="1:35" x14ac:dyDescent="0.25">
      <c r="A329" s="1">
        <v>10</v>
      </c>
      <c r="B329" s="1">
        <v>11</v>
      </c>
      <c r="C329" s="1">
        <v>2019</v>
      </c>
      <c r="G329" s="1" t="s">
        <v>38</v>
      </c>
      <c r="H329" s="2">
        <v>4.9000000000000004</v>
      </c>
      <c r="I329" s="1">
        <v>9</v>
      </c>
      <c r="U329" s="1">
        <v>20</v>
      </c>
      <c r="X329" s="1">
        <v>17</v>
      </c>
      <c r="AA329" s="1">
        <v>3</v>
      </c>
      <c r="AB329" s="1">
        <v>3</v>
      </c>
      <c r="AC329" s="1">
        <v>751</v>
      </c>
      <c r="AF329" s="3">
        <v>1.8367346938775508</v>
      </c>
      <c r="AG329" s="3">
        <v>1.6561162807828818</v>
      </c>
      <c r="AH329" s="1">
        <v>6253</v>
      </c>
      <c r="AI329" s="1" t="b">
        <v>1</v>
      </c>
    </row>
    <row r="330" spans="1:35" x14ac:dyDescent="0.25">
      <c r="A330" s="1">
        <v>10</v>
      </c>
      <c r="B330" s="1">
        <v>11</v>
      </c>
      <c r="C330" s="1">
        <v>2019</v>
      </c>
      <c r="G330" s="1" t="s">
        <v>38</v>
      </c>
      <c r="H330" s="2">
        <v>5.09</v>
      </c>
      <c r="I330" s="1">
        <v>18</v>
      </c>
      <c r="U330" s="1">
        <v>23</v>
      </c>
      <c r="X330" s="1">
        <v>21</v>
      </c>
      <c r="AA330" s="1">
        <v>3</v>
      </c>
      <c r="AB330" s="1">
        <v>5</v>
      </c>
      <c r="AC330" s="1">
        <v>814</v>
      </c>
      <c r="AF330" s="3">
        <v>3.5363457760314341</v>
      </c>
      <c r="AG330" s="3">
        <v>0.88338033032829333</v>
      </c>
      <c r="AH330" s="1">
        <v>6253</v>
      </c>
      <c r="AI330" s="1" t="b">
        <v>1</v>
      </c>
    </row>
    <row r="331" spans="1:35" x14ac:dyDescent="0.25">
      <c r="A331" s="1">
        <v>10</v>
      </c>
      <c r="B331" s="1">
        <v>11</v>
      </c>
      <c r="C331" s="1">
        <v>2019</v>
      </c>
      <c r="G331" s="1" t="s">
        <v>38</v>
      </c>
      <c r="H331" s="2">
        <v>6.99</v>
      </c>
      <c r="I331" s="1">
        <v>23</v>
      </c>
      <c r="U331" s="1">
        <v>29</v>
      </c>
      <c r="X331" s="1">
        <v>26</v>
      </c>
      <c r="AA331" s="1">
        <v>3</v>
      </c>
      <c r="AB331" s="1">
        <v>3</v>
      </c>
      <c r="AC331" s="1">
        <v>926</v>
      </c>
      <c r="AF331" s="3">
        <v>3.2904148783977107</v>
      </c>
      <c r="AG331" s="3">
        <v>1.1854503323428691</v>
      </c>
      <c r="AH331" s="1">
        <v>6253</v>
      </c>
      <c r="AI331" s="1" t="b">
        <v>1</v>
      </c>
    </row>
    <row r="332" spans="1:35" x14ac:dyDescent="0.25">
      <c r="A332" s="1">
        <v>10</v>
      </c>
      <c r="B332" s="1">
        <v>11</v>
      </c>
      <c r="C332" s="1">
        <v>2019</v>
      </c>
      <c r="G332" s="1" t="s">
        <v>38</v>
      </c>
      <c r="H332" s="2">
        <v>6.83</v>
      </c>
      <c r="I332" s="1">
        <v>21</v>
      </c>
      <c r="U332" s="1">
        <v>27</v>
      </c>
      <c r="X332" s="1">
        <v>25</v>
      </c>
      <c r="AA332" s="1">
        <v>2</v>
      </c>
      <c r="AB332" s="1">
        <v>1</v>
      </c>
      <c r="AC332" s="1">
        <v>991</v>
      </c>
      <c r="AF332" s="3">
        <v>3.0746705710102487</v>
      </c>
      <c r="AG332" s="3">
        <v>1.2482336941775358</v>
      </c>
      <c r="AH332" s="1">
        <v>6253</v>
      </c>
      <c r="AI332" s="1" t="b">
        <v>1</v>
      </c>
    </row>
    <row r="333" spans="1:35" x14ac:dyDescent="0.25">
      <c r="A333" s="1">
        <v>10</v>
      </c>
      <c r="B333" s="1">
        <v>11</v>
      </c>
      <c r="C333" s="1">
        <v>2019</v>
      </c>
      <c r="G333" s="1" t="s">
        <v>38</v>
      </c>
      <c r="H333" s="2">
        <v>7.81</v>
      </c>
      <c r="I333" s="1">
        <v>30</v>
      </c>
      <c r="U333" s="1">
        <v>38</v>
      </c>
      <c r="X333" s="1">
        <v>33</v>
      </c>
      <c r="AA333" s="1">
        <v>2</v>
      </c>
      <c r="AB333" s="1">
        <v>2</v>
      </c>
      <c r="AC333" s="1">
        <v>1290</v>
      </c>
      <c r="AF333" s="3">
        <v>3.8412291933418694</v>
      </c>
      <c r="AG333" s="3">
        <v>1.0974519205860718</v>
      </c>
      <c r="AH333" s="1">
        <v>6253</v>
      </c>
      <c r="AI333" s="1" t="b">
        <v>1</v>
      </c>
    </row>
    <row r="334" spans="1:35" x14ac:dyDescent="0.25">
      <c r="A334" s="1">
        <v>10</v>
      </c>
      <c r="B334" s="1">
        <v>11</v>
      </c>
      <c r="C334" s="1">
        <v>2019</v>
      </c>
      <c r="G334" s="1" t="s">
        <v>38</v>
      </c>
      <c r="H334" s="2">
        <v>6.7</v>
      </c>
      <c r="I334" s="1">
        <v>20</v>
      </c>
      <c r="V334" s="1">
        <v>34</v>
      </c>
      <c r="X334" s="1">
        <v>26</v>
      </c>
      <c r="AA334" s="1">
        <v>4</v>
      </c>
      <c r="AB334" s="1">
        <v>3</v>
      </c>
      <c r="AC334" s="1">
        <v>798</v>
      </c>
      <c r="AF334" s="3">
        <v>2.9850746268656714</v>
      </c>
      <c r="AG334" s="3">
        <v>1.2685195620236789</v>
      </c>
      <c r="AH334" s="1">
        <v>6253</v>
      </c>
      <c r="AI334" s="1" t="b">
        <v>1</v>
      </c>
    </row>
    <row r="335" spans="1:35" x14ac:dyDescent="0.25">
      <c r="A335" s="1">
        <v>10</v>
      </c>
      <c r="B335" s="1">
        <v>11</v>
      </c>
      <c r="C335" s="1">
        <v>2019</v>
      </c>
      <c r="G335" s="1" t="s">
        <v>38</v>
      </c>
      <c r="H335" s="2">
        <v>10.18</v>
      </c>
      <c r="I335" s="1">
        <v>20</v>
      </c>
      <c r="V335" s="1">
        <v>43</v>
      </c>
      <c r="X335" s="1">
        <v>27</v>
      </c>
      <c r="AA335" s="1">
        <v>3</v>
      </c>
      <c r="AB335" s="1">
        <v>4</v>
      </c>
      <c r="AC335" s="1">
        <v>1079</v>
      </c>
      <c r="AF335" s="3">
        <v>1.9646365422396856</v>
      </c>
      <c r="AG335" s="3">
        <v>2.5831000447312289</v>
      </c>
      <c r="AH335" s="1">
        <v>6253</v>
      </c>
      <c r="AI335" s="1" t="b">
        <v>1</v>
      </c>
    </row>
    <row r="336" spans="1:35" x14ac:dyDescent="0.25">
      <c r="A336" s="1">
        <v>10</v>
      </c>
      <c r="B336" s="1">
        <v>11</v>
      </c>
      <c r="C336" s="1">
        <v>2019</v>
      </c>
      <c r="G336" s="1" t="s">
        <v>38</v>
      </c>
      <c r="H336" s="2">
        <v>5.97</v>
      </c>
      <c r="I336" s="1">
        <v>16</v>
      </c>
      <c r="V336" s="1">
        <v>29</v>
      </c>
      <c r="X336" s="1">
        <v>21</v>
      </c>
      <c r="AA336" s="1">
        <v>4</v>
      </c>
      <c r="AB336" s="1">
        <v>4</v>
      </c>
      <c r="AC336" s="1">
        <v>628</v>
      </c>
      <c r="AF336" s="3">
        <v>2.6800670016750421</v>
      </c>
      <c r="AG336" s="3">
        <v>1.30327594755112</v>
      </c>
      <c r="AH336" s="1">
        <v>6253</v>
      </c>
      <c r="AI336" s="1" t="b">
        <v>1</v>
      </c>
    </row>
    <row r="337" spans="1:35" x14ac:dyDescent="0.25">
      <c r="A337" s="1">
        <v>10</v>
      </c>
      <c r="B337" s="1">
        <v>11</v>
      </c>
      <c r="C337" s="1">
        <v>2019</v>
      </c>
      <c r="G337" s="1" t="s">
        <v>38</v>
      </c>
      <c r="H337" s="2">
        <v>5.99</v>
      </c>
      <c r="I337" s="1">
        <v>16</v>
      </c>
      <c r="V337" s="1">
        <v>27</v>
      </c>
      <c r="X337" s="1">
        <v>20</v>
      </c>
      <c r="AA337" s="1">
        <v>3</v>
      </c>
      <c r="AB337" s="1">
        <v>2</v>
      </c>
      <c r="AC337" s="1">
        <v>713</v>
      </c>
      <c r="AF337" s="3">
        <v>2.671118530884808</v>
      </c>
      <c r="AG337" s="3">
        <v>1.3107069896322576</v>
      </c>
      <c r="AH337" s="1">
        <v>6253</v>
      </c>
      <c r="AI337" s="1" t="b">
        <v>1</v>
      </c>
    </row>
    <row r="338" spans="1:35" x14ac:dyDescent="0.25">
      <c r="A338" s="1">
        <v>10</v>
      </c>
      <c r="B338" s="1">
        <v>11</v>
      </c>
      <c r="C338" s="1">
        <v>2019</v>
      </c>
      <c r="G338" s="1" t="s">
        <v>38</v>
      </c>
      <c r="H338" s="2">
        <v>5.3</v>
      </c>
      <c r="I338" s="1">
        <v>13</v>
      </c>
      <c r="U338" s="1">
        <v>16</v>
      </c>
      <c r="X338" s="1">
        <v>15</v>
      </c>
      <c r="AA338" s="1">
        <v>2</v>
      </c>
      <c r="AB338" s="1">
        <v>3</v>
      </c>
      <c r="AC338" s="1">
        <v>697</v>
      </c>
      <c r="AF338" s="3">
        <v>2.4528301886792452</v>
      </c>
      <c r="AG338" s="3">
        <v>1.3101638916103424</v>
      </c>
      <c r="AH338" s="1">
        <v>6253</v>
      </c>
      <c r="AI338" s="1" t="b">
        <v>1</v>
      </c>
    </row>
    <row r="339" spans="1:35" x14ac:dyDescent="0.25">
      <c r="A339" s="1">
        <v>10</v>
      </c>
      <c r="B339" s="1">
        <v>11</v>
      </c>
      <c r="C339" s="1">
        <v>2019</v>
      </c>
      <c r="G339" s="1" t="s">
        <v>38</v>
      </c>
      <c r="H339" s="2">
        <v>9.48</v>
      </c>
      <c r="I339" s="1">
        <v>14</v>
      </c>
      <c r="V339" s="1">
        <v>40</v>
      </c>
      <c r="X339" s="1">
        <v>22</v>
      </c>
      <c r="AA339" s="1">
        <v>4</v>
      </c>
      <c r="AB339" s="1">
        <v>4</v>
      </c>
      <c r="AC339" s="1">
        <v>1008</v>
      </c>
      <c r="AF339" s="3">
        <v>1.4767932489451476</v>
      </c>
      <c r="AG339" s="3">
        <v>3.2692349851343927</v>
      </c>
      <c r="AH339" s="1">
        <v>6253</v>
      </c>
      <c r="AI339" s="1" t="b">
        <v>1</v>
      </c>
    </row>
    <row r="340" spans="1:35" x14ac:dyDescent="0.25">
      <c r="A340" s="1">
        <v>10</v>
      </c>
      <c r="B340" s="1">
        <v>11</v>
      </c>
      <c r="C340" s="1">
        <v>2019</v>
      </c>
      <c r="G340" s="1" t="s">
        <v>38</v>
      </c>
      <c r="H340" s="2">
        <v>4.9800000000000004</v>
      </c>
      <c r="I340" s="1">
        <v>12</v>
      </c>
      <c r="V340" s="1">
        <v>21</v>
      </c>
      <c r="X340" s="1">
        <v>14</v>
      </c>
      <c r="AA340" s="1">
        <v>3</v>
      </c>
      <c r="AB340" s="1">
        <v>2</v>
      </c>
      <c r="AC340" s="1">
        <v>597</v>
      </c>
      <c r="AF340" s="3">
        <v>2.4096385542168672</v>
      </c>
      <c r="AG340" s="3">
        <v>1.276758143684608</v>
      </c>
      <c r="AH340" s="1">
        <v>6253</v>
      </c>
      <c r="AI340" s="1" t="b">
        <v>1</v>
      </c>
    </row>
    <row r="341" spans="1:35" x14ac:dyDescent="0.25">
      <c r="A341" s="1">
        <v>12</v>
      </c>
      <c r="B341" s="1">
        <v>11</v>
      </c>
      <c r="C341" s="1">
        <v>2019</v>
      </c>
      <c r="G341" s="1" t="s">
        <v>38</v>
      </c>
      <c r="H341" s="2">
        <v>5.2</v>
      </c>
      <c r="I341" s="1">
        <v>14</v>
      </c>
      <c r="U341" s="1">
        <v>26</v>
      </c>
      <c r="X341" s="1">
        <v>20</v>
      </c>
      <c r="AA341" s="1">
        <v>4</v>
      </c>
      <c r="AB341" s="1">
        <v>5</v>
      </c>
      <c r="AC341" s="1">
        <v>744</v>
      </c>
      <c r="AF341" s="3">
        <v>2.6923076923076921</v>
      </c>
      <c r="AG341" s="3">
        <v>1.1778165392017925</v>
      </c>
      <c r="AH341" s="1">
        <v>6254</v>
      </c>
      <c r="AI341" s="1" t="b">
        <v>1</v>
      </c>
    </row>
    <row r="342" spans="1:35" x14ac:dyDescent="0.25">
      <c r="A342" s="1">
        <v>12</v>
      </c>
      <c r="B342" s="1">
        <v>11</v>
      </c>
      <c r="C342" s="1">
        <v>2019</v>
      </c>
      <c r="G342" s="1" t="s">
        <v>38</v>
      </c>
      <c r="H342" s="2">
        <v>4.79</v>
      </c>
      <c r="I342" s="1">
        <v>18</v>
      </c>
      <c r="U342" s="1">
        <v>22</v>
      </c>
      <c r="X342" s="1">
        <v>20</v>
      </c>
      <c r="AA342" s="1">
        <v>2</v>
      </c>
      <c r="AB342" s="1">
        <v>1</v>
      </c>
      <c r="AC342" s="1">
        <v>649</v>
      </c>
      <c r="AF342" s="3">
        <v>3.757828810020877</v>
      </c>
      <c r="AG342" s="3">
        <v>0.79670559613482506</v>
      </c>
      <c r="AH342" s="1">
        <v>6254</v>
      </c>
      <c r="AI342" s="1" t="b">
        <v>1</v>
      </c>
    </row>
    <row r="343" spans="1:35" x14ac:dyDescent="0.25">
      <c r="A343" s="1">
        <v>12</v>
      </c>
      <c r="B343" s="1">
        <v>11</v>
      </c>
      <c r="C343" s="1">
        <v>2019</v>
      </c>
      <c r="G343" s="1" t="s">
        <v>38</v>
      </c>
      <c r="H343" s="2">
        <v>7.56</v>
      </c>
      <c r="I343" s="1">
        <v>24</v>
      </c>
      <c r="U343" s="1">
        <v>37</v>
      </c>
      <c r="X343" s="1">
        <v>33</v>
      </c>
      <c r="AA343" s="1">
        <v>4</v>
      </c>
      <c r="AB343" s="1">
        <v>6</v>
      </c>
      <c r="AC343" s="1">
        <v>1161</v>
      </c>
      <c r="AF343" s="3">
        <v>3.1746031746031749</v>
      </c>
      <c r="AG343" s="3">
        <v>1.2980033419591999</v>
      </c>
      <c r="AH343" s="1">
        <v>6254</v>
      </c>
      <c r="AI343" s="1" t="b">
        <v>1</v>
      </c>
    </row>
    <row r="344" spans="1:35" x14ac:dyDescent="0.25">
      <c r="A344" s="1">
        <v>12</v>
      </c>
      <c r="B344" s="1">
        <v>11</v>
      </c>
      <c r="C344" s="1">
        <v>2019</v>
      </c>
      <c r="G344" s="1" t="s">
        <v>38</v>
      </c>
      <c r="H344" s="2">
        <v>5.26</v>
      </c>
      <c r="I344" s="1">
        <v>15</v>
      </c>
      <c r="U344" s="1">
        <v>20</v>
      </c>
      <c r="X344" s="1">
        <v>18</v>
      </c>
      <c r="AA344" s="1">
        <v>2</v>
      </c>
      <c r="AB344" s="1">
        <v>2</v>
      </c>
      <c r="AC344" s="1">
        <v>813</v>
      </c>
      <c r="AF344" s="3">
        <v>2.8517110266159698</v>
      </c>
      <c r="AG344" s="3">
        <v>1.1209455210400965</v>
      </c>
      <c r="AH344" s="1">
        <v>6254</v>
      </c>
      <c r="AI344" s="1" t="b">
        <v>1</v>
      </c>
    </row>
    <row r="345" spans="1:35" x14ac:dyDescent="0.25">
      <c r="A345" s="1">
        <v>12</v>
      </c>
      <c r="B345" s="1">
        <v>11</v>
      </c>
      <c r="C345" s="1">
        <v>2019</v>
      </c>
      <c r="G345" s="1" t="s">
        <v>38</v>
      </c>
      <c r="H345" s="2">
        <v>6.07</v>
      </c>
      <c r="I345" s="1">
        <v>16</v>
      </c>
      <c r="U345" s="1">
        <v>23</v>
      </c>
      <c r="X345" s="1">
        <v>21</v>
      </c>
      <c r="AA345" s="1">
        <v>2</v>
      </c>
      <c r="AB345" s="1">
        <v>3</v>
      </c>
      <c r="AC345" s="1">
        <v>712</v>
      </c>
      <c r="AF345" s="3">
        <v>2.6359143327841843</v>
      </c>
      <c r="AG345" s="3">
        <v>1.3406048683171563</v>
      </c>
      <c r="AH345" s="1">
        <v>6254</v>
      </c>
      <c r="AI345" s="1" t="b">
        <v>1</v>
      </c>
    </row>
    <row r="346" spans="1:35" x14ac:dyDescent="0.25">
      <c r="A346" s="1">
        <v>12</v>
      </c>
      <c r="B346" s="1">
        <v>11</v>
      </c>
      <c r="C346" s="1">
        <v>2019</v>
      </c>
      <c r="G346" s="1" t="s">
        <v>38</v>
      </c>
      <c r="H346" s="2">
        <v>6.05</v>
      </c>
      <c r="I346" s="1">
        <v>16</v>
      </c>
      <c r="U346" s="1">
        <v>28</v>
      </c>
      <c r="X346" s="1">
        <v>25</v>
      </c>
      <c r="AA346" s="1">
        <v>5</v>
      </c>
      <c r="AB346" s="1">
        <v>2</v>
      </c>
      <c r="AC346" s="1">
        <v>813</v>
      </c>
      <c r="AF346" s="3">
        <v>2.6446280991735538</v>
      </c>
      <c r="AG346" s="3">
        <v>1.3331043767016617</v>
      </c>
      <c r="AH346" s="1">
        <v>6254</v>
      </c>
      <c r="AI346" s="1" t="b">
        <v>1</v>
      </c>
    </row>
    <row r="347" spans="1:35" x14ac:dyDescent="0.25">
      <c r="A347" s="1">
        <v>12</v>
      </c>
      <c r="B347" s="1">
        <v>11</v>
      </c>
      <c r="C347" s="1">
        <v>2019</v>
      </c>
      <c r="G347" s="1" t="s">
        <v>38</v>
      </c>
      <c r="H347" s="2">
        <v>5.71</v>
      </c>
      <c r="I347" s="1">
        <v>15</v>
      </c>
      <c r="V347" s="1">
        <v>26</v>
      </c>
      <c r="X347" s="1">
        <v>20</v>
      </c>
      <c r="AA347" s="1">
        <v>4</v>
      </c>
      <c r="AB347" s="1">
        <v>7</v>
      </c>
      <c r="AC347" s="1">
        <v>670</v>
      </c>
      <c r="AF347" s="3">
        <v>2.6269702276707529</v>
      </c>
      <c r="AG347" s="3">
        <v>1.2888136436345996</v>
      </c>
      <c r="AH347" s="1">
        <v>6254</v>
      </c>
      <c r="AI347" s="1" t="b">
        <v>1</v>
      </c>
    </row>
    <row r="348" spans="1:35" x14ac:dyDescent="0.25">
      <c r="A348" s="1">
        <v>12</v>
      </c>
      <c r="B348" s="1">
        <v>11</v>
      </c>
      <c r="C348" s="1">
        <v>2019</v>
      </c>
      <c r="G348" s="1" t="s">
        <v>38</v>
      </c>
      <c r="H348" s="2">
        <v>7.81</v>
      </c>
      <c r="I348" s="1">
        <v>20</v>
      </c>
      <c r="U348" s="1">
        <v>32</v>
      </c>
      <c r="X348" s="1">
        <v>29</v>
      </c>
      <c r="AA348" s="1">
        <v>4</v>
      </c>
      <c r="AB348" s="1">
        <v>3</v>
      </c>
      <c r="AC348" s="1">
        <v>973</v>
      </c>
      <c r="AF348" s="3">
        <v>2.5608194622279132</v>
      </c>
      <c r="AG348" s="3">
        <v>1.6461778808791077</v>
      </c>
      <c r="AH348" s="1">
        <v>6254</v>
      </c>
      <c r="AI348" s="1" t="b">
        <v>1</v>
      </c>
    </row>
    <row r="349" spans="1:35" x14ac:dyDescent="0.25">
      <c r="A349" s="1">
        <v>12</v>
      </c>
      <c r="B349" s="1">
        <v>11</v>
      </c>
      <c r="C349" s="1">
        <v>2019</v>
      </c>
      <c r="G349" s="1" t="s">
        <v>38</v>
      </c>
      <c r="H349" s="2">
        <v>4.97</v>
      </c>
      <c r="I349" s="1">
        <v>11</v>
      </c>
      <c r="U349" s="1">
        <v>18</v>
      </c>
      <c r="X349" s="1">
        <v>15</v>
      </c>
      <c r="AA349" s="1">
        <v>2</v>
      </c>
      <c r="AB349" s="1">
        <v>3</v>
      </c>
      <c r="AC349" s="1">
        <v>814</v>
      </c>
      <c r="AF349" s="3">
        <v>2.2132796780684107</v>
      </c>
      <c r="AG349" s="3">
        <v>1.3880757775709787</v>
      </c>
      <c r="AH349" s="1">
        <v>6254</v>
      </c>
      <c r="AI349" s="1" t="b">
        <v>1</v>
      </c>
    </row>
    <row r="350" spans="1:35" x14ac:dyDescent="0.25">
      <c r="A350" s="1">
        <v>12</v>
      </c>
      <c r="B350" s="1">
        <v>11</v>
      </c>
      <c r="C350" s="1">
        <v>2019</v>
      </c>
      <c r="G350" s="1" t="s">
        <v>38</v>
      </c>
      <c r="H350" s="2">
        <v>3.68</v>
      </c>
      <c r="I350" s="1">
        <v>9</v>
      </c>
      <c r="U350" s="1">
        <v>18</v>
      </c>
      <c r="X350" s="1">
        <v>15</v>
      </c>
      <c r="AA350" s="1">
        <v>3</v>
      </c>
      <c r="AB350" s="1">
        <v>1</v>
      </c>
      <c r="AC350" s="1">
        <v>505</v>
      </c>
      <c r="AF350" s="3">
        <v>2.4456521739130435</v>
      </c>
      <c r="AG350" s="3">
        <v>1.0178851590193638</v>
      </c>
      <c r="AH350" s="1">
        <v>6254</v>
      </c>
      <c r="AI350" s="1" t="b">
        <v>1</v>
      </c>
    </row>
    <row r="351" spans="1:35" x14ac:dyDescent="0.25">
      <c r="A351" s="1">
        <v>12</v>
      </c>
      <c r="B351" s="1">
        <v>11</v>
      </c>
      <c r="C351" s="1">
        <v>2019</v>
      </c>
      <c r="G351" s="1" t="s">
        <v>38</v>
      </c>
      <c r="H351" s="2">
        <v>6.4</v>
      </c>
      <c r="I351" s="1">
        <v>14</v>
      </c>
      <c r="V351" s="1">
        <v>27</v>
      </c>
      <c r="X351" s="1">
        <v>20</v>
      </c>
      <c r="AA351" s="1">
        <v>2</v>
      </c>
      <c r="AB351" s="1">
        <v>3</v>
      </c>
      <c r="AC351" s="1">
        <v>781</v>
      </c>
      <c r="AF351" s="3">
        <v>2.1875</v>
      </c>
      <c r="AG351" s="3">
        <v>1.6764010342343885</v>
      </c>
      <c r="AH351" s="1">
        <v>6254</v>
      </c>
      <c r="AI351" s="1" t="b">
        <v>1</v>
      </c>
    </row>
    <row r="352" spans="1:35" x14ac:dyDescent="0.25">
      <c r="A352" s="1">
        <v>12</v>
      </c>
      <c r="B352" s="1">
        <v>11</v>
      </c>
      <c r="C352" s="1">
        <v>2019</v>
      </c>
      <c r="G352" s="1" t="s">
        <v>38</v>
      </c>
      <c r="H352" s="2">
        <v>9.48</v>
      </c>
      <c r="I352" s="1">
        <v>22</v>
      </c>
      <c r="V352" s="1">
        <v>37</v>
      </c>
      <c r="X352" s="1">
        <v>25</v>
      </c>
      <c r="AA352" s="1">
        <v>3</v>
      </c>
      <c r="AB352" s="1">
        <v>2</v>
      </c>
      <c r="AC352" s="1">
        <v>1003</v>
      </c>
      <c r="AF352" s="3">
        <v>2.3206751054852321</v>
      </c>
      <c r="AG352" s="3">
        <v>2.0804222632673408</v>
      </c>
      <c r="AH352" s="1">
        <v>6254</v>
      </c>
      <c r="AI352" s="1" t="b">
        <v>1</v>
      </c>
    </row>
    <row r="353" spans="1:35" x14ac:dyDescent="0.25">
      <c r="A353" s="1">
        <v>12</v>
      </c>
      <c r="B353" s="1">
        <v>11</v>
      </c>
      <c r="C353" s="1">
        <v>2019</v>
      </c>
      <c r="G353" s="1" t="s">
        <v>38</v>
      </c>
      <c r="H353" s="2">
        <v>5.16</v>
      </c>
      <c r="I353" s="1">
        <v>14</v>
      </c>
      <c r="U353" s="1">
        <v>23</v>
      </c>
      <c r="X353" s="1">
        <v>19</v>
      </c>
      <c r="AA353" s="1">
        <v>2</v>
      </c>
      <c r="AB353" s="1">
        <v>4</v>
      </c>
      <c r="AC353" s="1">
        <v>744</v>
      </c>
      <c r="AF353" s="3">
        <v>2.7131782945736433</v>
      </c>
      <c r="AG353" s="3">
        <v>1.1624558224034069</v>
      </c>
      <c r="AH353" s="1">
        <v>6254</v>
      </c>
      <c r="AI353" s="1" t="b">
        <v>1</v>
      </c>
    </row>
    <row r="354" spans="1:35" x14ac:dyDescent="0.25">
      <c r="A354" s="1">
        <v>12</v>
      </c>
      <c r="B354" s="1">
        <v>11</v>
      </c>
      <c r="C354" s="1">
        <v>2019</v>
      </c>
      <c r="G354" s="1" t="s">
        <v>38</v>
      </c>
      <c r="H354" s="2">
        <v>8.65</v>
      </c>
      <c r="I354" s="1">
        <v>20</v>
      </c>
      <c r="U354" s="1">
        <v>38</v>
      </c>
      <c r="X354" s="1">
        <v>30</v>
      </c>
      <c r="AA354" s="1">
        <v>4</v>
      </c>
      <c r="AB354" s="1">
        <v>6</v>
      </c>
      <c r="AC354" s="1">
        <v>1327</v>
      </c>
      <c r="AF354" s="3">
        <v>2.3121387283236992</v>
      </c>
      <c r="AG354" s="3">
        <v>1.9583819019502555</v>
      </c>
      <c r="AH354" s="1">
        <v>6254</v>
      </c>
      <c r="AI354" s="1" t="b">
        <v>1</v>
      </c>
    </row>
    <row r="355" spans="1:35" x14ac:dyDescent="0.25">
      <c r="A355" s="1">
        <v>12</v>
      </c>
      <c r="B355" s="1">
        <v>11</v>
      </c>
      <c r="C355" s="1">
        <v>2019</v>
      </c>
      <c r="G355" s="1" t="s">
        <v>38</v>
      </c>
      <c r="H355" s="2">
        <v>8.35</v>
      </c>
      <c r="I355" s="1">
        <v>22</v>
      </c>
      <c r="V355" s="1">
        <v>28</v>
      </c>
      <c r="X355" s="1">
        <v>24</v>
      </c>
      <c r="AA355" s="1">
        <v>2</v>
      </c>
      <c r="AB355" s="1">
        <v>3</v>
      </c>
      <c r="AC355" s="1">
        <v>995</v>
      </c>
      <c r="AF355" s="3">
        <v>2.6347305389221556</v>
      </c>
      <c r="AG355" s="3">
        <v>1.6766573901397188</v>
      </c>
      <c r="AH355" s="1">
        <v>6254</v>
      </c>
      <c r="AI355" s="1" t="b">
        <v>1</v>
      </c>
    </row>
    <row r="356" spans="1:35" x14ac:dyDescent="0.25">
      <c r="A356" s="1">
        <v>12</v>
      </c>
      <c r="B356" s="1">
        <v>11</v>
      </c>
      <c r="C356" s="1">
        <v>2019</v>
      </c>
      <c r="G356" s="1" t="s">
        <v>38</v>
      </c>
      <c r="H356" s="2">
        <v>6.59</v>
      </c>
      <c r="I356" s="1">
        <v>15</v>
      </c>
      <c r="U356" s="1">
        <v>22</v>
      </c>
      <c r="X356" s="1">
        <v>19</v>
      </c>
      <c r="AA356" s="1">
        <v>2</v>
      </c>
      <c r="AB356" s="1">
        <v>2</v>
      </c>
      <c r="AC356" s="1">
        <v>818</v>
      </c>
      <c r="AF356" s="3">
        <v>2.2761760242792111</v>
      </c>
      <c r="AG356" s="3">
        <v>1.6444245269527336</v>
      </c>
      <c r="AH356" s="1">
        <v>6254</v>
      </c>
      <c r="AI356" s="1" t="b">
        <v>1</v>
      </c>
    </row>
    <row r="357" spans="1:35" x14ac:dyDescent="0.25">
      <c r="A357" s="1">
        <v>12</v>
      </c>
      <c r="B357" s="1">
        <v>11</v>
      </c>
      <c r="C357" s="1">
        <v>2019</v>
      </c>
      <c r="G357" s="1" t="s">
        <v>38</v>
      </c>
      <c r="H357" s="2">
        <v>7.8</v>
      </c>
      <c r="I357" s="1">
        <v>17</v>
      </c>
      <c r="V357" s="1">
        <v>31</v>
      </c>
      <c r="X357" s="1">
        <v>23</v>
      </c>
      <c r="AA357" s="1">
        <v>3</v>
      </c>
      <c r="AB357" s="1">
        <v>4</v>
      </c>
      <c r="AC357" s="1">
        <v>783</v>
      </c>
      <c r="AF357" s="3">
        <v>2.1794871794871797</v>
      </c>
      <c r="AG357" s="3">
        <v>1.9324661849214901</v>
      </c>
      <c r="AH357" s="1">
        <v>6254</v>
      </c>
      <c r="AI357" s="1" t="b">
        <v>1</v>
      </c>
    </row>
    <row r="358" spans="1:35" x14ac:dyDescent="0.25">
      <c r="A358" s="1">
        <v>12</v>
      </c>
      <c r="B358" s="1">
        <v>11</v>
      </c>
      <c r="C358" s="1">
        <v>2019</v>
      </c>
      <c r="G358" s="1" t="s">
        <v>38</v>
      </c>
      <c r="H358" s="2">
        <v>5.23</v>
      </c>
      <c r="I358" s="1">
        <v>15</v>
      </c>
      <c r="U358" s="1">
        <v>28</v>
      </c>
      <c r="X358" s="1">
        <v>24</v>
      </c>
      <c r="AA358" s="1">
        <v>3</v>
      </c>
      <c r="AB358" s="1">
        <v>4</v>
      </c>
      <c r="AC358" s="1">
        <v>864</v>
      </c>
      <c r="AF358" s="3">
        <v>2.8680688336520075</v>
      </c>
      <c r="AG358" s="3">
        <v>1.1100987458895881</v>
      </c>
      <c r="AH358" s="1">
        <v>6254</v>
      </c>
      <c r="AI358" s="1" t="b">
        <v>1</v>
      </c>
    </row>
    <row r="359" spans="1:35" x14ac:dyDescent="0.25">
      <c r="A359" s="1">
        <v>12</v>
      </c>
      <c r="B359" s="1">
        <v>11</v>
      </c>
      <c r="C359" s="1">
        <v>2019</v>
      </c>
      <c r="G359" s="1" t="s">
        <v>38</v>
      </c>
      <c r="H359" s="2">
        <v>7.65</v>
      </c>
      <c r="I359" s="1">
        <v>25</v>
      </c>
      <c r="V359" s="1">
        <v>31</v>
      </c>
      <c r="X359" s="1">
        <v>27</v>
      </c>
      <c r="AA359" s="1">
        <v>3</v>
      </c>
      <c r="AB359" s="1">
        <v>2</v>
      </c>
      <c r="AC359" s="1">
        <v>1136</v>
      </c>
      <c r="AF359" s="3">
        <v>3.2679738562091503</v>
      </c>
      <c r="AG359" s="3">
        <v>1.2714065107759516</v>
      </c>
      <c r="AH359" s="1">
        <v>6254</v>
      </c>
      <c r="AI359" s="1" t="b">
        <v>1</v>
      </c>
    </row>
    <row r="360" spans="1:35" x14ac:dyDescent="0.25">
      <c r="A360" s="1">
        <v>12</v>
      </c>
      <c r="B360" s="1">
        <v>11</v>
      </c>
      <c r="C360" s="1">
        <v>2019</v>
      </c>
      <c r="G360" s="1" t="s">
        <v>38</v>
      </c>
      <c r="H360" s="2">
        <v>8.4499999999999993</v>
      </c>
      <c r="I360" s="1">
        <v>24</v>
      </c>
      <c r="V360" s="1">
        <v>37</v>
      </c>
      <c r="X360" s="1">
        <v>25</v>
      </c>
      <c r="AA360" s="1">
        <v>3</v>
      </c>
      <c r="AB360" s="1">
        <v>2</v>
      </c>
      <c r="AC360" s="1">
        <v>922</v>
      </c>
      <c r="AF360" s="3">
        <v>2.8402366863905328</v>
      </c>
      <c r="AG360" s="3">
        <v>1.5683578553738009</v>
      </c>
      <c r="AH360" s="1">
        <v>6254</v>
      </c>
      <c r="AI360" s="1" t="b">
        <v>1</v>
      </c>
    </row>
    <row r="361" spans="1:35" x14ac:dyDescent="0.25">
      <c r="A361" s="1">
        <v>12</v>
      </c>
      <c r="B361" s="1">
        <v>11</v>
      </c>
      <c r="C361" s="1">
        <v>2019</v>
      </c>
      <c r="G361" s="1" t="s">
        <v>38</v>
      </c>
      <c r="H361" s="2">
        <v>4.9000000000000004</v>
      </c>
      <c r="I361" s="1">
        <v>15</v>
      </c>
      <c r="V361" s="1">
        <v>21</v>
      </c>
      <c r="X361" s="1">
        <v>18</v>
      </c>
      <c r="AA361" s="1">
        <v>2</v>
      </c>
      <c r="AB361" s="1">
        <v>3</v>
      </c>
      <c r="AC361" s="1">
        <v>590</v>
      </c>
      <c r="AF361" s="3">
        <v>3.0612244897959182</v>
      </c>
      <c r="AG361" s="3">
        <v>0.9936697684697291</v>
      </c>
      <c r="AH361" s="1">
        <v>6254</v>
      </c>
      <c r="AI361" s="1" t="b">
        <v>1</v>
      </c>
    </row>
    <row r="362" spans="1:35" x14ac:dyDescent="0.25">
      <c r="A362" s="1">
        <v>12</v>
      </c>
      <c r="B362" s="1">
        <v>11</v>
      </c>
      <c r="C362" s="1">
        <v>2019</v>
      </c>
      <c r="G362" s="1" t="s">
        <v>38</v>
      </c>
      <c r="H362" s="2">
        <v>8.68</v>
      </c>
      <c r="I362" s="1">
        <v>22</v>
      </c>
      <c r="V362" s="1">
        <v>36</v>
      </c>
      <c r="X362" s="1">
        <v>27</v>
      </c>
      <c r="AA362" s="1">
        <v>4</v>
      </c>
      <c r="AB362" s="1">
        <v>5</v>
      </c>
      <c r="AC362" s="1">
        <v>1146</v>
      </c>
      <c r="AF362" s="3">
        <v>2.5345622119815667</v>
      </c>
      <c r="AG362" s="3">
        <v>1.7908567656778067</v>
      </c>
      <c r="AH362" s="1">
        <v>6254</v>
      </c>
      <c r="AI362" s="1" t="b">
        <v>1</v>
      </c>
    </row>
    <row r="363" spans="1:35" x14ac:dyDescent="0.25">
      <c r="A363" s="1">
        <v>12</v>
      </c>
      <c r="B363" s="1">
        <v>11</v>
      </c>
      <c r="C363" s="1">
        <v>2019</v>
      </c>
      <c r="G363" s="1" t="s">
        <v>38</v>
      </c>
      <c r="H363" s="2">
        <v>5.61</v>
      </c>
      <c r="I363" s="1">
        <v>16</v>
      </c>
      <c r="U363" s="1">
        <v>23</v>
      </c>
      <c r="X363" s="1">
        <v>21</v>
      </c>
      <c r="AA363" s="1">
        <v>2</v>
      </c>
      <c r="AB363" s="1">
        <v>4</v>
      </c>
      <c r="AC363" s="1">
        <v>808</v>
      </c>
      <c r="AF363" s="3">
        <v>2.8520499108734403</v>
      </c>
      <c r="AG363" s="3">
        <v>1.1725108804175373</v>
      </c>
      <c r="AH363" s="1">
        <v>6254</v>
      </c>
      <c r="AI363" s="1" t="b">
        <v>1</v>
      </c>
    </row>
    <row r="364" spans="1:35" x14ac:dyDescent="0.25">
      <c r="A364" s="1">
        <v>12</v>
      </c>
      <c r="B364" s="1">
        <v>11</v>
      </c>
      <c r="C364" s="1">
        <v>2019</v>
      </c>
      <c r="G364" s="1" t="s">
        <v>38</v>
      </c>
      <c r="H364" s="2">
        <v>8.36</v>
      </c>
      <c r="I364" s="1">
        <v>29</v>
      </c>
      <c r="U364" s="1">
        <v>39</v>
      </c>
      <c r="X364" s="1">
        <v>33</v>
      </c>
      <c r="AA364" s="1">
        <v>3</v>
      </c>
      <c r="AB364" s="1">
        <v>2</v>
      </c>
      <c r="AC364" s="1">
        <v>1089</v>
      </c>
      <c r="AF364" s="3">
        <v>3.4688995215311009</v>
      </c>
      <c r="AG364" s="3">
        <v>1.2745376636166346</v>
      </c>
      <c r="AH364" s="1">
        <v>6254</v>
      </c>
      <c r="AI364" s="1" t="b">
        <v>1</v>
      </c>
    </row>
    <row r="365" spans="1:35" x14ac:dyDescent="0.25">
      <c r="A365" s="1">
        <v>12</v>
      </c>
      <c r="B365" s="1">
        <v>11</v>
      </c>
      <c r="C365" s="1">
        <v>2019</v>
      </c>
      <c r="G365" s="1" t="s">
        <v>38</v>
      </c>
      <c r="H365" s="2">
        <v>5.61</v>
      </c>
      <c r="I365" s="1">
        <v>14</v>
      </c>
      <c r="U365" s="1">
        <v>29</v>
      </c>
      <c r="X365" s="1">
        <v>22</v>
      </c>
      <c r="AA365" s="1">
        <v>3</v>
      </c>
      <c r="AB365" s="1">
        <v>7</v>
      </c>
      <c r="AC365" s="1">
        <v>849</v>
      </c>
      <c r="AF365" s="3">
        <v>2.4955436720142603</v>
      </c>
      <c r="AG365" s="3">
        <v>1.3400124347628997</v>
      </c>
      <c r="AH365" s="1">
        <v>6254</v>
      </c>
      <c r="AI365" s="1" t="b">
        <v>1</v>
      </c>
    </row>
    <row r="366" spans="1:35" x14ac:dyDescent="0.25">
      <c r="A366" s="1">
        <v>12</v>
      </c>
      <c r="B366" s="1">
        <v>11</v>
      </c>
      <c r="C366" s="1">
        <v>2019</v>
      </c>
      <c r="G366" s="1" t="s">
        <v>38</v>
      </c>
      <c r="H366" s="2">
        <v>5.99</v>
      </c>
      <c r="I366" s="1">
        <v>17</v>
      </c>
      <c r="V366" s="1">
        <v>25</v>
      </c>
      <c r="X366" s="1">
        <v>20</v>
      </c>
      <c r="AA366" s="1">
        <v>3</v>
      </c>
      <c r="AB366" s="1">
        <v>4</v>
      </c>
      <c r="AC366" s="1">
        <v>721</v>
      </c>
      <c r="AF366" s="3">
        <v>2.8380634390651083</v>
      </c>
      <c r="AG366" s="3">
        <v>1.2336065784774188</v>
      </c>
      <c r="AH366" s="1">
        <v>6254</v>
      </c>
      <c r="AI366" s="1" t="b">
        <v>1</v>
      </c>
    </row>
    <row r="367" spans="1:35" x14ac:dyDescent="0.25">
      <c r="A367" s="1">
        <v>12</v>
      </c>
      <c r="B367" s="1">
        <v>11</v>
      </c>
      <c r="C367" s="1">
        <v>2019</v>
      </c>
      <c r="G367" s="1" t="s">
        <v>38</v>
      </c>
      <c r="H367" s="2">
        <v>6.86</v>
      </c>
      <c r="I367" s="1">
        <v>17</v>
      </c>
      <c r="V367" s="1">
        <v>30</v>
      </c>
      <c r="X367" s="1">
        <v>23</v>
      </c>
      <c r="AA367" s="1">
        <v>4</v>
      </c>
      <c r="AB367" s="1">
        <v>4</v>
      </c>
      <c r="AC367" s="1">
        <v>887</v>
      </c>
      <c r="AF367" s="3">
        <v>2.4781341107871717</v>
      </c>
      <c r="AG367" s="3">
        <v>1.5534671547698446</v>
      </c>
      <c r="AH367" s="1">
        <v>6254</v>
      </c>
      <c r="AI367" s="1" t="b">
        <v>1</v>
      </c>
    </row>
    <row r="368" spans="1:35" x14ac:dyDescent="0.25">
      <c r="A368" s="1">
        <v>12</v>
      </c>
      <c r="B368" s="1">
        <v>11</v>
      </c>
      <c r="C368" s="1">
        <v>2019</v>
      </c>
      <c r="G368" s="1" t="s">
        <v>38</v>
      </c>
      <c r="H368" s="2">
        <v>3.96</v>
      </c>
      <c r="I368" s="1">
        <v>11</v>
      </c>
      <c r="U368" s="1">
        <v>14</v>
      </c>
      <c r="X368" s="1">
        <v>12</v>
      </c>
      <c r="AA368" s="1">
        <v>1</v>
      </c>
      <c r="AB368" s="1">
        <v>3</v>
      </c>
      <c r="AC368" s="1">
        <v>613</v>
      </c>
      <c r="AF368" s="3">
        <v>2.7777777777777777</v>
      </c>
      <c r="AG368" s="3">
        <v>0.94338535692909575</v>
      </c>
      <c r="AH368" s="1">
        <v>6254</v>
      </c>
      <c r="AI368" s="1" t="b">
        <v>1</v>
      </c>
    </row>
    <row r="369" spans="1:35" x14ac:dyDescent="0.25">
      <c r="A369" s="1">
        <v>12</v>
      </c>
      <c r="B369" s="1">
        <v>11</v>
      </c>
      <c r="C369" s="1">
        <v>2019</v>
      </c>
      <c r="G369" s="1" t="s">
        <v>38</v>
      </c>
      <c r="H369" s="2">
        <v>5.24</v>
      </c>
      <c r="I369" s="1">
        <v>18</v>
      </c>
      <c r="U369" s="1">
        <v>28</v>
      </c>
      <c r="X369" s="1">
        <v>19</v>
      </c>
      <c r="AA369" s="1">
        <v>2</v>
      </c>
      <c r="AB369" s="1">
        <v>2</v>
      </c>
      <c r="AC369" s="1">
        <v>989</v>
      </c>
      <c r="AF369" s="3">
        <v>3.4351145038167936</v>
      </c>
      <c r="AG369" s="3">
        <v>0.92809125979921525</v>
      </c>
      <c r="AH369" s="1">
        <v>6254</v>
      </c>
      <c r="AI369" s="1" t="b">
        <v>1</v>
      </c>
    </row>
    <row r="370" spans="1:35" x14ac:dyDescent="0.25">
      <c r="A370" s="1">
        <v>12</v>
      </c>
      <c r="B370" s="1">
        <v>11</v>
      </c>
      <c r="C370" s="1">
        <v>2019</v>
      </c>
      <c r="G370" s="1" t="s">
        <v>38</v>
      </c>
      <c r="H370" s="2">
        <v>4.3899999999999997</v>
      </c>
      <c r="I370" s="1">
        <v>11</v>
      </c>
      <c r="U370" s="1">
        <v>11</v>
      </c>
      <c r="X370" s="1">
        <v>11</v>
      </c>
      <c r="AA370" s="1">
        <v>3</v>
      </c>
      <c r="AB370" s="1">
        <v>5</v>
      </c>
      <c r="AC370" s="1">
        <v>993</v>
      </c>
      <c r="AF370" s="3">
        <v>2.5056947608200457</v>
      </c>
      <c r="AG370" s="3">
        <v>1.1240794266448395</v>
      </c>
      <c r="AH370" s="1">
        <v>6254</v>
      </c>
      <c r="AI370" s="1" t="b">
        <v>1</v>
      </c>
    </row>
    <row r="371" spans="1:35" x14ac:dyDescent="0.25">
      <c r="A371" s="1">
        <v>12</v>
      </c>
      <c r="B371" s="1">
        <v>11</v>
      </c>
      <c r="C371" s="1">
        <v>2019</v>
      </c>
      <c r="G371" s="1" t="s">
        <v>38</v>
      </c>
      <c r="H371" s="2">
        <v>5.21</v>
      </c>
      <c r="I371" s="1">
        <v>13</v>
      </c>
      <c r="U371" s="1">
        <v>21</v>
      </c>
      <c r="X371" s="1">
        <v>18</v>
      </c>
      <c r="AA371" s="1">
        <v>3</v>
      </c>
      <c r="AB371" s="1">
        <v>4</v>
      </c>
      <c r="AC371" s="1">
        <v>1132</v>
      </c>
      <c r="AF371" s="3">
        <v>2.4952015355086372</v>
      </c>
      <c r="AG371" s="3">
        <v>1.2725673525311918</v>
      </c>
      <c r="AH371" s="1">
        <v>6254</v>
      </c>
      <c r="AI371" s="1" t="b">
        <v>1</v>
      </c>
    </row>
    <row r="372" spans="1:35" x14ac:dyDescent="0.25">
      <c r="A372" s="1">
        <v>12</v>
      </c>
      <c r="B372" s="1">
        <v>11</v>
      </c>
      <c r="C372" s="1">
        <v>2019</v>
      </c>
      <c r="G372" s="1" t="s">
        <v>38</v>
      </c>
      <c r="H372" s="2">
        <v>3.38</v>
      </c>
      <c r="I372" s="1">
        <v>9</v>
      </c>
      <c r="U372" s="1">
        <v>11</v>
      </c>
      <c r="X372" s="1">
        <v>9</v>
      </c>
      <c r="AA372" s="1">
        <v>1</v>
      </c>
      <c r="AB372" s="1">
        <v>4</v>
      </c>
      <c r="AC372" s="1">
        <v>683</v>
      </c>
      <c r="AF372" s="3">
        <v>2.6627218934911245</v>
      </c>
      <c r="AG372" s="3">
        <v>0.88087823822586941</v>
      </c>
      <c r="AH372" s="1">
        <v>6254</v>
      </c>
      <c r="AI372" s="1" t="b">
        <v>1</v>
      </c>
    </row>
    <row r="373" spans="1:35" x14ac:dyDescent="0.25">
      <c r="A373" s="1">
        <v>12</v>
      </c>
      <c r="B373" s="1">
        <v>11</v>
      </c>
      <c r="C373" s="1">
        <v>2019</v>
      </c>
      <c r="G373" s="1" t="s">
        <v>38</v>
      </c>
      <c r="H373" s="2">
        <v>3.93</v>
      </c>
      <c r="I373" s="1">
        <v>10</v>
      </c>
      <c r="U373" s="1">
        <v>15</v>
      </c>
      <c r="X373" s="1">
        <v>13</v>
      </c>
      <c r="AA373" s="1">
        <v>4</v>
      </c>
      <c r="AB373" s="1">
        <v>3</v>
      </c>
      <c r="AC373" s="1">
        <v>681</v>
      </c>
      <c r="AF373" s="3">
        <v>2.5445292620865141</v>
      </c>
      <c r="AG373" s="3">
        <v>1.0243947301523861</v>
      </c>
      <c r="AH373" s="1">
        <v>6254</v>
      </c>
      <c r="AI373" s="1" t="b">
        <v>1</v>
      </c>
    </row>
    <row r="374" spans="1:35" x14ac:dyDescent="0.25">
      <c r="A374" s="1">
        <v>12</v>
      </c>
      <c r="B374" s="1">
        <v>11</v>
      </c>
      <c r="C374" s="1">
        <v>2019</v>
      </c>
      <c r="G374" s="1" t="s">
        <v>38</v>
      </c>
      <c r="H374" s="2">
        <v>5.45</v>
      </c>
      <c r="I374" s="1">
        <v>14</v>
      </c>
      <c r="U374" s="1">
        <v>20</v>
      </c>
      <c r="X374" s="1">
        <v>17</v>
      </c>
      <c r="AA374" s="1">
        <v>3</v>
      </c>
      <c r="AB374" s="1">
        <v>2</v>
      </c>
      <c r="AC374" s="1">
        <v>694</v>
      </c>
      <c r="AF374" s="3">
        <v>2.568807339449541</v>
      </c>
      <c r="AG374" s="3">
        <v>1.2756925468343234</v>
      </c>
      <c r="AH374" s="1">
        <v>6254</v>
      </c>
      <c r="AI374" s="1" t="b">
        <v>1</v>
      </c>
    </row>
    <row r="375" spans="1:35" x14ac:dyDescent="0.25">
      <c r="A375" s="1">
        <v>12</v>
      </c>
      <c r="B375" s="1">
        <v>11</v>
      </c>
      <c r="C375" s="1">
        <v>2019</v>
      </c>
      <c r="G375" s="1" t="s">
        <v>38</v>
      </c>
      <c r="H375" s="2">
        <v>8.77</v>
      </c>
      <c r="I375" s="1">
        <v>20</v>
      </c>
      <c r="U375" s="1">
        <v>29</v>
      </c>
      <c r="X375" s="1">
        <v>25</v>
      </c>
      <c r="AA375" s="1">
        <v>2</v>
      </c>
      <c r="AB375" s="1">
        <v>2</v>
      </c>
      <c r="AC375" s="1">
        <v>1089</v>
      </c>
      <c r="AF375" s="3">
        <v>2.2805017103762828</v>
      </c>
      <c r="AG375" s="3">
        <v>2.0047919650569659</v>
      </c>
      <c r="AH375" s="1">
        <v>6254</v>
      </c>
      <c r="AI375" s="1" t="b">
        <v>1</v>
      </c>
    </row>
    <row r="376" spans="1:35" x14ac:dyDescent="0.25">
      <c r="A376" s="1">
        <v>12</v>
      </c>
      <c r="B376" s="1">
        <v>11</v>
      </c>
      <c r="C376" s="1">
        <v>2019</v>
      </c>
      <c r="G376" s="1" t="s">
        <v>38</v>
      </c>
      <c r="H376" s="2">
        <v>6.65</v>
      </c>
      <c r="I376" s="1">
        <v>17</v>
      </c>
      <c r="U376" s="1">
        <v>24</v>
      </c>
      <c r="X376" s="1">
        <v>20</v>
      </c>
      <c r="AA376" s="1">
        <v>2</v>
      </c>
      <c r="AB376" s="1">
        <v>3</v>
      </c>
      <c r="AC376" s="1">
        <v>862</v>
      </c>
      <c r="AF376" s="3">
        <v>2.5563909774436091</v>
      </c>
      <c r="AG376" s="3">
        <v>1.4734923167244747</v>
      </c>
      <c r="AH376" s="1">
        <v>6254</v>
      </c>
      <c r="AI376" s="1" t="b">
        <v>1</v>
      </c>
    </row>
    <row r="377" spans="1:35" x14ac:dyDescent="0.25">
      <c r="A377" s="1">
        <v>12</v>
      </c>
      <c r="B377" s="1">
        <v>11</v>
      </c>
      <c r="C377" s="1">
        <v>2019</v>
      </c>
      <c r="G377" s="1" t="s">
        <v>38</v>
      </c>
      <c r="H377" s="2">
        <v>6.5</v>
      </c>
      <c r="I377" s="1">
        <v>19</v>
      </c>
      <c r="U377" s="1">
        <v>28</v>
      </c>
      <c r="X377" s="1">
        <v>25</v>
      </c>
      <c r="AA377" s="1">
        <v>3</v>
      </c>
      <c r="AB377" s="1">
        <v>1</v>
      </c>
      <c r="AC377" s="1">
        <v>992</v>
      </c>
      <c r="AF377" s="3">
        <v>2.9230769230769229</v>
      </c>
      <c r="AG377" s="3">
        <v>1.2682331629536212</v>
      </c>
      <c r="AH377" s="1">
        <v>6254</v>
      </c>
      <c r="AI377" s="1" t="b">
        <v>1</v>
      </c>
    </row>
    <row r="378" spans="1:35" x14ac:dyDescent="0.25">
      <c r="A378" s="1">
        <v>12</v>
      </c>
      <c r="B378" s="1">
        <v>11</v>
      </c>
      <c r="C378" s="1">
        <v>2019</v>
      </c>
      <c r="G378" s="1" t="s">
        <v>38</v>
      </c>
      <c r="H378" s="2">
        <v>4.38</v>
      </c>
      <c r="I378" s="1">
        <v>16</v>
      </c>
      <c r="U378" s="1">
        <v>19</v>
      </c>
      <c r="X378" s="1">
        <v>16</v>
      </c>
      <c r="AA378" s="1">
        <v>1</v>
      </c>
      <c r="AB378" s="1">
        <v>4</v>
      </c>
      <c r="AC378" s="1">
        <v>762</v>
      </c>
      <c r="AF378" s="3">
        <v>3.6529680365296806</v>
      </c>
      <c r="AG378" s="3">
        <v>0.76981435486611216</v>
      </c>
      <c r="AH378" s="1">
        <v>6254</v>
      </c>
      <c r="AI378" s="1" t="b">
        <v>1</v>
      </c>
    </row>
    <row r="379" spans="1:35" x14ac:dyDescent="0.25">
      <c r="A379" s="1">
        <v>12</v>
      </c>
      <c r="B379" s="1">
        <v>11</v>
      </c>
      <c r="C379" s="1">
        <v>2019</v>
      </c>
      <c r="G379" s="1" t="s">
        <v>38</v>
      </c>
      <c r="H379" s="2">
        <v>7.65</v>
      </c>
      <c r="I379" s="1">
        <v>16</v>
      </c>
      <c r="U379" s="1">
        <v>24</v>
      </c>
      <c r="X379" s="1">
        <v>21</v>
      </c>
      <c r="AA379" s="1">
        <v>2</v>
      </c>
      <c r="AB379" s="1">
        <v>5</v>
      </c>
      <c r="AC379" s="1">
        <v>1128</v>
      </c>
      <c r="AF379" s="3">
        <v>2.0915032679738563</v>
      </c>
      <c r="AG379" s="3">
        <v>1.9865726730874242</v>
      </c>
      <c r="AH379" s="1">
        <v>6254</v>
      </c>
      <c r="AI379" s="1" t="b">
        <v>1</v>
      </c>
    </row>
    <row r="380" spans="1:35" x14ac:dyDescent="0.25">
      <c r="A380" s="1">
        <v>12</v>
      </c>
      <c r="B380" s="1">
        <v>11</v>
      </c>
      <c r="C380" s="1">
        <v>2019</v>
      </c>
      <c r="G380" s="1" t="s">
        <v>38</v>
      </c>
      <c r="H380" s="2">
        <v>6.06</v>
      </c>
      <c r="I380" s="1">
        <v>17</v>
      </c>
      <c r="U380" s="1">
        <v>23</v>
      </c>
      <c r="X380" s="1">
        <v>19</v>
      </c>
      <c r="AA380" s="1">
        <v>2</v>
      </c>
      <c r="AB380" s="1">
        <v>5</v>
      </c>
      <c r="AC380" s="1">
        <v>949</v>
      </c>
      <c r="AF380" s="3">
        <v>2.8052805280528053</v>
      </c>
      <c r="AG380" s="3">
        <v>1.2582140767298433</v>
      </c>
      <c r="AH380" s="1">
        <v>6254</v>
      </c>
      <c r="AI380" s="1" t="b">
        <v>1</v>
      </c>
    </row>
    <row r="381" spans="1:35" x14ac:dyDescent="0.25">
      <c r="A381" s="1">
        <v>12</v>
      </c>
      <c r="B381" s="1">
        <v>11</v>
      </c>
      <c r="C381" s="1">
        <v>2019</v>
      </c>
      <c r="G381" s="1" t="s">
        <v>38</v>
      </c>
      <c r="H381" s="2">
        <v>8.34</v>
      </c>
      <c r="I381" s="1">
        <v>23</v>
      </c>
      <c r="U381" s="1">
        <v>28</v>
      </c>
      <c r="X381" s="1">
        <v>26</v>
      </c>
      <c r="AA381" s="1">
        <v>3</v>
      </c>
      <c r="AB381" s="1">
        <v>4</v>
      </c>
      <c r="AC381" s="1">
        <v>1158</v>
      </c>
      <c r="AF381" s="3">
        <v>2.7577937649880098</v>
      </c>
      <c r="AG381" s="3">
        <v>1.6004954729492327</v>
      </c>
      <c r="AH381" s="1">
        <v>6254</v>
      </c>
      <c r="AI381" s="1" t="b">
        <v>1</v>
      </c>
    </row>
    <row r="382" spans="1:35" x14ac:dyDescent="0.25">
      <c r="A382" s="1">
        <v>12</v>
      </c>
      <c r="B382" s="1">
        <v>11</v>
      </c>
      <c r="C382" s="1">
        <v>2019</v>
      </c>
      <c r="G382" s="1" t="s">
        <v>38</v>
      </c>
      <c r="H382" s="2">
        <v>6.28</v>
      </c>
      <c r="I382" s="1">
        <v>19</v>
      </c>
      <c r="U382" s="1">
        <v>26</v>
      </c>
      <c r="X382" s="1">
        <v>25</v>
      </c>
      <c r="AA382" s="1">
        <v>3</v>
      </c>
      <c r="AB382" s="1">
        <v>2</v>
      </c>
      <c r="AC382" s="1">
        <v>1121</v>
      </c>
      <c r="AF382" s="3">
        <v>3.0254777070063694</v>
      </c>
      <c r="AG382" s="3">
        <v>1.1961283761063939</v>
      </c>
      <c r="AH382" s="1">
        <v>6254</v>
      </c>
      <c r="AI382" s="1" t="b">
        <v>1</v>
      </c>
    </row>
    <row r="383" spans="1:35" x14ac:dyDescent="0.25">
      <c r="A383" s="1">
        <v>12</v>
      </c>
      <c r="B383" s="1">
        <v>11</v>
      </c>
      <c r="C383" s="1">
        <v>2019</v>
      </c>
      <c r="G383" s="1" t="s">
        <v>38</v>
      </c>
      <c r="H383" s="2">
        <v>3.74</v>
      </c>
      <c r="I383" s="1">
        <v>9</v>
      </c>
      <c r="U383" s="1">
        <v>15</v>
      </c>
      <c r="X383" s="1">
        <v>13</v>
      </c>
      <c r="AA383" s="1">
        <v>3</v>
      </c>
      <c r="AB383" s="1">
        <v>5</v>
      </c>
      <c r="AC383" s="1">
        <v>831</v>
      </c>
      <c r="AF383" s="3">
        <v>2.4064171122994651</v>
      </c>
      <c r="AG383" s="3">
        <v>1.0462590179471527</v>
      </c>
      <c r="AH383" s="1">
        <v>6254</v>
      </c>
      <c r="AI383" s="1" t="b">
        <v>1</v>
      </c>
    </row>
    <row r="384" spans="1:35" x14ac:dyDescent="0.25">
      <c r="A384" s="1">
        <v>12</v>
      </c>
      <c r="B384" s="1">
        <v>11</v>
      </c>
      <c r="C384" s="1">
        <v>2019</v>
      </c>
      <c r="G384" s="1" t="s">
        <v>38</v>
      </c>
      <c r="H384" s="2">
        <v>4.84</v>
      </c>
      <c r="I384" s="1">
        <v>17</v>
      </c>
      <c r="U384" s="1">
        <v>21</v>
      </c>
      <c r="X384" s="1">
        <v>20</v>
      </c>
      <c r="AA384" s="1">
        <v>3</v>
      </c>
      <c r="AB384" s="1">
        <v>4</v>
      </c>
      <c r="AC384" s="1">
        <v>835</v>
      </c>
      <c r="AF384" s="3">
        <v>3.5123966942148761</v>
      </c>
      <c r="AG384" s="3">
        <v>0.85859468045197751</v>
      </c>
      <c r="AH384" s="1">
        <v>6254</v>
      </c>
      <c r="AI384" s="1" t="b">
        <v>1</v>
      </c>
    </row>
    <row r="385" spans="1:35" x14ac:dyDescent="0.25">
      <c r="A385" s="1">
        <v>12</v>
      </c>
      <c r="B385" s="1">
        <v>11</v>
      </c>
      <c r="C385" s="1">
        <v>2019</v>
      </c>
      <c r="G385" s="1" t="s">
        <v>38</v>
      </c>
      <c r="H385" s="2">
        <v>5.51</v>
      </c>
      <c r="I385" s="1">
        <v>16</v>
      </c>
      <c r="U385" s="1">
        <v>23</v>
      </c>
      <c r="X385" s="1">
        <v>22</v>
      </c>
      <c r="AA385" s="1">
        <v>3</v>
      </c>
      <c r="AB385" s="1">
        <v>2</v>
      </c>
      <c r="AC385" s="1">
        <v>817</v>
      </c>
      <c r="AF385" s="3">
        <v>2.9038112522686026</v>
      </c>
      <c r="AG385" s="3">
        <v>1.1372023157346995</v>
      </c>
      <c r="AH385" s="1">
        <v>6254</v>
      </c>
      <c r="AI385" s="1" t="b">
        <v>1</v>
      </c>
    </row>
    <row r="386" spans="1:35" x14ac:dyDescent="0.25">
      <c r="A386" s="1">
        <v>12</v>
      </c>
      <c r="B386" s="1">
        <v>11</v>
      </c>
      <c r="C386" s="1">
        <v>2019</v>
      </c>
      <c r="G386" s="1" t="s">
        <v>38</v>
      </c>
      <c r="H386" s="2">
        <v>8.99</v>
      </c>
      <c r="I386" s="1">
        <v>32</v>
      </c>
      <c r="U386" s="1">
        <v>42</v>
      </c>
      <c r="X386" s="1">
        <v>37</v>
      </c>
      <c r="AA386" s="1">
        <v>3</v>
      </c>
      <c r="AB386" s="1">
        <v>1</v>
      </c>
      <c r="AC386" s="1">
        <v>1473</v>
      </c>
      <c r="AF386" s="3">
        <v>3.5595105672969964</v>
      </c>
      <c r="AG386" s="3">
        <v>1.3068974110355194</v>
      </c>
      <c r="AH386" s="1">
        <v>6254</v>
      </c>
      <c r="AI386" s="1" t="b">
        <v>1</v>
      </c>
    </row>
    <row r="387" spans="1:35" x14ac:dyDescent="0.25">
      <c r="A387" s="1">
        <v>12</v>
      </c>
      <c r="B387" s="1">
        <v>11</v>
      </c>
      <c r="C387" s="1">
        <v>2019</v>
      </c>
      <c r="G387" s="1" t="s">
        <v>38</v>
      </c>
      <c r="H387" s="2">
        <v>4.97</v>
      </c>
      <c r="I387" s="1">
        <v>11</v>
      </c>
      <c r="U387" s="1">
        <v>15</v>
      </c>
      <c r="X387" s="1">
        <v>14</v>
      </c>
      <c r="AA387" s="1">
        <v>2</v>
      </c>
      <c r="AB387" s="1">
        <v>3</v>
      </c>
      <c r="AC387" s="1">
        <v>649</v>
      </c>
      <c r="AF387" s="3">
        <v>2.2132796780684107</v>
      </c>
      <c r="AG387" s="3">
        <v>1.3880757775709787</v>
      </c>
      <c r="AH387" s="1">
        <v>6254</v>
      </c>
      <c r="AI387" s="1" t="b">
        <v>1</v>
      </c>
    </row>
    <row r="388" spans="1:35" x14ac:dyDescent="0.25">
      <c r="A388" s="1">
        <v>12</v>
      </c>
      <c r="B388" s="1">
        <v>11</v>
      </c>
      <c r="C388" s="1">
        <v>2019</v>
      </c>
      <c r="G388" s="1" t="s">
        <v>38</v>
      </c>
      <c r="H388" s="2">
        <v>5.51</v>
      </c>
      <c r="I388" s="1">
        <v>13</v>
      </c>
      <c r="U388" s="1">
        <v>20</v>
      </c>
      <c r="X388" s="1">
        <v>16</v>
      </c>
      <c r="AA388" s="1">
        <v>3</v>
      </c>
      <c r="AB388" s="1">
        <v>4</v>
      </c>
      <c r="AC388" s="1">
        <v>851</v>
      </c>
      <c r="AF388" s="3">
        <v>2.3593466424682394</v>
      </c>
      <c r="AG388" s="3">
        <v>1.3996336193657841</v>
      </c>
      <c r="AH388" s="1">
        <v>6254</v>
      </c>
      <c r="AI388" s="1" t="b">
        <v>1</v>
      </c>
    </row>
    <row r="389" spans="1:35" x14ac:dyDescent="0.25">
      <c r="A389" s="1">
        <v>12</v>
      </c>
      <c r="B389" s="1">
        <v>11</v>
      </c>
      <c r="C389" s="1">
        <v>2019</v>
      </c>
      <c r="G389" s="1" t="s">
        <v>38</v>
      </c>
      <c r="H389" s="2">
        <v>6.16</v>
      </c>
      <c r="I389" s="1">
        <v>18</v>
      </c>
      <c r="U389" s="1">
        <v>24</v>
      </c>
      <c r="X389" s="1">
        <v>21</v>
      </c>
      <c r="AA389" s="1">
        <v>3</v>
      </c>
      <c r="AB389" s="1">
        <v>3</v>
      </c>
      <c r="AC389" s="1">
        <v>1012</v>
      </c>
      <c r="AF389" s="3">
        <v>2.9220779220779218</v>
      </c>
      <c r="AG389" s="3">
        <v>1.2218410320288262</v>
      </c>
      <c r="AH389" s="1">
        <v>6254</v>
      </c>
      <c r="AI389" s="1" t="b">
        <v>1</v>
      </c>
    </row>
    <row r="390" spans="1:35" x14ac:dyDescent="0.25">
      <c r="A390" s="1">
        <v>12</v>
      </c>
      <c r="B390" s="1">
        <v>11</v>
      </c>
      <c r="C390" s="1">
        <v>2019</v>
      </c>
      <c r="G390" s="1" t="s">
        <v>38</v>
      </c>
      <c r="H390" s="2">
        <v>5.21</v>
      </c>
      <c r="I390" s="1">
        <v>15</v>
      </c>
      <c r="U390" s="1">
        <v>23</v>
      </c>
      <c r="X390" s="1">
        <v>16</v>
      </c>
      <c r="AA390" s="1">
        <v>2</v>
      </c>
      <c r="AB390" s="1">
        <v>3</v>
      </c>
      <c r="AC390" s="1">
        <v>866</v>
      </c>
      <c r="AF390" s="3">
        <v>2.8790786948176583</v>
      </c>
      <c r="AG390" s="3">
        <v>1.1028917055270329</v>
      </c>
      <c r="AH390" s="1">
        <v>6254</v>
      </c>
      <c r="AI390" s="1" t="b">
        <v>1</v>
      </c>
    </row>
    <row r="391" spans="1:35" x14ac:dyDescent="0.25">
      <c r="A391" s="1">
        <v>12</v>
      </c>
      <c r="B391" s="1">
        <v>11</v>
      </c>
      <c r="C391" s="1">
        <v>2019</v>
      </c>
      <c r="G391" s="1" t="s">
        <v>38</v>
      </c>
      <c r="H391" s="2">
        <v>3.64</v>
      </c>
      <c r="I391" s="1">
        <v>10</v>
      </c>
      <c r="U391" s="1">
        <v>14</v>
      </c>
      <c r="X391" s="1">
        <v>12</v>
      </c>
      <c r="AA391" s="1">
        <v>2</v>
      </c>
      <c r="AB391" s="1">
        <v>4</v>
      </c>
      <c r="AC391" s="1">
        <v>717</v>
      </c>
      <c r="AF391" s="3">
        <v>2.7472527472527473</v>
      </c>
      <c r="AG391" s="3">
        <v>0.89923324012807826</v>
      </c>
      <c r="AH391" s="1">
        <v>6254</v>
      </c>
      <c r="AI391" s="1" t="b">
        <v>1</v>
      </c>
    </row>
    <row r="392" spans="1:35" x14ac:dyDescent="0.25">
      <c r="A392" s="1">
        <v>12</v>
      </c>
      <c r="B392" s="1">
        <v>11</v>
      </c>
      <c r="C392" s="1">
        <v>2019</v>
      </c>
      <c r="G392" s="1" t="s">
        <v>38</v>
      </c>
      <c r="H392" s="2">
        <v>4.88</v>
      </c>
      <c r="I392" s="1">
        <v>8</v>
      </c>
      <c r="U392" s="1">
        <v>18</v>
      </c>
      <c r="X392" s="1">
        <v>15</v>
      </c>
      <c r="AA392" s="1">
        <v>3</v>
      </c>
      <c r="AB392" s="1">
        <v>4</v>
      </c>
      <c r="AC392" s="1">
        <v>978</v>
      </c>
      <c r="AF392" s="3">
        <v>1.639344262295082</v>
      </c>
      <c r="AG392" s="3">
        <v>1.850221445303434</v>
      </c>
      <c r="AH392" s="1">
        <v>6254</v>
      </c>
      <c r="AI392" s="1" t="b">
        <v>1</v>
      </c>
    </row>
    <row r="393" spans="1:35" x14ac:dyDescent="0.25">
      <c r="A393" s="1">
        <v>12</v>
      </c>
      <c r="B393" s="1">
        <v>11</v>
      </c>
      <c r="C393" s="1">
        <v>2019</v>
      </c>
      <c r="G393" s="1" t="s">
        <v>38</v>
      </c>
      <c r="H393" s="2">
        <v>7.27</v>
      </c>
      <c r="I393" s="1">
        <v>22</v>
      </c>
      <c r="U393" s="1">
        <v>30</v>
      </c>
      <c r="X393" s="1">
        <v>27</v>
      </c>
      <c r="AA393" s="1">
        <v>3</v>
      </c>
      <c r="AB393" s="1">
        <v>4</v>
      </c>
      <c r="AC393" s="1">
        <v>1199</v>
      </c>
      <c r="AF393" s="3">
        <v>3.0261348005502064</v>
      </c>
      <c r="AG393" s="3">
        <v>1.3249082904246872</v>
      </c>
      <c r="AH393" s="1">
        <v>6254</v>
      </c>
      <c r="AI393" s="1" t="b">
        <v>1</v>
      </c>
    </row>
    <row r="394" spans="1:35" x14ac:dyDescent="0.25">
      <c r="A394" s="1">
        <v>12</v>
      </c>
      <c r="B394" s="1">
        <v>11</v>
      </c>
      <c r="C394" s="1">
        <v>2019</v>
      </c>
      <c r="G394" s="1" t="s">
        <v>38</v>
      </c>
      <c r="H394" s="2">
        <v>5.0599999999999996</v>
      </c>
      <c r="I394" s="1">
        <v>11</v>
      </c>
      <c r="U394" s="1">
        <v>23</v>
      </c>
      <c r="X394" s="1">
        <v>18</v>
      </c>
      <c r="AA394" s="1">
        <v>5</v>
      </c>
      <c r="AB394" s="1">
        <v>3</v>
      </c>
      <c r="AC394" s="1">
        <v>668</v>
      </c>
      <c r="AF394" s="3">
        <v>2.1739130434782612</v>
      </c>
      <c r="AG394" s="3">
        <v>1.4310776313317382</v>
      </c>
      <c r="AH394" s="1">
        <v>6254</v>
      </c>
      <c r="AI394" s="1" t="b">
        <v>1</v>
      </c>
    </row>
    <row r="395" spans="1:35" x14ac:dyDescent="0.25">
      <c r="A395" s="1">
        <v>12</v>
      </c>
      <c r="B395" s="1">
        <v>11</v>
      </c>
      <c r="C395" s="1">
        <v>2019</v>
      </c>
      <c r="G395" s="1" t="s">
        <v>38</v>
      </c>
      <c r="H395" s="2">
        <v>4.91</v>
      </c>
      <c r="I395" s="1">
        <v>8</v>
      </c>
      <c r="U395" s="1">
        <v>16</v>
      </c>
      <c r="X395" s="1">
        <v>12</v>
      </c>
      <c r="AA395" s="1">
        <v>2</v>
      </c>
      <c r="AB395" s="1">
        <v>4</v>
      </c>
      <c r="AC395" s="1">
        <v>565</v>
      </c>
      <c r="AF395" s="3">
        <v>1.6293279022403258</v>
      </c>
      <c r="AG395" s="3">
        <v>1.8695993552659012</v>
      </c>
      <c r="AH395" s="1">
        <v>6254</v>
      </c>
      <c r="AI395" s="1" t="b">
        <v>1</v>
      </c>
    </row>
    <row r="396" spans="1:35" x14ac:dyDescent="0.25">
      <c r="A396" s="1">
        <v>12</v>
      </c>
      <c r="B396" s="1">
        <v>11</v>
      </c>
      <c r="C396" s="1">
        <v>2019</v>
      </c>
      <c r="G396" s="1" t="s">
        <v>38</v>
      </c>
      <c r="H396" s="2">
        <v>6.97</v>
      </c>
      <c r="I396" s="1">
        <v>15</v>
      </c>
      <c r="U396" s="1">
        <v>34</v>
      </c>
      <c r="X396" s="1">
        <v>26</v>
      </c>
      <c r="AA396" s="1">
        <v>5</v>
      </c>
      <c r="AB396" s="1">
        <v>4</v>
      </c>
      <c r="AC396" s="1">
        <v>1059</v>
      </c>
      <c r="AF396" s="3">
        <v>2.1520803443328553</v>
      </c>
      <c r="AG396" s="3">
        <v>1.8088579531245774</v>
      </c>
      <c r="AH396" s="1">
        <v>6254</v>
      </c>
      <c r="AI396" s="1" t="b">
        <v>1</v>
      </c>
    </row>
    <row r="397" spans="1:35" x14ac:dyDescent="0.25">
      <c r="A397" s="1">
        <v>12</v>
      </c>
      <c r="B397" s="1">
        <v>11</v>
      </c>
      <c r="C397" s="1">
        <v>2019</v>
      </c>
      <c r="G397" s="1" t="s">
        <v>38</v>
      </c>
      <c r="H397" s="2">
        <v>4.22</v>
      </c>
      <c r="I397" s="1">
        <v>11</v>
      </c>
      <c r="U397" s="1">
        <v>18</v>
      </c>
      <c r="X397" s="1">
        <v>13</v>
      </c>
      <c r="AA397" s="1">
        <v>3</v>
      </c>
      <c r="AB397" s="1">
        <v>3</v>
      </c>
      <c r="AC397" s="1">
        <v>513</v>
      </c>
      <c r="AF397" s="3">
        <v>2.6066350710900474</v>
      </c>
      <c r="AG397" s="3">
        <v>1.0510865565547289</v>
      </c>
      <c r="AH397" s="1">
        <v>6254</v>
      </c>
      <c r="AI397" s="1" t="b">
        <v>1</v>
      </c>
    </row>
    <row r="398" spans="1:35" x14ac:dyDescent="0.25">
      <c r="A398" s="1">
        <v>12</v>
      </c>
      <c r="B398" s="1">
        <v>11</v>
      </c>
      <c r="C398" s="1">
        <v>2019</v>
      </c>
      <c r="G398" s="1" t="s">
        <v>38</v>
      </c>
      <c r="H398" s="2">
        <v>6.6</v>
      </c>
      <c r="I398" s="1">
        <v>21</v>
      </c>
      <c r="U398" s="1">
        <v>29</v>
      </c>
      <c r="X398" s="1">
        <v>24</v>
      </c>
      <c r="AA398" s="1">
        <v>2</v>
      </c>
      <c r="AB398" s="1">
        <v>4</v>
      </c>
      <c r="AC398" s="1">
        <v>1006</v>
      </c>
      <c r="AF398" s="3">
        <v>3.1818181818181821</v>
      </c>
      <c r="AG398" s="3">
        <v>1.1776206042225124</v>
      </c>
      <c r="AH398" s="1">
        <v>6254</v>
      </c>
      <c r="AI398" s="1" t="b">
        <v>1</v>
      </c>
    </row>
    <row r="399" spans="1:35" x14ac:dyDescent="0.25">
      <c r="A399" s="1">
        <v>12</v>
      </c>
      <c r="B399" s="1">
        <v>11</v>
      </c>
      <c r="C399" s="1">
        <v>2019</v>
      </c>
      <c r="G399" s="1" t="s">
        <v>38</v>
      </c>
      <c r="H399" s="2">
        <v>7.6</v>
      </c>
      <c r="I399" s="1">
        <v>20</v>
      </c>
      <c r="U399" s="1">
        <v>32</v>
      </c>
      <c r="X399" s="1">
        <v>26</v>
      </c>
      <c r="AA399" s="1">
        <v>5</v>
      </c>
      <c r="AB399" s="1">
        <v>2</v>
      </c>
      <c r="AC399" s="1">
        <v>1401</v>
      </c>
      <c r="AF399" s="3">
        <v>2.6315789473684212</v>
      </c>
      <c r="AG399" s="3">
        <v>1.5716401362544661</v>
      </c>
      <c r="AH399" s="1">
        <v>6254</v>
      </c>
      <c r="AI399" s="1" t="b">
        <v>1</v>
      </c>
    </row>
    <row r="400" spans="1:35" x14ac:dyDescent="0.25">
      <c r="A400" s="1">
        <v>12</v>
      </c>
      <c r="B400" s="1">
        <v>11</v>
      </c>
      <c r="C400" s="1">
        <v>2019</v>
      </c>
      <c r="G400" s="1" t="s">
        <v>38</v>
      </c>
      <c r="H400" s="2">
        <v>5.12</v>
      </c>
      <c r="I400" s="1">
        <v>19</v>
      </c>
      <c r="U400" s="1">
        <v>22</v>
      </c>
      <c r="X400" s="1">
        <v>20</v>
      </c>
      <c r="AA400" s="1">
        <v>2</v>
      </c>
      <c r="AB400" s="1">
        <v>3</v>
      </c>
      <c r="AC400" s="1">
        <v>653</v>
      </c>
      <c r="AF400" s="3">
        <v>3.7109375</v>
      </c>
      <c r="AG400" s="3">
        <v>0.84528922441101084</v>
      </c>
      <c r="AH400" s="1">
        <v>6254</v>
      </c>
      <c r="AI400" s="1" t="b">
        <v>1</v>
      </c>
    </row>
    <row r="401" spans="1:35" x14ac:dyDescent="0.25">
      <c r="A401" s="1">
        <v>12</v>
      </c>
      <c r="B401" s="1">
        <v>11</v>
      </c>
      <c r="C401" s="1">
        <v>2019</v>
      </c>
      <c r="G401" s="1" t="s">
        <v>38</v>
      </c>
      <c r="H401" s="2">
        <v>4.13</v>
      </c>
      <c r="I401" s="1">
        <v>10</v>
      </c>
      <c r="U401" s="1">
        <v>13</v>
      </c>
      <c r="X401" s="1">
        <v>11</v>
      </c>
      <c r="AA401" s="1">
        <v>3</v>
      </c>
      <c r="AB401" s="1">
        <v>2</v>
      </c>
      <c r="AC401" s="1">
        <v>622</v>
      </c>
      <c r="AF401" s="3">
        <v>2.4213075060532687</v>
      </c>
      <c r="AG401" s="3">
        <v>1.1145898602029607</v>
      </c>
      <c r="AH401" s="1">
        <v>6254</v>
      </c>
      <c r="AI401" s="1" t="b">
        <v>1</v>
      </c>
    </row>
    <row r="402" spans="1:35" x14ac:dyDescent="0.25">
      <c r="A402" s="1">
        <v>12</v>
      </c>
      <c r="B402" s="1">
        <v>11</v>
      </c>
      <c r="C402" s="1">
        <v>2019</v>
      </c>
      <c r="G402" s="1" t="s">
        <v>38</v>
      </c>
      <c r="H402" s="2">
        <v>4.93</v>
      </c>
      <c r="I402" s="1">
        <v>12</v>
      </c>
      <c r="U402" s="1">
        <v>23</v>
      </c>
      <c r="X402" s="1">
        <v>17</v>
      </c>
      <c r="AA402" s="1">
        <v>4</v>
      </c>
      <c r="AB402" s="1">
        <v>5</v>
      </c>
      <c r="AC402" s="1">
        <v>808</v>
      </c>
      <c r="AF402" s="3">
        <v>2.4340770791075053</v>
      </c>
      <c r="AG402" s="3">
        <v>1.2550427426657893</v>
      </c>
      <c r="AH402" s="1">
        <v>6254</v>
      </c>
      <c r="AI402" s="1" t="b">
        <v>1</v>
      </c>
    </row>
    <row r="403" spans="1:35" x14ac:dyDescent="0.25">
      <c r="A403" s="1">
        <v>12</v>
      </c>
      <c r="B403" s="1">
        <v>11</v>
      </c>
      <c r="C403" s="1">
        <v>2019</v>
      </c>
      <c r="G403" s="1" t="s">
        <v>38</v>
      </c>
      <c r="H403" s="2">
        <v>7.1</v>
      </c>
      <c r="I403" s="1">
        <v>15</v>
      </c>
      <c r="U403" s="1">
        <v>28</v>
      </c>
      <c r="X403" s="1">
        <v>20</v>
      </c>
      <c r="AA403" s="1">
        <v>3</v>
      </c>
      <c r="AB403" s="1">
        <v>5</v>
      </c>
      <c r="AC403" s="1">
        <v>1113</v>
      </c>
      <c r="AF403" s="3">
        <v>2.1126760563380285</v>
      </c>
      <c r="AG403" s="3">
        <v>1.8665856974724133</v>
      </c>
      <c r="AH403" s="1">
        <v>6254</v>
      </c>
      <c r="AI403" s="1" t="b">
        <v>1</v>
      </c>
    </row>
    <row r="404" spans="1:35" x14ac:dyDescent="0.25">
      <c r="A404" s="1">
        <v>12</v>
      </c>
      <c r="B404" s="1">
        <v>11</v>
      </c>
      <c r="C404" s="1">
        <v>2019</v>
      </c>
      <c r="G404" s="1" t="s">
        <v>38</v>
      </c>
      <c r="H404" s="2">
        <v>7.18</v>
      </c>
      <c r="I404" s="1">
        <v>24</v>
      </c>
      <c r="U404" s="1">
        <v>36</v>
      </c>
      <c r="X404" s="1">
        <v>30</v>
      </c>
      <c r="AA404" s="1">
        <v>3</v>
      </c>
      <c r="AB404" s="1">
        <v>2</v>
      </c>
      <c r="AC404" s="1">
        <v>1009</v>
      </c>
      <c r="AF404" s="3">
        <v>3.3426183844011144</v>
      </c>
      <c r="AG404" s="3">
        <v>1.1890505373141502</v>
      </c>
      <c r="AH404" s="1">
        <v>6254</v>
      </c>
      <c r="AI404" s="1" t="b">
        <v>1</v>
      </c>
    </row>
    <row r="405" spans="1:35" x14ac:dyDescent="0.25">
      <c r="A405" s="1">
        <v>12</v>
      </c>
      <c r="B405" s="1">
        <v>11</v>
      </c>
      <c r="C405" s="1">
        <v>2019</v>
      </c>
      <c r="G405" s="1" t="s">
        <v>38</v>
      </c>
      <c r="H405" s="2">
        <v>5.46</v>
      </c>
      <c r="I405" s="1">
        <v>18</v>
      </c>
      <c r="U405" s="1">
        <v>27</v>
      </c>
      <c r="X405" s="1">
        <v>24</v>
      </c>
      <c r="AA405" s="1">
        <v>3</v>
      </c>
      <c r="AB405" s="1">
        <v>3</v>
      </c>
      <c r="AC405" s="1">
        <v>775</v>
      </c>
      <c r="AF405" s="3">
        <v>3.2967032967032965</v>
      </c>
      <c r="AG405" s="3">
        <v>0.9953022537803129</v>
      </c>
      <c r="AH405" s="1">
        <v>6254</v>
      </c>
      <c r="AI405" s="1" t="b">
        <v>1</v>
      </c>
    </row>
    <row r="406" spans="1:35" x14ac:dyDescent="0.25">
      <c r="A406" s="1">
        <v>12</v>
      </c>
      <c r="B406" s="1">
        <v>11</v>
      </c>
      <c r="C406" s="1">
        <v>2019</v>
      </c>
      <c r="G406" s="1" t="s">
        <v>38</v>
      </c>
      <c r="H406" s="2">
        <v>3.92</v>
      </c>
      <c r="I406" s="1">
        <v>12</v>
      </c>
      <c r="U406" s="1">
        <v>21</v>
      </c>
      <c r="X406" s="1">
        <v>18</v>
      </c>
      <c r="AA406" s="1">
        <v>2</v>
      </c>
      <c r="AB406" s="1">
        <v>3</v>
      </c>
      <c r="AC406" s="1">
        <v>578</v>
      </c>
      <c r="AF406" s="3">
        <v>3.0612244897959182</v>
      </c>
      <c r="AG406" s="3">
        <v>0.84997287793045373</v>
      </c>
      <c r="AH406" s="1">
        <v>6254</v>
      </c>
      <c r="AI406" s="1" t="b">
        <v>1</v>
      </c>
    </row>
    <row r="407" spans="1:35" x14ac:dyDescent="0.25">
      <c r="A407" s="1">
        <v>12</v>
      </c>
      <c r="B407" s="1">
        <v>11</v>
      </c>
      <c r="C407" s="1">
        <v>2019</v>
      </c>
      <c r="G407" s="1" t="s">
        <v>38</v>
      </c>
      <c r="H407" s="2">
        <v>6.65</v>
      </c>
      <c r="I407" s="1">
        <v>21</v>
      </c>
      <c r="U407" s="1">
        <v>28</v>
      </c>
      <c r="X407" s="1">
        <v>25</v>
      </c>
      <c r="AA407" s="1">
        <v>2</v>
      </c>
      <c r="AB407" s="1">
        <v>4</v>
      </c>
      <c r="AC407" s="1">
        <v>1074</v>
      </c>
      <c r="AF407" s="3">
        <v>3.1578947368421053</v>
      </c>
      <c r="AG407" s="3">
        <v>1.1928271135388604</v>
      </c>
      <c r="AH407" s="1">
        <v>6254</v>
      </c>
      <c r="AI407" s="1" t="b">
        <v>1</v>
      </c>
    </row>
    <row r="408" spans="1:35" x14ac:dyDescent="0.25">
      <c r="A408" s="1">
        <v>12</v>
      </c>
      <c r="B408" s="1">
        <v>11</v>
      </c>
      <c r="C408" s="1">
        <v>2019</v>
      </c>
      <c r="G408" s="1" t="s">
        <v>38</v>
      </c>
      <c r="H408" s="2">
        <v>5.59</v>
      </c>
      <c r="I408" s="1">
        <v>13</v>
      </c>
      <c r="U408" s="1">
        <v>19</v>
      </c>
      <c r="X408" s="1">
        <v>16</v>
      </c>
      <c r="AA408" s="1">
        <v>2</v>
      </c>
      <c r="AB408" s="1">
        <v>2</v>
      </c>
      <c r="AC408" s="1">
        <v>674</v>
      </c>
      <c r="AF408" s="3">
        <v>2.3255813953488373</v>
      </c>
      <c r="AG408" s="3">
        <v>1.4343552293647615</v>
      </c>
      <c r="AH408" s="1">
        <v>6254</v>
      </c>
      <c r="AI408" s="1" t="b">
        <v>1</v>
      </c>
    </row>
    <row r="409" spans="1:35" x14ac:dyDescent="0.25">
      <c r="A409" s="1">
        <v>12</v>
      </c>
      <c r="B409" s="1">
        <v>11</v>
      </c>
      <c r="C409" s="1">
        <v>2019</v>
      </c>
      <c r="G409" s="1" t="s">
        <v>38</v>
      </c>
      <c r="H409" s="2">
        <v>5.37</v>
      </c>
      <c r="I409" s="1">
        <v>14</v>
      </c>
      <c r="U409" s="1">
        <v>25</v>
      </c>
      <c r="X409" s="1">
        <v>22</v>
      </c>
      <c r="AA409" s="1">
        <v>3</v>
      </c>
      <c r="AB409" s="1">
        <v>5</v>
      </c>
      <c r="AC409" s="1">
        <v>738</v>
      </c>
      <c r="AF409" s="3">
        <v>2.6070763500931098</v>
      </c>
      <c r="AG409" s="3">
        <v>1.2440225421722546</v>
      </c>
      <c r="AH409" s="1">
        <v>6254</v>
      </c>
      <c r="AI409" s="1" t="b">
        <v>1</v>
      </c>
    </row>
    <row r="410" spans="1:35" x14ac:dyDescent="0.25">
      <c r="A410" s="1">
        <v>12</v>
      </c>
      <c r="B410" s="1">
        <v>11</v>
      </c>
      <c r="C410" s="1">
        <v>2019</v>
      </c>
      <c r="G410" s="1" t="s">
        <v>38</v>
      </c>
      <c r="H410" s="2">
        <v>4.1100000000000003</v>
      </c>
      <c r="I410" s="1">
        <v>13</v>
      </c>
      <c r="U410" s="1">
        <v>14</v>
      </c>
      <c r="X410" s="1">
        <v>13</v>
      </c>
      <c r="AA410" s="1">
        <v>1</v>
      </c>
      <c r="AB410" s="1">
        <v>1</v>
      </c>
      <c r="AC410" s="1">
        <v>548</v>
      </c>
      <c r="AF410" s="3">
        <v>3.16301703163017</v>
      </c>
      <c r="AG410" s="3">
        <v>0.85033047665243289</v>
      </c>
      <c r="AH410" s="1">
        <v>6254</v>
      </c>
      <c r="AI410" s="1" t="b">
        <v>1</v>
      </c>
    </row>
    <row r="411" spans="1:35" x14ac:dyDescent="0.25">
      <c r="A411" s="1">
        <v>12</v>
      </c>
      <c r="B411" s="1">
        <v>11</v>
      </c>
      <c r="C411" s="1">
        <v>2019</v>
      </c>
      <c r="G411" s="1" t="s">
        <v>38</v>
      </c>
      <c r="H411" s="2">
        <v>9.24</v>
      </c>
      <c r="I411" s="1">
        <v>27</v>
      </c>
      <c r="U411" s="1">
        <v>46</v>
      </c>
      <c r="X411" s="1">
        <v>36</v>
      </c>
      <c r="AA411" s="1">
        <v>3</v>
      </c>
      <c r="AB411" s="1">
        <v>4</v>
      </c>
      <c r="AC411" s="1">
        <v>1511</v>
      </c>
      <c r="AF411" s="3">
        <v>2.9220779220779218</v>
      </c>
      <c r="AG411" s="3">
        <v>1.6228507737543301</v>
      </c>
      <c r="AH411" s="1">
        <v>6254</v>
      </c>
      <c r="AI411" s="1" t="b">
        <v>1</v>
      </c>
    </row>
    <row r="412" spans="1:35" x14ac:dyDescent="0.25">
      <c r="A412" s="1">
        <v>12</v>
      </c>
      <c r="B412" s="1">
        <v>11</v>
      </c>
      <c r="C412" s="1">
        <v>2019</v>
      </c>
      <c r="G412" s="1" t="s">
        <v>38</v>
      </c>
      <c r="H412" s="2">
        <v>4.42</v>
      </c>
      <c r="I412" s="1">
        <v>15</v>
      </c>
      <c r="U412" s="1">
        <v>15</v>
      </c>
      <c r="X412" s="1">
        <v>15</v>
      </c>
      <c r="AA412" s="1">
        <v>1</v>
      </c>
      <c r="AB412" s="1">
        <v>3</v>
      </c>
      <c r="AC412" s="1">
        <v>688</v>
      </c>
      <c r="AF412" s="3">
        <v>3.3936651583710407</v>
      </c>
      <c r="AG412" s="3">
        <v>0.83392424194153447</v>
      </c>
      <c r="AH412" s="1">
        <v>6254</v>
      </c>
      <c r="AI412" s="1" t="b">
        <v>1</v>
      </c>
    </row>
    <row r="413" spans="1:35" x14ac:dyDescent="0.25">
      <c r="A413" s="1">
        <v>12</v>
      </c>
      <c r="B413" s="1">
        <v>11</v>
      </c>
      <c r="C413" s="1">
        <v>2019</v>
      </c>
      <c r="G413" s="1" t="s">
        <v>38</v>
      </c>
      <c r="H413" s="2">
        <v>4.04</v>
      </c>
      <c r="I413" s="1">
        <v>8</v>
      </c>
      <c r="U413" s="1">
        <v>19</v>
      </c>
      <c r="X413" s="1">
        <v>15</v>
      </c>
      <c r="AA413" s="1">
        <v>4</v>
      </c>
      <c r="AB413" s="1">
        <v>2</v>
      </c>
      <c r="AC413" s="1">
        <v>866</v>
      </c>
      <c r="AF413" s="3">
        <v>1.9801980198019802</v>
      </c>
      <c r="AG413" s="3">
        <v>1.3420179777199963</v>
      </c>
      <c r="AH413" s="1">
        <v>6254</v>
      </c>
      <c r="AI413" s="1" t="b">
        <v>1</v>
      </c>
    </row>
    <row r="414" spans="1:35" x14ac:dyDescent="0.25">
      <c r="A414" s="1">
        <v>12</v>
      </c>
      <c r="B414" s="1">
        <v>11</v>
      </c>
      <c r="C414" s="1">
        <v>2019</v>
      </c>
      <c r="G414" s="1" t="s">
        <v>38</v>
      </c>
      <c r="H414" s="2">
        <v>3.52</v>
      </c>
      <c r="I414" s="1">
        <v>11</v>
      </c>
      <c r="U414" s="1">
        <v>18</v>
      </c>
      <c r="X414" s="1">
        <v>15</v>
      </c>
      <c r="AA414" s="1">
        <v>3</v>
      </c>
      <c r="AB414" s="1">
        <v>4</v>
      </c>
      <c r="AC414" s="1">
        <v>633</v>
      </c>
      <c r="AF414" s="3">
        <v>3.125</v>
      </c>
      <c r="AG414" s="3">
        <v>0.77220008084211667</v>
      </c>
      <c r="AH414" s="1">
        <v>6254</v>
      </c>
      <c r="AI414" s="1" t="b">
        <v>1</v>
      </c>
    </row>
    <row r="415" spans="1:35" x14ac:dyDescent="0.25">
      <c r="A415" s="1">
        <v>12</v>
      </c>
      <c r="B415" s="1">
        <v>11</v>
      </c>
      <c r="C415" s="1">
        <v>2019</v>
      </c>
      <c r="G415" s="1" t="s">
        <v>38</v>
      </c>
      <c r="H415" s="2">
        <v>2.87</v>
      </c>
      <c r="I415" s="1">
        <v>8</v>
      </c>
      <c r="U415" s="1">
        <v>12</v>
      </c>
      <c r="X415" s="1">
        <v>9</v>
      </c>
      <c r="AA415" s="1">
        <v>3</v>
      </c>
      <c r="AB415" s="1">
        <v>5</v>
      </c>
      <c r="AC415" s="1">
        <v>577</v>
      </c>
      <c r="AF415" s="3">
        <v>2.7874564459930311</v>
      </c>
      <c r="AG415" s="3">
        <v>0.75042835831833399</v>
      </c>
      <c r="AH415" s="1">
        <v>6254</v>
      </c>
      <c r="AI415" s="1" t="b">
        <v>1</v>
      </c>
    </row>
    <row r="416" spans="1:35" x14ac:dyDescent="0.25">
      <c r="A416" s="1">
        <v>12</v>
      </c>
      <c r="B416" s="1">
        <v>11</v>
      </c>
      <c r="C416" s="1">
        <v>2019</v>
      </c>
      <c r="G416" s="1" t="s">
        <v>38</v>
      </c>
      <c r="H416" s="2">
        <v>5.61</v>
      </c>
      <c r="I416" s="1">
        <v>15</v>
      </c>
      <c r="U416" s="1">
        <v>26</v>
      </c>
      <c r="X416" s="1">
        <v>21</v>
      </c>
      <c r="AA416" s="1">
        <v>3</v>
      </c>
      <c r="AB416" s="1">
        <v>1</v>
      </c>
      <c r="AC416" s="1">
        <v>892</v>
      </c>
      <c r="AF416" s="3">
        <v>2.6737967914438503</v>
      </c>
      <c r="AG416" s="3">
        <v>1.2506782724453731</v>
      </c>
      <c r="AH416" s="1">
        <v>6254</v>
      </c>
      <c r="AI416" s="1" t="b">
        <v>1</v>
      </c>
    </row>
    <row r="417" spans="1:35" x14ac:dyDescent="0.25">
      <c r="A417" s="1">
        <v>12</v>
      </c>
      <c r="B417" s="1">
        <v>11</v>
      </c>
      <c r="C417" s="1">
        <v>2019</v>
      </c>
      <c r="G417" s="1" t="s">
        <v>38</v>
      </c>
      <c r="H417" s="2">
        <v>6.51</v>
      </c>
      <c r="I417" s="1">
        <v>24</v>
      </c>
      <c r="U417" s="1">
        <v>34</v>
      </c>
      <c r="X417" s="1">
        <v>27</v>
      </c>
      <c r="AA417" s="1">
        <v>2</v>
      </c>
      <c r="AB417" s="1">
        <v>2</v>
      </c>
      <c r="AC417" s="1">
        <v>1055</v>
      </c>
      <c r="AF417" s="3">
        <v>3.6866359447004609</v>
      </c>
      <c r="AG417" s="3">
        <v>1.0066452274198878</v>
      </c>
      <c r="AH417" s="1">
        <v>6254</v>
      </c>
      <c r="AI417" s="1" t="b">
        <v>1</v>
      </c>
    </row>
    <row r="418" spans="1:35" x14ac:dyDescent="0.25">
      <c r="A418" s="1">
        <v>12</v>
      </c>
      <c r="B418" s="1">
        <v>11</v>
      </c>
      <c r="C418" s="1">
        <v>2019</v>
      </c>
      <c r="G418" s="1" t="s">
        <v>38</v>
      </c>
      <c r="H418" s="2">
        <v>7.22</v>
      </c>
      <c r="I418" s="1">
        <v>17</v>
      </c>
      <c r="U418" s="1">
        <v>29</v>
      </c>
      <c r="X418" s="1">
        <v>23</v>
      </c>
      <c r="AA418" s="1">
        <v>4</v>
      </c>
      <c r="AB418" s="1">
        <v>4</v>
      </c>
      <c r="AC418" s="1">
        <v>1161</v>
      </c>
      <c r="AF418" s="3">
        <v>2.3545706371191137</v>
      </c>
      <c r="AG418" s="3">
        <v>1.6945887328108502</v>
      </c>
      <c r="AH418" s="1">
        <v>6254</v>
      </c>
      <c r="AI418" s="1" t="b">
        <v>1</v>
      </c>
    </row>
    <row r="419" spans="1:35" x14ac:dyDescent="0.25">
      <c r="A419" s="1">
        <v>12</v>
      </c>
      <c r="B419" s="1">
        <v>11</v>
      </c>
      <c r="C419" s="1">
        <v>2019</v>
      </c>
      <c r="G419" s="1" t="s">
        <v>38</v>
      </c>
      <c r="H419" s="2">
        <v>2.4</v>
      </c>
      <c r="I419" s="1">
        <v>4</v>
      </c>
      <c r="U419" s="1">
        <v>14</v>
      </c>
      <c r="X419" s="1">
        <v>9</v>
      </c>
      <c r="AA419" s="1">
        <v>3</v>
      </c>
      <c r="AB419" s="1">
        <v>1</v>
      </c>
      <c r="AC419" s="1">
        <v>441</v>
      </c>
      <c r="AF419" s="3">
        <v>1.6666666666666667</v>
      </c>
      <c r="AG419" s="3">
        <v>1.107386231753716</v>
      </c>
      <c r="AH419" s="1">
        <v>6254</v>
      </c>
      <c r="AI419" s="1" t="b">
        <v>1</v>
      </c>
    </row>
    <row r="420" spans="1:35" x14ac:dyDescent="0.25">
      <c r="A420" s="1">
        <v>12</v>
      </c>
      <c r="B420" s="1">
        <v>11</v>
      </c>
      <c r="C420" s="1">
        <v>2019</v>
      </c>
      <c r="G420" s="1" t="s">
        <v>38</v>
      </c>
      <c r="H420" s="2">
        <v>3.5</v>
      </c>
      <c r="I420" s="1">
        <v>9</v>
      </c>
      <c r="U420" s="1">
        <v>16</v>
      </c>
      <c r="X420" s="1">
        <v>14</v>
      </c>
      <c r="AA420" s="1">
        <v>2</v>
      </c>
      <c r="AB420" s="1">
        <v>5</v>
      </c>
      <c r="AC420" s="1">
        <v>646</v>
      </c>
      <c r="AF420" s="3">
        <v>2.5714285714285716</v>
      </c>
      <c r="AG420" s="3">
        <v>0.93470198708037999</v>
      </c>
      <c r="AH420" s="1">
        <v>6254</v>
      </c>
      <c r="AI420" s="1" t="b">
        <v>1</v>
      </c>
    </row>
    <row r="421" spans="1:35" x14ac:dyDescent="0.25">
      <c r="A421" s="1">
        <v>12</v>
      </c>
      <c r="B421" s="1">
        <v>11</v>
      </c>
      <c r="C421" s="1">
        <v>2019</v>
      </c>
      <c r="G421" s="1" t="s">
        <v>38</v>
      </c>
      <c r="H421" s="2">
        <v>5.92</v>
      </c>
      <c r="I421" s="1">
        <v>15</v>
      </c>
      <c r="U421" s="1">
        <v>29</v>
      </c>
      <c r="X421" s="1">
        <v>22</v>
      </c>
      <c r="AA421" s="1">
        <v>3</v>
      </c>
      <c r="AB421" s="1">
        <v>2</v>
      </c>
      <c r="AC421" s="1">
        <v>912</v>
      </c>
      <c r="AF421" s="3">
        <v>2.5337837837837838</v>
      </c>
      <c r="AG421" s="3">
        <v>1.3704261666579169</v>
      </c>
      <c r="AH421" s="1">
        <v>6254</v>
      </c>
      <c r="AI421" s="1" t="b">
        <v>1</v>
      </c>
    </row>
    <row r="422" spans="1:35" x14ac:dyDescent="0.25">
      <c r="A422" s="1">
        <v>12</v>
      </c>
      <c r="B422" s="1">
        <v>11</v>
      </c>
      <c r="C422" s="1">
        <v>2019</v>
      </c>
      <c r="G422" s="1" t="s">
        <v>38</v>
      </c>
      <c r="H422" s="2">
        <v>3.72</v>
      </c>
      <c r="I422" s="1">
        <v>9</v>
      </c>
      <c r="U422" s="1">
        <v>18</v>
      </c>
      <c r="X422" s="1">
        <v>13</v>
      </c>
      <c r="AA422" s="1">
        <v>2</v>
      </c>
      <c r="AB422" s="1">
        <v>3</v>
      </c>
      <c r="AC422" s="1">
        <v>642</v>
      </c>
      <c r="AF422" s="3">
        <v>2.4193548387096775</v>
      </c>
      <c r="AG422" s="3">
        <v>1.0367653840368571</v>
      </c>
      <c r="AH422" s="1">
        <v>6254</v>
      </c>
      <c r="AI422" s="1" t="b">
        <v>1</v>
      </c>
    </row>
    <row r="423" spans="1:35" x14ac:dyDescent="0.25">
      <c r="A423" s="1">
        <v>12</v>
      </c>
      <c r="B423" s="1">
        <v>11</v>
      </c>
      <c r="C423" s="1">
        <v>2019</v>
      </c>
      <c r="G423" s="1" t="s">
        <v>38</v>
      </c>
      <c r="H423" s="2">
        <v>4.84</v>
      </c>
      <c r="I423" s="1">
        <v>14</v>
      </c>
      <c r="U423" s="1">
        <v>25</v>
      </c>
      <c r="X423" s="1">
        <v>19</v>
      </c>
      <c r="AA423" s="1">
        <v>3</v>
      </c>
      <c r="AB423" s="1">
        <v>4</v>
      </c>
      <c r="AC423" s="1">
        <v>766</v>
      </c>
      <c r="AF423" s="3">
        <v>2.8925619834710745</v>
      </c>
      <c r="AG423" s="3">
        <v>1.0425792548345441</v>
      </c>
      <c r="AH423" s="1">
        <v>6254</v>
      </c>
      <c r="AI423" s="1" t="b">
        <v>1</v>
      </c>
    </row>
    <row r="424" spans="1:35" x14ac:dyDescent="0.25">
      <c r="A424" s="1">
        <v>12</v>
      </c>
      <c r="B424" s="1">
        <v>11</v>
      </c>
      <c r="C424" s="1">
        <v>2019</v>
      </c>
      <c r="G424" s="1" t="s">
        <v>38</v>
      </c>
      <c r="H424" s="2">
        <v>3.79</v>
      </c>
      <c r="I424" s="1">
        <v>12</v>
      </c>
      <c r="U424" s="1">
        <v>17</v>
      </c>
      <c r="X424" s="1">
        <v>14</v>
      </c>
      <c r="AA424" s="1">
        <v>1</v>
      </c>
      <c r="AB424" s="1">
        <v>3</v>
      </c>
      <c r="AC424" s="1">
        <v>565</v>
      </c>
      <c r="AF424" s="3">
        <v>3.1662269129287597</v>
      </c>
      <c r="AG424" s="3">
        <v>0.80261156059054628</v>
      </c>
      <c r="AH424" s="1">
        <v>6254</v>
      </c>
      <c r="AI424" s="1" t="b">
        <v>1</v>
      </c>
    </row>
    <row r="425" spans="1:35" x14ac:dyDescent="0.25">
      <c r="A425" s="1">
        <v>12</v>
      </c>
      <c r="B425" s="1">
        <v>11</v>
      </c>
      <c r="C425" s="1">
        <v>2019</v>
      </c>
      <c r="G425" s="1" t="s">
        <v>38</v>
      </c>
      <c r="H425" s="2">
        <v>3.19</v>
      </c>
      <c r="I425" s="1">
        <v>10</v>
      </c>
      <c r="U425" s="1">
        <v>13</v>
      </c>
      <c r="X425" s="1">
        <v>11</v>
      </c>
      <c r="AA425" s="1">
        <v>2</v>
      </c>
      <c r="AB425" s="1">
        <v>3</v>
      </c>
      <c r="AC425" s="1">
        <v>576</v>
      </c>
      <c r="AF425" s="3">
        <v>3.134796238244514</v>
      </c>
      <c r="AG425" s="3">
        <v>0.71852876861430892</v>
      </c>
      <c r="AH425" s="1">
        <v>6254</v>
      </c>
      <c r="AI425" s="1" t="b">
        <v>1</v>
      </c>
    </row>
    <row r="426" spans="1:35" x14ac:dyDescent="0.25">
      <c r="A426" s="1">
        <v>12</v>
      </c>
      <c r="B426" s="1">
        <v>11</v>
      </c>
      <c r="C426" s="1">
        <v>2019</v>
      </c>
      <c r="G426" s="1" t="s">
        <v>38</v>
      </c>
      <c r="H426" s="2">
        <v>3.92</v>
      </c>
      <c r="I426" s="1">
        <v>10</v>
      </c>
      <c r="U426" s="1">
        <v>18</v>
      </c>
      <c r="X426" s="1">
        <v>16</v>
      </c>
      <c r="AA426" s="1">
        <v>4</v>
      </c>
      <c r="AB426" s="1">
        <v>3</v>
      </c>
      <c r="AC426" s="1">
        <v>734</v>
      </c>
      <c r="AF426" s="3">
        <v>2.5510204081632653</v>
      </c>
      <c r="AG426" s="3">
        <v>1.0199674535165444</v>
      </c>
      <c r="AH426" s="1">
        <v>6254</v>
      </c>
      <c r="AI426" s="1" t="b">
        <v>1</v>
      </c>
    </row>
    <row r="427" spans="1:35" x14ac:dyDescent="0.25">
      <c r="A427" s="1">
        <v>12</v>
      </c>
      <c r="B427" s="1">
        <v>11</v>
      </c>
      <c r="C427" s="1">
        <v>2019</v>
      </c>
      <c r="G427" s="1" t="s">
        <v>38</v>
      </c>
      <c r="H427" s="2">
        <v>5.34</v>
      </c>
      <c r="I427" s="1">
        <v>18</v>
      </c>
      <c r="V427" s="1">
        <v>23</v>
      </c>
      <c r="X427" s="1">
        <v>21</v>
      </c>
      <c r="AA427" s="1">
        <v>2</v>
      </c>
      <c r="AB427" s="1">
        <v>2</v>
      </c>
      <c r="AC427" s="1">
        <v>591</v>
      </c>
      <c r="AF427" s="3">
        <v>3.3707865168539328</v>
      </c>
      <c r="AG427" s="3">
        <v>0.95840182458196166</v>
      </c>
      <c r="AH427" s="1">
        <v>6254</v>
      </c>
      <c r="AI427" s="1" t="b">
        <v>1</v>
      </c>
    </row>
    <row r="428" spans="1:35" x14ac:dyDescent="0.25">
      <c r="A428" s="1">
        <v>12</v>
      </c>
      <c r="B428" s="1">
        <v>11</v>
      </c>
      <c r="C428" s="1">
        <v>2019</v>
      </c>
      <c r="G428" s="1" t="s">
        <v>38</v>
      </c>
      <c r="H428" s="2">
        <v>5.51</v>
      </c>
      <c r="I428" s="1">
        <v>10</v>
      </c>
      <c r="V428" s="1">
        <v>24</v>
      </c>
      <c r="X428" s="1">
        <v>14</v>
      </c>
      <c r="AA428" s="1">
        <v>3</v>
      </c>
      <c r="AB428" s="1">
        <v>4</v>
      </c>
      <c r="AC428" s="1">
        <v>415</v>
      </c>
      <c r="AF428" s="3">
        <v>1.8148820326678767</v>
      </c>
      <c r="AG428" s="3">
        <v>1.8195237051755193</v>
      </c>
      <c r="AH428" s="1">
        <v>6254</v>
      </c>
      <c r="AI428" s="1" t="b">
        <v>1</v>
      </c>
    </row>
    <row r="429" spans="1:35" x14ac:dyDescent="0.25">
      <c r="A429" s="1">
        <v>12</v>
      </c>
      <c r="B429" s="1">
        <v>11</v>
      </c>
      <c r="C429" s="1">
        <v>2019</v>
      </c>
      <c r="G429" s="1" t="s">
        <v>38</v>
      </c>
      <c r="H429" s="2">
        <v>18.079999999999998</v>
      </c>
      <c r="I429" s="1">
        <v>15</v>
      </c>
      <c r="V429" s="1">
        <v>14</v>
      </c>
      <c r="X429" s="1">
        <v>14</v>
      </c>
      <c r="AA429" s="1">
        <v>2</v>
      </c>
      <c r="AB429" s="1">
        <v>3</v>
      </c>
      <c r="AC429" s="1">
        <v>898</v>
      </c>
      <c r="AF429" s="3">
        <v>0.82964601769911517</v>
      </c>
      <c r="AG429" s="3">
        <v>9.1442073502696548</v>
      </c>
      <c r="AH429" s="1">
        <v>6254</v>
      </c>
      <c r="AI429" s="1" t="b">
        <v>1</v>
      </c>
    </row>
    <row r="430" spans="1:35" x14ac:dyDescent="0.25">
      <c r="A430" s="1">
        <v>12</v>
      </c>
      <c r="B430" s="1">
        <v>11</v>
      </c>
      <c r="C430" s="1">
        <v>2019</v>
      </c>
      <c r="G430" s="1" t="s">
        <v>38</v>
      </c>
      <c r="H430" s="2">
        <v>12.74</v>
      </c>
      <c r="I430" s="1">
        <v>16</v>
      </c>
      <c r="V430" s="1">
        <v>13</v>
      </c>
      <c r="X430" s="1">
        <v>13</v>
      </c>
      <c r="AA430" s="1">
        <v>2</v>
      </c>
      <c r="AB430" s="1">
        <v>3</v>
      </c>
      <c r="AC430" s="1">
        <v>709</v>
      </c>
      <c r="AF430" s="3">
        <v>1.2558869701726845</v>
      </c>
      <c r="AG430" s="3">
        <v>4.7278974172299932</v>
      </c>
      <c r="AH430" s="1">
        <v>6254</v>
      </c>
      <c r="AI430" s="1" t="b">
        <v>1</v>
      </c>
    </row>
    <row r="431" spans="1:35" x14ac:dyDescent="0.25">
      <c r="A431" s="1">
        <v>12</v>
      </c>
      <c r="B431" s="1">
        <v>11</v>
      </c>
      <c r="C431" s="1">
        <v>2019</v>
      </c>
      <c r="G431" s="1" t="s">
        <v>38</v>
      </c>
      <c r="H431" s="2">
        <v>17.54</v>
      </c>
      <c r="I431" s="1">
        <v>15</v>
      </c>
      <c r="V431" s="1">
        <v>18</v>
      </c>
      <c r="X431" s="1">
        <v>18</v>
      </c>
      <c r="AA431" s="1">
        <v>3</v>
      </c>
      <c r="AB431" s="1">
        <v>3</v>
      </c>
      <c r="AC431" s="1">
        <v>898</v>
      </c>
      <c r="AF431" s="3">
        <v>0.8551881413911061</v>
      </c>
      <c r="AG431" s="3">
        <v>8.6847844150039819</v>
      </c>
      <c r="AH431" s="1">
        <v>6254</v>
      </c>
      <c r="AI431" s="1" t="b">
        <v>1</v>
      </c>
    </row>
    <row r="432" spans="1:35" x14ac:dyDescent="0.25">
      <c r="A432" s="1">
        <v>12</v>
      </c>
      <c r="B432" s="1">
        <v>11</v>
      </c>
      <c r="C432" s="1">
        <v>2019</v>
      </c>
      <c r="G432" s="1" t="s">
        <v>38</v>
      </c>
      <c r="H432" s="2">
        <v>19.329999999999998</v>
      </c>
      <c r="I432" s="1">
        <v>16</v>
      </c>
      <c r="V432" s="1">
        <v>20</v>
      </c>
      <c r="X432" s="1">
        <v>20</v>
      </c>
      <c r="AA432" s="1">
        <v>4</v>
      </c>
      <c r="AB432" s="1">
        <v>1</v>
      </c>
      <c r="AC432" s="1">
        <v>813</v>
      </c>
      <c r="AF432" s="3">
        <v>0.82772891877909993</v>
      </c>
      <c r="AG432" s="3">
        <v>9.6044869147401108</v>
      </c>
      <c r="AH432" s="1">
        <v>6254</v>
      </c>
      <c r="AI432" s="1" t="b">
        <v>1</v>
      </c>
    </row>
    <row r="433" spans="1:35" x14ac:dyDescent="0.25">
      <c r="A433" s="1">
        <v>12</v>
      </c>
      <c r="B433" s="1">
        <v>11</v>
      </c>
      <c r="C433" s="1">
        <v>2019</v>
      </c>
      <c r="G433" s="1" t="s">
        <v>38</v>
      </c>
      <c r="H433" s="2">
        <v>13.4</v>
      </c>
      <c r="I433" s="1">
        <v>13</v>
      </c>
      <c r="V433" s="1">
        <v>16</v>
      </c>
      <c r="X433" s="1">
        <v>16</v>
      </c>
      <c r="AA433" s="1">
        <v>3</v>
      </c>
      <c r="AB433" s="1">
        <v>3</v>
      </c>
      <c r="AC433" s="1">
        <v>936</v>
      </c>
      <c r="AF433" s="3">
        <v>0.97014925373134331</v>
      </c>
      <c r="AG433" s="3">
        <v>6.3406649481753572</v>
      </c>
      <c r="AH433" s="1">
        <v>6254</v>
      </c>
      <c r="AI433" s="1" t="b">
        <v>1</v>
      </c>
    </row>
    <row r="434" spans="1:35" x14ac:dyDescent="0.25">
      <c r="A434" s="1">
        <v>12</v>
      </c>
      <c r="B434" s="1">
        <v>11</v>
      </c>
      <c r="C434" s="1">
        <v>2019</v>
      </c>
      <c r="G434" s="1" t="s">
        <v>38</v>
      </c>
      <c r="H434" s="2">
        <v>7.76</v>
      </c>
      <c r="I434" s="1">
        <v>8</v>
      </c>
      <c r="U434" s="1">
        <v>8</v>
      </c>
      <c r="X434" s="1">
        <v>8</v>
      </c>
      <c r="AA434" s="1">
        <v>1</v>
      </c>
      <c r="AB434" s="1">
        <v>3</v>
      </c>
      <c r="AC434" s="1">
        <v>443</v>
      </c>
      <c r="AF434" s="3">
        <v>1.0309278350515465</v>
      </c>
      <c r="AG434" s="3">
        <v>4.0707547578534022</v>
      </c>
      <c r="AH434" s="1">
        <v>6254</v>
      </c>
      <c r="AI434" s="1" t="b">
        <v>1</v>
      </c>
    </row>
    <row r="435" spans="1:35" x14ac:dyDescent="0.25">
      <c r="A435" s="1">
        <v>12</v>
      </c>
      <c r="B435" s="1">
        <v>11</v>
      </c>
      <c r="C435" s="1">
        <v>2019</v>
      </c>
      <c r="G435" s="1" t="s">
        <v>38</v>
      </c>
      <c r="H435" s="2">
        <v>27.8</v>
      </c>
      <c r="I435" s="1">
        <v>32</v>
      </c>
      <c r="V435" s="1">
        <v>26</v>
      </c>
      <c r="X435" s="1">
        <v>26</v>
      </c>
      <c r="AA435" s="1">
        <v>2</v>
      </c>
      <c r="AB435" s="1">
        <v>1</v>
      </c>
      <c r="AC435" s="1">
        <v>1270</v>
      </c>
      <c r="AF435" s="3">
        <v>1.1510791366906474</v>
      </c>
      <c r="AG435" s="3">
        <v>8.9068917622124424</v>
      </c>
      <c r="AH435" s="1">
        <v>6254</v>
      </c>
      <c r="AI435" s="1" t="b">
        <v>1</v>
      </c>
    </row>
    <row r="436" spans="1:35" x14ac:dyDescent="0.25">
      <c r="A436" s="1">
        <v>12</v>
      </c>
      <c r="B436" s="1">
        <v>11</v>
      </c>
      <c r="C436" s="1">
        <v>2019</v>
      </c>
      <c r="G436" s="1" t="s">
        <v>38</v>
      </c>
      <c r="H436" s="2">
        <v>16.73</v>
      </c>
      <c r="I436" s="1">
        <v>15</v>
      </c>
      <c r="V436" s="1">
        <v>16</v>
      </c>
      <c r="X436" s="1">
        <v>16</v>
      </c>
      <c r="AA436" s="1">
        <v>2</v>
      </c>
      <c r="AB436" s="1">
        <v>2</v>
      </c>
      <c r="AC436" s="1">
        <v>935</v>
      </c>
      <c r="AF436" s="3">
        <v>0.89659294680215185</v>
      </c>
      <c r="AG436" s="3">
        <v>8.0140461782570469</v>
      </c>
      <c r="AH436" s="1">
        <v>6254</v>
      </c>
      <c r="AI436" s="1" t="b">
        <v>1</v>
      </c>
    </row>
    <row r="437" spans="1:35" x14ac:dyDescent="0.25">
      <c r="A437" s="1">
        <v>12</v>
      </c>
      <c r="B437" s="1">
        <v>11</v>
      </c>
      <c r="C437" s="1">
        <v>2019</v>
      </c>
      <c r="G437" s="1" t="s">
        <v>38</v>
      </c>
      <c r="H437" s="2">
        <v>10.87</v>
      </c>
      <c r="I437" s="1">
        <v>15</v>
      </c>
      <c r="V437" s="1">
        <v>17</v>
      </c>
      <c r="X437" s="1">
        <v>17</v>
      </c>
      <c r="AA437" s="1">
        <v>3</v>
      </c>
      <c r="AB437" s="1">
        <v>3</v>
      </c>
      <c r="AC437" s="1">
        <v>589</v>
      </c>
      <c r="AF437" s="3">
        <v>1.3799448022079117</v>
      </c>
      <c r="AG437" s="3">
        <v>3.8503389786409792</v>
      </c>
      <c r="AH437" s="1">
        <v>6254</v>
      </c>
      <c r="AI437" s="1" t="b">
        <v>1</v>
      </c>
    </row>
    <row r="438" spans="1:35" x14ac:dyDescent="0.25">
      <c r="A438" s="1">
        <v>12</v>
      </c>
      <c r="B438" s="1">
        <v>11</v>
      </c>
      <c r="C438" s="1">
        <v>2019</v>
      </c>
      <c r="G438" s="1" t="s">
        <v>38</v>
      </c>
      <c r="H438" s="2">
        <v>8.14</v>
      </c>
      <c r="I438" s="1">
        <v>10</v>
      </c>
      <c r="V438" s="1">
        <v>11</v>
      </c>
      <c r="X438" s="1">
        <v>11</v>
      </c>
      <c r="AA438" s="1">
        <v>3</v>
      </c>
      <c r="AB438" s="1">
        <v>2</v>
      </c>
      <c r="AC438" s="1">
        <v>533</v>
      </c>
      <c r="AF438" s="3">
        <v>1.2285012285012284</v>
      </c>
      <c r="AG438" s="3">
        <v>3.5323317773617831</v>
      </c>
      <c r="AH438" s="1">
        <v>6254</v>
      </c>
      <c r="AI438" s="1" t="b">
        <v>1</v>
      </c>
    </row>
    <row r="439" spans="1:35" x14ac:dyDescent="0.25">
      <c r="A439" s="1">
        <v>12</v>
      </c>
      <c r="B439" s="1">
        <v>11</v>
      </c>
      <c r="C439" s="1">
        <v>2019</v>
      </c>
      <c r="G439" s="1" t="s">
        <v>38</v>
      </c>
      <c r="H439" s="2">
        <v>6.65</v>
      </c>
      <c r="I439" s="1">
        <v>14</v>
      </c>
      <c r="U439" s="1">
        <v>25</v>
      </c>
      <c r="X439" s="1">
        <v>20</v>
      </c>
      <c r="AA439" s="1">
        <v>3</v>
      </c>
      <c r="AB439" s="1">
        <v>5</v>
      </c>
      <c r="AC439" s="1">
        <v>821</v>
      </c>
      <c r="AF439" s="3">
        <v>2.1052631578947367</v>
      </c>
      <c r="AG439" s="3">
        <v>1.7892406703082906</v>
      </c>
      <c r="AH439" s="1">
        <v>6254</v>
      </c>
      <c r="AI439" s="1" t="b">
        <v>1</v>
      </c>
    </row>
    <row r="440" spans="1:35" x14ac:dyDescent="0.25">
      <c r="A440" s="1">
        <v>12</v>
      </c>
      <c r="B440" s="1">
        <v>11</v>
      </c>
      <c r="C440" s="1">
        <v>2019</v>
      </c>
      <c r="G440" s="1" t="s">
        <v>38</v>
      </c>
      <c r="H440" s="2">
        <v>1.86</v>
      </c>
      <c r="I440" s="1">
        <v>3</v>
      </c>
      <c r="U440" s="1">
        <v>5</v>
      </c>
      <c r="X440" s="1">
        <v>3</v>
      </c>
      <c r="AA440" s="1">
        <v>1</v>
      </c>
      <c r="AB440" s="1">
        <v>2</v>
      </c>
      <c r="AC440" s="1">
        <v>331</v>
      </c>
      <c r="AF440" s="3">
        <v>1.6129032258064515</v>
      </c>
      <c r="AG440" s="3">
        <v>0.95730593287977994</v>
      </c>
      <c r="AH440" s="1">
        <v>6254</v>
      </c>
      <c r="AI440" s="1" t="b">
        <v>1</v>
      </c>
    </row>
    <row r="441" spans="1:35" x14ac:dyDescent="0.25">
      <c r="A441" s="1">
        <v>13</v>
      </c>
      <c r="B441" s="1">
        <v>11</v>
      </c>
      <c r="C441" s="1">
        <v>2019</v>
      </c>
      <c r="G441" s="1" t="s">
        <v>38</v>
      </c>
      <c r="H441" s="2">
        <v>5.3</v>
      </c>
      <c r="I441" s="1">
        <v>12</v>
      </c>
      <c r="U441" s="1">
        <v>18</v>
      </c>
      <c r="X441" s="1">
        <v>15</v>
      </c>
      <c r="AA441" s="1">
        <v>1</v>
      </c>
      <c r="AB441" s="1">
        <v>3</v>
      </c>
      <c r="AC441" s="1">
        <v>765</v>
      </c>
      <c r="AF441" s="3">
        <v>2.2641509433962264</v>
      </c>
      <c r="AG441" s="3">
        <v>1.4193442159112042</v>
      </c>
      <c r="AH441" s="1">
        <v>6254</v>
      </c>
      <c r="AI441" s="1" t="b">
        <v>1</v>
      </c>
    </row>
    <row r="442" spans="1:35" x14ac:dyDescent="0.25">
      <c r="A442" s="1">
        <v>13</v>
      </c>
      <c r="B442" s="1">
        <v>11</v>
      </c>
      <c r="C442" s="1">
        <v>2019</v>
      </c>
      <c r="G442" s="1" t="s">
        <v>38</v>
      </c>
      <c r="H442" s="2">
        <v>4.9000000000000004</v>
      </c>
      <c r="I442" s="1">
        <v>12</v>
      </c>
      <c r="U442" s="1">
        <v>17</v>
      </c>
      <c r="X442" s="1">
        <v>14</v>
      </c>
      <c r="AA442" s="1">
        <v>2</v>
      </c>
      <c r="AB442" s="1">
        <v>3</v>
      </c>
      <c r="AC442" s="1">
        <v>685</v>
      </c>
      <c r="AF442" s="3">
        <v>2.4489795918367343</v>
      </c>
      <c r="AG442" s="3">
        <v>1.2420872105871614</v>
      </c>
      <c r="AH442" s="1">
        <v>6254</v>
      </c>
      <c r="AI442" s="1" t="b">
        <v>1</v>
      </c>
    </row>
    <row r="443" spans="1:35" x14ac:dyDescent="0.25">
      <c r="A443" s="1">
        <v>13</v>
      </c>
      <c r="B443" s="1">
        <v>11</v>
      </c>
      <c r="C443" s="1">
        <v>2019</v>
      </c>
      <c r="G443" s="1" t="s">
        <v>38</v>
      </c>
      <c r="H443" s="2">
        <v>5.21</v>
      </c>
      <c r="I443" s="1">
        <v>16</v>
      </c>
      <c r="U443" s="1">
        <v>24</v>
      </c>
      <c r="X443" s="1">
        <v>20</v>
      </c>
      <c r="AA443" s="1">
        <v>3</v>
      </c>
      <c r="AB443" s="1">
        <v>3</v>
      </c>
      <c r="AC443" s="1">
        <v>905</v>
      </c>
      <c r="AF443" s="3">
        <v>3.0710172744721689</v>
      </c>
      <c r="AG443" s="3">
        <v>1.0339609739315934</v>
      </c>
      <c r="AH443" s="1">
        <v>6254</v>
      </c>
      <c r="AI443" s="1" t="b">
        <v>1</v>
      </c>
    </row>
    <row r="444" spans="1:35" x14ac:dyDescent="0.25">
      <c r="A444" s="1">
        <v>13</v>
      </c>
      <c r="B444" s="1">
        <v>11</v>
      </c>
      <c r="C444" s="1">
        <v>2019</v>
      </c>
      <c r="G444" s="1" t="s">
        <v>38</v>
      </c>
      <c r="H444" s="2">
        <v>6.44</v>
      </c>
      <c r="I444" s="1">
        <v>26</v>
      </c>
      <c r="U444" s="1">
        <v>35</v>
      </c>
      <c r="X444" s="1">
        <v>28</v>
      </c>
      <c r="AA444" s="1">
        <v>2</v>
      </c>
      <c r="AB444" s="1">
        <v>2</v>
      </c>
      <c r="AC444" s="1">
        <v>1078</v>
      </c>
      <c r="AF444" s="3">
        <v>4.037267080745341</v>
      </c>
      <c r="AG444" s="3">
        <v>0.91228939531024511</v>
      </c>
      <c r="AH444" s="1">
        <v>6254</v>
      </c>
      <c r="AI444" s="1" t="b">
        <v>1</v>
      </c>
    </row>
    <row r="445" spans="1:35" x14ac:dyDescent="0.25">
      <c r="A445" s="1">
        <v>13</v>
      </c>
      <c r="B445" s="1">
        <v>11</v>
      </c>
      <c r="C445" s="1">
        <v>2019</v>
      </c>
      <c r="G445" s="1" t="s">
        <v>38</v>
      </c>
      <c r="H445" s="2">
        <v>4.8099999999999996</v>
      </c>
      <c r="I445" s="1">
        <v>10</v>
      </c>
      <c r="U445" s="1">
        <v>23</v>
      </c>
      <c r="X445" s="1">
        <v>17</v>
      </c>
      <c r="AA445" s="1">
        <v>3</v>
      </c>
      <c r="AB445" s="1">
        <v>3</v>
      </c>
      <c r="AC445" s="1">
        <v>821</v>
      </c>
      <c r="AF445" s="3">
        <v>2.0790020790020791</v>
      </c>
      <c r="AG445" s="3">
        <v>1.4442641455256886</v>
      </c>
      <c r="AH445" s="1">
        <v>6254</v>
      </c>
      <c r="AI445" s="1" t="b">
        <v>1</v>
      </c>
    </row>
    <row r="446" spans="1:35" x14ac:dyDescent="0.25">
      <c r="A446" s="1">
        <v>13</v>
      </c>
      <c r="B446" s="1">
        <v>11</v>
      </c>
      <c r="C446" s="1">
        <v>2019</v>
      </c>
      <c r="G446" s="1" t="s">
        <v>38</v>
      </c>
      <c r="H446" s="2">
        <v>8.1</v>
      </c>
      <c r="I446" s="1">
        <v>22</v>
      </c>
      <c r="U446" s="1">
        <v>32</v>
      </c>
      <c r="X446" s="1">
        <v>27</v>
      </c>
      <c r="AA446" s="1">
        <v>3</v>
      </c>
      <c r="AB446" s="1">
        <v>3</v>
      </c>
      <c r="AC446" s="1">
        <v>1564</v>
      </c>
      <c r="AF446" s="3">
        <v>2.7160493827160495</v>
      </c>
      <c r="AG446" s="3">
        <v>1.5922155141899454</v>
      </c>
      <c r="AH446" s="1">
        <v>6254</v>
      </c>
      <c r="AI446" s="1" t="b">
        <v>1</v>
      </c>
    </row>
    <row r="447" spans="1:35" x14ac:dyDescent="0.25">
      <c r="A447" s="1">
        <v>13</v>
      </c>
      <c r="B447" s="1">
        <v>11</v>
      </c>
      <c r="C447" s="1">
        <v>2019</v>
      </c>
      <c r="G447" s="1" t="s">
        <v>38</v>
      </c>
      <c r="H447" s="2">
        <v>4.41</v>
      </c>
      <c r="I447" s="1">
        <v>18</v>
      </c>
      <c r="U447" s="1">
        <v>20</v>
      </c>
      <c r="X447" s="1">
        <v>18</v>
      </c>
      <c r="AA447" s="1">
        <v>1</v>
      </c>
      <c r="AB447" s="1">
        <v>1</v>
      </c>
      <c r="AC447" s="1">
        <v>649</v>
      </c>
      <c r="AF447" s="3">
        <v>4.0816326530612246</v>
      </c>
      <c r="AG447" s="3">
        <v>0.69226615115262069</v>
      </c>
      <c r="AH447" s="1">
        <v>6254</v>
      </c>
      <c r="AI447" s="1" t="b">
        <v>1</v>
      </c>
    </row>
    <row r="448" spans="1:35" x14ac:dyDescent="0.25">
      <c r="A448" s="1">
        <v>13</v>
      </c>
      <c r="B448" s="1">
        <v>11</v>
      </c>
      <c r="C448" s="1">
        <v>2019</v>
      </c>
      <c r="G448" s="1" t="s">
        <v>38</v>
      </c>
      <c r="H448" s="2">
        <v>3.81</v>
      </c>
      <c r="I448" s="1">
        <v>10</v>
      </c>
      <c r="U448" s="1">
        <v>16</v>
      </c>
      <c r="X448" s="1">
        <v>14</v>
      </c>
      <c r="AA448" s="1">
        <v>3</v>
      </c>
      <c r="AB448" s="1">
        <v>4</v>
      </c>
      <c r="AC448" s="1">
        <v>595</v>
      </c>
      <c r="AF448" s="3">
        <v>2.6246719160104988</v>
      </c>
      <c r="AG448" s="3">
        <v>0.97179007365005687</v>
      </c>
      <c r="AH448" s="1">
        <v>6254</v>
      </c>
      <c r="AI448" s="1" t="b">
        <v>1</v>
      </c>
    </row>
    <row r="449" spans="1:35" x14ac:dyDescent="0.25">
      <c r="A449" s="1">
        <v>13</v>
      </c>
      <c r="B449" s="1">
        <v>11</v>
      </c>
      <c r="C449" s="1">
        <v>2019</v>
      </c>
      <c r="G449" s="1" t="s">
        <v>38</v>
      </c>
      <c r="H449" s="2">
        <v>3.14</v>
      </c>
      <c r="I449" s="1">
        <v>7</v>
      </c>
      <c r="U449" s="1">
        <v>15</v>
      </c>
      <c r="X449" s="1">
        <v>11</v>
      </c>
      <c r="AA449" s="1">
        <v>2</v>
      </c>
      <c r="AB449" s="1">
        <v>5</v>
      </c>
      <c r="AC449" s="1">
        <v>566</v>
      </c>
      <c r="AF449" s="3">
        <v>2.2292993630573248</v>
      </c>
      <c r="AG449" s="3">
        <v>0.99926887820884136</v>
      </c>
      <c r="AH449" s="1">
        <v>6254</v>
      </c>
      <c r="AI449" s="1" t="b">
        <v>1</v>
      </c>
    </row>
    <row r="450" spans="1:35" x14ac:dyDescent="0.25">
      <c r="A450" s="1">
        <v>13</v>
      </c>
      <c r="B450" s="1">
        <v>11</v>
      </c>
      <c r="C450" s="1">
        <v>2019</v>
      </c>
      <c r="G450" s="1" t="s">
        <v>38</v>
      </c>
      <c r="H450" s="2">
        <v>4.6900000000000004</v>
      </c>
      <c r="I450" s="1">
        <v>15</v>
      </c>
      <c r="U450" s="1">
        <v>18</v>
      </c>
      <c r="X450" s="1">
        <v>16</v>
      </c>
      <c r="AA450" s="1">
        <v>1</v>
      </c>
      <c r="AB450" s="1">
        <v>3</v>
      </c>
      <c r="AC450" s="1">
        <v>898</v>
      </c>
      <c r="AF450" s="3">
        <v>3.1982942430703623</v>
      </c>
      <c r="AG450" s="3">
        <v>0.92236448745716393</v>
      </c>
      <c r="AH450" s="1">
        <v>6254</v>
      </c>
      <c r="AI450" s="1" t="b">
        <v>1</v>
      </c>
    </row>
    <row r="451" spans="1:35" x14ac:dyDescent="0.25">
      <c r="A451" s="1">
        <v>13</v>
      </c>
      <c r="B451" s="1">
        <v>11</v>
      </c>
      <c r="C451" s="1">
        <v>2019</v>
      </c>
      <c r="G451" s="1" t="s">
        <v>38</v>
      </c>
      <c r="H451" s="2">
        <v>5.3</v>
      </c>
      <c r="I451" s="1">
        <v>14</v>
      </c>
      <c r="U451" s="1">
        <v>21</v>
      </c>
      <c r="X451" s="1">
        <v>18</v>
      </c>
      <c r="AA451" s="1">
        <v>2</v>
      </c>
      <c r="AB451" s="1">
        <v>4</v>
      </c>
      <c r="AC451" s="1">
        <v>895</v>
      </c>
      <c r="AF451" s="3">
        <v>2.6415094339622645</v>
      </c>
      <c r="AG451" s="3">
        <v>1.2165807564953179</v>
      </c>
      <c r="AH451" s="1">
        <v>6254</v>
      </c>
      <c r="AI451" s="1" t="b">
        <v>1</v>
      </c>
    </row>
    <row r="452" spans="1:35" x14ac:dyDescent="0.25">
      <c r="A452" s="1">
        <v>14</v>
      </c>
      <c r="B452" s="1">
        <v>11</v>
      </c>
      <c r="C452" s="1">
        <v>2019</v>
      </c>
      <c r="G452" s="1" t="s">
        <v>38</v>
      </c>
      <c r="H452" s="2">
        <v>9.4600000000000009</v>
      </c>
      <c r="I452" s="1">
        <v>15</v>
      </c>
      <c r="U452" s="1">
        <v>25</v>
      </c>
      <c r="X452" s="1">
        <v>21</v>
      </c>
      <c r="AA452" s="1">
        <v>4</v>
      </c>
      <c r="AB452" s="1">
        <v>1</v>
      </c>
      <c r="AC452" s="1">
        <v>883</v>
      </c>
      <c r="AF452" s="3">
        <v>1.5856236786469342</v>
      </c>
      <c r="AG452" s="3">
        <v>3.0403506376717706</v>
      </c>
      <c r="AH452" s="1">
        <v>6254</v>
      </c>
      <c r="AI452" s="1" t="b">
        <v>1</v>
      </c>
    </row>
    <row r="453" spans="1:35" x14ac:dyDescent="0.25">
      <c r="A453" s="1">
        <v>15</v>
      </c>
      <c r="B453" s="1">
        <v>11</v>
      </c>
      <c r="C453" s="1">
        <v>2019</v>
      </c>
      <c r="G453" s="1" t="s">
        <v>38</v>
      </c>
      <c r="H453" s="2">
        <v>4.33</v>
      </c>
      <c r="I453" s="1">
        <v>13</v>
      </c>
      <c r="U453" s="1">
        <v>17</v>
      </c>
      <c r="X453" s="1">
        <v>16</v>
      </c>
      <c r="AA453" s="1">
        <v>2</v>
      </c>
      <c r="AB453" s="1">
        <v>2</v>
      </c>
      <c r="AC453" s="1">
        <v>579</v>
      </c>
      <c r="AF453" s="3">
        <v>3.0023094688221708</v>
      </c>
      <c r="AG453" s="3">
        <v>0.9291505140295393</v>
      </c>
      <c r="AH453" s="1">
        <v>6254</v>
      </c>
      <c r="AI453" s="1" t="b">
        <v>1</v>
      </c>
    </row>
    <row r="454" spans="1:35" x14ac:dyDescent="0.25">
      <c r="A454" s="1">
        <v>15</v>
      </c>
      <c r="B454" s="1">
        <v>11</v>
      </c>
      <c r="C454" s="1">
        <v>2019</v>
      </c>
      <c r="G454" s="1" t="s">
        <v>38</v>
      </c>
      <c r="H454" s="2">
        <v>6.94</v>
      </c>
      <c r="I454" s="1">
        <v>27</v>
      </c>
      <c r="U454" s="1">
        <v>37</v>
      </c>
      <c r="X454" s="1">
        <v>32</v>
      </c>
      <c r="AA454" s="1">
        <v>2</v>
      </c>
      <c r="AB454" s="1">
        <v>2</v>
      </c>
      <c r="AC454" s="1">
        <v>1061</v>
      </c>
      <c r="AF454" s="3">
        <v>3.8904899135446684</v>
      </c>
      <c r="AG454" s="3">
        <v>0.997579085828319</v>
      </c>
      <c r="AH454" s="1">
        <v>6254</v>
      </c>
      <c r="AI454" s="1" t="b">
        <v>1</v>
      </c>
    </row>
    <row r="455" spans="1:35" x14ac:dyDescent="0.25">
      <c r="A455" s="1">
        <v>15</v>
      </c>
      <c r="B455" s="1">
        <v>11</v>
      </c>
      <c r="C455" s="1">
        <v>2019</v>
      </c>
      <c r="G455" s="1" t="s">
        <v>38</v>
      </c>
      <c r="H455" s="2">
        <v>7.38</v>
      </c>
      <c r="I455" s="1">
        <v>23</v>
      </c>
      <c r="U455" s="1">
        <v>37</v>
      </c>
      <c r="X455" s="1">
        <v>30</v>
      </c>
      <c r="AA455" s="1">
        <v>4</v>
      </c>
      <c r="AB455" s="1">
        <v>2</v>
      </c>
      <c r="AC455" s="1">
        <v>1132</v>
      </c>
      <c r="AF455" s="3">
        <v>3.116531165311653</v>
      </c>
      <c r="AG455" s="3">
        <v>1.3000737189078337</v>
      </c>
      <c r="AH455" s="1">
        <v>6254</v>
      </c>
      <c r="AI455" s="1" t="b">
        <v>1</v>
      </c>
    </row>
    <row r="456" spans="1:35" x14ac:dyDescent="0.25">
      <c r="A456" s="1">
        <v>15</v>
      </c>
      <c r="B456" s="1">
        <v>11</v>
      </c>
      <c r="C456" s="1">
        <v>2019</v>
      </c>
      <c r="G456" s="1" t="s">
        <v>38</v>
      </c>
      <c r="H456" s="2">
        <v>5.89</v>
      </c>
      <c r="I456" s="1">
        <v>21</v>
      </c>
      <c r="U456" s="1">
        <v>25</v>
      </c>
      <c r="X456" s="1">
        <v>23</v>
      </c>
      <c r="AA456" s="1">
        <v>1</v>
      </c>
      <c r="AB456" s="1">
        <v>3</v>
      </c>
      <c r="AC456" s="1">
        <v>839</v>
      </c>
      <c r="AF456" s="3">
        <v>3.5653650254668934</v>
      </c>
      <c r="AG456" s="3">
        <v>0.9704579148671264</v>
      </c>
      <c r="AH456" s="1">
        <v>6254</v>
      </c>
      <c r="AI456" s="1" t="b">
        <v>1</v>
      </c>
    </row>
    <row r="457" spans="1:35" x14ac:dyDescent="0.25">
      <c r="A457" s="1">
        <v>15</v>
      </c>
      <c r="B457" s="1">
        <v>11</v>
      </c>
      <c r="C457" s="1">
        <v>2019</v>
      </c>
      <c r="G457" s="1" t="s">
        <v>38</v>
      </c>
      <c r="H457" s="2">
        <v>7.36</v>
      </c>
      <c r="I457" s="1">
        <v>22</v>
      </c>
      <c r="U457" s="1">
        <v>30</v>
      </c>
      <c r="X457" s="1">
        <v>27</v>
      </c>
      <c r="AA457" s="1">
        <v>2</v>
      </c>
      <c r="AB457" s="1">
        <v>1</v>
      </c>
      <c r="AC457" s="1">
        <v>1019</v>
      </c>
      <c r="AF457" s="3">
        <v>2.9891304347826084</v>
      </c>
      <c r="AG457" s="3">
        <v>1.3529121703018794</v>
      </c>
      <c r="AH457" s="1">
        <v>6254</v>
      </c>
      <c r="AI457" s="1" t="b">
        <v>1</v>
      </c>
    </row>
    <row r="458" spans="1:35" x14ac:dyDescent="0.25">
      <c r="A458" s="1">
        <v>15</v>
      </c>
      <c r="B458" s="1">
        <v>11</v>
      </c>
      <c r="C458" s="1">
        <v>2019</v>
      </c>
      <c r="G458" s="1" t="s">
        <v>38</v>
      </c>
      <c r="H458" s="2">
        <v>6.62</v>
      </c>
      <c r="I458" s="1">
        <v>22</v>
      </c>
      <c r="U458" s="1">
        <v>28</v>
      </c>
      <c r="X458" s="1">
        <v>25</v>
      </c>
      <c r="AA458" s="1">
        <v>2</v>
      </c>
      <c r="AB458" s="1">
        <v>1</v>
      </c>
      <c r="AC458" s="1">
        <v>912</v>
      </c>
      <c r="AF458" s="3">
        <v>3.3232628398791539</v>
      </c>
      <c r="AG458" s="3">
        <v>1.1298893138199118</v>
      </c>
      <c r="AH458" s="1">
        <v>6254</v>
      </c>
      <c r="AI458" s="1" t="b">
        <v>1</v>
      </c>
    </row>
    <row r="459" spans="1:35" x14ac:dyDescent="0.25">
      <c r="A459" s="1">
        <v>15</v>
      </c>
      <c r="B459" s="1">
        <v>11</v>
      </c>
      <c r="C459" s="1">
        <v>2019</v>
      </c>
      <c r="G459" s="1" t="s">
        <v>38</v>
      </c>
      <c r="H459" s="2">
        <v>4.5199999999999996</v>
      </c>
      <c r="I459" s="1">
        <v>9</v>
      </c>
      <c r="U459" s="1">
        <v>21</v>
      </c>
      <c r="X459" s="1">
        <v>14</v>
      </c>
      <c r="AA459" s="1">
        <v>4</v>
      </c>
      <c r="AB459" s="1">
        <v>4</v>
      </c>
      <c r="AC459" s="1">
        <v>777</v>
      </c>
      <c r="AF459" s="3">
        <v>1.9911504424778763</v>
      </c>
      <c r="AG459" s="3">
        <v>1.4437527675426944</v>
      </c>
      <c r="AH459" s="1">
        <v>6254</v>
      </c>
      <c r="AI459" s="1" t="b">
        <v>1</v>
      </c>
    </row>
    <row r="460" spans="1:35" x14ac:dyDescent="0.25">
      <c r="A460" s="1">
        <v>15</v>
      </c>
      <c r="B460" s="1">
        <v>11</v>
      </c>
      <c r="C460" s="1">
        <v>2019</v>
      </c>
      <c r="G460" s="1" t="s">
        <v>38</v>
      </c>
      <c r="H460" s="2">
        <v>5.77</v>
      </c>
      <c r="I460" s="1">
        <v>21</v>
      </c>
      <c r="U460" s="1">
        <v>28</v>
      </c>
      <c r="X460" s="1">
        <v>25</v>
      </c>
      <c r="AA460" s="1">
        <v>2</v>
      </c>
      <c r="AB460" s="1">
        <v>2</v>
      </c>
      <c r="AC460" s="1">
        <v>935</v>
      </c>
      <c r="AF460" s="3">
        <v>3.6395147313691512</v>
      </c>
      <c r="AG460" s="3">
        <v>0.93708629783611197</v>
      </c>
      <c r="AH460" s="1">
        <v>6254</v>
      </c>
      <c r="AI460" s="1" t="b">
        <v>1</v>
      </c>
    </row>
    <row r="461" spans="1:35" x14ac:dyDescent="0.25">
      <c r="A461" s="1">
        <v>17</v>
      </c>
      <c r="B461" s="1">
        <v>11</v>
      </c>
      <c r="C461" s="1">
        <v>2019</v>
      </c>
      <c r="G461" s="1" t="s">
        <v>38</v>
      </c>
      <c r="H461" s="2">
        <v>5.0199999999999996</v>
      </c>
      <c r="I461" s="1">
        <v>10</v>
      </c>
      <c r="U461" s="1">
        <v>25</v>
      </c>
      <c r="X461" s="1">
        <v>18</v>
      </c>
      <c r="AA461" s="1">
        <v>3</v>
      </c>
      <c r="AB461" s="1">
        <v>3</v>
      </c>
      <c r="AC461" s="1">
        <v>760</v>
      </c>
      <c r="AF461" s="3">
        <v>1.9920318725099604</v>
      </c>
      <c r="AG461" s="3">
        <v>1.5530889120056568</v>
      </c>
      <c r="AH461" s="1">
        <v>6254</v>
      </c>
      <c r="AI461" s="1" t="b">
        <v>1</v>
      </c>
    </row>
    <row r="462" spans="1:35" x14ac:dyDescent="0.25">
      <c r="A462" s="1">
        <v>17</v>
      </c>
      <c r="B462" s="1">
        <v>11</v>
      </c>
      <c r="C462" s="1">
        <v>2019</v>
      </c>
      <c r="G462" s="1" t="s">
        <v>38</v>
      </c>
      <c r="H462" s="2">
        <v>9.7799999999999994</v>
      </c>
      <c r="I462" s="1">
        <v>25</v>
      </c>
      <c r="U462" s="1">
        <v>38</v>
      </c>
      <c r="X462" s="1">
        <v>33</v>
      </c>
      <c r="AA462" s="1">
        <v>4</v>
      </c>
      <c r="AB462" s="1">
        <v>2</v>
      </c>
      <c r="AC462" s="1">
        <v>1290</v>
      </c>
      <c r="AF462" s="3">
        <v>2.556237218813906</v>
      </c>
      <c r="AG462" s="3">
        <v>1.9303499312517183</v>
      </c>
      <c r="AH462" s="1">
        <v>6254</v>
      </c>
      <c r="AI462" s="1" t="b">
        <v>1</v>
      </c>
    </row>
    <row r="463" spans="1:35" x14ac:dyDescent="0.25">
      <c r="A463" s="1">
        <v>17</v>
      </c>
      <c r="B463" s="1">
        <v>11</v>
      </c>
      <c r="C463" s="1">
        <v>2019</v>
      </c>
      <c r="G463" s="1" t="s">
        <v>38</v>
      </c>
      <c r="H463" s="2">
        <v>5.61</v>
      </c>
      <c r="I463" s="1">
        <v>21</v>
      </c>
      <c r="V463" s="1">
        <v>27</v>
      </c>
      <c r="X463" s="1">
        <v>20</v>
      </c>
      <c r="AA463" s="1">
        <v>1</v>
      </c>
      <c r="AB463" s="1">
        <v>1</v>
      </c>
      <c r="AC463" s="1">
        <v>781</v>
      </c>
      <c r="AF463" s="3">
        <v>3.7433155080213902</v>
      </c>
      <c r="AG463" s="3">
        <v>0.89334162317526644</v>
      </c>
      <c r="AH463" s="1">
        <v>6254</v>
      </c>
      <c r="AI463" s="1" t="b">
        <v>1</v>
      </c>
    </row>
    <row r="464" spans="1:35" x14ac:dyDescent="0.25">
      <c r="A464" s="1">
        <v>17</v>
      </c>
      <c r="B464" s="1">
        <v>11</v>
      </c>
      <c r="C464" s="1">
        <v>2019</v>
      </c>
      <c r="G464" s="1" t="s">
        <v>38</v>
      </c>
      <c r="H464" s="2">
        <v>6.92</v>
      </c>
      <c r="I464" s="1">
        <v>15</v>
      </c>
      <c r="V464" s="1">
        <v>31</v>
      </c>
      <c r="X464" s="1">
        <v>21</v>
      </c>
      <c r="AA464" s="1">
        <v>4</v>
      </c>
      <c r="AB464" s="1">
        <v>3</v>
      </c>
      <c r="AC464" s="1">
        <v>940</v>
      </c>
      <c r="AF464" s="3">
        <v>2.1676300578034682</v>
      </c>
      <c r="AG464" s="3">
        <v>1.7868541350927045</v>
      </c>
      <c r="AH464" s="1">
        <v>6254</v>
      </c>
      <c r="AI464" s="1" t="b">
        <v>1</v>
      </c>
    </row>
    <row r="465" spans="1:35" x14ac:dyDescent="0.25">
      <c r="A465" s="1">
        <v>17</v>
      </c>
      <c r="B465" s="1">
        <v>11</v>
      </c>
      <c r="C465" s="1">
        <v>2019</v>
      </c>
      <c r="G465" s="1" t="s">
        <v>38</v>
      </c>
      <c r="H465" s="2">
        <v>6.13</v>
      </c>
      <c r="I465" s="1">
        <v>15</v>
      </c>
      <c r="V465" s="1">
        <v>26</v>
      </c>
      <c r="X465" s="1">
        <v>22</v>
      </c>
      <c r="AA465" s="1">
        <v>4</v>
      </c>
      <c r="AB465" s="1">
        <v>5</v>
      </c>
      <c r="AC465" s="1">
        <v>924</v>
      </c>
      <c r="AF465" s="3">
        <v>2.4469820554649266</v>
      </c>
      <c r="AG465" s="3">
        <v>1.4540908701307003</v>
      </c>
      <c r="AH465" s="1">
        <v>6254</v>
      </c>
      <c r="AI465" s="1" t="b">
        <v>1</v>
      </c>
    </row>
    <row r="466" spans="1:35" x14ac:dyDescent="0.25">
      <c r="A466" s="1">
        <v>17</v>
      </c>
      <c r="B466" s="1">
        <v>11</v>
      </c>
      <c r="C466" s="1">
        <v>2019</v>
      </c>
      <c r="G466" s="1" t="s">
        <v>38</v>
      </c>
      <c r="H466" s="2">
        <v>3.1</v>
      </c>
      <c r="I466" s="1">
        <v>7</v>
      </c>
      <c r="U466" s="1">
        <v>14</v>
      </c>
      <c r="X466" s="1">
        <v>10</v>
      </c>
      <c r="AA466" s="1">
        <v>2</v>
      </c>
      <c r="AB466" s="1">
        <v>4</v>
      </c>
      <c r="AC466" s="1">
        <v>484</v>
      </c>
      <c r="AF466" s="3">
        <v>2.258064516129032</v>
      </c>
      <c r="AG466" s="3">
        <v>0.97772526893421841</v>
      </c>
      <c r="AH466" s="1">
        <v>6254</v>
      </c>
      <c r="AI466" s="1" t="b">
        <v>1</v>
      </c>
    </row>
    <row r="467" spans="1:35" x14ac:dyDescent="0.25">
      <c r="A467" s="1">
        <v>17</v>
      </c>
      <c r="B467" s="1">
        <v>11</v>
      </c>
      <c r="C467" s="1">
        <v>2019</v>
      </c>
      <c r="G467" s="1" t="s">
        <v>38</v>
      </c>
      <c r="H467" s="2">
        <v>3.52</v>
      </c>
      <c r="I467" s="1">
        <v>9</v>
      </c>
      <c r="U467" s="1">
        <v>15</v>
      </c>
      <c r="X467" s="1">
        <v>11</v>
      </c>
      <c r="AA467" s="1">
        <v>3</v>
      </c>
      <c r="AB467" s="1">
        <v>1</v>
      </c>
      <c r="AC467" s="1">
        <v>543</v>
      </c>
      <c r="AF467" s="3">
        <v>2.5568181818181817</v>
      </c>
      <c r="AG467" s="3">
        <v>0.94380009880703142</v>
      </c>
      <c r="AH467" s="1">
        <v>6254</v>
      </c>
      <c r="AI467" s="1" t="b">
        <v>1</v>
      </c>
    </row>
    <row r="468" spans="1:35" x14ac:dyDescent="0.25">
      <c r="A468" s="1">
        <v>17</v>
      </c>
      <c r="B468" s="1">
        <v>11</v>
      </c>
      <c r="C468" s="1">
        <v>2019</v>
      </c>
      <c r="G468" s="1" t="s">
        <v>38</v>
      </c>
      <c r="H468" s="2">
        <v>6.28</v>
      </c>
      <c r="I468" s="1">
        <v>18</v>
      </c>
      <c r="U468" s="1">
        <v>26</v>
      </c>
      <c r="X468" s="1">
        <v>21</v>
      </c>
      <c r="AA468" s="1">
        <v>2</v>
      </c>
      <c r="AB468" s="1">
        <v>3</v>
      </c>
      <c r="AC468" s="1">
        <v>856</v>
      </c>
      <c r="AF468" s="3">
        <v>2.8662420382165603</v>
      </c>
      <c r="AG468" s="3">
        <v>1.2625799525567492</v>
      </c>
      <c r="AH468" s="1">
        <v>6254</v>
      </c>
      <c r="AI468" s="1" t="b">
        <v>1</v>
      </c>
    </row>
    <row r="469" spans="1:35" x14ac:dyDescent="0.25">
      <c r="A469" s="1">
        <v>17</v>
      </c>
      <c r="B469" s="1">
        <v>11</v>
      </c>
      <c r="C469" s="1">
        <v>2019</v>
      </c>
      <c r="G469" s="1" t="s">
        <v>38</v>
      </c>
      <c r="H469" s="2">
        <v>5.76</v>
      </c>
      <c r="I469" s="1">
        <v>14</v>
      </c>
      <c r="U469" s="1">
        <v>27</v>
      </c>
      <c r="X469" s="1">
        <v>22</v>
      </c>
      <c r="AA469" s="1">
        <v>4</v>
      </c>
      <c r="AB469" s="1">
        <v>3</v>
      </c>
      <c r="AC469" s="1">
        <v>841</v>
      </c>
      <c r="AF469" s="3">
        <v>2.4305555555555558</v>
      </c>
      <c r="AG469" s="3">
        <v>1.4014905900316514</v>
      </c>
      <c r="AH469" s="1">
        <v>6254</v>
      </c>
      <c r="AI469" s="1" t="b">
        <v>1</v>
      </c>
    </row>
    <row r="470" spans="1:35" x14ac:dyDescent="0.25">
      <c r="A470" s="1">
        <v>17</v>
      </c>
      <c r="B470" s="1">
        <v>11</v>
      </c>
      <c r="C470" s="1">
        <v>2019</v>
      </c>
      <c r="G470" s="1" t="s">
        <v>38</v>
      </c>
      <c r="H470" s="2">
        <v>5.84</v>
      </c>
      <c r="I470" s="1">
        <v>20</v>
      </c>
      <c r="U470" s="1">
        <v>26</v>
      </c>
      <c r="X470" s="1">
        <v>23</v>
      </c>
      <c r="AA470" s="1">
        <v>2</v>
      </c>
      <c r="AB470" s="1">
        <v>3</v>
      </c>
      <c r="AC470" s="1">
        <v>961</v>
      </c>
      <c r="AF470" s="3">
        <v>3.4246575342465753</v>
      </c>
      <c r="AG470" s="3">
        <v>1.0043193828326493</v>
      </c>
      <c r="AH470" s="1">
        <v>6254</v>
      </c>
      <c r="AI470" s="1" t="b">
        <v>1</v>
      </c>
    </row>
    <row r="471" spans="1:35" x14ac:dyDescent="0.25">
      <c r="A471" s="1">
        <v>17</v>
      </c>
      <c r="B471" s="1">
        <v>11</v>
      </c>
      <c r="C471" s="1">
        <v>2019</v>
      </c>
      <c r="G471" s="1" t="s">
        <v>38</v>
      </c>
      <c r="H471" s="2">
        <v>6.15</v>
      </c>
      <c r="I471" s="1">
        <v>15</v>
      </c>
      <c r="V471" s="1">
        <v>24</v>
      </c>
      <c r="X471" s="1">
        <v>17</v>
      </c>
      <c r="AA471" s="1">
        <v>2</v>
      </c>
      <c r="AB471" s="1">
        <v>4</v>
      </c>
      <c r="AC471" s="1">
        <v>793</v>
      </c>
      <c r="AF471" s="3">
        <v>2.4390243902439024</v>
      </c>
      <c r="AG471" s="3">
        <v>1.4621651812097896</v>
      </c>
      <c r="AH471" s="1">
        <v>6254</v>
      </c>
      <c r="AI471" s="1" t="b">
        <v>1</v>
      </c>
    </row>
    <row r="472" spans="1:35" x14ac:dyDescent="0.25">
      <c r="A472" s="1">
        <v>17</v>
      </c>
      <c r="B472" s="1">
        <v>11</v>
      </c>
      <c r="C472" s="1">
        <v>2019</v>
      </c>
      <c r="G472" s="1" t="s">
        <v>38</v>
      </c>
      <c r="H472" s="2">
        <v>4.8499999999999996</v>
      </c>
      <c r="I472" s="1">
        <v>14</v>
      </c>
      <c r="U472" s="1">
        <v>20</v>
      </c>
      <c r="X472" s="1">
        <v>17</v>
      </c>
      <c r="AA472" s="1">
        <v>2</v>
      </c>
      <c r="AB472" s="1">
        <v>2</v>
      </c>
      <c r="AC472" s="1">
        <v>713</v>
      </c>
      <c r="AF472" s="3">
        <v>2.8865979381443303</v>
      </c>
      <c r="AG472" s="3">
        <v>1.0462438543216528</v>
      </c>
      <c r="AH472" s="1">
        <v>6254</v>
      </c>
      <c r="AI472" s="1" t="b">
        <v>1</v>
      </c>
    </row>
    <row r="473" spans="1:35" x14ac:dyDescent="0.25">
      <c r="A473" s="1">
        <v>17</v>
      </c>
      <c r="B473" s="1">
        <v>11</v>
      </c>
      <c r="C473" s="1">
        <v>2019</v>
      </c>
      <c r="G473" s="1" t="s">
        <v>38</v>
      </c>
      <c r="H473" s="2">
        <v>7.87</v>
      </c>
      <c r="I473" s="1">
        <v>32</v>
      </c>
      <c r="V473" s="1">
        <v>35</v>
      </c>
      <c r="X473" s="1">
        <v>27</v>
      </c>
      <c r="AA473" s="1">
        <v>2</v>
      </c>
      <c r="AB473" s="1">
        <v>1</v>
      </c>
      <c r="AC473" s="1">
        <v>834</v>
      </c>
      <c r="AF473" s="3">
        <v>4.066073697585769</v>
      </c>
      <c r="AG473" s="3">
        <v>1.042334389762164</v>
      </c>
      <c r="AH473" s="1">
        <v>6254</v>
      </c>
      <c r="AI473" s="1" t="b">
        <v>1</v>
      </c>
    </row>
    <row r="474" spans="1:35" x14ac:dyDescent="0.25">
      <c r="A474" s="1">
        <v>17</v>
      </c>
      <c r="B474" s="1">
        <v>11</v>
      </c>
      <c r="C474" s="1">
        <v>2019</v>
      </c>
      <c r="G474" s="1" t="s">
        <v>38</v>
      </c>
      <c r="H474" s="2">
        <v>6.34</v>
      </c>
      <c r="I474" s="1">
        <v>14</v>
      </c>
      <c r="U474" s="1">
        <v>29</v>
      </c>
      <c r="X474" s="1">
        <v>22</v>
      </c>
      <c r="AA474" s="1">
        <v>5</v>
      </c>
      <c r="AB474" s="1">
        <v>5</v>
      </c>
      <c r="AC474" s="1">
        <v>907</v>
      </c>
      <c r="AF474" s="3">
        <v>2.2082018927444795</v>
      </c>
      <c r="AG474" s="3">
        <v>1.6497711424519537</v>
      </c>
      <c r="AH474" s="1">
        <v>6254</v>
      </c>
      <c r="AI474" s="1" t="b">
        <v>1</v>
      </c>
    </row>
    <row r="475" spans="1:35" x14ac:dyDescent="0.25">
      <c r="A475" s="1">
        <v>17</v>
      </c>
      <c r="B475" s="1">
        <v>11</v>
      </c>
      <c r="C475" s="1">
        <v>2019</v>
      </c>
      <c r="G475" s="1" t="s">
        <v>38</v>
      </c>
      <c r="H475" s="2">
        <v>5.55</v>
      </c>
      <c r="I475" s="1">
        <v>17</v>
      </c>
      <c r="U475" s="1">
        <v>21</v>
      </c>
      <c r="X475" s="1">
        <v>18</v>
      </c>
      <c r="AA475" s="1">
        <v>2</v>
      </c>
      <c r="AB475" s="1">
        <v>4</v>
      </c>
      <c r="AC475" s="1">
        <v>789</v>
      </c>
      <c r="AF475" s="3">
        <v>3.0630630630630633</v>
      </c>
      <c r="AG475" s="3">
        <v>1.0835504826747846</v>
      </c>
      <c r="AH475" s="1">
        <v>6254</v>
      </c>
      <c r="AI475" s="1" t="b">
        <v>1</v>
      </c>
    </row>
    <row r="476" spans="1:35" x14ac:dyDescent="0.25">
      <c r="A476" s="1">
        <v>17</v>
      </c>
      <c r="B476" s="1">
        <v>11</v>
      </c>
      <c r="C476" s="1">
        <v>2019</v>
      </c>
      <c r="G476" s="1" t="s">
        <v>38</v>
      </c>
      <c r="H476" s="2">
        <v>5.95</v>
      </c>
      <c r="I476" s="1">
        <v>16</v>
      </c>
      <c r="V476" s="1">
        <v>28</v>
      </c>
      <c r="X476" s="1">
        <v>19</v>
      </c>
      <c r="AA476" s="1">
        <v>2</v>
      </c>
      <c r="AB476" s="1">
        <v>4</v>
      </c>
      <c r="AC476" s="1">
        <v>727</v>
      </c>
      <c r="AF476" s="3">
        <v>2.6890756302521006</v>
      </c>
      <c r="AG476" s="3">
        <v>1.2958623113036543</v>
      </c>
      <c r="AH476" s="1">
        <v>6254</v>
      </c>
      <c r="AI476" s="1" t="b">
        <v>1</v>
      </c>
    </row>
    <row r="477" spans="1:35" x14ac:dyDescent="0.25">
      <c r="A477" s="1">
        <v>17</v>
      </c>
      <c r="B477" s="1">
        <v>11</v>
      </c>
      <c r="C477" s="1">
        <v>2019</v>
      </c>
      <c r="G477" s="1" t="s">
        <v>38</v>
      </c>
      <c r="H477" s="2">
        <v>6.49</v>
      </c>
      <c r="I477" s="1">
        <v>19</v>
      </c>
      <c r="U477" s="1">
        <v>23</v>
      </c>
      <c r="X477" s="1">
        <v>22</v>
      </c>
      <c r="AA477" s="1">
        <v>3</v>
      </c>
      <c r="AB477" s="1">
        <v>2</v>
      </c>
      <c r="AC477" s="1">
        <v>744</v>
      </c>
      <c r="AF477" s="3">
        <v>2.9275808936825887</v>
      </c>
      <c r="AG477" s="3">
        <v>1.2649180317579252</v>
      </c>
      <c r="AH477" s="1">
        <v>6254</v>
      </c>
      <c r="AI477" s="1" t="b">
        <v>1</v>
      </c>
    </row>
    <row r="478" spans="1:35" x14ac:dyDescent="0.25">
      <c r="A478" s="1">
        <v>17</v>
      </c>
      <c r="B478" s="1">
        <v>11</v>
      </c>
      <c r="C478" s="1">
        <v>2019</v>
      </c>
      <c r="G478" s="1" t="s">
        <v>38</v>
      </c>
      <c r="H478" s="2">
        <v>7.79</v>
      </c>
      <c r="I478" s="1">
        <v>18</v>
      </c>
      <c r="V478" s="1">
        <v>27</v>
      </c>
      <c r="X478" s="1">
        <v>22</v>
      </c>
      <c r="AA478" s="1">
        <v>3</v>
      </c>
      <c r="AB478" s="1">
        <v>3</v>
      </c>
      <c r="AC478" s="1">
        <v>981</v>
      </c>
      <c r="AF478" s="3">
        <v>2.3106546854942231</v>
      </c>
      <c r="AG478" s="3">
        <v>1.8211309403597786</v>
      </c>
      <c r="AH478" s="1">
        <v>6254</v>
      </c>
      <c r="AI478" s="1" t="b">
        <v>1</v>
      </c>
    </row>
    <row r="479" spans="1:35" x14ac:dyDescent="0.25">
      <c r="A479" s="1">
        <v>17</v>
      </c>
      <c r="B479" s="1">
        <v>11</v>
      </c>
      <c r="C479" s="1">
        <v>2019</v>
      </c>
      <c r="G479" s="1" t="s">
        <v>38</v>
      </c>
      <c r="H479" s="2">
        <v>10.75</v>
      </c>
      <c r="I479" s="1">
        <v>28</v>
      </c>
      <c r="V479" s="1">
        <v>44</v>
      </c>
      <c r="X479" s="1">
        <v>36</v>
      </c>
      <c r="AA479" s="1">
        <v>4</v>
      </c>
      <c r="AB479" s="1">
        <v>2</v>
      </c>
      <c r="AC479" s="1">
        <v>1249</v>
      </c>
      <c r="AF479" s="3">
        <v>2.6046511627906979</v>
      </c>
      <c r="AG479" s="3">
        <v>2.0241204744431882</v>
      </c>
      <c r="AH479" s="1">
        <v>6254</v>
      </c>
      <c r="AI479" s="1" t="b">
        <v>1</v>
      </c>
    </row>
    <row r="480" spans="1:35" x14ac:dyDescent="0.25">
      <c r="A480" s="1">
        <v>17</v>
      </c>
      <c r="B480" s="1">
        <v>11</v>
      </c>
      <c r="C480" s="1">
        <v>2019</v>
      </c>
      <c r="G480" s="1" t="s">
        <v>38</v>
      </c>
      <c r="H480" s="2">
        <v>6.81</v>
      </c>
      <c r="I480" s="1">
        <v>16</v>
      </c>
      <c r="V480" s="1">
        <v>26</v>
      </c>
      <c r="X480" s="1">
        <v>23</v>
      </c>
      <c r="AA480" s="1">
        <v>4</v>
      </c>
      <c r="AB480" s="1">
        <v>4</v>
      </c>
      <c r="AC480" s="1">
        <v>912</v>
      </c>
      <c r="AF480" s="3">
        <v>2.3494860499265786</v>
      </c>
      <c r="AG480" s="3">
        <v>1.6301595313683384</v>
      </c>
      <c r="AH480" s="1">
        <v>6254</v>
      </c>
      <c r="AI480" s="1" t="b">
        <v>1</v>
      </c>
    </row>
    <row r="481" spans="1:35" x14ac:dyDescent="0.25">
      <c r="A481" s="1">
        <v>17</v>
      </c>
      <c r="B481" s="1">
        <v>11</v>
      </c>
      <c r="C481" s="1">
        <v>2019</v>
      </c>
      <c r="G481" s="1" t="s">
        <v>38</v>
      </c>
      <c r="H481" s="2">
        <v>4.2</v>
      </c>
      <c r="I481" s="1">
        <v>10</v>
      </c>
      <c r="U481" s="1">
        <v>16</v>
      </c>
      <c r="X481" s="1">
        <v>14</v>
      </c>
      <c r="AA481" s="1">
        <v>2</v>
      </c>
      <c r="AB481" s="1">
        <v>5</v>
      </c>
      <c r="AC481" s="1">
        <v>655</v>
      </c>
      <c r="AF481" s="3">
        <v>2.3809523809523809</v>
      </c>
      <c r="AG481" s="3">
        <v>1.1468953546165008</v>
      </c>
      <c r="AH481" s="1">
        <v>6254</v>
      </c>
      <c r="AI481" s="1" t="b">
        <v>1</v>
      </c>
    </row>
    <row r="482" spans="1:35" x14ac:dyDescent="0.25">
      <c r="A482" s="1">
        <v>17</v>
      </c>
      <c r="B482" s="1">
        <v>11</v>
      </c>
      <c r="C482" s="1">
        <v>2019</v>
      </c>
      <c r="G482" s="1" t="s">
        <v>38</v>
      </c>
      <c r="H482" s="2">
        <v>4.17</v>
      </c>
      <c r="I482" s="1">
        <v>11</v>
      </c>
      <c r="U482" s="1">
        <v>20</v>
      </c>
      <c r="X482" s="1">
        <v>15</v>
      </c>
      <c r="AA482" s="1">
        <v>2</v>
      </c>
      <c r="AB482" s="1">
        <v>1</v>
      </c>
      <c r="AC482" s="1">
        <v>497</v>
      </c>
      <c r="AF482" s="3">
        <v>2.6378896882494005</v>
      </c>
      <c r="AG482" s="3">
        <v>1.0300032814186679</v>
      </c>
      <c r="AH482" s="1">
        <v>6254</v>
      </c>
      <c r="AI482" s="1" t="b">
        <v>1</v>
      </c>
    </row>
    <row r="483" spans="1:35" x14ac:dyDescent="0.25">
      <c r="A483" s="1">
        <v>17</v>
      </c>
      <c r="B483" s="1">
        <v>11</v>
      </c>
      <c r="C483" s="1">
        <v>2019</v>
      </c>
      <c r="G483" s="1" t="s">
        <v>38</v>
      </c>
      <c r="H483" s="2">
        <v>3.86</v>
      </c>
      <c r="I483" s="1">
        <v>11</v>
      </c>
      <c r="V483" s="1">
        <v>19</v>
      </c>
      <c r="X483" s="1">
        <v>13</v>
      </c>
      <c r="AA483" s="1">
        <v>2</v>
      </c>
      <c r="AB483" s="1">
        <v>2</v>
      </c>
      <c r="AC483" s="1">
        <v>601</v>
      </c>
      <c r="AF483" s="3">
        <v>2.849740932642487</v>
      </c>
      <c r="AG483" s="3">
        <v>0.90324534652802979</v>
      </c>
      <c r="AH483" s="1">
        <v>6254</v>
      </c>
      <c r="AI483" s="1" t="b">
        <v>1</v>
      </c>
    </row>
    <row r="484" spans="1:35" x14ac:dyDescent="0.25">
      <c r="A484" s="1">
        <v>17</v>
      </c>
      <c r="B484" s="1">
        <v>11</v>
      </c>
      <c r="C484" s="1">
        <v>2019</v>
      </c>
      <c r="G484" s="1" t="s">
        <v>38</v>
      </c>
      <c r="H484" s="2">
        <v>4.5199999999999996</v>
      </c>
      <c r="I484" s="1">
        <v>16</v>
      </c>
      <c r="U484" s="1">
        <v>20</v>
      </c>
      <c r="X484" s="1">
        <v>16</v>
      </c>
      <c r="AA484" s="1">
        <v>1</v>
      </c>
      <c r="AB484" s="1">
        <v>1</v>
      </c>
      <c r="AC484" s="1">
        <v>673</v>
      </c>
      <c r="AF484" s="3">
        <v>3.5398230088495577</v>
      </c>
      <c r="AG484" s="3">
        <v>0.81211093174276561</v>
      </c>
      <c r="AH484" s="1">
        <v>6254</v>
      </c>
      <c r="AI484" s="1" t="b">
        <v>1</v>
      </c>
    </row>
    <row r="485" spans="1:35" x14ac:dyDescent="0.25">
      <c r="A485" s="1">
        <v>17</v>
      </c>
      <c r="B485" s="1">
        <v>11</v>
      </c>
      <c r="C485" s="1">
        <v>2019</v>
      </c>
      <c r="G485" s="1" t="s">
        <v>38</v>
      </c>
      <c r="H485" s="2">
        <v>4.4000000000000004</v>
      </c>
      <c r="I485" s="1">
        <v>9</v>
      </c>
      <c r="U485" s="1">
        <v>16</v>
      </c>
      <c r="X485" s="1">
        <v>13</v>
      </c>
      <c r="AA485" s="1">
        <v>3</v>
      </c>
      <c r="AB485" s="1">
        <v>4</v>
      </c>
      <c r="AC485" s="1">
        <v>562</v>
      </c>
      <c r="AF485" s="3">
        <v>2.0454545454545454</v>
      </c>
      <c r="AG485" s="3">
        <v>1.3791993397876763</v>
      </c>
      <c r="AH485" s="1">
        <v>6254</v>
      </c>
      <c r="AI485" s="1" t="b">
        <v>1</v>
      </c>
    </row>
    <row r="486" spans="1:35" x14ac:dyDescent="0.25">
      <c r="A486" s="1">
        <v>17</v>
      </c>
      <c r="B486" s="1">
        <v>11</v>
      </c>
      <c r="C486" s="1">
        <v>2019</v>
      </c>
      <c r="G486" s="1" t="s">
        <v>38</v>
      </c>
      <c r="H486" s="2">
        <v>6.02</v>
      </c>
      <c r="I486" s="1">
        <v>14</v>
      </c>
      <c r="U486" s="1">
        <v>27</v>
      </c>
      <c r="X486" s="1">
        <v>22</v>
      </c>
      <c r="AA486" s="1">
        <v>3</v>
      </c>
      <c r="AB486" s="1">
        <v>5</v>
      </c>
      <c r="AC486" s="1">
        <v>932</v>
      </c>
      <c r="AF486" s="3">
        <v>2.3255813953488373</v>
      </c>
      <c r="AG486" s="3">
        <v>1.5107270291762449</v>
      </c>
      <c r="AH486" s="1">
        <v>6254</v>
      </c>
      <c r="AI486" s="1" t="b">
        <v>1</v>
      </c>
    </row>
    <row r="487" spans="1:35" x14ac:dyDescent="0.25">
      <c r="A487" s="1">
        <v>17</v>
      </c>
      <c r="B487" s="1">
        <v>11</v>
      </c>
      <c r="C487" s="1">
        <v>2019</v>
      </c>
      <c r="G487" s="1" t="s">
        <v>38</v>
      </c>
      <c r="H487" s="2">
        <v>8.69</v>
      </c>
      <c r="I487" s="1">
        <v>26</v>
      </c>
      <c r="V487" s="1">
        <v>32</v>
      </c>
      <c r="X487" s="1">
        <v>27</v>
      </c>
      <c r="AA487" s="1">
        <v>2</v>
      </c>
      <c r="AB487" s="1">
        <v>3</v>
      </c>
      <c r="AC487" s="1">
        <v>1065</v>
      </c>
      <c r="AF487" s="3">
        <v>2.991944764096663</v>
      </c>
      <c r="AG487" s="3">
        <v>1.5183093692212377</v>
      </c>
      <c r="AH487" s="1">
        <v>6254</v>
      </c>
      <c r="AI487" s="1" t="b">
        <v>1</v>
      </c>
    </row>
    <row r="488" spans="1:35" x14ac:dyDescent="0.25">
      <c r="A488" s="1">
        <v>17</v>
      </c>
      <c r="B488" s="1">
        <v>11</v>
      </c>
      <c r="C488" s="1">
        <v>2019</v>
      </c>
      <c r="G488" s="1" t="s">
        <v>38</v>
      </c>
      <c r="H488" s="2">
        <v>5.57</v>
      </c>
      <c r="I488" s="1">
        <v>17</v>
      </c>
      <c r="V488" s="1">
        <v>28</v>
      </c>
      <c r="X488" s="1">
        <v>20</v>
      </c>
      <c r="AA488" s="1">
        <v>2</v>
      </c>
      <c r="AB488" s="1">
        <v>4</v>
      </c>
      <c r="AC488" s="1">
        <v>714</v>
      </c>
      <c r="AF488" s="3">
        <v>3.0520646319569118</v>
      </c>
      <c r="AG488" s="3">
        <v>1.0901968187927211</v>
      </c>
      <c r="AH488" s="1">
        <v>6254</v>
      </c>
      <c r="AI488" s="1" t="b">
        <v>1</v>
      </c>
    </row>
    <row r="489" spans="1:35" x14ac:dyDescent="0.25">
      <c r="A489" s="1">
        <v>17</v>
      </c>
      <c r="B489" s="1">
        <v>11</v>
      </c>
      <c r="C489" s="1">
        <v>2019</v>
      </c>
      <c r="G489" s="1" t="s">
        <v>38</v>
      </c>
      <c r="H489" s="2">
        <v>3.64</v>
      </c>
      <c r="I489" s="1">
        <v>9</v>
      </c>
      <c r="U489" s="1">
        <v>15</v>
      </c>
      <c r="X489" s="1">
        <v>12</v>
      </c>
      <c r="AA489" s="1">
        <v>2</v>
      </c>
      <c r="AB489" s="1">
        <v>4</v>
      </c>
      <c r="AC489" s="1">
        <v>505</v>
      </c>
      <c r="AF489" s="3">
        <v>2.4725274725274726</v>
      </c>
      <c r="AG489" s="3">
        <v>0.99914804458675355</v>
      </c>
      <c r="AH489" s="1">
        <v>6254</v>
      </c>
      <c r="AI489" s="1" t="b">
        <v>1</v>
      </c>
    </row>
    <row r="490" spans="1:35" x14ac:dyDescent="0.25">
      <c r="A490" s="1">
        <v>17</v>
      </c>
      <c r="B490" s="1">
        <v>11</v>
      </c>
      <c r="C490" s="1">
        <v>2019</v>
      </c>
      <c r="G490" s="1" t="s">
        <v>38</v>
      </c>
      <c r="H490" s="2">
        <v>6.9</v>
      </c>
      <c r="I490" s="1">
        <v>25</v>
      </c>
      <c r="U490" s="1">
        <v>33</v>
      </c>
      <c r="X490" s="1">
        <v>27</v>
      </c>
      <c r="AA490" s="1">
        <v>2</v>
      </c>
      <c r="AB490" s="1">
        <v>2</v>
      </c>
      <c r="AC490" s="1">
        <v>1025</v>
      </c>
      <c r="AF490" s="3">
        <v>3.6231884057971011</v>
      </c>
      <c r="AG490" s="3">
        <v>1.0668502064232337</v>
      </c>
      <c r="AH490" s="1">
        <v>6254</v>
      </c>
      <c r="AI490" s="1" t="b">
        <v>1</v>
      </c>
    </row>
    <row r="491" spans="1:35" x14ac:dyDescent="0.25">
      <c r="A491" s="1">
        <v>17</v>
      </c>
      <c r="B491" s="1">
        <v>11</v>
      </c>
      <c r="C491" s="1">
        <v>2019</v>
      </c>
      <c r="G491" s="1" t="s">
        <v>38</v>
      </c>
      <c r="H491" s="2">
        <v>8.66</v>
      </c>
      <c r="I491" s="1">
        <v>24</v>
      </c>
      <c r="V491" s="1">
        <v>35</v>
      </c>
      <c r="X491" s="1">
        <v>25</v>
      </c>
      <c r="AA491" s="1">
        <v>3</v>
      </c>
      <c r="AB491" s="1">
        <v>3</v>
      </c>
      <c r="AC491" s="1">
        <v>1004</v>
      </c>
      <c r="AF491" s="3">
        <v>2.7713625866050808</v>
      </c>
      <c r="AG491" s="3">
        <v>1.6351935851249293</v>
      </c>
      <c r="AH491" s="1">
        <v>6254</v>
      </c>
      <c r="AI491" s="1" t="b">
        <v>1</v>
      </c>
    </row>
    <row r="492" spans="1:35" x14ac:dyDescent="0.25">
      <c r="A492" s="1">
        <v>17</v>
      </c>
      <c r="B492" s="1">
        <v>11</v>
      </c>
      <c r="C492" s="1">
        <v>2019</v>
      </c>
      <c r="G492" s="1" t="s">
        <v>38</v>
      </c>
      <c r="H492" s="2">
        <v>5.1100000000000003</v>
      </c>
      <c r="I492" s="1">
        <v>9</v>
      </c>
      <c r="U492" s="1">
        <v>19</v>
      </c>
      <c r="X492" s="1">
        <v>16</v>
      </c>
      <c r="AA492" s="1">
        <v>3</v>
      </c>
      <c r="AB492" s="1">
        <v>3</v>
      </c>
      <c r="AC492" s="1">
        <v>710</v>
      </c>
      <c r="AF492" s="3">
        <v>1.7612524461839529</v>
      </c>
      <c r="AG492" s="3">
        <v>1.7785784289977409</v>
      </c>
      <c r="AH492" s="1">
        <v>6254</v>
      </c>
      <c r="AI492" s="1" t="b">
        <v>1</v>
      </c>
    </row>
    <row r="493" spans="1:35" x14ac:dyDescent="0.25">
      <c r="A493" s="1">
        <v>17</v>
      </c>
      <c r="B493" s="1">
        <v>11</v>
      </c>
      <c r="C493" s="1">
        <v>2019</v>
      </c>
      <c r="G493" s="1" t="s">
        <v>38</v>
      </c>
      <c r="H493" s="2">
        <v>8.84</v>
      </c>
      <c r="I493" s="1">
        <v>26</v>
      </c>
      <c r="V493" s="1">
        <v>41</v>
      </c>
      <c r="X493" s="1">
        <v>30</v>
      </c>
      <c r="AA493" s="1">
        <v>4</v>
      </c>
      <c r="AB493" s="1">
        <v>3</v>
      </c>
      <c r="AC493" s="1">
        <v>1072</v>
      </c>
      <c r="AF493" s="3">
        <v>2.9411764705882355</v>
      </c>
      <c r="AG493" s="3">
        <v>1.5631314551459272</v>
      </c>
      <c r="AH493" s="1">
        <v>6254</v>
      </c>
      <c r="AI493" s="1" t="b">
        <v>1</v>
      </c>
    </row>
    <row r="494" spans="1:35" x14ac:dyDescent="0.25">
      <c r="A494" s="1">
        <v>17</v>
      </c>
      <c r="B494" s="1">
        <v>11</v>
      </c>
      <c r="C494" s="1">
        <v>2019</v>
      </c>
      <c r="G494" s="1" t="s">
        <v>38</v>
      </c>
      <c r="H494" s="2">
        <v>10.24</v>
      </c>
      <c r="I494" s="1">
        <v>21</v>
      </c>
      <c r="V494" s="1">
        <v>33</v>
      </c>
      <c r="X494" s="1">
        <v>23</v>
      </c>
      <c r="AA494" s="1">
        <v>3</v>
      </c>
      <c r="AB494" s="1">
        <v>2</v>
      </c>
      <c r="AC494" s="1">
        <v>1219</v>
      </c>
      <c r="AF494" s="3">
        <v>2.05078125</v>
      </c>
      <c r="AG494" s="3">
        <v>2.4847953837518091</v>
      </c>
      <c r="AH494" s="1">
        <v>6254</v>
      </c>
      <c r="AI494" s="1" t="b">
        <v>1</v>
      </c>
    </row>
    <row r="495" spans="1:35" x14ac:dyDescent="0.25">
      <c r="A495" s="1">
        <v>17</v>
      </c>
      <c r="B495" s="1">
        <v>11</v>
      </c>
      <c r="C495" s="1">
        <v>2019</v>
      </c>
      <c r="G495" s="1" t="s">
        <v>38</v>
      </c>
      <c r="H495" s="2">
        <v>6.11</v>
      </c>
      <c r="I495" s="1">
        <v>18</v>
      </c>
      <c r="U495" s="1">
        <v>24</v>
      </c>
      <c r="X495" s="1">
        <v>21</v>
      </c>
      <c r="AA495" s="1">
        <v>3</v>
      </c>
      <c r="AB495" s="1">
        <v>2</v>
      </c>
      <c r="AC495" s="1">
        <v>804</v>
      </c>
      <c r="AF495" s="3">
        <v>2.9459901800327333</v>
      </c>
      <c r="AG495" s="3">
        <v>1.2050291487882214</v>
      </c>
      <c r="AH495" s="1">
        <v>6254</v>
      </c>
      <c r="AI495" s="1" t="b">
        <v>1</v>
      </c>
    </row>
    <row r="496" spans="1:35" x14ac:dyDescent="0.25">
      <c r="A496" s="1">
        <v>19</v>
      </c>
      <c r="B496" s="1">
        <v>11</v>
      </c>
      <c r="C496" s="1">
        <v>2019</v>
      </c>
      <c r="G496" s="1" t="s">
        <v>38</v>
      </c>
      <c r="H496" s="2">
        <v>4.28</v>
      </c>
      <c r="I496" s="1">
        <v>14</v>
      </c>
      <c r="U496" s="1">
        <v>21</v>
      </c>
      <c r="X496" s="1">
        <v>16</v>
      </c>
      <c r="AA496" s="1">
        <v>2</v>
      </c>
      <c r="AB496" s="1">
        <v>5</v>
      </c>
      <c r="AC496" s="1">
        <v>600</v>
      </c>
      <c r="AF496" s="3">
        <v>3.2710280373831773</v>
      </c>
      <c r="AG496" s="3">
        <v>0.84591430967520953</v>
      </c>
      <c r="AH496" s="1">
        <v>6255</v>
      </c>
      <c r="AI496" s="1" t="b">
        <v>1</v>
      </c>
    </row>
    <row r="497" spans="1:35" x14ac:dyDescent="0.25">
      <c r="A497" s="1">
        <v>19</v>
      </c>
      <c r="B497" s="1">
        <v>11</v>
      </c>
      <c r="C497" s="1">
        <v>2019</v>
      </c>
      <c r="G497" s="1" t="s">
        <v>38</v>
      </c>
      <c r="H497" s="2">
        <v>3.09</v>
      </c>
      <c r="I497" s="1">
        <v>6</v>
      </c>
      <c r="U497" s="1">
        <v>12</v>
      </c>
      <c r="X497" s="1">
        <v>8</v>
      </c>
      <c r="AA497" s="1">
        <v>2</v>
      </c>
      <c r="AB497" s="1">
        <v>2</v>
      </c>
      <c r="AC497" s="1">
        <v>477</v>
      </c>
      <c r="AF497" s="3">
        <v>1.941747572815534</v>
      </c>
      <c r="AG497" s="3">
        <v>1.1344312060972872</v>
      </c>
      <c r="AH497" s="1">
        <v>6255</v>
      </c>
      <c r="AI497" s="1" t="b">
        <v>1</v>
      </c>
    </row>
    <row r="498" spans="1:35" x14ac:dyDescent="0.25">
      <c r="A498" s="1">
        <v>19</v>
      </c>
      <c r="B498" s="1">
        <v>11</v>
      </c>
      <c r="C498" s="1">
        <v>2019</v>
      </c>
      <c r="G498" s="1" t="s">
        <v>38</v>
      </c>
      <c r="H498" s="2">
        <v>5.83</v>
      </c>
      <c r="I498" s="1">
        <v>17</v>
      </c>
      <c r="U498" s="1">
        <v>27</v>
      </c>
      <c r="X498" s="1">
        <v>23</v>
      </c>
      <c r="AA498" s="1">
        <v>3</v>
      </c>
      <c r="AB498" s="1">
        <v>4</v>
      </c>
      <c r="AC498" s="1">
        <v>737</v>
      </c>
      <c r="AF498" s="3">
        <v>2.9159519725557459</v>
      </c>
      <c r="AG498" s="3">
        <v>1.1781148268233652</v>
      </c>
      <c r="AH498" s="1">
        <v>6255</v>
      </c>
      <c r="AI498" s="1" t="b">
        <v>1</v>
      </c>
    </row>
    <row r="499" spans="1:35" x14ac:dyDescent="0.25">
      <c r="A499" s="1">
        <v>19</v>
      </c>
      <c r="B499" s="1">
        <v>11</v>
      </c>
      <c r="C499" s="1">
        <v>2019</v>
      </c>
      <c r="G499" s="1" t="s">
        <v>38</v>
      </c>
      <c r="H499" s="2">
        <v>4.3600000000000003</v>
      </c>
      <c r="I499" s="1">
        <v>8</v>
      </c>
      <c r="U499" s="1">
        <v>17</v>
      </c>
      <c r="X499" s="1">
        <v>13</v>
      </c>
      <c r="AA499" s="1">
        <v>2</v>
      </c>
      <c r="AB499" s="1">
        <v>4</v>
      </c>
      <c r="AC499" s="1">
        <v>692</v>
      </c>
      <c r="AF499" s="3">
        <v>1.8348623853211008</v>
      </c>
      <c r="AG499" s="3">
        <v>1.5276963632292744</v>
      </c>
      <c r="AH499" s="1">
        <v>6255</v>
      </c>
      <c r="AI499" s="1" t="b">
        <v>1</v>
      </c>
    </row>
    <row r="500" spans="1:35" x14ac:dyDescent="0.25">
      <c r="A500" s="1">
        <v>19</v>
      </c>
      <c r="B500" s="1">
        <v>11</v>
      </c>
      <c r="C500" s="1">
        <v>2019</v>
      </c>
      <c r="G500" s="1" t="s">
        <v>38</v>
      </c>
      <c r="H500" s="2">
        <v>6.86</v>
      </c>
      <c r="I500" s="1">
        <v>19</v>
      </c>
      <c r="U500" s="1">
        <v>33</v>
      </c>
      <c r="X500" s="1">
        <v>29</v>
      </c>
      <c r="AA500" s="1">
        <v>5</v>
      </c>
      <c r="AB500" s="1">
        <v>4</v>
      </c>
      <c r="AC500" s="1">
        <v>944</v>
      </c>
      <c r="AF500" s="3">
        <v>2.769679300291545</v>
      </c>
      <c r="AG500" s="3">
        <v>1.3899442963730189</v>
      </c>
      <c r="AH500" s="1">
        <v>6255</v>
      </c>
      <c r="AI500" s="1" t="b">
        <v>1</v>
      </c>
    </row>
    <row r="501" spans="1:35" x14ac:dyDescent="0.25">
      <c r="A501" s="1">
        <v>19</v>
      </c>
      <c r="B501" s="1">
        <v>11</v>
      </c>
      <c r="C501" s="1">
        <v>2019</v>
      </c>
      <c r="G501" s="1" t="s">
        <v>38</v>
      </c>
      <c r="H501" s="2">
        <v>7.29</v>
      </c>
      <c r="I501" s="1">
        <v>15</v>
      </c>
      <c r="U501" s="1">
        <v>29</v>
      </c>
      <c r="X501" s="1">
        <v>22</v>
      </c>
      <c r="AA501" s="1">
        <v>4</v>
      </c>
      <c r="AB501" s="1">
        <v>4</v>
      </c>
      <c r="AC501" s="1">
        <v>1141</v>
      </c>
      <c r="AF501" s="3">
        <v>2.0576131687242798</v>
      </c>
      <c r="AG501" s="3">
        <v>1.952295436359875</v>
      </c>
      <c r="AH501" s="1">
        <v>6255</v>
      </c>
      <c r="AI501" s="1" t="b">
        <v>1</v>
      </c>
    </row>
    <row r="502" spans="1:35" x14ac:dyDescent="0.25">
      <c r="A502" s="1">
        <v>19</v>
      </c>
      <c r="B502" s="1">
        <v>11</v>
      </c>
      <c r="C502" s="1">
        <v>2019</v>
      </c>
      <c r="G502" s="1" t="s">
        <v>38</v>
      </c>
      <c r="H502" s="2">
        <v>6.88</v>
      </c>
      <c r="I502" s="1">
        <v>14</v>
      </c>
      <c r="U502" s="1">
        <v>29</v>
      </c>
      <c r="X502" s="1">
        <v>23</v>
      </c>
      <c r="AA502" s="1">
        <v>4</v>
      </c>
      <c r="AB502" s="1">
        <v>4</v>
      </c>
      <c r="AC502" s="1">
        <v>1010</v>
      </c>
      <c r="AF502" s="3">
        <v>2.0348837209302326</v>
      </c>
      <c r="AG502" s="3">
        <v>1.8957117822410887</v>
      </c>
      <c r="AH502" s="1">
        <v>6255</v>
      </c>
      <c r="AI502" s="1" t="b">
        <v>1</v>
      </c>
    </row>
    <row r="503" spans="1:35" x14ac:dyDescent="0.25">
      <c r="A503" s="1">
        <v>19</v>
      </c>
      <c r="B503" s="1">
        <v>11</v>
      </c>
      <c r="C503" s="1">
        <v>2019</v>
      </c>
      <c r="G503" s="1" t="s">
        <v>38</v>
      </c>
      <c r="H503" s="2">
        <v>5.29</v>
      </c>
      <c r="I503" s="1">
        <v>15</v>
      </c>
      <c r="U503" s="1">
        <v>27</v>
      </c>
      <c r="X503" s="1">
        <v>22</v>
      </c>
      <c r="AA503" s="1">
        <v>3</v>
      </c>
      <c r="AB503" s="1">
        <v>4</v>
      </c>
      <c r="AC503" s="1">
        <v>740</v>
      </c>
      <c r="AF503" s="3">
        <v>2.8355387523629489</v>
      </c>
      <c r="AG503" s="3">
        <v>1.1318356875191713</v>
      </c>
      <c r="AH503" s="1">
        <v>6255</v>
      </c>
      <c r="AI503" s="1" t="b">
        <v>1</v>
      </c>
    </row>
    <row r="504" spans="1:35" x14ac:dyDescent="0.25">
      <c r="A504" s="1">
        <v>19</v>
      </c>
      <c r="B504" s="1">
        <v>11</v>
      </c>
      <c r="C504" s="1">
        <v>2019</v>
      </c>
      <c r="G504" s="1" t="s">
        <v>38</v>
      </c>
      <c r="H504" s="2">
        <v>6.86</v>
      </c>
      <c r="I504" s="1">
        <v>24</v>
      </c>
      <c r="U504" s="1">
        <v>36</v>
      </c>
      <c r="X504" s="1">
        <v>31</v>
      </c>
      <c r="AA504" s="1">
        <v>3</v>
      </c>
      <c r="AB504" s="1">
        <v>3</v>
      </c>
      <c r="AC504" s="1">
        <v>1137</v>
      </c>
      <c r="AF504" s="3">
        <v>3.4985422740524781</v>
      </c>
      <c r="AG504" s="3">
        <v>1.1003725679619734</v>
      </c>
      <c r="AH504" s="1">
        <v>6255</v>
      </c>
      <c r="AI504" s="1" t="b">
        <v>1</v>
      </c>
    </row>
    <row r="505" spans="1:35" x14ac:dyDescent="0.25">
      <c r="A505" s="1">
        <v>19</v>
      </c>
      <c r="B505" s="1">
        <v>11</v>
      </c>
      <c r="C505" s="1">
        <v>2019</v>
      </c>
      <c r="G505" s="1" t="s">
        <v>38</v>
      </c>
      <c r="H505" s="2">
        <v>9.51</v>
      </c>
      <c r="I505" s="1">
        <v>30</v>
      </c>
      <c r="U505" s="1">
        <v>42</v>
      </c>
      <c r="X505" s="1">
        <v>36</v>
      </c>
      <c r="AA505" s="1">
        <v>3</v>
      </c>
      <c r="AB505" s="1">
        <v>2</v>
      </c>
      <c r="AC505" s="1">
        <v>1324</v>
      </c>
      <c r="AF505" s="3">
        <v>3.1545741324921135</v>
      </c>
      <c r="AG505" s="3">
        <v>1.5338596539191911</v>
      </c>
      <c r="AH505" s="1">
        <v>6255</v>
      </c>
      <c r="AI505" s="1" t="b">
        <v>1</v>
      </c>
    </row>
    <row r="506" spans="1:35" x14ac:dyDescent="0.25">
      <c r="A506" s="1">
        <v>19</v>
      </c>
      <c r="B506" s="1">
        <v>11</v>
      </c>
      <c r="C506" s="1">
        <v>2019</v>
      </c>
      <c r="G506" s="1" t="s">
        <v>38</v>
      </c>
      <c r="H506" s="2">
        <v>6</v>
      </c>
      <c r="I506" s="1">
        <v>16</v>
      </c>
      <c r="U506" s="1">
        <v>28</v>
      </c>
      <c r="X506" s="1">
        <v>23</v>
      </c>
      <c r="AA506" s="1">
        <v>4</v>
      </c>
      <c r="AB506" s="1">
        <v>3</v>
      </c>
      <c r="AC506" s="1">
        <v>828</v>
      </c>
      <c r="AF506" s="3">
        <v>2.6666666666666665</v>
      </c>
      <c r="AG506" s="3">
        <v>1.3144290324026973</v>
      </c>
      <c r="AH506" s="1">
        <v>6255</v>
      </c>
      <c r="AI506" s="1" t="b">
        <v>1</v>
      </c>
    </row>
    <row r="507" spans="1:35" x14ac:dyDescent="0.25">
      <c r="A507" s="1">
        <v>19</v>
      </c>
      <c r="B507" s="1">
        <v>11</v>
      </c>
      <c r="C507" s="1">
        <v>2019</v>
      </c>
      <c r="G507" s="1" t="s">
        <v>38</v>
      </c>
      <c r="H507" s="2">
        <v>9.4</v>
      </c>
      <c r="I507" s="1">
        <v>19</v>
      </c>
      <c r="U507" s="1">
        <v>30</v>
      </c>
      <c r="X507" s="1">
        <v>27</v>
      </c>
      <c r="AA507" s="1">
        <v>4</v>
      </c>
      <c r="AB507" s="1">
        <v>5</v>
      </c>
      <c r="AC507" s="1">
        <v>1094</v>
      </c>
      <c r="AF507" s="3">
        <v>2.021276595744681</v>
      </c>
      <c r="AG507" s="3">
        <v>2.3744539436845336</v>
      </c>
      <c r="AH507" s="1">
        <v>6255</v>
      </c>
      <c r="AI507" s="1" t="b">
        <v>1</v>
      </c>
    </row>
    <row r="508" spans="1:35" x14ac:dyDescent="0.25">
      <c r="A508" s="1">
        <v>19</v>
      </c>
      <c r="B508" s="1">
        <v>11</v>
      </c>
      <c r="C508" s="1">
        <v>2019</v>
      </c>
      <c r="G508" s="1" t="s">
        <v>38</v>
      </c>
      <c r="H508" s="2">
        <v>4.7</v>
      </c>
      <c r="I508" s="1">
        <v>18</v>
      </c>
      <c r="U508" s="1">
        <v>21</v>
      </c>
      <c r="X508" s="1">
        <v>18</v>
      </c>
      <c r="AA508" s="1">
        <v>1</v>
      </c>
      <c r="AB508" s="1">
        <v>2</v>
      </c>
      <c r="AC508" s="1">
        <v>753</v>
      </c>
      <c r="AF508" s="3">
        <v>3.8297872340425529</v>
      </c>
      <c r="AG508" s="3">
        <v>0.7714252561490047</v>
      </c>
      <c r="AH508" s="1">
        <v>6255</v>
      </c>
      <c r="AI508" s="1" t="b">
        <v>1</v>
      </c>
    </row>
    <row r="509" spans="1:35" x14ac:dyDescent="0.25">
      <c r="A509" s="1">
        <v>19</v>
      </c>
      <c r="B509" s="1">
        <v>11</v>
      </c>
      <c r="C509" s="1">
        <v>2019</v>
      </c>
      <c r="G509" s="1" t="s">
        <v>38</v>
      </c>
      <c r="H509" s="2">
        <v>6.87</v>
      </c>
      <c r="I509" s="1">
        <v>19</v>
      </c>
      <c r="U509" s="1">
        <v>24</v>
      </c>
      <c r="X509" s="1">
        <v>21</v>
      </c>
      <c r="AA509" s="1">
        <v>2</v>
      </c>
      <c r="AB509" s="1">
        <v>2</v>
      </c>
      <c r="AC509" s="1">
        <v>965</v>
      </c>
      <c r="AF509" s="3">
        <v>2.7656477438136826</v>
      </c>
      <c r="AG509" s="3">
        <v>1.3933905218717211</v>
      </c>
      <c r="AH509" s="1">
        <v>6255</v>
      </c>
      <c r="AI509" s="1" t="b">
        <v>1</v>
      </c>
    </row>
    <row r="510" spans="1:35" x14ac:dyDescent="0.25">
      <c r="A510" s="1">
        <v>19</v>
      </c>
      <c r="B510" s="1">
        <v>11</v>
      </c>
      <c r="C510" s="1">
        <v>2019</v>
      </c>
      <c r="G510" s="1" t="s">
        <v>38</v>
      </c>
      <c r="H510" s="2">
        <v>7.77</v>
      </c>
      <c r="I510" s="1">
        <v>17</v>
      </c>
      <c r="V510" s="1">
        <v>30</v>
      </c>
      <c r="X510" s="1">
        <v>25</v>
      </c>
      <c r="AA510" s="1">
        <v>5</v>
      </c>
      <c r="AB510" s="1">
        <v>2</v>
      </c>
      <c r="AC510" s="1">
        <v>853</v>
      </c>
      <c r="AF510" s="3">
        <v>2.1879021879021878</v>
      </c>
      <c r="AG510" s="3">
        <v>1.9198478447800105</v>
      </c>
      <c r="AH510" s="1">
        <v>6255</v>
      </c>
      <c r="AI510" s="1" t="b">
        <v>1</v>
      </c>
    </row>
    <row r="511" spans="1:35" x14ac:dyDescent="0.25">
      <c r="A511" s="1">
        <v>19</v>
      </c>
      <c r="B511" s="1">
        <v>11</v>
      </c>
      <c r="C511" s="1">
        <v>2019</v>
      </c>
      <c r="G511" s="1" t="s">
        <v>38</v>
      </c>
      <c r="H511" s="2">
        <v>8.3800000000000008</v>
      </c>
      <c r="I511" s="1">
        <v>16</v>
      </c>
      <c r="V511" s="1">
        <v>32</v>
      </c>
      <c r="X511" s="1">
        <v>22</v>
      </c>
      <c r="AA511" s="1">
        <v>4</v>
      </c>
      <c r="AB511" s="1">
        <v>4</v>
      </c>
      <c r="AC511" s="1">
        <v>824</v>
      </c>
      <c r="AF511" s="3">
        <v>1.909307875894988</v>
      </c>
      <c r="AG511" s="3">
        <v>2.3195025217393721</v>
      </c>
      <c r="AH511" s="1">
        <v>6255</v>
      </c>
      <c r="AI511" s="1" t="b">
        <v>1</v>
      </c>
    </row>
    <row r="512" spans="1:35" x14ac:dyDescent="0.25">
      <c r="A512" s="1">
        <v>19</v>
      </c>
      <c r="B512" s="1">
        <v>11</v>
      </c>
      <c r="C512" s="1">
        <v>2019</v>
      </c>
      <c r="G512" s="1" t="s">
        <v>38</v>
      </c>
      <c r="H512" s="2">
        <v>6.88</v>
      </c>
      <c r="I512" s="1">
        <v>18</v>
      </c>
      <c r="V512" s="1">
        <v>29</v>
      </c>
      <c r="X512" s="1">
        <v>23</v>
      </c>
      <c r="AA512" s="1">
        <v>3</v>
      </c>
      <c r="AB512" s="1">
        <v>5</v>
      </c>
      <c r="AC512" s="1">
        <v>891</v>
      </c>
      <c r="AF512" s="3">
        <v>2.6162790697674421</v>
      </c>
      <c r="AG512" s="3">
        <v>1.4744424972986245</v>
      </c>
      <c r="AH512" s="1">
        <v>6255</v>
      </c>
      <c r="AI512" s="1" t="b">
        <v>1</v>
      </c>
    </row>
    <row r="513" spans="1:35" x14ac:dyDescent="0.25">
      <c r="A513" s="1">
        <v>21</v>
      </c>
      <c r="B513" s="1">
        <v>11</v>
      </c>
      <c r="C513" s="1">
        <v>2019</v>
      </c>
      <c r="G513" s="1" t="s">
        <v>38</v>
      </c>
      <c r="H513" s="2">
        <v>8.74</v>
      </c>
      <c r="I513" s="1">
        <v>27</v>
      </c>
      <c r="U513" s="1">
        <v>39</v>
      </c>
      <c r="X513" s="1">
        <v>34</v>
      </c>
      <c r="AA513" s="1">
        <v>4</v>
      </c>
      <c r="AB513" s="1">
        <v>3</v>
      </c>
      <c r="AC513" s="1">
        <v>1167</v>
      </c>
      <c r="AF513" s="3">
        <v>3.0892448512585813</v>
      </c>
      <c r="AG513" s="3">
        <v>1.4764055575589328</v>
      </c>
      <c r="AH513" s="1">
        <v>6255</v>
      </c>
      <c r="AI513" s="1" t="b">
        <v>1</v>
      </c>
    </row>
    <row r="514" spans="1:35" x14ac:dyDescent="0.25">
      <c r="A514" s="1">
        <v>21</v>
      </c>
      <c r="B514" s="1">
        <v>11</v>
      </c>
      <c r="C514" s="1">
        <v>2019</v>
      </c>
      <c r="G514" s="1" t="s">
        <v>38</v>
      </c>
      <c r="H514" s="2">
        <v>4.49</v>
      </c>
      <c r="I514" s="1">
        <v>9</v>
      </c>
      <c r="U514" s="1">
        <v>18</v>
      </c>
      <c r="X514" s="1">
        <v>14</v>
      </c>
      <c r="AA514" s="1">
        <v>2</v>
      </c>
      <c r="AB514" s="1">
        <v>3</v>
      </c>
      <c r="AC514" s="1">
        <v>677</v>
      </c>
      <c r="AF514" s="3">
        <v>2.0044543429844097</v>
      </c>
      <c r="AG514" s="3">
        <v>1.4275005040472406</v>
      </c>
      <c r="AH514" s="1">
        <v>6255</v>
      </c>
      <c r="AI514" s="1" t="b">
        <v>1</v>
      </c>
    </row>
    <row r="515" spans="1:35" x14ac:dyDescent="0.25">
      <c r="A515" s="1">
        <v>21</v>
      </c>
      <c r="B515" s="1">
        <v>11</v>
      </c>
      <c r="C515" s="1">
        <v>2019</v>
      </c>
      <c r="G515" s="1" t="s">
        <v>38</v>
      </c>
      <c r="H515" s="2">
        <v>6.03</v>
      </c>
      <c r="I515" s="1">
        <v>15</v>
      </c>
      <c r="V515" s="1">
        <v>23</v>
      </c>
      <c r="X515" s="1">
        <v>19</v>
      </c>
      <c r="AA515" s="1">
        <v>2</v>
      </c>
      <c r="AB515" s="1">
        <v>4</v>
      </c>
      <c r="AC515" s="1">
        <v>768</v>
      </c>
      <c r="AF515" s="3">
        <v>2.4875621890547261</v>
      </c>
      <c r="AG515" s="3">
        <v>1.4139959696530784</v>
      </c>
      <c r="AH515" s="1">
        <v>6255</v>
      </c>
      <c r="AI515" s="1" t="b">
        <v>1</v>
      </c>
    </row>
    <row r="516" spans="1:35" x14ac:dyDescent="0.25">
      <c r="A516" s="1">
        <v>21</v>
      </c>
      <c r="B516" s="1">
        <v>11</v>
      </c>
      <c r="C516" s="1">
        <v>2019</v>
      </c>
      <c r="G516" s="1" t="s">
        <v>38</v>
      </c>
      <c r="H516" s="2">
        <v>7.99</v>
      </c>
      <c r="I516" s="1">
        <v>20</v>
      </c>
      <c r="V516" s="1">
        <v>34</v>
      </c>
      <c r="X516" s="1">
        <v>23</v>
      </c>
      <c r="AA516" s="1">
        <v>3</v>
      </c>
      <c r="AB516" s="1">
        <v>2</v>
      </c>
      <c r="AC516" s="1">
        <v>991</v>
      </c>
      <c r="AF516" s="3">
        <v>2.5031289111389237</v>
      </c>
      <c r="AG516" s="3">
        <v>1.7111951047478349</v>
      </c>
      <c r="AH516" s="1">
        <v>6255</v>
      </c>
      <c r="AI516" s="1" t="b">
        <v>1</v>
      </c>
    </row>
    <row r="517" spans="1:35" x14ac:dyDescent="0.25">
      <c r="A517" s="1">
        <v>21</v>
      </c>
      <c r="B517" s="1">
        <v>11</v>
      </c>
      <c r="C517" s="1">
        <v>2019</v>
      </c>
      <c r="G517" s="1" t="s">
        <v>38</v>
      </c>
      <c r="H517" s="2">
        <v>9.74</v>
      </c>
      <c r="I517" s="1">
        <v>18</v>
      </c>
      <c r="V517" s="1">
        <v>38</v>
      </c>
      <c r="X517" s="1">
        <v>24</v>
      </c>
      <c r="AA517" s="1">
        <v>3</v>
      </c>
      <c r="AB517" s="1">
        <v>2</v>
      </c>
      <c r="AC517" s="1">
        <v>909</v>
      </c>
      <c r="AF517" s="3">
        <v>1.8480492813141682</v>
      </c>
      <c r="AG517" s="3">
        <v>2.6624270780013846</v>
      </c>
      <c r="AH517" s="1">
        <v>6255</v>
      </c>
      <c r="AI517" s="1" t="b">
        <v>1</v>
      </c>
    </row>
    <row r="518" spans="1:35" x14ac:dyDescent="0.25">
      <c r="A518" s="1">
        <v>21</v>
      </c>
      <c r="B518" s="1">
        <v>11</v>
      </c>
      <c r="C518" s="1">
        <v>2019</v>
      </c>
      <c r="G518" s="1" t="s">
        <v>38</v>
      </c>
      <c r="H518" s="2">
        <v>7.34</v>
      </c>
      <c r="I518" s="1">
        <v>22</v>
      </c>
      <c r="V518" s="1">
        <v>34</v>
      </c>
      <c r="X518" s="1">
        <v>28</v>
      </c>
      <c r="AA518" s="1">
        <v>4</v>
      </c>
      <c r="AB518" s="1">
        <v>4</v>
      </c>
      <c r="AC518" s="1">
        <v>808</v>
      </c>
      <c r="AF518" s="3">
        <v>2.9972752043596729</v>
      </c>
      <c r="AG518" s="3">
        <v>1.3466682500804945</v>
      </c>
      <c r="AH518" s="1">
        <v>6255</v>
      </c>
      <c r="AI518" s="1" t="b">
        <v>1</v>
      </c>
    </row>
    <row r="519" spans="1:35" x14ac:dyDescent="0.25">
      <c r="A519" s="1">
        <v>21</v>
      </c>
      <c r="B519" s="1">
        <v>11</v>
      </c>
      <c r="C519" s="1">
        <v>2019</v>
      </c>
      <c r="G519" s="1" t="s">
        <v>38</v>
      </c>
      <c r="H519" s="2">
        <v>2.95</v>
      </c>
      <c r="I519" s="1">
        <v>9</v>
      </c>
      <c r="U519" s="1">
        <v>15</v>
      </c>
      <c r="X519" s="1">
        <v>12</v>
      </c>
      <c r="AA519" s="1">
        <v>2</v>
      </c>
      <c r="AB519" s="1">
        <v>2</v>
      </c>
      <c r="AC519" s="1">
        <v>489</v>
      </c>
      <c r="AF519" s="3">
        <v>3.0508474576271185</v>
      </c>
      <c r="AG519" s="3">
        <v>0.69896417647602549</v>
      </c>
      <c r="AH519" s="1">
        <v>6255</v>
      </c>
      <c r="AI519" s="1" t="b">
        <v>1</v>
      </c>
    </row>
    <row r="520" spans="1:35" x14ac:dyDescent="0.25">
      <c r="A520" s="1">
        <v>21</v>
      </c>
      <c r="B520" s="1">
        <v>11</v>
      </c>
      <c r="C520" s="1">
        <v>2019</v>
      </c>
      <c r="G520" s="1" t="s">
        <v>38</v>
      </c>
      <c r="H520" s="2">
        <v>7.98</v>
      </c>
      <c r="I520" s="1">
        <v>25</v>
      </c>
      <c r="V520" s="1">
        <v>36</v>
      </c>
      <c r="X520" s="1">
        <v>30</v>
      </c>
      <c r="AA520" s="1">
        <v>3</v>
      </c>
      <c r="AB520" s="1">
        <v>2</v>
      </c>
      <c r="AC520" s="1">
        <v>973</v>
      </c>
      <c r="AF520" s="3">
        <v>3.132832080200501</v>
      </c>
      <c r="AG520" s="3">
        <v>1.3660446873283874</v>
      </c>
      <c r="AH520" s="1">
        <v>6255</v>
      </c>
      <c r="AI520" s="1" t="b">
        <v>1</v>
      </c>
    </row>
    <row r="521" spans="1:35" x14ac:dyDescent="0.25">
      <c r="A521" s="1">
        <v>21</v>
      </c>
      <c r="B521" s="1">
        <v>11</v>
      </c>
      <c r="C521" s="1">
        <v>2019</v>
      </c>
      <c r="G521" s="1" t="s">
        <v>38</v>
      </c>
      <c r="H521" s="2">
        <v>2.0699999999999998</v>
      </c>
      <c r="I521" s="1">
        <v>7</v>
      </c>
      <c r="U521" s="1">
        <v>10</v>
      </c>
      <c r="X521" s="1">
        <v>8</v>
      </c>
      <c r="AA521" s="1">
        <v>2</v>
      </c>
      <c r="AB521" s="1">
        <v>2</v>
      </c>
      <c r="AC521" s="1">
        <v>339</v>
      </c>
      <c r="AF521" s="3">
        <v>3.381642512077295</v>
      </c>
      <c r="AG521" s="3">
        <v>0.4920979402834747</v>
      </c>
      <c r="AH521" s="1">
        <v>6255</v>
      </c>
      <c r="AI521" s="1" t="b">
        <v>1</v>
      </c>
    </row>
    <row r="522" spans="1:35" x14ac:dyDescent="0.25">
      <c r="A522" s="1">
        <v>21</v>
      </c>
      <c r="B522" s="1">
        <v>11</v>
      </c>
      <c r="C522" s="1">
        <v>2019</v>
      </c>
      <c r="G522" s="1" t="s">
        <v>38</v>
      </c>
      <c r="H522" s="2">
        <v>3.97</v>
      </c>
      <c r="I522" s="1">
        <v>10</v>
      </c>
      <c r="U522" s="1">
        <v>13</v>
      </c>
      <c r="X522" s="1">
        <v>10</v>
      </c>
      <c r="AA522" s="1">
        <v>1</v>
      </c>
      <c r="AB522" s="1">
        <v>3</v>
      </c>
      <c r="AC522" s="1">
        <v>585</v>
      </c>
      <c r="AF522" s="3">
        <v>2.5188916876574305</v>
      </c>
      <c r="AG522" s="3">
        <v>1.0421827043149221</v>
      </c>
      <c r="AH522" s="1">
        <v>6255</v>
      </c>
      <c r="AI522" s="1" t="b">
        <v>1</v>
      </c>
    </row>
    <row r="523" spans="1:35" x14ac:dyDescent="0.25">
      <c r="A523" s="1">
        <v>24</v>
      </c>
      <c r="B523" s="1">
        <v>11</v>
      </c>
      <c r="C523" s="1">
        <v>2019</v>
      </c>
      <c r="G523" s="1" t="s">
        <v>38</v>
      </c>
      <c r="H523" s="2">
        <v>5.37</v>
      </c>
      <c r="I523" s="1">
        <v>14</v>
      </c>
      <c r="U523" s="1">
        <v>26</v>
      </c>
      <c r="X523" s="1">
        <v>21</v>
      </c>
      <c r="AA523" s="1">
        <v>3</v>
      </c>
      <c r="AB523" s="1">
        <v>4</v>
      </c>
      <c r="AC523" s="1">
        <v>696</v>
      </c>
      <c r="AF523" s="3">
        <v>2.6070763500931098</v>
      </c>
      <c r="AG523" s="3">
        <v>1.2440225421722546</v>
      </c>
      <c r="AH523" s="1">
        <v>6255</v>
      </c>
      <c r="AI523" s="1" t="b">
        <v>1</v>
      </c>
    </row>
    <row r="524" spans="1:35" x14ac:dyDescent="0.25">
      <c r="A524" s="1">
        <v>26</v>
      </c>
      <c r="B524" s="1">
        <v>11</v>
      </c>
      <c r="C524" s="1">
        <v>2019</v>
      </c>
      <c r="G524" s="1" t="s">
        <v>38</v>
      </c>
      <c r="H524" s="2">
        <v>4.2</v>
      </c>
      <c r="I524" s="1">
        <v>10</v>
      </c>
      <c r="U524" s="1">
        <v>19</v>
      </c>
      <c r="X524" s="1">
        <v>16</v>
      </c>
      <c r="AA524" s="1">
        <v>3</v>
      </c>
      <c r="AB524" s="1">
        <v>4</v>
      </c>
      <c r="AC524" s="1">
        <v>662</v>
      </c>
      <c r="AF524" s="3">
        <v>2.3809523809523809</v>
      </c>
      <c r="AG524" s="3">
        <v>1.1468953546165008</v>
      </c>
      <c r="AH524" s="1">
        <v>6256</v>
      </c>
      <c r="AI524" s="1" t="b">
        <v>1</v>
      </c>
    </row>
    <row r="525" spans="1:35" x14ac:dyDescent="0.25">
      <c r="A525" s="1">
        <v>26</v>
      </c>
      <c r="B525" s="1">
        <v>11</v>
      </c>
      <c r="C525" s="1">
        <v>2019</v>
      </c>
      <c r="G525" s="1" t="s">
        <v>38</v>
      </c>
      <c r="H525" s="2">
        <v>8.1</v>
      </c>
      <c r="I525" s="1">
        <v>28</v>
      </c>
      <c r="U525" s="1">
        <v>41</v>
      </c>
      <c r="X525" s="1">
        <v>35</v>
      </c>
      <c r="AA525" s="1">
        <v>3</v>
      </c>
      <c r="AB525" s="1">
        <v>3</v>
      </c>
      <c r="AC525" s="1">
        <v>1041</v>
      </c>
      <c r="AF525" s="3">
        <v>3.4567901234567904</v>
      </c>
      <c r="AG525" s="3">
        <v>1.2510264754349572</v>
      </c>
      <c r="AH525" s="1">
        <v>6256</v>
      </c>
      <c r="AI525" s="1" t="b">
        <v>1</v>
      </c>
    </row>
    <row r="526" spans="1:35" x14ac:dyDescent="0.25">
      <c r="A526" s="1">
        <v>26</v>
      </c>
      <c r="B526" s="1">
        <v>11</v>
      </c>
      <c r="C526" s="1">
        <v>2019</v>
      </c>
      <c r="G526" s="1" t="s">
        <v>38</v>
      </c>
      <c r="H526" s="2">
        <v>5.2</v>
      </c>
      <c r="I526" s="1">
        <v>9</v>
      </c>
      <c r="U526" s="1">
        <v>21</v>
      </c>
      <c r="X526" s="1">
        <v>17</v>
      </c>
      <c r="AA526" s="1">
        <v>6</v>
      </c>
      <c r="AB526" s="1">
        <v>2</v>
      </c>
      <c r="AC526" s="1">
        <v>661</v>
      </c>
      <c r="AF526" s="3">
        <v>1.7307692307692306</v>
      </c>
      <c r="AG526" s="3">
        <v>1.8321590609805662</v>
      </c>
      <c r="AH526" s="1">
        <v>6256</v>
      </c>
      <c r="AI526" s="1" t="b">
        <v>1</v>
      </c>
    </row>
    <row r="527" spans="1:35" x14ac:dyDescent="0.25">
      <c r="A527" s="1">
        <v>26</v>
      </c>
      <c r="B527" s="1">
        <v>11</v>
      </c>
      <c r="C527" s="1">
        <v>2019</v>
      </c>
      <c r="G527" s="1" t="s">
        <v>38</v>
      </c>
      <c r="H527" s="2">
        <v>7.36</v>
      </c>
      <c r="I527" s="1">
        <v>23</v>
      </c>
      <c r="U527" s="1">
        <v>31</v>
      </c>
      <c r="X527" s="1">
        <v>29</v>
      </c>
      <c r="AA527" s="1">
        <v>2</v>
      </c>
      <c r="AB527" s="1">
        <v>5</v>
      </c>
      <c r="AC527" s="1">
        <v>1074</v>
      </c>
      <c r="AF527" s="3">
        <v>3.125</v>
      </c>
      <c r="AG527" s="3">
        <v>1.2940899020278847</v>
      </c>
      <c r="AH527" s="1">
        <v>6256</v>
      </c>
      <c r="AI527" s="1" t="b">
        <v>1</v>
      </c>
    </row>
    <row r="528" spans="1:35" x14ac:dyDescent="0.25">
      <c r="A528" s="1">
        <v>26</v>
      </c>
      <c r="B528" s="1">
        <v>11</v>
      </c>
      <c r="C528" s="1">
        <v>2019</v>
      </c>
      <c r="G528" s="1" t="s">
        <v>38</v>
      </c>
      <c r="H528" s="2">
        <v>6.99</v>
      </c>
      <c r="I528" s="1">
        <v>20</v>
      </c>
      <c r="U528" s="1">
        <v>25</v>
      </c>
      <c r="X528" s="1">
        <v>24</v>
      </c>
      <c r="AA528" s="1">
        <v>2</v>
      </c>
      <c r="AB528" s="1">
        <v>1</v>
      </c>
      <c r="AC528" s="1">
        <v>780</v>
      </c>
      <c r="AF528" s="3">
        <v>2.8612303290414878</v>
      </c>
      <c r="AG528" s="3">
        <v>1.3632678821942994</v>
      </c>
      <c r="AH528" s="1">
        <v>6256</v>
      </c>
      <c r="AI528" s="1" t="b">
        <v>1</v>
      </c>
    </row>
    <row r="529" spans="1:35" x14ac:dyDescent="0.25">
      <c r="A529" s="1">
        <v>26</v>
      </c>
      <c r="B529" s="1">
        <v>11</v>
      </c>
      <c r="C529" s="1">
        <v>2019</v>
      </c>
      <c r="G529" s="1" t="s">
        <v>38</v>
      </c>
      <c r="H529" s="2">
        <v>3.54</v>
      </c>
      <c r="I529" s="1">
        <v>11</v>
      </c>
      <c r="U529" s="1">
        <v>18</v>
      </c>
      <c r="X529" s="1">
        <v>15</v>
      </c>
      <c r="AA529" s="1">
        <v>2</v>
      </c>
      <c r="AB529" s="1">
        <v>3</v>
      </c>
      <c r="AC529" s="1">
        <v>570</v>
      </c>
      <c r="AF529" s="3">
        <v>3.1073446327683616</v>
      </c>
      <c r="AG529" s="3">
        <v>0.7796736559538352</v>
      </c>
      <c r="AH529" s="1">
        <v>6256</v>
      </c>
      <c r="AI529" s="1" t="b">
        <v>1</v>
      </c>
    </row>
    <row r="530" spans="1:35" x14ac:dyDescent="0.25">
      <c r="A530" s="1">
        <v>26</v>
      </c>
      <c r="B530" s="1">
        <v>11</v>
      </c>
      <c r="C530" s="1">
        <v>2019</v>
      </c>
      <c r="G530" s="1" t="s">
        <v>38</v>
      </c>
      <c r="H530" s="2">
        <v>8.0299999999999994</v>
      </c>
      <c r="I530" s="1">
        <v>24</v>
      </c>
      <c r="U530" s="1">
        <v>38</v>
      </c>
      <c r="X530" s="1">
        <v>31</v>
      </c>
      <c r="AA530" s="1">
        <v>3</v>
      </c>
      <c r="AB530" s="1">
        <v>2</v>
      </c>
      <c r="AC530" s="1">
        <v>1158</v>
      </c>
      <c r="AF530" s="3">
        <v>2.9887920298879207</v>
      </c>
      <c r="AG530" s="3">
        <v>1.4381533103075643</v>
      </c>
      <c r="AH530" s="1">
        <v>6256</v>
      </c>
      <c r="AI530" s="1" t="b">
        <v>1</v>
      </c>
    </row>
    <row r="531" spans="1:35" x14ac:dyDescent="0.25">
      <c r="A531" s="1">
        <v>26</v>
      </c>
      <c r="B531" s="1">
        <v>11</v>
      </c>
      <c r="C531" s="1">
        <v>2019</v>
      </c>
      <c r="G531" s="1" t="s">
        <v>38</v>
      </c>
      <c r="H531" s="2">
        <v>3.15</v>
      </c>
      <c r="I531" s="1">
        <v>5</v>
      </c>
      <c r="U531" s="1">
        <v>14</v>
      </c>
      <c r="X531" s="1">
        <v>11</v>
      </c>
      <c r="AA531" s="1">
        <v>3</v>
      </c>
      <c r="AB531" s="1">
        <v>2</v>
      </c>
      <c r="AC531" s="1">
        <v>444</v>
      </c>
      <c r="AF531" s="3">
        <v>1.5873015873015874</v>
      </c>
      <c r="AG531" s="3">
        <v>1.4065589454587444</v>
      </c>
      <c r="AH531" s="1">
        <v>6256</v>
      </c>
      <c r="AI531" s="1" t="b">
        <v>1</v>
      </c>
    </row>
    <row r="532" spans="1:35" x14ac:dyDescent="0.25">
      <c r="A532" s="1">
        <v>26</v>
      </c>
      <c r="B532" s="1">
        <v>11</v>
      </c>
      <c r="C532" s="1">
        <v>2019</v>
      </c>
      <c r="G532" s="1" t="s">
        <v>38</v>
      </c>
      <c r="H532" s="2">
        <v>6.13</v>
      </c>
      <c r="I532" s="1">
        <v>19</v>
      </c>
      <c r="U532" s="1">
        <v>25</v>
      </c>
      <c r="X532" s="1">
        <v>20</v>
      </c>
      <c r="AA532" s="1">
        <v>2</v>
      </c>
      <c r="AB532" s="1">
        <v>3</v>
      </c>
      <c r="AC532" s="1">
        <v>961</v>
      </c>
      <c r="AF532" s="3">
        <v>3.0995106035889073</v>
      </c>
      <c r="AG532" s="3">
        <v>1.1479664764189739</v>
      </c>
      <c r="AH532" s="1">
        <v>6256</v>
      </c>
      <c r="AI532" s="1" t="b">
        <v>1</v>
      </c>
    </row>
    <row r="533" spans="1:35" x14ac:dyDescent="0.25">
      <c r="A533" s="1">
        <v>26</v>
      </c>
      <c r="B533" s="1">
        <v>11</v>
      </c>
      <c r="C533" s="1">
        <v>2019</v>
      </c>
      <c r="G533" s="1" t="s">
        <v>38</v>
      </c>
      <c r="H533" s="2">
        <v>6.77</v>
      </c>
      <c r="I533" s="1">
        <v>19</v>
      </c>
      <c r="U533" s="1">
        <v>27</v>
      </c>
      <c r="X533" s="1">
        <v>23</v>
      </c>
      <c r="AA533" s="1">
        <v>3</v>
      </c>
      <c r="AB533" s="1">
        <v>3</v>
      </c>
      <c r="AC533" s="1">
        <v>992</v>
      </c>
      <c r="AF533" s="3">
        <v>2.8064992614475628</v>
      </c>
      <c r="AG533" s="3">
        <v>1.3590866164992228</v>
      </c>
      <c r="AH533" s="1">
        <v>6256</v>
      </c>
      <c r="AI533" s="1" t="b">
        <v>1</v>
      </c>
    </row>
    <row r="534" spans="1:35" x14ac:dyDescent="0.25">
      <c r="A534" s="1">
        <v>26</v>
      </c>
      <c r="B534" s="1">
        <v>11</v>
      </c>
      <c r="C534" s="1">
        <v>2019</v>
      </c>
      <c r="G534" s="1" t="s">
        <v>38</v>
      </c>
      <c r="H534" s="2">
        <v>5.73</v>
      </c>
      <c r="I534" s="1">
        <v>11</v>
      </c>
      <c r="U534" s="1">
        <v>23</v>
      </c>
      <c r="X534" s="1">
        <v>18</v>
      </c>
      <c r="AA534" s="1">
        <v>3</v>
      </c>
      <c r="AB534" s="1">
        <v>2</v>
      </c>
      <c r="AC534" s="1">
        <v>715</v>
      </c>
      <c r="AF534" s="3">
        <v>1.919720767888307</v>
      </c>
      <c r="AG534" s="3">
        <v>1.7679507887964709</v>
      </c>
      <c r="AH534" s="1">
        <v>6256</v>
      </c>
      <c r="AI534" s="1" t="b">
        <v>1</v>
      </c>
    </row>
    <row r="535" spans="1:35" x14ac:dyDescent="0.25">
      <c r="A535" s="1">
        <v>26</v>
      </c>
      <c r="B535" s="1">
        <v>11</v>
      </c>
      <c r="C535" s="1">
        <v>2019</v>
      </c>
      <c r="G535" s="1" t="s">
        <v>38</v>
      </c>
      <c r="H535" s="2">
        <v>4.95</v>
      </c>
      <c r="I535" s="1">
        <v>10</v>
      </c>
      <c r="U535" s="1">
        <v>20</v>
      </c>
      <c r="X535" s="1">
        <v>15</v>
      </c>
      <c r="AA535" s="1">
        <v>3</v>
      </c>
      <c r="AB535" s="1">
        <v>1</v>
      </c>
      <c r="AC535" s="1">
        <v>721</v>
      </c>
      <c r="AF535" s="3">
        <v>2.0202020202020203</v>
      </c>
      <c r="AG535" s="3">
        <v>1.5164525935049675</v>
      </c>
      <c r="AH535" s="1">
        <v>6256</v>
      </c>
      <c r="AI535" s="1" t="b">
        <v>1</v>
      </c>
    </row>
    <row r="536" spans="1:35" x14ac:dyDescent="0.25">
      <c r="A536" s="1">
        <v>26</v>
      </c>
      <c r="B536" s="1">
        <v>11</v>
      </c>
      <c r="C536" s="1">
        <v>2019</v>
      </c>
      <c r="G536" s="1" t="s">
        <v>38</v>
      </c>
      <c r="H536" s="2">
        <v>7.06</v>
      </c>
      <c r="I536" s="1">
        <v>15</v>
      </c>
      <c r="U536" s="1">
        <v>32</v>
      </c>
      <c r="X536" s="1">
        <v>26</v>
      </c>
      <c r="AA536" s="1">
        <v>4</v>
      </c>
      <c r="AB536" s="1">
        <v>4</v>
      </c>
      <c r="AC536" s="1">
        <v>1148</v>
      </c>
      <c r="AF536" s="3">
        <v>2.1246458923512748</v>
      </c>
      <c r="AG536" s="3">
        <v>1.8487438093113939</v>
      </c>
      <c r="AH536" s="1">
        <v>6256</v>
      </c>
      <c r="AI536" s="1" t="b">
        <v>1</v>
      </c>
    </row>
    <row r="537" spans="1:35" x14ac:dyDescent="0.25">
      <c r="A537" s="1">
        <v>26</v>
      </c>
      <c r="B537" s="1">
        <v>11</v>
      </c>
      <c r="C537" s="1">
        <v>2019</v>
      </c>
      <c r="G537" s="1" t="s">
        <v>38</v>
      </c>
      <c r="H537" s="2">
        <v>5.72</v>
      </c>
      <c r="I537" s="1">
        <v>12</v>
      </c>
      <c r="U537" s="1">
        <v>20</v>
      </c>
      <c r="X537" s="1">
        <v>14</v>
      </c>
      <c r="AA537" s="1">
        <v>3</v>
      </c>
      <c r="AB537" s="1">
        <v>4</v>
      </c>
      <c r="AC537" s="1">
        <v>805</v>
      </c>
      <c r="AF537" s="3">
        <v>2.0979020979020979</v>
      </c>
      <c r="AG537" s="3">
        <v>1.6158163670291483</v>
      </c>
      <c r="AH537" s="1">
        <v>6256</v>
      </c>
      <c r="AI537" s="1" t="b">
        <v>1</v>
      </c>
    </row>
    <row r="538" spans="1:35" x14ac:dyDescent="0.25">
      <c r="A538" s="1">
        <v>26</v>
      </c>
      <c r="B538" s="1">
        <v>11</v>
      </c>
      <c r="C538" s="1">
        <v>2019</v>
      </c>
      <c r="G538" s="1" t="s">
        <v>38</v>
      </c>
      <c r="H538" s="2">
        <v>6.55</v>
      </c>
      <c r="I538" s="1">
        <v>19</v>
      </c>
      <c r="U538" s="1">
        <v>32</v>
      </c>
      <c r="X538" s="1">
        <v>27</v>
      </c>
      <c r="AA538" s="1">
        <v>4</v>
      </c>
      <c r="AB538" s="1">
        <v>3</v>
      </c>
      <c r="AC538" s="1">
        <v>942</v>
      </c>
      <c r="AF538" s="3">
        <v>2.9007633587786259</v>
      </c>
      <c r="AG538" s="3">
        <v>1.2848623670204959</v>
      </c>
      <c r="AH538" s="1">
        <v>6256</v>
      </c>
      <c r="AI538" s="1" t="b">
        <v>1</v>
      </c>
    </row>
    <row r="539" spans="1:35" x14ac:dyDescent="0.25">
      <c r="A539" s="1">
        <v>28</v>
      </c>
      <c r="B539" s="1">
        <v>11</v>
      </c>
      <c r="C539" s="1">
        <v>2019</v>
      </c>
      <c r="G539" s="1" t="s">
        <v>38</v>
      </c>
      <c r="H539" s="2">
        <v>5.25</v>
      </c>
      <c r="I539" s="1">
        <v>11</v>
      </c>
      <c r="V539" s="1">
        <v>25</v>
      </c>
      <c r="X539" s="1">
        <v>18</v>
      </c>
      <c r="AA539" s="1">
        <v>4</v>
      </c>
      <c r="AB539" s="1">
        <v>3</v>
      </c>
      <c r="AC539" s="1">
        <v>919</v>
      </c>
      <c r="AF539" s="3">
        <v>2.0952380952380953</v>
      </c>
      <c r="AG539" s="3">
        <v>1.5236251423580358</v>
      </c>
      <c r="AH539" s="1">
        <v>6256</v>
      </c>
      <c r="AI539" s="1" t="b">
        <v>1</v>
      </c>
    </row>
    <row r="540" spans="1:35" x14ac:dyDescent="0.25">
      <c r="A540" s="1">
        <v>28</v>
      </c>
      <c r="B540" s="1">
        <v>11</v>
      </c>
      <c r="C540" s="1">
        <v>2019</v>
      </c>
      <c r="G540" s="1" t="s">
        <v>38</v>
      </c>
      <c r="H540" s="2">
        <v>5.96</v>
      </c>
      <c r="I540" s="1">
        <v>14</v>
      </c>
      <c r="U540" s="1">
        <v>23</v>
      </c>
      <c r="X540" s="1">
        <v>18</v>
      </c>
      <c r="AA540" s="1">
        <v>3</v>
      </c>
      <c r="AB540" s="1">
        <v>5</v>
      </c>
      <c r="AC540" s="1">
        <v>911</v>
      </c>
      <c r="AF540" s="3">
        <v>2.348993288590604</v>
      </c>
      <c r="AG540" s="3">
        <v>1.4852193744048567</v>
      </c>
      <c r="AH540" s="1">
        <v>6256</v>
      </c>
      <c r="AI540" s="1" t="b">
        <v>1</v>
      </c>
    </row>
    <row r="541" spans="1:35" x14ac:dyDescent="0.25">
      <c r="A541" s="1">
        <v>28</v>
      </c>
      <c r="B541" s="1">
        <v>11</v>
      </c>
      <c r="C541" s="1">
        <v>2019</v>
      </c>
      <c r="G541" s="1" t="s">
        <v>38</v>
      </c>
      <c r="H541" s="2">
        <v>4.0599999999999996</v>
      </c>
      <c r="I541" s="1">
        <v>9</v>
      </c>
      <c r="U541" s="1">
        <v>16</v>
      </c>
      <c r="X541" s="1">
        <v>13</v>
      </c>
      <c r="AA541" s="1">
        <v>2</v>
      </c>
      <c r="AB541" s="1">
        <v>2</v>
      </c>
      <c r="AC541" s="1">
        <v>590</v>
      </c>
      <c r="AF541" s="3">
        <v>2.2167487684729066</v>
      </c>
      <c r="AG541" s="3">
        <v>1.2029615537141172</v>
      </c>
      <c r="AH541" s="1">
        <v>6256</v>
      </c>
      <c r="AI541" s="1" t="b">
        <v>1</v>
      </c>
    </row>
    <row r="542" spans="1:35" x14ac:dyDescent="0.25">
      <c r="A542" s="1">
        <v>28</v>
      </c>
      <c r="B542" s="1">
        <v>11</v>
      </c>
      <c r="C542" s="1">
        <v>2019</v>
      </c>
      <c r="G542" s="1" t="s">
        <v>38</v>
      </c>
      <c r="H542" s="2">
        <v>3.21</v>
      </c>
      <c r="I542" s="1">
        <v>10</v>
      </c>
      <c r="U542" s="1">
        <v>13</v>
      </c>
      <c r="X542" s="1">
        <v>12</v>
      </c>
      <c r="AA542" s="1">
        <v>2</v>
      </c>
      <c r="AB542" s="1">
        <v>4</v>
      </c>
      <c r="AC542" s="1">
        <v>530</v>
      </c>
      <c r="AF542" s="3">
        <v>3.1152647975077881</v>
      </c>
      <c r="AG542" s="3">
        <v>0.7262038635025736</v>
      </c>
      <c r="AH542" s="1">
        <v>6256</v>
      </c>
      <c r="AI542" s="1" t="b">
        <v>1</v>
      </c>
    </row>
    <row r="543" spans="1:35" x14ac:dyDescent="0.25">
      <c r="A543" s="1">
        <v>28</v>
      </c>
      <c r="B543" s="1">
        <v>11</v>
      </c>
      <c r="C543" s="1">
        <v>2019</v>
      </c>
      <c r="G543" s="1" t="s">
        <v>38</v>
      </c>
      <c r="H543" s="2">
        <v>5.54</v>
      </c>
      <c r="I543" s="1">
        <v>17</v>
      </c>
      <c r="U543" s="1">
        <v>26</v>
      </c>
      <c r="X543" s="1">
        <v>21</v>
      </c>
      <c r="AA543" s="1">
        <v>3</v>
      </c>
      <c r="AB543" s="1">
        <v>4</v>
      </c>
      <c r="AC543" s="1">
        <v>940</v>
      </c>
      <c r="AF543" s="3">
        <v>3.0685920577617329</v>
      </c>
      <c r="AG543" s="3">
        <v>1.0802335926443198</v>
      </c>
      <c r="AH543" s="1">
        <v>6256</v>
      </c>
      <c r="AI543" s="1" t="b">
        <v>1</v>
      </c>
    </row>
    <row r="544" spans="1:35" x14ac:dyDescent="0.25">
      <c r="A544" s="1">
        <v>28</v>
      </c>
      <c r="B544" s="1">
        <v>11</v>
      </c>
      <c r="C544" s="1">
        <v>2019</v>
      </c>
      <c r="G544" s="1" t="s">
        <v>38</v>
      </c>
      <c r="H544" s="2">
        <v>4.51</v>
      </c>
      <c r="I544" s="1">
        <v>16</v>
      </c>
      <c r="U544" s="1">
        <v>22</v>
      </c>
      <c r="X544" s="1">
        <v>18</v>
      </c>
      <c r="AA544" s="1">
        <v>2</v>
      </c>
      <c r="AB544" s="1">
        <v>4</v>
      </c>
      <c r="AC544" s="1">
        <v>705</v>
      </c>
      <c r="AF544" s="3">
        <v>3.5476718403547673</v>
      </c>
      <c r="AG544" s="3">
        <v>0.80905889787673357</v>
      </c>
      <c r="AH544" s="1">
        <v>6256</v>
      </c>
      <c r="AI544" s="1" t="b">
        <v>1</v>
      </c>
    </row>
    <row r="545" spans="1:35" x14ac:dyDescent="0.25">
      <c r="A545" s="1">
        <v>28</v>
      </c>
      <c r="B545" s="1">
        <v>11</v>
      </c>
      <c r="C545" s="1">
        <v>2019</v>
      </c>
      <c r="G545" s="1" t="s">
        <v>38</v>
      </c>
      <c r="H545" s="2">
        <v>6.22</v>
      </c>
      <c r="I545" s="1">
        <v>17</v>
      </c>
      <c r="U545" s="1">
        <v>27</v>
      </c>
      <c r="X545" s="1">
        <v>23</v>
      </c>
      <c r="AA545" s="1">
        <v>3</v>
      </c>
      <c r="AB545" s="1">
        <v>4</v>
      </c>
      <c r="AC545" s="1">
        <v>1018</v>
      </c>
      <c r="AF545" s="3">
        <v>2.7331189710610935</v>
      </c>
      <c r="AG545" s="3">
        <v>1.3152088803930251</v>
      </c>
      <c r="AH545" s="1">
        <v>6256</v>
      </c>
      <c r="AI545" s="1" t="b">
        <v>1</v>
      </c>
    </row>
    <row r="546" spans="1:35" x14ac:dyDescent="0.25">
      <c r="A546" s="1">
        <v>28</v>
      </c>
      <c r="B546" s="1">
        <v>11</v>
      </c>
      <c r="C546" s="1">
        <v>2019</v>
      </c>
      <c r="G546" s="1" t="s">
        <v>38</v>
      </c>
      <c r="H546" s="2">
        <v>5.99</v>
      </c>
      <c r="I546" s="1">
        <v>17</v>
      </c>
      <c r="U546" s="1">
        <v>30</v>
      </c>
      <c r="X546" s="1">
        <v>26</v>
      </c>
      <c r="AA546" s="1">
        <v>3</v>
      </c>
      <c r="AB546" s="1">
        <v>2</v>
      </c>
      <c r="AC546" s="1">
        <v>904</v>
      </c>
      <c r="AF546" s="3">
        <v>2.8380634390651083</v>
      </c>
      <c r="AG546" s="3">
        <v>1.2336065784774188</v>
      </c>
      <c r="AH546" s="1">
        <v>6256</v>
      </c>
      <c r="AI546" s="1" t="b">
        <v>1</v>
      </c>
    </row>
    <row r="547" spans="1:35" x14ac:dyDescent="0.25">
      <c r="A547" s="1">
        <v>28</v>
      </c>
      <c r="B547" s="1">
        <v>11</v>
      </c>
      <c r="C547" s="1">
        <v>2019</v>
      </c>
      <c r="G547" s="1" t="s">
        <v>38</v>
      </c>
      <c r="H547" s="2">
        <v>5.22</v>
      </c>
      <c r="I547" s="1">
        <v>11</v>
      </c>
      <c r="V547" s="1">
        <v>21</v>
      </c>
      <c r="X547" s="1">
        <v>14</v>
      </c>
      <c r="AA547" s="1">
        <v>3</v>
      </c>
      <c r="AB547" s="1">
        <v>2</v>
      </c>
      <c r="AC547" s="1">
        <v>788</v>
      </c>
      <c r="AF547" s="3">
        <v>2.1072796934865901</v>
      </c>
      <c r="AG547" s="3">
        <v>1.5088538312104547</v>
      </c>
      <c r="AH547" s="1">
        <v>6256</v>
      </c>
      <c r="AI547" s="1" t="b">
        <v>1</v>
      </c>
    </row>
    <row r="548" spans="1:35" x14ac:dyDescent="0.25">
      <c r="A548" s="1">
        <v>28</v>
      </c>
      <c r="B548" s="1">
        <v>11</v>
      </c>
      <c r="C548" s="1">
        <v>2019</v>
      </c>
      <c r="G548" s="1" t="s">
        <v>38</v>
      </c>
      <c r="H548" s="2">
        <v>6.03</v>
      </c>
      <c r="I548" s="1">
        <v>17</v>
      </c>
      <c r="U548" s="1">
        <v>26</v>
      </c>
      <c r="X548" s="1">
        <v>23</v>
      </c>
      <c r="AA548" s="1">
        <v>4</v>
      </c>
      <c r="AB548" s="1">
        <v>3</v>
      </c>
      <c r="AC548" s="1">
        <v>851</v>
      </c>
      <c r="AF548" s="3">
        <v>2.8192371475953566</v>
      </c>
      <c r="AG548" s="3">
        <v>1.2476435026350692</v>
      </c>
      <c r="AH548" s="1">
        <v>6256</v>
      </c>
      <c r="AI548" s="1" t="b">
        <v>1</v>
      </c>
    </row>
    <row r="549" spans="1:35" x14ac:dyDescent="0.25">
      <c r="A549" s="1">
        <v>28</v>
      </c>
      <c r="B549" s="1">
        <v>11</v>
      </c>
      <c r="C549" s="1">
        <v>2019</v>
      </c>
      <c r="G549" s="1" t="s">
        <v>38</v>
      </c>
      <c r="H549" s="2">
        <v>5.34</v>
      </c>
      <c r="I549" s="1">
        <v>11</v>
      </c>
      <c r="U549" s="1">
        <v>25</v>
      </c>
      <c r="X549" s="1">
        <v>18</v>
      </c>
      <c r="AA549" s="1">
        <v>4</v>
      </c>
      <c r="AB549" s="1">
        <v>4</v>
      </c>
      <c r="AC549" s="1">
        <v>757</v>
      </c>
      <c r="AF549" s="3">
        <v>2.0599250936329589</v>
      </c>
      <c r="AG549" s="3">
        <v>1.5682938947704828</v>
      </c>
      <c r="AH549" s="1">
        <v>6256</v>
      </c>
      <c r="AI549" s="1" t="b">
        <v>1</v>
      </c>
    </row>
    <row r="550" spans="1:35" x14ac:dyDescent="0.25">
      <c r="A550" s="1">
        <v>28</v>
      </c>
      <c r="B550" s="1">
        <v>11</v>
      </c>
      <c r="C550" s="1">
        <v>2019</v>
      </c>
      <c r="G550" s="1" t="s">
        <v>38</v>
      </c>
      <c r="H550" s="2">
        <v>6.45</v>
      </c>
      <c r="I550" s="1">
        <v>17</v>
      </c>
      <c r="U550" s="1">
        <v>29</v>
      </c>
      <c r="X550" s="1">
        <v>25</v>
      </c>
      <c r="AA550" s="1">
        <v>4</v>
      </c>
      <c r="AB550" s="1">
        <v>3</v>
      </c>
      <c r="AC550" s="1">
        <v>974</v>
      </c>
      <c r="AF550" s="3">
        <v>2.635658914728682</v>
      </c>
      <c r="AG550" s="3">
        <v>1.3989512913522215</v>
      </c>
      <c r="AH550" s="1">
        <v>6256</v>
      </c>
      <c r="AI550" s="1" t="b">
        <v>1</v>
      </c>
    </row>
    <row r="551" spans="1:35" x14ac:dyDescent="0.25">
      <c r="A551" s="1">
        <v>28</v>
      </c>
      <c r="B551" s="1">
        <v>11</v>
      </c>
      <c r="C551" s="1">
        <v>2019</v>
      </c>
      <c r="G551" s="1" t="s">
        <v>38</v>
      </c>
      <c r="H551" s="2">
        <v>9.5</v>
      </c>
      <c r="I551" s="1">
        <v>15</v>
      </c>
      <c r="V551" s="1">
        <v>44</v>
      </c>
      <c r="X551" s="1">
        <v>22</v>
      </c>
      <c r="AA551" s="1">
        <v>3</v>
      </c>
      <c r="AB551" s="1">
        <v>2</v>
      </c>
      <c r="AC551" s="1">
        <v>1114</v>
      </c>
      <c r="AF551" s="3">
        <v>1.5789473684210527</v>
      </c>
      <c r="AG551" s="3">
        <v>3.0622374957660887</v>
      </c>
      <c r="AH551" s="1">
        <v>6256</v>
      </c>
      <c r="AI551" s="1" t="b">
        <v>1</v>
      </c>
    </row>
    <row r="552" spans="1:35" x14ac:dyDescent="0.25">
      <c r="A552" s="1">
        <v>28</v>
      </c>
      <c r="B552" s="1">
        <v>11</v>
      </c>
      <c r="C552" s="1">
        <v>2019</v>
      </c>
      <c r="G552" s="1" t="s">
        <v>38</v>
      </c>
      <c r="H552" s="2">
        <v>8.2899999999999991</v>
      </c>
      <c r="I552" s="1">
        <v>23</v>
      </c>
      <c r="V552" s="1">
        <v>33</v>
      </c>
      <c r="X552" s="1">
        <v>25</v>
      </c>
      <c r="AA552" s="1">
        <v>4</v>
      </c>
      <c r="AB552" s="1">
        <v>3</v>
      </c>
      <c r="AC552" s="1">
        <v>1089</v>
      </c>
      <c r="AF552" s="3">
        <v>2.7744270205066348</v>
      </c>
      <c r="AG552" s="3">
        <v>1.5842177171155023</v>
      </c>
      <c r="AH552" s="1">
        <v>6256</v>
      </c>
      <c r="AI552" s="1" t="b">
        <v>1</v>
      </c>
    </row>
    <row r="553" spans="1:35" x14ac:dyDescent="0.25">
      <c r="A553" s="1">
        <v>28</v>
      </c>
      <c r="B553" s="1">
        <v>11</v>
      </c>
      <c r="C553" s="1">
        <v>2019</v>
      </c>
      <c r="G553" s="1" t="s">
        <v>38</v>
      </c>
      <c r="H553" s="2">
        <v>2.2599999999999998</v>
      </c>
      <c r="I553" s="1">
        <v>4</v>
      </c>
      <c r="U553" s="1">
        <v>10</v>
      </c>
      <c r="X553" s="1">
        <v>8</v>
      </c>
      <c r="AA553" s="1">
        <v>3</v>
      </c>
      <c r="AB553" s="1">
        <v>1</v>
      </c>
      <c r="AC553" s="1">
        <v>329</v>
      </c>
      <c r="AF553" s="3">
        <v>1.7699115044247788</v>
      </c>
      <c r="AG553" s="3">
        <v>0.99982583663144053</v>
      </c>
      <c r="AH553" s="1">
        <v>6256</v>
      </c>
      <c r="AI553" s="1" t="b">
        <v>1</v>
      </c>
    </row>
    <row r="554" spans="1:35" x14ac:dyDescent="0.25">
      <c r="A554" s="1">
        <v>28</v>
      </c>
      <c r="B554" s="1">
        <v>11</v>
      </c>
      <c r="C554" s="1">
        <v>2019</v>
      </c>
      <c r="G554" s="1" t="s">
        <v>38</v>
      </c>
      <c r="H554" s="2">
        <v>5.72</v>
      </c>
      <c r="I554" s="1">
        <v>20</v>
      </c>
      <c r="U554" s="1">
        <v>26</v>
      </c>
      <c r="X554" s="1">
        <v>25</v>
      </c>
      <c r="AA554" s="1">
        <v>3</v>
      </c>
      <c r="AB554" s="1">
        <v>3</v>
      </c>
      <c r="AC554" s="1">
        <v>896</v>
      </c>
      <c r="AF554" s="3">
        <v>3.4965034965034967</v>
      </c>
      <c r="AG554" s="3">
        <v>0.96948982021748908</v>
      </c>
      <c r="AH554" s="1">
        <v>6256</v>
      </c>
      <c r="AI554" s="1" t="b">
        <v>1</v>
      </c>
    </row>
    <row r="555" spans="1:35" x14ac:dyDescent="0.25">
      <c r="A555" s="1">
        <v>28</v>
      </c>
      <c r="B555" s="1">
        <v>11</v>
      </c>
      <c r="C555" s="1">
        <v>2019</v>
      </c>
      <c r="G555" s="1" t="s">
        <v>38</v>
      </c>
      <c r="H555" s="2">
        <v>4.0599999999999996</v>
      </c>
      <c r="I555" s="1">
        <v>13</v>
      </c>
      <c r="U555" s="1">
        <v>19</v>
      </c>
      <c r="X555" s="1">
        <v>17</v>
      </c>
      <c r="AA555" s="1">
        <v>2</v>
      </c>
      <c r="AB555" s="1">
        <v>3</v>
      </c>
      <c r="AC555" s="1">
        <v>684</v>
      </c>
      <c r="AF555" s="3">
        <v>3.201970443349754</v>
      </c>
      <c r="AG555" s="3">
        <v>0.83281953718669643</v>
      </c>
      <c r="AH555" s="1">
        <v>6256</v>
      </c>
      <c r="AI555" s="1" t="b">
        <v>1</v>
      </c>
    </row>
    <row r="556" spans="1:35" x14ac:dyDescent="0.25">
      <c r="A556" s="1">
        <v>28</v>
      </c>
      <c r="B556" s="1">
        <v>11</v>
      </c>
      <c r="C556" s="1">
        <v>2019</v>
      </c>
      <c r="G556" s="1" t="s">
        <v>38</v>
      </c>
      <c r="H556" s="2">
        <v>3.96</v>
      </c>
      <c r="I556" s="1">
        <v>9</v>
      </c>
      <c r="U556" s="1">
        <v>12</v>
      </c>
      <c r="X556" s="1">
        <v>12</v>
      </c>
      <c r="AA556" s="1">
        <v>2</v>
      </c>
      <c r="AB556" s="1">
        <v>5</v>
      </c>
      <c r="AC556" s="1">
        <v>726</v>
      </c>
      <c r="AF556" s="3">
        <v>2.2727272727272729</v>
      </c>
      <c r="AG556" s="3">
        <v>1.1530265473577836</v>
      </c>
      <c r="AH556" s="1">
        <v>6256</v>
      </c>
      <c r="AI556" s="1" t="b">
        <v>1</v>
      </c>
    </row>
    <row r="557" spans="1:35" x14ac:dyDescent="0.25">
      <c r="A557" s="1">
        <v>28</v>
      </c>
      <c r="B557" s="1">
        <v>11</v>
      </c>
      <c r="C557" s="1">
        <v>2019</v>
      </c>
      <c r="G557" s="1" t="s">
        <v>38</v>
      </c>
      <c r="H557" s="2">
        <v>3.5</v>
      </c>
      <c r="I557" s="1">
        <v>8</v>
      </c>
      <c r="U557" s="1">
        <v>11</v>
      </c>
      <c r="X557" s="1">
        <v>9</v>
      </c>
      <c r="AA557" s="1">
        <v>2</v>
      </c>
      <c r="AB557" s="1">
        <v>3</v>
      </c>
      <c r="AC557" s="1">
        <v>744</v>
      </c>
      <c r="AF557" s="3">
        <v>2.2857142857142856</v>
      </c>
      <c r="AG557" s="3">
        <v>1.0515397354654274</v>
      </c>
      <c r="AH557" s="1">
        <v>6256</v>
      </c>
      <c r="AI557" s="1" t="b">
        <v>1</v>
      </c>
    </row>
    <row r="558" spans="1:35" x14ac:dyDescent="0.25">
      <c r="A558" s="1">
        <v>28</v>
      </c>
      <c r="B558" s="1">
        <v>11</v>
      </c>
      <c r="C558" s="1">
        <v>2019</v>
      </c>
      <c r="G558" s="1" t="s">
        <v>38</v>
      </c>
      <c r="H558" s="2">
        <v>4.6900000000000004</v>
      </c>
      <c r="I558" s="1">
        <v>11</v>
      </c>
      <c r="U558" s="1">
        <v>22</v>
      </c>
      <c r="X558" s="1">
        <v>18</v>
      </c>
      <c r="AA558" s="1">
        <v>3</v>
      </c>
      <c r="AB558" s="1">
        <v>6</v>
      </c>
      <c r="AC558" s="1">
        <v>704</v>
      </c>
      <c r="AF558" s="3">
        <v>2.3454157782515987</v>
      </c>
      <c r="AG558" s="3">
        <v>1.2577697556234053</v>
      </c>
      <c r="AH558" s="1">
        <v>6256</v>
      </c>
      <c r="AI558" s="1" t="b">
        <v>1</v>
      </c>
    </row>
    <row r="559" spans="1:35" x14ac:dyDescent="0.25">
      <c r="A559" s="1">
        <v>28</v>
      </c>
      <c r="B559" s="1">
        <v>11</v>
      </c>
      <c r="C559" s="1">
        <v>2019</v>
      </c>
      <c r="G559" s="1" t="s">
        <v>38</v>
      </c>
      <c r="H559" s="2">
        <v>5.55</v>
      </c>
      <c r="I559" s="1">
        <v>15</v>
      </c>
      <c r="U559" s="1">
        <v>18</v>
      </c>
      <c r="X559" s="1">
        <v>15</v>
      </c>
      <c r="AA559" s="1">
        <v>2</v>
      </c>
      <c r="AB559" s="1">
        <v>2</v>
      </c>
      <c r="AC559" s="1">
        <v>796</v>
      </c>
      <c r="AF559" s="3">
        <v>2.7027027027027026</v>
      </c>
      <c r="AG559" s="3">
        <v>1.2280238803647558</v>
      </c>
      <c r="AH559" s="1">
        <v>6256</v>
      </c>
      <c r="AI559" s="1" t="b">
        <v>1</v>
      </c>
    </row>
    <row r="560" spans="1:35" x14ac:dyDescent="0.25">
      <c r="A560" s="1">
        <v>28</v>
      </c>
      <c r="B560" s="1">
        <v>11</v>
      </c>
      <c r="C560" s="1">
        <v>2019</v>
      </c>
      <c r="G560" s="1" t="s">
        <v>38</v>
      </c>
      <c r="H560" s="2">
        <v>4.79</v>
      </c>
      <c r="I560" s="1">
        <v>14</v>
      </c>
      <c r="U560" s="1">
        <v>21</v>
      </c>
      <c r="X560" s="1">
        <v>17</v>
      </c>
      <c r="AA560" s="1">
        <v>2</v>
      </c>
      <c r="AB560" s="1">
        <v>6</v>
      </c>
      <c r="AC560" s="1">
        <v>722</v>
      </c>
      <c r="AF560" s="3">
        <v>2.9227557411273488</v>
      </c>
      <c r="AG560" s="3">
        <v>1.0243357664590609</v>
      </c>
      <c r="AH560" s="1">
        <v>6256</v>
      </c>
      <c r="AI560" s="1" t="b">
        <v>1</v>
      </c>
    </row>
    <row r="561" spans="1:35" x14ac:dyDescent="0.25">
      <c r="A561" s="1">
        <v>28</v>
      </c>
      <c r="B561" s="1">
        <v>11</v>
      </c>
      <c r="C561" s="1">
        <v>2019</v>
      </c>
      <c r="G561" s="1" t="s">
        <v>38</v>
      </c>
      <c r="H561" s="2">
        <v>5.23</v>
      </c>
      <c r="I561" s="1">
        <v>17</v>
      </c>
      <c r="U561" s="1">
        <v>22</v>
      </c>
      <c r="X561" s="1">
        <v>19</v>
      </c>
      <c r="AA561" s="1">
        <v>2</v>
      </c>
      <c r="AB561" s="1">
        <v>2</v>
      </c>
      <c r="AC561" s="1">
        <v>795</v>
      </c>
      <c r="AF561" s="3">
        <v>3.2504780114722749</v>
      </c>
      <c r="AG561" s="3">
        <v>0.97949889343198959</v>
      </c>
      <c r="AH561" s="1">
        <v>6256</v>
      </c>
      <c r="AI561" s="1" t="b">
        <v>1</v>
      </c>
    </row>
    <row r="562" spans="1:35" x14ac:dyDescent="0.25">
      <c r="A562" s="1">
        <v>28</v>
      </c>
      <c r="B562" s="1">
        <v>11</v>
      </c>
      <c r="C562" s="1">
        <v>2019</v>
      </c>
      <c r="G562" s="1" t="s">
        <v>38</v>
      </c>
      <c r="H562" s="2">
        <v>7.83</v>
      </c>
      <c r="I562" s="1">
        <v>29</v>
      </c>
      <c r="U562" s="1">
        <v>42</v>
      </c>
      <c r="X562" s="1">
        <v>37</v>
      </c>
      <c r="AA562" s="1">
        <v>3</v>
      </c>
      <c r="AB562" s="1">
        <v>2</v>
      </c>
      <c r="AC562" s="1">
        <v>1236</v>
      </c>
      <c r="AF562" s="3">
        <v>3.7037037037037037</v>
      </c>
      <c r="AG562" s="3">
        <v>1.1402419047194865</v>
      </c>
      <c r="AH562" s="1">
        <v>6256</v>
      </c>
      <c r="AI562" s="1" t="b">
        <v>1</v>
      </c>
    </row>
    <row r="563" spans="1:35" x14ac:dyDescent="0.25">
      <c r="A563" s="1">
        <v>28</v>
      </c>
      <c r="B563" s="1">
        <v>11</v>
      </c>
      <c r="C563" s="1">
        <v>2019</v>
      </c>
      <c r="G563" s="1" t="s">
        <v>38</v>
      </c>
      <c r="H563" s="2">
        <v>5.53</v>
      </c>
      <c r="I563" s="1">
        <v>18</v>
      </c>
      <c r="U563" s="1">
        <v>26</v>
      </c>
      <c r="X563" s="1">
        <v>22</v>
      </c>
      <c r="AA563" s="1">
        <v>3</v>
      </c>
      <c r="AB563" s="1">
        <v>5</v>
      </c>
      <c r="AC563" s="1">
        <v>872</v>
      </c>
      <c r="AF563" s="3">
        <v>3.2549728752260396</v>
      </c>
      <c r="AG563" s="3">
        <v>1.0170919525969229</v>
      </c>
      <c r="AH563" s="1">
        <v>6256</v>
      </c>
      <c r="AI563" s="1" t="b">
        <v>1</v>
      </c>
    </row>
    <row r="564" spans="1:35" x14ac:dyDescent="0.25">
      <c r="A564" s="1">
        <v>28</v>
      </c>
      <c r="B564" s="1">
        <v>11</v>
      </c>
      <c r="C564" s="1">
        <v>2019</v>
      </c>
      <c r="G564" s="1" t="s">
        <v>38</v>
      </c>
      <c r="H564" s="2">
        <v>7.27</v>
      </c>
      <c r="I564" s="1">
        <v>25</v>
      </c>
      <c r="U564" s="1">
        <v>37</v>
      </c>
      <c r="X564" s="1">
        <v>33</v>
      </c>
      <c r="AA564" s="1">
        <v>3</v>
      </c>
      <c r="AB564" s="1">
        <v>2</v>
      </c>
      <c r="AC564" s="1">
        <v>1360</v>
      </c>
      <c r="AF564" s="3">
        <v>3.4387895460797799</v>
      </c>
      <c r="AG564" s="3">
        <v>1.1659192955737248</v>
      </c>
      <c r="AH564" s="1">
        <v>6256</v>
      </c>
      <c r="AI564" s="1" t="b">
        <v>1</v>
      </c>
    </row>
    <row r="565" spans="1:35" x14ac:dyDescent="0.25">
      <c r="A565" s="1">
        <v>28</v>
      </c>
      <c r="B565" s="1">
        <v>11</v>
      </c>
      <c r="C565" s="1">
        <v>2019</v>
      </c>
      <c r="G565" s="1" t="s">
        <v>38</v>
      </c>
      <c r="H565" s="2">
        <v>4.9400000000000004</v>
      </c>
      <c r="I565" s="1">
        <v>14</v>
      </c>
      <c r="U565" s="1">
        <v>23</v>
      </c>
      <c r="X565" s="1">
        <v>19</v>
      </c>
      <c r="AA565" s="1">
        <v>3</v>
      </c>
      <c r="AB565" s="1">
        <v>4</v>
      </c>
      <c r="AC565" s="1">
        <v>753</v>
      </c>
      <c r="AF565" s="3">
        <v>2.8340080971659916</v>
      </c>
      <c r="AG565" s="3">
        <v>1.0794630411993349</v>
      </c>
      <c r="AH565" s="1">
        <v>6256</v>
      </c>
      <c r="AI565" s="1" t="b">
        <v>1</v>
      </c>
    </row>
    <row r="566" spans="1:35" x14ac:dyDescent="0.25">
      <c r="A566" s="1">
        <v>28</v>
      </c>
      <c r="B566" s="1">
        <v>11</v>
      </c>
      <c r="C566" s="1">
        <v>2019</v>
      </c>
      <c r="G566" s="1" t="s">
        <v>38</v>
      </c>
      <c r="H566" s="2">
        <v>5.38</v>
      </c>
      <c r="I566" s="1">
        <v>14</v>
      </c>
      <c r="U566" s="1">
        <v>26</v>
      </c>
      <c r="X566" s="1">
        <v>21</v>
      </c>
      <c r="AA566" s="1">
        <v>3</v>
      </c>
      <c r="AB566" s="1">
        <v>4</v>
      </c>
      <c r="AC566" s="1">
        <v>1119</v>
      </c>
      <c r="AF566" s="3">
        <v>2.6022304832713754</v>
      </c>
      <c r="AG566" s="3">
        <v>1.2479633549309297</v>
      </c>
      <c r="AH566" s="1">
        <v>6256</v>
      </c>
      <c r="AI566" s="1" t="b">
        <v>1</v>
      </c>
    </row>
    <row r="567" spans="1:35" x14ac:dyDescent="0.25">
      <c r="A567" s="1">
        <v>28</v>
      </c>
      <c r="B567" s="1">
        <v>11</v>
      </c>
      <c r="C567" s="1">
        <v>2019</v>
      </c>
      <c r="G567" s="1" t="s">
        <v>38</v>
      </c>
      <c r="H567" s="2">
        <v>4.62</v>
      </c>
      <c r="I567" s="1">
        <v>11</v>
      </c>
      <c r="U567" s="1">
        <v>20</v>
      </c>
      <c r="X567" s="1">
        <v>17</v>
      </c>
      <c r="AA567" s="1">
        <v>3</v>
      </c>
      <c r="AB567" s="1">
        <v>4</v>
      </c>
      <c r="AC567" s="1">
        <v>809</v>
      </c>
      <c r="AF567" s="3">
        <v>2.3809523809523809</v>
      </c>
      <c r="AG567" s="3">
        <v>1.2260231573318909</v>
      </c>
      <c r="AH567" s="1">
        <v>6256</v>
      </c>
      <c r="AI567" s="1" t="b">
        <v>1</v>
      </c>
    </row>
    <row r="568" spans="1:35" x14ac:dyDescent="0.25">
      <c r="A568" s="1">
        <v>28</v>
      </c>
      <c r="B568" s="1">
        <v>11</v>
      </c>
      <c r="C568" s="1">
        <v>2019</v>
      </c>
      <c r="G568" s="1" t="s">
        <v>38</v>
      </c>
      <c r="H568" s="2">
        <v>6.18</v>
      </c>
      <c r="I568" s="1">
        <v>18</v>
      </c>
      <c r="U568" s="1">
        <v>27</v>
      </c>
      <c r="X568" s="1">
        <v>22</v>
      </c>
      <c r="AA568" s="1">
        <v>3</v>
      </c>
      <c r="AB568" s="1">
        <v>3</v>
      </c>
      <c r="AC568" s="1">
        <v>864</v>
      </c>
      <c r="AF568" s="3">
        <v>2.912621359223301</v>
      </c>
      <c r="AG568" s="3">
        <v>1.2285926208717548</v>
      </c>
      <c r="AH568" s="1">
        <v>6256</v>
      </c>
      <c r="AI568" s="1" t="b">
        <v>1</v>
      </c>
    </row>
    <row r="569" spans="1:35" x14ac:dyDescent="0.25">
      <c r="A569" s="1">
        <v>28</v>
      </c>
      <c r="B569" s="1">
        <v>11</v>
      </c>
      <c r="C569" s="1">
        <v>2019</v>
      </c>
      <c r="G569" s="1" t="s">
        <v>38</v>
      </c>
      <c r="H569" s="2">
        <v>7.6</v>
      </c>
      <c r="I569" s="1">
        <v>27</v>
      </c>
      <c r="U569" s="1">
        <v>34</v>
      </c>
      <c r="X569" s="1">
        <v>31</v>
      </c>
      <c r="AA569" s="1">
        <v>3</v>
      </c>
      <c r="AB569" s="1">
        <v>2</v>
      </c>
      <c r="AC569" s="1">
        <v>1395</v>
      </c>
      <c r="AF569" s="3">
        <v>3.5526315789473686</v>
      </c>
      <c r="AG569" s="3">
        <v>1.1641778787070118</v>
      </c>
      <c r="AH569" s="1">
        <v>6256</v>
      </c>
      <c r="AI569" s="1" t="b">
        <v>1</v>
      </c>
    </row>
    <row r="570" spans="1:35" x14ac:dyDescent="0.25">
      <c r="A570" s="1">
        <v>28</v>
      </c>
      <c r="B570" s="1">
        <v>11</v>
      </c>
      <c r="C570" s="1">
        <v>2019</v>
      </c>
      <c r="G570" s="1" t="s">
        <v>38</v>
      </c>
      <c r="H570" s="2">
        <v>5.13</v>
      </c>
      <c r="I570" s="1">
        <v>19</v>
      </c>
      <c r="U570" s="1">
        <v>24</v>
      </c>
      <c r="X570" s="1">
        <v>21</v>
      </c>
      <c r="AA570" s="1">
        <v>2</v>
      </c>
      <c r="AB570" s="1">
        <v>2</v>
      </c>
      <c r="AC570" s="1">
        <v>793</v>
      </c>
      <c r="AF570" s="3">
        <v>3.7037037037037037</v>
      </c>
      <c r="AG570" s="3">
        <v>0.84809776700533412</v>
      </c>
      <c r="AH570" s="1">
        <v>6256</v>
      </c>
      <c r="AI570" s="1" t="b">
        <v>1</v>
      </c>
    </row>
    <row r="571" spans="1:35" x14ac:dyDescent="0.25">
      <c r="A571" s="1">
        <v>28</v>
      </c>
      <c r="B571" s="1">
        <v>11</v>
      </c>
      <c r="C571" s="1">
        <v>2019</v>
      </c>
      <c r="G571" s="1" t="s">
        <v>38</v>
      </c>
      <c r="H571" s="2">
        <v>3.78</v>
      </c>
      <c r="I571" s="1">
        <v>12</v>
      </c>
      <c r="U571" s="1">
        <v>19</v>
      </c>
      <c r="X571" s="1">
        <v>14</v>
      </c>
      <c r="AA571" s="1">
        <v>2</v>
      </c>
      <c r="AB571" s="1">
        <v>3</v>
      </c>
      <c r="AC571" s="1">
        <v>588</v>
      </c>
      <c r="AF571" s="3">
        <v>3.1746031746031749</v>
      </c>
      <c r="AG571" s="3">
        <v>0.79901478147804994</v>
      </c>
      <c r="AH571" s="1">
        <v>6256</v>
      </c>
      <c r="AI571" s="1" t="b">
        <v>1</v>
      </c>
    </row>
    <row r="572" spans="1:35" x14ac:dyDescent="0.25">
      <c r="A572" s="1">
        <v>28</v>
      </c>
      <c r="B572" s="1">
        <v>11</v>
      </c>
      <c r="C572" s="1">
        <v>2019</v>
      </c>
      <c r="G572" s="1" t="s">
        <v>38</v>
      </c>
      <c r="H572" s="2">
        <v>5.36</v>
      </c>
      <c r="I572" s="1">
        <v>19</v>
      </c>
      <c r="U572" s="1">
        <v>28</v>
      </c>
      <c r="X572" s="1">
        <v>25</v>
      </c>
      <c r="AA572" s="1">
        <v>3</v>
      </c>
      <c r="AB572" s="1">
        <v>2</v>
      </c>
      <c r="AC572" s="1">
        <v>918</v>
      </c>
      <c r="AF572" s="3">
        <v>3.544776119402985</v>
      </c>
      <c r="AG572" s="3">
        <v>0.91374821489272273</v>
      </c>
      <c r="AH572" s="1">
        <v>6256</v>
      </c>
      <c r="AI572" s="1" t="b">
        <v>1</v>
      </c>
    </row>
    <row r="573" spans="1:35" x14ac:dyDescent="0.25">
      <c r="A573" s="1">
        <v>28</v>
      </c>
      <c r="B573" s="1">
        <v>11</v>
      </c>
      <c r="C573" s="1">
        <v>2019</v>
      </c>
      <c r="G573" s="1" t="s">
        <v>38</v>
      </c>
      <c r="H573" s="2">
        <v>5.6</v>
      </c>
      <c r="I573" s="1">
        <v>15</v>
      </c>
      <c r="U573" s="1">
        <v>30</v>
      </c>
      <c r="X573" s="1">
        <v>24</v>
      </c>
      <c r="AA573" s="1">
        <v>4</v>
      </c>
      <c r="AB573" s="1">
        <v>3</v>
      </c>
      <c r="AC573" s="1">
        <v>976</v>
      </c>
      <c r="AF573" s="3">
        <v>2.6785714285714288</v>
      </c>
      <c r="AG573" s="3">
        <v>1.246890703194721</v>
      </c>
      <c r="AH573" s="1">
        <v>6256</v>
      </c>
      <c r="AI573" s="1" t="b">
        <v>1</v>
      </c>
    </row>
    <row r="574" spans="1:35" x14ac:dyDescent="0.25">
      <c r="A574" s="1">
        <v>28</v>
      </c>
      <c r="B574" s="1">
        <v>11</v>
      </c>
      <c r="C574" s="1">
        <v>2019</v>
      </c>
      <c r="G574" s="1" t="s">
        <v>38</v>
      </c>
      <c r="H574" s="2">
        <v>7.48</v>
      </c>
      <c r="I574" s="1">
        <v>24</v>
      </c>
      <c r="U574" s="1">
        <v>33</v>
      </c>
      <c r="X574" s="1">
        <v>27</v>
      </c>
      <c r="AA574" s="1">
        <v>2</v>
      </c>
      <c r="AB574" s="1">
        <v>2</v>
      </c>
      <c r="AC574" s="1">
        <v>1042</v>
      </c>
      <c r="AF574" s="3">
        <v>3.2085561497326203</v>
      </c>
      <c r="AG574" s="3">
        <v>1.2747395918053446</v>
      </c>
      <c r="AH574" s="1">
        <v>6256</v>
      </c>
      <c r="AI574" s="1" t="b">
        <v>1</v>
      </c>
    </row>
    <row r="575" spans="1:35" x14ac:dyDescent="0.25">
      <c r="A575" s="1">
        <v>28</v>
      </c>
      <c r="B575" s="1">
        <v>11</v>
      </c>
      <c r="C575" s="1">
        <v>2019</v>
      </c>
      <c r="G575" s="1" t="s">
        <v>38</v>
      </c>
      <c r="H575" s="2">
        <v>5.3</v>
      </c>
      <c r="I575" s="1">
        <v>16</v>
      </c>
      <c r="U575" s="1">
        <v>24</v>
      </c>
      <c r="X575" s="1">
        <v>21</v>
      </c>
      <c r="AA575" s="1">
        <v>3</v>
      </c>
      <c r="AB575" s="1">
        <v>4</v>
      </c>
      <c r="AC575" s="1">
        <v>678</v>
      </c>
      <c r="AF575" s="3">
        <v>3.0188679245283021</v>
      </c>
      <c r="AG575" s="3">
        <v>1.0645081619334031</v>
      </c>
      <c r="AH575" s="1">
        <v>6256</v>
      </c>
      <c r="AI575" s="1" t="b">
        <v>1</v>
      </c>
    </row>
    <row r="576" spans="1:35" x14ac:dyDescent="0.25">
      <c r="A576" s="1">
        <v>28</v>
      </c>
      <c r="B576" s="1">
        <v>11</v>
      </c>
      <c r="C576" s="1">
        <v>2019</v>
      </c>
      <c r="G576" s="1" t="s">
        <v>38</v>
      </c>
      <c r="H576" s="2">
        <v>6.5</v>
      </c>
      <c r="I576" s="1">
        <v>18</v>
      </c>
      <c r="U576" s="1">
        <v>27</v>
      </c>
      <c r="X576" s="1">
        <v>23</v>
      </c>
      <c r="AA576" s="1">
        <v>3</v>
      </c>
      <c r="AB576" s="1">
        <v>2</v>
      </c>
      <c r="AC576" s="1">
        <v>925</v>
      </c>
      <c r="AF576" s="3">
        <v>2.7692307692307692</v>
      </c>
      <c r="AG576" s="3">
        <v>1.3386905608954889</v>
      </c>
      <c r="AH576" s="1">
        <v>6256</v>
      </c>
      <c r="AI576" s="1" t="b">
        <v>1</v>
      </c>
    </row>
    <row r="577" spans="1:35" x14ac:dyDescent="0.25">
      <c r="A577" s="1">
        <v>28</v>
      </c>
      <c r="B577" s="1">
        <v>11</v>
      </c>
      <c r="C577" s="1">
        <v>2019</v>
      </c>
      <c r="G577" s="1" t="s">
        <v>38</v>
      </c>
      <c r="H577" s="2">
        <v>6.98</v>
      </c>
      <c r="I577" s="1">
        <v>16</v>
      </c>
      <c r="U577" s="1">
        <v>25</v>
      </c>
      <c r="X577" s="1">
        <v>19</v>
      </c>
      <c r="AA577" s="1">
        <v>2</v>
      </c>
      <c r="AB577" s="1">
        <v>4</v>
      </c>
      <c r="AC577" s="1">
        <v>850</v>
      </c>
      <c r="AF577" s="3">
        <v>2.2922636103151861</v>
      </c>
      <c r="AG577" s="3">
        <v>1.6999425158362675</v>
      </c>
      <c r="AH577" s="1">
        <v>6256</v>
      </c>
      <c r="AI577" s="1" t="b">
        <v>1</v>
      </c>
    </row>
    <row r="578" spans="1:35" x14ac:dyDescent="0.25">
      <c r="A578" s="1">
        <v>28</v>
      </c>
      <c r="B578" s="1">
        <v>11</v>
      </c>
      <c r="C578" s="1">
        <v>2019</v>
      </c>
      <c r="G578" s="1" t="s">
        <v>38</v>
      </c>
      <c r="H578" s="2">
        <v>4.46</v>
      </c>
      <c r="I578" s="1">
        <v>7</v>
      </c>
      <c r="U578" s="1">
        <v>15</v>
      </c>
      <c r="X578" s="1">
        <v>12</v>
      </c>
      <c r="AA578" s="1">
        <v>3</v>
      </c>
      <c r="AB578" s="1">
        <v>3</v>
      </c>
      <c r="AC578" s="1">
        <v>571</v>
      </c>
      <c r="AF578" s="3">
        <v>1.5695067264573992</v>
      </c>
      <c r="AG578" s="3">
        <v>1.8145595266070464</v>
      </c>
      <c r="AH578" s="1">
        <v>6256</v>
      </c>
      <c r="AI578" s="1" t="b">
        <v>1</v>
      </c>
    </row>
    <row r="579" spans="1:35" x14ac:dyDescent="0.25">
      <c r="A579" s="1">
        <v>28</v>
      </c>
      <c r="B579" s="1">
        <v>11</v>
      </c>
      <c r="C579" s="1">
        <v>2019</v>
      </c>
      <c r="G579" s="1" t="s">
        <v>38</v>
      </c>
      <c r="H579" s="2">
        <v>7.95</v>
      </c>
      <c r="I579" s="1">
        <v>27</v>
      </c>
      <c r="U579" s="1">
        <v>33</v>
      </c>
      <c r="X579" s="1">
        <v>30</v>
      </c>
      <c r="AA579" s="1">
        <v>2</v>
      </c>
      <c r="AB579" s="1">
        <v>2</v>
      </c>
      <c r="AC579" s="1">
        <v>1188</v>
      </c>
      <c r="AF579" s="3">
        <v>3.3962264150943398</v>
      </c>
      <c r="AG579" s="3">
        <v>1.2567831649864407</v>
      </c>
      <c r="AH579" s="1">
        <v>6256</v>
      </c>
      <c r="AI579" s="1" t="b">
        <v>1</v>
      </c>
    </row>
    <row r="580" spans="1:35" x14ac:dyDescent="0.25">
      <c r="A580" s="1">
        <v>28</v>
      </c>
      <c r="B580" s="1">
        <v>11</v>
      </c>
      <c r="C580" s="1">
        <v>2019</v>
      </c>
      <c r="G580" s="1" t="s">
        <v>38</v>
      </c>
      <c r="H580" s="2">
        <v>5.31</v>
      </c>
      <c r="I580" s="1">
        <v>15</v>
      </c>
      <c r="U580" s="1">
        <v>26</v>
      </c>
      <c r="X580" s="1">
        <v>22</v>
      </c>
      <c r="AA580" s="1">
        <v>3</v>
      </c>
      <c r="AB580" s="1">
        <v>4</v>
      </c>
      <c r="AC580" s="1">
        <v>799</v>
      </c>
      <c r="AF580" s="3">
        <v>2.8248587570621471</v>
      </c>
      <c r="AG580" s="3">
        <v>1.1391198682479398</v>
      </c>
      <c r="AH580" s="1">
        <v>6256</v>
      </c>
      <c r="AI580" s="1" t="b">
        <v>1</v>
      </c>
    </row>
    <row r="581" spans="1:35" x14ac:dyDescent="0.25">
      <c r="A581" s="1">
        <v>28</v>
      </c>
      <c r="B581" s="1">
        <v>11</v>
      </c>
      <c r="C581" s="1">
        <v>2019</v>
      </c>
      <c r="G581" s="1" t="s">
        <v>38</v>
      </c>
      <c r="H581" s="2">
        <v>7.68</v>
      </c>
      <c r="I581" s="1">
        <v>17</v>
      </c>
      <c r="U581" s="1">
        <v>35</v>
      </c>
      <c r="X581" s="1">
        <v>27</v>
      </c>
      <c r="AA581" s="1">
        <v>5</v>
      </c>
      <c r="AB581" s="1">
        <v>3</v>
      </c>
      <c r="AC581" s="1">
        <v>1139</v>
      </c>
      <c r="AF581" s="3">
        <v>2.213541666666667</v>
      </c>
      <c r="AG581" s="3">
        <v>1.8821973285437144</v>
      </c>
      <c r="AH581" s="1">
        <v>6256</v>
      </c>
      <c r="AI581" s="1" t="b">
        <v>1</v>
      </c>
    </row>
    <row r="582" spans="1:35" x14ac:dyDescent="0.25">
      <c r="A582" s="1">
        <v>28</v>
      </c>
      <c r="B582" s="1">
        <v>11</v>
      </c>
      <c r="C582" s="1">
        <v>2019</v>
      </c>
      <c r="G582" s="1" t="s">
        <v>38</v>
      </c>
      <c r="H582" s="2">
        <v>5.77</v>
      </c>
      <c r="I582" s="1">
        <v>18</v>
      </c>
      <c r="U582" s="1">
        <v>24</v>
      </c>
      <c r="X582" s="1">
        <v>21</v>
      </c>
      <c r="AA582" s="1">
        <v>2</v>
      </c>
      <c r="AB582" s="1">
        <v>3</v>
      </c>
      <c r="AC582" s="1">
        <v>801</v>
      </c>
      <c r="AF582" s="3">
        <v>3.1195840554592724</v>
      </c>
      <c r="AG582" s="3">
        <v>1.0932673474754639</v>
      </c>
      <c r="AH582" s="1">
        <v>6256</v>
      </c>
      <c r="AI582" s="1" t="b">
        <v>1</v>
      </c>
    </row>
    <row r="583" spans="1:35" x14ac:dyDescent="0.25">
      <c r="A583" s="1">
        <v>28</v>
      </c>
      <c r="B583" s="1">
        <v>11</v>
      </c>
      <c r="C583" s="1">
        <v>2019</v>
      </c>
      <c r="G583" s="1" t="s">
        <v>38</v>
      </c>
      <c r="H583" s="2">
        <v>5.96</v>
      </c>
      <c r="I583" s="1">
        <v>17</v>
      </c>
      <c r="U583" s="1">
        <v>21</v>
      </c>
      <c r="X583" s="1">
        <v>20</v>
      </c>
      <c r="AA583" s="1">
        <v>3</v>
      </c>
      <c r="AB583" s="1">
        <v>5</v>
      </c>
      <c r="AC583" s="1">
        <v>985</v>
      </c>
      <c r="AF583" s="3">
        <v>2.8523489932885906</v>
      </c>
      <c r="AG583" s="3">
        <v>1.2231218377451762</v>
      </c>
      <c r="AH583" s="1">
        <v>6256</v>
      </c>
      <c r="AI583" s="1" t="b">
        <v>1</v>
      </c>
    </row>
    <row r="584" spans="1:35" x14ac:dyDescent="0.25">
      <c r="A584" s="1">
        <v>28</v>
      </c>
      <c r="B584" s="1">
        <v>11</v>
      </c>
      <c r="C584" s="1">
        <v>2019</v>
      </c>
      <c r="G584" s="1" t="s">
        <v>38</v>
      </c>
      <c r="H584" s="2">
        <v>3.42</v>
      </c>
      <c r="I584" s="1">
        <v>7</v>
      </c>
      <c r="U584" s="1">
        <v>12</v>
      </c>
      <c r="X584" s="1">
        <v>9</v>
      </c>
      <c r="AA584" s="1">
        <v>2</v>
      </c>
      <c r="AB584" s="1">
        <v>2</v>
      </c>
      <c r="AC584" s="1">
        <v>579</v>
      </c>
      <c r="AF584" s="3">
        <v>2.0467836257309941</v>
      </c>
      <c r="AG584" s="3">
        <v>1.1554371853060474</v>
      </c>
      <c r="AH584" s="1">
        <v>6256</v>
      </c>
      <c r="AI584" s="1" t="b">
        <v>1</v>
      </c>
    </row>
    <row r="585" spans="1:35" x14ac:dyDescent="0.25">
      <c r="A585" s="1">
        <v>28</v>
      </c>
      <c r="B585" s="1">
        <v>11</v>
      </c>
      <c r="C585" s="1">
        <v>2019</v>
      </c>
      <c r="G585" s="1" t="s">
        <v>38</v>
      </c>
      <c r="H585" s="2">
        <v>6.58</v>
      </c>
      <c r="I585" s="1">
        <v>25</v>
      </c>
      <c r="U585" s="1">
        <v>29</v>
      </c>
      <c r="X585" s="1">
        <v>27</v>
      </c>
      <c r="AA585" s="1">
        <v>2</v>
      </c>
      <c r="AB585" s="1">
        <v>1</v>
      </c>
      <c r="AC585" s="1">
        <v>920</v>
      </c>
      <c r="AF585" s="3">
        <v>3.7993920972644375</v>
      </c>
      <c r="AG585" s="3">
        <v>0.9841108283896659</v>
      </c>
      <c r="AH585" s="1">
        <v>6256</v>
      </c>
      <c r="AI585" s="1" t="b">
        <v>1</v>
      </c>
    </row>
    <row r="586" spans="1:35" x14ac:dyDescent="0.25">
      <c r="A586" s="1">
        <v>28</v>
      </c>
      <c r="B586" s="1">
        <v>11</v>
      </c>
      <c r="C586" s="1">
        <v>2019</v>
      </c>
      <c r="G586" s="1" t="s">
        <v>38</v>
      </c>
      <c r="H586" s="2">
        <v>7.09</v>
      </c>
      <c r="I586" s="1">
        <v>15</v>
      </c>
      <c r="U586" s="1">
        <v>27</v>
      </c>
      <c r="X586" s="1">
        <v>23</v>
      </c>
      <c r="AA586" s="1">
        <v>4</v>
      </c>
      <c r="AB586" s="1">
        <v>4</v>
      </c>
      <c r="AC586" s="1">
        <v>965</v>
      </c>
      <c r="AF586" s="3">
        <v>2.1156558533145278</v>
      </c>
      <c r="AG586" s="3">
        <v>1.862118611255666</v>
      </c>
      <c r="AH586" s="1">
        <v>6256</v>
      </c>
      <c r="AI586" s="1" t="b">
        <v>1</v>
      </c>
    </row>
    <row r="587" spans="1:35" x14ac:dyDescent="0.25">
      <c r="A587" s="1">
        <v>28</v>
      </c>
      <c r="B587" s="1">
        <v>11</v>
      </c>
      <c r="C587" s="1">
        <v>2019</v>
      </c>
      <c r="G587" s="1" t="s">
        <v>38</v>
      </c>
      <c r="H587" s="2">
        <v>8.52</v>
      </c>
      <c r="I587" s="1">
        <v>28</v>
      </c>
      <c r="U587" s="1">
        <v>40</v>
      </c>
      <c r="X587" s="1">
        <v>36</v>
      </c>
      <c r="AA587" s="1">
        <v>3</v>
      </c>
      <c r="AB587" s="1">
        <v>2</v>
      </c>
      <c r="AC587" s="1">
        <v>1034</v>
      </c>
      <c r="AF587" s="3">
        <v>3.286384976525822</v>
      </c>
      <c r="AG587" s="3">
        <v>1.3632932353834364</v>
      </c>
      <c r="AH587" s="1">
        <v>6256</v>
      </c>
      <c r="AI587" s="1" t="b">
        <v>1</v>
      </c>
    </row>
    <row r="588" spans="1:35" x14ac:dyDescent="0.25">
      <c r="A588" s="1">
        <v>28</v>
      </c>
      <c r="B588" s="1">
        <v>11</v>
      </c>
      <c r="C588" s="1">
        <v>2019</v>
      </c>
      <c r="G588" s="1" t="s">
        <v>38</v>
      </c>
      <c r="H588" s="2">
        <v>5.37</v>
      </c>
      <c r="I588" s="1">
        <v>17</v>
      </c>
      <c r="U588" s="1">
        <v>25</v>
      </c>
      <c r="X588" s="1">
        <v>21</v>
      </c>
      <c r="AA588" s="1">
        <v>2</v>
      </c>
      <c r="AB588" s="1">
        <v>3</v>
      </c>
      <c r="AC588" s="1">
        <v>828</v>
      </c>
      <c r="AF588" s="3">
        <v>3.1657355679702048</v>
      </c>
      <c r="AG588" s="3">
        <v>1.0244891523771509</v>
      </c>
      <c r="AH588" s="1">
        <v>6256</v>
      </c>
      <c r="AI588" s="1" t="b">
        <v>1</v>
      </c>
    </row>
    <row r="589" spans="1:35" x14ac:dyDescent="0.25">
      <c r="A589" s="1">
        <v>28</v>
      </c>
      <c r="B589" s="1">
        <v>11</v>
      </c>
      <c r="C589" s="1">
        <v>2019</v>
      </c>
      <c r="G589" s="1" t="s">
        <v>38</v>
      </c>
      <c r="H589" s="2">
        <v>4.7699999999999996</v>
      </c>
      <c r="I589" s="1">
        <v>12</v>
      </c>
      <c r="U589" s="1">
        <v>16</v>
      </c>
      <c r="X589" s="1">
        <v>15</v>
      </c>
      <c r="AA589" s="1">
        <v>2</v>
      </c>
      <c r="AB589" s="1">
        <v>3</v>
      </c>
      <c r="AC589" s="1">
        <v>719</v>
      </c>
      <c r="AF589" s="3">
        <v>2.5157232704402519</v>
      </c>
      <c r="AG589" s="3">
        <v>1.1865881265838463</v>
      </c>
      <c r="AH589" s="1">
        <v>6256</v>
      </c>
      <c r="AI589" s="1" t="b">
        <v>1</v>
      </c>
    </row>
    <row r="590" spans="1:35" x14ac:dyDescent="0.25">
      <c r="A590" s="1">
        <v>28</v>
      </c>
      <c r="B590" s="1">
        <v>11</v>
      </c>
      <c r="C590" s="1">
        <v>2019</v>
      </c>
      <c r="G590" s="1" t="s">
        <v>38</v>
      </c>
      <c r="H590" s="2">
        <v>6.93</v>
      </c>
      <c r="I590" s="1">
        <v>24</v>
      </c>
      <c r="U590" s="1">
        <v>32</v>
      </c>
      <c r="X590" s="1">
        <v>31</v>
      </c>
      <c r="AA590" s="1">
        <v>3</v>
      </c>
      <c r="AB590" s="1">
        <v>2</v>
      </c>
      <c r="AC590" s="1">
        <v>984</v>
      </c>
      <c r="AF590" s="3">
        <v>3.4632034632034632</v>
      </c>
      <c r="AG590" s="3">
        <v>1.1195287659651278</v>
      </c>
      <c r="AH590" s="1">
        <v>6256</v>
      </c>
      <c r="AI590" s="1" t="b">
        <v>1</v>
      </c>
    </row>
    <row r="591" spans="1:35" x14ac:dyDescent="0.25">
      <c r="A591" s="1">
        <v>28</v>
      </c>
      <c r="B591" s="1">
        <v>11</v>
      </c>
      <c r="C591" s="1">
        <v>2019</v>
      </c>
      <c r="G591" s="1" t="s">
        <v>38</v>
      </c>
      <c r="H591" s="2">
        <v>2.93</v>
      </c>
      <c r="I591" s="1">
        <v>6</v>
      </c>
      <c r="U591" s="1">
        <v>10</v>
      </c>
      <c r="X591" s="1">
        <v>8</v>
      </c>
      <c r="AA591" s="1">
        <v>3</v>
      </c>
      <c r="AB591" s="1">
        <v>3</v>
      </c>
      <c r="AC591" s="1">
        <v>405</v>
      </c>
      <c r="AF591" s="3">
        <v>2.0477815699658701</v>
      </c>
      <c r="AG591" s="3">
        <v>1.0363911701328405</v>
      </c>
      <c r="AH591" s="1">
        <v>6256</v>
      </c>
      <c r="AI591" s="1" t="b">
        <v>1</v>
      </c>
    </row>
    <row r="592" spans="1:35" x14ac:dyDescent="0.25">
      <c r="A592" s="1">
        <v>28</v>
      </c>
      <c r="B592" s="1">
        <v>11</v>
      </c>
      <c r="C592" s="1">
        <v>2019</v>
      </c>
      <c r="G592" s="1" t="s">
        <v>38</v>
      </c>
      <c r="H592" s="2">
        <v>8.1999999999999993</v>
      </c>
      <c r="I592" s="1">
        <v>21</v>
      </c>
      <c r="U592" s="1">
        <v>41</v>
      </c>
      <c r="X592" s="1">
        <v>35</v>
      </c>
      <c r="AA592" s="1">
        <v>5</v>
      </c>
      <c r="AB592" s="1">
        <v>2</v>
      </c>
      <c r="AC592" s="1">
        <v>1402</v>
      </c>
      <c r="AF592" s="3">
        <v>2.5609756097560976</v>
      </c>
      <c r="AG592" s="3">
        <v>1.703194532632534</v>
      </c>
      <c r="AH592" s="1">
        <v>6256</v>
      </c>
      <c r="AI592" s="1" t="b">
        <v>1</v>
      </c>
    </row>
    <row r="593" spans="1:35" x14ac:dyDescent="0.25">
      <c r="A593" s="1">
        <v>28</v>
      </c>
      <c r="B593" s="1">
        <v>11</v>
      </c>
      <c r="C593" s="1">
        <v>2019</v>
      </c>
      <c r="G593" s="1" t="s">
        <v>38</v>
      </c>
      <c r="H593" s="2">
        <v>4.7300000000000004</v>
      </c>
      <c r="I593" s="1">
        <v>14</v>
      </c>
      <c r="U593" s="1">
        <v>23</v>
      </c>
      <c r="X593" s="1">
        <v>18</v>
      </c>
      <c r="AA593" s="1">
        <v>3</v>
      </c>
      <c r="AB593" s="1">
        <v>1</v>
      </c>
      <c r="AC593" s="1">
        <v>817</v>
      </c>
      <c r="AF593" s="3">
        <v>2.9598308668076108</v>
      </c>
      <c r="AG593" s="3">
        <v>1.0026189380837287</v>
      </c>
      <c r="AH593" s="1">
        <v>6256</v>
      </c>
      <c r="AI593" s="1" t="b">
        <v>1</v>
      </c>
    </row>
    <row r="594" spans="1:35" x14ac:dyDescent="0.25">
      <c r="A594" s="1">
        <v>28</v>
      </c>
      <c r="B594" s="1">
        <v>11</v>
      </c>
      <c r="C594" s="1">
        <v>2019</v>
      </c>
      <c r="G594" s="1" t="s">
        <v>38</v>
      </c>
      <c r="H594" s="2">
        <v>5.36</v>
      </c>
      <c r="I594" s="1">
        <v>13</v>
      </c>
      <c r="U594" s="1">
        <v>24</v>
      </c>
      <c r="X594" s="1">
        <v>21</v>
      </c>
      <c r="AA594" s="1">
        <v>2</v>
      </c>
      <c r="AB594" s="1">
        <v>3</v>
      </c>
      <c r="AC594" s="1">
        <v>864</v>
      </c>
      <c r="AF594" s="3">
        <v>2.4253731343283582</v>
      </c>
      <c r="AG594" s="3">
        <v>1.3354781602278256</v>
      </c>
      <c r="AH594" s="1">
        <v>6256</v>
      </c>
      <c r="AI594" s="1" t="b">
        <v>1</v>
      </c>
    </row>
    <row r="595" spans="1:35" x14ac:dyDescent="0.25">
      <c r="A595" s="1">
        <v>29</v>
      </c>
      <c r="B595" s="1">
        <v>11</v>
      </c>
      <c r="C595" s="1">
        <v>2019</v>
      </c>
      <c r="G595" s="1" t="s">
        <v>38</v>
      </c>
      <c r="H595" s="2">
        <v>4.83</v>
      </c>
      <c r="I595" s="1">
        <v>13</v>
      </c>
      <c r="U595" s="1">
        <v>17</v>
      </c>
      <c r="X595" s="1">
        <v>14</v>
      </c>
      <c r="AA595" s="1">
        <v>2</v>
      </c>
      <c r="AB595" s="1">
        <v>4</v>
      </c>
      <c r="AC595" s="1">
        <v>741</v>
      </c>
      <c r="AF595" s="3">
        <v>2.691511387163561</v>
      </c>
      <c r="AG595" s="3">
        <v>1.118836870910378</v>
      </c>
      <c r="AH595" s="1">
        <v>6256</v>
      </c>
      <c r="AI595" s="1" t="b">
        <v>1</v>
      </c>
    </row>
    <row r="596" spans="1:35" x14ac:dyDescent="0.25">
      <c r="A596" s="1">
        <v>29</v>
      </c>
      <c r="B596" s="1">
        <v>11</v>
      </c>
      <c r="C596" s="1">
        <v>2019</v>
      </c>
      <c r="G596" s="1" t="s">
        <v>38</v>
      </c>
      <c r="H596" s="2">
        <v>3.63</v>
      </c>
      <c r="I596" s="1">
        <v>10</v>
      </c>
      <c r="U596" s="1">
        <v>19</v>
      </c>
      <c r="X596" s="1">
        <v>15</v>
      </c>
      <c r="AA596" s="1">
        <v>3</v>
      </c>
      <c r="AB596" s="1">
        <v>3</v>
      </c>
      <c r="AC596" s="1">
        <v>602</v>
      </c>
      <c r="AF596" s="3">
        <v>2.7548209366391188</v>
      </c>
      <c r="AG596" s="3">
        <v>0.89503756374470123</v>
      </c>
      <c r="AH596" s="1">
        <v>6256</v>
      </c>
      <c r="AI596" s="1" t="b">
        <v>1</v>
      </c>
    </row>
    <row r="597" spans="1:35" x14ac:dyDescent="0.25">
      <c r="A597" s="1">
        <v>29</v>
      </c>
      <c r="B597" s="1">
        <v>11</v>
      </c>
      <c r="C597" s="1">
        <v>2019</v>
      </c>
      <c r="G597" s="1" t="s">
        <v>38</v>
      </c>
      <c r="H597" s="2">
        <v>9.14</v>
      </c>
      <c r="I597" s="1">
        <v>33</v>
      </c>
      <c r="U597" s="1">
        <v>43</v>
      </c>
      <c r="X597" s="1">
        <v>37</v>
      </c>
      <c r="AA597" s="1">
        <v>3</v>
      </c>
      <c r="AB597" s="1">
        <v>3</v>
      </c>
      <c r="AC597" s="1">
        <v>1510</v>
      </c>
      <c r="AF597" s="3">
        <v>3.6105032822757108</v>
      </c>
      <c r="AG597" s="3">
        <v>1.3034506496869618</v>
      </c>
      <c r="AH597" s="1">
        <v>6256</v>
      </c>
      <c r="AI597" s="1" t="b">
        <v>1</v>
      </c>
    </row>
    <row r="598" spans="1:35" x14ac:dyDescent="0.25">
      <c r="A598" s="1">
        <v>29</v>
      </c>
      <c r="B598" s="1">
        <v>11</v>
      </c>
      <c r="C598" s="1">
        <v>2019</v>
      </c>
      <c r="G598" s="1" t="s">
        <v>38</v>
      </c>
      <c r="H598" s="2">
        <v>8.1</v>
      </c>
      <c r="I598" s="1">
        <v>24</v>
      </c>
      <c r="U598" s="1">
        <v>42</v>
      </c>
      <c r="X598" s="1">
        <v>37</v>
      </c>
      <c r="AA598" s="1">
        <v>4</v>
      </c>
      <c r="AB598" s="1">
        <v>5</v>
      </c>
      <c r="AC598" s="1">
        <v>1545</v>
      </c>
      <c r="AF598" s="3">
        <v>2.9629629629629632</v>
      </c>
      <c r="AG598" s="3">
        <v>1.45953088800745</v>
      </c>
      <c r="AH598" s="1">
        <v>6256</v>
      </c>
      <c r="AI598" s="1" t="b">
        <v>1</v>
      </c>
    </row>
    <row r="599" spans="1:35" x14ac:dyDescent="0.25">
      <c r="A599" s="1">
        <v>29</v>
      </c>
      <c r="B599" s="1">
        <v>11</v>
      </c>
      <c r="C599" s="1">
        <v>2019</v>
      </c>
      <c r="G599" s="1" t="s">
        <v>38</v>
      </c>
      <c r="H599" s="2">
        <v>4.28</v>
      </c>
      <c r="I599" s="1">
        <v>11</v>
      </c>
      <c r="U599" s="1">
        <v>18</v>
      </c>
      <c r="X599" s="1">
        <v>17</v>
      </c>
      <c r="AA599" s="1">
        <v>3</v>
      </c>
      <c r="AB599" s="1">
        <v>2</v>
      </c>
      <c r="AC599" s="1">
        <v>478</v>
      </c>
      <c r="AF599" s="3">
        <v>2.570093457943925</v>
      </c>
      <c r="AG599" s="3">
        <v>1.076618212313903</v>
      </c>
      <c r="AH599" s="1">
        <v>6256</v>
      </c>
      <c r="AI599" s="1" t="b">
        <v>1</v>
      </c>
    </row>
    <row r="600" spans="1:35" x14ac:dyDescent="0.25">
      <c r="A600" s="1">
        <v>29</v>
      </c>
      <c r="B600" s="1">
        <v>11</v>
      </c>
      <c r="C600" s="1">
        <v>2019</v>
      </c>
      <c r="G600" s="1" t="s">
        <v>38</v>
      </c>
      <c r="H600" s="2">
        <v>7.18</v>
      </c>
      <c r="I600" s="1">
        <v>16</v>
      </c>
      <c r="V600" s="1">
        <v>27</v>
      </c>
      <c r="X600" s="1">
        <v>22</v>
      </c>
      <c r="AA600" s="1">
        <v>4</v>
      </c>
      <c r="AB600" s="1">
        <v>3</v>
      </c>
      <c r="AC600" s="1">
        <v>951</v>
      </c>
      <c r="AF600" s="3">
        <v>2.2284122562674096</v>
      </c>
      <c r="AG600" s="3">
        <v>1.7835758059712252</v>
      </c>
      <c r="AH600" s="1">
        <v>6256</v>
      </c>
      <c r="AI600" s="1" t="b">
        <v>1</v>
      </c>
    </row>
    <row r="601" spans="1:35" x14ac:dyDescent="0.25">
      <c r="A601" s="1">
        <v>29</v>
      </c>
      <c r="B601" s="1">
        <v>11</v>
      </c>
      <c r="C601" s="1">
        <v>2019</v>
      </c>
      <c r="G601" s="1" t="s">
        <v>38</v>
      </c>
      <c r="H601" s="2">
        <v>3.16</v>
      </c>
      <c r="I601" s="1">
        <v>9</v>
      </c>
      <c r="U601" s="1">
        <v>16</v>
      </c>
      <c r="X601" s="1">
        <v>13</v>
      </c>
      <c r="AA601" s="1">
        <v>2</v>
      </c>
      <c r="AB601" s="1">
        <v>1</v>
      </c>
      <c r="AC601" s="1">
        <v>583</v>
      </c>
      <c r="AF601" s="3">
        <v>2.8481012658227849</v>
      </c>
      <c r="AG601" s="3">
        <v>0.78564351678620425</v>
      </c>
      <c r="AH601" s="1">
        <v>6256</v>
      </c>
      <c r="AI601" s="1" t="b">
        <v>1</v>
      </c>
    </row>
    <row r="602" spans="1:35" x14ac:dyDescent="0.25">
      <c r="A602" s="1">
        <v>29</v>
      </c>
      <c r="B602" s="1">
        <v>11</v>
      </c>
      <c r="C602" s="1">
        <v>2019</v>
      </c>
      <c r="G602" s="1" t="s">
        <v>38</v>
      </c>
      <c r="H602" s="2">
        <v>4.66</v>
      </c>
      <c r="I602" s="1">
        <v>12</v>
      </c>
      <c r="U602" s="1">
        <v>18</v>
      </c>
      <c r="X602" s="1">
        <v>15</v>
      </c>
      <c r="AA602" s="1">
        <v>2</v>
      </c>
      <c r="AB602" s="1">
        <v>4</v>
      </c>
      <c r="AC602" s="1">
        <v>760</v>
      </c>
      <c r="AF602" s="3">
        <v>2.5751072961373391</v>
      </c>
      <c r="AG602" s="3">
        <v>1.1404462258984367</v>
      </c>
      <c r="AH602" s="1">
        <v>6256</v>
      </c>
      <c r="AI602" s="1" t="b">
        <v>1</v>
      </c>
    </row>
    <row r="603" spans="1:35" x14ac:dyDescent="0.25">
      <c r="A603" s="1">
        <v>29</v>
      </c>
      <c r="B603" s="1">
        <v>11</v>
      </c>
      <c r="C603" s="1">
        <v>2019</v>
      </c>
      <c r="G603" s="1" t="s">
        <v>38</v>
      </c>
      <c r="H603" s="2">
        <v>7.18</v>
      </c>
      <c r="I603" s="1">
        <v>24</v>
      </c>
      <c r="U603" s="1">
        <v>31</v>
      </c>
      <c r="X603" s="1">
        <v>27</v>
      </c>
      <c r="AA603" s="1">
        <v>2</v>
      </c>
      <c r="AB603" s="1">
        <v>1</v>
      </c>
      <c r="AC603" s="1">
        <v>1095</v>
      </c>
      <c r="AF603" s="3">
        <v>3.3426183844011144</v>
      </c>
      <c r="AG603" s="3">
        <v>1.1890505373141502</v>
      </c>
      <c r="AH603" s="1">
        <v>6256</v>
      </c>
      <c r="AI603" s="1" t="b">
        <v>1</v>
      </c>
    </row>
    <row r="604" spans="1:35" x14ac:dyDescent="0.25">
      <c r="A604" s="1">
        <v>29</v>
      </c>
      <c r="B604" s="1">
        <v>11</v>
      </c>
      <c r="C604" s="1">
        <v>2019</v>
      </c>
      <c r="G604" s="1" t="s">
        <v>38</v>
      </c>
      <c r="H604" s="2">
        <v>5.15</v>
      </c>
      <c r="I604" s="1">
        <v>15</v>
      </c>
      <c r="U604" s="1">
        <v>27</v>
      </c>
      <c r="X604" s="1">
        <v>21</v>
      </c>
      <c r="AA604" s="1">
        <v>2</v>
      </c>
      <c r="AB604" s="1">
        <v>3</v>
      </c>
      <c r="AC604" s="1">
        <v>829</v>
      </c>
      <c r="AF604" s="3">
        <v>2.9126213592233006</v>
      </c>
      <c r="AG604" s="3">
        <v>1.081386716034892</v>
      </c>
      <c r="AH604" s="1">
        <v>6256</v>
      </c>
      <c r="AI604" s="1" t="b">
        <v>1</v>
      </c>
    </row>
    <row r="605" spans="1:35" x14ac:dyDescent="0.25">
      <c r="A605" s="1">
        <v>29</v>
      </c>
      <c r="B605" s="1">
        <v>11</v>
      </c>
      <c r="C605" s="1">
        <v>2019</v>
      </c>
      <c r="G605" s="1" t="s">
        <v>38</v>
      </c>
      <c r="H605" s="2">
        <v>6.07</v>
      </c>
      <c r="I605" s="1">
        <v>14</v>
      </c>
      <c r="U605" s="1">
        <v>22</v>
      </c>
      <c r="X605" s="1">
        <v>19</v>
      </c>
      <c r="AA605" s="1">
        <v>3</v>
      </c>
      <c r="AB605" s="1">
        <v>5</v>
      </c>
      <c r="AC605" s="1">
        <v>1002</v>
      </c>
      <c r="AF605" s="3">
        <v>2.3064250411861615</v>
      </c>
      <c r="AG605" s="3">
        <v>1.5321198495053214</v>
      </c>
      <c r="AH605" s="1">
        <v>6256</v>
      </c>
      <c r="AI605" s="1" t="b">
        <v>1</v>
      </c>
    </row>
    <row r="606" spans="1:35" x14ac:dyDescent="0.25">
      <c r="A606" s="1">
        <v>30</v>
      </c>
      <c r="B606" s="1">
        <v>11</v>
      </c>
      <c r="C606" s="1">
        <v>2019</v>
      </c>
      <c r="G606" s="1" t="s">
        <v>38</v>
      </c>
      <c r="H606" s="2">
        <v>4.97</v>
      </c>
      <c r="I606" s="1">
        <v>15</v>
      </c>
      <c r="U606" s="1">
        <v>26</v>
      </c>
      <c r="X606" s="1">
        <v>21</v>
      </c>
      <c r="AA606" s="1">
        <v>2</v>
      </c>
      <c r="AB606" s="1">
        <v>4</v>
      </c>
      <c r="AC606" s="1">
        <v>902</v>
      </c>
      <c r="AF606" s="3">
        <v>3.018108651911469</v>
      </c>
      <c r="AG606" s="3">
        <v>1.0179222368853844</v>
      </c>
      <c r="AH606" s="1">
        <v>6256</v>
      </c>
      <c r="AI606" s="1" t="b">
        <v>1</v>
      </c>
    </row>
    <row r="607" spans="1:35" x14ac:dyDescent="0.25">
      <c r="A607" s="1">
        <v>30</v>
      </c>
      <c r="B607" s="1">
        <v>11</v>
      </c>
      <c r="C607" s="1">
        <v>2019</v>
      </c>
      <c r="G607" s="1" t="s">
        <v>38</v>
      </c>
      <c r="H607" s="2">
        <v>6.35</v>
      </c>
      <c r="I607" s="1">
        <v>21</v>
      </c>
      <c r="U607" s="1">
        <v>35</v>
      </c>
      <c r="X607" s="1">
        <v>28</v>
      </c>
      <c r="AA607" s="1">
        <v>3</v>
      </c>
      <c r="AB607" s="1">
        <v>3</v>
      </c>
      <c r="AC607" s="1">
        <v>960</v>
      </c>
      <c r="AF607" s="3">
        <v>3.3070866141732287</v>
      </c>
      <c r="AG607" s="3">
        <v>1.1027981738164254</v>
      </c>
      <c r="AH607" s="1">
        <v>6256</v>
      </c>
      <c r="AI607" s="1" t="b">
        <v>1</v>
      </c>
    </row>
    <row r="608" spans="1:35" x14ac:dyDescent="0.25">
      <c r="A608" s="1">
        <v>30</v>
      </c>
      <c r="B608" s="1">
        <v>11</v>
      </c>
      <c r="C608" s="1">
        <v>2019</v>
      </c>
      <c r="G608" s="1" t="s">
        <v>38</v>
      </c>
      <c r="H608" s="2">
        <v>8.51</v>
      </c>
      <c r="I608" s="1">
        <v>23</v>
      </c>
      <c r="U608" s="1">
        <v>37</v>
      </c>
      <c r="X608" s="1">
        <v>32</v>
      </c>
      <c r="AA608" s="1">
        <v>3</v>
      </c>
      <c r="AB608" s="1">
        <v>4</v>
      </c>
      <c r="AC608" s="1">
        <v>1262</v>
      </c>
      <c r="AF608" s="3">
        <v>2.7027027027027026</v>
      </c>
      <c r="AG608" s="3">
        <v>1.6563511597395479</v>
      </c>
      <c r="AH608" s="1">
        <v>6256</v>
      </c>
      <c r="AI608" s="1" t="b">
        <v>1</v>
      </c>
    </row>
    <row r="609" spans="1:35" x14ac:dyDescent="0.25">
      <c r="A609" s="1">
        <v>30</v>
      </c>
      <c r="B609" s="1">
        <v>11</v>
      </c>
      <c r="C609" s="1">
        <v>2019</v>
      </c>
      <c r="G609" s="1" t="s">
        <v>38</v>
      </c>
      <c r="H609" s="2">
        <v>6.83</v>
      </c>
      <c r="I609" s="1">
        <v>21</v>
      </c>
      <c r="U609" s="1">
        <v>29</v>
      </c>
      <c r="X609" s="1">
        <v>26</v>
      </c>
      <c r="AA609" s="1">
        <v>2</v>
      </c>
      <c r="AB609" s="1">
        <v>3</v>
      </c>
      <c r="AC609" s="1">
        <v>1059</v>
      </c>
      <c r="AF609" s="3">
        <v>3.0746705710102487</v>
      </c>
      <c r="AG609" s="3">
        <v>1.2482336941775358</v>
      </c>
      <c r="AH609" s="1">
        <v>6256</v>
      </c>
      <c r="AI609" s="1" t="b">
        <v>1</v>
      </c>
    </row>
    <row r="610" spans="1:35" x14ac:dyDescent="0.25">
      <c r="A610" s="1">
        <v>30</v>
      </c>
      <c r="B610" s="1">
        <v>11</v>
      </c>
      <c r="C610" s="1">
        <v>2019</v>
      </c>
      <c r="G610" s="1" t="s">
        <v>38</v>
      </c>
      <c r="H610" s="2">
        <v>6.65</v>
      </c>
      <c r="I610" s="1">
        <v>19</v>
      </c>
      <c r="U610" s="1">
        <v>26</v>
      </c>
      <c r="X610" s="1">
        <v>22</v>
      </c>
      <c r="AA610" s="1">
        <v>2</v>
      </c>
      <c r="AB610" s="1">
        <v>2</v>
      </c>
      <c r="AC610" s="1">
        <v>960</v>
      </c>
      <c r="AF610" s="3">
        <v>2.8571428571428572</v>
      </c>
      <c r="AG610" s="3">
        <v>1.3183878623324248</v>
      </c>
      <c r="AH610" s="1">
        <v>6256</v>
      </c>
      <c r="AI610" s="1" t="b">
        <v>1</v>
      </c>
    </row>
    <row r="611" spans="1:35" x14ac:dyDescent="0.25">
      <c r="A611" s="1">
        <v>30</v>
      </c>
      <c r="B611" s="1">
        <v>11</v>
      </c>
      <c r="C611" s="1">
        <v>2019</v>
      </c>
      <c r="G611" s="1" t="s">
        <v>38</v>
      </c>
      <c r="H611" s="2">
        <v>6.46</v>
      </c>
      <c r="I611" s="1">
        <v>24</v>
      </c>
      <c r="U611" s="1">
        <v>27</v>
      </c>
      <c r="X611" s="1">
        <v>24</v>
      </c>
      <c r="AA611" s="1">
        <v>1</v>
      </c>
      <c r="AB611" s="1">
        <v>1</v>
      </c>
      <c r="AC611" s="1">
        <v>930</v>
      </c>
      <c r="AF611" s="3">
        <v>3.7151702786377707</v>
      </c>
      <c r="AG611" s="3">
        <v>0.99353698560660852</v>
      </c>
      <c r="AH611" s="1">
        <v>6256</v>
      </c>
      <c r="AI611" s="1" t="b">
        <v>1</v>
      </c>
    </row>
    <row r="612" spans="1:35" x14ac:dyDescent="0.25">
      <c r="A612" s="1">
        <v>30</v>
      </c>
      <c r="B612" s="1">
        <v>11</v>
      </c>
      <c r="C612" s="1">
        <v>2019</v>
      </c>
      <c r="G612" s="1" t="s">
        <v>38</v>
      </c>
      <c r="H612" s="2">
        <v>9.2899999999999991</v>
      </c>
      <c r="I612" s="1">
        <v>29</v>
      </c>
      <c r="U612" s="1">
        <v>44</v>
      </c>
      <c r="X612" s="1">
        <v>34</v>
      </c>
      <c r="AA612" s="1">
        <v>3</v>
      </c>
      <c r="AB612" s="1">
        <v>2</v>
      </c>
      <c r="AC612" s="1">
        <v>1304</v>
      </c>
      <c r="AF612" s="3">
        <v>3.1216361679224978</v>
      </c>
      <c r="AG612" s="3">
        <v>1.5248555889688171</v>
      </c>
      <c r="AH612" s="1">
        <v>6256</v>
      </c>
      <c r="AI612" s="1" t="b">
        <v>1</v>
      </c>
    </row>
    <row r="613" spans="1:35" x14ac:dyDescent="0.25">
      <c r="A613" s="1">
        <v>30</v>
      </c>
      <c r="B613" s="1">
        <v>11</v>
      </c>
      <c r="C613" s="1">
        <v>2019</v>
      </c>
      <c r="G613" s="1" t="s">
        <v>38</v>
      </c>
      <c r="H613" s="2">
        <v>8.14</v>
      </c>
      <c r="I613" s="1">
        <v>30</v>
      </c>
      <c r="U613" s="1">
        <v>43</v>
      </c>
      <c r="X613" s="1">
        <v>40</v>
      </c>
      <c r="AA613" s="1">
        <v>4</v>
      </c>
      <c r="AB613" s="1">
        <v>4</v>
      </c>
      <c r="AC613" s="1">
        <v>1340</v>
      </c>
      <c r="AF613" s="3">
        <v>3.6855036855036851</v>
      </c>
      <c r="AG613" s="3">
        <v>1.1774439257872611</v>
      </c>
      <c r="AH613" s="1">
        <v>6256</v>
      </c>
      <c r="AI613" s="1" t="b">
        <v>1</v>
      </c>
    </row>
    <row r="614" spans="1:35" x14ac:dyDescent="0.25">
      <c r="A614" s="1">
        <v>30</v>
      </c>
      <c r="B614" s="1">
        <v>11</v>
      </c>
      <c r="C614" s="1">
        <v>2019</v>
      </c>
      <c r="G614" s="1" t="s">
        <v>38</v>
      </c>
      <c r="H614" s="2">
        <v>6.37</v>
      </c>
      <c r="I614" s="1">
        <v>23</v>
      </c>
      <c r="U614" s="1">
        <v>25</v>
      </c>
      <c r="X614" s="1">
        <v>23</v>
      </c>
      <c r="AA614" s="1">
        <v>1</v>
      </c>
      <c r="AB614" s="1">
        <v>2</v>
      </c>
      <c r="AC614" s="1">
        <v>841</v>
      </c>
      <c r="AF614" s="3">
        <v>3.6106750392464679</v>
      </c>
      <c r="AG614" s="3">
        <v>1.0122999116679243</v>
      </c>
      <c r="AH614" s="1">
        <v>6256</v>
      </c>
      <c r="AI614" s="1" t="b">
        <v>1</v>
      </c>
    </row>
    <row r="615" spans="1:35" x14ac:dyDescent="0.25">
      <c r="A615" s="1">
        <v>30</v>
      </c>
      <c r="B615" s="1">
        <v>11</v>
      </c>
      <c r="C615" s="1">
        <v>2019</v>
      </c>
      <c r="G615" s="1" t="s">
        <v>38</v>
      </c>
      <c r="H615" s="2">
        <v>6.27</v>
      </c>
      <c r="I615" s="1">
        <v>14</v>
      </c>
      <c r="U615" s="1">
        <v>32</v>
      </c>
      <c r="X615" s="1">
        <v>23</v>
      </c>
      <c r="AA615" s="1">
        <v>5</v>
      </c>
      <c r="AB615" s="1">
        <v>3</v>
      </c>
      <c r="AC615" s="1">
        <v>882</v>
      </c>
      <c r="AF615" s="3">
        <v>2.2328548644338118</v>
      </c>
      <c r="AG615" s="3">
        <v>1.6189252016377567</v>
      </c>
      <c r="AH615" s="1">
        <v>6256</v>
      </c>
      <c r="AI615" s="1" t="b">
        <v>1</v>
      </c>
    </row>
    <row r="616" spans="1:35" x14ac:dyDescent="0.25">
      <c r="A616" s="1">
        <v>30</v>
      </c>
      <c r="B616" s="1">
        <v>11</v>
      </c>
      <c r="C616" s="1">
        <v>2019</v>
      </c>
      <c r="G616" s="1" t="s">
        <v>38</v>
      </c>
      <c r="H616" s="2">
        <v>5.85</v>
      </c>
      <c r="I616" s="1">
        <v>17</v>
      </c>
      <c r="U616" s="1">
        <v>28</v>
      </c>
      <c r="X616" s="1">
        <v>23</v>
      </c>
      <c r="AA616" s="1">
        <v>2</v>
      </c>
      <c r="AB616" s="1">
        <v>4</v>
      </c>
      <c r="AC616" s="1">
        <v>859</v>
      </c>
      <c r="AF616" s="3">
        <v>2.9059829059829063</v>
      </c>
      <c r="AG616" s="3">
        <v>1.1849937259998506</v>
      </c>
      <c r="AH616" s="1">
        <v>6256</v>
      </c>
      <c r="AI616" s="1" t="b">
        <v>1</v>
      </c>
    </row>
    <row r="617" spans="1:35" x14ac:dyDescent="0.25">
      <c r="A617" s="1">
        <v>30</v>
      </c>
      <c r="B617" s="1">
        <v>11</v>
      </c>
      <c r="C617" s="1">
        <v>2019</v>
      </c>
      <c r="G617" s="1" t="s">
        <v>38</v>
      </c>
      <c r="H617" s="2">
        <v>6.08</v>
      </c>
      <c r="I617" s="1">
        <v>13</v>
      </c>
      <c r="U617" s="1">
        <v>25</v>
      </c>
      <c r="X617" s="1">
        <v>22</v>
      </c>
      <c r="AA617" s="1">
        <v>3</v>
      </c>
      <c r="AB617" s="1">
        <v>4</v>
      </c>
      <c r="AC617" s="1">
        <v>833</v>
      </c>
      <c r="AF617" s="3">
        <v>2.138157894736842</v>
      </c>
      <c r="AG617" s="3">
        <v>1.6545989045347844</v>
      </c>
      <c r="AH617" s="1">
        <v>6256</v>
      </c>
      <c r="AI617" s="1" t="b">
        <v>1</v>
      </c>
    </row>
    <row r="618" spans="1:35" x14ac:dyDescent="0.25">
      <c r="A618" s="1">
        <v>30</v>
      </c>
      <c r="B618" s="1">
        <v>11</v>
      </c>
      <c r="C618" s="1">
        <v>2019</v>
      </c>
      <c r="G618" s="1" t="s">
        <v>38</v>
      </c>
      <c r="H618" s="2">
        <v>4.58</v>
      </c>
      <c r="I618" s="1">
        <v>11</v>
      </c>
      <c r="U618" s="1">
        <v>20</v>
      </c>
      <c r="X618" s="1">
        <v>15</v>
      </c>
      <c r="AA618" s="1">
        <v>3</v>
      </c>
      <c r="AB618" s="1">
        <v>4</v>
      </c>
      <c r="AC618" s="1">
        <v>731</v>
      </c>
      <c r="AF618" s="3">
        <v>2.4017467248908297</v>
      </c>
      <c r="AG618" s="3">
        <v>1.2080325252379263</v>
      </c>
      <c r="AH618" s="1">
        <v>6256</v>
      </c>
      <c r="AI618" s="1" t="b">
        <v>1</v>
      </c>
    </row>
    <row r="619" spans="1:35" x14ac:dyDescent="0.25">
      <c r="A619" s="1">
        <v>30</v>
      </c>
      <c r="B619" s="1">
        <v>11</v>
      </c>
      <c r="C619" s="1">
        <v>2019</v>
      </c>
      <c r="G619" s="1" t="s">
        <v>38</v>
      </c>
      <c r="H619" s="2">
        <v>3.52</v>
      </c>
      <c r="I619" s="1">
        <v>11</v>
      </c>
      <c r="U619" s="1">
        <v>15</v>
      </c>
      <c r="X619" s="1">
        <v>14</v>
      </c>
      <c r="AA619" s="1">
        <v>2</v>
      </c>
      <c r="AB619" s="1">
        <v>4</v>
      </c>
      <c r="AC619" s="1">
        <v>539</v>
      </c>
      <c r="AF619" s="3">
        <v>3.125</v>
      </c>
      <c r="AG619" s="3">
        <v>0.77220008084211667</v>
      </c>
      <c r="AH619" s="1">
        <v>6256</v>
      </c>
      <c r="AI619" s="1" t="b">
        <v>1</v>
      </c>
    </row>
    <row r="620" spans="1:35" x14ac:dyDescent="0.25">
      <c r="A620" s="1">
        <v>30</v>
      </c>
      <c r="B620" s="1">
        <v>11</v>
      </c>
      <c r="C620" s="1">
        <v>2019</v>
      </c>
      <c r="G620" s="1" t="s">
        <v>38</v>
      </c>
      <c r="H620" s="2">
        <v>3.81</v>
      </c>
      <c r="I620" s="1">
        <v>7</v>
      </c>
      <c r="U620" s="1">
        <v>19</v>
      </c>
      <c r="X620" s="1">
        <v>15</v>
      </c>
      <c r="AA620" s="1">
        <v>2</v>
      </c>
      <c r="AB620" s="1">
        <v>4</v>
      </c>
      <c r="AC620" s="1">
        <v>795</v>
      </c>
      <c r="AF620" s="3">
        <v>1.837270341207349</v>
      </c>
      <c r="AG620" s="3">
        <v>1.3882715337857956</v>
      </c>
      <c r="AH620" s="1">
        <v>6256</v>
      </c>
      <c r="AI620" s="1" t="b">
        <v>1</v>
      </c>
    </row>
    <row r="621" spans="1:35" x14ac:dyDescent="0.25">
      <c r="A621" s="1">
        <v>30</v>
      </c>
      <c r="B621" s="1">
        <v>11</v>
      </c>
      <c r="C621" s="1">
        <v>2019</v>
      </c>
      <c r="G621" s="1" t="s">
        <v>38</v>
      </c>
      <c r="H621" s="2">
        <v>5.6</v>
      </c>
      <c r="I621" s="1">
        <v>13</v>
      </c>
      <c r="U621" s="1">
        <v>30</v>
      </c>
      <c r="X621" s="1">
        <v>23</v>
      </c>
      <c r="AA621" s="1">
        <v>4</v>
      </c>
      <c r="AB621" s="1">
        <v>4</v>
      </c>
      <c r="AC621" s="1">
        <v>953</v>
      </c>
      <c r="AF621" s="3">
        <v>2.3214285714285716</v>
      </c>
      <c r="AG621" s="3">
        <v>1.4387200421477548</v>
      </c>
      <c r="AH621" s="1">
        <v>6256</v>
      </c>
      <c r="AI621" s="1" t="b">
        <v>1</v>
      </c>
    </row>
    <row r="622" spans="1:35" x14ac:dyDescent="0.25">
      <c r="A622" s="1">
        <v>30</v>
      </c>
      <c r="B622" s="1">
        <v>11</v>
      </c>
      <c r="C622" s="1">
        <v>2019</v>
      </c>
      <c r="G622" s="1" t="s">
        <v>38</v>
      </c>
      <c r="H622" s="2">
        <v>4.96</v>
      </c>
      <c r="I622" s="1">
        <v>14</v>
      </c>
      <c r="U622" s="1">
        <v>18</v>
      </c>
      <c r="X622" s="1">
        <v>14</v>
      </c>
      <c r="AA622" s="1">
        <v>2</v>
      </c>
      <c r="AB622" s="1">
        <v>4</v>
      </c>
      <c r="AC622" s="1">
        <v>791</v>
      </c>
      <c r="AF622" s="3">
        <v>2.8225806451612905</v>
      </c>
      <c r="AG622" s="3">
        <v>1.0869030672908626</v>
      </c>
      <c r="AH622" s="1">
        <v>6256</v>
      </c>
      <c r="AI622" s="1" t="b">
        <v>1</v>
      </c>
    </row>
    <row r="623" spans="1:35" x14ac:dyDescent="0.25">
      <c r="A623" s="1">
        <v>30</v>
      </c>
      <c r="B623" s="1">
        <v>11</v>
      </c>
      <c r="C623" s="1">
        <v>2019</v>
      </c>
      <c r="G623" s="1" t="s">
        <v>38</v>
      </c>
      <c r="H623" s="2">
        <v>7.48</v>
      </c>
      <c r="I623" s="1">
        <v>17</v>
      </c>
      <c r="U623" s="1">
        <v>27</v>
      </c>
      <c r="X623" s="1">
        <v>23</v>
      </c>
      <c r="AA623" s="1">
        <v>4</v>
      </c>
      <c r="AB623" s="1">
        <v>4</v>
      </c>
      <c r="AC623" s="1">
        <v>1117</v>
      </c>
      <c r="AF623" s="3">
        <v>2.2727272727272725</v>
      </c>
      <c r="AG623" s="3">
        <v>1.799632364901663</v>
      </c>
      <c r="AH623" s="1">
        <v>6256</v>
      </c>
      <c r="AI623" s="1" t="b">
        <v>1</v>
      </c>
    </row>
    <row r="624" spans="1:35" x14ac:dyDescent="0.25">
      <c r="A624" s="1">
        <v>30</v>
      </c>
      <c r="B624" s="1">
        <v>11</v>
      </c>
      <c r="C624" s="1">
        <v>2019</v>
      </c>
      <c r="G624" s="1" t="s">
        <v>38</v>
      </c>
      <c r="H624" s="2">
        <v>5.18</v>
      </c>
      <c r="I624" s="1">
        <v>18</v>
      </c>
      <c r="U624" s="1">
        <v>21</v>
      </c>
      <c r="X624" s="1">
        <v>19</v>
      </c>
      <c r="AA624" s="1">
        <v>1</v>
      </c>
      <c r="AB624" s="1">
        <v>3</v>
      </c>
      <c r="AC624" s="1">
        <v>798</v>
      </c>
      <c r="AF624" s="3">
        <v>3.4749034749034751</v>
      </c>
      <c r="AG624" s="3">
        <v>0.91009784594513099</v>
      </c>
      <c r="AH624" s="1">
        <v>6256</v>
      </c>
      <c r="AI624" s="1" t="b">
        <v>1</v>
      </c>
    </row>
    <row r="625" spans="1:35" x14ac:dyDescent="0.25">
      <c r="A625" s="1">
        <v>30</v>
      </c>
      <c r="B625" s="1">
        <v>11</v>
      </c>
      <c r="C625" s="1">
        <v>2019</v>
      </c>
      <c r="G625" s="1" t="s">
        <v>38</v>
      </c>
      <c r="H625" s="2">
        <v>5.54</v>
      </c>
      <c r="I625" s="1">
        <v>21</v>
      </c>
      <c r="U625" s="1">
        <v>28</v>
      </c>
      <c r="X625" s="1">
        <v>24</v>
      </c>
      <c r="AA625" s="1">
        <v>2</v>
      </c>
      <c r="AB625" s="1">
        <v>2</v>
      </c>
      <c r="AC625" s="1">
        <v>823</v>
      </c>
      <c r="AF625" s="3">
        <v>3.7906137184115525</v>
      </c>
      <c r="AG625" s="3">
        <v>0.87447481309302078</v>
      </c>
      <c r="AH625" s="1">
        <v>6256</v>
      </c>
      <c r="AI625" s="1" t="b">
        <v>1</v>
      </c>
    </row>
    <row r="626" spans="1:35" x14ac:dyDescent="0.25">
      <c r="A626" s="1">
        <v>30</v>
      </c>
      <c r="B626" s="1">
        <v>11</v>
      </c>
      <c r="C626" s="1">
        <v>2019</v>
      </c>
      <c r="G626" s="1" t="s">
        <v>38</v>
      </c>
      <c r="H626" s="2">
        <v>6.07</v>
      </c>
      <c r="I626" s="1">
        <v>14</v>
      </c>
      <c r="U626" s="1">
        <v>14</v>
      </c>
      <c r="X626" s="1">
        <v>14</v>
      </c>
      <c r="AA626" s="1">
        <v>1</v>
      </c>
      <c r="AB626" s="1">
        <v>5</v>
      </c>
      <c r="AC626" s="1">
        <v>703</v>
      </c>
      <c r="AF626" s="3">
        <v>2.3064250411861615</v>
      </c>
      <c r="AG626" s="3">
        <v>1.5321198495053214</v>
      </c>
      <c r="AH626" s="1">
        <v>6256</v>
      </c>
      <c r="AI626" s="1" t="b">
        <v>1</v>
      </c>
    </row>
    <row r="627" spans="1:35" x14ac:dyDescent="0.25">
      <c r="A627" s="1">
        <v>30</v>
      </c>
      <c r="B627" s="1">
        <v>11</v>
      </c>
      <c r="C627" s="1">
        <v>2019</v>
      </c>
      <c r="G627" s="1" t="s">
        <v>38</v>
      </c>
      <c r="H627" s="2">
        <v>2.34</v>
      </c>
      <c r="I627" s="1">
        <v>9</v>
      </c>
      <c r="U627" s="1">
        <v>9</v>
      </c>
      <c r="X627" s="1">
        <v>9</v>
      </c>
      <c r="AA627" s="1">
        <v>1</v>
      </c>
      <c r="AB627" s="1">
        <v>1</v>
      </c>
      <c r="AC627" s="1">
        <v>282</v>
      </c>
      <c r="AF627" s="3">
        <v>3.8461538461538463</v>
      </c>
      <c r="AG627" s="3">
        <v>0.47143785073096389</v>
      </c>
      <c r="AH627" s="1">
        <v>6256</v>
      </c>
      <c r="AI627" s="1" t="b">
        <v>1</v>
      </c>
    </row>
    <row r="628" spans="1:35" x14ac:dyDescent="0.25">
      <c r="A628" s="1">
        <v>30</v>
      </c>
      <c r="B628" s="1">
        <v>11</v>
      </c>
      <c r="C628" s="1">
        <v>2019</v>
      </c>
      <c r="G628" s="1" t="s">
        <v>38</v>
      </c>
      <c r="H628" s="2">
        <v>4.4800000000000004</v>
      </c>
      <c r="I628" s="1">
        <v>13</v>
      </c>
      <c r="U628" s="1">
        <v>17</v>
      </c>
      <c r="X628" s="1">
        <v>15</v>
      </c>
      <c r="AA628" s="1">
        <v>2</v>
      </c>
      <c r="AB628" s="1">
        <v>2</v>
      </c>
      <c r="AC628" s="1">
        <v>428</v>
      </c>
      <c r="AF628" s="3">
        <v>2.901785714285714</v>
      </c>
      <c r="AG628" s="3">
        <v>0.98453071920970259</v>
      </c>
      <c r="AH628" s="1">
        <v>6256</v>
      </c>
      <c r="AI628" s="1" t="b">
        <v>1</v>
      </c>
    </row>
    <row r="629" spans="1:35" x14ac:dyDescent="0.25">
      <c r="A629" s="1">
        <v>30</v>
      </c>
      <c r="B629" s="1">
        <v>11</v>
      </c>
      <c r="C629" s="1">
        <v>2019</v>
      </c>
      <c r="G629" s="1" t="s">
        <v>38</v>
      </c>
      <c r="H629" s="2">
        <v>2.59</v>
      </c>
      <c r="I629" s="1">
        <v>5</v>
      </c>
      <c r="U629" s="1">
        <v>9</v>
      </c>
      <c r="X629" s="1">
        <v>7</v>
      </c>
      <c r="AA629" s="1">
        <v>3</v>
      </c>
      <c r="AB629" s="1">
        <v>1</v>
      </c>
      <c r="AC629" s="1">
        <v>384</v>
      </c>
      <c r="AF629" s="3">
        <v>1.9305019305019306</v>
      </c>
      <c r="AG629" s="3">
        <v>1.0084156907693314</v>
      </c>
      <c r="AH629" s="1">
        <v>6256</v>
      </c>
      <c r="AI629" s="1" t="b">
        <v>1</v>
      </c>
    </row>
    <row r="630" spans="1:35" x14ac:dyDescent="0.25">
      <c r="A630" s="1">
        <v>30</v>
      </c>
      <c r="B630" s="1">
        <v>11</v>
      </c>
      <c r="C630" s="1">
        <v>2019</v>
      </c>
      <c r="G630" s="1" t="s">
        <v>38</v>
      </c>
      <c r="H630" s="2">
        <v>3.65</v>
      </c>
      <c r="I630" s="1">
        <v>9</v>
      </c>
      <c r="U630" s="1">
        <v>14</v>
      </c>
      <c r="X630" s="1">
        <v>13</v>
      </c>
      <c r="AA630" s="1">
        <v>2</v>
      </c>
      <c r="AB630" s="1">
        <v>3</v>
      </c>
      <c r="AC630" s="1">
        <v>654</v>
      </c>
      <c r="AF630" s="3">
        <v>2.4657534246575343</v>
      </c>
      <c r="AG630" s="3">
        <v>1.0038188809886084</v>
      </c>
      <c r="AH630" s="1">
        <v>6256</v>
      </c>
      <c r="AI630" s="1" t="b">
        <v>1</v>
      </c>
    </row>
    <row r="631" spans="1:35" x14ac:dyDescent="0.25">
      <c r="A631" s="1">
        <v>30</v>
      </c>
      <c r="B631" s="1">
        <v>11</v>
      </c>
      <c r="C631" s="1">
        <v>2019</v>
      </c>
      <c r="G631" s="1" t="s">
        <v>38</v>
      </c>
      <c r="H631" s="2">
        <v>8.9700000000000006</v>
      </c>
      <c r="I631" s="1">
        <v>35</v>
      </c>
      <c r="U631" s="1">
        <v>44</v>
      </c>
      <c r="X631" s="1">
        <v>38</v>
      </c>
      <c r="AA631" s="1">
        <v>2</v>
      </c>
      <c r="AB631" s="1">
        <v>2</v>
      </c>
      <c r="AC631" s="1">
        <v>1372</v>
      </c>
      <c r="AF631" s="3">
        <v>3.9018952062430321</v>
      </c>
      <c r="AG631" s="3">
        <v>1.1903621491364458</v>
      </c>
      <c r="AH631" s="1">
        <v>6256</v>
      </c>
      <c r="AI631" s="1" t="b">
        <v>1</v>
      </c>
    </row>
    <row r="632" spans="1:35" x14ac:dyDescent="0.25">
      <c r="A632" s="1">
        <v>30</v>
      </c>
      <c r="B632" s="1">
        <v>11</v>
      </c>
      <c r="C632" s="1">
        <v>2019</v>
      </c>
      <c r="G632" s="1" t="s">
        <v>38</v>
      </c>
      <c r="H632" s="2">
        <v>6.05</v>
      </c>
      <c r="I632" s="1">
        <v>21</v>
      </c>
      <c r="U632" s="1">
        <v>31</v>
      </c>
      <c r="X632" s="1">
        <v>24</v>
      </c>
      <c r="AA632" s="1">
        <v>2</v>
      </c>
      <c r="AB632" s="1">
        <v>1</v>
      </c>
      <c r="AC632" s="1">
        <v>880</v>
      </c>
      <c r="AF632" s="3">
        <v>3.4710743801652892</v>
      </c>
      <c r="AG632" s="3">
        <v>1.0156985727250756</v>
      </c>
      <c r="AH632" s="1">
        <v>6256</v>
      </c>
      <c r="AI632" s="1" t="b">
        <v>1</v>
      </c>
    </row>
    <row r="633" spans="1:35" x14ac:dyDescent="0.25">
      <c r="A633" s="1">
        <v>30</v>
      </c>
      <c r="B633" s="1">
        <v>11</v>
      </c>
      <c r="C633" s="1">
        <v>2019</v>
      </c>
      <c r="G633" s="1" t="s">
        <v>38</v>
      </c>
      <c r="H633" s="2">
        <v>4.29</v>
      </c>
      <c r="I633" s="1">
        <v>10</v>
      </c>
      <c r="U633" s="1">
        <v>15</v>
      </c>
      <c r="X633" s="1">
        <v>13</v>
      </c>
      <c r="AA633" s="1">
        <v>2</v>
      </c>
      <c r="AB633" s="1">
        <v>4</v>
      </c>
      <c r="AC633" s="1">
        <v>683</v>
      </c>
      <c r="AF633" s="3">
        <v>2.3310023310023311</v>
      </c>
      <c r="AG633" s="3">
        <v>1.1889877953286114</v>
      </c>
      <c r="AH633" s="1">
        <v>6256</v>
      </c>
      <c r="AI633" s="1" t="b">
        <v>1</v>
      </c>
    </row>
    <row r="634" spans="1:35" x14ac:dyDescent="0.25">
      <c r="A634" s="1">
        <v>30</v>
      </c>
      <c r="B634" s="1">
        <v>11</v>
      </c>
      <c r="C634" s="1">
        <v>2019</v>
      </c>
      <c r="G634" s="1" t="s">
        <v>38</v>
      </c>
      <c r="H634" s="2">
        <v>6.35</v>
      </c>
      <c r="I634" s="1">
        <v>20</v>
      </c>
      <c r="U634" s="1">
        <v>30</v>
      </c>
      <c r="X634" s="1">
        <v>23</v>
      </c>
      <c r="AA634" s="1">
        <v>2</v>
      </c>
      <c r="AB634" s="1">
        <v>4</v>
      </c>
      <c r="AC634" s="1">
        <v>963</v>
      </c>
      <c r="AF634" s="3">
        <v>3.1496062992125986</v>
      </c>
      <c r="AG634" s="3">
        <v>1.1579380825072465</v>
      </c>
      <c r="AH634" s="1">
        <v>6256</v>
      </c>
      <c r="AI634" s="1" t="b">
        <v>1</v>
      </c>
    </row>
    <row r="635" spans="1:35" x14ac:dyDescent="0.25">
      <c r="A635" s="1">
        <v>1</v>
      </c>
      <c r="B635" s="1">
        <v>12</v>
      </c>
      <c r="C635" s="1">
        <v>2019</v>
      </c>
      <c r="G635" s="1" t="s">
        <v>38</v>
      </c>
      <c r="H635" s="2">
        <v>5.34</v>
      </c>
      <c r="I635" s="1">
        <v>16</v>
      </c>
      <c r="U635" s="1">
        <v>22</v>
      </c>
      <c r="X635" s="1">
        <v>19</v>
      </c>
      <c r="AA635" s="1">
        <v>1</v>
      </c>
      <c r="AB635" s="1">
        <v>3</v>
      </c>
      <c r="AC635" s="1">
        <v>822</v>
      </c>
      <c r="AF635" s="3">
        <v>2.9962546816479403</v>
      </c>
      <c r="AG635" s="3">
        <v>1.0782020526547069</v>
      </c>
      <c r="AH635" s="1">
        <v>6256</v>
      </c>
      <c r="AI635" s="1" t="b">
        <v>1</v>
      </c>
    </row>
    <row r="636" spans="1:35" x14ac:dyDescent="0.25">
      <c r="A636" s="1">
        <v>1</v>
      </c>
      <c r="B636" s="1">
        <v>12</v>
      </c>
      <c r="C636" s="1">
        <v>2019</v>
      </c>
      <c r="G636" s="1" t="s">
        <v>38</v>
      </c>
      <c r="H636" s="2">
        <v>5.92</v>
      </c>
      <c r="I636" s="1">
        <v>16</v>
      </c>
      <c r="U636" s="1">
        <v>21</v>
      </c>
      <c r="X636" s="1">
        <v>20</v>
      </c>
      <c r="AA636" s="1">
        <v>3</v>
      </c>
      <c r="AB636" s="1">
        <v>4</v>
      </c>
      <c r="AC636" s="1">
        <v>850</v>
      </c>
      <c r="AF636" s="3">
        <v>2.7027027027027026</v>
      </c>
      <c r="AG636" s="3">
        <v>1.2847745312417971</v>
      </c>
      <c r="AH636" s="1">
        <v>6256</v>
      </c>
      <c r="AI636" s="1" t="b">
        <v>1</v>
      </c>
    </row>
    <row r="637" spans="1:35" x14ac:dyDescent="0.25">
      <c r="A637" s="1">
        <v>1</v>
      </c>
      <c r="B637" s="1">
        <v>12</v>
      </c>
      <c r="C637" s="1">
        <v>2019</v>
      </c>
      <c r="G637" s="1" t="s">
        <v>38</v>
      </c>
      <c r="H637" s="2">
        <v>5.45</v>
      </c>
      <c r="I637" s="1">
        <v>13</v>
      </c>
      <c r="U637" s="1">
        <v>30</v>
      </c>
      <c r="X637" s="1">
        <v>26</v>
      </c>
      <c r="AA637" s="1">
        <v>4</v>
      </c>
      <c r="AB637" s="1">
        <v>3</v>
      </c>
      <c r="AC637" s="1">
        <v>930</v>
      </c>
      <c r="AF637" s="3">
        <v>2.3853211009174311</v>
      </c>
      <c r="AG637" s="3">
        <v>1.3738227427446561</v>
      </c>
      <c r="AH637" s="1">
        <v>6256</v>
      </c>
      <c r="AI637" s="1" t="b">
        <v>1</v>
      </c>
    </row>
    <row r="638" spans="1:35" x14ac:dyDescent="0.25">
      <c r="A638" s="1">
        <v>1</v>
      </c>
      <c r="B638" s="1">
        <v>12</v>
      </c>
      <c r="C638" s="1">
        <v>2019</v>
      </c>
      <c r="G638" s="1" t="s">
        <v>38</v>
      </c>
      <c r="H638" s="2">
        <v>4.0599999999999996</v>
      </c>
      <c r="I638" s="1">
        <v>11</v>
      </c>
      <c r="U638" s="1">
        <v>17</v>
      </c>
      <c r="X638" s="1">
        <v>13</v>
      </c>
      <c r="AA638" s="1">
        <v>2</v>
      </c>
      <c r="AB638" s="1">
        <v>5</v>
      </c>
      <c r="AC638" s="1">
        <v>689</v>
      </c>
      <c r="AF638" s="3">
        <v>2.7093596059113305</v>
      </c>
      <c r="AG638" s="3">
        <v>0.98424127122064131</v>
      </c>
      <c r="AH638" s="1">
        <v>6256</v>
      </c>
      <c r="AI638" s="1" t="b">
        <v>1</v>
      </c>
    </row>
    <row r="639" spans="1:35" x14ac:dyDescent="0.25">
      <c r="A639" s="1">
        <v>1</v>
      </c>
      <c r="B639" s="1">
        <v>12</v>
      </c>
      <c r="C639" s="1">
        <v>2019</v>
      </c>
      <c r="G639" s="1" t="s">
        <v>38</v>
      </c>
      <c r="H639" s="2">
        <v>8.1199999999999992</v>
      </c>
      <c r="I639" s="1">
        <v>24</v>
      </c>
      <c r="U639" s="1">
        <v>37</v>
      </c>
      <c r="X639" s="1">
        <v>30</v>
      </c>
      <c r="AA639" s="1">
        <v>3</v>
      </c>
      <c r="AB639" s="1">
        <v>5</v>
      </c>
      <c r="AC639" s="1">
        <v>1133</v>
      </c>
      <c r="AF639" s="3">
        <v>2.9556650246305423</v>
      </c>
      <c r="AG639" s="3">
        <v>1.4656626070930676</v>
      </c>
      <c r="AH639" s="1">
        <v>6256</v>
      </c>
      <c r="AI639" s="1" t="b">
        <v>1</v>
      </c>
    </row>
    <row r="640" spans="1:35" x14ac:dyDescent="0.25">
      <c r="A640" s="1">
        <v>1</v>
      </c>
      <c r="B640" s="1">
        <v>12</v>
      </c>
      <c r="C640" s="1">
        <v>2019</v>
      </c>
      <c r="G640" s="1" t="s">
        <v>38</v>
      </c>
      <c r="H640" s="2">
        <v>8.7200000000000006</v>
      </c>
      <c r="I640" s="1">
        <v>27</v>
      </c>
      <c r="U640" s="1">
        <v>40</v>
      </c>
      <c r="X640" s="1">
        <v>34</v>
      </c>
      <c r="AA640" s="1">
        <v>4</v>
      </c>
      <c r="AB640" s="1">
        <v>6</v>
      </c>
      <c r="AC640" s="1">
        <v>1220</v>
      </c>
      <c r="AF640" s="3">
        <v>3.0963302752293576</v>
      </c>
      <c r="AG640" s="3">
        <v>1.4706667045187369</v>
      </c>
      <c r="AH640" s="1">
        <v>6256</v>
      </c>
      <c r="AI640" s="1" t="b">
        <v>1</v>
      </c>
    </row>
    <row r="641" spans="1:35" x14ac:dyDescent="0.25">
      <c r="A641" s="1">
        <v>1</v>
      </c>
      <c r="B641" s="1">
        <v>12</v>
      </c>
      <c r="C641" s="1">
        <v>2019</v>
      </c>
      <c r="G641" s="1" t="s">
        <v>38</v>
      </c>
      <c r="H641" s="2">
        <v>9.56</v>
      </c>
      <c r="I641" s="1">
        <v>24</v>
      </c>
      <c r="U641" s="1">
        <v>42</v>
      </c>
      <c r="X641" s="1">
        <v>35</v>
      </c>
      <c r="AA641" s="1">
        <v>4</v>
      </c>
      <c r="AB641" s="1">
        <v>4</v>
      </c>
      <c r="AC641" s="1">
        <v>1408</v>
      </c>
      <c r="AF641" s="3">
        <v>2.510460251046025</v>
      </c>
      <c r="AG641" s="3">
        <v>1.9344930561271318</v>
      </c>
      <c r="AH641" s="1">
        <v>6256</v>
      </c>
      <c r="AI641" s="1" t="b">
        <v>1</v>
      </c>
    </row>
    <row r="642" spans="1:35" x14ac:dyDescent="0.25">
      <c r="A642" s="1">
        <v>1</v>
      </c>
      <c r="B642" s="1">
        <v>12</v>
      </c>
      <c r="C642" s="1">
        <v>2019</v>
      </c>
      <c r="G642" s="1" t="s">
        <v>38</v>
      </c>
      <c r="H642" s="2">
        <v>5.9</v>
      </c>
      <c r="I642" s="1">
        <v>18</v>
      </c>
      <c r="U642" s="1">
        <v>29</v>
      </c>
      <c r="X642" s="1">
        <v>24</v>
      </c>
      <c r="AA642" s="1">
        <v>2</v>
      </c>
      <c r="AB642" s="1">
        <v>6</v>
      </c>
      <c r="AC642" s="1">
        <v>910</v>
      </c>
      <c r="AF642" s="3">
        <v>3.0508474576271185</v>
      </c>
      <c r="AG642" s="3">
        <v>1.1354706546196285</v>
      </c>
      <c r="AH642" s="1">
        <v>6256</v>
      </c>
      <c r="AI642" s="1" t="b">
        <v>1</v>
      </c>
    </row>
    <row r="643" spans="1:35" x14ac:dyDescent="0.25">
      <c r="A643" s="1">
        <v>1</v>
      </c>
      <c r="B643" s="1">
        <v>12</v>
      </c>
      <c r="C643" s="1">
        <v>2019</v>
      </c>
      <c r="G643" s="1" t="s">
        <v>38</v>
      </c>
      <c r="H643" s="2">
        <v>4.32</v>
      </c>
      <c r="I643" s="1">
        <v>9</v>
      </c>
      <c r="U643" s="1">
        <v>19</v>
      </c>
      <c r="X643" s="1">
        <v>16</v>
      </c>
      <c r="AA643" s="1">
        <v>3</v>
      </c>
      <c r="AB643" s="1">
        <v>4</v>
      </c>
      <c r="AC643" s="1">
        <v>596</v>
      </c>
      <c r="AF643" s="3">
        <v>2.083333333333333</v>
      </c>
      <c r="AG643" s="3">
        <v>1.3368413187202548</v>
      </c>
      <c r="AH643" s="1">
        <v>6256</v>
      </c>
      <c r="AI643" s="1" t="b">
        <v>1</v>
      </c>
    </row>
    <row r="644" spans="1:35" x14ac:dyDescent="0.25">
      <c r="A644" s="1">
        <v>1</v>
      </c>
      <c r="B644" s="1">
        <v>12</v>
      </c>
      <c r="C644" s="1">
        <v>2019</v>
      </c>
      <c r="G644" s="1" t="s">
        <v>38</v>
      </c>
      <c r="H644" s="2">
        <v>7.76</v>
      </c>
      <c r="I644" s="1">
        <v>18</v>
      </c>
      <c r="V644" s="1">
        <v>35</v>
      </c>
      <c r="X644" s="1">
        <v>24</v>
      </c>
      <c r="AA644" s="1">
        <v>4</v>
      </c>
      <c r="AB644" s="1">
        <v>5</v>
      </c>
      <c r="AC644" s="1">
        <v>888</v>
      </c>
      <c r="AF644" s="3">
        <v>2.3195876288659796</v>
      </c>
      <c r="AG644" s="3">
        <v>1.8092243368237344</v>
      </c>
      <c r="AH644" s="1">
        <v>6256</v>
      </c>
      <c r="AI644" s="1" t="b">
        <v>1</v>
      </c>
    </row>
    <row r="645" spans="1:35" x14ac:dyDescent="0.25">
      <c r="A645" s="1">
        <v>1</v>
      </c>
      <c r="B645" s="1">
        <v>12</v>
      </c>
      <c r="C645" s="1">
        <v>2019</v>
      </c>
      <c r="G645" s="1" t="s">
        <v>38</v>
      </c>
      <c r="H645" s="2">
        <v>5.43</v>
      </c>
      <c r="I645" s="1">
        <v>13</v>
      </c>
      <c r="U645" s="1">
        <v>24</v>
      </c>
      <c r="X645" s="1">
        <v>20</v>
      </c>
      <c r="AA645" s="1">
        <v>3</v>
      </c>
      <c r="AB645" s="1">
        <v>5</v>
      </c>
      <c r="AC645" s="1">
        <v>865</v>
      </c>
      <c r="AF645" s="3">
        <v>2.3941068139963169</v>
      </c>
      <c r="AG645" s="3">
        <v>1.3652631176529786</v>
      </c>
      <c r="AH645" s="1">
        <v>6256</v>
      </c>
      <c r="AI645" s="1" t="b">
        <v>1</v>
      </c>
    </row>
    <row r="646" spans="1:35" x14ac:dyDescent="0.25">
      <c r="A646" s="1">
        <v>1</v>
      </c>
      <c r="B646" s="1">
        <v>12</v>
      </c>
      <c r="C646" s="1">
        <v>2019</v>
      </c>
      <c r="G646" s="1" t="s">
        <v>38</v>
      </c>
      <c r="H646" s="2">
        <v>7.92</v>
      </c>
      <c r="I646" s="1">
        <v>25</v>
      </c>
      <c r="U646" s="1">
        <v>34</v>
      </c>
      <c r="X646" s="1">
        <v>32</v>
      </c>
      <c r="AA646" s="1">
        <v>4</v>
      </c>
      <c r="AB646" s="1">
        <v>3</v>
      </c>
      <c r="AC646" s="1">
        <v>1195</v>
      </c>
      <c r="AF646" s="3">
        <v>3.1565656565656566</v>
      </c>
      <c r="AG646" s="3">
        <v>1.3486299496613514</v>
      </c>
      <c r="AH646" s="1">
        <v>6256</v>
      </c>
      <c r="AI646" s="1" t="b">
        <v>1</v>
      </c>
    </row>
    <row r="647" spans="1:35" x14ac:dyDescent="0.25">
      <c r="A647" s="1">
        <v>1</v>
      </c>
      <c r="B647" s="1">
        <v>12</v>
      </c>
      <c r="C647" s="1">
        <v>2019</v>
      </c>
      <c r="G647" s="1" t="s">
        <v>38</v>
      </c>
      <c r="H647" s="2">
        <v>3.8</v>
      </c>
      <c r="I647" s="1">
        <v>9</v>
      </c>
      <c r="U647" s="1">
        <v>18</v>
      </c>
      <c r="X647" s="1">
        <v>14</v>
      </c>
      <c r="AA647" s="1">
        <v>2</v>
      </c>
      <c r="AB647" s="1">
        <v>2</v>
      </c>
      <c r="AC647" s="1">
        <v>544</v>
      </c>
      <c r="AF647" s="3">
        <v>2.3684210526315792</v>
      </c>
      <c r="AG647" s="3">
        <v>1.074953318632405</v>
      </c>
      <c r="AH647" s="1">
        <v>6256</v>
      </c>
      <c r="AI647" s="1" t="b">
        <v>1</v>
      </c>
    </row>
    <row r="648" spans="1:35" x14ac:dyDescent="0.25">
      <c r="A648" s="1">
        <v>1</v>
      </c>
      <c r="B648" s="1">
        <v>12</v>
      </c>
      <c r="C648" s="1">
        <v>2019</v>
      </c>
      <c r="G648" s="1" t="s">
        <v>38</v>
      </c>
      <c r="H648" s="2">
        <v>7.23</v>
      </c>
      <c r="I648" s="1">
        <v>18</v>
      </c>
      <c r="V648" s="1">
        <v>25</v>
      </c>
      <c r="X648" s="1">
        <v>21</v>
      </c>
      <c r="AA648" s="1">
        <v>3</v>
      </c>
      <c r="AB648" s="1">
        <v>2</v>
      </c>
      <c r="AC648" s="1">
        <v>948</v>
      </c>
      <c r="AF648" s="3">
        <v>2.4896265560165975</v>
      </c>
      <c r="AG648" s="3">
        <v>1.6042151014376502</v>
      </c>
      <c r="AH648" s="1">
        <v>6256</v>
      </c>
      <c r="AI648" s="1" t="b">
        <v>1</v>
      </c>
    </row>
    <row r="649" spans="1:35" x14ac:dyDescent="0.25">
      <c r="A649" s="1">
        <v>1</v>
      </c>
      <c r="B649" s="1">
        <v>12</v>
      </c>
      <c r="C649" s="1">
        <v>2019</v>
      </c>
      <c r="G649" s="1" t="s">
        <v>38</v>
      </c>
      <c r="H649" s="2">
        <v>6.47</v>
      </c>
      <c r="I649" s="1">
        <v>15</v>
      </c>
      <c r="U649" s="1">
        <v>24</v>
      </c>
      <c r="X649" s="1">
        <v>22</v>
      </c>
      <c r="AA649" s="1">
        <v>3</v>
      </c>
      <c r="AB649" s="1">
        <v>3</v>
      </c>
      <c r="AC649" s="1">
        <v>867</v>
      </c>
      <c r="AF649" s="3">
        <v>2.3183925811437405</v>
      </c>
      <c r="AG649" s="3">
        <v>1.5938447567446945</v>
      </c>
      <c r="AH649" s="1">
        <v>6256</v>
      </c>
      <c r="AI649" s="1" t="b">
        <v>1</v>
      </c>
    </row>
    <row r="650" spans="1:35" x14ac:dyDescent="0.25">
      <c r="A650" s="1">
        <v>1</v>
      </c>
      <c r="B650" s="1">
        <v>12</v>
      </c>
      <c r="C650" s="1">
        <v>2019</v>
      </c>
      <c r="G650" s="1" t="s">
        <v>38</v>
      </c>
      <c r="H650" s="2">
        <v>6.75</v>
      </c>
      <c r="I650" s="1">
        <v>15</v>
      </c>
      <c r="U650" s="1">
        <v>26</v>
      </c>
      <c r="X650" s="1">
        <v>20</v>
      </c>
      <c r="AA650" s="1">
        <v>3</v>
      </c>
      <c r="AB650" s="1">
        <v>4</v>
      </c>
      <c r="AC650" s="1">
        <v>850</v>
      </c>
      <c r="AF650" s="3">
        <v>2.2222222222222223</v>
      </c>
      <c r="AG650" s="3">
        <v>1.7128729649637238</v>
      </c>
      <c r="AH650" s="1">
        <v>6256</v>
      </c>
      <c r="AI650" s="1" t="b">
        <v>1</v>
      </c>
    </row>
    <row r="651" spans="1:35" x14ac:dyDescent="0.25">
      <c r="A651" s="1">
        <v>1</v>
      </c>
      <c r="B651" s="1">
        <v>12</v>
      </c>
      <c r="C651" s="1">
        <v>2019</v>
      </c>
      <c r="G651" s="1" t="s">
        <v>38</v>
      </c>
      <c r="H651" s="2">
        <v>3.57</v>
      </c>
      <c r="I651" s="1">
        <v>10</v>
      </c>
      <c r="U651" s="1">
        <v>15</v>
      </c>
      <c r="X651" s="1">
        <v>14</v>
      </c>
      <c r="AA651" s="1">
        <v>2</v>
      </c>
      <c r="AB651" s="1">
        <v>2</v>
      </c>
      <c r="AC651" s="1">
        <v>542</v>
      </c>
      <c r="AF651" s="3">
        <v>2.801120448179272</v>
      </c>
      <c r="AG651" s="3">
        <v>0.87003348449538864</v>
      </c>
      <c r="AH651" s="1">
        <v>6256</v>
      </c>
      <c r="AI651" s="1" t="b">
        <v>1</v>
      </c>
    </row>
    <row r="652" spans="1:35" x14ac:dyDescent="0.25">
      <c r="A652" s="1">
        <v>1</v>
      </c>
      <c r="B652" s="1">
        <v>12</v>
      </c>
      <c r="C652" s="1">
        <v>2019</v>
      </c>
      <c r="G652" s="1" t="s">
        <v>38</v>
      </c>
      <c r="H652" s="2">
        <v>5.99</v>
      </c>
      <c r="I652" s="1">
        <v>16</v>
      </c>
      <c r="U652" s="1">
        <v>24</v>
      </c>
      <c r="X652" s="1">
        <v>22</v>
      </c>
      <c r="AA652" s="1">
        <v>3</v>
      </c>
      <c r="AB652" s="1">
        <v>3</v>
      </c>
      <c r="AC652" s="1">
        <v>952</v>
      </c>
      <c r="AF652" s="3">
        <v>2.671118530884808</v>
      </c>
      <c r="AG652" s="3">
        <v>1.3107069896322576</v>
      </c>
      <c r="AH652" s="1">
        <v>6256</v>
      </c>
      <c r="AI652" s="1" t="b">
        <v>1</v>
      </c>
    </row>
    <row r="653" spans="1:35" x14ac:dyDescent="0.25">
      <c r="A653" s="1">
        <v>1</v>
      </c>
      <c r="B653" s="1">
        <v>12</v>
      </c>
      <c r="C653" s="1">
        <v>2019</v>
      </c>
      <c r="G653" s="1" t="s">
        <v>38</v>
      </c>
      <c r="H653" s="2">
        <v>5.12</v>
      </c>
      <c r="I653" s="1">
        <v>12</v>
      </c>
      <c r="U653" s="1">
        <v>18</v>
      </c>
      <c r="X653" s="1">
        <v>17</v>
      </c>
      <c r="AA653" s="1">
        <v>3</v>
      </c>
      <c r="AB653" s="1">
        <v>4</v>
      </c>
      <c r="AC653" s="1">
        <v>670</v>
      </c>
      <c r="AF653" s="3">
        <v>2.34375</v>
      </c>
      <c r="AG653" s="3">
        <v>1.3383746053174337</v>
      </c>
      <c r="AH653" s="1">
        <v>6256</v>
      </c>
      <c r="AI653" s="1" t="b">
        <v>1</v>
      </c>
    </row>
    <row r="654" spans="1:35" x14ac:dyDescent="0.25">
      <c r="A654" s="1">
        <v>1</v>
      </c>
      <c r="B654" s="1">
        <v>12</v>
      </c>
      <c r="C654" s="1">
        <v>2019</v>
      </c>
      <c r="G654" s="1" t="s">
        <v>38</v>
      </c>
      <c r="H654" s="2">
        <v>7.07</v>
      </c>
      <c r="I654" s="1">
        <v>17</v>
      </c>
      <c r="V654" s="1">
        <v>25</v>
      </c>
      <c r="X654" s="1">
        <v>19</v>
      </c>
      <c r="AA654" s="1">
        <v>3</v>
      </c>
      <c r="AB654" s="1">
        <v>3</v>
      </c>
      <c r="AC654" s="1">
        <v>924</v>
      </c>
      <c r="AF654" s="3">
        <v>2.4045261669024045</v>
      </c>
      <c r="AG654" s="3">
        <v>1.63517441056454</v>
      </c>
      <c r="AH654" s="1">
        <v>6256</v>
      </c>
      <c r="AI654" s="1" t="b">
        <v>1</v>
      </c>
    </row>
    <row r="655" spans="1:35" x14ac:dyDescent="0.25">
      <c r="A655" s="1">
        <v>1</v>
      </c>
      <c r="B655" s="1">
        <v>12</v>
      </c>
      <c r="C655" s="1">
        <v>2019</v>
      </c>
      <c r="G655" s="1" t="s">
        <v>38</v>
      </c>
      <c r="H655" s="2">
        <v>7.01</v>
      </c>
      <c r="I655" s="1">
        <v>17</v>
      </c>
      <c r="U655" s="1">
        <v>27</v>
      </c>
      <c r="X655" s="1">
        <v>22</v>
      </c>
      <c r="AA655" s="1">
        <v>3</v>
      </c>
      <c r="AB655" s="1">
        <v>3</v>
      </c>
      <c r="AC655" s="1">
        <v>938</v>
      </c>
      <c r="AF655" s="3">
        <v>2.4251069900142652</v>
      </c>
      <c r="AG655" s="3">
        <v>1.6116536242838664</v>
      </c>
      <c r="AH655" s="1">
        <v>6256</v>
      </c>
      <c r="AI655" s="1" t="b">
        <v>1</v>
      </c>
    </row>
    <row r="656" spans="1:35" x14ac:dyDescent="0.25">
      <c r="A656" s="1">
        <v>1</v>
      </c>
      <c r="B656" s="1">
        <v>12</v>
      </c>
      <c r="C656" s="1">
        <v>2019</v>
      </c>
      <c r="G656" s="1" t="s">
        <v>38</v>
      </c>
      <c r="H656" s="2">
        <v>4.84</v>
      </c>
      <c r="I656" s="1">
        <v>17</v>
      </c>
      <c r="U656" s="1">
        <v>21</v>
      </c>
      <c r="X656" s="1">
        <v>19</v>
      </c>
      <c r="AA656" s="1">
        <v>1</v>
      </c>
      <c r="AB656" s="1">
        <v>2</v>
      </c>
      <c r="AC656" s="1">
        <v>759</v>
      </c>
      <c r="AF656" s="3">
        <v>3.5123966942148761</v>
      </c>
      <c r="AG656" s="3">
        <v>0.85859468045197751</v>
      </c>
      <c r="AH656" s="1">
        <v>6256</v>
      </c>
      <c r="AI656" s="1" t="b">
        <v>1</v>
      </c>
    </row>
    <row r="657" spans="1:35" x14ac:dyDescent="0.25">
      <c r="A657" s="1">
        <v>1</v>
      </c>
      <c r="B657" s="1">
        <v>12</v>
      </c>
      <c r="C657" s="1">
        <v>2019</v>
      </c>
      <c r="G657" s="1" t="s">
        <v>38</v>
      </c>
      <c r="H657" s="2">
        <v>3.75</v>
      </c>
      <c r="I657" s="1">
        <v>14</v>
      </c>
      <c r="U657" s="1">
        <v>16</v>
      </c>
      <c r="X657" s="1">
        <v>14</v>
      </c>
      <c r="AA657" s="1">
        <v>1</v>
      </c>
      <c r="AB657" s="1">
        <v>2</v>
      </c>
      <c r="AC657" s="1">
        <v>598</v>
      </c>
      <c r="AF657" s="3">
        <v>3.7333333333333334</v>
      </c>
      <c r="AG657" s="3">
        <v>0.67565519364200599</v>
      </c>
      <c r="AH657" s="1">
        <v>6256</v>
      </c>
      <c r="AI657" s="1" t="b">
        <v>1</v>
      </c>
    </row>
    <row r="658" spans="1:35" x14ac:dyDescent="0.25">
      <c r="A658" s="1">
        <v>1</v>
      </c>
      <c r="B658" s="1">
        <v>12</v>
      </c>
      <c r="C658" s="1">
        <v>2019</v>
      </c>
      <c r="G658" s="1" t="s">
        <v>38</v>
      </c>
      <c r="H658" s="2">
        <v>4.0599999999999996</v>
      </c>
      <c r="I658" s="1">
        <v>11</v>
      </c>
      <c r="U658" s="1">
        <v>20</v>
      </c>
      <c r="X658" s="1">
        <v>16</v>
      </c>
      <c r="AA658" s="1">
        <v>3</v>
      </c>
      <c r="AB658" s="1">
        <v>1</v>
      </c>
      <c r="AC658" s="1">
        <v>577</v>
      </c>
      <c r="AF658" s="3">
        <v>2.7093596059113305</v>
      </c>
      <c r="AG658" s="3">
        <v>0.98424127122064131</v>
      </c>
      <c r="AH658" s="1">
        <v>6256</v>
      </c>
      <c r="AI658" s="1" t="b">
        <v>1</v>
      </c>
    </row>
    <row r="659" spans="1:35" x14ac:dyDescent="0.25">
      <c r="A659" s="1">
        <v>1</v>
      </c>
      <c r="B659" s="1">
        <v>12</v>
      </c>
      <c r="C659" s="1">
        <v>2019</v>
      </c>
      <c r="G659" s="1" t="s">
        <v>38</v>
      </c>
      <c r="H659" s="2">
        <v>2.0499999999999998</v>
      </c>
      <c r="I659" s="1">
        <v>7</v>
      </c>
      <c r="U659" s="1">
        <v>8</v>
      </c>
      <c r="X659" s="1">
        <v>7</v>
      </c>
      <c r="AA659" s="1">
        <v>1</v>
      </c>
      <c r="AB659" s="1">
        <v>2</v>
      </c>
      <c r="AC659" s="1">
        <v>284</v>
      </c>
      <c r="AF659" s="3">
        <v>3.4146341463414638</v>
      </c>
      <c r="AG659" s="3">
        <v>0.48404253170645001</v>
      </c>
      <c r="AH659" s="1">
        <v>6256</v>
      </c>
      <c r="AI659" s="1" t="b">
        <v>1</v>
      </c>
    </row>
    <row r="660" spans="1:35" x14ac:dyDescent="0.25">
      <c r="A660" s="1">
        <v>2</v>
      </c>
      <c r="B660" s="1">
        <v>12</v>
      </c>
      <c r="C660" s="1">
        <v>2019</v>
      </c>
      <c r="G660" s="1" t="s">
        <v>38</v>
      </c>
      <c r="H660" s="2">
        <v>5.2</v>
      </c>
      <c r="I660" s="1">
        <v>10</v>
      </c>
      <c r="U660" s="1">
        <v>22</v>
      </c>
      <c r="X660" s="1">
        <v>17</v>
      </c>
      <c r="AA660" s="1">
        <v>4</v>
      </c>
      <c r="AB660" s="1">
        <v>3</v>
      </c>
      <c r="AC660" s="1">
        <v>723</v>
      </c>
      <c r="AF660" s="3">
        <v>1.9230769230769229</v>
      </c>
      <c r="AG660" s="3">
        <v>1.6489431548825095</v>
      </c>
      <c r="AH660" s="1">
        <v>6257</v>
      </c>
      <c r="AI660" s="1" t="b">
        <v>1</v>
      </c>
    </row>
    <row r="661" spans="1:35" x14ac:dyDescent="0.25">
      <c r="A661" s="1">
        <v>2</v>
      </c>
      <c r="B661" s="1">
        <v>12</v>
      </c>
      <c r="C661" s="1">
        <v>2019</v>
      </c>
      <c r="G661" s="1" t="s">
        <v>38</v>
      </c>
      <c r="H661" s="2">
        <v>10.69</v>
      </c>
      <c r="I661" s="1">
        <v>22</v>
      </c>
      <c r="V661" s="1">
        <v>44</v>
      </c>
      <c r="X661" s="1">
        <v>33</v>
      </c>
      <c r="AA661" s="1">
        <v>4</v>
      </c>
      <c r="AB661" s="1">
        <v>3</v>
      </c>
      <c r="AC661" s="1">
        <v>1213</v>
      </c>
      <c r="AF661" s="3">
        <v>2.0579981290926099</v>
      </c>
      <c r="AG661" s="3">
        <v>2.5517576065306562</v>
      </c>
      <c r="AH661" s="1">
        <v>6257</v>
      </c>
      <c r="AI661" s="1" t="b">
        <v>1</v>
      </c>
    </row>
    <row r="662" spans="1:35" x14ac:dyDescent="0.25">
      <c r="A662" s="1">
        <v>2</v>
      </c>
      <c r="B662" s="1">
        <v>12</v>
      </c>
      <c r="C662" s="1">
        <v>2019</v>
      </c>
      <c r="G662" s="1" t="s">
        <v>38</v>
      </c>
      <c r="H662" s="2">
        <v>10.18</v>
      </c>
      <c r="I662" s="1">
        <v>30</v>
      </c>
      <c r="V662" s="1">
        <v>42</v>
      </c>
      <c r="X662" s="1">
        <v>28</v>
      </c>
      <c r="AA662" s="1">
        <v>2</v>
      </c>
      <c r="AB662" s="1">
        <v>2</v>
      </c>
      <c r="AC662" s="1">
        <v>1238</v>
      </c>
      <c r="AF662" s="3">
        <v>2.9469548133595285</v>
      </c>
      <c r="AG662" s="3">
        <v>1.7220666964874858</v>
      </c>
      <c r="AH662" s="1">
        <v>6257</v>
      </c>
      <c r="AI662" s="1" t="b">
        <v>1</v>
      </c>
    </row>
    <row r="663" spans="1:35" x14ac:dyDescent="0.25">
      <c r="A663" s="1">
        <v>2</v>
      </c>
      <c r="B663" s="1">
        <v>12</v>
      </c>
      <c r="C663" s="1">
        <v>2019</v>
      </c>
      <c r="G663" s="1" t="s">
        <v>38</v>
      </c>
      <c r="H663" s="2">
        <v>9.1</v>
      </c>
      <c r="I663" s="1">
        <v>17</v>
      </c>
      <c r="V663" s="1">
        <v>33</v>
      </c>
      <c r="X663" s="1">
        <v>21</v>
      </c>
      <c r="AA663" s="1">
        <v>3</v>
      </c>
      <c r="AB663" s="1">
        <v>4</v>
      </c>
      <c r="AC663" s="1">
        <v>1117</v>
      </c>
      <c r="AF663" s="3">
        <v>1.8681318681318682</v>
      </c>
      <c r="AG663" s="3">
        <v>2.5114321269379531</v>
      </c>
      <c r="AH663" s="1">
        <v>6257</v>
      </c>
      <c r="AI663" s="1" t="b">
        <v>1</v>
      </c>
    </row>
    <row r="664" spans="1:35" x14ac:dyDescent="0.25">
      <c r="A664" s="1">
        <v>2</v>
      </c>
      <c r="B664" s="1">
        <v>12</v>
      </c>
      <c r="C664" s="1">
        <v>2019</v>
      </c>
      <c r="G664" s="1" t="s">
        <v>38</v>
      </c>
      <c r="H664" s="2">
        <v>5.71</v>
      </c>
      <c r="I664" s="1">
        <v>15</v>
      </c>
      <c r="U664" s="1">
        <v>18</v>
      </c>
      <c r="X664" s="1">
        <v>15</v>
      </c>
      <c r="AA664" s="1">
        <v>1</v>
      </c>
      <c r="AB664" s="1">
        <v>1</v>
      </c>
      <c r="AC664" s="1">
        <v>608</v>
      </c>
      <c r="AF664" s="3">
        <v>2.6269702276707529</v>
      </c>
      <c r="AG664" s="3">
        <v>1.2888136436345996</v>
      </c>
      <c r="AH664" s="1">
        <v>6257</v>
      </c>
      <c r="AI664" s="1" t="b">
        <v>1</v>
      </c>
    </row>
    <row r="665" spans="1:35" x14ac:dyDescent="0.25">
      <c r="A665" s="1">
        <v>2</v>
      </c>
      <c r="B665" s="1">
        <v>12</v>
      </c>
      <c r="C665" s="1">
        <v>2019</v>
      </c>
      <c r="G665" s="1" t="s">
        <v>38</v>
      </c>
      <c r="H665" s="2">
        <v>9.89</v>
      </c>
      <c r="I665" s="1">
        <v>30</v>
      </c>
      <c r="U665" s="1">
        <v>37</v>
      </c>
      <c r="X665" s="1">
        <v>30</v>
      </c>
      <c r="AA665" s="1">
        <v>1</v>
      </c>
      <c r="AB665" s="1">
        <v>1</v>
      </c>
      <c r="AC665" s="1">
        <v>1330</v>
      </c>
      <c r="AF665" s="3">
        <v>3.0333670374115265</v>
      </c>
      <c r="AG665" s="3">
        <v>1.6395038505573942</v>
      </c>
      <c r="AH665" s="1">
        <v>6257</v>
      </c>
      <c r="AI665" s="1" t="b">
        <v>1</v>
      </c>
    </row>
    <row r="666" spans="1:35" x14ac:dyDescent="0.25">
      <c r="A666" s="1">
        <v>2</v>
      </c>
      <c r="B666" s="1">
        <v>12</v>
      </c>
      <c r="C666" s="1">
        <v>2019</v>
      </c>
      <c r="G666" s="1" t="s">
        <v>38</v>
      </c>
      <c r="H666" s="2">
        <v>8.4600000000000009</v>
      </c>
      <c r="I666" s="1">
        <v>15</v>
      </c>
      <c r="V666" s="1">
        <v>27</v>
      </c>
      <c r="X666" s="1">
        <v>23</v>
      </c>
      <c r="AA666" s="1">
        <v>3</v>
      </c>
      <c r="AB666" s="1">
        <v>4</v>
      </c>
      <c r="AC666" s="1">
        <v>1036</v>
      </c>
      <c r="AF666" s="3">
        <v>1.7730496453900708</v>
      </c>
      <c r="AG666" s="3">
        <v>2.514423101275288</v>
      </c>
      <c r="AH666" s="1">
        <v>6257</v>
      </c>
      <c r="AI666" s="1" t="b">
        <v>1</v>
      </c>
    </row>
    <row r="667" spans="1:35" x14ac:dyDescent="0.25">
      <c r="A667" s="1">
        <v>2</v>
      </c>
      <c r="B667" s="1">
        <v>12</v>
      </c>
      <c r="C667" s="1">
        <v>2019</v>
      </c>
      <c r="G667" s="1" t="s">
        <v>38</v>
      </c>
      <c r="H667" s="2">
        <v>11.6</v>
      </c>
      <c r="I667" s="1">
        <v>24</v>
      </c>
      <c r="V667" s="1">
        <v>51</v>
      </c>
      <c r="X667" s="1">
        <v>30</v>
      </c>
      <c r="AA667" s="1">
        <v>3</v>
      </c>
      <c r="AB667" s="1">
        <v>2</v>
      </c>
      <c r="AC667" s="1">
        <v>1464</v>
      </c>
      <c r="AF667" s="3">
        <v>2.0689655172413794</v>
      </c>
      <c r="AG667" s="3">
        <v>2.6876167555696031</v>
      </c>
      <c r="AH667" s="1">
        <v>6257</v>
      </c>
      <c r="AI667" s="1" t="b">
        <v>1</v>
      </c>
    </row>
    <row r="668" spans="1:35" x14ac:dyDescent="0.25">
      <c r="A668" s="1">
        <v>2</v>
      </c>
      <c r="B668" s="1">
        <v>12</v>
      </c>
      <c r="C668" s="1">
        <v>2019</v>
      </c>
      <c r="G668" s="1" t="s">
        <v>38</v>
      </c>
      <c r="H668" s="2">
        <v>7.66</v>
      </c>
      <c r="I668" s="1">
        <v>12</v>
      </c>
      <c r="V668" s="1">
        <v>28</v>
      </c>
      <c r="X668" s="1">
        <v>19</v>
      </c>
      <c r="AA668" s="1">
        <v>2</v>
      </c>
      <c r="AB668" s="1">
        <v>3</v>
      </c>
      <c r="AC668" s="1">
        <v>845</v>
      </c>
      <c r="AF668" s="3">
        <v>1.566579634464752</v>
      </c>
      <c r="AG668" s="3">
        <v>2.6546523980240826</v>
      </c>
      <c r="AH668" s="1">
        <v>6257</v>
      </c>
      <c r="AI668" s="1" t="b">
        <v>1</v>
      </c>
    </row>
    <row r="669" spans="1:35" x14ac:dyDescent="0.25">
      <c r="A669" s="1">
        <v>2</v>
      </c>
      <c r="B669" s="1">
        <v>12</v>
      </c>
      <c r="C669" s="1">
        <v>2019</v>
      </c>
      <c r="G669" s="1" t="s">
        <v>38</v>
      </c>
      <c r="H669" s="2">
        <v>8.92</v>
      </c>
      <c r="I669" s="1">
        <v>19</v>
      </c>
      <c r="V669" s="1">
        <v>27</v>
      </c>
      <c r="X669" s="1">
        <v>24</v>
      </c>
      <c r="AA669" s="1">
        <v>3</v>
      </c>
      <c r="AB669" s="1">
        <v>1</v>
      </c>
      <c r="AC669" s="1">
        <v>1053</v>
      </c>
      <c r="AF669" s="3">
        <v>2.1300448430493275</v>
      </c>
      <c r="AG669" s="3">
        <v>2.1720341614154246</v>
      </c>
      <c r="AH669" s="1">
        <v>6257</v>
      </c>
      <c r="AI669" s="1" t="b">
        <v>1</v>
      </c>
    </row>
    <row r="670" spans="1:35" x14ac:dyDescent="0.25">
      <c r="A670" s="1">
        <v>2</v>
      </c>
      <c r="B670" s="1">
        <v>12</v>
      </c>
      <c r="C670" s="1">
        <v>2019</v>
      </c>
      <c r="G670" s="1" t="s">
        <v>38</v>
      </c>
      <c r="H670" s="2">
        <v>4.5599999999999996</v>
      </c>
      <c r="I670" s="1">
        <v>12</v>
      </c>
      <c r="U670" s="1">
        <v>17</v>
      </c>
      <c r="X670" s="1">
        <v>14</v>
      </c>
      <c r="AA670" s="1">
        <v>2</v>
      </c>
      <c r="AB670" s="1">
        <v>3</v>
      </c>
      <c r="AC670" s="1">
        <v>634</v>
      </c>
      <c r="AF670" s="3">
        <v>2.6315789473684212</v>
      </c>
      <c r="AG670" s="3">
        <v>1.0991551180749732</v>
      </c>
      <c r="AH670" s="1">
        <v>6257</v>
      </c>
      <c r="AI670" s="1" t="b">
        <v>1</v>
      </c>
    </row>
    <row r="671" spans="1:35" x14ac:dyDescent="0.25">
      <c r="A671" s="1">
        <v>2</v>
      </c>
      <c r="B671" s="1">
        <v>12</v>
      </c>
      <c r="C671" s="1">
        <v>2019</v>
      </c>
      <c r="G671" s="1" t="s">
        <v>38</v>
      </c>
      <c r="H671" s="2">
        <v>5.17</v>
      </c>
      <c r="I671" s="1">
        <v>19</v>
      </c>
      <c r="U671" s="1">
        <v>25</v>
      </c>
      <c r="X671" s="1">
        <v>22</v>
      </c>
      <c r="AA671" s="1">
        <v>3</v>
      </c>
      <c r="AB671" s="1">
        <v>2</v>
      </c>
      <c r="AC671" s="1">
        <v>735</v>
      </c>
      <c r="AF671" s="3">
        <v>3.6750483558994196</v>
      </c>
      <c r="AG671" s="3">
        <v>0.85937026438013242</v>
      </c>
      <c r="AH671" s="1">
        <v>6257</v>
      </c>
      <c r="AI671" s="1" t="b">
        <v>1</v>
      </c>
    </row>
    <row r="672" spans="1:35" x14ac:dyDescent="0.25">
      <c r="A672" s="1">
        <v>2</v>
      </c>
      <c r="B672" s="1">
        <v>12</v>
      </c>
      <c r="C672" s="1">
        <v>2019</v>
      </c>
      <c r="G672" s="1" t="s">
        <v>38</v>
      </c>
      <c r="H672" s="2">
        <v>7.49</v>
      </c>
      <c r="I672" s="1">
        <v>17</v>
      </c>
      <c r="V672" s="1">
        <v>32</v>
      </c>
      <c r="X672" s="1">
        <v>23</v>
      </c>
      <c r="AA672" s="1">
        <v>4</v>
      </c>
      <c r="AB672" s="1">
        <v>2</v>
      </c>
      <c r="AC672" s="1">
        <v>978</v>
      </c>
      <c r="AF672" s="3">
        <v>2.2696929238985315</v>
      </c>
      <c r="AG672" s="3">
        <v>1.8037243520069841</v>
      </c>
      <c r="AH672" s="1">
        <v>6257</v>
      </c>
      <c r="AI672" s="1" t="b">
        <v>1</v>
      </c>
    </row>
    <row r="673" spans="1:35" x14ac:dyDescent="0.25">
      <c r="A673" s="1">
        <v>2</v>
      </c>
      <c r="B673" s="1">
        <v>12</v>
      </c>
      <c r="C673" s="1">
        <v>2019</v>
      </c>
      <c r="G673" s="1" t="s">
        <v>38</v>
      </c>
      <c r="H673" s="2">
        <v>7.63</v>
      </c>
      <c r="I673" s="1">
        <v>16</v>
      </c>
      <c r="V673" s="1">
        <v>28</v>
      </c>
      <c r="X673" s="1">
        <v>19</v>
      </c>
      <c r="AA673" s="1">
        <v>2</v>
      </c>
      <c r="AB673" s="1">
        <v>3</v>
      </c>
      <c r="AC673" s="1">
        <v>949</v>
      </c>
      <c r="AF673" s="3">
        <v>2.0969855832241153</v>
      </c>
      <c r="AG673" s="3">
        <v>1.9777515423384004</v>
      </c>
      <c r="AH673" s="1">
        <v>6257</v>
      </c>
      <c r="AI673" s="1" t="b">
        <v>1</v>
      </c>
    </row>
    <row r="674" spans="1:35" x14ac:dyDescent="0.25">
      <c r="A674" s="1">
        <v>2</v>
      </c>
      <c r="B674" s="1">
        <v>12</v>
      </c>
      <c r="C674" s="1">
        <v>2019</v>
      </c>
      <c r="G674" s="1" t="s">
        <v>38</v>
      </c>
      <c r="H674" s="2">
        <v>7.81</v>
      </c>
      <c r="I674" s="1">
        <v>27</v>
      </c>
      <c r="U674" s="1">
        <v>34</v>
      </c>
      <c r="X674" s="1">
        <v>32</v>
      </c>
      <c r="AA674" s="1">
        <v>3</v>
      </c>
      <c r="AB674" s="1">
        <v>3</v>
      </c>
      <c r="AC674" s="1">
        <v>1078</v>
      </c>
      <c r="AF674" s="3">
        <v>3.4571062740076828</v>
      </c>
      <c r="AG674" s="3">
        <v>1.2193910228734131</v>
      </c>
      <c r="AH674" s="1">
        <v>6257</v>
      </c>
      <c r="AI674" s="1" t="b">
        <v>1</v>
      </c>
    </row>
    <row r="675" spans="1:35" x14ac:dyDescent="0.25">
      <c r="A675" s="1">
        <v>2</v>
      </c>
      <c r="B675" s="1">
        <v>12</v>
      </c>
      <c r="C675" s="1">
        <v>2019</v>
      </c>
      <c r="G675" s="1" t="s">
        <v>38</v>
      </c>
      <c r="H675" s="2">
        <v>3.37</v>
      </c>
      <c r="I675" s="1">
        <v>9</v>
      </c>
      <c r="U675" s="1">
        <v>12</v>
      </c>
      <c r="X675" s="1">
        <v>9</v>
      </c>
      <c r="AA675" s="1">
        <v>1</v>
      </c>
      <c r="AB675" s="1">
        <v>3</v>
      </c>
      <c r="AC675" s="1">
        <v>465</v>
      </c>
      <c r="AF675" s="3">
        <v>2.6706231454005933</v>
      </c>
      <c r="AG675" s="3">
        <v>0.87645237465388581</v>
      </c>
      <c r="AH675" s="1">
        <v>6257</v>
      </c>
      <c r="AI675" s="1" t="b">
        <v>1</v>
      </c>
    </row>
    <row r="676" spans="1:35" x14ac:dyDescent="0.25">
      <c r="A676" s="1">
        <v>2</v>
      </c>
      <c r="B676" s="1">
        <v>12</v>
      </c>
      <c r="C676" s="1">
        <v>2019</v>
      </c>
      <c r="G676" s="1" t="s">
        <v>38</v>
      </c>
      <c r="H676" s="2">
        <v>6.04</v>
      </c>
      <c r="I676" s="1">
        <v>16</v>
      </c>
      <c r="U676" s="1">
        <v>24</v>
      </c>
      <c r="X676" s="1">
        <v>21</v>
      </c>
      <c r="AA676" s="1">
        <v>3</v>
      </c>
      <c r="AB676" s="1">
        <v>6</v>
      </c>
      <c r="AC676" s="1">
        <v>886</v>
      </c>
      <c r="AF676" s="3">
        <v>2.6490066225165565</v>
      </c>
      <c r="AG676" s="3">
        <v>1.3293606309926089</v>
      </c>
      <c r="AH676" s="1">
        <v>6257</v>
      </c>
      <c r="AI676" s="1" t="b">
        <v>1</v>
      </c>
    </row>
    <row r="677" spans="1:35" x14ac:dyDescent="0.25">
      <c r="A677" s="1">
        <v>2</v>
      </c>
      <c r="B677" s="1">
        <v>12</v>
      </c>
      <c r="C677" s="1">
        <v>2019</v>
      </c>
      <c r="G677" s="1" t="s">
        <v>38</v>
      </c>
      <c r="H677" s="2">
        <v>4.32</v>
      </c>
      <c r="I677" s="1">
        <v>17</v>
      </c>
      <c r="U677" s="1">
        <v>19</v>
      </c>
      <c r="X677" s="1">
        <v>17</v>
      </c>
      <c r="AA677" s="1">
        <v>1</v>
      </c>
      <c r="AB677" s="1">
        <v>2</v>
      </c>
      <c r="AC677" s="1">
        <v>610</v>
      </c>
      <c r="AF677" s="3">
        <v>3.9351851851851851</v>
      </c>
      <c r="AG677" s="3">
        <v>0.70773952167542908</v>
      </c>
      <c r="AH677" s="1">
        <v>6257</v>
      </c>
      <c r="AI677" s="1" t="b">
        <v>1</v>
      </c>
    </row>
    <row r="678" spans="1:35" x14ac:dyDescent="0.25">
      <c r="A678" s="1">
        <v>2</v>
      </c>
      <c r="B678" s="1">
        <v>12</v>
      </c>
      <c r="C678" s="1">
        <v>2019</v>
      </c>
      <c r="G678" s="1" t="s">
        <v>38</v>
      </c>
      <c r="H678" s="2">
        <v>6.81</v>
      </c>
      <c r="I678" s="1">
        <v>22</v>
      </c>
      <c r="U678" s="1">
        <v>23</v>
      </c>
      <c r="X678" s="1">
        <v>22</v>
      </c>
      <c r="AA678" s="1">
        <v>1</v>
      </c>
      <c r="AB678" s="1">
        <v>2</v>
      </c>
      <c r="AC678" s="1">
        <v>995</v>
      </c>
      <c r="AF678" s="3">
        <v>3.2305433186490458</v>
      </c>
      <c r="AG678" s="3">
        <v>1.1855705682678825</v>
      </c>
      <c r="AH678" s="1">
        <v>6257</v>
      </c>
      <c r="AI678" s="1" t="b">
        <v>1</v>
      </c>
    </row>
    <row r="679" spans="1:35" x14ac:dyDescent="0.25">
      <c r="A679" s="1">
        <v>2</v>
      </c>
      <c r="B679" s="1">
        <v>12</v>
      </c>
      <c r="C679" s="1">
        <v>2019</v>
      </c>
      <c r="G679" s="1" t="s">
        <v>38</v>
      </c>
      <c r="H679" s="2">
        <v>3.55</v>
      </c>
      <c r="I679" s="1">
        <v>11</v>
      </c>
      <c r="U679" s="1">
        <v>17</v>
      </c>
      <c r="X679" s="1">
        <v>14</v>
      </c>
      <c r="AA679" s="1">
        <v>2</v>
      </c>
      <c r="AB679" s="1">
        <v>4</v>
      </c>
      <c r="AC679" s="1">
        <v>623</v>
      </c>
      <c r="AF679" s="3">
        <v>3.098591549295775</v>
      </c>
      <c r="AG679" s="3">
        <v>0.7834215523202338</v>
      </c>
      <c r="AH679" s="1">
        <v>6257</v>
      </c>
      <c r="AI679" s="1" t="b">
        <v>1</v>
      </c>
    </row>
    <row r="680" spans="1:35" x14ac:dyDescent="0.25">
      <c r="A680" s="1">
        <v>2</v>
      </c>
      <c r="B680" s="1">
        <v>12</v>
      </c>
      <c r="C680" s="1">
        <v>2019</v>
      </c>
      <c r="G680" s="1" t="s">
        <v>38</v>
      </c>
      <c r="H680" s="2">
        <v>5.54</v>
      </c>
      <c r="I680" s="1">
        <v>19</v>
      </c>
      <c r="U680" s="1">
        <v>25</v>
      </c>
      <c r="X680" s="1">
        <v>23</v>
      </c>
      <c r="AA680" s="1">
        <v>3</v>
      </c>
      <c r="AB680" s="1">
        <v>3</v>
      </c>
      <c r="AC680" s="1">
        <v>869</v>
      </c>
      <c r="AF680" s="3">
        <v>3.4296028880866425</v>
      </c>
      <c r="AG680" s="3">
        <v>0.96652479341860198</v>
      </c>
      <c r="AH680" s="1">
        <v>6257</v>
      </c>
      <c r="AI680" s="1" t="b">
        <v>1</v>
      </c>
    </row>
    <row r="681" spans="1:35" x14ac:dyDescent="0.25">
      <c r="A681" s="1">
        <v>2</v>
      </c>
      <c r="B681" s="1">
        <v>12</v>
      </c>
      <c r="C681" s="1">
        <v>2019</v>
      </c>
      <c r="G681" s="1" t="s">
        <v>38</v>
      </c>
      <c r="H681" s="2">
        <v>4.12</v>
      </c>
      <c r="I681" s="1">
        <v>15</v>
      </c>
      <c r="U681" s="1">
        <v>17</v>
      </c>
      <c r="X681" s="1">
        <v>15</v>
      </c>
      <c r="AA681" s="1">
        <v>1</v>
      </c>
      <c r="AB681" s="1">
        <v>2</v>
      </c>
      <c r="AC681" s="1">
        <v>676</v>
      </c>
      <c r="AF681" s="3">
        <v>3.6407766990291259</v>
      </c>
      <c r="AG681" s="3">
        <v>0.74000389936342548</v>
      </c>
      <c r="AH681" s="1">
        <v>6257</v>
      </c>
      <c r="AI681" s="1" t="b">
        <v>1</v>
      </c>
    </row>
    <row r="682" spans="1:35" x14ac:dyDescent="0.25">
      <c r="A682" s="1">
        <v>2</v>
      </c>
      <c r="B682" s="1">
        <v>12</v>
      </c>
      <c r="C682" s="1">
        <v>2019</v>
      </c>
      <c r="G682" s="1" t="s">
        <v>38</v>
      </c>
      <c r="H682" s="2">
        <v>7.51</v>
      </c>
      <c r="I682" s="1">
        <v>23</v>
      </c>
      <c r="U682" s="1">
        <v>39</v>
      </c>
      <c r="X682" s="1">
        <v>29</v>
      </c>
      <c r="AA682" s="1">
        <v>3</v>
      </c>
      <c r="AB682" s="1">
        <v>3</v>
      </c>
      <c r="AC682" s="1">
        <v>1161</v>
      </c>
      <c r="AF682" s="3">
        <v>3.062583222370173</v>
      </c>
      <c r="AG682" s="3">
        <v>1.3392450717179807</v>
      </c>
      <c r="AH682" s="1">
        <v>6257</v>
      </c>
      <c r="AI682" s="1" t="b">
        <v>1</v>
      </c>
    </row>
    <row r="683" spans="1:35" x14ac:dyDescent="0.25">
      <c r="A683" s="1">
        <v>2</v>
      </c>
      <c r="B683" s="1">
        <v>12</v>
      </c>
      <c r="C683" s="1">
        <v>2019</v>
      </c>
      <c r="G683" s="1" t="s">
        <v>38</v>
      </c>
      <c r="H683" s="2">
        <v>6.95</v>
      </c>
      <c r="I683" s="1">
        <v>22</v>
      </c>
      <c r="U683" s="1">
        <v>36</v>
      </c>
      <c r="X683" s="1">
        <v>29</v>
      </c>
      <c r="AA683" s="1">
        <v>3</v>
      </c>
      <c r="AB683" s="1">
        <v>5</v>
      </c>
      <c r="AC683" s="1">
        <v>1083</v>
      </c>
      <c r="AF683" s="3">
        <v>3.1654676258992804</v>
      </c>
      <c r="AG683" s="3">
        <v>1.2273021272818541</v>
      </c>
      <c r="AH683" s="1">
        <v>6257</v>
      </c>
      <c r="AI683" s="1" t="b">
        <v>1</v>
      </c>
    </row>
    <row r="684" spans="1:35" x14ac:dyDescent="0.25">
      <c r="A684" s="1">
        <v>2</v>
      </c>
      <c r="B684" s="1">
        <v>12</v>
      </c>
      <c r="C684" s="1">
        <v>2019</v>
      </c>
      <c r="G684" s="1" t="s">
        <v>38</v>
      </c>
      <c r="H684" s="2">
        <v>6.87</v>
      </c>
      <c r="I684" s="1">
        <v>24</v>
      </c>
      <c r="U684" s="1">
        <v>43</v>
      </c>
      <c r="X684" s="1">
        <v>33</v>
      </c>
      <c r="AA684" s="1">
        <v>4</v>
      </c>
      <c r="AB684" s="1">
        <v>1</v>
      </c>
      <c r="AC684" s="1">
        <v>1148</v>
      </c>
      <c r="AF684" s="3">
        <v>3.4934497816593888</v>
      </c>
      <c r="AG684" s="3">
        <v>1.1031008298151124</v>
      </c>
      <c r="AH684" s="1">
        <v>6257</v>
      </c>
      <c r="AI684" s="1" t="b">
        <v>1</v>
      </c>
    </row>
    <row r="685" spans="1:35" x14ac:dyDescent="0.25">
      <c r="A685" s="1">
        <v>2</v>
      </c>
      <c r="B685" s="1">
        <v>12</v>
      </c>
      <c r="C685" s="1">
        <v>2019</v>
      </c>
      <c r="G685" s="1" t="s">
        <v>38</v>
      </c>
      <c r="H685" s="2">
        <v>4.8899999999999997</v>
      </c>
      <c r="I685" s="1">
        <v>11</v>
      </c>
      <c r="U685" s="1">
        <v>27</v>
      </c>
      <c r="X685" s="1">
        <v>19</v>
      </c>
      <c r="AA685" s="1">
        <v>3</v>
      </c>
      <c r="AB685" s="1">
        <v>2</v>
      </c>
      <c r="AC685" s="1">
        <v>737</v>
      </c>
      <c r="AF685" s="3">
        <v>2.2494887525562373</v>
      </c>
      <c r="AG685" s="3">
        <v>1.3503065532166458</v>
      </c>
      <c r="AH685" s="1">
        <v>6257</v>
      </c>
      <c r="AI685" s="1" t="b">
        <v>1</v>
      </c>
    </row>
    <row r="686" spans="1:35" x14ac:dyDescent="0.25">
      <c r="A686" s="1">
        <v>2</v>
      </c>
      <c r="B686" s="1">
        <v>12</v>
      </c>
      <c r="C686" s="1">
        <v>2019</v>
      </c>
      <c r="G686" s="1" t="s">
        <v>38</v>
      </c>
      <c r="H686" s="2">
        <v>6.6</v>
      </c>
      <c r="I686" s="1">
        <v>12</v>
      </c>
      <c r="U686" s="1">
        <v>27</v>
      </c>
      <c r="X686" s="1">
        <v>18</v>
      </c>
      <c r="AA686" s="1">
        <v>3</v>
      </c>
      <c r="AB686" s="1">
        <v>3</v>
      </c>
      <c r="AC686" s="1">
        <v>845</v>
      </c>
      <c r="AF686" s="3">
        <v>1.8181818181818183</v>
      </c>
      <c r="AG686" s="3">
        <v>2.0608360573893965</v>
      </c>
      <c r="AH686" s="1">
        <v>6257</v>
      </c>
      <c r="AI686" s="1" t="b">
        <v>1</v>
      </c>
    </row>
    <row r="687" spans="1:35" x14ac:dyDescent="0.25">
      <c r="A687" s="1">
        <v>2</v>
      </c>
      <c r="B687" s="1">
        <v>12</v>
      </c>
      <c r="C687" s="1">
        <v>2019</v>
      </c>
      <c r="G687" s="1" t="s">
        <v>38</v>
      </c>
      <c r="H687" s="2">
        <v>3.26</v>
      </c>
      <c r="I687" s="1">
        <v>9</v>
      </c>
      <c r="U687" s="1">
        <v>11</v>
      </c>
      <c r="X687" s="1">
        <v>9</v>
      </c>
      <c r="AA687" s="1">
        <v>1</v>
      </c>
      <c r="AB687" s="1">
        <v>4</v>
      </c>
      <c r="AC687" s="1">
        <v>479</v>
      </c>
      <c r="AF687" s="3">
        <v>2.7607361963190185</v>
      </c>
      <c r="AG687" s="3">
        <v>0.82837581460878074</v>
      </c>
      <c r="AH687" s="1">
        <v>6257</v>
      </c>
      <c r="AI687" s="1" t="b">
        <v>1</v>
      </c>
    </row>
    <row r="688" spans="1:35" x14ac:dyDescent="0.25">
      <c r="A688" s="1">
        <v>2</v>
      </c>
      <c r="B688" s="1">
        <v>12</v>
      </c>
      <c r="C688" s="1">
        <v>2019</v>
      </c>
      <c r="G688" s="1" t="s">
        <v>38</v>
      </c>
      <c r="H688" s="2">
        <v>4.4400000000000004</v>
      </c>
      <c r="I688" s="1">
        <v>13</v>
      </c>
      <c r="U688" s="1">
        <v>19</v>
      </c>
      <c r="X688" s="1">
        <v>18</v>
      </c>
      <c r="AA688" s="1">
        <v>4</v>
      </c>
      <c r="AB688" s="1">
        <v>3</v>
      </c>
      <c r="AC688" s="1">
        <v>631</v>
      </c>
      <c r="AF688" s="3">
        <v>2.9279279279279278</v>
      </c>
      <c r="AG688" s="3">
        <v>0.96963369046259928</v>
      </c>
      <c r="AH688" s="1">
        <v>6257</v>
      </c>
      <c r="AI688" s="1" t="b">
        <v>1</v>
      </c>
    </row>
    <row r="689" spans="1:35" x14ac:dyDescent="0.25">
      <c r="A689" s="1">
        <v>2</v>
      </c>
      <c r="B689" s="1">
        <v>12</v>
      </c>
      <c r="C689" s="1">
        <v>2019</v>
      </c>
      <c r="G689" s="1" t="s">
        <v>38</v>
      </c>
      <c r="H689" s="2">
        <v>6.01</v>
      </c>
      <c r="I689" s="1">
        <v>17</v>
      </c>
      <c r="U689" s="1">
        <v>20</v>
      </c>
      <c r="X689" s="1">
        <v>17</v>
      </c>
      <c r="AA689" s="1">
        <v>1</v>
      </c>
      <c r="AB689" s="1">
        <v>1</v>
      </c>
      <c r="AC689" s="1">
        <v>800</v>
      </c>
      <c r="AF689" s="3">
        <v>2.8286189683860234</v>
      </c>
      <c r="AG689" s="3">
        <v>1.2406168659686774</v>
      </c>
      <c r="AH689" s="1">
        <v>6257</v>
      </c>
      <c r="AI689" s="1" t="b">
        <v>1</v>
      </c>
    </row>
    <row r="690" spans="1:35" x14ac:dyDescent="0.25">
      <c r="A690" s="1">
        <v>2</v>
      </c>
      <c r="B690" s="1">
        <v>12</v>
      </c>
      <c r="C690" s="1">
        <v>2019</v>
      </c>
      <c r="G690" s="1" t="s">
        <v>38</v>
      </c>
      <c r="H690" s="2">
        <v>5.25</v>
      </c>
      <c r="I690" s="1">
        <v>23</v>
      </c>
      <c r="U690" s="1">
        <v>27</v>
      </c>
      <c r="X690" s="1">
        <v>24</v>
      </c>
      <c r="AA690" s="1">
        <v>1</v>
      </c>
      <c r="AB690" s="1">
        <v>4</v>
      </c>
      <c r="AC690" s="1">
        <v>767</v>
      </c>
      <c r="AF690" s="3">
        <v>4.3809523809523814</v>
      </c>
      <c r="AG690" s="3">
        <v>0.72869028547558234</v>
      </c>
      <c r="AH690" s="1">
        <v>6257</v>
      </c>
      <c r="AI690" s="1" t="b">
        <v>1</v>
      </c>
    </row>
    <row r="691" spans="1:35" x14ac:dyDescent="0.25">
      <c r="A691" s="1">
        <v>2</v>
      </c>
      <c r="B691" s="1">
        <v>12</v>
      </c>
      <c r="C691" s="1">
        <v>2019</v>
      </c>
      <c r="G691" s="1" t="s">
        <v>38</v>
      </c>
      <c r="H691" s="2">
        <v>5.93</v>
      </c>
      <c r="I691" s="1">
        <v>14</v>
      </c>
      <c r="U691" s="1">
        <v>29</v>
      </c>
      <c r="X691" s="1">
        <v>22</v>
      </c>
      <c r="AA691" s="1">
        <v>4</v>
      </c>
      <c r="AB691" s="1">
        <v>6</v>
      </c>
      <c r="AC691" s="1">
        <v>880</v>
      </c>
      <c r="AF691" s="3">
        <v>2.3608768971332212</v>
      </c>
      <c r="AG691" s="3">
        <v>1.472532683910164</v>
      </c>
      <c r="AH691" s="1">
        <v>6257</v>
      </c>
      <c r="AI691" s="1" t="b">
        <v>1</v>
      </c>
    </row>
    <row r="692" spans="1:35" x14ac:dyDescent="0.25">
      <c r="A692" s="1">
        <v>2</v>
      </c>
      <c r="B692" s="1">
        <v>12</v>
      </c>
      <c r="C692" s="1">
        <v>2019</v>
      </c>
      <c r="G692" s="1" t="s">
        <v>38</v>
      </c>
      <c r="H692" s="2">
        <v>7.44</v>
      </c>
      <c r="I692" s="1">
        <v>17</v>
      </c>
      <c r="U692" s="1">
        <v>34</v>
      </c>
      <c r="X692" s="1">
        <v>25</v>
      </c>
      <c r="AA692" s="1">
        <v>3</v>
      </c>
      <c r="AB692" s="1">
        <v>3</v>
      </c>
      <c r="AC692" s="1">
        <v>1400</v>
      </c>
      <c r="AF692" s="3">
        <v>2.2849462365591395</v>
      </c>
      <c r="AG692" s="3">
        <v>1.7833027079501578</v>
      </c>
      <c r="AH692" s="1">
        <v>6257</v>
      </c>
      <c r="AI692" s="1" t="b">
        <v>1</v>
      </c>
    </row>
    <row r="693" spans="1:35" x14ac:dyDescent="0.25">
      <c r="A693" s="1">
        <v>4</v>
      </c>
      <c r="B693" s="1">
        <v>12</v>
      </c>
      <c r="C693" s="1">
        <v>2019</v>
      </c>
      <c r="G693" s="1" t="s">
        <v>38</v>
      </c>
      <c r="H693" s="2">
        <v>6.81</v>
      </c>
      <c r="I693" s="1">
        <v>19</v>
      </c>
      <c r="U693" s="1">
        <v>31</v>
      </c>
      <c r="X693" s="1">
        <v>26</v>
      </c>
      <c r="AA693" s="1">
        <v>3</v>
      </c>
      <c r="AB693" s="1">
        <v>1</v>
      </c>
      <c r="AC693" s="1">
        <v>981</v>
      </c>
      <c r="AF693" s="3">
        <v>2.7900146842878124</v>
      </c>
      <c r="AG693" s="3">
        <v>1.3727659211522849</v>
      </c>
      <c r="AH693" s="1">
        <v>6257</v>
      </c>
      <c r="AI693" s="1" t="b">
        <v>1</v>
      </c>
    </row>
    <row r="694" spans="1:35" x14ac:dyDescent="0.25">
      <c r="A694" s="1">
        <v>4</v>
      </c>
      <c r="B694" s="1">
        <v>12</v>
      </c>
      <c r="C694" s="1">
        <v>2019</v>
      </c>
      <c r="G694" s="1" t="s">
        <v>38</v>
      </c>
      <c r="H694" s="2">
        <v>4.8499999999999996</v>
      </c>
      <c r="I694" s="1">
        <v>15</v>
      </c>
      <c r="V694" s="1">
        <v>18</v>
      </c>
      <c r="X694" s="1">
        <v>15</v>
      </c>
      <c r="AA694" s="1">
        <v>2</v>
      </c>
      <c r="AB694" s="1">
        <v>4</v>
      </c>
      <c r="AC694" s="1">
        <v>639</v>
      </c>
      <c r="AF694" s="3">
        <v>3.0927835051546393</v>
      </c>
      <c r="AG694" s="3">
        <v>0.97649426403354267</v>
      </c>
      <c r="AH694" s="1">
        <v>6257</v>
      </c>
      <c r="AI694" s="1" t="b">
        <v>1</v>
      </c>
    </row>
    <row r="695" spans="1:35" x14ac:dyDescent="0.25">
      <c r="A695" s="1">
        <v>4</v>
      </c>
      <c r="B695" s="1">
        <v>12</v>
      </c>
      <c r="C695" s="1">
        <v>2019</v>
      </c>
      <c r="G695" s="1" t="s">
        <v>38</v>
      </c>
      <c r="H695" s="2">
        <v>5.16</v>
      </c>
      <c r="I695" s="1">
        <v>10</v>
      </c>
      <c r="U695" s="1">
        <v>24</v>
      </c>
      <c r="X695" s="1">
        <v>17</v>
      </c>
      <c r="AA695" s="1">
        <v>4</v>
      </c>
      <c r="AB695" s="1">
        <v>5</v>
      </c>
      <c r="AC695" s="1">
        <v>789</v>
      </c>
      <c r="AF695" s="3">
        <v>1.9379844961240309</v>
      </c>
      <c r="AG695" s="3">
        <v>1.6274381513647698</v>
      </c>
      <c r="AH695" s="1">
        <v>6257</v>
      </c>
      <c r="AI695" s="1" t="b">
        <v>1</v>
      </c>
    </row>
    <row r="696" spans="1:35" x14ac:dyDescent="0.25">
      <c r="A696" s="1">
        <v>4</v>
      </c>
      <c r="B696" s="1">
        <v>12</v>
      </c>
      <c r="C696" s="1">
        <v>2019</v>
      </c>
      <c r="G696" s="1" t="s">
        <v>38</v>
      </c>
      <c r="H696" s="2">
        <v>3.48</v>
      </c>
      <c r="I696" s="1">
        <v>8</v>
      </c>
      <c r="U696" s="1">
        <v>15</v>
      </c>
      <c r="X696" s="1">
        <v>10</v>
      </c>
      <c r="AA696" s="1">
        <v>2</v>
      </c>
      <c r="AB696" s="1">
        <v>2</v>
      </c>
      <c r="AC696" s="1">
        <v>474</v>
      </c>
      <c r="AF696" s="3">
        <v>2.2988505747126435</v>
      </c>
      <c r="AG696" s="3">
        <v>1.0413452196460273</v>
      </c>
      <c r="AH696" s="1">
        <v>6257</v>
      </c>
      <c r="AI696" s="1" t="b">
        <v>1</v>
      </c>
    </row>
    <row r="697" spans="1:35" x14ac:dyDescent="0.25">
      <c r="A697" s="1">
        <v>4</v>
      </c>
      <c r="B697" s="1">
        <v>12</v>
      </c>
      <c r="C697" s="1">
        <v>2019</v>
      </c>
      <c r="G697" s="1" t="s">
        <v>38</v>
      </c>
      <c r="H697" s="2">
        <v>5.08</v>
      </c>
      <c r="I697" s="1">
        <v>13</v>
      </c>
      <c r="U697" s="1">
        <v>26</v>
      </c>
      <c r="X697" s="1">
        <v>20</v>
      </c>
      <c r="AA697" s="1">
        <v>3</v>
      </c>
      <c r="AB697" s="1">
        <v>3</v>
      </c>
      <c r="AC697" s="1">
        <v>826</v>
      </c>
      <c r="AF697" s="3">
        <v>2.5590551181102361</v>
      </c>
      <c r="AG697" s="3">
        <v>1.2190596553493653</v>
      </c>
      <c r="AH697" s="1">
        <v>6257</v>
      </c>
      <c r="AI697" s="1" t="b">
        <v>1</v>
      </c>
    </row>
    <row r="698" spans="1:35" x14ac:dyDescent="0.25">
      <c r="A698" s="1">
        <v>4</v>
      </c>
      <c r="B698" s="1">
        <v>12</v>
      </c>
      <c r="C698" s="1">
        <v>2019</v>
      </c>
      <c r="G698" s="1" t="s">
        <v>38</v>
      </c>
      <c r="H698" s="2">
        <v>4.7</v>
      </c>
      <c r="I698" s="1">
        <v>12</v>
      </c>
      <c r="U698" s="1">
        <v>19</v>
      </c>
      <c r="X698" s="1">
        <v>15</v>
      </c>
      <c r="AA698" s="1">
        <v>3</v>
      </c>
      <c r="AB698" s="1">
        <v>2</v>
      </c>
      <c r="AC698" s="1">
        <v>510</v>
      </c>
      <c r="AF698" s="3">
        <v>2.5531914893617018</v>
      </c>
      <c r="AG698" s="3">
        <v>1.1571378842235072</v>
      </c>
      <c r="AH698" s="1">
        <v>6257</v>
      </c>
      <c r="AI698" s="1" t="b">
        <v>1</v>
      </c>
    </row>
    <row r="699" spans="1:35" x14ac:dyDescent="0.25">
      <c r="A699" s="1">
        <v>4</v>
      </c>
      <c r="B699" s="1">
        <v>12</v>
      </c>
      <c r="C699" s="1">
        <v>2019</v>
      </c>
      <c r="G699" s="1" t="s">
        <v>38</v>
      </c>
      <c r="H699" s="2">
        <v>7.89</v>
      </c>
      <c r="I699" s="1">
        <v>20</v>
      </c>
      <c r="V699" s="1">
        <v>32</v>
      </c>
      <c r="X699" s="1">
        <v>27</v>
      </c>
      <c r="AA699" s="1">
        <v>4</v>
      </c>
      <c r="AB699" s="1">
        <v>2</v>
      </c>
      <c r="AC699" s="1">
        <v>935</v>
      </c>
      <c r="AF699" s="3">
        <v>2.5348542458808621</v>
      </c>
      <c r="AG699" s="3">
        <v>1.6749463848236807</v>
      </c>
      <c r="AH699" s="1">
        <v>6257</v>
      </c>
      <c r="AI699" s="1" t="b">
        <v>1</v>
      </c>
    </row>
    <row r="700" spans="1:35" x14ac:dyDescent="0.25">
      <c r="A700" s="1">
        <v>4</v>
      </c>
      <c r="B700" s="1">
        <v>12</v>
      </c>
      <c r="C700" s="1">
        <v>2019</v>
      </c>
      <c r="G700" s="1" t="s">
        <v>38</v>
      </c>
      <c r="H700" s="2">
        <v>4.4800000000000004</v>
      </c>
      <c r="I700" s="1">
        <v>11</v>
      </c>
      <c r="V700" s="1">
        <v>18</v>
      </c>
      <c r="X700" s="1">
        <v>14</v>
      </c>
      <c r="AA700" s="1">
        <v>4</v>
      </c>
      <c r="AB700" s="1">
        <v>4</v>
      </c>
      <c r="AC700" s="1">
        <v>617</v>
      </c>
      <c r="AF700" s="3">
        <v>2.4553571428571428</v>
      </c>
      <c r="AG700" s="3">
        <v>1.1635363045205576</v>
      </c>
      <c r="AH700" s="1">
        <v>6257</v>
      </c>
      <c r="AI700" s="1" t="b">
        <v>1</v>
      </c>
    </row>
    <row r="701" spans="1:35" x14ac:dyDescent="0.25">
      <c r="A701" s="1">
        <v>4</v>
      </c>
      <c r="B701" s="1">
        <v>12</v>
      </c>
      <c r="C701" s="1">
        <v>2019</v>
      </c>
      <c r="G701" s="1" t="s">
        <v>38</v>
      </c>
      <c r="H701" s="2">
        <v>6.09</v>
      </c>
      <c r="I701" s="1">
        <v>14</v>
      </c>
      <c r="V701" s="1">
        <v>24</v>
      </c>
      <c r="X701" s="1">
        <v>22</v>
      </c>
      <c r="AA701" s="1">
        <v>4</v>
      </c>
      <c r="AB701" s="1">
        <v>2</v>
      </c>
      <c r="AC701" s="1">
        <v>714</v>
      </c>
      <c r="AF701" s="3">
        <v>2.2988505747126435</v>
      </c>
      <c r="AG701" s="3">
        <v>1.5407116334169912</v>
      </c>
      <c r="AH701" s="1">
        <v>6257</v>
      </c>
      <c r="AI701" s="1" t="b">
        <v>1</v>
      </c>
    </row>
    <row r="702" spans="1:35" x14ac:dyDescent="0.25">
      <c r="A702" s="1">
        <v>4</v>
      </c>
      <c r="B702" s="1">
        <v>12</v>
      </c>
      <c r="C702" s="1">
        <v>2019</v>
      </c>
      <c r="G702" s="1" t="s">
        <v>38</v>
      </c>
      <c r="H702" s="2">
        <v>8.7799999999999994</v>
      </c>
      <c r="I702" s="1">
        <v>27</v>
      </c>
      <c r="V702" s="1">
        <v>39</v>
      </c>
      <c r="X702" s="1">
        <v>27</v>
      </c>
      <c r="AA702" s="1">
        <v>2</v>
      </c>
      <c r="AB702" s="1">
        <v>1</v>
      </c>
      <c r="AC702" s="1">
        <v>857</v>
      </c>
      <c r="AF702" s="3">
        <v>3.0751708428246016</v>
      </c>
      <c r="AG702" s="3">
        <v>1.4879108574603193</v>
      </c>
      <c r="AH702" s="1">
        <v>6257</v>
      </c>
      <c r="AI702" s="1" t="b">
        <v>1</v>
      </c>
    </row>
    <row r="703" spans="1:35" x14ac:dyDescent="0.25">
      <c r="A703" s="1">
        <v>4</v>
      </c>
      <c r="B703" s="1">
        <v>12</v>
      </c>
      <c r="C703" s="1">
        <v>2019</v>
      </c>
      <c r="G703" s="1" t="s">
        <v>38</v>
      </c>
      <c r="H703" s="2">
        <v>8.83</v>
      </c>
      <c r="I703" s="1">
        <v>23</v>
      </c>
      <c r="V703" s="1">
        <v>36</v>
      </c>
      <c r="X703" s="1">
        <v>27</v>
      </c>
      <c r="AA703" s="1">
        <v>3</v>
      </c>
      <c r="AB703" s="1">
        <v>2</v>
      </c>
      <c r="AC703" s="1">
        <v>1031</v>
      </c>
      <c r="AF703" s="3">
        <v>2.6047565118912797</v>
      </c>
      <c r="AG703" s="3">
        <v>1.7636214003862178</v>
      </c>
      <c r="AH703" s="1">
        <v>6257</v>
      </c>
      <c r="AI703" s="1" t="b">
        <v>1</v>
      </c>
    </row>
    <row r="704" spans="1:35" x14ac:dyDescent="0.25">
      <c r="A704" s="1">
        <v>4</v>
      </c>
      <c r="B704" s="1">
        <v>12</v>
      </c>
      <c r="C704" s="1">
        <v>2019</v>
      </c>
      <c r="G704" s="1" t="s">
        <v>38</v>
      </c>
      <c r="H704" s="2">
        <v>5.1100000000000003</v>
      </c>
      <c r="I704" s="1">
        <v>15</v>
      </c>
      <c r="U704" s="1">
        <v>23</v>
      </c>
      <c r="X704" s="1">
        <v>20</v>
      </c>
      <c r="AA704" s="1">
        <v>3</v>
      </c>
      <c r="AB704" s="1">
        <v>3</v>
      </c>
      <c r="AC704" s="1">
        <v>993</v>
      </c>
      <c r="AF704" s="3">
        <v>2.9354207436399213</v>
      </c>
      <c r="AG704" s="3">
        <v>1.0671470573986446</v>
      </c>
      <c r="AH704" s="1">
        <v>6257</v>
      </c>
      <c r="AI704" s="1" t="b">
        <v>1</v>
      </c>
    </row>
    <row r="705" spans="1:35" x14ac:dyDescent="0.25">
      <c r="A705" s="1">
        <v>4</v>
      </c>
      <c r="B705" s="1">
        <v>12</v>
      </c>
      <c r="C705" s="1">
        <v>2019</v>
      </c>
      <c r="G705" s="1" t="s">
        <v>38</v>
      </c>
      <c r="H705" s="2">
        <v>6.31</v>
      </c>
      <c r="I705" s="1">
        <v>21</v>
      </c>
      <c r="V705" s="1">
        <v>23</v>
      </c>
      <c r="X705" s="1">
        <v>20</v>
      </c>
      <c r="AA705" s="1">
        <v>2</v>
      </c>
      <c r="AB705" s="1">
        <v>2</v>
      </c>
      <c r="AC705" s="1">
        <v>789</v>
      </c>
      <c r="AF705" s="3">
        <v>3.3280507131537242</v>
      </c>
      <c r="AG705" s="3">
        <v>1.0910147346719514</v>
      </c>
      <c r="AH705" s="1">
        <v>6257</v>
      </c>
      <c r="AI705" s="1" t="b">
        <v>1</v>
      </c>
    </row>
    <row r="706" spans="1:35" x14ac:dyDescent="0.25">
      <c r="A706" s="1">
        <v>4</v>
      </c>
      <c r="B706" s="1">
        <v>12</v>
      </c>
      <c r="C706" s="1">
        <v>2019</v>
      </c>
      <c r="G706" s="1" t="s">
        <v>38</v>
      </c>
      <c r="H706" s="2">
        <v>6.35</v>
      </c>
      <c r="I706" s="1">
        <v>15</v>
      </c>
      <c r="U706" s="1">
        <v>30</v>
      </c>
      <c r="X706" s="1">
        <v>24</v>
      </c>
      <c r="AA706" s="1">
        <v>4</v>
      </c>
      <c r="AB706" s="1">
        <v>2</v>
      </c>
      <c r="AC706" s="1">
        <v>923</v>
      </c>
      <c r="AF706" s="3">
        <v>2.3622047244094491</v>
      </c>
      <c r="AG706" s="3">
        <v>1.5439174433429954</v>
      </c>
      <c r="AH706" s="1">
        <v>6257</v>
      </c>
      <c r="AI706" s="1" t="b">
        <v>1</v>
      </c>
    </row>
    <row r="707" spans="1:35" x14ac:dyDescent="0.25">
      <c r="A707" s="1">
        <v>4</v>
      </c>
      <c r="B707" s="1">
        <v>12</v>
      </c>
      <c r="C707" s="1">
        <v>2019</v>
      </c>
      <c r="G707" s="1" t="s">
        <v>38</v>
      </c>
      <c r="H707" s="2">
        <v>6.27</v>
      </c>
      <c r="I707" s="1">
        <v>12</v>
      </c>
      <c r="V707" s="1">
        <v>21</v>
      </c>
      <c r="X707" s="1">
        <v>18</v>
      </c>
      <c r="AA707" s="1">
        <v>3</v>
      </c>
      <c r="AB707" s="1">
        <v>5</v>
      </c>
      <c r="AC707" s="1">
        <v>917</v>
      </c>
      <c r="AF707" s="3">
        <v>1.9138755980861246</v>
      </c>
      <c r="AG707" s="3">
        <v>1.8887460685773829</v>
      </c>
      <c r="AH707" s="1">
        <v>6257</v>
      </c>
      <c r="AI707" s="1" t="b">
        <v>1</v>
      </c>
    </row>
    <row r="708" spans="1:35" x14ac:dyDescent="0.25">
      <c r="A708" s="1">
        <v>6</v>
      </c>
      <c r="B708" s="1">
        <v>12</v>
      </c>
      <c r="C708" s="1">
        <v>2019</v>
      </c>
      <c r="G708" s="1" t="s">
        <v>38</v>
      </c>
      <c r="H708" s="2">
        <v>13.88</v>
      </c>
      <c r="I708" s="1">
        <v>12</v>
      </c>
      <c r="V708" s="1">
        <v>18</v>
      </c>
      <c r="X708" s="1">
        <v>16</v>
      </c>
      <c r="AA708" s="1">
        <v>4</v>
      </c>
      <c r="AB708" s="1">
        <v>2</v>
      </c>
      <c r="AC708" s="1">
        <v>562</v>
      </c>
      <c r="AF708" s="3">
        <v>0.86455331412103742</v>
      </c>
      <c r="AG708" s="3">
        <v>7.2925740271702333</v>
      </c>
      <c r="AH708" s="1">
        <v>6257</v>
      </c>
      <c r="AI708" s="1" t="b">
        <v>1</v>
      </c>
    </row>
    <row r="709" spans="1:35" x14ac:dyDescent="0.25">
      <c r="A709" s="1">
        <v>6</v>
      </c>
      <c r="B709" s="1">
        <v>12</v>
      </c>
      <c r="C709" s="1">
        <v>2019</v>
      </c>
      <c r="G709" s="1" t="s">
        <v>38</v>
      </c>
      <c r="H709" s="2">
        <v>18.79</v>
      </c>
      <c r="I709" s="1">
        <v>15</v>
      </c>
      <c r="V709" s="1">
        <v>16</v>
      </c>
      <c r="X709" s="1">
        <v>16</v>
      </c>
      <c r="AA709" s="1">
        <v>3</v>
      </c>
      <c r="AB709" s="1">
        <v>3</v>
      </c>
      <c r="AC709" s="1">
        <v>603</v>
      </c>
      <c r="AF709" s="3">
        <v>0.79829696647152748</v>
      </c>
      <c r="AG709" s="3">
        <v>9.7630219811985128</v>
      </c>
      <c r="AH709" s="1">
        <v>6257</v>
      </c>
      <c r="AI709" s="1" t="b">
        <v>1</v>
      </c>
    </row>
    <row r="710" spans="1:35" x14ac:dyDescent="0.25">
      <c r="A710" s="1">
        <v>6</v>
      </c>
      <c r="B710" s="1">
        <v>12</v>
      </c>
      <c r="C710" s="1">
        <v>2019</v>
      </c>
      <c r="G710" s="1" t="s">
        <v>38</v>
      </c>
      <c r="H710" s="2">
        <v>17.29</v>
      </c>
      <c r="I710" s="1">
        <v>21</v>
      </c>
      <c r="V710" s="1">
        <v>20</v>
      </c>
      <c r="X710" s="1">
        <v>19</v>
      </c>
      <c r="AA710" s="1">
        <v>2</v>
      </c>
      <c r="AB710" s="1">
        <v>1</v>
      </c>
      <c r="AC710" s="1">
        <v>939</v>
      </c>
      <c r="AF710" s="3">
        <v>1.2145748987854252</v>
      </c>
      <c r="AG710" s="3">
        <v>6.0538574975330892</v>
      </c>
      <c r="AH710" s="1">
        <v>6257</v>
      </c>
      <c r="AI710" s="1" t="b">
        <v>1</v>
      </c>
    </row>
    <row r="711" spans="1:35" x14ac:dyDescent="0.25">
      <c r="A711" s="1">
        <v>6</v>
      </c>
      <c r="B711" s="1">
        <v>12</v>
      </c>
      <c r="C711" s="1">
        <v>2019</v>
      </c>
      <c r="G711" s="1" t="s">
        <v>38</v>
      </c>
      <c r="H711" s="2">
        <v>11.29</v>
      </c>
      <c r="I711" s="1">
        <v>10</v>
      </c>
      <c r="U711" s="1">
        <v>15</v>
      </c>
      <c r="X711" s="1">
        <v>14</v>
      </c>
      <c r="AA711" s="1">
        <v>3</v>
      </c>
      <c r="AB711" s="1">
        <v>2</v>
      </c>
      <c r="AC711" s="1">
        <v>604</v>
      </c>
      <c r="AF711" s="3">
        <v>0.88573959255978751</v>
      </c>
      <c r="AG711" s="3">
        <v>6.1599856616014934</v>
      </c>
      <c r="AH711" s="1">
        <v>6257</v>
      </c>
      <c r="AI711" s="1" t="b">
        <v>1</v>
      </c>
    </row>
    <row r="712" spans="1:35" x14ac:dyDescent="0.25">
      <c r="A712" s="1">
        <v>6</v>
      </c>
      <c r="B712" s="1">
        <v>12</v>
      </c>
      <c r="C712" s="1">
        <v>2019</v>
      </c>
      <c r="G712" s="1" t="s">
        <v>38</v>
      </c>
      <c r="H712" s="2">
        <v>8.9</v>
      </c>
      <c r="I712" s="1">
        <v>13</v>
      </c>
      <c r="U712" s="1">
        <v>25</v>
      </c>
      <c r="X712" s="1">
        <v>23</v>
      </c>
      <c r="AA712" s="1">
        <v>5</v>
      </c>
      <c r="AB712" s="1">
        <v>4</v>
      </c>
      <c r="AC712" s="1">
        <v>592</v>
      </c>
      <c r="AF712" s="3">
        <v>1.4606741573033708</v>
      </c>
      <c r="AG712" s="3">
        <v>3.1624208086379584</v>
      </c>
      <c r="AH712" s="1">
        <v>6257</v>
      </c>
      <c r="AI712" s="1" t="b">
        <v>1</v>
      </c>
    </row>
    <row r="713" spans="1:35" x14ac:dyDescent="0.25">
      <c r="A713" s="1">
        <v>6</v>
      </c>
      <c r="B713" s="1">
        <v>12</v>
      </c>
      <c r="C713" s="1">
        <v>2019</v>
      </c>
      <c r="G713" s="1" t="s">
        <v>38</v>
      </c>
      <c r="H713" s="2">
        <v>7.7</v>
      </c>
      <c r="I713" s="1">
        <v>14</v>
      </c>
      <c r="U713" s="1">
        <v>23</v>
      </c>
      <c r="X713" s="1">
        <v>19</v>
      </c>
      <c r="AA713" s="1">
        <v>3</v>
      </c>
      <c r="AB713" s="1">
        <v>3</v>
      </c>
      <c r="AC713" s="1">
        <v>605</v>
      </c>
      <c r="AF713" s="3">
        <v>1.8181818181818181</v>
      </c>
      <c r="AG713" s="3">
        <v>2.2956527585309252</v>
      </c>
      <c r="AH713" s="1">
        <v>6257</v>
      </c>
      <c r="AI713" s="1" t="b">
        <v>1</v>
      </c>
    </row>
    <row r="714" spans="1:35" x14ac:dyDescent="0.25">
      <c r="A714" s="1">
        <v>6</v>
      </c>
      <c r="B714" s="1">
        <v>12</v>
      </c>
      <c r="C714" s="1">
        <v>2019</v>
      </c>
      <c r="G714" s="1" t="s">
        <v>38</v>
      </c>
      <c r="H714" s="2">
        <v>11.25</v>
      </c>
      <c r="I714" s="1">
        <v>24</v>
      </c>
      <c r="U714" s="1">
        <v>42</v>
      </c>
      <c r="X714" s="1">
        <v>34</v>
      </c>
      <c r="AA714" s="1">
        <v>4</v>
      </c>
      <c r="AB714" s="1">
        <v>2</v>
      </c>
      <c r="AC714" s="1">
        <v>1350</v>
      </c>
      <c r="AF714" s="3">
        <v>2.1333333333333333</v>
      </c>
      <c r="AG714" s="3">
        <v>2.551220796559122</v>
      </c>
      <c r="AH714" s="1">
        <v>6257</v>
      </c>
      <c r="AI714" s="1" t="b">
        <v>1</v>
      </c>
    </row>
    <row r="715" spans="1:35" x14ac:dyDescent="0.25">
      <c r="A715" s="1">
        <v>6</v>
      </c>
      <c r="B715" s="1">
        <v>12</v>
      </c>
      <c r="C715" s="1">
        <v>2019</v>
      </c>
      <c r="G715" s="1" t="s">
        <v>38</v>
      </c>
      <c r="H715" s="2">
        <v>4.9000000000000004</v>
      </c>
      <c r="I715" s="1">
        <v>11</v>
      </c>
      <c r="V715" s="1">
        <v>18</v>
      </c>
      <c r="X715" s="1">
        <v>14</v>
      </c>
      <c r="AA715" s="1">
        <v>3</v>
      </c>
      <c r="AB715" s="1">
        <v>3</v>
      </c>
      <c r="AC715" s="1">
        <v>743</v>
      </c>
      <c r="AF715" s="3">
        <v>2.2448979591836733</v>
      </c>
      <c r="AG715" s="3">
        <v>1.3550042297314489</v>
      </c>
      <c r="AH715" s="1">
        <v>6257</v>
      </c>
      <c r="AI715" s="1" t="b">
        <v>1</v>
      </c>
    </row>
    <row r="716" spans="1:35" x14ac:dyDescent="0.25">
      <c r="A716" s="1">
        <v>6</v>
      </c>
      <c r="B716" s="1">
        <v>12</v>
      </c>
      <c r="C716" s="1">
        <v>2019</v>
      </c>
      <c r="G716" s="1" t="s">
        <v>38</v>
      </c>
      <c r="H716" s="2">
        <v>4.4800000000000004</v>
      </c>
      <c r="I716" s="1">
        <v>13</v>
      </c>
      <c r="V716" s="1">
        <v>17</v>
      </c>
      <c r="X716" s="1">
        <v>14</v>
      </c>
      <c r="AA716" s="1">
        <v>1</v>
      </c>
      <c r="AB716" s="1">
        <v>4</v>
      </c>
      <c r="AC716" s="1">
        <v>694</v>
      </c>
      <c r="AF716" s="3">
        <v>2.901785714285714</v>
      </c>
      <c r="AG716" s="3">
        <v>0.98453071920970259</v>
      </c>
      <c r="AH716" s="1">
        <v>6257</v>
      </c>
      <c r="AI716" s="1" t="b">
        <v>1</v>
      </c>
    </row>
    <row r="717" spans="1:35" x14ac:dyDescent="0.25">
      <c r="A717" s="1">
        <v>6</v>
      </c>
      <c r="B717" s="1">
        <v>12</v>
      </c>
      <c r="C717" s="1">
        <v>2019</v>
      </c>
      <c r="G717" s="1" t="s">
        <v>38</v>
      </c>
      <c r="H717" s="2">
        <v>4.92</v>
      </c>
      <c r="I717" s="1">
        <v>13</v>
      </c>
      <c r="U717" s="1">
        <v>22</v>
      </c>
      <c r="X717" s="1">
        <v>17</v>
      </c>
      <c r="AA717" s="1">
        <v>3</v>
      </c>
      <c r="AB717" s="1">
        <v>3</v>
      </c>
      <c r="AC717" s="1">
        <v>668</v>
      </c>
      <c r="AF717" s="3">
        <v>2.6422764227642275</v>
      </c>
      <c r="AG717" s="3">
        <v>1.1545089988813972</v>
      </c>
      <c r="AH717" s="1">
        <v>6257</v>
      </c>
      <c r="AI717" s="1" t="b">
        <v>1</v>
      </c>
    </row>
    <row r="718" spans="1:35" x14ac:dyDescent="0.25">
      <c r="A718" s="1">
        <v>6</v>
      </c>
      <c r="B718" s="1">
        <v>12</v>
      </c>
      <c r="C718" s="1">
        <v>2019</v>
      </c>
      <c r="G718" s="1" t="s">
        <v>38</v>
      </c>
      <c r="H718" s="2">
        <v>5.92</v>
      </c>
      <c r="I718" s="1">
        <v>20</v>
      </c>
      <c r="V718" s="1">
        <v>25</v>
      </c>
      <c r="X718" s="1">
        <v>20</v>
      </c>
      <c r="AA718" s="1">
        <v>2</v>
      </c>
      <c r="AB718" s="1">
        <v>3</v>
      </c>
      <c r="AC718" s="1">
        <v>727</v>
      </c>
      <c r="AF718" s="3">
        <v>3.3783783783783785</v>
      </c>
      <c r="AG718" s="3">
        <v>1.0278196249934377</v>
      </c>
      <c r="AH718" s="1">
        <v>6257</v>
      </c>
      <c r="AI718" s="1" t="b">
        <v>1</v>
      </c>
    </row>
    <row r="719" spans="1:35" x14ac:dyDescent="0.25">
      <c r="A719" s="1">
        <v>6</v>
      </c>
      <c r="B719" s="1">
        <v>12</v>
      </c>
      <c r="C719" s="1">
        <v>2019</v>
      </c>
      <c r="G719" s="1" t="s">
        <v>38</v>
      </c>
      <c r="H719" s="2">
        <v>4.47</v>
      </c>
      <c r="I719" s="1">
        <v>11</v>
      </c>
      <c r="U719" s="1">
        <v>16</v>
      </c>
      <c r="X719" s="1">
        <v>14</v>
      </c>
      <c r="AA719" s="1">
        <v>3</v>
      </c>
      <c r="AB719" s="1">
        <v>2</v>
      </c>
      <c r="AC719" s="1">
        <v>568</v>
      </c>
      <c r="AF719" s="3">
        <v>2.4608501118568236</v>
      </c>
      <c r="AG719" s="3">
        <v>1.1591245499427847</v>
      </c>
      <c r="AH719" s="1">
        <v>6257</v>
      </c>
      <c r="AI719" s="1" t="b">
        <v>1</v>
      </c>
    </row>
    <row r="720" spans="1:35" x14ac:dyDescent="0.25">
      <c r="A720" s="1">
        <v>6</v>
      </c>
      <c r="B720" s="1">
        <v>12</v>
      </c>
      <c r="C720" s="1">
        <v>2019</v>
      </c>
      <c r="G720" s="1" t="s">
        <v>38</v>
      </c>
      <c r="H720" s="2">
        <v>5.91</v>
      </c>
      <c r="I720" s="1">
        <v>12</v>
      </c>
      <c r="V720" s="1">
        <v>18</v>
      </c>
      <c r="X720" s="1">
        <v>16</v>
      </c>
      <c r="AA720" s="1">
        <v>4</v>
      </c>
      <c r="AB720" s="1">
        <v>2</v>
      </c>
      <c r="AC720" s="1">
        <v>662</v>
      </c>
      <c r="AF720" s="3">
        <v>2.030456852791878</v>
      </c>
      <c r="AG720" s="3">
        <v>1.7081164353501983</v>
      </c>
      <c r="AH720" s="1">
        <v>6257</v>
      </c>
      <c r="AI720" s="1" t="b">
        <v>1</v>
      </c>
    </row>
    <row r="721" spans="1:35" x14ac:dyDescent="0.25">
      <c r="A721" s="1">
        <v>6</v>
      </c>
      <c r="B721" s="1">
        <v>12</v>
      </c>
      <c r="C721" s="1">
        <v>2019</v>
      </c>
      <c r="G721" s="1" t="s">
        <v>38</v>
      </c>
      <c r="H721" s="2">
        <v>8.0299999999999994</v>
      </c>
      <c r="I721" s="1">
        <v>17</v>
      </c>
      <c r="U721" s="1">
        <v>25</v>
      </c>
      <c r="X721" s="1">
        <v>22</v>
      </c>
      <c r="AA721" s="1">
        <v>4</v>
      </c>
      <c r="AB721" s="1">
        <v>2</v>
      </c>
      <c r="AC721" s="1">
        <v>1133</v>
      </c>
      <c r="AF721" s="3">
        <v>2.1170610211706102</v>
      </c>
      <c r="AG721" s="3">
        <v>2.0303340851400908</v>
      </c>
      <c r="AH721" s="1">
        <v>6257</v>
      </c>
      <c r="AI721" s="1" t="b">
        <v>1</v>
      </c>
    </row>
    <row r="722" spans="1:35" x14ac:dyDescent="0.25">
      <c r="A722" s="1">
        <v>6</v>
      </c>
      <c r="B722" s="1">
        <v>12</v>
      </c>
      <c r="C722" s="1">
        <v>2019</v>
      </c>
      <c r="G722" s="1" t="s">
        <v>38</v>
      </c>
      <c r="H722" s="2">
        <v>3.9</v>
      </c>
      <c r="I722" s="1">
        <v>11</v>
      </c>
      <c r="U722" s="1">
        <v>18</v>
      </c>
      <c r="X722" s="1">
        <v>15</v>
      </c>
      <c r="AA722" s="1">
        <v>2</v>
      </c>
      <c r="AB722" s="1">
        <v>6</v>
      </c>
      <c r="AC722" s="1">
        <v>630</v>
      </c>
      <c r="AF722" s="3">
        <v>2.8205128205128207</v>
      </c>
      <c r="AG722" s="3">
        <v>0.91921509336929463</v>
      </c>
      <c r="AH722" s="1">
        <v>6257</v>
      </c>
      <c r="AI722" s="1" t="b">
        <v>1</v>
      </c>
    </row>
    <row r="723" spans="1:35" x14ac:dyDescent="0.25">
      <c r="A723" s="1">
        <v>6</v>
      </c>
      <c r="B723" s="1">
        <v>12</v>
      </c>
      <c r="C723" s="1">
        <v>2019</v>
      </c>
      <c r="G723" s="1" t="s">
        <v>38</v>
      </c>
      <c r="H723" s="2">
        <v>7.24</v>
      </c>
      <c r="I723" s="1">
        <v>23</v>
      </c>
      <c r="V723" s="1">
        <v>32</v>
      </c>
      <c r="X723" s="1">
        <v>23</v>
      </c>
      <c r="AA723" s="1">
        <v>3</v>
      </c>
      <c r="AB723" s="1">
        <v>3</v>
      </c>
      <c r="AC723" s="1">
        <v>973</v>
      </c>
      <c r="AF723" s="3">
        <v>3.1767955801104972</v>
      </c>
      <c r="AG723" s="3">
        <v>1.2584261274046853</v>
      </c>
      <c r="AH723" s="1">
        <v>6257</v>
      </c>
      <c r="AI723" s="1" t="b">
        <v>1</v>
      </c>
    </row>
    <row r="724" spans="1:35" x14ac:dyDescent="0.25">
      <c r="A724" s="1">
        <v>6</v>
      </c>
      <c r="B724" s="1">
        <v>12</v>
      </c>
      <c r="C724" s="1">
        <v>2019</v>
      </c>
      <c r="G724" s="1" t="s">
        <v>38</v>
      </c>
      <c r="H724" s="2">
        <v>7.24</v>
      </c>
      <c r="I724" s="1">
        <v>19</v>
      </c>
      <c r="U724" s="1">
        <v>23</v>
      </c>
      <c r="X724" s="1">
        <v>20</v>
      </c>
      <c r="AA724" s="1">
        <v>2</v>
      </c>
      <c r="AB724" s="1">
        <v>3</v>
      </c>
      <c r="AC724" s="1">
        <v>1029</v>
      </c>
      <c r="AF724" s="3">
        <v>2.6243093922651934</v>
      </c>
      <c r="AG724" s="3">
        <v>1.5233579437004083</v>
      </c>
      <c r="AH724" s="1">
        <v>6257</v>
      </c>
      <c r="AI724" s="1" t="b">
        <v>1</v>
      </c>
    </row>
    <row r="725" spans="1:35" x14ac:dyDescent="0.25">
      <c r="A725" s="1">
        <v>6</v>
      </c>
      <c r="B725" s="1">
        <v>12</v>
      </c>
      <c r="C725" s="1">
        <v>2019</v>
      </c>
      <c r="G725" s="1" t="s">
        <v>38</v>
      </c>
      <c r="H725" s="2">
        <v>6.48</v>
      </c>
      <c r="I725" s="1">
        <v>15</v>
      </c>
      <c r="U725" s="1">
        <v>24</v>
      </c>
      <c r="X725" s="1">
        <v>21</v>
      </c>
      <c r="AA725" s="1">
        <v>3</v>
      </c>
      <c r="AB725" s="1">
        <v>5</v>
      </c>
      <c r="AC725" s="1">
        <v>1132</v>
      </c>
      <c r="AF725" s="3">
        <v>2.3148148148148149</v>
      </c>
      <c r="AG725" s="3">
        <v>1.5980348674185521</v>
      </c>
      <c r="AH725" s="1">
        <v>6257</v>
      </c>
      <c r="AI725" s="1" t="b">
        <v>1</v>
      </c>
    </row>
    <row r="726" spans="1:35" x14ac:dyDescent="0.25">
      <c r="A726" s="1">
        <v>6</v>
      </c>
      <c r="B726" s="1">
        <v>12</v>
      </c>
      <c r="C726" s="1">
        <v>2019</v>
      </c>
      <c r="G726" s="1" t="s">
        <v>38</v>
      </c>
      <c r="H726" s="2">
        <v>6.41</v>
      </c>
      <c r="I726" s="1">
        <v>15</v>
      </c>
      <c r="U726" s="1">
        <v>26</v>
      </c>
      <c r="X726" s="1">
        <v>22</v>
      </c>
      <c r="AA726" s="1">
        <v>3</v>
      </c>
      <c r="AB726" s="1">
        <v>3</v>
      </c>
      <c r="AC726" s="1">
        <v>952</v>
      </c>
      <c r="AF726" s="3">
        <v>2.3400936037441498</v>
      </c>
      <c r="AG726" s="3">
        <v>1.5687993153494331</v>
      </c>
      <c r="AH726" s="1">
        <v>6257</v>
      </c>
      <c r="AI726" s="1" t="b">
        <v>1</v>
      </c>
    </row>
    <row r="727" spans="1:35" x14ac:dyDescent="0.25">
      <c r="A727" s="1">
        <v>6</v>
      </c>
      <c r="B727" s="1">
        <v>12</v>
      </c>
      <c r="C727" s="1">
        <v>2019</v>
      </c>
      <c r="G727" s="1" t="s">
        <v>38</v>
      </c>
      <c r="H727" s="2">
        <v>6.52</v>
      </c>
      <c r="I727" s="1">
        <v>20</v>
      </c>
      <c r="V727" s="1">
        <v>28</v>
      </c>
      <c r="X727" s="1">
        <v>22</v>
      </c>
      <c r="AA727" s="1">
        <v>3</v>
      </c>
      <c r="AB727" s="1">
        <v>3</v>
      </c>
      <c r="AC727" s="1">
        <v>739</v>
      </c>
      <c r="AF727" s="3">
        <v>3.0674846625766872</v>
      </c>
      <c r="AG727" s="3">
        <v>1.2111304328991555</v>
      </c>
      <c r="AH727" s="1">
        <v>6257</v>
      </c>
      <c r="AI727" s="1" t="b">
        <v>1</v>
      </c>
    </row>
    <row r="728" spans="1:35" x14ac:dyDescent="0.25">
      <c r="A728" s="1">
        <v>6</v>
      </c>
      <c r="B728" s="1">
        <v>12</v>
      </c>
      <c r="C728" s="1">
        <v>2019</v>
      </c>
      <c r="G728" s="1" t="s">
        <v>38</v>
      </c>
      <c r="H728" s="2">
        <v>9.73</v>
      </c>
      <c r="I728" s="1">
        <v>40</v>
      </c>
      <c r="V728" s="1">
        <v>46</v>
      </c>
      <c r="X728" s="1">
        <v>39</v>
      </c>
      <c r="AA728" s="1">
        <v>1</v>
      </c>
      <c r="AB728" s="1">
        <v>1</v>
      </c>
      <c r="AC728" s="1">
        <v>1200</v>
      </c>
      <c r="AF728" s="3">
        <v>4.1109969167523124</v>
      </c>
      <c r="AG728" s="3">
        <v>1.1960018106186865</v>
      </c>
      <c r="AH728" s="1">
        <v>6257</v>
      </c>
      <c r="AI728" s="1" t="b">
        <v>1</v>
      </c>
    </row>
    <row r="729" spans="1:35" x14ac:dyDescent="0.25">
      <c r="A729" s="1">
        <v>6</v>
      </c>
      <c r="B729" s="1">
        <v>12</v>
      </c>
      <c r="C729" s="1">
        <v>2019</v>
      </c>
      <c r="G729" s="1" t="s">
        <v>38</v>
      </c>
      <c r="H729" s="2">
        <v>6.06</v>
      </c>
      <c r="I729" s="1">
        <v>12</v>
      </c>
      <c r="V729" s="1">
        <v>27</v>
      </c>
      <c r="X729" s="1">
        <v>19</v>
      </c>
      <c r="AA729" s="1">
        <v>3</v>
      </c>
      <c r="AB729" s="1">
        <v>4</v>
      </c>
      <c r="AC729" s="1">
        <v>733</v>
      </c>
      <c r="AF729" s="3">
        <v>1.9801980198019804</v>
      </c>
      <c r="AG729" s="3">
        <v>1.7824699420339447</v>
      </c>
      <c r="AH729" s="1">
        <v>6257</v>
      </c>
      <c r="AI729" s="1" t="b">
        <v>1</v>
      </c>
    </row>
    <row r="730" spans="1:35" x14ac:dyDescent="0.25">
      <c r="A730" s="1">
        <v>6</v>
      </c>
      <c r="B730" s="1">
        <v>12</v>
      </c>
      <c r="C730" s="1">
        <v>2019</v>
      </c>
      <c r="G730" s="1" t="s">
        <v>38</v>
      </c>
      <c r="H730" s="2">
        <v>7.89</v>
      </c>
      <c r="I730" s="1">
        <v>22</v>
      </c>
      <c r="V730" s="1">
        <v>29</v>
      </c>
      <c r="X730" s="1">
        <v>25</v>
      </c>
      <c r="AA730" s="1">
        <v>2</v>
      </c>
      <c r="AB730" s="1">
        <v>4</v>
      </c>
      <c r="AC730" s="1">
        <v>1079</v>
      </c>
      <c r="AF730" s="3">
        <v>2.788339670468948</v>
      </c>
      <c r="AG730" s="3">
        <v>1.5226785316578917</v>
      </c>
      <c r="AH730" s="1">
        <v>6257</v>
      </c>
      <c r="AI730" s="1" t="b">
        <v>1</v>
      </c>
    </row>
    <row r="731" spans="1:35" x14ac:dyDescent="0.25">
      <c r="A731" s="1">
        <v>6</v>
      </c>
      <c r="B731" s="1">
        <v>12</v>
      </c>
      <c r="C731" s="1">
        <v>2019</v>
      </c>
      <c r="G731" s="1" t="s">
        <v>38</v>
      </c>
      <c r="H731" s="2">
        <v>9.2899999999999991</v>
      </c>
      <c r="I731" s="1">
        <v>16</v>
      </c>
      <c r="V731" s="1">
        <v>33</v>
      </c>
      <c r="X731" s="1">
        <v>26</v>
      </c>
      <c r="AA731" s="1">
        <v>3</v>
      </c>
      <c r="AB731" s="1">
        <v>3</v>
      </c>
      <c r="AC731" s="1">
        <v>993</v>
      </c>
      <c r="AF731" s="3">
        <v>1.7222820236813781</v>
      </c>
      <c r="AG731" s="3">
        <v>2.7638007550059811</v>
      </c>
      <c r="AH731" s="1">
        <v>6257</v>
      </c>
      <c r="AI731" s="1" t="b">
        <v>1</v>
      </c>
    </row>
    <row r="732" spans="1:35" x14ac:dyDescent="0.25">
      <c r="A732" s="1">
        <v>6</v>
      </c>
      <c r="B732" s="1">
        <v>12</v>
      </c>
      <c r="C732" s="1">
        <v>2019</v>
      </c>
      <c r="G732" s="1" t="s">
        <v>38</v>
      </c>
      <c r="H732" s="2">
        <v>10.78</v>
      </c>
      <c r="I732" s="1">
        <v>26</v>
      </c>
      <c r="V732" s="1">
        <v>41</v>
      </c>
      <c r="X732" s="1">
        <v>30</v>
      </c>
      <c r="AA732" s="1">
        <v>3</v>
      </c>
      <c r="AB732" s="1">
        <v>3</v>
      </c>
      <c r="AC732" s="1">
        <v>1508</v>
      </c>
      <c r="AF732" s="3">
        <v>2.4118738404452693</v>
      </c>
      <c r="AG732" s="3">
        <v>2.1901736289164591</v>
      </c>
      <c r="AH732" s="1">
        <v>6257</v>
      </c>
      <c r="AI732" s="1" t="b">
        <v>1</v>
      </c>
    </row>
    <row r="733" spans="1:35" x14ac:dyDescent="0.25">
      <c r="A733" s="1">
        <v>6</v>
      </c>
      <c r="B733" s="1">
        <v>12</v>
      </c>
      <c r="C733" s="1">
        <v>2019</v>
      </c>
      <c r="G733" s="1" t="s">
        <v>38</v>
      </c>
      <c r="H733" s="2">
        <v>6.66</v>
      </c>
      <c r="I733" s="1">
        <v>15</v>
      </c>
      <c r="V733" s="1">
        <v>25</v>
      </c>
      <c r="X733" s="1">
        <v>20</v>
      </c>
      <c r="AA733" s="1">
        <v>5</v>
      </c>
      <c r="AB733" s="1">
        <v>2</v>
      </c>
      <c r="AC733" s="1">
        <v>871</v>
      </c>
      <c r="AF733" s="3">
        <v>2.2522522522522523</v>
      </c>
      <c r="AG733" s="3">
        <v>1.674229270952232</v>
      </c>
      <c r="AH733" s="1">
        <v>6257</v>
      </c>
      <c r="AI733" s="1" t="b">
        <v>1</v>
      </c>
    </row>
    <row r="734" spans="1:35" x14ac:dyDescent="0.25">
      <c r="A734" s="1">
        <v>6</v>
      </c>
      <c r="B734" s="1">
        <v>12</v>
      </c>
      <c r="C734" s="1">
        <v>2019</v>
      </c>
      <c r="G734" s="1" t="s">
        <v>38</v>
      </c>
      <c r="H734" s="2">
        <v>4.87</v>
      </c>
      <c r="I734" s="1">
        <v>14</v>
      </c>
      <c r="U734" s="1">
        <v>21</v>
      </c>
      <c r="X734" s="1">
        <v>17</v>
      </c>
      <c r="AA734" s="1">
        <v>2</v>
      </c>
      <c r="AB734" s="1">
        <v>3</v>
      </c>
      <c r="AC734" s="1">
        <v>673</v>
      </c>
      <c r="AF734" s="3">
        <v>2.8747433264887063</v>
      </c>
      <c r="AG734" s="3">
        <v>1.0535889288277398</v>
      </c>
      <c r="AH734" s="1">
        <v>6257</v>
      </c>
      <c r="AI734" s="1" t="b">
        <v>1</v>
      </c>
    </row>
    <row r="735" spans="1:35" x14ac:dyDescent="0.25">
      <c r="A735" s="1">
        <v>6</v>
      </c>
      <c r="B735" s="1">
        <v>12</v>
      </c>
      <c r="C735" s="1">
        <v>2019</v>
      </c>
      <c r="G735" s="1" t="s">
        <v>38</v>
      </c>
      <c r="H735" s="2">
        <v>7.55</v>
      </c>
      <c r="I735" s="1">
        <v>14</v>
      </c>
      <c r="V735" s="1">
        <v>29</v>
      </c>
      <c r="X735" s="1">
        <v>23</v>
      </c>
      <c r="AA735" s="1">
        <v>3</v>
      </c>
      <c r="AB735" s="1">
        <v>6</v>
      </c>
      <c r="AC735" s="1">
        <v>927</v>
      </c>
      <c r="AF735" s="3">
        <v>1.8543046357615895</v>
      </c>
      <c r="AG735" s="3">
        <v>2.2201472620220319</v>
      </c>
      <c r="AH735" s="1">
        <v>6257</v>
      </c>
      <c r="AI735" s="1" t="b">
        <v>1</v>
      </c>
    </row>
    <row r="736" spans="1:35" x14ac:dyDescent="0.25">
      <c r="A736" s="1">
        <v>6</v>
      </c>
      <c r="B736" s="1">
        <v>12</v>
      </c>
      <c r="C736" s="1">
        <v>2019</v>
      </c>
      <c r="G736" s="1" t="s">
        <v>38</v>
      </c>
      <c r="H736" s="2">
        <v>6.1</v>
      </c>
      <c r="I736" s="1">
        <v>13</v>
      </c>
      <c r="V736" s="1">
        <v>18</v>
      </c>
      <c r="X736" s="1">
        <v>16</v>
      </c>
      <c r="AA736" s="1">
        <v>2</v>
      </c>
      <c r="AB736" s="1">
        <v>3</v>
      </c>
      <c r="AC736" s="1">
        <v>705</v>
      </c>
      <c r="AF736" s="3">
        <v>2.1311475409836067</v>
      </c>
      <c r="AG736" s="3">
        <v>1.6638622450463112</v>
      </c>
      <c r="AH736" s="1">
        <v>6257</v>
      </c>
      <c r="AI736" s="1" t="b">
        <v>1</v>
      </c>
    </row>
    <row r="737" spans="1:35" x14ac:dyDescent="0.25">
      <c r="A737" s="1">
        <v>6</v>
      </c>
      <c r="B737" s="1">
        <v>12</v>
      </c>
      <c r="C737" s="1">
        <v>2019</v>
      </c>
      <c r="G737" s="1" t="s">
        <v>38</v>
      </c>
      <c r="H737" s="2">
        <v>8.57</v>
      </c>
      <c r="I737" s="1">
        <v>19</v>
      </c>
      <c r="U737" s="1">
        <v>32</v>
      </c>
      <c r="X737" s="1">
        <v>26</v>
      </c>
      <c r="AA737" s="1">
        <v>4</v>
      </c>
      <c r="AB737" s="1">
        <v>6</v>
      </c>
      <c r="AC737" s="1">
        <v>1243</v>
      </c>
      <c r="AF737" s="3">
        <v>2.2170361726954493</v>
      </c>
      <c r="AG737" s="3">
        <v>2.0291483363320979</v>
      </c>
      <c r="AH737" s="1">
        <v>6257</v>
      </c>
      <c r="AI737" s="1" t="b">
        <v>1</v>
      </c>
    </row>
    <row r="738" spans="1:35" x14ac:dyDescent="0.25">
      <c r="A738" s="1">
        <v>8</v>
      </c>
      <c r="B738" s="1">
        <v>12</v>
      </c>
      <c r="C738" s="1">
        <v>2019</v>
      </c>
      <c r="G738" s="1" t="s">
        <v>38</v>
      </c>
      <c r="H738" s="2">
        <v>4.0199999999999996</v>
      </c>
      <c r="I738" s="1">
        <v>7</v>
      </c>
      <c r="U738" s="1">
        <v>14</v>
      </c>
      <c r="X738" s="1">
        <v>13</v>
      </c>
      <c r="AA738" s="1">
        <v>3</v>
      </c>
      <c r="AB738" s="1">
        <v>3</v>
      </c>
      <c r="AC738" s="1">
        <v>558</v>
      </c>
      <c r="AF738" s="3">
        <v>1.7412935323383087</v>
      </c>
      <c r="AG738" s="3">
        <v>1.5208495381676652</v>
      </c>
      <c r="AH738" s="1">
        <v>6257</v>
      </c>
      <c r="AI738" s="1" t="b">
        <v>1</v>
      </c>
    </row>
    <row r="739" spans="1:35" x14ac:dyDescent="0.25">
      <c r="A739" s="1">
        <v>8</v>
      </c>
      <c r="B739" s="1">
        <v>12</v>
      </c>
      <c r="C739" s="1">
        <v>2019</v>
      </c>
      <c r="G739" s="1" t="s">
        <v>38</v>
      </c>
      <c r="H739" s="2">
        <v>6.93</v>
      </c>
      <c r="I739" s="1">
        <v>18</v>
      </c>
      <c r="U739" s="1">
        <v>26</v>
      </c>
      <c r="X739" s="1">
        <v>23</v>
      </c>
      <c r="AA739" s="1">
        <v>2</v>
      </c>
      <c r="AB739" s="1">
        <v>5</v>
      </c>
      <c r="AC739" s="1">
        <v>1025</v>
      </c>
      <c r="AF739" s="3">
        <v>2.5974025974025974</v>
      </c>
      <c r="AG739" s="3">
        <v>1.4927050212868371</v>
      </c>
      <c r="AH739" s="1">
        <v>6257</v>
      </c>
      <c r="AI739" s="1" t="b">
        <v>1</v>
      </c>
    </row>
    <row r="740" spans="1:35" x14ac:dyDescent="0.25">
      <c r="A740" s="1">
        <v>8</v>
      </c>
      <c r="B740" s="1">
        <v>12</v>
      </c>
      <c r="C740" s="1">
        <v>2019</v>
      </c>
      <c r="G740" s="1" t="s">
        <v>38</v>
      </c>
      <c r="H740" s="2">
        <v>4.5999999999999996</v>
      </c>
      <c r="I740" s="1">
        <v>11</v>
      </c>
      <c r="U740" s="1">
        <v>24</v>
      </c>
      <c r="X740" s="1">
        <v>16</v>
      </c>
      <c r="AA740" s="1">
        <v>3</v>
      </c>
      <c r="AB740" s="1">
        <v>3</v>
      </c>
      <c r="AC740" s="1">
        <v>678</v>
      </c>
      <c r="AF740" s="3">
        <v>2.3913043478260874</v>
      </c>
      <c r="AG740" s="3">
        <v>1.2170141527430225</v>
      </c>
      <c r="AH740" s="1">
        <v>6257</v>
      </c>
      <c r="AI740" s="1" t="b">
        <v>1</v>
      </c>
    </row>
    <row r="741" spans="1:35" x14ac:dyDescent="0.25">
      <c r="A741" s="1">
        <v>8</v>
      </c>
      <c r="B741" s="1">
        <v>12</v>
      </c>
      <c r="C741" s="1">
        <v>2019</v>
      </c>
      <c r="G741" s="1" t="s">
        <v>38</v>
      </c>
      <c r="H741" s="2">
        <v>6.95</v>
      </c>
      <c r="I741" s="1">
        <v>20</v>
      </c>
      <c r="U741" s="1">
        <v>32</v>
      </c>
      <c r="X741" s="1">
        <v>27</v>
      </c>
      <c r="AA741" s="1">
        <v>4</v>
      </c>
      <c r="AB741" s="1">
        <v>3</v>
      </c>
      <c r="AC741" s="1">
        <v>1048</v>
      </c>
      <c r="AF741" s="3">
        <v>2.8776978417266186</v>
      </c>
      <c r="AG741" s="3">
        <v>1.3500323400100394</v>
      </c>
      <c r="AH741" s="1">
        <v>6257</v>
      </c>
      <c r="AI741" s="1" t="b">
        <v>1</v>
      </c>
    </row>
    <row r="742" spans="1:35" x14ac:dyDescent="0.25">
      <c r="A742" s="1">
        <v>8</v>
      </c>
      <c r="B742" s="1">
        <v>12</v>
      </c>
      <c r="C742" s="1">
        <v>2019</v>
      </c>
      <c r="G742" s="1" t="s">
        <v>38</v>
      </c>
      <c r="H742" s="2">
        <v>4.04</v>
      </c>
      <c r="I742" s="1">
        <v>9</v>
      </c>
      <c r="U742" s="1">
        <v>14</v>
      </c>
      <c r="X742" s="1">
        <v>11</v>
      </c>
      <c r="AA742" s="1">
        <v>2</v>
      </c>
      <c r="AB742" s="1">
        <v>3</v>
      </c>
      <c r="AC742" s="1">
        <v>581</v>
      </c>
      <c r="AF742" s="3">
        <v>2.2277227722772279</v>
      </c>
      <c r="AG742" s="3">
        <v>1.1929048690844413</v>
      </c>
      <c r="AH742" s="1">
        <v>6257</v>
      </c>
      <c r="AI742" s="1" t="b">
        <v>1</v>
      </c>
    </row>
    <row r="743" spans="1:35" x14ac:dyDescent="0.25">
      <c r="A743" s="1">
        <v>8</v>
      </c>
      <c r="B743" s="1">
        <v>12</v>
      </c>
      <c r="C743" s="1">
        <v>2019</v>
      </c>
      <c r="G743" s="1" t="s">
        <v>38</v>
      </c>
      <c r="H743" s="2">
        <v>4.37</v>
      </c>
      <c r="I743" s="1">
        <v>9</v>
      </c>
      <c r="U743" s="1">
        <v>17</v>
      </c>
      <c r="X743" s="1">
        <v>12</v>
      </c>
      <c r="AA743" s="1">
        <v>2</v>
      </c>
      <c r="AB743" s="1">
        <v>5</v>
      </c>
      <c r="AC743" s="1">
        <v>767</v>
      </c>
      <c r="AF743" s="3">
        <v>2.0594965675057209</v>
      </c>
      <c r="AG743" s="3">
        <v>1.3632513405150499</v>
      </c>
      <c r="AH743" s="1">
        <v>6257</v>
      </c>
      <c r="AI743" s="1" t="b">
        <v>1</v>
      </c>
    </row>
    <row r="744" spans="1:35" x14ac:dyDescent="0.25">
      <c r="A744" s="1">
        <v>8</v>
      </c>
      <c r="B744" s="1">
        <v>12</v>
      </c>
      <c r="C744" s="1">
        <v>2019</v>
      </c>
      <c r="G744" s="1" t="s">
        <v>38</v>
      </c>
      <c r="H744" s="2">
        <v>4.41</v>
      </c>
      <c r="I744" s="1">
        <v>9</v>
      </c>
      <c r="U744" s="1">
        <v>19</v>
      </c>
      <c r="X744" s="1">
        <v>16</v>
      </c>
      <c r="AA744" s="1">
        <v>3</v>
      </c>
      <c r="AB744" s="1">
        <v>3</v>
      </c>
      <c r="AC744" s="1">
        <v>619</v>
      </c>
      <c r="AF744" s="3">
        <v>2.0408163265306123</v>
      </c>
      <c r="AG744" s="3">
        <v>1.3845323023052414</v>
      </c>
      <c r="AH744" s="1">
        <v>6257</v>
      </c>
      <c r="AI744" s="1" t="b">
        <v>1</v>
      </c>
    </row>
    <row r="745" spans="1:35" x14ac:dyDescent="0.25">
      <c r="A745" s="1">
        <v>8</v>
      </c>
      <c r="B745" s="1">
        <v>12</v>
      </c>
      <c r="C745" s="1">
        <v>2019</v>
      </c>
      <c r="G745" s="1" t="s">
        <v>38</v>
      </c>
      <c r="H745" s="2">
        <v>5.9</v>
      </c>
      <c r="I745" s="1">
        <v>16</v>
      </c>
      <c r="U745" s="1">
        <v>26</v>
      </c>
      <c r="X745" s="1">
        <v>22</v>
      </c>
      <c r="AA745" s="1">
        <v>3</v>
      </c>
      <c r="AB745" s="1">
        <v>4</v>
      </c>
      <c r="AC745" s="1">
        <v>872</v>
      </c>
      <c r="AF745" s="3">
        <v>2.7118644067796609</v>
      </c>
      <c r="AG745" s="3">
        <v>1.2774044864470822</v>
      </c>
      <c r="AH745" s="1">
        <v>6257</v>
      </c>
      <c r="AI745" s="1" t="b">
        <v>1</v>
      </c>
    </row>
    <row r="746" spans="1:35" x14ac:dyDescent="0.25">
      <c r="A746" s="1">
        <v>8</v>
      </c>
      <c r="B746" s="1">
        <v>12</v>
      </c>
      <c r="C746" s="1">
        <v>2019</v>
      </c>
      <c r="G746" s="1" t="s">
        <v>38</v>
      </c>
      <c r="H746" s="2">
        <v>7.25</v>
      </c>
      <c r="I746" s="1">
        <v>18</v>
      </c>
      <c r="U746" s="1">
        <v>32</v>
      </c>
      <c r="X746" s="1">
        <v>28</v>
      </c>
      <c r="AA746" s="1">
        <v>4</v>
      </c>
      <c r="AB746" s="1">
        <v>4</v>
      </c>
      <c r="AC746" s="1">
        <v>1093</v>
      </c>
      <c r="AF746" s="3">
        <v>2.4827586206896552</v>
      </c>
      <c r="AG746" s="3">
        <v>1.6117664302123689</v>
      </c>
      <c r="AH746" s="1">
        <v>6257</v>
      </c>
      <c r="AI746" s="1" t="b">
        <v>1</v>
      </c>
    </row>
    <row r="747" spans="1:35" x14ac:dyDescent="0.25">
      <c r="A747" s="1">
        <v>8</v>
      </c>
      <c r="B747" s="1">
        <v>12</v>
      </c>
      <c r="C747" s="1">
        <v>2019</v>
      </c>
      <c r="G747" s="1" t="s">
        <v>38</v>
      </c>
      <c r="H747" s="2">
        <v>6.08</v>
      </c>
      <c r="I747" s="1">
        <v>16</v>
      </c>
      <c r="U747" s="1">
        <v>26</v>
      </c>
      <c r="X747" s="1">
        <v>22</v>
      </c>
      <c r="AA747" s="1">
        <v>4</v>
      </c>
      <c r="AB747" s="1">
        <v>2</v>
      </c>
      <c r="AC747" s="1">
        <v>955</v>
      </c>
      <c r="AF747" s="3">
        <v>2.6315789473684212</v>
      </c>
      <c r="AG747" s="3">
        <v>1.3443616099345124</v>
      </c>
      <c r="AH747" s="1">
        <v>6257</v>
      </c>
      <c r="AI747" s="1" t="b">
        <v>1</v>
      </c>
    </row>
    <row r="748" spans="1:35" x14ac:dyDescent="0.25">
      <c r="A748" s="1">
        <v>8</v>
      </c>
      <c r="B748" s="1">
        <v>12</v>
      </c>
      <c r="C748" s="1">
        <v>2019</v>
      </c>
      <c r="G748" s="1" t="s">
        <v>38</v>
      </c>
      <c r="H748" s="2">
        <v>8.74</v>
      </c>
      <c r="I748" s="1">
        <v>27</v>
      </c>
      <c r="U748" s="1">
        <v>39</v>
      </c>
      <c r="X748" s="1">
        <v>35</v>
      </c>
      <c r="AA748" s="1">
        <v>4</v>
      </c>
      <c r="AB748" s="1">
        <v>3</v>
      </c>
      <c r="AC748" s="1">
        <v>1168</v>
      </c>
      <c r="AF748" s="3">
        <v>3.0892448512585813</v>
      </c>
      <c r="AG748" s="3">
        <v>1.4764055575589328</v>
      </c>
      <c r="AH748" s="1">
        <v>6257</v>
      </c>
      <c r="AI748" s="1" t="b">
        <v>1</v>
      </c>
    </row>
    <row r="749" spans="1:35" x14ac:dyDescent="0.25">
      <c r="A749" s="1">
        <v>8</v>
      </c>
      <c r="B749" s="1">
        <v>12</v>
      </c>
      <c r="C749" s="1">
        <v>2019</v>
      </c>
      <c r="G749" s="1" t="s">
        <v>38</v>
      </c>
      <c r="H749" s="2">
        <v>4.53</v>
      </c>
      <c r="I749" s="1">
        <v>14</v>
      </c>
      <c r="U749" s="1">
        <v>15</v>
      </c>
      <c r="X749" s="1">
        <v>14</v>
      </c>
      <c r="AA749" s="1">
        <v>1</v>
      </c>
      <c r="AB749" s="1">
        <v>2</v>
      </c>
      <c r="AC749" s="1">
        <v>572</v>
      </c>
      <c r="AF749" s="3">
        <v>3.0905077262693155</v>
      </c>
      <c r="AG749" s="3">
        <v>0.93162022385633936</v>
      </c>
      <c r="AH749" s="1">
        <v>6257</v>
      </c>
      <c r="AI749" s="1" t="b">
        <v>1</v>
      </c>
    </row>
    <row r="750" spans="1:35" x14ac:dyDescent="0.25">
      <c r="A750" s="1">
        <v>8</v>
      </c>
      <c r="B750" s="1">
        <v>12</v>
      </c>
      <c r="C750" s="1">
        <v>2019</v>
      </c>
      <c r="G750" s="1" t="s">
        <v>38</v>
      </c>
      <c r="H750" s="2">
        <v>4.71</v>
      </c>
      <c r="I750" s="1">
        <v>12</v>
      </c>
      <c r="U750" s="1">
        <v>20</v>
      </c>
      <c r="X750" s="1">
        <v>16</v>
      </c>
      <c r="AA750" s="1">
        <v>3</v>
      </c>
      <c r="AB750" s="1">
        <v>5</v>
      </c>
      <c r="AC750" s="1">
        <v>769</v>
      </c>
      <c r="AF750" s="3">
        <v>2.5477707006369426</v>
      </c>
      <c r="AG750" s="3">
        <v>1.1613263926895467</v>
      </c>
      <c r="AH750" s="1">
        <v>6257</v>
      </c>
      <c r="AI750" s="1" t="b">
        <v>1</v>
      </c>
    </row>
    <row r="751" spans="1:35" x14ac:dyDescent="0.25">
      <c r="A751" s="1">
        <v>8</v>
      </c>
      <c r="B751" s="1">
        <v>12</v>
      </c>
      <c r="C751" s="1">
        <v>2019</v>
      </c>
      <c r="G751" s="1" t="s">
        <v>38</v>
      </c>
      <c r="H751" s="2">
        <v>7.34</v>
      </c>
      <c r="I751" s="1">
        <v>21</v>
      </c>
      <c r="U751" s="1">
        <v>29</v>
      </c>
      <c r="X751" s="1">
        <v>26</v>
      </c>
      <c r="AA751" s="1">
        <v>3</v>
      </c>
      <c r="AB751" s="1">
        <v>1</v>
      </c>
      <c r="AC751" s="1">
        <v>1071</v>
      </c>
      <c r="AF751" s="3">
        <v>2.8610354223433241</v>
      </c>
      <c r="AG751" s="3">
        <v>1.4107953096081371</v>
      </c>
      <c r="AH751" s="1">
        <v>6257</v>
      </c>
      <c r="AI751" s="1" t="b">
        <v>1</v>
      </c>
    </row>
    <row r="752" spans="1:35" x14ac:dyDescent="0.25">
      <c r="A752" s="1">
        <v>8</v>
      </c>
      <c r="B752" s="1">
        <v>12</v>
      </c>
      <c r="C752" s="1">
        <v>2019</v>
      </c>
      <c r="G752" s="1" t="s">
        <v>38</v>
      </c>
      <c r="H752" s="2">
        <v>7.64</v>
      </c>
      <c r="I752" s="1">
        <v>17</v>
      </c>
      <c r="V752" s="1">
        <v>32</v>
      </c>
      <c r="X752" s="1">
        <v>23</v>
      </c>
      <c r="AA752" s="1">
        <v>3</v>
      </c>
      <c r="AB752" s="1">
        <v>3</v>
      </c>
      <c r="AC752" s="1">
        <v>875</v>
      </c>
      <c r="AF752" s="3">
        <v>2.2251308900523563</v>
      </c>
      <c r="AG752" s="3">
        <v>1.8655624349794953</v>
      </c>
      <c r="AH752" s="1">
        <v>6257</v>
      </c>
      <c r="AI752" s="1" t="b">
        <v>1</v>
      </c>
    </row>
    <row r="753" spans="1:35" x14ac:dyDescent="0.25">
      <c r="A753" s="1">
        <v>8</v>
      </c>
      <c r="B753" s="1">
        <v>12</v>
      </c>
      <c r="C753" s="1">
        <v>2019</v>
      </c>
      <c r="G753" s="1" t="s">
        <v>38</v>
      </c>
      <c r="H753" s="2">
        <v>10.01</v>
      </c>
      <c r="I753" s="1">
        <v>28</v>
      </c>
      <c r="V753" s="1">
        <v>41</v>
      </c>
      <c r="X753" s="1">
        <v>37</v>
      </c>
      <c r="AA753" s="1">
        <v>4</v>
      </c>
      <c r="AB753" s="1">
        <v>3</v>
      </c>
      <c r="AC753" s="1">
        <v>1314</v>
      </c>
      <c r="AF753" s="3">
        <v>2.7972027972027971</v>
      </c>
      <c r="AG753" s="3">
        <v>1.7929983932179703</v>
      </c>
      <c r="AH753" s="1">
        <v>6257</v>
      </c>
      <c r="AI753" s="1" t="b">
        <v>1</v>
      </c>
    </row>
    <row r="754" spans="1:35" x14ac:dyDescent="0.25">
      <c r="A754" s="1">
        <v>8</v>
      </c>
      <c r="B754" s="1">
        <v>12</v>
      </c>
      <c r="C754" s="1">
        <v>2019</v>
      </c>
      <c r="G754" s="1" t="s">
        <v>38</v>
      </c>
      <c r="H754" s="2">
        <v>10.02</v>
      </c>
      <c r="I754" s="1">
        <v>27</v>
      </c>
      <c r="V754" s="1">
        <v>38</v>
      </c>
      <c r="X754" s="1">
        <v>24</v>
      </c>
      <c r="AA754" s="1">
        <v>2</v>
      </c>
      <c r="AB754" s="1">
        <v>1</v>
      </c>
      <c r="AC754" s="1">
        <v>1114</v>
      </c>
      <c r="AF754" s="3">
        <v>2.6946107784431139</v>
      </c>
      <c r="AG754" s="3">
        <v>1.8625646770696693</v>
      </c>
      <c r="AH754" s="1">
        <v>6257</v>
      </c>
      <c r="AI754" s="1" t="b">
        <v>1</v>
      </c>
    </row>
    <row r="755" spans="1:35" x14ac:dyDescent="0.25">
      <c r="A755" s="1">
        <v>8</v>
      </c>
      <c r="B755" s="1">
        <v>12</v>
      </c>
      <c r="C755" s="1">
        <v>2019</v>
      </c>
      <c r="G755" s="1" t="s">
        <v>38</v>
      </c>
      <c r="H755" s="2">
        <v>8.06</v>
      </c>
      <c r="I755" s="1">
        <v>27</v>
      </c>
      <c r="U755" s="1">
        <v>41</v>
      </c>
      <c r="X755" s="1">
        <v>35</v>
      </c>
      <c r="AA755" s="1">
        <v>3</v>
      </c>
      <c r="AB755" s="1">
        <v>2</v>
      </c>
      <c r="AC755" s="1">
        <v>1316</v>
      </c>
      <c r="AF755" s="3">
        <v>3.3498759305210917</v>
      </c>
      <c r="AG755" s="3">
        <v>1.2864881994238433</v>
      </c>
      <c r="AH755" s="1">
        <v>6257</v>
      </c>
      <c r="AI755" s="1" t="b">
        <v>1</v>
      </c>
    </row>
    <row r="756" spans="1:35" x14ac:dyDescent="0.25">
      <c r="A756" s="1">
        <v>8</v>
      </c>
      <c r="B756" s="1">
        <v>12</v>
      </c>
      <c r="C756" s="1">
        <v>2019</v>
      </c>
      <c r="G756" s="1" t="s">
        <v>38</v>
      </c>
      <c r="H756" s="2">
        <v>5.54</v>
      </c>
      <c r="I756" s="1">
        <v>11</v>
      </c>
      <c r="U756" s="1">
        <v>21</v>
      </c>
      <c r="X756" s="1">
        <v>17</v>
      </c>
      <c r="AA756" s="1">
        <v>2</v>
      </c>
      <c r="AB756" s="1">
        <v>2</v>
      </c>
      <c r="AC756" s="1">
        <v>840</v>
      </c>
      <c r="AF756" s="3">
        <v>1.9855595667870036</v>
      </c>
      <c r="AG756" s="3">
        <v>1.669451915904858</v>
      </c>
      <c r="AH756" s="1">
        <v>6257</v>
      </c>
      <c r="AI756" s="1" t="b">
        <v>1</v>
      </c>
    </row>
    <row r="757" spans="1:35" x14ac:dyDescent="0.25">
      <c r="A757" s="1">
        <v>8</v>
      </c>
      <c r="B757" s="1">
        <v>12</v>
      </c>
      <c r="C757" s="1">
        <v>2019</v>
      </c>
      <c r="G757" s="1" t="s">
        <v>38</v>
      </c>
      <c r="H757" s="2">
        <v>6.59</v>
      </c>
      <c r="I757" s="1">
        <v>16</v>
      </c>
      <c r="U757" s="1">
        <v>20</v>
      </c>
      <c r="X757" s="1">
        <v>18</v>
      </c>
      <c r="AA757" s="1">
        <v>2</v>
      </c>
      <c r="AB757" s="1">
        <v>2</v>
      </c>
      <c r="AC757" s="1">
        <v>738</v>
      </c>
      <c r="AF757" s="3">
        <v>2.4279210925644916</v>
      </c>
      <c r="AG757" s="3">
        <v>1.5416479940181878</v>
      </c>
      <c r="AH757" s="1">
        <v>6257</v>
      </c>
      <c r="AI757" s="1" t="b">
        <v>1</v>
      </c>
    </row>
    <row r="758" spans="1:35" x14ac:dyDescent="0.25">
      <c r="A758" s="1">
        <v>8</v>
      </c>
      <c r="B758" s="1">
        <v>12</v>
      </c>
      <c r="C758" s="1">
        <v>2019</v>
      </c>
      <c r="G758" s="1" t="s">
        <v>38</v>
      </c>
      <c r="H758" s="2">
        <v>5.95</v>
      </c>
      <c r="I758" s="1">
        <v>18</v>
      </c>
      <c r="U758" s="1">
        <v>21</v>
      </c>
      <c r="X758" s="1">
        <v>18</v>
      </c>
      <c r="AA758" s="1">
        <v>1</v>
      </c>
      <c r="AB758" s="1">
        <v>3</v>
      </c>
      <c r="AC758" s="1">
        <v>844</v>
      </c>
      <c r="AF758" s="3">
        <v>3.0252100840336134</v>
      </c>
      <c r="AG758" s="3">
        <v>1.1518776100476926</v>
      </c>
      <c r="AH758" s="1">
        <v>6257</v>
      </c>
      <c r="AI758" s="1" t="b">
        <v>1</v>
      </c>
    </row>
    <row r="759" spans="1:35" x14ac:dyDescent="0.25">
      <c r="A759" s="1">
        <v>8</v>
      </c>
      <c r="B759" s="1">
        <v>12</v>
      </c>
      <c r="C759" s="1">
        <v>2019</v>
      </c>
      <c r="G759" s="1" t="s">
        <v>38</v>
      </c>
      <c r="H759" s="2">
        <v>6.65</v>
      </c>
      <c r="I759" s="1">
        <v>21</v>
      </c>
      <c r="U759" s="1">
        <v>33</v>
      </c>
      <c r="X759" s="1">
        <v>29</v>
      </c>
      <c r="AA759" s="1">
        <v>4</v>
      </c>
      <c r="AB759" s="1">
        <v>4</v>
      </c>
      <c r="AC759" s="1">
        <v>973</v>
      </c>
      <c r="AF759" s="3">
        <v>3.1578947368421053</v>
      </c>
      <c r="AG759" s="3">
        <v>1.1928271135388604</v>
      </c>
      <c r="AH759" s="1">
        <v>6257</v>
      </c>
      <c r="AI759" s="1" t="b">
        <v>1</v>
      </c>
    </row>
    <row r="760" spans="1:35" x14ac:dyDescent="0.25">
      <c r="A760" s="1">
        <v>8</v>
      </c>
      <c r="B760" s="1">
        <v>12</v>
      </c>
      <c r="C760" s="1">
        <v>2019</v>
      </c>
      <c r="G760" s="1" t="s">
        <v>38</v>
      </c>
      <c r="H760" s="2">
        <v>4.6900000000000004</v>
      </c>
      <c r="I760" s="1">
        <v>13</v>
      </c>
      <c r="U760" s="1">
        <v>24</v>
      </c>
      <c r="X760" s="1">
        <v>20</v>
      </c>
      <c r="AA760" s="1">
        <v>3</v>
      </c>
      <c r="AB760" s="1">
        <v>5</v>
      </c>
      <c r="AC760" s="1">
        <v>821</v>
      </c>
      <c r="AF760" s="3">
        <v>2.7718550106609805</v>
      </c>
      <c r="AG760" s="3">
        <v>1.0642667162967276</v>
      </c>
      <c r="AH760" s="1">
        <v>6257</v>
      </c>
      <c r="AI760" s="1" t="b">
        <v>1</v>
      </c>
    </row>
    <row r="761" spans="1:35" x14ac:dyDescent="0.25">
      <c r="A761" s="1">
        <v>8</v>
      </c>
      <c r="B761" s="1">
        <v>12</v>
      </c>
      <c r="C761" s="1">
        <v>2019</v>
      </c>
      <c r="G761" s="1" t="s">
        <v>38</v>
      </c>
      <c r="H761" s="2">
        <v>7.73</v>
      </c>
      <c r="I761" s="1">
        <v>22</v>
      </c>
      <c r="U761" s="1">
        <v>28</v>
      </c>
      <c r="X761" s="1">
        <v>26</v>
      </c>
      <c r="AA761" s="1">
        <v>2</v>
      </c>
      <c r="AB761" s="1">
        <v>2</v>
      </c>
      <c r="AC761" s="1">
        <v>1017</v>
      </c>
      <c r="AF761" s="3">
        <v>2.8460543337645534</v>
      </c>
      <c r="AG761" s="3">
        <v>1.4705590183028292</v>
      </c>
      <c r="AH761" s="1">
        <v>6257</v>
      </c>
      <c r="AI761" s="1" t="b">
        <v>1</v>
      </c>
    </row>
    <row r="762" spans="1:35" x14ac:dyDescent="0.25">
      <c r="A762" s="1">
        <v>8</v>
      </c>
      <c r="B762" s="1">
        <v>12</v>
      </c>
      <c r="C762" s="1">
        <v>2019</v>
      </c>
      <c r="G762" s="1" t="s">
        <v>38</v>
      </c>
      <c r="H762" s="2">
        <v>7.92</v>
      </c>
      <c r="I762" s="1">
        <v>17</v>
      </c>
      <c r="V762" s="1">
        <v>36</v>
      </c>
      <c r="X762" s="1">
        <v>29</v>
      </c>
      <c r="AA762" s="1">
        <v>4</v>
      </c>
      <c r="AB762" s="1">
        <v>3</v>
      </c>
      <c r="AC762" s="1">
        <v>1098</v>
      </c>
      <c r="AF762" s="3">
        <v>2.1464646464646466</v>
      </c>
      <c r="AG762" s="3">
        <v>1.9832793377372815</v>
      </c>
      <c r="AH762" s="1">
        <v>6257</v>
      </c>
      <c r="AI762" s="1" t="b">
        <v>1</v>
      </c>
    </row>
    <row r="763" spans="1:35" x14ac:dyDescent="0.25">
      <c r="A763" s="1">
        <v>10</v>
      </c>
      <c r="B763" s="1">
        <v>12</v>
      </c>
      <c r="C763" s="1">
        <v>2019</v>
      </c>
      <c r="G763" s="1" t="s">
        <v>38</v>
      </c>
      <c r="H763" s="2">
        <v>7.08</v>
      </c>
      <c r="I763" s="1">
        <v>19</v>
      </c>
      <c r="U763" s="1">
        <v>29</v>
      </c>
      <c r="X763" s="1">
        <v>25</v>
      </c>
      <c r="AA763" s="1">
        <v>4</v>
      </c>
      <c r="AB763" s="1">
        <v>4</v>
      </c>
      <c r="AC763" s="1">
        <v>897</v>
      </c>
      <c r="AF763" s="3">
        <v>2.6836158192090394</v>
      </c>
      <c r="AG763" s="3">
        <v>1.4665704736142373</v>
      </c>
      <c r="AH763" s="1">
        <v>6258</v>
      </c>
      <c r="AI763" s="1" t="b">
        <v>1</v>
      </c>
    </row>
    <row r="764" spans="1:35" x14ac:dyDescent="0.25">
      <c r="A764" s="1">
        <v>10</v>
      </c>
      <c r="B764" s="1">
        <v>12</v>
      </c>
      <c r="C764" s="1">
        <v>2019</v>
      </c>
      <c r="G764" s="1" t="s">
        <v>38</v>
      </c>
      <c r="H764" s="2">
        <v>4.8899999999999997</v>
      </c>
      <c r="I764" s="1">
        <v>12</v>
      </c>
      <c r="U764" s="1">
        <v>17</v>
      </c>
      <c r="X764" s="1">
        <v>13</v>
      </c>
      <c r="AA764" s="1">
        <v>2</v>
      </c>
      <c r="AB764" s="1">
        <v>3</v>
      </c>
      <c r="AC764" s="1">
        <v>753</v>
      </c>
      <c r="AF764" s="3">
        <v>2.4539877300613497</v>
      </c>
      <c r="AG764" s="3">
        <v>1.2377810071152586</v>
      </c>
      <c r="AH764" s="1">
        <v>6258</v>
      </c>
      <c r="AI764" s="1" t="b">
        <v>1</v>
      </c>
    </row>
    <row r="765" spans="1:35" x14ac:dyDescent="0.25">
      <c r="A765" s="1">
        <v>10</v>
      </c>
      <c r="B765" s="1">
        <v>12</v>
      </c>
      <c r="C765" s="1">
        <v>2019</v>
      </c>
      <c r="G765" s="1" t="s">
        <v>38</v>
      </c>
      <c r="H765" s="2">
        <v>6.11</v>
      </c>
      <c r="I765" s="1">
        <v>26</v>
      </c>
      <c r="U765" s="1">
        <v>31</v>
      </c>
      <c r="X765" s="1">
        <v>29</v>
      </c>
      <c r="AA765" s="1">
        <v>2</v>
      </c>
      <c r="AB765" s="1">
        <v>2</v>
      </c>
      <c r="AC765" s="1">
        <v>934</v>
      </c>
      <c r="AF765" s="3">
        <v>4.2553191489361701</v>
      </c>
      <c r="AG765" s="3">
        <v>0.83425094916107634</v>
      </c>
      <c r="AH765" s="1">
        <v>6258</v>
      </c>
      <c r="AI765" s="1" t="b">
        <v>1</v>
      </c>
    </row>
    <row r="766" spans="1:35" x14ac:dyDescent="0.25">
      <c r="A766" s="1">
        <v>10</v>
      </c>
      <c r="B766" s="1">
        <v>12</v>
      </c>
      <c r="C766" s="1">
        <v>2019</v>
      </c>
      <c r="G766" s="1" t="s">
        <v>38</v>
      </c>
      <c r="H766" s="2">
        <v>4.57</v>
      </c>
      <c r="I766" s="1">
        <v>10</v>
      </c>
      <c r="U766" s="1">
        <v>19</v>
      </c>
      <c r="X766" s="1">
        <v>15</v>
      </c>
      <c r="AA766" s="1">
        <v>3</v>
      </c>
      <c r="AB766" s="1">
        <v>3</v>
      </c>
      <c r="AC766" s="1">
        <v>515</v>
      </c>
      <c r="AF766" s="3">
        <v>2.1881838074398248</v>
      </c>
      <c r="AG766" s="3">
        <v>1.3239071879821462</v>
      </c>
      <c r="AH766" s="1">
        <v>6258</v>
      </c>
      <c r="AI766" s="1" t="b">
        <v>1</v>
      </c>
    </row>
    <row r="767" spans="1:35" x14ac:dyDescent="0.25">
      <c r="A767" s="1">
        <v>10</v>
      </c>
      <c r="B767" s="1">
        <v>12</v>
      </c>
      <c r="C767" s="1">
        <v>2019</v>
      </c>
      <c r="G767" s="1" t="s">
        <v>38</v>
      </c>
      <c r="H767" s="2">
        <v>4.3099999999999996</v>
      </c>
      <c r="I767" s="1">
        <v>10</v>
      </c>
      <c r="U767" s="1">
        <v>17</v>
      </c>
      <c r="X767" s="1">
        <v>13</v>
      </c>
      <c r="AA767" s="1">
        <v>3</v>
      </c>
      <c r="AB767" s="1">
        <v>4</v>
      </c>
      <c r="AC767" s="1">
        <v>594</v>
      </c>
      <c r="AF767" s="3">
        <v>2.3201856148491879</v>
      </c>
      <c r="AG767" s="3">
        <v>1.1984263773400321</v>
      </c>
      <c r="AH767" s="1">
        <v>6258</v>
      </c>
      <c r="AI767" s="1" t="b">
        <v>1</v>
      </c>
    </row>
    <row r="768" spans="1:35" x14ac:dyDescent="0.25">
      <c r="A768" s="1">
        <v>10</v>
      </c>
      <c r="B768" s="1">
        <v>12</v>
      </c>
      <c r="C768" s="1">
        <v>2019</v>
      </c>
      <c r="G768" s="1" t="s">
        <v>38</v>
      </c>
      <c r="H768" s="2">
        <v>5.0199999999999996</v>
      </c>
      <c r="I768" s="1">
        <v>10</v>
      </c>
      <c r="U768" s="1">
        <v>18</v>
      </c>
      <c r="X768" s="1">
        <v>15</v>
      </c>
      <c r="AA768" s="1">
        <v>3</v>
      </c>
      <c r="AB768" s="1">
        <v>5</v>
      </c>
      <c r="AC768" s="1">
        <v>861</v>
      </c>
      <c r="AF768" s="3">
        <v>1.9920318725099604</v>
      </c>
      <c r="AG768" s="3">
        <v>1.5530889120056568</v>
      </c>
      <c r="AH768" s="1">
        <v>6258</v>
      </c>
      <c r="AI768" s="1" t="b">
        <v>1</v>
      </c>
    </row>
    <row r="769" spans="1:35" x14ac:dyDescent="0.25">
      <c r="A769" s="1">
        <v>10</v>
      </c>
      <c r="B769" s="1">
        <v>12</v>
      </c>
      <c r="C769" s="1">
        <v>2019</v>
      </c>
      <c r="G769" s="1" t="s">
        <v>38</v>
      </c>
      <c r="H769" s="2">
        <v>8.52</v>
      </c>
      <c r="I769" s="1">
        <v>32</v>
      </c>
      <c r="U769" s="1">
        <v>43</v>
      </c>
      <c r="X769" s="1">
        <v>36</v>
      </c>
      <c r="AA769" s="1">
        <v>2</v>
      </c>
      <c r="AB769" s="1">
        <v>3</v>
      </c>
      <c r="AC769" s="1">
        <v>1190</v>
      </c>
      <c r="AF769" s="3">
        <v>3.755868544600939</v>
      </c>
      <c r="AG769" s="3">
        <v>1.1928815809605069</v>
      </c>
      <c r="AH769" s="1">
        <v>6258</v>
      </c>
      <c r="AI769" s="1" t="b">
        <v>1</v>
      </c>
    </row>
    <row r="770" spans="1:35" x14ac:dyDescent="0.25">
      <c r="A770" s="1">
        <v>10</v>
      </c>
      <c r="B770" s="1">
        <v>12</v>
      </c>
      <c r="C770" s="1">
        <v>2019</v>
      </c>
      <c r="G770" s="1" t="s">
        <v>38</v>
      </c>
      <c r="H770" s="2">
        <v>5.64</v>
      </c>
      <c r="I770" s="1">
        <v>14</v>
      </c>
      <c r="U770" s="1">
        <v>21</v>
      </c>
      <c r="X770" s="1">
        <v>16</v>
      </c>
      <c r="AA770" s="1">
        <v>2</v>
      </c>
      <c r="AB770" s="1">
        <v>4</v>
      </c>
      <c r="AC770" s="1">
        <v>830</v>
      </c>
      <c r="AF770" s="3">
        <v>2.4822695035460995</v>
      </c>
      <c r="AG770" s="3">
        <v>1.3522171542224612</v>
      </c>
      <c r="AH770" s="1">
        <v>6258</v>
      </c>
      <c r="AI770" s="1" t="b">
        <v>1</v>
      </c>
    </row>
    <row r="771" spans="1:35" x14ac:dyDescent="0.25">
      <c r="A771" s="1">
        <v>10</v>
      </c>
      <c r="B771" s="1">
        <v>12</v>
      </c>
      <c r="C771" s="1">
        <v>2019</v>
      </c>
      <c r="G771" s="1" t="s">
        <v>38</v>
      </c>
      <c r="H771" s="2">
        <v>9.0299999999999994</v>
      </c>
      <c r="I771" s="1">
        <v>25</v>
      </c>
      <c r="V771" s="1">
        <v>33</v>
      </c>
      <c r="X771" s="1">
        <v>26</v>
      </c>
      <c r="AA771" s="1">
        <v>2</v>
      </c>
      <c r="AB771" s="1">
        <v>2</v>
      </c>
      <c r="AC771" s="1">
        <v>1028</v>
      </c>
      <c r="AF771" s="3">
        <v>2.7685492801771874</v>
      </c>
      <c r="AG771" s="3">
        <v>1.6855015912289506</v>
      </c>
      <c r="AH771" s="1">
        <v>6258</v>
      </c>
      <c r="AI771" s="1" t="b">
        <v>1</v>
      </c>
    </row>
    <row r="772" spans="1:35" x14ac:dyDescent="0.25">
      <c r="A772" s="1">
        <v>10</v>
      </c>
      <c r="B772" s="1">
        <v>12</v>
      </c>
      <c r="C772" s="1">
        <v>2019</v>
      </c>
      <c r="G772" s="1" t="s">
        <v>38</v>
      </c>
      <c r="H772" s="2">
        <v>8.36</v>
      </c>
      <c r="I772" s="1">
        <v>22</v>
      </c>
      <c r="V772" s="1">
        <v>29</v>
      </c>
      <c r="X772" s="1">
        <v>24</v>
      </c>
      <c r="AA772" s="1">
        <v>2</v>
      </c>
      <c r="AB772" s="1">
        <v>2</v>
      </c>
      <c r="AC772" s="1">
        <v>1009</v>
      </c>
      <c r="AF772" s="3">
        <v>2.6315789473684212</v>
      </c>
      <c r="AG772" s="3">
        <v>1.680072374767382</v>
      </c>
      <c r="AH772" s="1">
        <v>6258</v>
      </c>
      <c r="AI772" s="1" t="b">
        <v>1</v>
      </c>
    </row>
    <row r="773" spans="1:35" x14ac:dyDescent="0.25">
      <c r="A773" s="1">
        <v>10</v>
      </c>
      <c r="B773" s="1">
        <v>12</v>
      </c>
      <c r="C773" s="1">
        <v>2019</v>
      </c>
      <c r="G773" s="1" t="s">
        <v>38</v>
      </c>
      <c r="H773" s="2">
        <v>3.85</v>
      </c>
      <c r="I773" s="1">
        <v>10</v>
      </c>
      <c r="V773" s="1">
        <v>14</v>
      </c>
      <c r="X773" s="1">
        <v>12</v>
      </c>
      <c r="AA773" s="1">
        <v>1</v>
      </c>
      <c r="AB773" s="1">
        <v>2</v>
      </c>
      <c r="AC773" s="1">
        <v>545</v>
      </c>
      <c r="AF773" s="3">
        <v>2.5974025974025974</v>
      </c>
      <c r="AG773" s="3">
        <v>0.98919802402581836</v>
      </c>
      <c r="AH773" s="1">
        <v>6258</v>
      </c>
      <c r="AI773" s="1" t="b">
        <v>1</v>
      </c>
    </row>
    <row r="774" spans="1:35" x14ac:dyDescent="0.25">
      <c r="A774" s="1">
        <v>10</v>
      </c>
      <c r="B774" s="1">
        <v>12</v>
      </c>
      <c r="C774" s="1">
        <v>2019</v>
      </c>
      <c r="G774" s="1" t="s">
        <v>38</v>
      </c>
      <c r="H774" s="2">
        <v>4.8</v>
      </c>
      <c r="I774" s="1">
        <v>13</v>
      </c>
      <c r="U774" s="1">
        <v>22</v>
      </c>
      <c r="X774" s="1">
        <v>19</v>
      </c>
      <c r="AA774" s="1">
        <v>4</v>
      </c>
      <c r="AB774" s="1">
        <v>3</v>
      </c>
      <c r="AC774" s="1">
        <v>633</v>
      </c>
      <c r="AF774" s="3">
        <v>2.7083333333333335</v>
      </c>
      <c r="AG774" s="3">
        <v>1.1070487636109014</v>
      </c>
      <c r="AH774" s="1">
        <v>6258</v>
      </c>
      <c r="AI774" s="1" t="b">
        <v>1</v>
      </c>
    </row>
    <row r="775" spans="1:35" x14ac:dyDescent="0.25">
      <c r="A775" s="1">
        <v>10</v>
      </c>
      <c r="B775" s="1">
        <v>12</v>
      </c>
      <c r="C775" s="1">
        <v>2019</v>
      </c>
      <c r="G775" s="1" t="s">
        <v>38</v>
      </c>
      <c r="H775" s="2">
        <v>8.5500000000000007</v>
      </c>
      <c r="I775" s="1">
        <v>30</v>
      </c>
      <c r="U775" s="1">
        <v>38</v>
      </c>
      <c r="X775" s="1">
        <v>33</v>
      </c>
      <c r="AA775" s="1">
        <v>2</v>
      </c>
      <c r="AB775" s="1">
        <v>1</v>
      </c>
      <c r="AC775" s="1">
        <v>1289</v>
      </c>
      <c r="AF775" s="3">
        <v>3.5087719298245612</v>
      </c>
      <c r="AG775" s="3">
        <v>1.2800329238398136</v>
      </c>
      <c r="AH775" s="1">
        <v>6258</v>
      </c>
      <c r="AI775" s="1" t="b">
        <v>1</v>
      </c>
    </row>
    <row r="776" spans="1:35" x14ac:dyDescent="0.25">
      <c r="A776" s="1">
        <v>10</v>
      </c>
      <c r="B776" s="1">
        <v>12</v>
      </c>
      <c r="C776" s="1">
        <v>2019</v>
      </c>
      <c r="G776" s="1" t="s">
        <v>38</v>
      </c>
      <c r="H776" s="2">
        <v>6.06</v>
      </c>
      <c r="I776" s="1">
        <v>19</v>
      </c>
      <c r="V776" s="1">
        <v>27</v>
      </c>
      <c r="X776" s="1">
        <v>19</v>
      </c>
      <c r="AA776" s="1">
        <v>2</v>
      </c>
      <c r="AB776" s="1">
        <v>2</v>
      </c>
      <c r="AC776" s="1">
        <v>823</v>
      </c>
      <c r="AF776" s="3">
        <v>3.1353135313531357</v>
      </c>
      <c r="AG776" s="3">
        <v>1.1257704897056493</v>
      </c>
      <c r="AH776" s="1">
        <v>6258</v>
      </c>
      <c r="AI776" s="1" t="b">
        <v>1</v>
      </c>
    </row>
    <row r="777" spans="1:35" x14ac:dyDescent="0.25">
      <c r="A777" s="1">
        <v>10</v>
      </c>
      <c r="B777" s="1">
        <v>12</v>
      </c>
      <c r="C777" s="1">
        <v>2019</v>
      </c>
      <c r="G777" s="1" t="s">
        <v>38</v>
      </c>
      <c r="H777" s="2">
        <v>4.68</v>
      </c>
      <c r="I777" s="1">
        <v>13</v>
      </c>
      <c r="V777" s="1">
        <v>20</v>
      </c>
      <c r="X777" s="1">
        <v>17</v>
      </c>
      <c r="AA777" s="1">
        <v>2</v>
      </c>
      <c r="AB777" s="1">
        <v>3</v>
      </c>
      <c r="AC777" s="1">
        <v>604</v>
      </c>
      <c r="AF777" s="3">
        <v>2.7777777777777781</v>
      </c>
      <c r="AG777" s="3">
        <v>1.0604119125856395</v>
      </c>
      <c r="AH777" s="1">
        <v>6258</v>
      </c>
      <c r="AI777" s="1" t="b">
        <v>1</v>
      </c>
    </row>
    <row r="778" spans="1:35" x14ac:dyDescent="0.25">
      <c r="A778" s="1">
        <v>10</v>
      </c>
      <c r="B778" s="1">
        <v>12</v>
      </c>
      <c r="C778" s="1">
        <v>2019</v>
      </c>
      <c r="G778" s="1" t="s">
        <v>38</v>
      </c>
      <c r="H778" s="2">
        <v>7.98</v>
      </c>
      <c r="I778" s="1">
        <v>19</v>
      </c>
      <c r="V778" s="1">
        <v>26</v>
      </c>
      <c r="X778" s="1">
        <v>22</v>
      </c>
      <c r="AA778" s="1">
        <v>4</v>
      </c>
      <c r="AB778" s="1">
        <v>3</v>
      </c>
      <c r="AC778" s="1">
        <v>802</v>
      </c>
      <c r="AF778" s="3">
        <v>2.3809523809523809</v>
      </c>
      <c r="AG778" s="3">
        <v>1.7974272201689308</v>
      </c>
      <c r="AH778" s="1">
        <v>6258</v>
      </c>
      <c r="AI778" s="1" t="b">
        <v>1</v>
      </c>
    </row>
    <row r="779" spans="1:35" x14ac:dyDescent="0.25">
      <c r="A779" s="1">
        <v>10</v>
      </c>
      <c r="B779" s="1">
        <v>12</v>
      </c>
      <c r="C779" s="1">
        <v>2019</v>
      </c>
      <c r="G779" s="1" t="s">
        <v>38</v>
      </c>
      <c r="H779" s="2">
        <v>4.45</v>
      </c>
      <c r="I779" s="1">
        <v>11</v>
      </c>
      <c r="U779" s="1">
        <v>15</v>
      </c>
      <c r="X779" s="1">
        <v>13</v>
      </c>
      <c r="AA779" s="1">
        <v>2</v>
      </c>
      <c r="AB779" s="1">
        <v>3</v>
      </c>
      <c r="AC779" s="1">
        <v>568</v>
      </c>
      <c r="AF779" s="3">
        <v>2.4719101123595504</v>
      </c>
      <c r="AG779" s="3">
        <v>1.1503217555819172</v>
      </c>
      <c r="AH779" s="1">
        <v>6258</v>
      </c>
      <c r="AI779" s="1" t="b">
        <v>1</v>
      </c>
    </row>
    <row r="780" spans="1:35" x14ac:dyDescent="0.25">
      <c r="A780" s="1">
        <v>10</v>
      </c>
      <c r="B780" s="1">
        <v>12</v>
      </c>
      <c r="C780" s="1">
        <v>2019</v>
      </c>
      <c r="G780" s="1" t="s">
        <v>38</v>
      </c>
      <c r="H780" s="2">
        <v>5.56</v>
      </c>
      <c r="I780" s="1">
        <v>12</v>
      </c>
      <c r="U780" s="1">
        <v>22</v>
      </c>
      <c r="X780" s="1">
        <v>19</v>
      </c>
      <c r="AA780" s="1">
        <v>3</v>
      </c>
      <c r="AB780" s="1">
        <v>4</v>
      </c>
      <c r="AC780" s="1">
        <v>770</v>
      </c>
      <c r="AF780" s="3">
        <v>2.1582733812949644</v>
      </c>
      <c r="AG780" s="3">
        <v>1.5397347083155219</v>
      </c>
      <c r="AH780" s="1">
        <v>6258</v>
      </c>
      <c r="AI780" s="1" t="b">
        <v>1</v>
      </c>
    </row>
    <row r="781" spans="1:35" x14ac:dyDescent="0.25">
      <c r="A781" s="1">
        <v>11</v>
      </c>
      <c r="B781" s="1">
        <v>12</v>
      </c>
      <c r="C781" s="1">
        <v>2019</v>
      </c>
      <c r="G781" s="1" t="s">
        <v>38</v>
      </c>
      <c r="H781" s="2">
        <v>2.87</v>
      </c>
      <c r="I781" s="1">
        <v>8</v>
      </c>
      <c r="U781" s="1">
        <v>10</v>
      </c>
      <c r="X781" s="1">
        <v>8</v>
      </c>
      <c r="AA781" s="1">
        <v>1</v>
      </c>
      <c r="AB781" s="1">
        <v>2</v>
      </c>
      <c r="AC781" s="1">
        <v>441</v>
      </c>
      <c r="AF781" s="3">
        <v>2.7874564459930311</v>
      </c>
      <c r="AG781" s="3">
        <v>0.75042835831833399</v>
      </c>
      <c r="AH781" s="1">
        <v>6258</v>
      </c>
      <c r="AI781" s="1" t="b">
        <v>1</v>
      </c>
    </row>
    <row r="782" spans="1:35" x14ac:dyDescent="0.25">
      <c r="A782" s="1">
        <v>11</v>
      </c>
      <c r="B782" s="1">
        <v>12</v>
      </c>
      <c r="C782" s="1">
        <v>2019</v>
      </c>
      <c r="G782" s="1" t="s">
        <v>38</v>
      </c>
      <c r="H782" s="2">
        <v>6.54</v>
      </c>
      <c r="I782" s="1">
        <v>15</v>
      </c>
      <c r="U782" s="1">
        <v>24</v>
      </c>
      <c r="X782" s="1">
        <v>20</v>
      </c>
      <c r="AA782" s="1">
        <v>3</v>
      </c>
      <c r="AB782" s="1">
        <v>3</v>
      </c>
      <c r="AC782" s="1">
        <v>981</v>
      </c>
      <c r="AF782" s="3">
        <v>2.2935779816513762</v>
      </c>
      <c r="AG782" s="3">
        <v>1.6232705631184354</v>
      </c>
      <c r="AH782" s="1">
        <v>6258</v>
      </c>
      <c r="AI782" s="1" t="b">
        <v>1</v>
      </c>
    </row>
    <row r="783" spans="1:35" x14ac:dyDescent="0.25">
      <c r="A783" s="1">
        <v>11</v>
      </c>
      <c r="B783" s="1">
        <v>12</v>
      </c>
      <c r="C783" s="1">
        <v>2019</v>
      </c>
      <c r="G783" s="1" t="s">
        <v>38</v>
      </c>
      <c r="H783" s="2">
        <v>3.3</v>
      </c>
      <c r="I783" s="1">
        <v>10</v>
      </c>
      <c r="U783" s="1">
        <v>12</v>
      </c>
      <c r="X783" s="1">
        <v>11</v>
      </c>
      <c r="AA783" s="1">
        <v>2</v>
      </c>
      <c r="AB783" s="1">
        <v>3</v>
      </c>
      <c r="AC783" s="1">
        <v>607</v>
      </c>
      <c r="AF783" s="3">
        <v>3.0303030303030303</v>
      </c>
      <c r="AG783" s="3">
        <v>0.76115603966241563</v>
      </c>
      <c r="AH783" s="1">
        <v>6258</v>
      </c>
      <c r="AI783" s="1" t="b">
        <v>1</v>
      </c>
    </row>
    <row r="784" spans="1:35" x14ac:dyDescent="0.25">
      <c r="A784" s="1">
        <v>12</v>
      </c>
      <c r="B784" s="1">
        <v>12</v>
      </c>
      <c r="C784" s="1">
        <v>2019</v>
      </c>
      <c r="G784" s="1" t="s">
        <v>38</v>
      </c>
      <c r="H784" s="2">
        <v>7.48</v>
      </c>
      <c r="I784" s="1">
        <v>21</v>
      </c>
      <c r="U784" s="1">
        <v>34</v>
      </c>
      <c r="X784" s="1">
        <v>27</v>
      </c>
      <c r="AA784" s="1">
        <v>3</v>
      </c>
      <c r="AB784" s="1">
        <v>3</v>
      </c>
      <c r="AC784" s="1">
        <v>1290</v>
      </c>
      <c r="AF784" s="3">
        <v>2.8074866310160425</v>
      </c>
      <c r="AG784" s="3">
        <v>1.4568452477775367</v>
      </c>
      <c r="AH784" s="1">
        <v>6258</v>
      </c>
      <c r="AI784" s="1" t="b">
        <v>1</v>
      </c>
    </row>
    <row r="785" spans="1:35" x14ac:dyDescent="0.25">
      <c r="A785" s="1">
        <v>12</v>
      </c>
      <c r="B785" s="1">
        <v>12</v>
      </c>
      <c r="C785" s="1">
        <v>2019</v>
      </c>
      <c r="G785" s="1" t="s">
        <v>38</v>
      </c>
      <c r="H785" s="2">
        <v>4.26</v>
      </c>
      <c r="I785" s="1">
        <v>12</v>
      </c>
      <c r="U785" s="1">
        <v>19</v>
      </c>
      <c r="X785" s="1">
        <v>17</v>
      </c>
      <c r="AA785" s="1">
        <v>3</v>
      </c>
      <c r="AB785" s="1">
        <v>4</v>
      </c>
      <c r="AC785" s="1">
        <v>728</v>
      </c>
      <c r="AF785" s="3">
        <v>2.8169014084507045</v>
      </c>
      <c r="AG785" s="3">
        <v>0.97907299612105303</v>
      </c>
      <c r="AH785" s="1">
        <v>6258</v>
      </c>
      <c r="AI785" s="1" t="b">
        <v>1</v>
      </c>
    </row>
    <row r="786" spans="1:35" x14ac:dyDescent="0.25">
      <c r="A786" s="1">
        <v>12</v>
      </c>
      <c r="B786" s="1">
        <v>12</v>
      </c>
      <c r="C786" s="1">
        <v>2019</v>
      </c>
      <c r="G786" s="1" t="s">
        <v>38</v>
      </c>
      <c r="H786" s="2">
        <v>5.22</v>
      </c>
      <c r="I786" s="1">
        <v>17</v>
      </c>
      <c r="U786" s="1">
        <v>22</v>
      </c>
      <c r="X786" s="1">
        <v>19</v>
      </c>
      <c r="AA786" s="1">
        <v>2</v>
      </c>
      <c r="AB786" s="1">
        <v>2</v>
      </c>
      <c r="AC786" s="1">
        <v>928</v>
      </c>
      <c r="AF786" s="3">
        <v>3.2567049808429118</v>
      </c>
      <c r="AG786" s="3">
        <v>0.97631718490088248</v>
      </c>
      <c r="AH786" s="1">
        <v>6258</v>
      </c>
      <c r="AI786" s="1" t="b">
        <v>1</v>
      </c>
    </row>
    <row r="787" spans="1:35" x14ac:dyDescent="0.25">
      <c r="A787" s="1">
        <v>12</v>
      </c>
      <c r="B787" s="1">
        <v>12</v>
      </c>
      <c r="C787" s="1">
        <v>2019</v>
      </c>
      <c r="G787" s="1" t="s">
        <v>38</v>
      </c>
      <c r="H787" s="2">
        <v>3.89</v>
      </c>
      <c r="I787" s="1">
        <v>12</v>
      </c>
      <c r="U787" s="1">
        <v>19</v>
      </c>
      <c r="X787" s="1">
        <v>17</v>
      </c>
      <c r="AA787" s="1">
        <v>2</v>
      </c>
      <c r="AB787" s="1">
        <v>1</v>
      </c>
      <c r="AC787" s="1">
        <v>597</v>
      </c>
      <c r="AF787" s="3">
        <v>3.0848329048843186</v>
      </c>
      <c r="AG787" s="3">
        <v>0.83894420055168173</v>
      </c>
      <c r="AH787" s="1">
        <v>6258</v>
      </c>
      <c r="AI787" s="1" t="b">
        <v>1</v>
      </c>
    </row>
    <row r="788" spans="1:35" x14ac:dyDescent="0.25">
      <c r="A788" s="1">
        <v>12</v>
      </c>
      <c r="B788" s="1">
        <v>12</v>
      </c>
      <c r="C788" s="1">
        <v>2019</v>
      </c>
      <c r="G788" s="1" t="s">
        <v>38</v>
      </c>
      <c r="H788" s="2">
        <v>7.16</v>
      </c>
      <c r="I788" s="1">
        <v>24</v>
      </c>
      <c r="U788" s="1">
        <v>31</v>
      </c>
      <c r="X788" s="1">
        <v>27</v>
      </c>
      <c r="AA788" s="1">
        <v>2</v>
      </c>
      <c r="AB788" s="1">
        <v>5</v>
      </c>
      <c r="AC788" s="1">
        <v>1181</v>
      </c>
      <c r="AF788" s="3">
        <v>3.3519553072625698</v>
      </c>
      <c r="AG788" s="3">
        <v>1.1834254268587421</v>
      </c>
      <c r="AH788" s="1">
        <v>6258</v>
      </c>
      <c r="AI788" s="1" t="b">
        <v>1</v>
      </c>
    </row>
    <row r="789" spans="1:35" x14ac:dyDescent="0.25">
      <c r="A789" s="1">
        <v>12</v>
      </c>
      <c r="B789" s="1">
        <v>12</v>
      </c>
      <c r="C789" s="1">
        <v>2019</v>
      </c>
      <c r="G789" s="1" t="s">
        <v>38</v>
      </c>
      <c r="H789" s="2">
        <v>4.51</v>
      </c>
      <c r="I789" s="1">
        <v>11</v>
      </c>
      <c r="U789" s="1">
        <v>26</v>
      </c>
      <c r="X789" s="1">
        <v>19</v>
      </c>
      <c r="AA789" s="1">
        <v>4</v>
      </c>
      <c r="AB789" s="1">
        <v>4</v>
      </c>
      <c r="AC789" s="1">
        <v>758</v>
      </c>
      <c r="AF789" s="3">
        <v>2.4390243902439024</v>
      </c>
      <c r="AG789" s="3">
        <v>1.176812942366158</v>
      </c>
      <c r="AH789" s="1">
        <v>6258</v>
      </c>
      <c r="AI789" s="1" t="b">
        <v>1</v>
      </c>
    </row>
    <row r="790" spans="1:35" x14ac:dyDescent="0.25">
      <c r="A790" s="1">
        <v>12</v>
      </c>
      <c r="B790" s="1">
        <v>12</v>
      </c>
      <c r="C790" s="1">
        <v>2019</v>
      </c>
      <c r="G790" s="1" t="s">
        <v>38</v>
      </c>
      <c r="H790" s="2">
        <v>8.39</v>
      </c>
      <c r="I790" s="1">
        <v>25</v>
      </c>
      <c r="U790" s="1">
        <v>37</v>
      </c>
      <c r="X790" s="1">
        <v>32</v>
      </c>
      <c r="AA790" s="1">
        <v>4</v>
      </c>
      <c r="AB790" s="1">
        <v>2</v>
      </c>
      <c r="AC790" s="1">
        <v>1097</v>
      </c>
      <c r="AF790" s="3">
        <v>2.9797377830750893</v>
      </c>
      <c r="AG790" s="3">
        <v>1.4874943497548432</v>
      </c>
      <c r="AH790" s="1">
        <v>6258</v>
      </c>
      <c r="AI790" s="1" t="b">
        <v>1</v>
      </c>
    </row>
    <row r="791" spans="1:35" x14ac:dyDescent="0.25">
      <c r="A791" s="1">
        <v>12</v>
      </c>
      <c r="B791" s="1">
        <v>12</v>
      </c>
      <c r="C791" s="1">
        <v>2019</v>
      </c>
      <c r="G791" s="1" t="s">
        <v>38</v>
      </c>
      <c r="H791" s="2">
        <v>6.56</v>
      </c>
      <c r="I791" s="1">
        <v>19</v>
      </c>
      <c r="V791" s="1">
        <v>25</v>
      </c>
      <c r="X791" s="1">
        <v>22</v>
      </c>
      <c r="AA791" s="1">
        <v>2</v>
      </c>
      <c r="AB791" s="1">
        <v>1</v>
      </c>
      <c r="AC791" s="1">
        <v>854</v>
      </c>
      <c r="AF791" s="3">
        <v>2.8963414634146343</v>
      </c>
      <c r="AG791" s="3">
        <v>1.2881989059684056</v>
      </c>
      <c r="AH791" s="1">
        <v>6258</v>
      </c>
      <c r="AI791" s="1" t="b">
        <v>1</v>
      </c>
    </row>
    <row r="792" spans="1:35" x14ac:dyDescent="0.25">
      <c r="A792" s="1">
        <v>12</v>
      </c>
      <c r="B792" s="1">
        <v>12</v>
      </c>
      <c r="C792" s="1">
        <v>2019</v>
      </c>
      <c r="G792" s="1" t="s">
        <v>38</v>
      </c>
      <c r="H792" s="2">
        <v>4.78</v>
      </c>
      <c r="I792" s="1">
        <v>17</v>
      </c>
      <c r="U792" s="1">
        <v>20</v>
      </c>
      <c r="X792" s="1">
        <v>17</v>
      </c>
      <c r="AA792" s="1">
        <v>1</v>
      </c>
      <c r="AB792" s="1">
        <v>5</v>
      </c>
      <c r="AC792" s="1">
        <v>676</v>
      </c>
      <c r="AF792" s="3">
        <v>3.5564853556485354</v>
      </c>
      <c r="AG792" s="3">
        <v>0.84057893601368894</v>
      </c>
      <c r="AH792" s="1">
        <v>6258</v>
      </c>
      <c r="AI792" s="1" t="b">
        <v>1</v>
      </c>
    </row>
    <row r="793" spans="1:35" x14ac:dyDescent="0.25">
      <c r="A793" s="1">
        <v>12</v>
      </c>
      <c r="B793" s="1">
        <v>12</v>
      </c>
      <c r="C793" s="1">
        <v>2019</v>
      </c>
      <c r="G793" s="1" t="s">
        <v>38</v>
      </c>
      <c r="H793" s="2">
        <v>5.33</v>
      </c>
      <c r="I793" s="1">
        <v>13</v>
      </c>
      <c r="V793" s="1">
        <v>17</v>
      </c>
      <c r="X793" s="1">
        <v>15</v>
      </c>
      <c r="AA793" s="1">
        <v>3</v>
      </c>
      <c r="AB793" s="1">
        <v>4</v>
      </c>
      <c r="AC793" s="1">
        <v>672</v>
      </c>
      <c r="AF793" s="3">
        <v>2.4390243902439024</v>
      </c>
      <c r="AG793" s="3">
        <v>1.3227960915486452</v>
      </c>
      <c r="AH793" s="1">
        <v>6258</v>
      </c>
      <c r="AI793" s="1" t="b">
        <v>1</v>
      </c>
    </row>
    <row r="794" spans="1:35" x14ac:dyDescent="0.25">
      <c r="A794" s="1">
        <v>12</v>
      </c>
      <c r="B794" s="1">
        <v>12</v>
      </c>
      <c r="C794" s="1">
        <v>2019</v>
      </c>
      <c r="G794" s="1" t="s">
        <v>38</v>
      </c>
      <c r="H794" s="2">
        <v>5.44</v>
      </c>
      <c r="I794" s="1">
        <v>13</v>
      </c>
      <c r="V794" s="1">
        <v>15</v>
      </c>
      <c r="X794" s="1">
        <v>14</v>
      </c>
      <c r="AA794" s="1">
        <v>1</v>
      </c>
      <c r="AB794" s="1">
        <v>1</v>
      </c>
      <c r="AC794" s="1">
        <v>696</v>
      </c>
      <c r="AF794" s="3">
        <v>2.3897058823529411</v>
      </c>
      <c r="AG794" s="3">
        <v>1.3695401766423236</v>
      </c>
      <c r="AH794" s="1">
        <v>6258</v>
      </c>
      <c r="AI794" s="1" t="b">
        <v>1</v>
      </c>
    </row>
    <row r="795" spans="1:35" x14ac:dyDescent="0.25">
      <c r="A795" s="1">
        <v>12</v>
      </c>
      <c r="B795" s="1">
        <v>12</v>
      </c>
      <c r="C795" s="1">
        <v>2019</v>
      </c>
      <c r="G795" s="1" t="s">
        <v>38</v>
      </c>
      <c r="H795" s="2">
        <v>6.25</v>
      </c>
      <c r="I795" s="1">
        <v>16</v>
      </c>
      <c r="U795" s="1">
        <v>28</v>
      </c>
      <c r="X795" s="1">
        <v>26</v>
      </c>
      <c r="AA795" s="1">
        <v>4</v>
      </c>
      <c r="AB795" s="1">
        <v>1</v>
      </c>
      <c r="AC795" s="1">
        <v>766</v>
      </c>
      <c r="AF795" s="3">
        <v>2.56</v>
      </c>
      <c r="AG795" s="3">
        <v>1.4088866268625131</v>
      </c>
      <c r="AH795" s="1">
        <v>6258</v>
      </c>
      <c r="AI795" s="1" t="b">
        <v>1</v>
      </c>
    </row>
    <row r="796" spans="1:35" x14ac:dyDescent="0.25">
      <c r="A796" s="1">
        <v>12</v>
      </c>
      <c r="B796" s="1">
        <v>12</v>
      </c>
      <c r="C796" s="1">
        <v>2019</v>
      </c>
      <c r="G796" s="1" t="s">
        <v>38</v>
      </c>
      <c r="H796" s="2">
        <v>4.6900000000000004</v>
      </c>
      <c r="I796" s="1">
        <v>16</v>
      </c>
      <c r="U796" s="1">
        <v>17</v>
      </c>
      <c r="X796" s="1">
        <v>16</v>
      </c>
      <c r="AA796" s="1">
        <v>1</v>
      </c>
      <c r="AB796" s="1">
        <v>1</v>
      </c>
      <c r="AC796" s="1">
        <v>716</v>
      </c>
      <c r="AF796" s="3">
        <v>3.4115138592750531</v>
      </c>
      <c r="AG796" s="3">
        <v>0.86471670699109116</v>
      </c>
      <c r="AH796" s="1">
        <v>6258</v>
      </c>
      <c r="AI796" s="1" t="b">
        <v>1</v>
      </c>
    </row>
    <row r="797" spans="1:35" x14ac:dyDescent="0.25">
      <c r="A797" s="1">
        <v>12</v>
      </c>
      <c r="B797" s="1">
        <v>12</v>
      </c>
      <c r="C797" s="1">
        <v>2019</v>
      </c>
      <c r="G797" s="1" t="s">
        <v>38</v>
      </c>
      <c r="H797" s="2">
        <v>5.33</v>
      </c>
      <c r="I797" s="1">
        <v>18</v>
      </c>
      <c r="U797" s="1">
        <v>24</v>
      </c>
      <c r="X797" s="1">
        <v>22</v>
      </c>
      <c r="AA797" s="1">
        <v>2</v>
      </c>
      <c r="AB797" s="1">
        <v>4</v>
      </c>
      <c r="AC797" s="1">
        <v>816</v>
      </c>
      <c r="AF797" s="3">
        <v>3.3771106941838647</v>
      </c>
      <c r="AG797" s="3">
        <v>0.95535273278513266</v>
      </c>
      <c r="AH797" s="1">
        <v>6258</v>
      </c>
      <c r="AI797" s="1" t="b">
        <v>1</v>
      </c>
    </row>
    <row r="798" spans="1:35" x14ac:dyDescent="0.25">
      <c r="A798" s="1">
        <v>12</v>
      </c>
      <c r="B798" s="1">
        <v>12</v>
      </c>
      <c r="C798" s="1">
        <v>2019</v>
      </c>
      <c r="G798" s="1" t="s">
        <v>38</v>
      </c>
      <c r="H798" s="2">
        <v>4.03</v>
      </c>
      <c r="I798" s="1">
        <v>14</v>
      </c>
      <c r="U798" s="1">
        <v>17</v>
      </c>
      <c r="X798" s="1">
        <v>14</v>
      </c>
      <c r="AA798" s="1">
        <v>1</v>
      </c>
      <c r="AB798" s="1">
        <v>4</v>
      </c>
      <c r="AC798" s="1">
        <v>713</v>
      </c>
      <c r="AF798" s="3">
        <v>3.4739454094292803</v>
      </c>
      <c r="AG798" s="3">
        <v>0.76364329478536219</v>
      </c>
      <c r="AH798" s="1">
        <v>6258</v>
      </c>
      <c r="AI798" s="1" t="b">
        <v>1</v>
      </c>
    </row>
    <row r="799" spans="1:35" x14ac:dyDescent="0.25">
      <c r="A799" s="1">
        <v>12</v>
      </c>
      <c r="B799" s="1">
        <v>12</v>
      </c>
      <c r="C799" s="1">
        <v>2019</v>
      </c>
      <c r="G799" s="1" t="s">
        <v>38</v>
      </c>
      <c r="H799" s="2">
        <v>3.8</v>
      </c>
      <c r="I799" s="1">
        <v>14</v>
      </c>
      <c r="U799" s="1">
        <v>18</v>
      </c>
      <c r="X799" s="1">
        <v>14</v>
      </c>
      <c r="AA799" s="1">
        <v>1</v>
      </c>
      <c r="AB799" s="1">
        <v>3</v>
      </c>
      <c r="AC799" s="1">
        <v>625</v>
      </c>
      <c r="AF799" s="3">
        <v>3.6842105263157898</v>
      </c>
      <c r="AG799" s="3">
        <v>0.69104141912083172</v>
      </c>
      <c r="AH799" s="1">
        <v>6258</v>
      </c>
      <c r="AI799" s="1" t="b">
        <v>1</v>
      </c>
    </row>
    <row r="800" spans="1:35" x14ac:dyDescent="0.25">
      <c r="A800" s="1">
        <v>12</v>
      </c>
      <c r="B800" s="1">
        <v>12</v>
      </c>
      <c r="C800" s="1">
        <v>2019</v>
      </c>
      <c r="G800" s="1" t="s">
        <v>38</v>
      </c>
      <c r="H800" s="2">
        <v>3.14</v>
      </c>
      <c r="I800" s="1">
        <v>7</v>
      </c>
      <c r="U800" s="1">
        <v>14</v>
      </c>
      <c r="X800" s="1">
        <v>12</v>
      </c>
      <c r="AA800" s="1">
        <v>3</v>
      </c>
      <c r="AB800" s="1">
        <v>1</v>
      </c>
      <c r="AC800" s="1">
        <v>501</v>
      </c>
      <c r="AF800" s="3">
        <v>2.2292993630573248</v>
      </c>
      <c r="AG800" s="3">
        <v>0.99926887820884136</v>
      </c>
      <c r="AH800" s="1">
        <v>6258</v>
      </c>
      <c r="AI800" s="1" t="b">
        <v>1</v>
      </c>
    </row>
    <row r="801" spans="1:35" x14ac:dyDescent="0.25">
      <c r="A801" s="1">
        <v>12</v>
      </c>
      <c r="B801" s="1">
        <v>12</v>
      </c>
      <c r="C801" s="1">
        <v>2019</v>
      </c>
      <c r="G801" s="1" t="s">
        <v>38</v>
      </c>
      <c r="H801" s="2">
        <v>4.34</v>
      </c>
      <c r="I801" s="1">
        <v>14</v>
      </c>
      <c r="U801" s="1">
        <v>19</v>
      </c>
      <c r="X801" s="1">
        <v>17</v>
      </c>
      <c r="AA801" s="1">
        <v>2</v>
      </c>
      <c r="AB801" s="1">
        <v>2</v>
      </c>
      <c r="AC801" s="1">
        <v>710</v>
      </c>
      <c r="AF801" s="3">
        <v>3.2258064516129035</v>
      </c>
      <c r="AG801" s="3">
        <v>0.86617272585060545</v>
      </c>
      <c r="AH801" s="1">
        <v>6258</v>
      </c>
      <c r="AI801" s="1" t="b">
        <v>1</v>
      </c>
    </row>
    <row r="802" spans="1:35" x14ac:dyDescent="0.25">
      <c r="A802" s="1">
        <v>12</v>
      </c>
      <c r="B802" s="1">
        <v>12</v>
      </c>
      <c r="C802" s="1">
        <v>2019</v>
      </c>
      <c r="G802" s="1" t="s">
        <v>38</v>
      </c>
      <c r="H802" s="2">
        <v>5.43</v>
      </c>
      <c r="I802" s="1">
        <v>15</v>
      </c>
      <c r="U802" s="1">
        <v>22</v>
      </c>
      <c r="X802" s="1">
        <v>17</v>
      </c>
      <c r="AA802" s="1">
        <v>2</v>
      </c>
      <c r="AB802" s="1">
        <v>5</v>
      </c>
      <c r="AC802" s="1">
        <v>824</v>
      </c>
      <c r="AF802" s="3">
        <v>2.7624309392265194</v>
      </c>
      <c r="AG802" s="3">
        <v>1.1832280352992481</v>
      </c>
      <c r="AH802" s="1">
        <v>6258</v>
      </c>
      <c r="AI802" s="1" t="b">
        <v>1</v>
      </c>
    </row>
    <row r="803" spans="1:35" x14ac:dyDescent="0.25">
      <c r="A803" s="1">
        <v>12</v>
      </c>
      <c r="B803" s="1">
        <v>12</v>
      </c>
      <c r="C803" s="1">
        <v>2019</v>
      </c>
      <c r="G803" s="1" t="s">
        <v>38</v>
      </c>
      <c r="H803" s="2">
        <v>6.63</v>
      </c>
      <c r="I803" s="1">
        <v>17</v>
      </c>
      <c r="U803" s="1">
        <v>29</v>
      </c>
      <c r="X803" s="1">
        <v>22</v>
      </c>
      <c r="AA803" s="1">
        <v>3</v>
      </c>
      <c r="AB803" s="1">
        <v>4</v>
      </c>
      <c r="AC803" s="1">
        <v>982</v>
      </c>
      <c r="AF803" s="3">
        <v>2.5641025641025643</v>
      </c>
      <c r="AG803" s="3">
        <v>1.4659666043367587</v>
      </c>
      <c r="AH803" s="1">
        <v>6258</v>
      </c>
      <c r="AI803" s="1" t="b">
        <v>1</v>
      </c>
    </row>
    <row r="804" spans="1:35" x14ac:dyDescent="0.25">
      <c r="A804" s="1">
        <v>12</v>
      </c>
      <c r="B804" s="1">
        <v>12</v>
      </c>
      <c r="C804" s="1">
        <v>2019</v>
      </c>
      <c r="G804" s="1" t="s">
        <v>38</v>
      </c>
      <c r="H804" s="2">
        <v>7.35</v>
      </c>
      <c r="I804" s="1">
        <v>20</v>
      </c>
      <c r="U804" s="1">
        <v>36</v>
      </c>
      <c r="X804" s="1">
        <v>29</v>
      </c>
      <c r="AA804" s="1">
        <v>3</v>
      </c>
      <c r="AB804" s="1">
        <v>3</v>
      </c>
      <c r="AC804" s="1">
        <v>1031</v>
      </c>
      <c r="AF804" s="3">
        <v>2.7210884353741496</v>
      </c>
      <c r="AG804" s="3">
        <v>1.4847675958976621</v>
      </c>
      <c r="AH804" s="1">
        <v>6258</v>
      </c>
      <c r="AI804" s="1" t="b">
        <v>1</v>
      </c>
    </row>
    <row r="805" spans="1:35" x14ac:dyDescent="0.25">
      <c r="A805" s="1">
        <v>12</v>
      </c>
      <c r="B805" s="1">
        <v>12</v>
      </c>
      <c r="C805" s="1">
        <v>2019</v>
      </c>
      <c r="G805" s="1" t="s">
        <v>38</v>
      </c>
      <c r="H805" s="2">
        <v>5.59</v>
      </c>
      <c r="I805" s="1">
        <v>14</v>
      </c>
      <c r="U805" s="1">
        <v>28</v>
      </c>
      <c r="X805" s="1">
        <v>21</v>
      </c>
      <c r="AA805" s="1">
        <v>4</v>
      </c>
      <c r="AB805" s="1">
        <v>3</v>
      </c>
      <c r="AC805" s="1">
        <v>858</v>
      </c>
      <c r="AF805" s="3">
        <v>2.5044722719141324</v>
      </c>
      <c r="AG805" s="3">
        <v>1.3319012844101354</v>
      </c>
      <c r="AH805" s="1">
        <v>6258</v>
      </c>
      <c r="AI805" s="1" t="b">
        <v>1</v>
      </c>
    </row>
    <row r="806" spans="1:35" x14ac:dyDescent="0.25">
      <c r="A806" s="1">
        <v>12</v>
      </c>
      <c r="B806" s="1">
        <v>12</v>
      </c>
      <c r="C806" s="1">
        <v>2019</v>
      </c>
      <c r="G806" s="1" t="s">
        <v>38</v>
      </c>
      <c r="H806" s="2">
        <v>8.39</v>
      </c>
      <c r="I806" s="1">
        <v>21</v>
      </c>
      <c r="V806" s="1">
        <v>32</v>
      </c>
      <c r="X806" s="1">
        <v>23</v>
      </c>
      <c r="AA806" s="1">
        <v>2</v>
      </c>
      <c r="AB806" s="1">
        <v>3</v>
      </c>
      <c r="AC806" s="1">
        <v>1027</v>
      </c>
      <c r="AF806" s="3">
        <v>2.5029797377830749</v>
      </c>
      <c r="AG806" s="3">
        <v>1.7708266068510039</v>
      </c>
      <c r="AH806" s="1">
        <v>6258</v>
      </c>
      <c r="AI806" s="1" t="b">
        <v>1</v>
      </c>
    </row>
    <row r="807" spans="1:35" x14ac:dyDescent="0.25">
      <c r="A807" s="1">
        <v>12</v>
      </c>
      <c r="B807" s="1">
        <v>12</v>
      </c>
      <c r="C807" s="1">
        <v>2019</v>
      </c>
      <c r="G807" s="1" t="s">
        <v>38</v>
      </c>
      <c r="H807" s="2">
        <v>7.4</v>
      </c>
      <c r="I807" s="1">
        <v>23</v>
      </c>
      <c r="U807" s="1">
        <v>31</v>
      </c>
      <c r="X807" s="1">
        <v>25</v>
      </c>
      <c r="AA807" s="1">
        <v>2</v>
      </c>
      <c r="AB807" s="1">
        <v>2</v>
      </c>
      <c r="AC807" s="1">
        <v>1075</v>
      </c>
      <c r="AF807" s="3">
        <v>3.1081081081081079</v>
      </c>
      <c r="AG807" s="3">
        <v>1.3060688979847028</v>
      </c>
      <c r="AH807" s="1">
        <v>6258</v>
      </c>
      <c r="AI807" s="1" t="b">
        <v>1</v>
      </c>
    </row>
    <row r="808" spans="1:35" x14ac:dyDescent="0.25">
      <c r="A808" s="1">
        <v>12</v>
      </c>
      <c r="B808" s="1">
        <v>12</v>
      </c>
      <c r="C808" s="1">
        <v>2019</v>
      </c>
      <c r="G808" s="1" t="s">
        <v>38</v>
      </c>
      <c r="H808" s="2">
        <v>5.9</v>
      </c>
      <c r="I808" s="1">
        <v>25</v>
      </c>
      <c r="V808" s="1">
        <v>24</v>
      </c>
      <c r="X808" s="1">
        <v>19</v>
      </c>
      <c r="AA808" s="1">
        <v>2</v>
      </c>
      <c r="AB808" s="1">
        <v>1</v>
      </c>
      <c r="AC808" s="1">
        <v>730</v>
      </c>
      <c r="AF808" s="3">
        <v>4.2372881355932197</v>
      </c>
      <c r="AG808" s="3">
        <v>0.81753887132613257</v>
      </c>
      <c r="AH808" s="1">
        <v>6258</v>
      </c>
      <c r="AI808" s="1" t="b">
        <v>1</v>
      </c>
    </row>
    <row r="809" spans="1:35" x14ac:dyDescent="0.25">
      <c r="A809" s="1">
        <v>12</v>
      </c>
      <c r="B809" s="1">
        <v>12</v>
      </c>
      <c r="C809" s="1">
        <v>2019</v>
      </c>
      <c r="G809" s="1" t="s">
        <v>38</v>
      </c>
      <c r="H809" s="2">
        <v>3.81</v>
      </c>
      <c r="I809" s="1">
        <v>10</v>
      </c>
      <c r="U809" s="1">
        <v>10</v>
      </c>
      <c r="X809" s="1">
        <v>10</v>
      </c>
      <c r="AA809" s="1">
        <v>1</v>
      </c>
      <c r="AB809" s="1">
        <v>4</v>
      </c>
      <c r="AC809" s="1">
        <v>471</v>
      </c>
      <c r="AF809" s="3">
        <v>2.6246719160104988</v>
      </c>
      <c r="AG809" s="3">
        <v>0.97179007365005687</v>
      </c>
      <c r="AH809" s="1">
        <v>6258</v>
      </c>
      <c r="AI809" s="1" t="b">
        <v>1</v>
      </c>
    </row>
    <row r="810" spans="1:35" x14ac:dyDescent="0.25">
      <c r="A810" s="1">
        <v>12</v>
      </c>
      <c r="B810" s="1">
        <v>12</v>
      </c>
      <c r="C810" s="1">
        <v>2019</v>
      </c>
      <c r="G810" s="1" t="s">
        <v>38</v>
      </c>
      <c r="H810" s="2">
        <v>5.05</v>
      </c>
      <c r="I810" s="1">
        <v>18</v>
      </c>
      <c r="V810" s="1">
        <v>24</v>
      </c>
      <c r="X810" s="1">
        <v>19</v>
      </c>
      <c r="AA810" s="1">
        <v>1</v>
      </c>
      <c r="AB810" s="1">
        <v>1</v>
      </c>
      <c r="AC810" s="1">
        <v>781</v>
      </c>
      <c r="AF810" s="3">
        <v>3.5643564356435644</v>
      </c>
      <c r="AG810" s="3">
        <v>0.87161127125880522</v>
      </c>
      <c r="AH810" s="1">
        <v>6258</v>
      </c>
      <c r="AI810" s="1" t="b">
        <v>1</v>
      </c>
    </row>
    <row r="811" spans="1:35" x14ac:dyDescent="0.25">
      <c r="A811" s="1">
        <v>12</v>
      </c>
      <c r="B811" s="1">
        <v>12</v>
      </c>
      <c r="C811" s="1">
        <v>2019</v>
      </c>
      <c r="G811" s="1" t="s">
        <v>38</v>
      </c>
      <c r="H811" s="2">
        <v>7.42</v>
      </c>
      <c r="I811" s="1">
        <v>20</v>
      </c>
      <c r="V811" s="1">
        <v>35</v>
      </c>
      <c r="X811" s="1">
        <v>29</v>
      </c>
      <c r="AA811" s="1">
        <v>5</v>
      </c>
      <c r="AB811" s="1">
        <v>2</v>
      </c>
      <c r="AC811" s="1">
        <v>1012</v>
      </c>
      <c r="AF811" s="3">
        <v>2.6954177897574123</v>
      </c>
      <c r="AG811" s="3">
        <v>1.5088867445427301</v>
      </c>
      <c r="AH811" s="1">
        <v>6258</v>
      </c>
      <c r="AI811" s="1" t="b">
        <v>1</v>
      </c>
    </row>
    <row r="812" spans="1:35" x14ac:dyDescent="0.25">
      <c r="A812" s="1">
        <v>12</v>
      </c>
      <c r="B812" s="1">
        <v>12</v>
      </c>
      <c r="C812" s="1">
        <v>2019</v>
      </c>
      <c r="G812" s="1" t="s">
        <v>38</v>
      </c>
      <c r="H812" s="2">
        <v>10.59</v>
      </c>
      <c r="I812" s="1">
        <v>21</v>
      </c>
      <c r="V812" s="1">
        <v>36</v>
      </c>
      <c r="X812" s="1">
        <v>29</v>
      </c>
      <c r="AA812" s="1">
        <v>4</v>
      </c>
      <c r="AB812" s="1">
        <v>3</v>
      </c>
      <c r="AC812" s="1">
        <v>1194</v>
      </c>
      <c r="AF812" s="3">
        <v>1.9830028328611897</v>
      </c>
      <c r="AG812" s="3">
        <v>2.6308969498553103</v>
      </c>
      <c r="AH812" s="1">
        <v>6258</v>
      </c>
      <c r="AI812" s="1" t="b">
        <v>1</v>
      </c>
    </row>
    <row r="813" spans="1:35" x14ac:dyDescent="0.25">
      <c r="A813" s="1">
        <v>12</v>
      </c>
      <c r="B813" s="1">
        <v>12</v>
      </c>
      <c r="C813" s="1">
        <v>2019</v>
      </c>
      <c r="G813" s="1" t="s">
        <v>38</v>
      </c>
      <c r="H813" s="2">
        <v>4.5</v>
      </c>
      <c r="I813" s="1">
        <v>13</v>
      </c>
      <c r="V813" s="1">
        <v>19</v>
      </c>
      <c r="X813" s="1">
        <v>16</v>
      </c>
      <c r="AA813" s="1">
        <v>2</v>
      </c>
      <c r="AB813" s="1">
        <v>3</v>
      </c>
      <c r="AC813" s="1">
        <v>655</v>
      </c>
      <c r="AF813" s="3">
        <v>2.8888888888888888</v>
      </c>
      <c r="AG813" s="3">
        <v>0.99201427374804063</v>
      </c>
      <c r="AH813" s="1">
        <v>6258</v>
      </c>
      <c r="AI813" s="1" t="b">
        <v>1</v>
      </c>
    </row>
    <row r="814" spans="1:35" x14ac:dyDescent="0.25">
      <c r="A814" s="1">
        <v>12</v>
      </c>
      <c r="B814" s="1">
        <v>12</v>
      </c>
      <c r="C814" s="1">
        <v>2019</v>
      </c>
      <c r="G814" s="1" t="s">
        <v>38</v>
      </c>
      <c r="H814" s="2">
        <v>6.45</v>
      </c>
      <c r="I814" s="1">
        <v>16</v>
      </c>
      <c r="U814" s="1">
        <v>28</v>
      </c>
      <c r="X814" s="1">
        <v>23</v>
      </c>
      <c r="AA814" s="1">
        <v>3</v>
      </c>
      <c r="AB814" s="1">
        <v>4</v>
      </c>
      <c r="AC814" s="1">
        <v>994</v>
      </c>
      <c r="AF814" s="3">
        <v>2.4806201550387597</v>
      </c>
      <c r="AG814" s="3">
        <v>1.4863857470617354</v>
      </c>
      <c r="AH814" s="1">
        <v>6258</v>
      </c>
      <c r="AI814" s="1" t="b">
        <v>1</v>
      </c>
    </row>
    <row r="815" spans="1:35" x14ac:dyDescent="0.25">
      <c r="A815" s="1">
        <v>12</v>
      </c>
      <c r="B815" s="1">
        <v>12</v>
      </c>
      <c r="C815" s="1">
        <v>2019</v>
      </c>
      <c r="G815" s="1" t="s">
        <v>38</v>
      </c>
      <c r="H815" s="2">
        <v>6.29</v>
      </c>
      <c r="I815" s="1">
        <v>17</v>
      </c>
      <c r="U815" s="1">
        <v>26</v>
      </c>
      <c r="X815" s="1">
        <v>23</v>
      </c>
      <c r="AA815" s="1">
        <v>3</v>
      </c>
      <c r="AB815" s="1">
        <v>2</v>
      </c>
      <c r="AC815" s="1">
        <v>1089</v>
      </c>
      <c r="AF815" s="3">
        <v>2.7027027027027026</v>
      </c>
      <c r="AG815" s="3">
        <v>1.3404702378267364</v>
      </c>
      <c r="AH815" s="1">
        <v>6258</v>
      </c>
      <c r="AI815" s="1" t="b">
        <v>1</v>
      </c>
    </row>
    <row r="816" spans="1:35" x14ac:dyDescent="0.25">
      <c r="A816" s="1">
        <v>12</v>
      </c>
      <c r="B816" s="1">
        <v>12</v>
      </c>
      <c r="C816" s="1">
        <v>2019</v>
      </c>
      <c r="G816" s="1" t="s">
        <v>38</v>
      </c>
      <c r="H816" s="2">
        <v>4.3</v>
      </c>
      <c r="I816" s="1">
        <v>15</v>
      </c>
      <c r="U816" s="1">
        <v>17</v>
      </c>
      <c r="X816" s="1">
        <v>15</v>
      </c>
      <c r="AA816" s="1">
        <v>1</v>
      </c>
      <c r="AB816" s="1">
        <v>5</v>
      </c>
      <c r="AC816" s="1">
        <v>696</v>
      </c>
      <c r="AF816" s="3">
        <v>3.4883720930232558</v>
      </c>
      <c r="AG816" s="3">
        <v>0.79580216336636178</v>
      </c>
      <c r="AH816" s="1">
        <v>6258</v>
      </c>
      <c r="AI816" s="1" t="b">
        <v>1</v>
      </c>
    </row>
    <row r="817" spans="1:35" x14ac:dyDescent="0.25">
      <c r="A817" s="1">
        <v>12</v>
      </c>
      <c r="B817" s="1">
        <v>12</v>
      </c>
      <c r="C817" s="1">
        <v>2019</v>
      </c>
      <c r="G817" s="1" t="s">
        <v>38</v>
      </c>
      <c r="H817" s="2">
        <v>5.76</v>
      </c>
      <c r="I817" s="1">
        <v>10</v>
      </c>
      <c r="U817" s="1">
        <v>27</v>
      </c>
      <c r="X817" s="1">
        <v>21</v>
      </c>
      <c r="AA817" s="1">
        <v>5</v>
      </c>
      <c r="AB817" s="1">
        <v>5</v>
      </c>
      <c r="AC817" s="1">
        <v>926</v>
      </c>
      <c r="AF817" s="3">
        <v>1.7361111111111112</v>
      </c>
      <c r="AG817" s="3">
        <v>1.9620868260443121</v>
      </c>
      <c r="AH817" s="1">
        <v>6258</v>
      </c>
      <c r="AI817" s="1" t="b">
        <v>1</v>
      </c>
    </row>
    <row r="818" spans="1:35" x14ac:dyDescent="0.25">
      <c r="A818" s="1">
        <v>12</v>
      </c>
      <c r="B818" s="1">
        <v>12</v>
      </c>
      <c r="C818" s="1">
        <v>2019</v>
      </c>
      <c r="G818" s="1" t="s">
        <v>38</v>
      </c>
      <c r="H818" s="2">
        <v>5.31</v>
      </c>
      <c r="I818" s="1">
        <v>9</v>
      </c>
      <c r="V818" s="1">
        <v>25</v>
      </c>
      <c r="X818" s="1">
        <v>15</v>
      </c>
      <c r="AA818" s="1">
        <v>2</v>
      </c>
      <c r="AB818" s="1">
        <v>5</v>
      </c>
      <c r="AC818" s="1">
        <v>787</v>
      </c>
      <c r="AF818" s="3">
        <v>1.6949152542372883</v>
      </c>
      <c r="AG818" s="3">
        <v>1.8985331137465664</v>
      </c>
      <c r="AH818" s="1">
        <v>6258</v>
      </c>
      <c r="AI818" s="1" t="b">
        <v>1</v>
      </c>
    </row>
    <row r="819" spans="1:35" x14ac:dyDescent="0.25">
      <c r="A819" s="1">
        <v>12</v>
      </c>
      <c r="B819" s="1">
        <v>12</v>
      </c>
      <c r="C819" s="1">
        <v>2019</v>
      </c>
      <c r="G819" s="1" t="s">
        <v>38</v>
      </c>
      <c r="H819" s="2">
        <v>11.01</v>
      </c>
      <c r="I819" s="1">
        <v>29</v>
      </c>
      <c r="V819" s="1">
        <v>40</v>
      </c>
      <c r="X819" s="1">
        <v>35</v>
      </c>
      <c r="AA819" s="1">
        <v>3</v>
      </c>
      <c r="AB819" s="1">
        <v>2</v>
      </c>
      <c r="AC819" s="1">
        <v>1567</v>
      </c>
      <c r="AF819" s="3">
        <v>2.6339691189827432</v>
      </c>
      <c r="AG819" s="3">
        <v>2.0353562932801612</v>
      </c>
      <c r="AH819" s="1">
        <v>6258</v>
      </c>
      <c r="AI819" s="1" t="b">
        <v>1</v>
      </c>
    </row>
    <row r="820" spans="1:35" x14ac:dyDescent="0.25">
      <c r="A820" s="1">
        <v>12</v>
      </c>
      <c r="B820" s="1">
        <v>12</v>
      </c>
      <c r="C820" s="1">
        <v>2019</v>
      </c>
      <c r="G820" s="1" t="s">
        <v>38</v>
      </c>
      <c r="H820" s="2">
        <v>3.5</v>
      </c>
      <c r="I820" s="1">
        <v>11</v>
      </c>
      <c r="U820" s="1">
        <v>13</v>
      </c>
      <c r="X820" s="1">
        <v>11</v>
      </c>
      <c r="AA820" s="1">
        <v>1</v>
      </c>
      <c r="AB820" s="1">
        <v>1</v>
      </c>
      <c r="AC820" s="1">
        <v>479</v>
      </c>
      <c r="AF820" s="3">
        <v>3.1428571428571428</v>
      </c>
      <c r="AG820" s="3">
        <v>0.76475617124758355</v>
      </c>
      <c r="AH820" s="1">
        <v>6258</v>
      </c>
      <c r="AI820" s="1" t="b">
        <v>1</v>
      </c>
    </row>
    <row r="821" spans="1:35" x14ac:dyDescent="0.25">
      <c r="A821" s="1">
        <v>12</v>
      </c>
      <c r="B821" s="1">
        <v>12</v>
      </c>
      <c r="C821" s="1">
        <v>2019</v>
      </c>
      <c r="G821" s="1" t="s">
        <v>38</v>
      </c>
      <c r="H821" s="2">
        <v>7.95</v>
      </c>
      <c r="I821" s="1">
        <v>18</v>
      </c>
      <c r="U821" s="1">
        <v>26</v>
      </c>
      <c r="X821" s="1">
        <v>22</v>
      </c>
      <c r="AA821" s="1">
        <v>2</v>
      </c>
      <c r="AB821" s="1">
        <v>2</v>
      </c>
      <c r="AC821" s="1">
        <v>1143</v>
      </c>
      <c r="AF821" s="3">
        <v>2.2641509433962264</v>
      </c>
      <c r="AG821" s="3">
        <v>1.8851747474796612</v>
      </c>
      <c r="AH821" s="1">
        <v>6258</v>
      </c>
      <c r="AI821" s="1" t="b">
        <v>1</v>
      </c>
    </row>
    <row r="822" spans="1:35" x14ac:dyDescent="0.25">
      <c r="A822" s="1">
        <v>13</v>
      </c>
      <c r="B822" s="1">
        <v>12</v>
      </c>
      <c r="C822" s="1">
        <v>2019</v>
      </c>
      <c r="G822" s="1" t="s">
        <v>38</v>
      </c>
      <c r="H822" s="2">
        <v>4.95</v>
      </c>
      <c r="I822" s="1">
        <v>12</v>
      </c>
      <c r="U822" s="1">
        <v>16</v>
      </c>
      <c r="X822" s="1">
        <v>15</v>
      </c>
      <c r="AA822" s="1">
        <v>2</v>
      </c>
      <c r="AB822" s="1">
        <v>3</v>
      </c>
      <c r="AC822" s="1">
        <v>740</v>
      </c>
      <c r="AF822" s="3">
        <v>2.4242424242424243</v>
      </c>
      <c r="AG822" s="3">
        <v>1.2637104945874729</v>
      </c>
      <c r="AH822" s="1">
        <v>6258</v>
      </c>
      <c r="AI822" s="1" t="b">
        <v>1</v>
      </c>
    </row>
    <row r="823" spans="1:35" x14ac:dyDescent="0.25">
      <c r="A823" s="1">
        <v>13</v>
      </c>
      <c r="B823" s="1">
        <v>12</v>
      </c>
      <c r="C823" s="1">
        <v>2019</v>
      </c>
      <c r="G823" s="1" t="s">
        <v>38</v>
      </c>
      <c r="H823" s="2">
        <v>8.0299999999999994</v>
      </c>
      <c r="I823" s="1">
        <v>22</v>
      </c>
      <c r="V823" s="1">
        <v>35</v>
      </c>
      <c r="X823" s="1">
        <v>26</v>
      </c>
      <c r="AA823" s="1">
        <v>4</v>
      </c>
      <c r="AB823" s="1">
        <v>3</v>
      </c>
      <c r="AC823" s="1">
        <v>1013</v>
      </c>
      <c r="AF823" s="3">
        <v>2.7397260273972606</v>
      </c>
      <c r="AG823" s="3">
        <v>1.5688945203355247</v>
      </c>
      <c r="AH823" s="1">
        <v>6258</v>
      </c>
      <c r="AI823" s="1" t="b">
        <v>1</v>
      </c>
    </row>
    <row r="824" spans="1:35" x14ac:dyDescent="0.25">
      <c r="A824" s="1">
        <v>13</v>
      </c>
      <c r="B824" s="1">
        <v>12</v>
      </c>
      <c r="C824" s="1">
        <v>2019</v>
      </c>
      <c r="G824" s="1" t="s">
        <v>38</v>
      </c>
      <c r="H824" s="2">
        <v>6.68</v>
      </c>
      <c r="I824" s="1">
        <v>17</v>
      </c>
      <c r="V824" s="1">
        <v>33</v>
      </c>
      <c r="X824" s="1">
        <v>21</v>
      </c>
      <c r="AA824" s="1">
        <v>3</v>
      </c>
      <c r="AB824" s="1">
        <v>2</v>
      </c>
      <c r="AC824" s="1">
        <v>822</v>
      </c>
      <c r="AF824" s="3">
        <v>2.5449101796407185</v>
      </c>
      <c r="AG824" s="3">
        <v>1.4848106189215193</v>
      </c>
      <c r="AH824" s="1">
        <v>6258</v>
      </c>
      <c r="AI824" s="1" t="b">
        <v>1</v>
      </c>
    </row>
    <row r="825" spans="1:35" x14ac:dyDescent="0.25">
      <c r="A825" s="1">
        <v>13</v>
      </c>
      <c r="B825" s="1">
        <v>12</v>
      </c>
      <c r="C825" s="1">
        <v>2019</v>
      </c>
      <c r="G825" s="1" t="s">
        <v>38</v>
      </c>
      <c r="H825" s="2">
        <v>10.8</v>
      </c>
      <c r="I825" s="1">
        <v>19</v>
      </c>
      <c r="V825" s="1">
        <v>41</v>
      </c>
      <c r="X825" s="1">
        <v>30</v>
      </c>
      <c r="AA825" s="1">
        <v>4</v>
      </c>
      <c r="AB825" s="1">
        <v>6</v>
      </c>
      <c r="AC825" s="1">
        <v>1158</v>
      </c>
      <c r="AF825" s="3">
        <v>1.7592592592592591</v>
      </c>
      <c r="AG825" s="3">
        <v>3.0065385957626631</v>
      </c>
      <c r="AH825" s="1">
        <v>6258</v>
      </c>
      <c r="AI825" s="1" t="b">
        <v>1</v>
      </c>
    </row>
    <row r="826" spans="1:35" x14ac:dyDescent="0.25">
      <c r="A826" s="1">
        <v>13</v>
      </c>
      <c r="B826" s="1">
        <v>12</v>
      </c>
      <c r="C826" s="1">
        <v>2019</v>
      </c>
      <c r="G826" s="1" t="s">
        <v>38</v>
      </c>
      <c r="H826" s="2">
        <v>3.98</v>
      </c>
      <c r="I826" s="1">
        <v>12</v>
      </c>
      <c r="U826" s="1">
        <v>19</v>
      </c>
      <c r="X826" s="1">
        <v>16</v>
      </c>
      <c r="AA826" s="1">
        <v>2</v>
      </c>
      <c r="AB826" s="1">
        <v>3</v>
      </c>
      <c r="AC826" s="1">
        <v>755</v>
      </c>
      <c r="AF826" s="3">
        <v>3.0150753768844223</v>
      </c>
      <c r="AG826" s="3">
        <v>0.87220782069421443</v>
      </c>
      <c r="AH826" s="1">
        <v>6258</v>
      </c>
      <c r="AI826" s="1" t="b">
        <v>1</v>
      </c>
    </row>
    <row r="827" spans="1:35" x14ac:dyDescent="0.25">
      <c r="A827" s="1">
        <v>13</v>
      </c>
      <c r="B827" s="1">
        <v>12</v>
      </c>
      <c r="C827" s="1">
        <v>2019</v>
      </c>
      <c r="G827" s="1" t="s">
        <v>38</v>
      </c>
      <c r="H827" s="2">
        <v>4</v>
      </c>
      <c r="I827" s="1">
        <v>11</v>
      </c>
      <c r="U827" s="1">
        <v>16</v>
      </c>
      <c r="X827" s="1">
        <v>12</v>
      </c>
      <c r="AA827" s="1">
        <v>2</v>
      </c>
      <c r="AB827" s="1">
        <v>3</v>
      </c>
      <c r="AC827" s="1">
        <v>696</v>
      </c>
      <c r="AF827" s="3">
        <v>2.75</v>
      </c>
      <c r="AG827" s="3">
        <v>0.9596421169257412</v>
      </c>
      <c r="AH827" s="1">
        <v>6258</v>
      </c>
      <c r="AI827" s="1" t="b">
        <v>1</v>
      </c>
    </row>
    <row r="828" spans="1:35" x14ac:dyDescent="0.25">
      <c r="A828" s="1">
        <v>13</v>
      </c>
      <c r="B828" s="1">
        <v>12</v>
      </c>
      <c r="C828" s="1">
        <v>2019</v>
      </c>
      <c r="G828" s="1" t="s">
        <v>38</v>
      </c>
      <c r="H828" s="2">
        <v>6.31</v>
      </c>
      <c r="I828" s="1">
        <v>17</v>
      </c>
      <c r="U828" s="1">
        <v>18</v>
      </c>
      <c r="X828" s="1">
        <v>17</v>
      </c>
      <c r="AA828" s="1">
        <v>1</v>
      </c>
      <c r="AB828" s="1">
        <v>2</v>
      </c>
      <c r="AC828" s="1">
        <v>713</v>
      </c>
      <c r="AF828" s="3">
        <v>2.6941362916006342</v>
      </c>
      <c r="AG828" s="3">
        <v>1.3477240840065281</v>
      </c>
      <c r="AH828" s="1">
        <v>6258</v>
      </c>
      <c r="AI828" s="1" t="b">
        <v>1</v>
      </c>
    </row>
    <row r="829" spans="1:35" x14ac:dyDescent="0.25">
      <c r="A829" s="1">
        <v>13</v>
      </c>
      <c r="B829" s="1">
        <v>12</v>
      </c>
      <c r="C829" s="1">
        <v>2019</v>
      </c>
      <c r="G829" s="1" t="s">
        <v>38</v>
      </c>
      <c r="H829" s="2">
        <v>8.19</v>
      </c>
      <c r="I829" s="1">
        <v>18</v>
      </c>
      <c r="V829" s="1">
        <v>30</v>
      </c>
      <c r="X829" s="1">
        <v>25</v>
      </c>
      <c r="AA829" s="1">
        <v>3</v>
      </c>
      <c r="AB829" s="1">
        <v>3</v>
      </c>
      <c r="AC829" s="1">
        <v>832</v>
      </c>
      <c r="AF829" s="3">
        <v>2.197802197802198</v>
      </c>
      <c r="AG829" s="3">
        <v>1.9829425313841098</v>
      </c>
      <c r="AH829" s="1">
        <v>6258</v>
      </c>
      <c r="AI829" s="1" t="b">
        <v>1</v>
      </c>
    </row>
    <row r="830" spans="1:35" x14ac:dyDescent="0.25">
      <c r="A830" s="1">
        <v>13</v>
      </c>
      <c r="B830" s="1">
        <v>12</v>
      </c>
      <c r="C830" s="1">
        <v>2019</v>
      </c>
      <c r="G830" s="1" t="s">
        <v>38</v>
      </c>
      <c r="H830" s="2">
        <v>10.93</v>
      </c>
      <c r="I830" s="1">
        <v>24</v>
      </c>
      <c r="V830" s="1">
        <v>38</v>
      </c>
      <c r="X830" s="1">
        <v>28</v>
      </c>
      <c r="AA830" s="1">
        <v>3</v>
      </c>
      <c r="AB830" s="1">
        <v>3</v>
      </c>
      <c r="AC830" s="1">
        <v>1109</v>
      </c>
      <c r="AF830" s="3">
        <v>2.1957913998170175</v>
      </c>
      <c r="AG830" s="3">
        <v>2.4290867978637087</v>
      </c>
      <c r="AH830" s="1">
        <v>6258</v>
      </c>
      <c r="AI830" s="1" t="b">
        <v>1</v>
      </c>
    </row>
    <row r="831" spans="1:35" x14ac:dyDescent="0.25">
      <c r="A831" s="1">
        <v>14</v>
      </c>
      <c r="B831" s="1">
        <v>12</v>
      </c>
      <c r="C831" s="1">
        <v>2019</v>
      </c>
      <c r="G831" s="1" t="s">
        <v>38</v>
      </c>
      <c r="H831" s="2">
        <v>6.13</v>
      </c>
      <c r="I831" s="1">
        <v>21</v>
      </c>
      <c r="U831" s="1">
        <v>27</v>
      </c>
      <c r="X831" s="1">
        <v>22</v>
      </c>
      <c r="AA831" s="1">
        <v>1</v>
      </c>
      <c r="AB831" s="1">
        <v>1</v>
      </c>
      <c r="AC831" s="1">
        <v>765</v>
      </c>
      <c r="AF831" s="3">
        <v>3.4257748776508974</v>
      </c>
      <c r="AG831" s="3">
        <v>1.0386363358076431</v>
      </c>
      <c r="AH831" s="1">
        <v>6258</v>
      </c>
      <c r="AI831" s="1" t="b">
        <v>1</v>
      </c>
    </row>
    <row r="832" spans="1:35" x14ac:dyDescent="0.25">
      <c r="A832" s="1">
        <v>14</v>
      </c>
      <c r="B832" s="1">
        <v>12</v>
      </c>
      <c r="C832" s="1">
        <v>2019</v>
      </c>
      <c r="G832" s="1" t="s">
        <v>38</v>
      </c>
      <c r="H832" s="2">
        <v>8.6</v>
      </c>
      <c r="I832" s="1">
        <v>31</v>
      </c>
      <c r="V832" s="1">
        <v>39</v>
      </c>
      <c r="X832" s="1">
        <v>29</v>
      </c>
      <c r="AA832" s="1">
        <v>1</v>
      </c>
      <c r="AB832" s="1">
        <v>1</v>
      </c>
      <c r="AC832" s="1">
        <v>987</v>
      </c>
      <c r="AF832" s="3">
        <v>3.6046511627906979</v>
      </c>
      <c r="AG832" s="3">
        <v>1.2510817049415557</v>
      </c>
      <c r="AH832" s="1">
        <v>6258</v>
      </c>
      <c r="AI832" s="1" t="b">
        <v>1</v>
      </c>
    </row>
    <row r="833" spans="1:35" x14ac:dyDescent="0.25">
      <c r="A833" s="1">
        <v>14</v>
      </c>
      <c r="B833" s="1">
        <v>12</v>
      </c>
      <c r="C833" s="1">
        <v>2019</v>
      </c>
      <c r="G833" s="1" t="s">
        <v>38</v>
      </c>
      <c r="H833" s="2">
        <v>7.07</v>
      </c>
      <c r="I833" s="1">
        <v>14</v>
      </c>
      <c r="V833" s="1">
        <v>25</v>
      </c>
      <c r="X833" s="1">
        <v>19</v>
      </c>
      <c r="AA833" s="1">
        <v>5</v>
      </c>
      <c r="AB833" s="1">
        <v>3</v>
      </c>
      <c r="AC833" s="1">
        <v>840</v>
      </c>
      <c r="AF833" s="3">
        <v>1.9801980198019802</v>
      </c>
      <c r="AG833" s="3">
        <v>1.9855689271140844</v>
      </c>
      <c r="AH833" s="1">
        <v>6258</v>
      </c>
      <c r="AI833" s="1" t="b">
        <v>1</v>
      </c>
    </row>
    <row r="834" spans="1:35" x14ac:dyDescent="0.25">
      <c r="A834" s="1">
        <v>14</v>
      </c>
      <c r="B834" s="1">
        <v>12</v>
      </c>
      <c r="C834" s="1">
        <v>2019</v>
      </c>
      <c r="G834" s="1" t="s">
        <v>38</v>
      </c>
      <c r="H834" s="2">
        <v>7.35</v>
      </c>
      <c r="I834" s="1">
        <v>16</v>
      </c>
      <c r="V834" s="1">
        <v>20</v>
      </c>
      <c r="X834" s="1">
        <v>17</v>
      </c>
      <c r="AA834" s="1">
        <v>3</v>
      </c>
      <c r="AB834" s="1">
        <v>4</v>
      </c>
      <c r="AC834" s="1">
        <v>860</v>
      </c>
      <c r="AF834" s="3">
        <v>2.1768707482993199</v>
      </c>
      <c r="AG834" s="3">
        <v>1.8559594948720777</v>
      </c>
      <c r="AH834" s="1">
        <v>6258</v>
      </c>
      <c r="AI834" s="1" t="b">
        <v>1</v>
      </c>
    </row>
    <row r="835" spans="1:35" x14ac:dyDescent="0.25">
      <c r="A835" s="1">
        <v>14</v>
      </c>
      <c r="B835" s="1">
        <v>12</v>
      </c>
      <c r="C835" s="1">
        <v>2019</v>
      </c>
      <c r="G835" s="1" t="s">
        <v>38</v>
      </c>
      <c r="H835" s="2">
        <v>5.93</v>
      </c>
      <c r="I835" s="1">
        <v>9</v>
      </c>
      <c r="V835" s="1">
        <v>20</v>
      </c>
      <c r="X835" s="1">
        <v>13</v>
      </c>
      <c r="AA835" s="1">
        <v>3</v>
      </c>
      <c r="AB835" s="1">
        <v>6</v>
      </c>
      <c r="AC835" s="1">
        <v>683</v>
      </c>
      <c r="AF835" s="3">
        <v>1.5177065767284992</v>
      </c>
      <c r="AG835" s="3">
        <v>2.2906063971935886</v>
      </c>
      <c r="AH835" s="1">
        <v>6258</v>
      </c>
      <c r="AI835" s="1" t="b">
        <v>1</v>
      </c>
    </row>
    <row r="836" spans="1:35" x14ac:dyDescent="0.25">
      <c r="A836" s="1">
        <v>14</v>
      </c>
      <c r="B836" s="1">
        <v>12</v>
      </c>
      <c r="C836" s="1">
        <v>2019</v>
      </c>
      <c r="G836" s="1" t="s">
        <v>38</v>
      </c>
      <c r="H836" s="2">
        <v>6.23</v>
      </c>
      <c r="I836" s="1">
        <v>20</v>
      </c>
      <c r="U836" s="1">
        <v>29</v>
      </c>
      <c r="X836" s="1">
        <v>25</v>
      </c>
      <c r="AA836" s="1">
        <v>3</v>
      </c>
      <c r="AB836" s="1">
        <v>4</v>
      </c>
      <c r="AC836" s="1">
        <v>953</v>
      </c>
      <c r="AF836" s="3">
        <v>3.2102728731942212</v>
      </c>
      <c r="AG836" s="3">
        <v>1.1209846963412664</v>
      </c>
      <c r="AH836" s="1">
        <v>6258</v>
      </c>
      <c r="AI836" s="1" t="b">
        <v>1</v>
      </c>
    </row>
    <row r="837" spans="1:35" x14ac:dyDescent="0.25">
      <c r="A837" s="1">
        <v>14</v>
      </c>
      <c r="B837" s="1">
        <v>12</v>
      </c>
      <c r="C837" s="1">
        <v>2019</v>
      </c>
      <c r="G837" s="1" t="s">
        <v>38</v>
      </c>
      <c r="H837" s="2">
        <v>6.55</v>
      </c>
      <c r="I837" s="1">
        <v>20</v>
      </c>
      <c r="U837" s="1">
        <v>33</v>
      </c>
      <c r="X837" s="1">
        <v>28</v>
      </c>
      <c r="AA837" s="1">
        <v>4</v>
      </c>
      <c r="AB837" s="1">
        <v>3</v>
      </c>
      <c r="AC837" s="1">
        <v>953</v>
      </c>
      <c r="AF837" s="3">
        <v>3.053435114503817</v>
      </c>
      <c r="AG837" s="3">
        <v>1.2206192486694711</v>
      </c>
      <c r="AH837" s="1">
        <v>6258</v>
      </c>
      <c r="AI837" s="1" t="b">
        <v>1</v>
      </c>
    </row>
    <row r="838" spans="1:35" x14ac:dyDescent="0.25">
      <c r="A838" s="1">
        <v>16</v>
      </c>
      <c r="B838" s="1">
        <v>12</v>
      </c>
      <c r="C838" s="1">
        <v>2019</v>
      </c>
      <c r="G838" s="1" t="s">
        <v>38</v>
      </c>
      <c r="H838" s="2">
        <v>5.15</v>
      </c>
      <c r="I838" s="1">
        <v>16</v>
      </c>
      <c r="U838" s="1">
        <v>25</v>
      </c>
      <c r="X838" s="1">
        <v>21</v>
      </c>
      <c r="AA838" s="1">
        <v>4</v>
      </c>
      <c r="AB838" s="1">
        <v>5</v>
      </c>
      <c r="AC838" s="1">
        <v>903</v>
      </c>
      <c r="AF838" s="3">
        <v>3.1067961165048543</v>
      </c>
      <c r="AG838" s="3">
        <v>1.0138000462827113</v>
      </c>
      <c r="AH838" s="1">
        <v>6259</v>
      </c>
      <c r="AI838" s="1" t="b">
        <v>1</v>
      </c>
    </row>
    <row r="839" spans="1:35" x14ac:dyDescent="0.25">
      <c r="A839" s="1">
        <v>16</v>
      </c>
      <c r="B839" s="1">
        <v>12</v>
      </c>
      <c r="C839" s="1">
        <v>2019</v>
      </c>
      <c r="G839" s="1" t="s">
        <v>38</v>
      </c>
      <c r="H839" s="2">
        <v>3.11</v>
      </c>
      <c r="I839" s="1">
        <v>7</v>
      </c>
      <c r="U839" s="1">
        <v>14</v>
      </c>
      <c r="X839" s="1">
        <v>12</v>
      </c>
      <c r="AA839" s="1">
        <v>2</v>
      </c>
      <c r="AB839" s="1">
        <v>3</v>
      </c>
      <c r="AC839" s="1">
        <v>626</v>
      </c>
      <c r="AF839" s="3">
        <v>2.2508038585209005</v>
      </c>
      <c r="AG839" s="3">
        <v>0.9830930397541936</v>
      </c>
      <c r="AH839" s="1">
        <v>6259</v>
      </c>
      <c r="AI839" s="1" t="b">
        <v>1</v>
      </c>
    </row>
    <row r="840" spans="1:35" x14ac:dyDescent="0.25">
      <c r="A840" s="1">
        <v>16</v>
      </c>
      <c r="B840" s="1">
        <v>12</v>
      </c>
      <c r="C840" s="1">
        <v>2019</v>
      </c>
      <c r="G840" s="1" t="s">
        <v>38</v>
      </c>
      <c r="H840" s="2">
        <v>5.12</v>
      </c>
      <c r="I840" s="1">
        <v>15</v>
      </c>
      <c r="U840" s="1">
        <v>21</v>
      </c>
      <c r="X840" s="1">
        <v>17</v>
      </c>
      <c r="AA840" s="1">
        <v>2</v>
      </c>
      <c r="AB840" s="1">
        <v>3</v>
      </c>
      <c r="AC840" s="1">
        <v>649</v>
      </c>
      <c r="AF840" s="3">
        <v>2.9296875</v>
      </c>
      <c r="AG840" s="3">
        <v>1.0706996842539469</v>
      </c>
      <c r="AH840" s="1">
        <v>6259</v>
      </c>
      <c r="AI840" s="1" t="b">
        <v>1</v>
      </c>
    </row>
    <row r="841" spans="1:35" x14ac:dyDescent="0.25">
      <c r="A841" s="1">
        <v>16</v>
      </c>
      <c r="B841" s="1">
        <v>12</v>
      </c>
      <c r="C841" s="1">
        <v>2019</v>
      </c>
      <c r="G841" s="1" t="s">
        <v>38</v>
      </c>
      <c r="H841" s="2">
        <v>6.64</v>
      </c>
      <c r="I841" s="1">
        <v>18</v>
      </c>
      <c r="U841" s="1">
        <v>34</v>
      </c>
      <c r="X841" s="1">
        <v>27</v>
      </c>
      <c r="AA841" s="1">
        <v>4</v>
      </c>
      <c r="AB841" s="1">
        <v>2</v>
      </c>
      <c r="AC841" s="1">
        <v>1000</v>
      </c>
      <c r="AF841" s="3">
        <v>2.7108433734939759</v>
      </c>
      <c r="AG841" s="3">
        <v>1.3880759505916851</v>
      </c>
      <c r="AH841" s="1">
        <v>6259</v>
      </c>
      <c r="AI841" s="1" t="b">
        <v>1</v>
      </c>
    </row>
    <row r="842" spans="1:35" x14ac:dyDescent="0.25">
      <c r="A842" s="1">
        <v>16</v>
      </c>
      <c r="B842" s="1">
        <v>12</v>
      </c>
      <c r="C842" s="1">
        <v>2019</v>
      </c>
      <c r="G842" s="1" t="s">
        <v>38</v>
      </c>
      <c r="H842" s="2">
        <v>9.65</v>
      </c>
      <c r="I842" s="1">
        <v>38</v>
      </c>
      <c r="U842" s="1">
        <v>46</v>
      </c>
      <c r="X842" s="1">
        <v>42</v>
      </c>
      <c r="AA842" s="1">
        <v>2</v>
      </c>
      <c r="AB842" s="1">
        <v>3</v>
      </c>
      <c r="AC842" s="1">
        <v>1406</v>
      </c>
      <c r="AF842" s="3">
        <v>3.937823834196891</v>
      </c>
      <c r="AG842" s="3">
        <v>1.24140313003604</v>
      </c>
      <c r="AH842" s="1">
        <v>6259</v>
      </c>
      <c r="AI842" s="1" t="b">
        <v>1</v>
      </c>
    </row>
    <row r="843" spans="1:35" x14ac:dyDescent="0.25">
      <c r="A843" s="1">
        <v>16</v>
      </c>
      <c r="B843" s="1">
        <v>12</v>
      </c>
      <c r="C843" s="1">
        <v>2019</v>
      </c>
      <c r="G843" s="1" t="s">
        <v>38</v>
      </c>
      <c r="H843" s="2">
        <v>5.0199999999999996</v>
      </c>
      <c r="I843" s="1">
        <v>11</v>
      </c>
      <c r="U843" s="1">
        <v>22</v>
      </c>
      <c r="X843" s="1">
        <v>17</v>
      </c>
      <c r="AA843" s="1">
        <v>3</v>
      </c>
      <c r="AB843" s="1">
        <v>2</v>
      </c>
      <c r="AC843" s="1">
        <v>703</v>
      </c>
      <c r="AF843" s="3">
        <v>2.1912350597609564</v>
      </c>
      <c r="AG843" s="3">
        <v>1.4118990109142333</v>
      </c>
      <c r="AH843" s="1">
        <v>6259</v>
      </c>
      <c r="AI843" s="1" t="b">
        <v>1</v>
      </c>
    </row>
    <row r="844" spans="1:35" x14ac:dyDescent="0.25">
      <c r="A844" s="1">
        <v>16</v>
      </c>
      <c r="B844" s="1">
        <v>12</v>
      </c>
      <c r="C844" s="1">
        <v>2019</v>
      </c>
      <c r="G844" s="1" t="s">
        <v>38</v>
      </c>
      <c r="H844" s="2">
        <v>5.3</v>
      </c>
      <c r="I844" s="1">
        <v>10</v>
      </c>
      <c r="U844" s="1">
        <v>20</v>
      </c>
      <c r="X844" s="1">
        <v>17</v>
      </c>
      <c r="AA844" s="1">
        <v>3</v>
      </c>
      <c r="AB844" s="1">
        <v>5</v>
      </c>
      <c r="AC844" s="1">
        <v>912</v>
      </c>
      <c r="AF844" s="3">
        <v>1.8867924528301887</v>
      </c>
      <c r="AG844" s="3">
        <v>1.7032130590934451</v>
      </c>
      <c r="AH844" s="1">
        <v>6259</v>
      </c>
      <c r="AI844" s="1" t="b">
        <v>1</v>
      </c>
    </row>
    <row r="845" spans="1:35" x14ac:dyDescent="0.25">
      <c r="A845" s="1">
        <v>16</v>
      </c>
      <c r="B845" s="1">
        <v>12</v>
      </c>
      <c r="C845" s="1">
        <v>2019</v>
      </c>
      <c r="G845" s="1" t="s">
        <v>38</v>
      </c>
      <c r="H845" s="2">
        <v>4.99</v>
      </c>
      <c r="I845" s="1">
        <v>11</v>
      </c>
      <c r="U845" s="1">
        <v>20</v>
      </c>
      <c r="X845" s="1">
        <v>16</v>
      </c>
      <c r="AA845" s="1">
        <v>3</v>
      </c>
      <c r="AB845" s="1">
        <v>3</v>
      </c>
      <c r="AC845" s="1">
        <v>788</v>
      </c>
      <c r="AF845" s="3">
        <v>2.2044088176352705</v>
      </c>
      <c r="AG845" s="3">
        <v>1.3975850373210319</v>
      </c>
      <c r="AH845" s="1">
        <v>6259</v>
      </c>
      <c r="AI845" s="1" t="b">
        <v>1</v>
      </c>
    </row>
    <row r="846" spans="1:35" x14ac:dyDescent="0.25">
      <c r="A846" s="1">
        <v>16</v>
      </c>
      <c r="B846" s="1">
        <v>12</v>
      </c>
      <c r="C846" s="1">
        <v>2019</v>
      </c>
      <c r="G846" s="1" t="s">
        <v>38</v>
      </c>
      <c r="H846" s="2">
        <v>5.94</v>
      </c>
      <c r="I846" s="1">
        <v>18</v>
      </c>
      <c r="U846" s="1">
        <v>28</v>
      </c>
      <c r="X846" s="1">
        <v>25</v>
      </c>
      <c r="AA846" s="1">
        <v>3</v>
      </c>
      <c r="AB846" s="1">
        <v>3</v>
      </c>
      <c r="AC846" s="1">
        <v>982</v>
      </c>
      <c r="AF846" s="3">
        <v>3.0303030303030303</v>
      </c>
      <c r="AG846" s="3">
        <v>1.1485884674161424</v>
      </c>
      <c r="AH846" s="1">
        <v>6259</v>
      </c>
      <c r="AI846" s="1" t="b">
        <v>1</v>
      </c>
    </row>
    <row r="847" spans="1:35" x14ac:dyDescent="0.25">
      <c r="A847" s="1">
        <v>16</v>
      </c>
      <c r="B847" s="1">
        <v>12</v>
      </c>
      <c r="C847" s="1">
        <v>2019</v>
      </c>
      <c r="G847" s="1" t="s">
        <v>38</v>
      </c>
      <c r="H847" s="2">
        <v>3.91</v>
      </c>
      <c r="I847" s="1">
        <v>8</v>
      </c>
      <c r="U847" s="1">
        <v>16</v>
      </c>
      <c r="X847" s="1">
        <v>13</v>
      </c>
      <c r="AA847" s="1">
        <v>3</v>
      </c>
      <c r="AB847" s="1">
        <v>1</v>
      </c>
      <c r="AC847" s="1">
        <v>532</v>
      </c>
      <c r="AF847" s="3">
        <v>2.0460358056265986</v>
      </c>
      <c r="AG847" s="3">
        <v>1.2694350946035076</v>
      </c>
      <c r="AH847" s="1">
        <v>6259</v>
      </c>
      <c r="AI847" s="1" t="b">
        <v>1</v>
      </c>
    </row>
    <row r="848" spans="1:35" x14ac:dyDescent="0.25">
      <c r="A848" s="1">
        <v>16</v>
      </c>
      <c r="B848" s="1">
        <v>12</v>
      </c>
      <c r="C848" s="1">
        <v>2019</v>
      </c>
      <c r="G848" s="1" t="s">
        <v>38</v>
      </c>
      <c r="H848" s="2">
        <v>7.18</v>
      </c>
      <c r="I848" s="1">
        <v>18</v>
      </c>
      <c r="U848" s="1">
        <v>35</v>
      </c>
      <c r="X848" s="1">
        <v>31</v>
      </c>
      <c r="AA848" s="1">
        <v>5</v>
      </c>
      <c r="AB848" s="1">
        <v>3</v>
      </c>
      <c r="AC848" s="1">
        <v>1195</v>
      </c>
      <c r="AF848" s="3">
        <v>2.5069637883008355</v>
      </c>
      <c r="AG848" s="3">
        <v>1.5854007164188668</v>
      </c>
      <c r="AH848" s="1">
        <v>6259</v>
      </c>
      <c r="AI848" s="1" t="b">
        <v>1</v>
      </c>
    </row>
    <row r="849" spans="1:35" x14ac:dyDescent="0.25">
      <c r="A849" s="1">
        <v>16</v>
      </c>
      <c r="B849" s="1">
        <v>12</v>
      </c>
      <c r="C849" s="1">
        <v>2019</v>
      </c>
      <c r="G849" s="1" t="s">
        <v>38</v>
      </c>
      <c r="H849" s="2">
        <v>4.1900000000000004</v>
      </c>
      <c r="I849" s="1">
        <v>12</v>
      </c>
      <c r="U849" s="1">
        <v>14</v>
      </c>
      <c r="X849" s="1">
        <v>12</v>
      </c>
      <c r="AA849" s="1">
        <v>1</v>
      </c>
      <c r="AB849" s="1">
        <v>1</v>
      </c>
      <c r="AC849" s="1">
        <v>613</v>
      </c>
      <c r="AF849" s="3">
        <v>2.8639618138424821</v>
      </c>
      <c r="AG849" s="3">
        <v>0.95188085712629122</v>
      </c>
      <c r="AH849" s="1">
        <v>6259</v>
      </c>
      <c r="AI849" s="1" t="b">
        <v>1</v>
      </c>
    </row>
    <row r="850" spans="1:35" x14ac:dyDescent="0.25">
      <c r="A850" s="1">
        <v>16</v>
      </c>
      <c r="B850" s="1">
        <v>12</v>
      </c>
      <c r="C850" s="1">
        <v>2019</v>
      </c>
      <c r="G850" s="1" t="s">
        <v>38</v>
      </c>
      <c r="H850" s="2">
        <v>5.54</v>
      </c>
      <c r="I850" s="1">
        <v>18</v>
      </c>
      <c r="U850" s="1">
        <v>21</v>
      </c>
      <c r="X850" s="1">
        <v>19</v>
      </c>
      <c r="AA850" s="1">
        <v>1</v>
      </c>
      <c r="AB850" s="1">
        <v>1</v>
      </c>
      <c r="AC850" s="1">
        <v>866</v>
      </c>
      <c r="AF850" s="3">
        <v>3.2490974729241877</v>
      </c>
      <c r="AG850" s="3">
        <v>1.0202206152751909</v>
      </c>
      <c r="AH850" s="1">
        <v>6259</v>
      </c>
      <c r="AI850" s="1" t="b">
        <v>1</v>
      </c>
    </row>
    <row r="851" spans="1:35" x14ac:dyDescent="0.25">
      <c r="A851" s="1">
        <v>16</v>
      </c>
      <c r="B851" s="1">
        <v>12</v>
      </c>
      <c r="C851" s="1">
        <v>2019</v>
      </c>
      <c r="G851" s="1" t="s">
        <v>38</v>
      </c>
      <c r="H851" s="2">
        <v>8.73</v>
      </c>
      <c r="I851" s="1">
        <v>31</v>
      </c>
      <c r="U851" s="1">
        <v>39</v>
      </c>
      <c r="X851" s="1">
        <v>36</v>
      </c>
      <c r="AA851" s="1">
        <v>3</v>
      </c>
      <c r="AB851" s="1">
        <v>2</v>
      </c>
      <c r="AC851" s="1">
        <v>1452</v>
      </c>
      <c r="AF851" s="3">
        <v>3.5509736540664374</v>
      </c>
      <c r="AG851" s="3">
        <v>1.2834014347497824</v>
      </c>
      <c r="AH851" s="1">
        <v>6259</v>
      </c>
      <c r="AI851" s="1" t="b">
        <v>1</v>
      </c>
    </row>
    <row r="852" spans="1:35" x14ac:dyDescent="0.25">
      <c r="A852" s="1">
        <v>16</v>
      </c>
      <c r="B852" s="1">
        <v>12</v>
      </c>
      <c r="C852" s="1">
        <v>2019</v>
      </c>
      <c r="G852" s="1" t="s">
        <v>38</v>
      </c>
      <c r="H852" s="2">
        <v>4.3499999999999996</v>
      </c>
      <c r="I852" s="1">
        <v>9</v>
      </c>
      <c r="U852" s="1">
        <v>24</v>
      </c>
      <c r="X852" s="1">
        <v>17</v>
      </c>
      <c r="AA852" s="1">
        <v>3</v>
      </c>
      <c r="AB852" s="1">
        <v>2</v>
      </c>
      <c r="AC852" s="1">
        <v>816</v>
      </c>
      <c r="AF852" s="3">
        <v>2.0689655172413794</v>
      </c>
      <c r="AG852" s="3">
        <v>1.3526618060020188</v>
      </c>
      <c r="AH852" s="1">
        <v>6259</v>
      </c>
      <c r="AI852" s="1" t="b">
        <v>1</v>
      </c>
    </row>
    <row r="853" spans="1:35" x14ac:dyDescent="0.25">
      <c r="A853" s="1">
        <v>16</v>
      </c>
      <c r="B853" s="1">
        <v>12</v>
      </c>
      <c r="C853" s="1">
        <v>2019</v>
      </c>
      <c r="G853" s="1" t="s">
        <v>38</v>
      </c>
      <c r="H853" s="2">
        <v>4.41</v>
      </c>
      <c r="I853" s="1">
        <v>15</v>
      </c>
      <c r="U853" s="1">
        <v>20</v>
      </c>
      <c r="X853" s="1">
        <v>18</v>
      </c>
      <c r="AA853" s="1">
        <v>2</v>
      </c>
      <c r="AB853" s="1">
        <v>3</v>
      </c>
      <c r="AC853" s="1">
        <v>691</v>
      </c>
      <c r="AF853" s="3">
        <v>3.4013605442176869</v>
      </c>
      <c r="AG853" s="3">
        <v>0.83071938138314472</v>
      </c>
      <c r="AH853" s="1">
        <v>6259</v>
      </c>
      <c r="AI853" s="1" t="b">
        <v>1</v>
      </c>
    </row>
    <row r="854" spans="1:35" x14ac:dyDescent="0.25">
      <c r="A854" s="1">
        <v>16</v>
      </c>
      <c r="B854" s="1">
        <v>12</v>
      </c>
      <c r="C854" s="1">
        <v>2019</v>
      </c>
      <c r="G854" s="1" t="s">
        <v>38</v>
      </c>
      <c r="H854" s="2">
        <v>6.11</v>
      </c>
      <c r="I854" s="1">
        <v>15</v>
      </c>
      <c r="U854" s="1">
        <v>19</v>
      </c>
      <c r="X854" s="1">
        <v>16</v>
      </c>
      <c r="AA854" s="1">
        <v>2</v>
      </c>
      <c r="AB854" s="1">
        <v>3</v>
      </c>
      <c r="AC854" s="1">
        <v>883</v>
      </c>
      <c r="AF854" s="3">
        <v>2.4549918166939442</v>
      </c>
      <c r="AG854" s="3">
        <v>1.4460349785458655</v>
      </c>
      <c r="AH854" s="1">
        <v>6259</v>
      </c>
      <c r="AI854" s="1" t="b">
        <v>1</v>
      </c>
    </row>
    <row r="855" spans="1:35" x14ac:dyDescent="0.25">
      <c r="A855" s="1">
        <v>16</v>
      </c>
      <c r="B855" s="1">
        <v>12</v>
      </c>
      <c r="C855" s="1">
        <v>2019</v>
      </c>
      <c r="G855" s="1" t="s">
        <v>38</v>
      </c>
      <c r="H855" s="2">
        <v>6.9</v>
      </c>
      <c r="I855" s="1">
        <v>17</v>
      </c>
      <c r="V855" s="1">
        <v>29</v>
      </c>
      <c r="X855" s="1">
        <v>26</v>
      </c>
      <c r="AA855" s="1">
        <v>5</v>
      </c>
      <c r="AB855" s="1">
        <v>3</v>
      </c>
      <c r="AC855" s="1">
        <v>947</v>
      </c>
      <c r="AF855" s="3">
        <v>2.4637681159420288</v>
      </c>
      <c r="AG855" s="3">
        <v>1.5688973623871083</v>
      </c>
      <c r="AH855" s="1">
        <v>6259</v>
      </c>
      <c r="AI855" s="1" t="b">
        <v>1</v>
      </c>
    </row>
    <row r="856" spans="1:35" x14ac:dyDescent="0.25">
      <c r="A856" s="1">
        <v>16</v>
      </c>
      <c r="B856" s="1">
        <v>12</v>
      </c>
      <c r="C856" s="1">
        <v>2019</v>
      </c>
      <c r="G856" s="1" t="s">
        <v>38</v>
      </c>
      <c r="H856" s="2">
        <v>6.32</v>
      </c>
      <c r="I856" s="1">
        <v>12</v>
      </c>
      <c r="V856" s="1">
        <v>28</v>
      </c>
      <c r="X856" s="1">
        <v>19</v>
      </c>
      <c r="AA856" s="1">
        <v>4</v>
      </c>
      <c r="AB856" s="1">
        <v>2</v>
      </c>
      <c r="AC856" s="1">
        <v>852</v>
      </c>
      <c r="AF856" s="3">
        <v>1.8987341772151898</v>
      </c>
      <c r="AG856" s="3">
        <v>1.9144224875740041</v>
      </c>
      <c r="AH856" s="1">
        <v>6259</v>
      </c>
      <c r="AI856" s="1" t="b">
        <v>1</v>
      </c>
    </row>
    <row r="857" spans="1:35" x14ac:dyDescent="0.25">
      <c r="A857" s="1">
        <v>16</v>
      </c>
      <c r="B857" s="1">
        <v>12</v>
      </c>
      <c r="C857" s="1">
        <v>2019</v>
      </c>
      <c r="G857" s="1" t="s">
        <v>38</v>
      </c>
      <c r="H857" s="2">
        <v>4.54</v>
      </c>
      <c r="I857" s="1">
        <v>10</v>
      </c>
      <c r="V857" s="1">
        <v>16</v>
      </c>
      <c r="X857" s="1">
        <v>14</v>
      </c>
      <c r="AA857" s="1">
        <v>2</v>
      </c>
      <c r="AB857" s="1">
        <v>3</v>
      </c>
      <c r="AC857" s="1">
        <v>521</v>
      </c>
      <c r="AF857" s="3">
        <v>2.2026431718061672</v>
      </c>
      <c r="AG857" s="3">
        <v>1.3091666994180386</v>
      </c>
      <c r="AH857" s="1">
        <v>6259</v>
      </c>
      <c r="AI857" s="1" t="b">
        <v>1</v>
      </c>
    </row>
    <row r="858" spans="1:35" x14ac:dyDescent="0.25">
      <c r="A858" s="1">
        <v>16</v>
      </c>
      <c r="B858" s="1">
        <v>12</v>
      </c>
      <c r="C858" s="1">
        <v>2019</v>
      </c>
      <c r="G858" s="1" t="s">
        <v>38</v>
      </c>
      <c r="H858" s="2">
        <v>8.49</v>
      </c>
      <c r="I858" s="1">
        <v>22</v>
      </c>
      <c r="U858" s="1">
        <v>34</v>
      </c>
      <c r="X858" s="1">
        <v>27</v>
      </c>
      <c r="AA858" s="1">
        <v>3</v>
      </c>
      <c r="AB858" s="1">
        <v>2</v>
      </c>
      <c r="AC858" s="1">
        <v>1302</v>
      </c>
      <c r="AF858" s="3">
        <v>2.5912838633686688</v>
      </c>
      <c r="AG858" s="3">
        <v>1.7247271209068755</v>
      </c>
      <c r="AH858" s="1">
        <v>6259</v>
      </c>
      <c r="AI858" s="1" t="b">
        <v>1</v>
      </c>
    </row>
    <row r="859" spans="1:35" x14ac:dyDescent="0.25">
      <c r="A859" s="1">
        <v>16</v>
      </c>
      <c r="B859" s="1">
        <v>12</v>
      </c>
      <c r="C859" s="1">
        <v>2019</v>
      </c>
      <c r="G859" s="1" t="s">
        <v>38</v>
      </c>
      <c r="H859" s="2">
        <v>4.97</v>
      </c>
      <c r="I859" s="1">
        <v>17</v>
      </c>
      <c r="U859" s="1">
        <v>24</v>
      </c>
      <c r="X859" s="1">
        <v>20</v>
      </c>
      <c r="AA859" s="1">
        <v>2</v>
      </c>
      <c r="AB859" s="1">
        <v>1</v>
      </c>
      <c r="AC859" s="1">
        <v>815</v>
      </c>
      <c r="AF859" s="3">
        <v>3.4205231388329982</v>
      </c>
      <c r="AG859" s="3">
        <v>0.89816667960475094</v>
      </c>
      <c r="AH859" s="1">
        <v>6259</v>
      </c>
      <c r="AI859" s="1" t="b">
        <v>1</v>
      </c>
    </row>
    <row r="860" spans="1:35" x14ac:dyDescent="0.25">
      <c r="A860" s="1">
        <v>18</v>
      </c>
      <c r="B860" s="1">
        <v>12</v>
      </c>
      <c r="C860" s="1">
        <v>2019</v>
      </c>
      <c r="G860" s="1" t="s">
        <v>38</v>
      </c>
      <c r="H860" s="2">
        <v>4.76</v>
      </c>
      <c r="I860" s="1">
        <v>17</v>
      </c>
      <c r="U860" s="1">
        <v>23</v>
      </c>
      <c r="X860" s="1">
        <v>20</v>
      </c>
      <c r="AA860" s="1">
        <v>2</v>
      </c>
      <c r="AB860" s="1">
        <v>3</v>
      </c>
      <c r="AC860" s="1">
        <v>708</v>
      </c>
      <c r="AF860" s="3">
        <v>3.5714285714285716</v>
      </c>
      <c r="AG860" s="3">
        <v>0.83460868220712292</v>
      </c>
      <c r="AH860" s="1">
        <v>6259</v>
      </c>
      <c r="AI860" s="1" t="b">
        <v>1</v>
      </c>
    </row>
    <row r="861" spans="1:35" x14ac:dyDescent="0.25">
      <c r="A861" s="1">
        <v>18</v>
      </c>
      <c r="B861" s="1">
        <v>12</v>
      </c>
      <c r="C861" s="1">
        <v>2019</v>
      </c>
      <c r="G861" s="1" t="s">
        <v>38</v>
      </c>
      <c r="H861" s="2">
        <v>5.46</v>
      </c>
      <c r="I861" s="1">
        <v>15</v>
      </c>
      <c r="U861" s="1">
        <v>27</v>
      </c>
      <c r="X861" s="1">
        <v>21</v>
      </c>
      <c r="AA861" s="1">
        <v>3</v>
      </c>
      <c r="AB861" s="1">
        <v>2</v>
      </c>
      <c r="AC861" s="1">
        <v>757</v>
      </c>
      <c r="AF861" s="3">
        <v>2.7472527472527473</v>
      </c>
      <c r="AG861" s="3">
        <v>1.1943627045363754</v>
      </c>
      <c r="AH861" s="1">
        <v>6259</v>
      </c>
      <c r="AI861" s="1" t="b">
        <v>1</v>
      </c>
    </row>
    <row r="862" spans="1:35" x14ac:dyDescent="0.25">
      <c r="A862" s="1">
        <v>18</v>
      </c>
      <c r="B862" s="1">
        <v>12</v>
      </c>
      <c r="C862" s="1">
        <v>2019</v>
      </c>
      <c r="G862" s="1" t="s">
        <v>38</v>
      </c>
      <c r="H862" s="2">
        <v>5.22</v>
      </c>
      <c r="I862" s="1">
        <v>16</v>
      </c>
      <c r="U862" s="1">
        <v>26</v>
      </c>
      <c r="X862" s="1">
        <v>21</v>
      </c>
      <c r="AA862" s="1">
        <v>3</v>
      </c>
      <c r="AB862" s="1">
        <v>4</v>
      </c>
      <c r="AC862" s="1">
        <v>859</v>
      </c>
      <c r="AF862" s="3">
        <v>3.0651340996168583</v>
      </c>
      <c r="AG862" s="3">
        <v>1.0373370089571876</v>
      </c>
      <c r="AH862" s="1">
        <v>6259</v>
      </c>
      <c r="AI862" s="1" t="b">
        <v>1</v>
      </c>
    </row>
    <row r="863" spans="1:35" x14ac:dyDescent="0.25">
      <c r="A863" s="1">
        <v>18</v>
      </c>
      <c r="B863" s="1">
        <v>12</v>
      </c>
      <c r="C863" s="1">
        <v>2019</v>
      </c>
      <c r="G863" s="1" t="s">
        <v>38</v>
      </c>
      <c r="H863" s="2">
        <v>8.35</v>
      </c>
      <c r="I863" s="1">
        <v>24</v>
      </c>
      <c r="U863" s="1">
        <v>39</v>
      </c>
      <c r="X863" s="1">
        <v>34</v>
      </c>
      <c r="AA863" s="1">
        <v>4</v>
      </c>
      <c r="AB863" s="1">
        <v>5</v>
      </c>
      <c r="AC863" s="1">
        <v>1275</v>
      </c>
      <c r="AF863" s="3">
        <v>2.874251497005988</v>
      </c>
      <c r="AG863" s="3">
        <v>1.536935940961409</v>
      </c>
      <c r="AH863" s="1">
        <v>6259</v>
      </c>
      <c r="AI863" s="1" t="b">
        <v>1</v>
      </c>
    </row>
    <row r="864" spans="1:35" x14ac:dyDescent="0.25">
      <c r="A864" s="1">
        <v>19</v>
      </c>
      <c r="B864" s="1">
        <v>12</v>
      </c>
      <c r="C864" s="1">
        <v>2019</v>
      </c>
      <c r="G864" s="1" t="s">
        <v>38</v>
      </c>
      <c r="H864" s="2">
        <v>4.8499999999999996</v>
      </c>
      <c r="I864" s="1">
        <v>14</v>
      </c>
      <c r="U864" s="1">
        <v>19</v>
      </c>
      <c r="X864" s="1">
        <v>17</v>
      </c>
      <c r="AA864" s="1">
        <v>2</v>
      </c>
      <c r="AB864" s="1">
        <v>5</v>
      </c>
      <c r="AC864" s="1">
        <v>795</v>
      </c>
      <c r="AF864" s="3">
        <v>2.8865979381443303</v>
      </c>
      <c r="AG864" s="3">
        <v>1.0462438543216528</v>
      </c>
      <c r="AH864" s="1">
        <v>6259</v>
      </c>
      <c r="AI864" s="1" t="b">
        <v>1</v>
      </c>
    </row>
    <row r="865" spans="1:35" x14ac:dyDescent="0.25">
      <c r="A865" s="1">
        <v>19</v>
      </c>
      <c r="B865" s="1">
        <v>12</v>
      </c>
      <c r="C865" s="1">
        <v>2019</v>
      </c>
      <c r="G865" s="1" t="s">
        <v>38</v>
      </c>
      <c r="H865" s="2">
        <v>6.41</v>
      </c>
      <c r="I865" s="1">
        <v>15</v>
      </c>
      <c r="U865" s="1">
        <v>26</v>
      </c>
      <c r="X865" s="1">
        <v>20</v>
      </c>
      <c r="AA865" s="1">
        <v>3</v>
      </c>
      <c r="AB865" s="1">
        <v>3</v>
      </c>
      <c r="AC865" s="1">
        <v>755</v>
      </c>
      <c r="AF865" s="3">
        <v>2.3400936037441498</v>
      </c>
      <c r="AG865" s="3">
        <v>1.5687993153494331</v>
      </c>
      <c r="AH865" s="1">
        <v>6259</v>
      </c>
      <c r="AI865" s="1" t="b">
        <v>1</v>
      </c>
    </row>
    <row r="866" spans="1:35" x14ac:dyDescent="0.25">
      <c r="A866" s="1">
        <v>19</v>
      </c>
      <c r="B866" s="1">
        <v>12</v>
      </c>
      <c r="C866" s="1">
        <v>2019</v>
      </c>
      <c r="G866" s="1" t="s">
        <v>38</v>
      </c>
      <c r="H866" s="2">
        <v>5.63</v>
      </c>
      <c r="I866" s="1">
        <v>20</v>
      </c>
      <c r="U866" s="1">
        <v>25</v>
      </c>
      <c r="X866" s="1">
        <v>22</v>
      </c>
      <c r="AA866" s="1">
        <v>2</v>
      </c>
      <c r="AB866" s="1">
        <v>2</v>
      </c>
      <c r="AC866" s="1">
        <v>697</v>
      </c>
      <c r="AF866" s="3">
        <v>3.5523978685612789</v>
      </c>
      <c r="AG866" s="3">
        <v>0.94370069650613608</v>
      </c>
      <c r="AH866" s="1">
        <v>6259</v>
      </c>
      <c r="AI866" s="1" t="b">
        <v>1</v>
      </c>
    </row>
    <row r="867" spans="1:35" x14ac:dyDescent="0.25">
      <c r="A867" s="1">
        <v>19</v>
      </c>
      <c r="B867" s="1">
        <v>12</v>
      </c>
      <c r="C867" s="1">
        <v>2019</v>
      </c>
      <c r="G867" s="1" t="s">
        <v>38</v>
      </c>
      <c r="H867" s="2">
        <v>7.23</v>
      </c>
      <c r="I867" s="1">
        <v>20</v>
      </c>
      <c r="U867" s="1">
        <v>26</v>
      </c>
      <c r="X867" s="1">
        <v>25</v>
      </c>
      <c r="AA867" s="1">
        <v>3</v>
      </c>
      <c r="AB867" s="1">
        <v>2</v>
      </c>
      <c r="AC867" s="1">
        <v>853</v>
      </c>
      <c r="AF867" s="3">
        <v>2.7662517289073305</v>
      </c>
      <c r="AG867" s="3">
        <v>1.4437935912938851</v>
      </c>
      <c r="AH867" s="1">
        <v>6259</v>
      </c>
      <c r="AI867" s="1" t="b">
        <v>1</v>
      </c>
    </row>
    <row r="868" spans="1:35" x14ac:dyDescent="0.25">
      <c r="A868" s="1">
        <v>19</v>
      </c>
      <c r="B868" s="1">
        <v>12</v>
      </c>
      <c r="C868" s="1">
        <v>2019</v>
      </c>
      <c r="G868" s="1" t="s">
        <v>38</v>
      </c>
      <c r="H868" s="2">
        <v>6.23</v>
      </c>
      <c r="I868" s="1">
        <v>19</v>
      </c>
      <c r="U868" s="1">
        <v>28</v>
      </c>
      <c r="X868" s="1">
        <v>23</v>
      </c>
      <c r="AA868" s="1">
        <v>3</v>
      </c>
      <c r="AB868" s="1">
        <v>1</v>
      </c>
      <c r="AC868" s="1">
        <v>879</v>
      </c>
      <c r="AF868" s="3">
        <v>3.0497592295345104</v>
      </c>
      <c r="AG868" s="3">
        <v>1.1799838908855436</v>
      </c>
      <c r="AH868" s="1">
        <v>6259</v>
      </c>
      <c r="AI868" s="1" t="b">
        <v>1</v>
      </c>
    </row>
    <row r="869" spans="1:35" x14ac:dyDescent="0.25">
      <c r="A869" s="1">
        <v>19</v>
      </c>
      <c r="B869" s="1">
        <v>12</v>
      </c>
      <c r="C869" s="1">
        <v>2019</v>
      </c>
      <c r="G869" s="1" t="s">
        <v>38</v>
      </c>
      <c r="H869" s="2">
        <v>5.24</v>
      </c>
      <c r="I869" s="1">
        <v>12</v>
      </c>
      <c r="U869" s="1">
        <v>25</v>
      </c>
      <c r="X869" s="1">
        <v>20</v>
      </c>
      <c r="AA869" s="1">
        <v>3</v>
      </c>
      <c r="AB869" s="1">
        <v>5</v>
      </c>
      <c r="AC869" s="1">
        <v>869</v>
      </c>
      <c r="AF869" s="3">
        <v>2.2900763358778624</v>
      </c>
      <c r="AG869" s="3">
        <v>1.3921368896988229</v>
      </c>
      <c r="AH869" s="1">
        <v>6259</v>
      </c>
      <c r="AI869" s="1" t="b">
        <v>1</v>
      </c>
    </row>
    <row r="870" spans="1:35" x14ac:dyDescent="0.25">
      <c r="A870" s="1">
        <v>19</v>
      </c>
      <c r="B870" s="1">
        <v>12</v>
      </c>
      <c r="C870" s="1">
        <v>2019</v>
      </c>
      <c r="G870" s="1" t="s">
        <v>38</v>
      </c>
      <c r="H870" s="2">
        <v>5.73</v>
      </c>
      <c r="I870" s="1">
        <v>16</v>
      </c>
      <c r="U870" s="1">
        <v>25</v>
      </c>
      <c r="X870" s="1">
        <v>20</v>
      </c>
      <c r="AA870" s="1">
        <v>2</v>
      </c>
      <c r="AB870" s="1">
        <v>2</v>
      </c>
      <c r="AC870" s="1">
        <v>823</v>
      </c>
      <c r="AF870" s="3">
        <v>2.7923211169284468</v>
      </c>
      <c r="AG870" s="3">
        <v>1.2154661672975737</v>
      </c>
      <c r="AH870" s="1">
        <v>6259</v>
      </c>
      <c r="AI870" s="1" t="b">
        <v>1</v>
      </c>
    </row>
    <row r="871" spans="1:35" x14ac:dyDescent="0.25">
      <c r="A871" s="1">
        <v>19</v>
      </c>
      <c r="B871" s="1">
        <v>12</v>
      </c>
      <c r="C871" s="1">
        <v>2019</v>
      </c>
      <c r="G871" s="1" t="s">
        <v>38</v>
      </c>
      <c r="H871" s="2">
        <v>7.18</v>
      </c>
      <c r="I871" s="1">
        <v>30</v>
      </c>
      <c r="U871" s="1">
        <v>32</v>
      </c>
      <c r="X871" s="1">
        <v>30</v>
      </c>
      <c r="AA871" s="1">
        <v>1</v>
      </c>
      <c r="AB871" s="1">
        <v>1</v>
      </c>
      <c r="AC871" s="1">
        <v>1085</v>
      </c>
      <c r="AF871" s="3">
        <v>4.1782729805013927</v>
      </c>
      <c r="AG871" s="3">
        <v>0.95124042985132007</v>
      </c>
      <c r="AH871" s="1">
        <v>6259</v>
      </c>
      <c r="AI871" s="1" t="b">
        <v>1</v>
      </c>
    </row>
    <row r="872" spans="1:35" x14ac:dyDescent="0.25">
      <c r="A872" s="1">
        <v>19</v>
      </c>
      <c r="B872" s="1">
        <v>12</v>
      </c>
      <c r="C872" s="1">
        <v>2019</v>
      </c>
      <c r="G872" s="1" t="s">
        <v>38</v>
      </c>
      <c r="H872" s="2">
        <v>5.0999999999999996</v>
      </c>
      <c r="I872" s="1">
        <v>16</v>
      </c>
      <c r="U872" s="1">
        <v>23</v>
      </c>
      <c r="X872" s="1">
        <v>19</v>
      </c>
      <c r="AA872" s="1">
        <v>2</v>
      </c>
      <c r="AB872" s="1">
        <v>3</v>
      </c>
      <c r="AC872" s="1">
        <v>727</v>
      </c>
      <c r="AF872" s="3">
        <v>3.1372549019607847</v>
      </c>
      <c r="AG872" s="3">
        <v>0.99712433796160693</v>
      </c>
      <c r="AH872" s="1">
        <v>6259</v>
      </c>
      <c r="AI872" s="1" t="b">
        <v>1</v>
      </c>
    </row>
    <row r="873" spans="1:35" x14ac:dyDescent="0.25">
      <c r="A873" s="1">
        <v>19</v>
      </c>
      <c r="B873" s="1">
        <v>12</v>
      </c>
      <c r="C873" s="1">
        <v>2019</v>
      </c>
      <c r="G873" s="1" t="s">
        <v>38</v>
      </c>
      <c r="H873" s="2">
        <v>4.28</v>
      </c>
      <c r="I873" s="1">
        <v>11</v>
      </c>
      <c r="U873" s="1">
        <v>21</v>
      </c>
      <c r="X873" s="1">
        <v>16</v>
      </c>
      <c r="AA873" s="1">
        <v>4</v>
      </c>
      <c r="AB873" s="1">
        <v>2</v>
      </c>
      <c r="AC873" s="1">
        <v>682</v>
      </c>
      <c r="AF873" s="3">
        <v>2.570093457943925</v>
      </c>
      <c r="AG873" s="3">
        <v>1.076618212313903</v>
      </c>
      <c r="AH873" s="1">
        <v>6259</v>
      </c>
      <c r="AI873" s="1" t="b">
        <v>1</v>
      </c>
    </row>
    <row r="874" spans="1:35" x14ac:dyDescent="0.25">
      <c r="A874" s="1">
        <v>19</v>
      </c>
      <c r="B874" s="1">
        <v>12</v>
      </c>
      <c r="C874" s="1">
        <v>2019</v>
      </c>
      <c r="G874" s="1" t="s">
        <v>38</v>
      </c>
      <c r="H874" s="2">
        <v>7.22</v>
      </c>
      <c r="I874" s="1">
        <v>20</v>
      </c>
      <c r="U874" s="1">
        <v>35</v>
      </c>
      <c r="X874" s="1">
        <v>30</v>
      </c>
      <c r="AA874" s="1">
        <v>3</v>
      </c>
      <c r="AB874" s="1">
        <v>2</v>
      </c>
      <c r="AC874" s="1">
        <v>1072</v>
      </c>
      <c r="AF874" s="3">
        <v>2.770083102493075</v>
      </c>
      <c r="AG874" s="3">
        <v>1.4404004228892227</v>
      </c>
      <c r="AH874" s="1">
        <v>6259</v>
      </c>
      <c r="AI874" s="1" t="b">
        <v>1</v>
      </c>
    </row>
    <row r="875" spans="1:35" x14ac:dyDescent="0.25">
      <c r="A875" s="1">
        <v>19</v>
      </c>
      <c r="B875" s="1">
        <v>12</v>
      </c>
      <c r="C875" s="1">
        <v>2019</v>
      </c>
      <c r="G875" s="1" t="s">
        <v>38</v>
      </c>
      <c r="H875" s="2">
        <v>3.67</v>
      </c>
      <c r="I875" s="1">
        <v>9</v>
      </c>
      <c r="U875" s="1">
        <v>15</v>
      </c>
      <c r="X875" s="1">
        <v>14</v>
      </c>
      <c r="AA875" s="1">
        <v>3</v>
      </c>
      <c r="AB875" s="1">
        <v>2</v>
      </c>
      <c r="AC875" s="1">
        <v>549</v>
      </c>
      <c r="AF875" s="3">
        <v>2.4523160762942782</v>
      </c>
      <c r="AG875" s="3">
        <v>1.0131874455484073</v>
      </c>
      <c r="AH875" s="1">
        <v>6259</v>
      </c>
      <c r="AI875" s="1" t="b">
        <v>1</v>
      </c>
    </row>
    <row r="876" spans="1:35" x14ac:dyDescent="0.25">
      <c r="A876" s="1">
        <v>19</v>
      </c>
      <c r="B876" s="1">
        <v>12</v>
      </c>
      <c r="C876" s="1">
        <v>2019</v>
      </c>
      <c r="G876" s="1" t="s">
        <v>38</v>
      </c>
      <c r="H876" s="2">
        <v>5.03</v>
      </c>
      <c r="I876" s="1">
        <v>12</v>
      </c>
      <c r="U876" s="1">
        <v>22</v>
      </c>
      <c r="X876" s="1">
        <v>18</v>
      </c>
      <c r="AA876" s="1">
        <v>3</v>
      </c>
      <c r="AB876" s="1">
        <v>3</v>
      </c>
      <c r="AC876" s="1">
        <v>683</v>
      </c>
      <c r="AF876" s="3">
        <v>2.3856858846918487</v>
      </c>
      <c r="AG876" s="3">
        <v>1.29862670222999</v>
      </c>
      <c r="AH876" s="1">
        <v>6259</v>
      </c>
      <c r="AI876" s="1" t="b">
        <v>1</v>
      </c>
    </row>
    <row r="877" spans="1:35" x14ac:dyDescent="0.25">
      <c r="A877" s="1">
        <v>19</v>
      </c>
      <c r="B877" s="1">
        <v>12</v>
      </c>
      <c r="C877" s="1">
        <v>2019</v>
      </c>
      <c r="G877" s="1" t="s">
        <v>38</v>
      </c>
      <c r="H877" s="2">
        <v>6.57</v>
      </c>
      <c r="I877" s="1">
        <v>15</v>
      </c>
      <c r="U877" s="1">
        <v>27</v>
      </c>
      <c r="X877" s="1">
        <v>22</v>
      </c>
      <c r="AA877" s="1">
        <v>4</v>
      </c>
      <c r="AB877" s="1">
        <v>4</v>
      </c>
      <c r="AC877" s="1">
        <v>784</v>
      </c>
      <c r="AF877" s="3">
        <v>2.2831050228310503</v>
      </c>
      <c r="AG877" s="3">
        <v>1.6359494090549569</v>
      </c>
      <c r="AH877" s="1">
        <v>6259</v>
      </c>
      <c r="AI877" s="1" t="b">
        <v>1</v>
      </c>
    </row>
    <row r="878" spans="1:35" x14ac:dyDescent="0.25">
      <c r="A878" s="1">
        <v>19</v>
      </c>
      <c r="B878" s="1">
        <v>12</v>
      </c>
      <c r="C878" s="1">
        <v>2019</v>
      </c>
      <c r="G878" s="1" t="s">
        <v>38</v>
      </c>
      <c r="H878" s="2">
        <v>7.52</v>
      </c>
      <c r="I878" s="1">
        <v>29</v>
      </c>
      <c r="U878" s="1">
        <v>35</v>
      </c>
      <c r="X878" s="1">
        <v>32</v>
      </c>
      <c r="AA878" s="1">
        <v>2</v>
      </c>
      <c r="AB878" s="1">
        <v>2</v>
      </c>
      <c r="AC878" s="1">
        <v>1060</v>
      </c>
      <c r="AF878" s="3">
        <v>3.8563829787234045</v>
      </c>
      <c r="AG878" s="3">
        <v>1.064565361451864</v>
      </c>
      <c r="AH878" s="1">
        <v>6259</v>
      </c>
      <c r="AI878" s="1" t="b">
        <v>1</v>
      </c>
    </row>
    <row r="879" spans="1:35" x14ac:dyDescent="0.25">
      <c r="A879" s="1">
        <v>19</v>
      </c>
      <c r="B879" s="1">
        <v>12</v>
      </c>
      <c r="C879" s="1">
        <v>2019</v>
      </c>
      <c r="G879" s="1" t="s">
        <v>38</v>
      </c>
      <c r="H879" s="2">
        <v>8.02</v>
      </c>
      <c r="I879" s="1">
        <v>24</v>
      </c>
      <c r="U879" s="1">
        <v>32</v>
      </c>
      <c r="X879" s="1">
        <v>30</v>
      </c>
      <c r="AA879" s="1">
        <v>3</v>
      </c>
      <c r="AB879" s="1">
        <v>2</v>
      </c>
      <c r="AC879" s="1">
        <v>1053</v>
      </c>
      <c r="AF879" s="3">
        <v>2.9925187032418954</v>
      </c>
      <c r="AG879" s="3">
        <v>1.435109979218707</v>
      </c>
      <c r="AH879" s="1">
        <v>6259</v>
      </c>
      <c r="AI879" s="1" t="b">
        <v>1</v>
      </c>
    </row>
    <row r="880" spans="1:35" x14ac:dyDescent="0.25">
      <c r="A880" s="1">
        <v>19</v>
      </c>
      <c r="B880" s="1">
        <v>12</v>
      </c>
      <c r="C880" s="1">
        <v>2019</v>
      </c>
      <c r="G880" s="1" t="s">
        <v>38</v>
      </c>
      <c r="H880" s="2">
        <v>4.6399999999999997</v>
      </c>
      <c r="I880" s="1">
        <v>11</v>
      </c>
      <c r="U880" s="1">
        <v>16</v>
      </c>
      <c r="X880" s="1">
        <v>13</v>
      </c>
      <c r="AA880" s="1">
        <v>2</v>
      </c>
      <c r="AB880" s="1">
        <v>2</v>
      </c>
      <c r="AC880" s="1">
        <v>649</v>
      </c>
      <c r="AF880" s="3">
        <v>2.3706896551724141</v>
      </c>
      <c r="AG880" s="3">
        <v>1.2350595033957279</v>
      </c>
      <c r="AH880" s="1">
        <v>6259</v>
      </c>
      <c r="AI880" s="1" t="b">
        <v>1</v>
      </c>
    </row>
    <row r="881" spans="1:35" x14ac:dyDescent="0.25">
      <c r="A881" s="1">
        <v>19</v>
      </c>
      <c r="B881" s="1">
        <v>12</v>
      </c>
      <c r="C881" s="1">
        <v>2019</v>
      </c>
      <c r="G881" s="1" t="s">
        <v>38</v>
      </c>
      <c r="H881" s="2">
        <v>6.45</v>
      </c>
      <c r="I881" s="1">
        <v>18</v>
      </c>
      <c r="U881" s="1">
        <v>21</v>
      </c>
      <c r="X881" s="1">
        <v>19</v>
      </c>
      <c r="AA881" s="1">
        <v>1</v>
      </c>
      <c r="AB881" s="1">
        <v>2</v>
      </c>
      <c r="AC881" s="1">
        <v>867</v>
      </c>
      <c r="AF881" s="3">
        <v>2.7906976744186047</v>
      </c>
      <c r="AG881" s="3">
        <v>1.321231775165987</v>
      </c>
      <c r="AH881" s="1">
        <v>6259</v>
      </c>
      <c r="AI881" s="1" t="b">
        <v>1</v>
      </c>
    </row>
    <row r="882" spans="1:35" x14ac:dyDescent="0.25">
      <c r="A882" s="1">
        <v>19</v>
      </c>
      <c r="B882" s="1">
        <v>12</v>
      </c>
      <c r="C882" s="1">
        <v>2019</v>
      </c>
      <c r="G882" s="1" t="s">
        <v>38</v>
      </c>
      <c r="H882" s="2">
        <v>3.93</v>
      </c>
      <c r="I882" s="1">
        <v>12</v>
      </c>
      <c r="U882" s="1">
        <v>14</v>
      </c>
      <c r="X882" s="1">
        <v>13</v>
      </c>
      <c r="AA882" s="1">
        <v>2</v>
      </c>
      <c r="AB882" s="1">
        <v>2</v>
      </c>
      <c r="AC882" s="1">
        <v>549</v>
      </c>
      <c r="AF882" s="3">
        <v>3.0534351145038165</v>
      </c>
      <c r="AG882" s="3">
        <v>0.85366227512698856</v>
      </c>
      <c r="AH882" s="1">
        <v>6259</v>
      </c>
      <c r="AI882" s="1" t="b">
        <v>1</v>
      </c>
    </row>
    <row r="883" spans="1:35" x14ac:dyDescent="0.25">
      <c r="A883" s="1">
        <v>19</v>
      </c>
      <c r="B883" s="1">
        <v>12</v>
      </c>
      <c r="C883" s="1">
        <v>2019</v>
      </c>
      <c r="G883" s="1" t="s">
        <v>38</v>
      </c>
      <c r="H883" s="2">
        <v>5.46</v>
      </c>
      <c r="I883" s="1">
        <v>13</v>
      </c>
      <c r="U883" s="1">
        <v>13</v>
      </c>
      <c r="X883" s="1">
        <v>13</v>
      </c>
      <c r="AA883" s="1">
        <v>1</v>
      </c>
      <c r="AB883" s="1">
        <v>1</v>
      </c>
      <c r="AC883" s="1">
        <v>551</v>
      </c>
      <c r="AF883" s="3">
        <v>2.3809523809523809</v>
      </c>
      <c r="AG883" s="3">
        <v>1.3781108129265871</v>
      </c>
      <c r="AH883" s="1">
        <v>6259</v>
      </c>
      <c r="AI883" s="1" t="b">
        <v>1</v>
      </c>
    </row>
    <row r="884" spans="1:35" x14ac:dyDescent="0.25">
      <c r="A884" s="1">
        <v>19</v>
      </c>
      <c r="B884" s="1">
        <v>12</v>
      </c>
      <c r="C884" s="1">
        <v>2019</v>
      </c>
      <c r="G884" s="1" t="s">
        <v>38</v>
      </c>
      <c r="H884" s="2">
        <v>2.52</v>
      </c>
      <c r="I884" s="1">
        <v>5</v>
      </c>
      <c r="U884" s="1">
        <v>7</v>
      </c>
      <c r="X884" s="1">
        <v>6</v>
      </c>
      <c r="AA884" s="1">
        <v>1</v>
      </c>
      <c r="AB884" s="1">
        <v>3</v>
      </c>
      <c r="AC884" s="1">
        <v>515</v>
      </c>
      <c r="AF884" s="3">
        <v>1.9841269841269842</v>
      </c>
      <c r="AG884" s="3">
        <v>0.96252255450342916</v>
      </c>
      <c r="AH884" s="1">
        <v>6259</v>
      </c>
      <c r="AI884" s="1" t="b">
        <v>1</v>
      </c>
    </row>
    <row r="885" spans="1:35" x14ac:dyDescent="0.25">
      <c r="A885" s="1">
        <v>19</v>
      </c>
      <c r="B885" s="1">
        <v>12</v>
      </c>
      <c r="C885" s="1">
        <v>2019</v>
      </c>
      <c r="G885" s="1" t="s">
        <v>38</v>
      </c>
      <c r="H885" s="2">
        <v>5.65</v>
      </c>
      <c r="I885" s="1">
        <v>19</v>
      </c>
      <c r="U885" s="1">
        <v>28</v>
      </c>
      <c r="X885" s="1">
        <v>22</v>
      </c>
      <c r="AA885" s="1">
        <v>3</v>
      </c>
      <c r="AB885" s="1">
        <v>2</v>
      </c>
      <c r="AC885" s="1">
        <v>890</v>
      </c>
      <c r="AF885" s="3">
        <v>3.3628318584070795</v>
      </c>
      <c r="AG885" s="3">
        <v>0.99937564259500589</v>
      </c>
      <c r="AH885" s="1">
        <v>6259</v>
      </c>
      <c r="AI885" s="1" t="b">
        <v>1</v>
      </c>
    </row>
    <row r="886" spans="1:35" x14ac:dyDescent="0.25">
      <c r="A886" s="1">
        <v>19</v>
      </c>
      <c r="B886" s="1">
        <v>12</v>
      </c>
      <c r="C886" s="1">
        <v>2019</v>
      </c>
      <c r="G886" s="1" t="s">
        <v>38</v>
      </c>
      <c r="H886" s="2">
        <v>4.45</v>
      </c>
      <c r="I886" s="1">
        <v>11</v>
      </c>
      <c r="U886" s="1">
        <v>24</v>
      </c>
      <c r="X886" s="1">
        <v>18</v>
      </c>
      <c r="AA886" s="1">
        <v>3</v>
      </c>
      <c r="AB886" s="1">
        <v>3</v>
      </c>
      <c r="AC886" s="1">
        <v>645</v>
      </c>
      <c r="AF886" s="3">
        <v>2.4719101123595504</v>
      </c>
      <c r="AG886" s="3">
        <v>1.1503217555819172</v>
      </c>
      <c r="AH886" s="1">
        <v>6259</v>
      </c>
      <c r="AI886" s="1" t="b">
        <v>1</v>
      </c>
    </row>
    <row r="887" spans="1:35" x14ac:dyDescent="0.25">
      <c r="A887" s="1">
        <v>19</v>
      </c>
      <c r="B887" s="1">
        <v>12</v>
      </c>
      <c r="C887" s="1">
        <v>2019</v>
      </c>
      <c r="G887" s="1" t="s">
        <v>38</v>
      </c>
      <c r="H887" s="2">
        <v>2.63</v>
      </c>
      <c r="I887" s="1">
        <v>8</v>
      </c>
      <c r="U887" s="1">
        <v>10</v>
      </c>
      <c r="X887" s="1">
        <v>8</v>
      </c>
      <c r="AA887" s="1">
        <v>1</v>
      </c>
      <c r="AB887" s="1">
        <v>2</v>
      </c>
      <c r="AC887" s="1">
        <v>364</v>
      </c>
      <c r="AF887" s="3">
        <v>3.0418250950570345</v>
      </c>
      <c r="AG887" s="3">
        <v>0.64689647619961932</v>
      </c>
      <c r="AH887" s="1">
        <v>6259</v>
      </c>
      <c r="AI887" s="1" t="b">
        <v>1</v>
      </c>
    </row>
    <row r="888" spans="1:35" x14ac:dyDescent="0.25">
      <c r="A888" s="1">
        <v>19</v>
      </c>
      <c r="B888" s="1">
        <v>12</v>
      </c>
      <c r="C888" s="1">
        <v>2019</v>
      </c>
      <c r="G888" s="1" t="s">
        <v>38</v>
      </c>
      <c r="H888" s="2">
        <v>3.45</v>
      </c>
      <c r="I888" s="1">
        <v>12</v>
      </c>
      <c r="U888" s="1">
        <v>14</v>
      </c>
      <c r="X888" s="1">
        <v>12</v>
      </c>
      <c r="AA888" s="1">
        <v>2</v>
      </c>
      <c r="AB888" s="1">
        <v>3</v>
      </c>
      <c r="AC888" s="1">
        <v>657</v>
      </c>
      <c r="AF888" s="3">
        <v>3.4782608695652173</v>
      </c>
      <c r="AG888" s="3">
        <v>0.68408680808012223</v>
      </c>
      <c r="AH888" s="1">
        <v>6259</v>
      </c>
      <c r="AI888" s="1" t="b">
        <v>1</v>
      </c>
    </row>
    <row r="889" spans="1:35" x14ac:dyDescent="0.25">
      <c r="A889" s="1">
        <v>19</v>
      </c>
      <c r="B889" s="1">
        <v>12</v>
      </c>
      <c r="C889" s="1">
        <v>2019</v>
      </c>
      <c r="G889" s="1" t="s">
        <v>38</v>
      </c>
      <c r="H889" s="2">
        <v>6.42</v>
      </c>
      <c r="I889" s="1">
        <v>13</v>
      </c>
      <c r="U889" s="1">
        <v>21</v>
      </c>
      <c r="X889" s="1">
        <v>17</v>
      </c>
      <c r="AA889" s="1">
        <v>2</v>
      </c>
      <c r="AB889" s="1">
        <v>3</v>
      </c>
      <c r="AC889" s="1">
        <v>835</v>
      </c>
      <c r="AF889" s="3">
        <v>2.0249221183800623</v>
      </c>
      <c r="AG889" s="3">
        <v>1.8149563949942213</v>
      </c>
      <c r="AH889" s="1">
        <v>6259</v>
      </c>
      <c r="AI889" s="1" t="b">
        <v>1</v>
      </c>
    </row>
    <row r="890" spans="1:35" x14ac:dyDescent="0.25">
      <c r="A890" s="1">
        <v>19</v>
      </c>
      <c r="B890" s="1">
        <v>12</v>
      </c>
      <c r="C890" s="1">
        <v>2019</v>
      </c>
      <c r="G890" s="1" t="s">
        <v>38</v>
      </c>
      <c r="H890" s="2">
        <v>4.66</v>
      </c>
      <c r="I890" s="1">
        <v>10</v>
      </c>
      <c r="U890" s="1">
        <v>21</v>
      </c>
      <c r="X890" s="1">
        <v>17</v>
      </c>
      <c r="AA890" s="1">
        <v>3</v>
      </c>
      <c r="AB890" s="1">
        <v>1</v>
      </c>
      <c r="AC890" s="1">
        <v>708</v>
      </c>
      <c r="AF890" s="3">
        <v>2.1459227467811157</v>
      </c>
      <c r="AG890" s="3">
        <v>1.3685354710781241</v>
      </c>
      <c r="AH890" s="1">
        <v>6259</v>
      </c>
      <c r="AI890" s="1" t="b">
        <v>1</v>
      </c>
    </row>
    <row r="891" spans="1:35" x14ac:dyDescent="0.25">
      <c r="A891" s="1">
        <v>19</v>
      </c>
      <c r="B891" s="1">
        <v>12</v>
      </c>
      <c r="C891" s="1">
        <v>2019</v>
      </c>
      <c r="G891" s="1" t="s">
        <v>38</v>
      </c>
      <c r="H891" s="2">
        <v>5.53</v>
      </c>
      <c r="I891" s="1">
        <v>12</v>
      </c>
      <c r="U891" s="1">
        <v>26</v>
      </c>
      <c r="X891" s="1">
        <v>21</v>
      </c>
      <c r="AA891" s="1">
        <v>5</v>
      </c>
      <c r="AB891" s="1">
        <v>3</v>
      </c>
      <c r="AC891" s="1">
        <v>853</v>
      </c>
      <c r="AF891" s="3">
        <v>2.1699819168173597</v>
      </c>
      <c r="AG891" s="3">
        <v>1.5256379288953843</v>
      </c>
      <c r="AH891" s="1">
        <v>6259</v>
      </c>
      <c r="AI891" s="1" t="b">
        <v>1</v>
      </c>
    </row>
    <row r="892" spans="1:35" x14ac:dyDescent="0.25">
      <c r="A892" s="1">
        <v>19</v>
      </c>
      <c r="B892" s="1">
        <v>12</v>
      </c>
      <c r="C892" s="1">
        <v>2019</v>
      </c>
      <c r="G892" s="1" t="s">
        <v>38</v>
      </c>
      <c r="H892" s="2">
        <v>5.31</v>
      </c>
      <c r="I892" s="1">
        <v>14</v>
      </c>
      <c r="U892" s="1">
        <v>19</v>
      </c>
      <c r="X892" s="1">
        <v>16</v>
      </c>
      <c r="AA892" s="1">
        <v>2</v>
      </c>
      <c r="AB892" s="1">
        <v>3</v>
      </c>
      <c r="AC892" s="1">
        <v>677</v>
      </c>
      <c r="AF892" s="3">
        <v>2.6365348399246704</v>
      </c>
      <c r="AG892" s="3">
        <v>1.2204855731227926</v>
      </c>
      <c r="AH892" s="1">
        <v>6259</v>
      </c>
      <c r="AI892" s="1" t="b">
        <v>1</v>
      </c>
    </row>
    <row r="893" spans="1:35" x14ac:dyDescent="0.25">
      <c r="A893" s="1">
        <v>19</v>
      </c>
      <c r="B893" s="1">
        <v>12</v>
      </c>
      <c r="C893" s="1">
        <v>2019</v>
      </c>
      <c r="G893" s="1" t="s">
        <v>38</v>
      </c>
      <c r="H893" s="2">
        <v>8.36</v>
      </c>
      <c r="I893" s="1">
        <v>23</v>
      </c>
      <c r="U893" s="1">
        <v>36</v>
      </c>
      <c r="X893" s="1">
        <v>33</v>
      </c>
      <c r="AA893" s="1">
        <v>4</v>
      </c>
      <c r="AB893" s="1">
        <v>2</v>
      </c>
      <c r="AC893" s="1">
        <v>1048</v>
      </c>
      <c r="AF893" s="3">
        <v>2.7511961722488039</v>
      </c>
      <c r="AG893" s="3">
        <v>1.6070257497774958</v>
      </c>
      <c r="AH893" s="1">
        <v>6259</v>
      </c>
      <c r="AI893" s="1" t="b">
        <v>1</v>
      </c>
    </row>
    <row r="894" spans="1:35" x14ac:dyDescent="0.25">
      <c r="A894" s="1">
        <v>19</v>
      </c>
      <c r="B894" s="1">
        <v>12</v>
      </c>
      <c r="C894" s="1">
        <v>2019</v>
      </c>
      <c r="G894" s="1" t="s">
        <v>38</v>
      </c>
      <c r="H894" s="2">
        <v>8.5399999999999991</v>
      </c>
      <c r="I894" s="1">
        <v>27</v>
      </c>
      <c r="U894" s="1">
        <v>42</v>
      </c>
      <c r="X894" s="1">
        <v>36</v>
      </c>
      <c r="AA894" s="1">
        <v>4</v>
      </c>
      <c r="AB894" s="1">
        <v>3</v>
      </c>
      <c r="AC894" s="1">
        <v>1373</v>
      </c>
      <c r="AF894" s="3">
        <v>3.1615925058548013</v>
      </c>
      <c r="AG894" s="3">
        <v>1.4194320790121939</v>
      </c>
      <c r="AH894" s="1">
        <v>6259</v>
      </c>
      <c r="AI894" s="1" t="b">
        <v>1</v>
      </c>
    </row>
    <row r="895" spans="1:35" x14ac:dyDescent="0.25">
      <c r="A895" s="1">
        <v>19</v>
      </c>
      <c r="B895" s="1">
        <v>12</v>
      </c>
      <c r="C895" s="1">
        <v>2019</v>
      </c>
      <c r="G895" s="1" t="s">
        <v>38</v>
      </c>
      <c r="H895" s="2">
        <v>8.09</v>
      </c>
      <c r="I895" s="1">
        <v>19</v>
      </c>
      <c r="U895" s="1">
        <v>33</v>
      </c>
      <c r="X895" s="1">
        <v>27</v>
      </c>
      <c r="AA895" s="1">
        <v>4</v>
      </c>
      <c r="AB895" s="1">
        <v>3</v>
      </c>
      <c r="AC895" s="1">
        <v>1060</v>
      </c>
      <c r="AF895" s="3">
        <v>2.3485784919653896</v>
      </c>
      <c r="AG895" s="3">
        <v>1.8397503142820699</v>
      </c>
      <c r="AH895" s="1">
        <v>6259</v>
      </c>
      <c r="AI895" s="1" t="b">
        <v>1</v>
      </c>
    </row>
    <row r="896" spans="1:35" x14ac:dyDescent="0.25">
      <c r="A896" s="1">
        <v>19</v>
      </c>
      <c r="B896" s="1">
        <v>12</v>
      </c>
      <c r="C896" s="1">
        <v>2019</v>
      </c>
      <c r="G896" s="1" t="s">
        <v>38</v>
      </c>
      <c r="H896" s="2">
        <v>6.81</v>
      </c>
      <c r="I896" s="1">
        <v>23</v>
      </c>
      <c r="U896" s="1">
        <v>30</v>
      </c>
      <c r="X896" s="1">
        <v>26</v>
      </c>
      <c r="AA896" s="1">
        <v>2</v>
      </c>
      <c r="AB896" s="1">
        <v>2</v>
      </c>
      <c r="AC896" s="1">
        <v>848</v>
      </c>
      <c r="AF896" s="3">
        <v>3.3773861967694567</v>
      </c>
      <c r="AG896" s="3">
        <v>1.1340240218214528</v>
      </c>
      <c r="AH896" s="1">
        <v>6259</v>
      </c>
      <c r="AI896" s="1" t="b">
        <v>1</v>
      </c>
    </row>
    <row r="897" spans="1:35" x14ac:dyDescent="0.25">
      <c r="A897" s="1">
        <v>19</v>
      </c>
      <c r="B897" s="1">
        <v>12</v>
      </c>
      <c r="C897" s="1">
        <v>2019</v>
      </c>
      <c r="G897" s="1" t="s">
        <v>38</v>
      </c>
      <c r="H897" s="2">
        <v>4.3899999999999997</v>
      </c>
      <c r="I897" s="1">
        <v>12</v>
      </c>
      <c r="U897" s="1">
        <v>17</v>
      </c>
      <c r="X897" s="1">
        <v>14</v>
      </c>
      <c r="AA897" s="1">
        <v>2</v>
      </c>
      <c r="AB897" s="1">
        <v>4</v>
      </c>
      <c r="AC897" s="1">
        <v>463</v>
      </c>
      <c r="AF897" s="3">
        <v>2.7334851936218683</v>
      </c>
      <c r="AG897" s="3">
        <v>1.0304061410911027</v>
      </c>
      <c r="AH897" s="1">
        <v>6259</v>
      </c>
      <c r="AI897" s="1" t="b">
        <v>1</v>
      </c>
    </row>
    <row r="898" spans="1:35" x14ac:dyDescent="0.25">
      <c r="A898" s="1">
        <v>19</v>
      </c>
      <c r="B898" s="1">
        <v>12</v>
      </c>
      <c r="C898" s="1">
        <v>2019</v>
      </c>
      <c r="G898" s="1" t="s">
        <v>38</v>
      </c>
      <c r="H898" s="2">
        <v>5.73</v>
      </c>
      <c r="I898" s="1">
        <v>18</v>
      </c>
      <c r="U898" s="1">
        <v>24</v>
      </c>
      <c r="X898" s="1">
        <v>21</v>
      </c>
      <c r="AA898" s="1">
        <v>2</v>
      </c>
      <c r="AB898" s="1">
        <v>2</v>
      </c>
      <c r="AC898" s="1">
        <v>739</v>
      </c>
      <c r="AF898" s="3">
        <v>3.1413612565445024</v>
      </c>
      <c r="AG898" s="3">
        <v>1.0804143709311766</v>
      </c>
      <c r="AH898" s="1">
        <v>6259</v>
      </c>
      <c r="AI898" s="1" t="b">
        <v>1</v>
      </c>
    </row>
    <row r="899" spans="1:35" x14ac:dyDescent="0.25">
      <c r="A899" s="1">
        <v>19</v>
      </c>
      <c r="B899" s="1">
        <v>12</v>
      </c>
      <c r="C899" s="1">
        <v>2019</v>
      </c>
      <c r="G899" s="1" t="s">
        <v>38</v>
      </c>
      <c r="H899" s="2">
        <v>5.3</v>
      </c>
      <c r="I899" s="1">
        <v>12</v>
      </c>
      <c r="U899" s="1">
        <v>24</v>
      </c>
      <c r="X899" s="1">
        <v>19</v>
      </c>
      <c r="AA899" s="1">
        <v>3</v>
      </c>
      <c r="AB899" s="1">
        <v>8</v>
      </c>
      <c r="AC899" s="1">
        <v>846</v>
      </c>
      <c r="AF899" s="3">
        <v>2.2641509433962264</v>
      </c>
      <c r="AG899" s="3">
        <v>1.4193442159112042</v>
      </c>
      <c r="AH899" s="1">
        <v>6259</v>
      </c>
      <c r="AI899" s="1" t="b">
        <v>1</v>
      </c>
    </row>
    <row r="900" spans="1:35" x14ac:dyDescent="0.25">
      <c r="A900" s="1">
        <v>19</v>
      </c>
      <c r="B900" s="1">
        <v>12</v>
      </c>
      <c r="C900" s="1">
        <v>2019</v>
      </c>
      <c r="G900" s="1" t="s">
        <v>38</v>
      </c>
      <c r="H900" s="2">
        <v>5.82</v>
      </c>
      <c r="I900" s="1">
        <v>15</v>
      </c>
      <c r="U900" s="1">
        <v>26</v>
      </c>
      <c r="X900" s="1">
        <v>19</v>
      </c>
      <c r="AA900" s="1">
        <v>3</v>
      </c>
      <c r="AB900" s="1">
        <v>3</v>
      </c>
      <c r="AC900" s="1">
        <v>659</v>
      </c>
      <c r="AF900" s="3">
        <v>2.5773195876288657</v>
      </c>
      <c r="AG900" s="3">
        <v>1.3313057717381791</v>
      </c>
      <c r="AH900" s="1">
        <v>6259</v>
      </c>
      <c r="AI900" s="1" t="b">
        <v>1</v>
      </c>
    </row>
    <row r="901" spans="1:35" x14ac:dyDescent="0.25">
      <c r="A901" s="1">
        <v>19</v>
      </c>
      <c r="B901" s="1">
        <v>12</v>
      </c>
      <c r="C901" s="1">
        <v>2019</v>
      </c>
      <c r="G901" s="1" t="s">
        <v>38</v>
      </c>
      <c r="H901" s="2">
        <v>7.03</v>
      </c>
      <c r="I901" s="1">
        <v>23</v>
      </c>
      <c r="U901" s="1">
        <v>33</v>
      </c>
      <c r="X901" s="1">
        <v>27</v>
      </c>
      <c r="AA901" s="1">
        <v>3</v>
      </c>
      <c r="AB901" s="1">
        <v>2</v>
      </c>
      <c r="AC901" s="1">
        <v>923</v>
      </c>
      <c r="AF901" s="3">
        <v>3.271692745376956</v>
      </c>
      <c r="AG901" s="3">
        <v>1.1970056946134326</v>
      </c>
      <c r="AH901" s="1">
        <v>6259</v>
      </c>
      <c r="AI901" s="1" t="b">
        <v>1</v>
      </c>
    </row>
    <row r="902" spans="1:35" x14ac:dyDescent="0.25">
      <c r="A902" s="1">
        <v>19</v>
      </c>
      <c r="B902" s="1">
        <v>12</v>
      </c>
      <c r="C902" s="1">
        <v>2019</v>
      </c>
      <c r="G902" s="1" t="s">
        <v>38</v>
      </c>
      <c r="H902" s="2">
        <v>4.1399999999999997</v>
      </c>
      <c r="I902" s="1">
        <v>9</v>
      </c>
      <c r="U902" s="1">
        <v>17</v>
      </c>
      <c r="X902" s="1">
        <v>14</v>
      </c>
      <c r="AA902" s="1">
        <v>3</v>
      </c>
      <c r="AB902" s="1">
        <v>2</v>
      </c>
      <c r="AC902" s="1">
        <v>531</v>
      </c>
      <c r="AF902" s="3">
        <v>2.1739130434782612</v>
      </c>
      <c r="AG902" s="3">
        <v>1.2435351638491288</v>
      </c>
      <c r="AH902" s="1">
        <v>6259</v>
      </c>
      <c r="AI902" s="1" t="b">
        <v>1</v>
      </c>
    </row>
    <row r="903" spans="1:35" x14ac:dyDescent="0.25">
      <c r="A903" s="1">
        <v>19</v>
      </c>
      <c r="B903" s="1">
        <v>12</v>
      </c>
      <c r="C903" s="1">
        <v>2019</v>
      </c>
      <c r="G903" s="1" t="s">
        <v>38</v>
      </c>
      <c r="H903" s="2">
        <v>5.21</v>
      </c>
      <c r="I903" s="1">
        <v>12</v>
      </c>
      <c r="U903" s="1">
        <v>21</v>
      </c>
      <c r="X903" s="1">
        <v>18</v>
      </c>
      <c r="AA903" s="1">
        <v>3</v>
      </c>
      <c r="AB903" s="1">
        <v>3</v>
      </c>
      <c r="AC903" s="1">
        <v>784</v>
      </c>
      <c r="AF903" s="3">
        <v>2.3032629558541267</v>
      </c>
      <c r="AG903" s="3">
        <v>1.3786146319087911</v>
      </c>
      <c r="AH903" s="1">
        <v>6259</v>
      </c>
      <c r="AI903" s="1" t="b">
        <v>1</v>
      </c>
    </row>
    <row r="904" spans="1:35" x14ac:dyDescent="0.25">
      <c r="A904" s="1">
        <v>19</v>
      </c>
      <c r="B904" s="1">
        <v>12</v>
      </c>
      <c r="C904" s="1">
        <v>2019</v>
      </c>
      <c r="G904" s="1" t="s">
        <v>38</v>
      </c>
      <c r="H904" s="2">
        <v>7.08</v>
      </c>
      <c r="I904" s="1">
        <v>16</v>
      </c>
      <c r="V904" s="1">
        <v>34</v>
      </c>
      <c r="X904" s="1">
        <v>24</v>
      </c>
      <c r="AA904" s="1">
        <v>3</v>
      </c>
      <c r="AB904" s="1">
        <v>3</v>
      </c>
      <c r="AC904" s="1">
        <v>924</v>
      </c>
      <c r="AF904" s="3">
        <v>2.2598870056497176</v>
      </c>
      <c r="AG904" s="3">
        <v>1.7415524374169067</v>
      </c>
      <c r="AH904" s="1">
        <v>6259</v>
      </c>
      <c r="AI904" s="1" t="b">
        <v>1</v>
      </c>
    </row>
    <row r="905" spans="1:35" x14ac:dyDescent="0.25">
      <c r="A905" s="1">
        <v>19</v>
      </c>
      <c r="B905" s="1">
        <v>12</v>
      </c>
      <c r="C905" s="1">
        <v>2019</v>
      </c>
      <c r="G905" s="1" t="s">
        <v>38</v>
      </c>
      <c r="H905" s="2">
        <v>4.99</v>
      </c>
      <c r="I905" s="1">
        <v>9</v>
      </c>
      <c r="U905" s="1">
        <v>12</v>
      </c>
      <c r="X905" s="1">
        <v>12</v>
      </c>
      <c r="AA905" s="1">
        <v>2</v>
      </c>
      <c r="AB905" s="1">
        <v>4</v>
      </c>
      <c r="AC905" s="1">
        <v>836</v>
      </c>
      <c r="AF905" s="3">
        <v>1.8036072144288577</v>
      </c>
      <c r="AG905" s="3">
        <v>1.7081594900590391</v>
      </c>
      <c r="AH905" s="1">
        <v>6259</v>
      </c>
      <c r="AI905" s="1" t="b">
        <v>1</v>
      </c>
    </row>
    <row r="906" spans="1:35" x14ac:dyDescent="0.25">
      <c r="A906" s="1">
        <v>19</v>
      </c>
      <c r="B906" s="1">
        <v>12</v>
      </c>
      <c r="C906" s="1">
        <v>2019</v>
      </c>
      <c r="G906" s="1" t="s">
        <v>38</v>
      </c>
      <c r="H906" s="2">
        <v>5.64</v>
      </c>
      <c r="I906" s="1">
        <v>16</v>
      </c>
      <c r="U906" s="1">
        <v>22</v>
      </c>
      <c r="X906" s="1">
        <v>20</v>
      </c>
      <c r="AA906" s="1">
        <v>3</v>
      </c>
      <c r="AB906" s="1">
        <v>2</v>
      </c>
      <c r="AC906" s="1">
        <v>844</v>
      </c>
      <c r="AF906" s="3">
        <v>2.8368794326241136</v>
      </c>
      <c r="AG906" s="3">
        <v>1.1831900099446535</v>
      </c>
      <c r="AH906" s="1">
        <v>6259</v>
      </c>
      <c r="AI906" s="1" t="b">
        <v>1</v>
      </c>
    </row>
    <row r="907" spans="1:35" x14ac:dyDescent="0.25">
      <c r="A907" s="1">
        <v>19</v>
      </c>
      <c r="B907" s="1">
        <v>12</v>
      </c>
      <c r="C907" s="1">
        <v>2019</v>
      </c>
      <c r="G907" s="1" t="s">
        <v>38</v>
      </c>
      <c r="H907" s="2">
        <v>8.7100000000000009</v>
      </c>
      <c r="I907" s="1">
        <v>27</v>
      </c>
      <c r="U907" s="1">
        <v>37</v>
      </c>
      <c r="X907" s="1">
        <v>34</v>
      </c>
      <c r="AA907" s="1">
        <v>2</v>
      </c>
      <c r="AB907" s="1">
        <v>3</v>
      </c>
      <c r="AC907" s="1">
        <v>1120</v>
      </c>
      <c r="AF907" s="3">
        <v>3.099885189437428</v>
      </c>
      <c r="AG907" s="3">
        <v>1.467800729990469</v>
      </c>
      <c r="AH907" s="1">
        <v>6259</v>
      </c>
      <c r="AI907" s="1" t="b">
        <v>1</v>
      </c>
    </row>
    <row r="908" spans="1:35" x14ac:dyDescent="0.25">
      <c r="A908" s="1">
        <v>19</v>
      </c>
      <c r="B908" s="1">
        <v>12</v>
      </c>
      <c r="C908" s="1">
        <v>2019</v>
      </c>
      <c r="G908" s="1" t="s">
        <v>38</v>
      </c>
      <c r="H908" s="2">
        <v>5.41</v>
      </c>
      <c r="I908" s="1">
        <v>18</v>
      </c>
      <c r="U908" s="1">
        <v>25</v>
      </c>
      <c r="X908" s="1">
        <v>23</v>
      </c>
      <c r="AA908" s="1">
        <v>2</v>
      </c>
      <c r="AB908" s="1">
        <v>3</v>
      </c>
      <c r="AC908" s="1">
        <v>776</v>
      </c>
      <c r="AF908" s="3">
        <v>3.3271719038817005</v>
      </c>
      <c r="AG908" s="3">
        <v>0.97985732952114923</v>
      </c>
      <c r="AH908" s="1">
        <v>6259</v>
      </c>
      <c r="AI908" s="1" t="b">
        <v>1</v>
      </c>
    </row>
    <row r="909" spans="1:35" x14ac:dyDescent="0.25">
      <c r="A909" s="1">
        <v>19</v>
      </c>
      <c r="B909" s="1">
        <v>12</v>
      </c>
      <c r="C909" s="1">
        <v>2019</v>
      </c>
      <c r="G909" s="1" t="s">
        <v>38</v>
      </c>
      <c r="H909" s="2">
        <v>5.52</v>
      </c>
      <c r="I909" s="1">
        <v>12</v>
      </c>
      <c r="U909" s="1">
        <v>21</v>
      </c>
      <c r="X909" s="1">
        <v>17</v>
      </c>
      <c r="AA909" s="1">
        <v>3</v>
      </c>
      <c r="AB909" s="1">
        <v>4</v>
      </c>
      <c r="AC909" s="1">
        <v>811</v>
      </c>
      <c r="AF909" s="3">
        <v>2.1739130434782612</v>
      </c>
      <c r="AG909" s="3">
        <v>1.5209508716206164</v>
      </c>
      <c r="AH909" s="1">
        <v>6259</v>
      </c>
      <c r="AI909" s="1" t="b">
        <v>1</v>
      </c>
    </row>
    <row r="910" spans="1:35" x14ac:dyDescent="0.25">
      <c r="A910" s="1">
        <v>19</v>
      </c>
      <c r="B910" s="1">
        <v>12</v>
      </c>
      <c r="C910" s="1">
        <v>2019</v>
      </c>
      <c r="G910" s="1" t="s">
        <v>38</v>
      </c>
      <c r="H910" s="2">
        <v>3.87</v>
      </c>
      <c r="I910" s="1">
        <v>7</v>
      </c>
      <c r="U910" s="1">
        <v>15</v>
      </c>
      <c r="X910" s="1">
        <v>9</v>
      </c>
      <c r="AA910" s="1">
        <v>4</v>
      </c>
      <c r="AB910" s="1">
        <v>2</v>
      </c>
      <c r="AC910" s="1">
        <v>576</v>
      </c>
      <c r="AF910" s="3">
        <v>1.8087855297157622</v>
      </c>
      <c r="AG910" s="3">
        <v>1.4256423911045015</v>
      </c>
      <c r="AH910" s="1">
        <v>6259</v>
      </c>
      <c r="AI910" s="1" t="b">
        <v>1</v>
      </c>
    </row>
    <row r="911" spans="1:35" x14ac:dyDescent="0.25">
      <c r="A911" s="1">
        <v>23</v>
      </c>
      <c r="B911" s="1">
        <v>12</v>
      </c>
      <c r="C911" s="1">
        <v>2019</v>
      </c>
      <c r="G911" s="1" t="s">
        <v>38</v>
      </c>
      <c r="H911" s="2">
        <v>4.51</v>
      </c>
      <c r="I911" s="1">
        <v>9</v>
      </c>
      <c r="U911" s="1">
        <v>17</v>
      </c>
      <c r="X911" s="1">
        <v>13</v>
      </c>
      <c r="AA911" s="1">
        <v>3</v>
      </c>
      <c r="AB911" s="1">
        <v>3</v>
      </c>
      <c r="AC911" s="1">
        <v>712</v>
      </c>
      <c r="AF911" s="3">
        <v>1.9955654101995566</v>
      </c>
      <c r="AG911" s="3">
        <v>1.4383269295586374</v>
      </c>
      <c r="AH911" s="1">
        <v>6260</v>
      </c>
      <c r="AI911" s="1" t="b">
        <v>1</v>
      </c>
    </row>
    <row r="912" spans="1:35" x14ac:dyDescent="0.25">
      <c r="A912" s="1">
        <v>23</v>
      </c>
      <c r="B912" s="1">
        <v>12</v>
      </c>
      <c r="C912" s="1">
        <v>2019</v>
      </c>
      <c r="G912" s="1" t="s">
        <v>38</v>
      </c>
      <c r="H912" s="2">
        <v>7.86</v>
      </c>
      <c r="I912" s="1">
        <v>23</v>
      </c>
      <c r="U912" s="1">
        <v>40</v>
      </c>
      <c r="X912" s="1">
        <v>33</v>
      </c>
      <c r="AA912" s="1">
        <v>4</v>
      </c>
      <c r="AB912" s="1">
        <v>5</v>
      </c>
      <c r="AC912" s="1">
        <v>1140</v>
      </c>
      <c r="AF912" s="3">
        <v>2.9262086513994912</v>
      </c>
      <c r="AG912" s="3">
        <v>1.4470731728364783</v>
      </c>
      <c r="AH912" s="1">
        <v>6260</v>
      </c>
      <c r="AI912" s="1" t="b">
        <v>1</v>
      </c>
    </row>
    <row r="913" spans="1:35" x14ac:dyDescent="0.25">
      <c r="A913" s="1">
        <v>23</v>
      </c>
      <c r="B913" s="1">
        <v>12</v>
      </c>
      <c r="C913" s="1">
        <v>2019</v>
      </c>
      <c r="G913" s="1" t="s">
        <v>38</v>
      </c>
      <c r="H913" s="2">
        <v>5.22</v>
      </c>
      <c r="I913" s="1">
        <v>17</v>
      </c>
      <c r="U913" s="1">
        <v>23</v>
      </c>
      <c r="X913" s="1">
        <v>21</v>
      </c>
      <c r="AA913" s="1">
        <v>2</v>
      </c>
      <c r="AB913" s="1">
        <v>4</v>
      </c>
      <c r="AC913" s="1">
        <v>806</v>
      </c>
      <c r="AF913" s="3">
        <v>3.2567049808429118</v>
      </c>
      <c r="AG913" s="3">
        <v>0.97631718490088248</v>
      </c>
      <c r="AH913" s="1">
        <v>6260</v>
      </c>
      <c r="AI913" s="1" t="b">
        <v>1</v>
      </c>
    </row>
    <row r="914" spans="1:35" x14ac:dyDescent="0.25">
      <c r="A914" s="1">
        <v>23</v>
      </c>
      <c r="B914" s="1">
        <v>12</v>
      </c>
      <c r="C914" s="1">
        <v>2019</v>
      </c>
      <c r="G914" s="1" t="s">
        <v>38</v>
      </c>
      <c r="H914" s="2">
        <v>6.33</v>
      </c>
      <c r="I914" s="1">
        <v>12</v>
      </c>
      <c r="V914" s="1">
        <v>26</v>
      </c>
      <c r="X914" s="1">
        <v>20</v>
      </c>
      <c r="AA914" s="1">
        <v>4</v>
      </c>
      <c r="AB914" s="1">
        <v>6</v>
      </c>
      <c r="AC914" s="1">
        <v>854</v>
      </c>
      <c r="AF914" s="3">
        <v>1.8957345971563981</v>
      </c>
      <c r="AG914" s="3">
        <v>1.9195748930926706</v>
      </c>
      <c r="AH914" s="1">
        <v>6260</v>
      </c>
      <c r="AI914" s="1" t="b">
        <v>1</v>
      </c>
    </row>
    <row r="915" spans="1:35" x14ac:dyDescent="0.25">
      <c r="A915" s="1">
        <v>23</v>
      </c>
      <c r="B915" s="1">
        <v>12</v>
      </c>
      <c r="C915" s="1">
        <v>2019</v>
      </c>
      <c r="G915" s="1" t="s">
        <v>38</v>
      </c>
      <c r="H915" s="2">
        <v>5.53</v>
      </c>
      <c r="I915" s="1">
        <v>17</v>
      </c>
      <c r="U915" s="1">
        <v>19</v>
      </c>
      <c r="X915" s="1">
        <v>18</v>
      </c>
      <c r="AA915" s="1">
        <v>1</v>
      </c>
      <c r="AB915" s="1">
        <v>2</v>
      </c>
      <c r="AC915" s="1">
        <v>855</v>
      </c>
      <c r="AF915" s="3">
        <v>3.0741410488245928</v>
      </c>
      <c r="AG915" s="3">
        <v>1.0769208909849772</v>
      </c>
      <c r="AH915" s="1">
        <v>6260</v>
      </c>
      <c r="AI915" s="1" t="b">
        <v>1</v>
      </c>
    </row>
    <row r="916" spans="1:35" x14ac:dyDescent="0.25">
      <c r="A916" s="1">
        <v>23</v>
      </c>
      <c r="B916" s="1">
        <v>12</v>
      </c>
      <c r="C916" s="1">
        <v>2019</v>
      </c>
      <c r="G916" s="1" t="s">
        <v>38</v>
      </c>
      <c r="H916" s="2">
        <v>5.21</v>
      </c>
      <c r="I916" s="1">
        <v>13</v>
      </c>
      <c r="U916" s="1">
        <v>21</v>
      </c>
      <c r="X916" s="1">
        <v>18</v>
      </c>
      <c r="AA916" s="1">
        <v>3</v>
      </c>
      <c r="AB916" s="1">
        <v>4</v>
      </c>
      <c r="AC916" s="1">
        <v>619</v>
      </c>
      <c r="AF916" s="3">
        <v>2.4952015355086372</v>
      </c>
      <c r="AG916" s="3">
        <v>1.2725673525311918</v>
      </c>
      <c r="AH916" s="1">
        <v>6260</v>
      </c>
      <c r="AI916" s="1" t="b">
        <v>1</v>
      </c>
    </row>
    <row r="917" spans="1:35" x14ac:dyDescent="0.25">
      <c r="A917" s="1">
        <v>23</v>
      </c>
      <c r="B917" s="1">
        <v>12</v>
      </c>
      <c r="C917" s="1">
        <v>2019</v>
      </c>
      <c r="G917" s="1" t="s">
        <v>38</v>
      </c>
      <c r="H917" s="2">
        <v>9.14</v>
      </c>
      <c r="I917" s="1">
        <v>18</v>
      </c>
      <c r="V917" s="1">
        <v>31</v>
      </c>
      <c r="X917" s="1">
        <v>25</v>
      </c>
      <c r="AA917" s="1">
        <v>2</v>
      </c>
      <c r="AB917" s="1">
        <v>3</v>
      </c>
      <c r="AC917" s="1">
        <v>1097</v>
      </c>
      <c r="AF917" s="3">
        <v>1.9693654266958422</v>
      </c>
      <c r="AG917" s="3">
        <v>2.3896595244260967</v>
      </c>
      <c r="AH917" s="1">
        <v>6260</v>
      </c>
      <c r="AI917" s="1" t="b">
        <v>1</v>
      </c>
    </row>
    <row r="918" spans="1:35" x14ac:dyDescent="0.25">
      <c r="A918" s="1">
        <v>23</v>
      </c>
      <c r="B918" s="1">
        <v>12</v>
      </c>
      <c r="C918" s="1">
        <v>2019</v>
      </c>
      <c r="G918" s="1" t="s">
        <v>38</v>
      </c>
      <c r="H918" s="2">
        <v>7.37</v>
      </c>
      <c r="I918" s="1">
        <v>21</v>
      </c>
      <c r="V918" s="1">
        <v>30</v>
      </c>
      <c r="X918" s="1">
        <v>26</v>
      </c>
      <c r="AA918" s="1">
        <v>2</v>
      </c>
      <c r="AB918" s="1">
        <v>6</v>
      </c>
      <c r="AC918" s="1">
        <v>917</v>
      </c>
      <c r="AF918" s="3">
        <v>2.8493894165535956</v>
      </c>
      <c r="AG918" s="3">
        <v>1.420611855293322</v>
      </c>
      <c r="AH918" s="1">
        <v>6260</v>
      </c>
      <c r="AI918" s="1" t="b">
        <v>1</v>
      </c>
    </row>
    <row r="919" spans="1:35" x14ac:dyDescent="0.25">
      <c r="A919" s="1">
        <v>23</v>
      </c>
      <c r="B919" s="1">
        <v>12</v>
      </c>
      <c r="C919" s="1">
        <v>2019</v>
      </c>
      <c r="G919" s="1" t="s">
        <v>38</v>
      </c>
      <c r="H919" s="2">
        <v>8.17</v>
      </c>
      <c r="I919" s="1">
        <v>16</v>
      </c>
      <c r="V919" s="1">
        <v>34</v>
      </c>
      <c r="X919" s="1">
        <v>24</v>
      </c>
      <c r="AA919" s="1">
        <v>4</v>
      </c>
      <c r="AB919" s="1">
        <v>5</v>
      </c>
      <c r="AC919" s="1">
        <v>1005</v>
      </c>
      <c r="AF919" s="3">
        <v>1.9583843329253365</v>
      </c>
      <c r="AG919" s="3">
        <v>2.221557269783347</v>
      </c>
      <c r="AH919" s="1">
        <v>6260</v>
      </c>
      <c r="AI919" s="1" t="b">
        <v>1</v>
      </c>
    </row>
    <row r="920" spans="1:35" x14ac:dyDescent="0.25">
      <c r="A920" s="1">
        <v>23</v>
      </c>
      <c r="B920" s="1">
        <v>12</v>
      </c>
      <c r="C920" s="1">
        <v>2019</v>
      </c>
      <c r="G920" s="1" t="s">
        <v>38</v>
      </c>
      <c r="H920" s="2">
        <v>7.54</v>
      </c>
      <c r="I920" s="1">
        <v>12</v>
      </c>
      <c r="V920" s="1">
        <v>27</v>
      </c>
      <c r="X920" s="1">
        <v>23</v>
      </c>
      <c r="AA920" s="1">
        <v>4</v>
      </c>
      <c r="AB920" s="1">
        <v>2</v>
      </c>
      <c r="AC920" s="1">
        <v>679</v>
      </c>
      <c r="AF920" s="3">
        <v>1.5915119363395225</v>
      </c>
      <c r="AG920" s="3">
        <v>2.5843423347811516</v>
      </c>
      <c r="AH920" s="1">
        <v>6260</v>
      </c>
      <c r="AI920" s="1" t="b">
        <v>1</v>
      </c>
    </row>
    <row r="921" spans="1:35" x14ac:dyDescent="0.25">
      <c r="A921" s="1">
        <v>23</v>
      </c>
      <c r="B921" s="1">
        <v>12</v>
      </c>
      <c r="C921" s="1">
        <v>2019</v>
      </c>
      <c r="G921" s="1" t="s">
        <v>38</v>
      </c>
      <c r="H921" s="2">
        <v>6.63</v>
      </c>
      <c r="I921" s="1">
        <v>13</v>
      </c>
      <c r="V921" s="1">
        <v>28</v>
      </c>
      <c r="X921" s="1">
        <v>23</v>
      </c>
      <c r="AA921" s="1">
        <v>4</v>
      </c>
      <c r="AB921" s="1">
        <v>5</v>
      </c>
      <c r="AC921" s="1">
        <v>777</v>
      </c>
      <c r="AF921" s="3">
        <v>1.9607843137254903</v>
      </c>
      <c r="AG921" s="3">
        <v>1.9170332518249924</v>
      </c>
      <c r="AH921" s="1">
        <v>6260</v>
      </c>
      <c r="AI921" s="1" t="b">
        <v>1</v>
      </c>
    </row>
    <row r="922" spans="1:35" x14ac:dyDescent="0.25">
      <c r="A922" s="1">
        <v>23</v>
      </c>
      <c r="B922" s="1">
        <v>12</v>
      </c>
      <c r="C922" s="1">
        <v>2019</v>
      </c>
      <c r="G922" s="1" t="s">
        <v>38</v>
      </c>
      <c r="H922" s="2">
        <v>6.41</v>
      </c>
      <c r="I922" s="1">
        <v>11</v>
      </c>
      <c r="V922" s="1">
        <v>21</v>
      </c>
      <c r="X922" s="1">
        <v>17</v>
      </c>
      <c r="AA922" s="1">
        <v>3</v>
      </c>
      <c r="AB922" s="1">
        <v>3</v>
      </c>
      <c r="AC922" s="1">
        <v>796</v>
      </c>
      <c r="AF922" s="3">
        <v>1.7160686427457097</v>
      </c>
      <c r="AG922" s="3">
        <v>2.1392717936583177</v>
      </c>
      <c r="AH922" s="1">
        <v>6260</v>
      </c>
      <c r="AI922" s="1" t="b">
        <v>1</v>
      </c>
    </row>
    <row r="923" spans="1:35" x14ac:dyDescent="0.25">
      <c r="A923" s="1">
        <v>23</v>
      </c>
      <c r="B923" s="1">
        <v>12</v>
      </c>
      <c r="C923" s="1">
        <v>2019</v>
      </c>
      <c r="G923" s="1" t="s">
        <v>38</v>
      </c>
      <c r="H923" s="2">
        <v>8.49</v>
      </c>
      <c r="I923" s="1">
        <v>28</v>
      </c>
      <c r="V923" s="1">
        <v>29</v>
      </c>
      <c r="X923" s="1">
        <v>24</v>
      </c>
      <c r="AA923" s="1">
        <v>1</v>
      </c>
      <c r="AB923" s="1">
        <v>1</v>
      </c>
      <c r="AC923" s="1">
        <v>941</v>
      </c>
      <c r="AF923" s="3">
        <v>3.2979976442873968</v>
      </c>
      <c r="AG923" s="3">
        <v>1.3551427378554022</v>
      </c>
      <c r="AH923" s="1">
        <v>6260</v>
      </c>
      <c r="AI923" s="1" t="b">
        <v>1</v>
      </c>
    </row>
    <row r="924" spans="1:35" x14ac:dyDescent="0.25">
      <c r="A924" s="1">
        <v>23</v>
      </c>
      <c r="B924" s="1">
        <v>12</v>
      </c>
      <c r="C924" s="1">
        <v>2019</v>
      </c>
      <c r="G924" s="1" t="s">
        <v>38</v>
      </c>
      <c r="H924" s="2">
        <v>5.61</v>
      </c>
      <c r="I924" s="1">
        <v>15</v>
      </c>
      <c r="V924" s="1">
        <v>26</v>
      </c>
      <c r="X924" s="1">
        <v>21</v>
      </c>
      <c r="AA924" s="1">
        <v>4</v>
      </c>
      <c r="AB924" s="1">
        <v>3</v>
      </c>
      <c r="AC924" s="1">
        <v>585</v>
      </c>
      <c r="AF924" s="3">
        <v>2.6737967914438503</v>
      </c>
      <c r="AG924" s="3">
        <v>1.2506782724453731</v>
      </c>
      <c r="AH924" s="1">
        <v>6260</v>
      </c>
      <c r="AI924" s="1" t="b">
        <v>1</v>
      </c>
    </row>
    <row r="925" spans="1:35" x14ac:dyDescent="0.25">
      <c r="A925" s="1">
        <v>23</v>
      </c>
      <c r="B925" s="1">
        <v>12</v>
      </c>
      <c r="C925" s="1">
        <v>2019</v>
      </c>
      <c r="G925" s="1" t="s">
        <v>38</v>
      </c>
      <c r="H925" s="2">
        <v>7.31</v>
      </c>
      <c r="I925" s="1">
        <v>23</v>
      </c>
      <c r="V925" s="1">
        <v>27</v>
      </c>
      <c r="X925" s="1">
        <v>23</v>
      </c>
      <c r="AA925" s="1">
        <v>2</v>
      </c>
      <c r="AB925" s="1">
        <v>2</v>
      </c>
      <c r="AC925" s="1">
        <v>906</v>
      </c>
      <c r="AF925" s="3">
        <v>3.1463748290013682</v>
      </c>
      <c r="AG925" s="3">
        <v>1.2791801302487589</v>
      </c>
      <c r="AH925" s="1">
        <v>6260</v>
      </c>
      <c r="AI925" s="1" t="b">
        <v>1</v>
      </c>
    </row>
    <row r="926" spans="1:35" x14ac:dyDescent="0.25">
      <c r="A926" s="1">
        <v>23</v>
      </c>
      <c r="B926" s="1">
        <v>12</v>
      </c>
      <c r="C926" s="1">
        <v>2019</v>
      </c>
      <c r="G926" s="1" t="s">
        <v>38</v>
      </c>
      <c r="H926" s="2">
        <v>4.84</v>
      </c>
      <c r="I926" s="1">
        <v>16</v>
      </c>
      <c r="U926" s="1">
        <v>21</v>
      </c>
      <c r="X926" s="1">
        <v>19</v>
      </c>
      <c r="AA926" s="1">
        <v>2</v>
      </c>
      <c r="AB926" s="1">
        <v>6</v>
      </c>
      <c r="AC926" s="1">
        <v>715</v>
      </c>
      <c r="AF926" s="3">
        <v>3.3057851239669422</v>
      </c>
      <c r="AG926" s="3">
        <v>0.9122568479802261</v>
      </c>
      <c r="AH926" s="1">
        <v>6260</v>
      </c>
      <c r="AI926" s="1" t="b">
        <v>1</v>
      </c>
    </row>
    <row r="927" spans="1:35" x14ac:dyDescent="0.25">
      <c r="A927" s="1">
        <v>23</v>
      </c>
      <c r="B927" s="1">
        <v>12</v>
      </c>
      <c r="C927" s="1">
        <v>2019</v>
      </c>
      <c r="G927" s="1" t="s">
        <v>38</v>
      </c>
      <c r="H927" s="2">
        <v>5.56</v>
      </c>
      <c r="I927" s="1">
        <v>16</v>
      </c>
      <c r="U927" s="1">
        <v>20</v>
      </c>
      <c r="X927" s="1">
        <v>19</v>
      </c>
      <c r="AA927" s="1">
        <v>2</v>
      </c>
      <c r="AB927" s="1">
        <v>4</v>
      </c>
      <c r="AC927" s="1">
        <v>735</v>
      </c>
      <c r="AF927" s="3">
        <v>2.877697841726619</v>
      </c>
      <c r="AG927" s="3">
        <v>1.1548010312366415</v>
      </c>
      <c r="AH927" s="1">
        <v>6260</v>
      </c>
      <c r="AI927" s="1" t="b">
        <v>1</v>
      </c>
    </row>
    <row r="928" spans="1:35" x14ac:dyDescent="0.25">
      <c r="A928" s="1">
        <v>23</v>
      </c>
      <c r="B928" s="1">
        <v>12</v>
      </c>
      <c r="C928" s="1">
        <v>2019</v>
      </c>
      <c r="G928" s="1" t="s">
        <v>38</v>
      </c>
      <c r="H928" s="2">
        <v>6.27</v>
      </c>
      <c r="I928" s="1">
        <v>19</v>
      </c>
      <c r="V928" s="1">
        <v>23</v>
      </c>
      <c r="X928" s="1">
        <v>21</v>
      </c>
      <c r="AA928" s="1">
        <v>2</v>
      </c>
      <c r="AB928" s="1">
        <v>3</v>
      </c>
      <c r="AC928" s="1">
        <v>712</v>
      </c>
      <c r="AF928" s="3">
        <v>3.0303030303030307</v>
      </c>
      <c r="AG928" s="3">
        <v>1.1928922538383471</v>
      </c>
      <c r="AH928" s="1">
        <v>6260</v>
      </c>
      <c r="AI928" s="1" t="b">
        <v>1</v>
      </c>
    </row>
    <row r="929" spans="1:35" x14ac:dyDescent="0.25">
      <c r="A929" s="1">
        <v>23</v>
      </c>
      <c r="B929" s="1">
        <v>12</v>
      </c>
      <c r="C929" s="1">
        <v>2019</v>
      </c>
      <c r="G929" s="1" t="s">
        <v>38</v>
      </c>
      <c r="H929" s="2">
        <v>8.94</v>
      </c>
      <c r="I929" s="1">
        <v>30</v>
      </c>
      <c r="V929" s="1">
        <v>39</v>
      </c>
      <c r="X929" s="1">
        <v>28</v>
      </c>
      <c r="AA929" s="1">
        <v>2</v>
      </c>
      <c r="AB929" s="1">
        <v>2</v>
      </c>
      <c r="AC929" s="1">
        <v>1022</v>
      </c>
      <c r="AF929" s="3">
        <v>3.3557046979865772</v>
      </c>
      <c r="AG929" s="3">
        <v>1.3808691502706756</v>
      </c>
      <c r="AH929" s="1">
        <v>6260</v>
      </c>
      <c r="AI929" s="1" t="b">
        <v>1</v>
      </c>
    </row>
    <row r="930" spans="1:35" x14ac:dyDescent="0.25">
      <c r="A930" s="1">
        <v>23</v>
      </c>
      <c r="B930" s="1">
        <v>12</v>
      </c>
      <c r="C930" s="1">
        <v>2019</v>
      </c>
      <c r="G930" s="1" t="s">
        <v>38</v>
      </c>
      <c r="H930" s="2">
        <v>6.99</v>
      </c>
      <c r="I930" s="1">
        <v>24</v>
      </c>
      <c r="U930" s="1">
        <v>29</v>
      </c>
      <c r="X930" s="1">
        <v>27</v>
      </c>
      <c r="AA930" s="1">
        <v>2</v>
      </c>
      <c r="AB930" s="1">
        <v>1</v>
      </c>
      <c r="AC930" s="1">
        <v>770</v>
      </c>
      <c r="AF930" s="3">
        <v>3.4334763948497855</v>
      </c>
      <c r="AG930" s="3">
        <v>1.1360565684952495</v>
      </c>
      <c r="AH930" s="1">
        <v>6260</v>
      </c>
      <c r="AI930" s="1" t="b">
        <v>1</v>
      </c>
    </row>
    <row r="931" spans="1:35" x14ac:dyDescent="0.25">
      <c r="A931" s="1">
        <v>23</v>
      </c>
      <c r="B931" s="1">
        <v>12</v>
      </c>
      <c r="C931" s="1">
        <v>2019</v>
      </c>
      <c r="G931" s="1" t="s">
        <v>38</v>
      </c>
      <c r="H931" s="2">
        <v>5.57</v>
      </c>
      <c r="I931" s="1">
        <v>11</v>
      </c>
      <c r="V931" s="1">
        <v>19</v>
      </c>
      <c r="X931" s="1">
        <v>16</v>
      </c>
      <c r="AA931" s="1">
        <v>3</v>
      </c>
      <c r="AB931" s="1">
        <v>3</v>
      </c>
      <c r="AC931" s="1">
        <v>518</v>
      </c>
      <c r="AF931" s="3">
        <v>1.9748653500897666</v>
      </c>
      <c r="AG931" s="3">
        <v>1.6848496290432962</v>
      </c>
      <c r="AH931" s="1">
        <v>6260</v>
      </c>
      <c r="AI931" s="1" t="b">
        <v>1</v>
      </c>
    </row>
    <row r="932" spans="1:35" x14ac:dyDescent="0.25">
      <c r="A932" s="1">
        <v>23</v>
      </c>
      <c r="B932" s="1">
        <v>12</v>
      </c>
      <c r="C932" s="1">
        <v>2019</v>
      </c>
      <c r="G932" s="1" t="s">
        <v>38</v>
      </c>
      <c r="H932" s="2">
        <v>7.52</v>
      </c>
      <c r="I932" s="1">
        <v>27</v>
      </c>
      <c r="V932" s="1">
        <v>32</v>
      </c>
      <c r="X932" s="1">
        <v>27</v>
      </c>
      <c r="AA932" s="1">
        <v>2</v>
      </c>
      <c r="AB932" s="1">
        <v>2</v>
      </c>
      <c r="AC932" s="1">
        <v>858</v>
      </c>
      <c r="AF932" s="3">
        <v>3.5904255319148937</v>
      </c>
      <c r="AG932" s="3">
        <v>1.1434220548927427</v>
      </c>
      <c r="AH932" s="1">
        <v>6260</v>
      </c>
      <c r="AI932" s="1" t="b">
        <v>1</v>
      </c>
    </row>
    <row r="933" spans="1:35" x14ac:dyDescent="0.25">
      <c r="A933" s="1">
        <v>23</v>
      </c>
      <c r="B933" s="1">
        <v>12</v>
      </c>
      <c r="C933" s="1">
        <v>2019</v>
      </c>
      <c r="G933" s="1" t="s">
        <v>38</v>
      </c>
      <c r="H933" s="2">
        <v>6.44</v>
      </c>
      <c r="I933" s="1">
        <v>17</v>
      </c>
      <c r="V933" s="1">
        <v>19</v>
      </c>
      <c r="X933" s="1">
        <v>18</v>
      </c>
      <c r="AA933" s="1">
        <v>3</v>
      </c>
      <c r="AB933" s="1">
        <v>5</v>
      </c>
      <c r="AC933" s="1">
        <v>702</v>
      </c>
      <c r="AF933" s="3">
        <v>2.639751552795031</v>
      </c>
      <c r="AG933" s="3">
        <v>1.3952661340039043</v>
      </c>
      <c r="AH933" s="1">
        <v>6260</v>
      </c>
      <c r="AI933" s="1" t="b">
        <v>1</v>
      </c>
    </row>
    <row r="934" spans="1:35" x14ac:dyDescent="0.25">
      <c r="A934" s="1">
        <v>23</v>
      </c>
      <c r="B934" s="1">
        <v>12</v>
      </c>
      <c r="C934" s="1">
        <v>2019</v>
      </c>
      <c r="G934" s="1" t="s">
        <v>38</v>
      </c>
      <c r="H934" s="2">
        <v>6.7</v>
      </c>
      <c r="I934" s="1">
        <v>26</v>
      </c>
      <c r="V934" s="1">
        <v>29</v>
      </c>
      <c r="X934" s="1">
        <v>26</v>
      </c>
      <c r="AA934" s="1">
        <v>2</v>
      </c>
      <c r="AB934" s="1">
        <v>2</v>
      </c>
      <c r="AC934" s="1">
        <v>910</v>
      </c>
      <c r="AF934" s="3">
        <v>3.8805970149253732</v>
      </c>
      <c r="AG934" s="3">
        <v>0.97578427847975291</v>
      </c>
      <c r="AH934" s="1">
        <v>6260</v>
      </c>
      <c r="AI934" s="1" t="b">
        <v>1</v>
      </c>
    </row>
    <row r="935" spans="1:35" x14ac:dyDescent="0.25">
      <c r="A935" s="1">
        <v>23</v>
      </c>
      <c r="B935" s="1">
        <v>12</v>
      </c>
      <c r="C935" s="1">
        <v>2019</v>
      </c>
      <c r="G935" s="1" t="s">
        <v>38</v>
      </c>
      <c r="H935" s="2">
        <v>6.06</v>
      </c>
      <c r="I935" s="1">
        <v>14</v>
      </c>
      <c r="V935" s="1">
        <v>25</v>
      </c>
      <c r="X935" s="1">
        <v>19</v>
      </c>
      <c r="AA935" s="1">
        <v>2</v>
      </c>
      <c r="AB935" s="1">
        <v>4</v>
      </c>
      <c r="AC935" s="1">
        <v>733</v>
      </c>
      <c r="AF935" s="3">
        <v>2.3102310231023102</v>
      </c>
      <c r="AG935" s="3">
        <v>1.5278313788862383</v>
      </c>
      <c r="AH935" s="1">
        <v>6260</v>
      </c>
      <c r="AI935" s="1" t="b">
        <v>1</v>
      </c>
    </row>
    <row r="936" spans="1:35" x14ac:dyDescent="0.25">
      <c r="A936" s="1">
        <v>23</v>
      </c>
      <c r="B936" s="1">
        <v>12</v>
      </c>
      <c r="C936" s="1">
        <v>2019</v>
      </c>
      <c r="G936" s="1" t="s">
        <v>38</v>
      </c>
      <c r="H936" s="2">
        <v>9.76</v>
      </c>
      <c r="I936" s="1">
        <v>23</v>
      </c>
      <c r="V936" s="1">
        <v>40</v>
      </c>
      <c r="X936" s="1">
        <v>29</v>
      </c>
      <c r="AA936" s="1">
        <v>3</v>
      </c>
      <c r="AB936" s="1">
        <v>1</v>
      </c>
      <c r="AC936" s="1">
        <v>961</v>
      </c>
      <c r="AF936" s="3">
        <v>2.3565573770491803</v>
      </c>
      <c r="AG936" s="3">
        <v>2.0909172907650948</v>
      </c>
      <c r="AH936" s="1">
        <v>6260</v>
      </c>
      <c r="AI936" s="1" t="b">
        <v>1</v>
      </c>
    </row>
    <row r="937" spans="1:35" x14ac:dyDescent="0.25">
      <c r="A937" s="1">
        <v>23</v>
      </c>
      <c r="B937" s="1">
        <v>12</v>
      </c>
      <c r="C937" s="1">
        <v>2019</v>
      </c>
      <c r="G937" s="1" t="s">
        <v>38</v>
      </c>
      <c r="H937" s="2">
        <v>3.14</v>
      </c>
      <c r="I937" s="1">
        <v>11</v>
      </c>
      <c r="U937" s="1">
        <v>13</v>
      </c>
      <c r="X937" s="1">
        <v>12</v>
      </c>
      <c r="AA937" s="1">
        <v>1</v>
      </c>
      <c r="AB937" s="1">
        <v>5</v>
      </c>
      <c r="AC937" s="1">
        <v>426</v>
      </c>
      <c r="AF937" s="3">
        <v>3.5031847133757958</v>
      </c>
      <c r="AG937" s="3">
        <v>0.63589837704198993</v>
      </c>
      <c r="AH937" s="1">
        <v>6260</v>
      </c>
      <c r="AI937" s="1" t="b">
        <v>1</v>
      </c>
    </row>
    <row r="938" spans="1:35" x14ac:dyDescent="0.25">
      <c r="A938" s="1">
        <v>23</v>
      </c>
      <c r="B938" s="1">
        <v>12</v>
      </c>
      <c r="C938" s="1">
        <v>2019</v>
      </c>
      <c r="G938" s="1" t="s">
        <v>38</v>
      </c>
      <c r="H938" s="2">
        <v>4.8099999999999996</v>
      </c>
      <c r="I938" s="1">
        <v>13</v>
      </c>
      <c r="U938" s="1">
        <v>16</v>
      </c>
      <c r="X938" s="1">
        <v>15</v>
      </c>
      <c r="AA938" s="1">
        <v>2</v>
      </c>
      <c r="AB938" s="1">
        <v>2</v>
      </c>
      <c r="AC938" s="1">
        <v>611</v>
      </c>
      <c r="AF938" s="3">
        <v>2.7027027027027031</v>
      </c>
      <c r="AG938" s="3">
        <v>1.1109724196351451</v>
      </c>
      <c r="AH938" s="1">
        <v>6260</v>
      </c>
      <c r="AI938" s="1" t="b">
        <v>1</v>
      </c>
    </row>
    <row r="939" spans="1:35" x14ac:dyDescent="0.25">
      <c r="A939" s="1">
        <v>23</v>
      </c>
      <c r="B939" s="1">
        <v>12</v>
      </c>
      <c r="C939" s="1">
        <v>2019</v>
      </c>
      <c r="G939" s="1" t="s">
        <v>38</v>
      </c>
      <c r="H939" s="2">
        <v>5.24</v>
      </c>
      <c r="I939" s="1">
        <v>12</v>
      </c>
      <c r="U939" s="1">
        <v>23</v>
      </c>
      <c r="X939" s="1">
        <v>17</v>
      </c>
      <c r="AA939" s="1">
        <v>3</v>
      </c>
      <c r="AB939" s="1">
        <v>4</v>
      </c>
      <c r="AC939" s="1">
        <v>606</v>
      </c>
      <c r="AF939" s="3">
        <v>2.2900763358778624</v>
      </c>
      <c r="AG939" s="3">
        <v>1.3921368896988229</v>
      </c>
      <c r="AH939" s="1">
        <v>6260</v>
      </c>
      <c r="AI939" s="1" t="b">
        <v>1</v>
      </c>
    </row>
    <row r="940" spans="1:35" x14ac:dyDescent="0.25">
      <c r="A940" s="1">
        <v>23</v>
      </c>
      <c r="B940" s="1">
        <v>12</v>
      </c>
      <c r="C940" s="1">
        <v>2019</v>
      </c>
      <c r="G940" s="1" t="s">
        <v>38</v>
      </c>
      <c r="H940" s="2">
        <v>3.46</v>
      </c>
      <c r="I940" s="1">
        <v>9</v>
      </c>
      <c r="U940" s="1">
        <v>18</v>
      </c>
      <c r="X940" s="1">
        <v>15</v>
      </c>
      <c r="AA940" s="1">
        <v>2</v>
      </c>
      <c r="AB940" s="1">
        <v>5</v>
      </c>
      <c r="AC940" s="1">
        <v>538</v>
      </c>
      <c r="AF940" s="3">
        <v>2.601156069364162</v>
      </c>
      <c r="AG940" s="3">
        <v>0.91661478578401911</v>
      </c>
      <c r="AH940" s="1">
        <v>6260</v>
      </c>
      <c r="AI940" s="1" t="b">
        <v>1</v>
      </c>
    </row>
    <row r="941" spans="1:35" x14ac:dyDescent="0.25">
      <c r="A941" s="1">
        <v>23</v>
      </c>
      <c r="B941" s="1">
        <v>12</v>
      </c>
      <c r="C941" s="1">
        <v>2019</v>
      </c>
      <c r="G941" s="1" t="s">
        <v>38</v>
      </c>
      <c r="H941" s="2">
        <v>7.67</v>
      </c>
      <c r="I941" s="1">
        <v>21</v>
      </c>
      <c r="U941" s="1">
        <v>33</v>
      </c>
      <c r="X941" s="1">
        <v>29</v>
      </c>
      <c r="AA941" s="1">
        <v>4</v>
      </c>
      <c r="AB941" s="1">
        <v>3</v>
      </c>
      <c r="AC941" s="1">
        <v>1131</v>
      </c>
      <c r="AF941" s="3">
        <v>2.7379400260756195</v>
      </c>
      <c r="AG941" s="3">
        <v>1.520312351904648</v>
      </c>
      <c r="AH941" s="1">
        <v>6260</v>
      </c>
      <c r="AI941" s="1" t="b">
        <v>1</v>
      </c>
    </row>
    <row r="942" spans="1:35" x14ac:dyDescent="0.25">
      <c r="A942" s="1">
        <v>23</v>
      </c>
      <c r="B942" s="1">
        <v>12</v>
      </c>
      <c r="C942" s="1">
        <v>2019</v>
      </c>
      <c r="G942" s="1" t="s">
        <v>38</v>
      </c>
      <c r="H942" s="2">
        <v>5.46</v>
      </c>
      <c r="I942" s="1">
        <v>17</v>
      </c>
      <c r="V942" s="1">
        <v>23</v>
      </c>
      <c r="X942" s="1">
        <v>19</v>
      </c>
      <c r="AA942" s="1">
        <v>4</v>
      </c>
      <c r="AB942" s="1">
        <v>3</v>
      </c>
      <c r="AC942" s="1">
        <v>805</v>
      </c>
      <c r="AF942" s="3">
        <v>3.1135531135531136</v>
      </c>
      <c r="AG942" s="3">
        <v>1.0538494451791549</v>
      </c>
      <c r="AH942" s="1">
        <v>6260</v>
      </c>
      <c r="AI942" s="1" t="b">
        <v>1</v>
      </c>
    </row>
    <row r="943" spans="1:35" x14ac:dyDescent="0.25">
      <c r="A943" s="1">
        <v>23</v>
      </c>
      <c r="B943" s="1">
        <v>12</v>
      </c>
      <c r="C943" s="1">
        <v>2019</v>
      </c>
      <c r="G943" s="1" t="s">
        <v>38</v>
      </c>
      <c r="H943" s="2">
        <v>5.39</v>
      </c>
      <c r="I943" s="1">
        <v>15</v>
      </c>
      <c r="V943" s="1">
        <v>18</v>
      </c>
      <c r="X943" s="1">
        <v>16</v>
      </c>
      <c r="AA943" s="1">
        <v>2</v>
      </c>
      <c r="AB943" s="1">
        <v>3</v>
      </c>
      <c r="AC943" s="1">
        <v>607</v>
      </c>
      <c r="AF943" s="3">
        <v>2.7829313543599259</v>
      </c>
      <c r="AG943" s="3">
        <v>1.1684486785815396</v>
      </c>
      <c r="AH943" s="1">
        <v>6260</v>
      </c>
      <c r="AI943" s="1" t="b">
        <v>1</v>
      </c>
    </row>
    <row r="944" spans="1:35" x14ac:dyDescent="0.25">
      <c r="A944" s="1">
        <v>23</v>
      </c>
      <c r="B944" s="1">
        <v>12</v>
      </c>
      <c r="C944" s="1">
        <v>2019</v>
      </c>
      <c r="G944" s="1" t="s">
        <v>38</v>
      </c>
      <c r="H944" s="2">
        <v>5.91</v>
      </c>
      <c r="I944" s="1">
        <v>17</v>
      </c>
      <c r="U944" s="1">
        <v>23</v>
      </c>
      <c r="X944" s="1">
        <v>19</v>
      </c>
      <c r="AA944" s="1">
        <v>2</v>
      </c>
      <c r="AB944" s="1">
        <v>2</v>
      </c>
      <c r="AC944" s="1">
        <v>782</v>
      </c>
      <c r="AF944" s="3">
        <v>2.8764805414551606</v>
      </c>
      <c r="AG944" s="3">
        <v>1.2057292484824931</v>
      </c>
      <c r="AH944" s="1">
        <v>6260</v>
      </c>
      <c r="AI944" s="1" t="b">
        <v>1</v>
      </c>
    </row>
    <row r="945" spans="1:35" x14ac:dyDescent="0.25">
      <c r="A945" s="1">
        <v>23</v>
      </c>
      <c r="B945" s="1">
        <v>12</v>
      </c>
      <c r="C945" s="1">
        <v>2019</v>
      </c>
      <c r="G945" s="1" t="s">
        <v>38</v>
      </c>
      <c r="H945" s="2">
        <v>8.1</v>
      </c>
      <c r="I945" s="1">
        <v>23</v>
      </c>
      <c r="U945" s="1">
        <v>36</v>
      </c>
      <c r="X945" s="1">
        <v>32</v>
      </c>
      <c r="AA945" s="1">
        <v>4</v>
      </c>
      <c r="AB945" s="1">
        <v>3</v>
      </c>
      <c r="AC945" s="1">
        <v>1034</v>
      </c>
      <c r="AF945" s="3">
        <v>2.8395061728395063</v>
      </c>
      <c r="AG945" s="3">
        <v>1.5229887527034263</v>
      </c>
      <c r="AH945" s="1">
        <v>6260</v>
      </c>
      <c r="AI945" s="1" t="b">
        <v>1</v>
      </c>
    </row>
    <row r="946" spans="1:35" x14ac:dyDescent="0.25">
      <c r="A946" s="1">
        <v>23</v>
      </c>
      <c r="B946" s="1">
        <v>12</v>
      </c>
      <c r="C946" s="1">
        <v>2019</v>
      </c>
      <c r="G946" s="1" t="s">
        <v>38</v>
      </c>
      <c r="H946" s="2">
        <v>8.52</v>
      </c>
      <c r="I946" s="1">
        <v>19</v>
      </c>
      <c r="V946" s="1">
        <v>33</v>
      </c>
      <c r="X946" s="1">
        <v>26</v>
      </c>
      <c r="AA946" s="1">
        <v>5</v>
      </c>
      <c r="AB946" s="1">
        <v>5</v>
      </c>
      <c r="AC946" s="1">
        <v>924</v>
      </c>
      <c r="AF946" s="3">
        <v>2.2300469483568075</v>
      </c>
      <c r="AG946" s="3">
        <v>2.0090637153019064</v>
      </c>
      <c r="AH946" s="1">
        <v>6260</v>
      </c>
      <c r="AI946" s="1" t="b">
        <v>1</v>
      </c>
    </row>
    <row r="947" spans="1:35" x14ac:dyDescent="0.25">
      <c r="A947" s="1">
        <v>23</v>
      </c>
      <c r="B947" s="1">
        <v>12</v>
      </c>
      <c r="C947" s="1">
        <v>2019</v>
      </c>
      <c r="G947" s="1" t="s">
        <v>38</v>
      </c>
      <c r="H947" s="2">
        <v>5.9</v>
      </c>
      <c r="I947" s="1">
        <v>19</v>
      </c>
      <c r="U947" s="1">
        <v>20</v>
      </c>
      <c r="X947" s="1">
        <v>19</v>
      </c>
      <c r="AA947" s="1">
        <v>1</v>
      </c>
      <c r="AB947" s="1">
        <v>3</v>
      </c>
      <c r="AC947" s="1">
        <v>871</v>
      </c>
      <c r="AF947" s="3">
        <v>3.2203389830508473</v>
      </c>
      <c r="AG947" s="3">
        <v>1.0757090412185955</v>
      </c>
      <c r="AH947" s="1">
        <v>6260</v>
      </c>
      <c r="AI947" s="1" t="b">
        <v>1</v>
      </c>
    </row>
    <row r="948" spans="1:35" x14ac:dyDescent="0.25">
      <c r="A948" s="1">
        <v>23</v>
      </c>
      <c r="B948" s="1">
        <v>12</v>
      </c>
      <c r="C948" s="1">
        <v>2019</v>
      </c>
      <c r="G948" s="1" t="s">
        <v>38</v>
      </c>
      <c r="H948" s="2">
        <v>9.19</v>
      </c>
      <c r="I948" s="1">
        <v>20</v>
      </c>
      <c r="V948" s="1">
        <v>34</v>
      </c>
      <c r="X948" s="1">
        <v>26</v>
      </c>
      <c r="AA948" s="1">
        <v>2</v>
      </c>
      <c r="AB948" s="1">
        <v>3</v>
      </c>
      <c r="AC948" s="1">
        <v>1098</v>
      </c>
      <c r="AF948" s="3">
        <v>2.1762785636561479</v>
      </c>
      <c r="AG948" s="3">
        <v>2.1707328257718723</v>
      </c>
      <c r="AH948" s="1">
        <v>6260</v>
      </c>
      <c r="AI948" s="1" t="b">
        <v>1</v>
      </c>
    </row>
    <row r="949" spans="1:35" x14ac:dyDescent="0.25">
      <c r="A949" s="1">
        <v>23</v>
      </c>
      <c r="B949" s="1">
        <v>12</v>
      </c>
      <c r="C949" s="1">
        <v>2019</v>
      </c>
      <c r="G949" s="1" t="s">
        <v>38</v>
      </c>
      <c r="H949" s="2">
        <v>4.6100000000000003</v>
      </c>
      <c r="I949" s="1">
        <v>13</v>
      </c>
      <c r="U949" s="1">
        <v>21</v>
      </c>
      <c r="X949" s="1">
        <v>17</v>
      </c>
      <c r="AA949" s="1">
        <v>2</v>
      </c>
      <c r="AB949" s="1">
        <v>3</v>
      </c>
      <c r="AC949" s="1">
        <v>641</v>
      </c>
      <c r="AF949" s="3">
        <v>2.8199566160520604</v>
      </c>
      <c r="AG949" s="3">
        <v>1.0335898143426667</v>
      </c>
      <c r="AH949" s="1">
        <v>6260</v>
      </c>
      <c r="AI949" s="1" t="b">
        <v>1</v>
      </c>
    </row>
    <row r="950" spans="1:35" x14ac:dyDescent="0.25">
      <c r="A950" s="1">
        <v>23</v>
      </c>
      <c r="B950" s="1">
        <v>12</v>
      </c>
      <c r="C950" s="1">
        <v>2019</v>
      </c>
      <c r="G950" s="1" t="s">
        <v>38</v>
      </c>
      <c r="H950" s="2">
        <v>7.28</v>
      </c>
      <c r="I950" s="1">
        <v>25</v>
      </c>
      <c r="U950" s="1">
        <v>38</v>
      </c>
      <c r="X950" s="1">
        <v>32</v>
      </c>
      <c r="AA950" s="1">
        <v>3</v>
      </c>
      <c r="AB950" s="1">
        <v>3</v>
      </c>
      <c r="AC950" s="1">
        <v>1106</v>
      </c>
      <c r="AF950" s="3">
        <v>3.4340659340659339</v>
      </c>
      <c r="AG950" s="3">
        <v>1.168646966683542</v>
      </c>
      <c r="AH950" s="1">
        <v>6260</v>
      </c>
      <c r="AI950" s="1" t="b">
        <v>1</v>
      </c>
    </row>
    <row r="951" spans="1:35" x14ac:dyDescent="0.25">
      <c r="A951" s="1">
        <v>23</v>
      </c>
      <c r="B951" s="1">
        <v>12</v>
      </c>
      <c r="C951" s="1">
        <v>2019</v>
      </c>
      <c r="G951" s="1" t="s">
        <v>38</v>
      </c>
      <c r="H951" s="2">
        <v>6.14</v>
      </c>
      <c r="I951" s="1">
        <v>17</v>
      </c>
      <c r="U951" s="1">
        <v>26</v>
      </c>
      <c r="X951" s="1">
        <v>20</v>
      </c>
      <c r="AA951" s="1">
        <v>2</v>
      </c>
      <c r="AB951" s="1">
        <v>2</v>
      </c>
      <c r="AC951" s="1">
        <v>756</v>
      </c>
      <c r="AF951" s="3">
        <v>2.7687296416938114</v>
      </c>
      <c r="AG951" s="3">
        <v>1.2865815214938279</v>
      </c>
      <c r="AH951" s="1">
        <v>6260</v>
      </c>
      <c r="AI951" s="1" t="b">
        <v>1</v>
      </c>
    </row>
    <row r="952" spans="1:35" x14ac:dyDescent="0.25">
      <c r="A952" s="1">
        <v>23</v>
      </c>
      <c r="B952" s="1">
        <v>12</v>
      </c>
      <c r="C952" s="1">
        <v>2019</v>
      </c>
      <c r="G952" s="1" t="s">
        <v>38</v>
      </c>
      <c r="H952" s="2">
        <v>5.62</v>
      </c>
      <c r="I952" s="1">
        <v>17</v>
      </c>
      <c r="U952" s="1">
        <v>21</v>
      </c>
      <c r="X952" s="1">
        <v>20</v>
      </c>
      <c r="AA952" s="1">
        <v>2</v>
      </c>
      <c r="AB952" s="1">
        <v>4</v>
      </c>
      <c r="AC952" s="1">
        <v>799</v>
      </c>
      <c r="AF952" s="3">
        <v>3.0249110320284696</v>
      </c>
      <c r="AG952" s="3">
        <v>1.106885797649662</v>
      </c>
      <c r="AH952" s="1">
        <v>6260</v>
      </c>
      <c r="AI952" s="1" t="b">
        <v>1</v>
      </c>
    </row>
    <row r="953" spans="1:35" x14ac:dyDescent="0.25">
      <c r="A953" s="1">
        <v>23</v>
      </c>
      <c r="B953" s="1">
        <v>12</v>
      </c>
      <c r="C953" s="1">
        <v>2019</v>
      </c>
      <c r="G953" s="1" t="s">
        <v>38</v>
      </c>
      <c r="H953" s="2">
        <v>7.61</v>
      </c>
      <c r="I953" s="1">
        <v>22</v>
      </c>
      <c r="U953" s="1">
        <v>37</v>
      </c>
      <c r="X953" s="1">
        <v>31</v>
      </c>
      <c r="AA953" s="1">
        <v>4</v>
      </c>
      <c r="AB953" s="1">
        <v>2</v>
      </c>
      <c r="AC953" s="1">
        <v>949</v>
      </c>
      <c r="AF953" s="3">
        <v>2.8909329829172141</v>
      </c>
      <c r="AG953" s="3">
        <v>1.4319611507798906</v>
      </c>
      <c r="AH953" s="1">
        <v>6260</v>
      </c>
      <c r="AI953" s="1" t="b">
        <v>1</v>
      </c>
    </row>
    <row r="954" spans="1:35" x14ac:dyDescent="0.25">
      <c r="A954" s="1">
        <v>23</v>
      </c>
      <c r="B954" s="1">
        <v>12</v>
      </c>
      <c r="C954" s="1">
        <v>2019</v>
      </c>
      <c r="G954" s="1" t="s">
        <v>38</v>
      </c>
      <c r="H954" s="2">
        <v>5.44</v>
      </c>
      <c r="I954" s="1">
        <v>16</v>
      </c>
      <c r="U954" s="1">
        <v>23</v>
      </c>
      <c r="X954" s="1">
        <v>19</v>
      </c>
      <c r="AA954" s="1">
        <v>2</v>
      </c>
      <c r="AB954" s="1">
        <v>2</v>
      </c>
      <c r="AC954" s="1">
        <v>613</v>
      </c>
      <c r="AF954" s="3">
        <v>2.9411764705882351</v>
      </c>
      <c r="AG954" s="3">
        <v>1.112751393521888</v>
      </c>
      <c r="AH954" s="1">
        <v>6260</v>
      </c>
      <c r="AI954" s="1" t="b">
        <v>1</v>
      </c>
    </row>
    <row r="955" spans="1:35" x14ac:dyDescent="0.25">
      <c r="A955" s="1">
        <v>23</v>
      </c>
      <c r="B955" s="1">
        <v>12</v>
      </c>
      <c r="C955" s="1">
        <v>2019</v>
      </c>
      <c r="G955" s="1" t="s">
        <v>38</v>
      </c>
      <c r="H955" s="2">
        <v>5.72</v>
      </c>
      <c r="I955" s="1">
        <v>17</v>
      </c>
      <c r="U955" s="1">
        <v>24</v>
      </c>
      <c r="X955" s="1">
        <v>20</v>
      </c>
      <c r="AA955" s="1">
        <v>2</v>
      </c>
      <c r="AB955" s="1">
        <v>2</v>
      </c>
      <c r="AC955" s="1">
        <v>941</v>
      </c>
      <c r="AF955" s="3">
        <v>2.9720279720279721</v>
      </c>
      <c r="AG955" s="3">
        <v>1.1405762590793989</v>
      </c>
      <c r="AH955" s="1">
        <v>6260</v>
      </c>
      <c r="AI955" s="1" t="b">
        <v>1</v>
      </c>
    </row>
    <row r="956" spans="1:35" x14ac:dyDescent="0.25">
      <c r="A956" s="1">
        <v>23</v>
      </c>
      <c r="B956" s="1">
        <v>12</v>
      </c>
      <c r="C956" s="1">
        <v>2019</v>
      </c>
      <c r="G956" s="1" t="s">
        <v>38</v>
      </c>
      <c r="H956" s="2">
        <v>8.36</v>
      </c>
      <c r="I956" s="1">
        <v>29</v>
      </c>
      <c r="U956" s="1">
        <v>39</v>
      </c>
      <c r="X956" s="1">
        <v>36</v>
      </c>
      <c r="AA956" s="1">
        <v>3</v>
      </c>
      <c r="AB956" s="1">
        <v>1</v>
      </c>
      <c r="AC956" s="1">
        <v>1217</v>
      </c>
      <c r="AF956" s="3">
        <v>3.4688995215311009</v>
      </c>
      <c r="AG956" s="3">
        <v>1.2745376636166346</v>
      </c>
      <c r="AH956" s="1">
        <v>6260</v>
      </c>
      <c r="AI956" s="1" t="b">
        <v>1</v>
      </c>
    </row>
    <row r="957" spans="1:35" x14ac:dyDescent="0.25">
      <c r="A957" s="1">
        <v>23</v>
      </c>
      <c r="B957" s="1">
        <v>12</v>
      </c>
      <c r="C957" s="1">
        <v>2019</v>
      </c>
      <c r="G957" s="1" t="s">
        <v>38</v>
      </c>
      <c r="H957" s="2">
        <v>5.88</v>
      </c>
      <c r="I957" s="1">
        <v>16</v>
      </c>
      <c r="U957" s="1">
        <v>25</v>
      </c>
      <c r="X957" s="1">
        <v>19</v>
      </c>
      <c r="AA957" s="1">
        <v>2</v>
      </c>
      <c r="AB957" s="1">
        <v>2</v>
      </c>
      <c r="AC957" s="1">
        <v>856</v>
      </c>
      <c r="AF957" s="3">
        <v>2.7210884353741496</v>
      </c>
      <c r="AG957" s="3">
        <v>1.2700519091836118</v>
      </c>
      <c r="AH957" s="1">
        <v>6260</v>
      </c>
      <c r="AI957" s="1" t="b">
        <v>1</v>
      </c>
    </row>
    <row r="958" spans="1:35" x14ac:dyDescent="0.25">
      <c r="A958" s="1">
        <v>23</v>
      </c>
      <c r="B958" s="1">
        <v>12</v>
      </c>
      <c r="C958" s="1">
        <v>2019</v>
      </c>
      <c r="G958" s="1" t="s">
        <v>38</v>
      </c>
      <c r="H958" s="2">
        <v>5.96</v>
      </c>
      <c r="I958" s="1">
        <v>17</v>
      </c>
      <c r="U958" s="1">
        <v>27</v>
      </c>
      <c r="X958" s="1">
        <v>23</v>
      </c>
      <c r="AA958" s="1">
        <v>3</v>
      </c>
      <c r="AB958" s="1">
        <v>4</v>
      </c>
      <c r="AC958" s="1">
        <v>908</v>
      </c>
      <c r="AF958" s="3">
        <v>2.8523489932885906</v>
      </c>
      <c r="AG958" s="3">
        <v>1.2231218377451762</v>
      </c>
      <c r="AH958" s="1">
        <v>6260</v>
      </c>
      <c r="AI958" s="1" t="b">
        <v>1</v>
      </c>
    </row>
    <row r="959" spans="1:35" x14ac:dyDescent="0.25">
      <c r="A959" s="1">
        <v>23</v>
      </c>
      <c r="B959" s="1">
        <v>12</v>
      </c>
      <c r="C959" s="1">
        <v>2019</v>
      </c>
      <c r="G959" s="1" t="s">
        <v>38</v>
      </c>
      <c r="H959" s="2">
        <v>7.36</v>
      </c>
      <c r="I959" s="1">
        <v>16</v>
      </c>
      <c r="U959" s="1">
        <v>32</v>
      </c>
      <c r="X959" s="1">
        <v>23</v>
      </c>
      <c r="AA959" s="1">
        <v>5</v>
      </c>
      <c r="AB959" s="1">
        <v>2</v>
      </c>
      <c r="AC959" s="1">
        <v>1036</v>
      </c>
      <c r="AF959" s="3">
        <v>2.1739130434782608</v>
      </c>
      <c r="AG959" s="3">
        <v>1.8602542341650841</v>
      </c>
      <c r="AH959" s="1">
        <v>6260</v>
      </c>
      <c r="AI959" s="1" t="b">
        <v>1</v>
      </c>
    </row>
    <row r="960" spans="1:35" x14ac:dyDescent="0.25">
      <c r="A960" s="1">
        <v>23</v>
      </c>
      <c r="B960" s="1">
        <v>12</v>
      </c>
      <c r="C960" s="1">
        <v>2019</v>
      </c>
      <c r="G960" s="1" t="s">
        <v>38</v>
      </c>
      <c r="H960" s="2">
        <v>4</v>
      </c>
      <c r="I960" s="1">
        <v>10</v>
      </c>
      <c r="U960" s="1">
        <v>18</v>
      </c>
      <c r="X960" s="1">
        <v>15</v>
      </c>
      <c r="AA960" s="1">
        <v>2</v>
      </c>
      <c r="AB960" s="1">
        <v>3</v>
      </c>
      <c r="AC960" s="1">
        <v>621</v>
      </c>
      <c r="AF960" s="3">
        <v>2.5</v>
      </c>
      <c r="AG960" s="3">
        <v>1.0556063286183153</v>
      </c>
      <c r="AH960" s="1">
        <v>6260</v>
      </c>
      <c r="AI960" s="1" t="b">
        <v>1</v>
      </c>
    </row>
    <row r="961" spans="1:35" x14ac:dyDescent="0.25">
      <c r="A961" s="1">
        <v>23</v>
      </c>
      <c r="B961" s="1">
        <v>12</v>
      </c>
      <c r="C961" s="1">
        <v>2019</v>
      </c>
      <c r="G961" s="1" t="s">
        <v>38</v>
      </c>
      <c r="H961" s="2">
        <v>6.11</v>
      </c>
      <c r="I961" s="1">
        <v>15</v>
      </c>
      <c r="U961" s="1">
        <v>25</v>
      </c>
      <c r="X961" s="1">
        <v>21</v>
      </c>
      <c r="AA961" s="1">
        <v>4</v>
      </c>
      <c r="AB961" s="1">
        <v>4</v>
      </c>
      <c r="AC961" s="1">
        <v>746</v>
      </c>
      <c r="AF961" s="3">
        <v>2.4549918166939442</v>
      </c>
      <c r="AG961" s="3">
        <v>1.4460349785458655</v>
      </c>
      <c r="AH961" s="1">
        <v>6260</v>
      </c>
      <c r="AI961" s="1" t="b">
        <v>1</v>
      </c>
    </row>
    <row r="962" spans="1:35" x14ac:dyDescent="0.25">
      <c r="A962" s="1">
        <v>23</v>
      </c>
      <c r="B962" s="1">
        <v>12</v>
      </c>
      <c r="C962" s="1">
        <v>2019</v>
      </c>
      <c r="G962" s="1" t="s">
        <v>38</v>
      </c>
      <c r="H962" s="2">
        <v>5.92</v>
      </c>
      <c r="I962" s="1">
        <v>19</v>
      </c>
      <c r="U962" s="1">
        <v>23</v>
      </c>
      <c r="X962" s="1">
        <v>19</v>
      </c>
      <c r="AA962" s="1">
        <v>1</v>
      </c>
      <c r="AB962" s="1">
        <v>2</v>
      </c>
      <c r="AC962" s="1">
        <v>713</v>
      </c>
      <c r="AF962" s="3">
        <v>3.2094594594594597</v>
      </c>
      <c r="AG962" s="3">
        <v>1.0819153947299345</v>
      </c>
      <c r="AH962" s="1">
        <v>6260</v>
      </c>
      <c r="AI962" s="1" t="b">
        <v>1</v>
      </c>
    </row>
    <row r="963" spans="1:35" x14ac:dyDescent="0.25">
      <c r="A963" s="1">
        <v>23</v>
      </c>
      <c r="B963" s="1">
        <v>12</v>
      </c>
      <c r="C963" s="1">
        <v>2019</v>
      </c>
      <c r="G963" s="1" t="s">
        <v>38</v>
      </c>
      <c r="H963" s="2">
        <v>4.91</v>
      </c>
      <c r="I963" s="1">
        <v>18</v>
      </c>
      <c r="U963" s="1">
        <v>22</v>
      </c>
      <c r="X963" s="1">
        <v>18</v>
      </c>
      <c r="AA963" s="1">
        <v>1</v>
      </c>
      <c r="AB963" s="1">
        <v>2</v>
      </c>
      <c r="AC963" s="1">
        <v>587</v>
      </c>
      <c r="AF963" s="3">
        <v>3.6659877800407332</v>
      </c>
      <c r="AG963" s="3">
        <v>0.83093304678484492</v>
      </c>
      <c r="AH963" s="1">
        <v>6260</v>
      </c>
      <c r="AI963" s="1" t="b">
        <v>1</v>
      </c>
    </row>
    <row r="964" spans="1:35" x14ac:dyDescent="0.25">
      <c r="A964" s="1">
        <v>23</v>
      </c>
      <c r="B964" s="1">
        <v>12</v>
      </c>
      <c r="C964" s="1">
        <v>2019</v>
      </c>
      <c r="G964" s="1" t="s">
        <v>38</v>
      </c>
      <c r="H964" s="2">
        <v>4.32</v>
      </c>
      <c r="I964" s="1">
        <v>11</v>
      </c>
      <c r="U964" s="1">
        <v>17</v>
      </c>
      <c r="X964" s="1">
        <v>15</v>
      </c>
      <c r="AA964" s="1">
        <v>3</v>
      </c>
      <c r="AB964" s="1">
        <v>3</v>
      </c>
      <c r="AC964" s="1">
        <v>715</v>
      </c>
      <c r="AF964" s="3">
        <v>2.5462962962962963</v>
      </c>
      <c r="AG964" s="3">
        <v>1.0937792607711176</v>
      </c>
      <c r="AH964" s="1">
        <v>6260</v>
      </c>
      <c r="AI964" s="1" t="b">
        <v>1</v>
      </c>
    </row>
    <row r="965" spans="1:35" x14ac:dyDescent="0.25">
      <c r="A965" s="1">
        <v>23</v>
      </c>
      <c r="B965" s="1">
        <v>12</v>
      </c>
      <c r="C965" s="1">
        <v>2019</v>
      </c>
      <c r="G965" s="1" t="s">
        <v>38</v>
      </c>
      <c r="H965" s="2">
        <v>4.16</v>
      </c>
      <c r="I965" s="1">
        <v>12</v>
      </c>
      <c r="U965" s="1">
        <v>22</v>
      </c>
      <c r="X965" s="1">
        <v>16</v>
      </c>
      <c r="AA965" s="1">
        <v>3</v>
      </c>
      <c r="AB965" s="1">
        <v>4</v>
      </c>
      <c r="AC965" s="1">
        <v>742</v>
      </c>
      <c r="AF965" s="3">
        <v>2.8846153846153846</v>
      </c>
      <c r="AG965" s="3">
        <v>0.94032377313013749</v>
      </c>
      <c r="AH965" s="1">
        <v>6260</v>
      </c>
      <c r="AI965" s="1" t="b">
        <v>1</v>
      </c>
    </row>
    <row r="966" spans="1:35" x14ac:dyDescent="0.25">
      <c r="A966" s="1">
        <v>23</v>
      </c>
      <c r="B966" s="1">
        <v>12</v>
      </c>
      <c r="C966" s="1">
        <v>2019</v>
      </c>
      <c r="G966" s="1" t="s">
        <v>38</v>
      </c>
      <c r="H966" s="2">
        <v>10.51</v>
      </c>
      <c r="I966" s="1">
        <v>25</v>
      </c>
      <c r="U966" s="1">
        <v>39</v>
      </c>
      <c r="X966" s="1">
        <v>31</v>
      </c>
      <c r="AA966" s="1">
        <v>3</v>
      </c>
      <c r="AB966" s="1">
        <v>2</v>
      </c>
      <c r="AC966" s="1">
        <v>1248</v>
      </c>
      <c r="AF966" s="3">
        <v>2.378686964795433</v>
      </c>
      <c r="AG966" s="3">
        <v>2.1816476398872711</v>
      </c>
      <c r="AH966" s="1">
        <v>6260</v>
      </c>
      <c r="AI966" s="1" t="b">
        <v>1</v>
      </c>
    </row>
    <row r="967" spans="1:35" x14ac:dyDescent="0.25">
      <c r="A967" s="1">
        <v>23</v>
      </c>
      <c r="B967" s="1">
        <v>12</v>
      </c>
      <c r="C967" s="1">
        <v>2019</v>
      </c>
      <c r="G967" s="1" t="s">
        <v>38</v>
      </c>
      <c r="H967" s="2">
        <v>5.12</v>
      </c>
      <c r="I967" s="1">
        <v>13</v>
      </c>
      <c r="U967" s="1">
        <v>25</v>
      </c>
      <c r="X967" s="1">
        <v>18</v>
      </c>
      <c r="AA967" s="1">
        <v>3</v>
      </c>
      <c r="AB967" s="1">
        <v>2</v>
      </c>
      <c r="AC967" s="1">
        <v>691</v>
      </c>
      <c r="AF967" s="3">
        <v>2.5390625</v>
      </c>
      <c r="AG967" s="3">
        <v>1.235422712600708</v>
      </c>
      <c r="AH967" s="1">
        <v>6260</v>
      </c>
      <c r="AI967" s="1" t="b">
        <v>1</v>
      </c>
    </row>
    <row r="968" spans="1:35" x14ac:dyDescent="0.25">
      <c r="A968" s="1">
        <v>23</v>
      </c>
      <c r="B968" s="1">
        <v>12</v>
      </c>
      <c r="C968" s="1">
        <v>2019</v>
      </c>
      <c r="G968" s="1" t="s">
        <v>38</v>
      </c>
      <c r="H968" s="2">
        <v>7.16</v>
      </c>
      <c r="I968" s="1">
        <v>17</v>
      </c>
      <c r="U968" s="1">
        <v>26</v>
      </c>
      <c r="X968" s="1">
        <v>21</v>
      </c>
      <c r="AA968" s="1">
        <v>3</v>
      </c>
      <c r="AB968" s="1">
        <v>2</v>
      </c>
      <c r="AC968" s="1">
        <v>845</v>
      </c>
      <c r="AF968" s="3">
        <v>2.3743016759776534</v>
      </c>
      <c r="AG968" s="3">
        <v>1.67071824968293</v>
      </c>
      <c r="AH968" s="1">
        <v>6260</v>
      </c>
      <c r="AI968" s="1" t="b">
        <v>1</v>
      </c>
    </row>
    <row r="969" spans="1:35" x14ac:dyDescent="0.25">
      <c r="A969" s="1">
        <v>23</v>
      </c>
      <c r="B969" s="1">
        <v>12</v>
      </c>
      <c r="C969" s="1">
        <v>2019</v>
      </c>
      <c r="G969" s="1" t="s">
        <v>38</v>
      </c>
      <c r="H969" s="2">
        <v>6.19</v>
      </c>
      <c r="I969" s="1">
        <v>11</v>
      </c>
      <c r="U969" s="1">
        <v>26</v>
      </c>
      <c r="X969" s="1">
        <v>19</v>
      </c>
      <c r="AA969" s="1">
        <v>3</v>
      </c>
      <c r="AB969" s="1">
        <v>2</v>
      </c>
      <c r="AC969" s="1">
        <v>985</v>
      </c>
      <c r="AF969" s="3">
        <v>1.7770597738287559</v>
      </c>
      <c r="AG969" s="3">
        <v>2.0159577135866495</v>
      </c>
      <c r="AH969" s="1">
        <v>6260</v>
      </c>
      <c r="AI969" s="1" t="b">
        <v>1</v>
      </c>
    </row>
    <row r="970" spans="1:35" x14ac:dyDescent="0.25">
      <c r="A970" s="1">
        <v>23</v>
      </c>
      <c r="B970" s="1">
        <v>12</v>
      </c>
      <c r="C970" s="1">
        <v>2019</v>
      </c>
      <c r="G970" s="1" t="s">
        <v>38</v>
      </c>
      <c r="H970" s="2">
        <v>5.82</v>
      </c>
      <c r="I970" s="1">
        <v>16</v>
      </c>
      <c r="U970" s="1">
        <v>24</v>
      </c>
      <c r="X970" s="1">
        <v>21</v>
      </c>
      <c r="AA970" s="1">
        <v>4</v>
      </c>
      <c r="AB970" s="1">
        <v>5</v>
      </c>
      <c r="AC970" s="1">
        <v>884</v>
      </c>
      <c r="AF970" s="3">
        <v>2.7491408934707904</v>
      </c>
      <c r="AG970" s="3">
        <v>1.2480991610045429</v>
      </c>
      <c r="AH970" s="1">
        <v>6260</v>
      </c>
      <c r="AI970" s="1" t="b">
        <v>1</v>
      </c>
    </row>
    <row r="971" spans="1:35" x14ac:dyDescent="0.25">
      <c r="A971" s="1">
        <v>23</v>
      </c>
      <c r="B971" s="1">
        <v>12</v>
      </c>
      <c r="C971" s="1">
        <v>2019</v>
      </c>
      <c r="G971" s="1" t="s">
        <v>38</v>
      </c>
      <c r="H971" s="2">
        <v>4.45</v>
      </c>
      <c r="I971" s="1">
        <v>11</v>
      </c>
      <c r="U971" s="1">
        <v>13</v>
      </c>
      <c r="X971" s="1">
        <v>12</v>
      </c>
      <c r="AA971" s="1">
        <v>2</v>
      </c>
      <c r="AB971" s="1">
        <v>3</v>
      </c>
      <c r="AC971" s="1">
        <v>655</v>
      </c>
      <c r="AF971" s="3">
        <v>2.4719101123595504</v>
      </c>
      <c r="AG971" s="3">
        <v>1.1503217555819172</v>
      </c>
      <c r="AH971" s="1">
        <v>6260</v>
      </c>
      <c r="AI971" s="1" t="b">
        <v>1</v>
      </c>
    </row>
    <row r="972" spans="1:35" x14ac:dyDescent="0.25">
      <c r="A972" s="1">
        <v>23</v>
      </c>
      <c r="B972" s="1">
        <v>12</v>
      </c>
      <c r="C972" s="1">
        <v>2019</v>
      </c>
      <c r="G972" s="1" t="s">
        <v>38</v>
      </c>
      <c r="H972" s="2">
        <v>4.74</v>
      </c>
      <c r="I972" s="1">
        <v>12</v>
      </c>
      <c r="U972" s="1">
        <v>16</v>
      </c>
      <c r="X972" s="1">
        <v>15</v>
      </c>
      <c r="AA972" s="1">
        <v>2</v>
      </c>
      <c r="AB972" s="1">
        <v>4</v>
      </c>
      <c r="AC972" s="1">
        <v>531</v>
      </c>
      <c r="AF972" s="3">
        <v>2.5316455696202529</v>
      </c>
      <c r="AG972" s="3">
        <v>1.1739292797924878</v>
      </c>
      <c r="AH972" s="1">
        <v>6260</v>
      </c>
      <c r="AI972" s="1" t="b">
        <v>1</v>
      </c>
    </row>
    <row r="973" spans="1:35" x14ac:dyDescent="0.25">
      <c r="A973" s="1">
        <v>23</v>
      </c>
      <c r="B973" s="1">
        <v>12</v>
      </c>
      <c r="C973" s="1">
        <v>2019</v>
      </c>
      <c r="G973" s="1" t="s">
        <v>38</v>
      </c>
      <c r="H973" s="2">
        <v>2.19</v>
      </c>
      <c r="I973" s="1">
        <v>5</v>
      </c>
      <c r="U973" s="1">
        <v>9</v>
      </c>
      <c r="X973" s="1">
        <v>6</v>
      </c>
      <c r="AA973" s="1">
        <v>2</v>
      </c>
      <c r="AB973" s="1">
        <v>2</v>
      </c>
      <c r="AC973" s="1">
        <v>439</v>
      </c>
      <c r="AF973" s="3">
        <v>2.2831050228310503</v>
      </c>
      <c r="AG973" s="3">
        <v>0.75820211384490788</v>
      </c>
      <c r="AH973" s="1">
        <v>6260</v>
      </c>
      <c r="AI973" s="1" t="b">
        <v>1</v>
      </c>
    </row>
    <row r="974" spans="1:35" x14ac:dyDescent="0.25">
      <c r="A974" s="1">
        <v>23</v>
      </c>
      <c r="B974" s="1">
        <v>12</v>
      </c>
      <c r="C974" s="1">
        <v>2019</v>
      </c>
      <c r="G974" s="1" t="s">
        <v>38</v>
      </c>
      <c r="H974" s="2">
        <v>3.9</v>
      </c>
      <c r="I974" s="1">
        <v>11</v>
      </c>
      <c r="U974" s="1">
        <v>20</v>
      </c>
      <c r="X974" s="1">
        <v>15</v>
      </c>
      <c r="AA974" s="1">
        <v>2</v>
      </c>
      <c r="AB974" s="1">
        <v>5</v>
      </c>
      <c r="AC974" s="1">
        <v>664</v>
      </c>
      <c r="AF974" s="3">
        <v>2.8205128205128207</v>
      </c>
      <c r="AG974" s="3">
        <v>0.91921509336929463</v>
      </c>
      <c r="AH974" s="1">
        <v>6260</v>
      </c>
      <c r="AI974" s="1" t="b">
        <v>1</v>
      </c>
    </row>
    <row r="975" spans="1:35" x14ac:dyDescent="0.25">
      <c r="A975" s="1">
        <v>23</v>
      </c>
      <c r="B975" s="1">
        <v>12</v>
      </c>
      <c r="C975" s="1">
        <v>2019</v>
      </c>
      <c r="G975" s="1" t="s">
        <v>38</v>
      </c>
      <c r="H975" s="2">
        <v>6.31</v>
      </c>
      <c r="I975" s="1">
        <v>19</v>
      </c>
      <c r="U975" s="1">
        <v>27</v>
      </c>
      <c r="X975" s="1">
        <v>23</v>
      </c>
      <c r="AA975" s="1">
        <v>2</v>
      </c>
      <c r="AB975" s="1">
        <v>5</v>
      </c>
      <c r="AC975" s="1">
        <v>1066</v>
      </c>
      <c r="AF975" s="3">
        <v>3.0110935023771792</v>
      </c>
      <c r="AG975" s="3">
        <v>1.2058583909532095</v>
      </c>
      <c r="AH975" s="1">
        <v>6260</v>
      </c>
      <c r="AI975" s="1" t="b">
        <v>1</v>
      </c>
    </row>
    <row r="976" spans="1:35" x14ac:dyDescent="0.25">
      <c r="A976" s="1">
        <v>23</v>
      </c>
      <c r="B976" s="1">
        <v>12</v>
      </c>
      <c r="C976" s="1">
        <v>2019</v>
      </c>
      <c r="G976" s="1" t="s">
        <v>38</v>
      </c>
      <c r="H976" s="2">
        <v>3.48</v>
      </c>
      <c r="I976" s="1">
        <v>9</v>
      </c>
      <c r="U976" s="1">
        <v>11</v>
      </c>
      <c r="X976" s="1">
        <v>9</v>
      </c>
      <c r="AA976" s="1">
        <v>1</v>
      </c>
      <c r="AB976" s="1">
        <v>3</v>
      </c>
      <c r="AC976" s="1">
        <v>533</v>
      </c>
      <c r="AF976" s="3">
        <v>2.5862068965517242</v>
      </c>
      <c r="AG976" s="3">
        <v>0.92564019524091323</v>
      </c>
      <c r="AH976" s="1">
        <v>6260</v>
      </c>
      <c r="AI976" s="1" t="b">
        <v>1</v>
      </c>
    </row>
    <row r="977" spans="1:35" x14ac:dyDescent="0.25">
      <c r="A977" s="1">
        <v>23</v>
      </c>
      <c r="B977" s="1">
        <v>12</v>
      </c>
      <c r="C977" s="1">
        <v>2019</v>
      </c>
      <c r="G977" s="1" t="s">
        <v>38</v>
      </c>
      <c r="H977" s="2">
        <v>3.53</v>
      </c>
      <c r="I977" s="1">
        <v>11</v>
      </c>
      <c r="U977" s="1">
        <v>13</v>
      </c>
      <c r="X977" s="1">
        <v>11</v>
      </c>
      <c r="AA977" s="1">
        <v>1</v>
      </c>
      <c r="AB977" s="1">
        <v>3</v>
      </c>
      <c r="AC977" s="1">
        <v>468</v>
      </c>
      <c r="AF977" s="3">
        <v>3.1161473087818701</v>
      </c>
      <c r="AG977" s="3">
        <v>0.77593316336581419</v>
      </c>
      <c r="AH977" s="1">
        <v>6260</v>
      </c>
      <c r="AI977" s="1" t="b">
        <v>1</v>
      </c>
    </row>
    <row r="978" spans="1:35" x14ac:dyDescent="0.25">
      <c r="A978" s="1">
        <v>23</v>
      </c>
      <c r="B978" s="1">
        <v>12</v>
      </c>
      <c r="C978" s="1">
        <v>2019</v>
      </c>
      <c r="G978" s="1" t="s">
        <v>38</v>
      </c>
      <c r="H978" s="2">
        <v>9.1199999999999992</v>
      </c>
      <c r="I978" s="1">
        <v>36</v>
      </c>
      <c r="V978" s="1">
        <v>45</v>
      </c>
      <c r="X978" s="1">
        <v>39</v>
      </c>
      <c r="AA978" s="1">
        <v>2</v>
      </c>
      <c r="AB978" s="1">
        <v>2</v>
      </c>
      <c r="AC978" s="1">
        <v>1277</v>
      </c>
      <c r="AF978" s="3">
        <v>3.9473684210526319</v>
      </c>
      <c r="AG978" s="3">
        <v>1.1903885048314906</v>
      </c>
      <c r="AH978" s="1">
        <v>6260</v>
      </c>
      <c r="AI978" s="1" t="b">
        <v>1</v>
      </c>
    </row>
    <row r="979" spans="1:35" x14ac:dyDescent="0.25">
      <c r="A979" s="1">
        <v>23</v>
      </c>
      <c r="B979" s="1">
        <v>12</v>
      </c>
      <c r="C979" s="1">
        <v>2019</v>
      </c>
      <c r="G979" s="1" t="s">
        <v>38</v>
      </c>
      <c r="H979" s="2">
        <v>8.69</v>
      </c>
      <c r="I979" s="1">
        <v>19</v>
      </c>
      <c r="U979" s="1">
        <v>35</v>
      </c>
      <c r="X979" s="1">
        <v>27</v>
      </c>
      <c r="AA979" s="1">
        <v>3</v>
      </c>
      <c r="AB979" s="1">
        <v>2</v>
      </c>
      <c r="AC979" s="1">
        <v>1387</v>
      </c>
      <c r="AF979" s="3">
        <v>2.186421173762946</v>
      </c>
      <c r="AG979" s="3">
        <v>2.077686505250115</v>
      </c>
      <c r="AH979" s="1">
        <v>6260</v>
      </c>
      <c r="AI979" s="1" t="b">
        <v>1</v>
      </c>
    </row>
    <row r="980" spans="1:35" x14ac:dyDescent="0.25">
      <c r="A980" s="1">
        <v>23</v>
      </c>
      <c r="B980" s="1">
        <v>12</v>
      </c>
      <c r="C980" s="1">
        <v>2019</v>
      </c>
      <c r="G980" s="1" t="s">
        <v>38</v>
      </c>
      <c r="H980" s="2">
        <v>9.7899999999999991</v>
      </c>
      <c r="I980" s="1">
        <v>37</v>
      </c>
      <c r="U980" s="1">
        <v>46</v>
      </c>
      <c r="X980" s="1">
        <v>42</v>
      </c>
      <c r="AA980" s="1">
        <v>2</v>
      </c>
      <c r="AB980" s="1">
        <v>1</v>
      </c>
      <c r="AC980" s="1">
        <v>1352</v>
      </c>
      <c r="AF980" s="3">
        <v>3.7793667007150158</v>
      </c>
      <c r="AG980" s="3">
        <v>1.3065584769815424</v>
      </c>
      <c r="AH980" s="1">
        <v>6260</v>
      </c>
      <c r="AI980" s="1" t="b">
        <v>1</v>
      </c>
    </row>
    <row r="981" spans="1:35" x14ac:dyDescent="0.25">
      <c r="A981" s="1">
        <v>23</v>
      </c>
      <c r="B981" s="1">
        <v>12</v>
      </c>
      <c r="C981" s="1">
        <v>2019</v>
      </c>
      <c r="G981" s="1" t="s">
        <v>38</v>
      </c>
      <c r="H981" s="2">
        <v>8.01</v>
      </c>
      <c r="I981" s="1">
        <v>21</v>
      </c>
      <c r="U981" s="1">
        <v>36</v>
      </c>
      <c r="X981" s="1">
        <v>29</v>
      </c>
      <c r="AA981" s="1">
        <v>4</v>
      </c>
      <c r="AB981" s="1">
        <v>4</v>
      </c>
      <c r="AC981" s="1">
        <v>1122</v>
      </c>
      <c r="AF981" s="3">
        <v>2.6217228464419478</v>
      </c>
      <c r="AG981" s="3">
        <v>1.6366506322804912</v>
      </c>
      <c r="AH981" s="1">
        <v>6260</v>
      </c>
      <c r="AI981" s="1" t="b">
        <v>1</v>
      </c>
    </row>
    <row r="982" spans="1:35" x14ac:dyDescent="0.25">
      <c r="A982" s="1">
        <v>23</v>
      </c>
      <c r="B982" s="1">
        <v>12</v>
      </c>
      <c r="C982" s="1">
        <v>2019</v>
      </c>
      <c r="G982" s="1" t="s">
        <v>38</v>
      </c>
      <c r="H982" s="2">
        <v>5.31</v>
      </c>
      <c r="I982" s="1">
        <v>17</v>
      </c>
      <c r="U982" s="1">
        <v>25</v>
      </c>
      <c r="X982" s="1">
        <v>19</v>
      </c>
      <c r="AA982" s="1">
        <v>2</v>
      </c>
      <c r="AB982" s="1">
        <v>1</v>
      </c>
      <c r="AC982" s="1">
        <v>618</v>
      </c>
      <c r="AF982" s="3">
        <v>3.2015065913370999</v>
      </c>
      <c r="AG982" s="3">
        <v>1.0051057661011233</v>
      </c>
      <c r="AH982" s="1">
        <v>6260</v>
      </c>
      <c r="AI982" s="1" t="b">
        <v>1</v>
      </c>
    </row>
    <row r="983" spans="1:35" x14ac:dyDescent="0.25">
      <c r="A983" s="1">
        <v>23</v>
      </c>
      <c r="B983" s="1">
        <v>12</v>
      </c>
      <c r="C983" s="1">
        <v>2019</v>
      </c>
      <c r="G983" s="1" t="s">
        <v>38</v>
      </c>
      <c r="H983" s="2">
        <v>5.92</v>
      </c>
      <c r="I983" s="1">
        <v>16</v>
      </c>
      <c r="U983" s="1">
        <v>20</v>
      </c>
      <c r="X983" s="1">
        <v>16</v>
      </c>
      <c r="AA983" s="1">
        <v>1</v>
      </c>
      <c r="AB983" s="1">
        <v>3</v>
      </c>
      <c r="AC983" s="1">
        <v>647</v>
      </c>
      <c r="AF983" s="3">
        <v>2.7027027027027026</v>
      </c>
      <c r="AG983" s="3">
        <v>1.2847745312417971</v>
      </c>
      <c r="AH983" s="1">
        <v>6260</v>
      </c>
      <c r="AI983" s="1" t="b">
        <v>1</v>
      </c>
    </row>
    <row r="984" spans="1:35" x14ac:dyDescent="0.25">
      <c r="A984" s="1">
        <v>23</v>
      </c>
      <c r="B984" s="1">
        <v>12</v>
      </c>
      <c r="C984" s="1">
        <v>2019</v>
      </c>
      <c r="G984" s="1" t="s">
        <v>38</v>
      </c>
      <c r="H984" s="2">
        <v>4.6900000000000004</v>
      </c>
      <c r="I984" s="1">
        <v>13</v>
      </c>
      <c r="U984" s="1">
        <v>21</v>
      </c>
      <c r="X984" s="1">
        <v>18</v>
      </c>
      <c r="AA984" s="1">
        <v>3</v>
      </c>
      <c r="AB984" s="1">
        <v>1</v>
      </c>
      <c r="AC984" s="1">
        <v>592</v>
      </c>
      <c r="AF984" s="3">
        <v>2.7718550106609805</v>
      </c>
      <c r="AG984" s="3">
        <v>1.0642667162967276</v>
      </c>
      <c r="AH984" s="1">
        <v>6260</v>
      </c>
      <c r="AI984" s="1" t="b">
        <v>1</v>
      </c>
    </row>
    <row r="985" spans="1:35" x14ac:dyDescent="0.25">
      <c r="A985" s="1">
        <v>23</v>
      </c>
      <c r="B985" s="1">
        <v>12</v>
      </c>
      <c r="C985" s="1">
        <v>2019</v>
      </c>
      <c r="G985" s="1" t="s">
        <v>38</v>
      </c>
      <c r="H985" s="2">
        <v>4.1100000000000003</v>
      </c>
      <c r="I985" s="1">
        <v>10</v>
      </c>
      <c r="U985" s="1">
        <v>15</v>
      </c>
      <c r="X985" s="1">
        <v>11</v>
      </c>
      <c r="AA985" s="1">
        <v>2</v>
      </c>
      <c r="AB985" s="1">
        <v>6</v>
      </c>
      <c r="AC985" s="1">
        <v>593</v>
      </c>
      <c r="AF985" s="3">
        <v>2.4330900243308999</v>
      </c>
      <c r="AG985" s="3">
        <v>1.1054296196481628</v>
      </c>
      <c r="AH985" s="1">
        <v>6260</v>
      </c>
      <c r="AI985" s="1" t="b">
        <v>1</v>
      </c>
    </row>
    <row r="986" spans="1:35" x14ac:dyDescent="0.25">
      <c r="A986" s="1">
        <v>23</v>
      </c>
      <c r="B986" s="1">
        <v>12</v>
      </c>
      <c r="C986" s="1">
        <v>2019</v>
      </c>
      <c r="G986" s="1" t="s">
        <v>38</v>
      </c>
      <c r="H986" s="2">
        <v>5.6</v>
      </c>
      <c r="I986" s="1">
        <v>14</v>
      </c>
      <c r="V986" s="1">
        <v>19</v>
      </c>
      <c r="X986" s="1">
        <v>15</v>
      </c>
      <c r="AA986" s="1">
        <v>2</v>
      </c>
      <c r="AB986" s="1">
        <v>4</v>
      </c>
      <c r="AC986" s="1">
        <v>701</v>
      </c>
      <c r="AF986" s="3">
        <v>2.5</v>
      </c>
      <c r="AG986" s="3">
        <v>1.3359543248514867</v>
      </c>
      <c r="AH986" s="1">
        <v>6260</v>
      </c>
      <c r="AI986" s="1" t="b">
        <v>1</v>
      </c>
    </row>
    <row r="987" spans="1:35" x14ac:dyDescent="0.25">
      <c r="A987" s="1">
        <v>23</v>
      </c>
      <c r="B987" s="1">
        <v>12</v>
      </c>
      <c r="C987" s="1">
        <v>2019</v>
      </c>
      <c r="G987" s="1" t="s">
        <v>38</v>
      </c>
      <c r="H987" s="2">
        <v>6.06</v>
      </c>
      <c r="I987" s="1">
        <v>20</v>
      </c>
      <c r="U987" s="1">
        <v>25</v>
      </c>
      <c r="X987" s="1">
        <v>22</v>
      </c>
      <c r="AA987" s="1">
        <v>2</v>
      </c>
      <c r="AB987" s="1">
        <v>3</v>
      </c>
      <c r="AC987" s="1">
        <v>828</v>
      </c>
      <c r="AF987" s="3">
        <v>3.3003300330033007</v>
      </c>
      <c r="AG987" s="3">
        <v>1.0694819652203669</v>
      </c>
      <c r="AH987" s="1">
        <v>6260</v>
      </c>
      <c r="AI987" s="1" t="b">
        <v>1</v>
      </c>
    </row>
    <row r="988" spans="1:35" x14ac:dyDescent="0.25">
      <c r="A988" s="1">
        <v>23</v>
      </c>
      <c r="B988" s="1">
        <v>12</v>
      </c>
      <c r="C988" s="1">
        <v>2019</v>
      </c>
      <c r="G988" s="1" t="s">
        <v>38</v>
      </c>
      <c r="H988" s="2">
        <v>4.72</v>
      </c>
      <c r="I988" s="1">
        <v>14</v>
      </c>
      <c r="U988" s="1">
        <v>20</v>
      </c>
      <c r="X988" s="1">
        <v>17</v>
      </c>
      <c r="AA988" s="1">
        <v>2</v>
      </c>
      <c r="AB988" s="1">
        <v>1</v>
      </c>
      <c r="AC988" s="1">
        <v>758</v>
      </c>
      <c r="AF988" s="3">
        <v>2.9661016949152543</v>
      </c>
      <c r="AG988" s="3">
        <v>0.99901811206816526</v>
      </c>
      <c r="AH988" s="1">
        <v>6260</v>
      </c>
      <c r="AI988" s="1" t="b">
        <v>1</v>
      </c>
    </row>
    <row r="989" spans="1:35" x14ac:dyDescent="0.25">
      <c r="A989" s="1">
        <v>23</v>
      </c>
      <c r="B989" s="1">
        <v>12</v>
      </c>
      <c r="C989" s="1">
        <v>2019</v>
      </c>
      <c r="G989" s="1" t="s">
        <v>38</v>
      </c>
      <c r="H989" s="2">
        <v>6.84</v>
      </c>
      <c r="I989" s="1">
        <v>17</v>
      </c>
      <c r="U989" s="1">
        <v>24</v>
      </c>
      <c r="X989" s="1">
        <v>21</v>
      </c>
      <c r="AA989" s="1">
        <v>2</v>
      </c>
      <c r="AB989" s="1">
        <v>2</v>
      </c>
      <c r="AC989" s="1">
        <v>928</v>
      </c>
      <c r="AF989" s="3">
        <v>2.4853801169590644</v>
      </c>
      <c r="AG989" s="3">
        <v>1.5457756137006085</v>
      </c>
      <c r="AH989" s="1">
        <v>6260</v>
      </c>
      <c r="AI989" s="1" t="b">
        <v>1</v>
      </c>
    </row>
    <row r="990" spans="1:35" x14ac:dyDescent="0.25">
      <c r="A990" s="1">
        <v>23</v>
      </c>
      <c r="B990" s="1">
        <v>12</v>
      </c>
      <c r="C990" s="1">
        <v>2019</v>
      </c>
      <c r="G990" s="1" t="s">
        <v>38</v>
      </c>
      <c r="H990" s="2">
        <v>4.68</v>
      </c>
      <c r="I990" s="1">
        <v>9</v>
      </c>
      <c r="U990" s="1">
        <v>22</v>
      </c>
      <c r="X990" s="1">
        <v>18</v>
      </c>
      <c r="AA990" s="1">
        <v>5</v>
      </c>
      <c r="AB990" s="1">
        <v>3</v>
      </c>
      <c r="AC990" s="1">
        <v>610</v>
      </c>
      <c r="AF990" s="3">
        <v>1.9230769230769231</v>
      </c>
      <c r="AG990" s="3">
        <v>1.5317060959570348</v>
      </c>
      <c r="AH990" s="1">
        <v>6260</v>
      </c>
      <c r="AI990" s="1" t="b">
        <v>1</v>
      </c>
    </row>
    <row r="991" spans="1:35" x14ac:dyDescent="0.25">
      <c r="A991" s="1">
        <v>23</v>
      </c>
      <c r="B991" s="1">
        <v>12</v>
      </c>
      <c r="C991" s="1">
        <v>2019</v>
      </c>
      <c r="G991" s="1" t="s">
        <v>38</v>
      </c>
      <c r="H991" s="2">
        <v>5.44</v>
      </c>
      <c r="I991" s="1">
        <v>12</v>
      </c>
      <c r="U991" s="1">
        <v>22</v>
      </c>
      <c r="X991" s="1">
        <v>19</v>
      </c>
      <c r="AA991" s="1">
        <v>3</v>
      </c>
      <c r="AB991" s="1">
        <v>3</v>
      </c>
      <c r="AC991" s="1">
        <v>676</v>
      </c>
      <c r="AF991" s="3">
        <v>2.2058823529411762</v>
      </c>
      <c r="AG991" s="3">
        <v>1.4836685246958508</v>
      </c>
      <c r="AH991" s="1">
        <v>6260</v>
      </c>
      <c r="AI991" s="1" t="b">
        <v>1</v>
      </c>
    </row>
    <row r="992" spans="1:35" x14ac:dyDescent="0.25">
      <c r="A992" s="1">
        <v>23</v>
      </c>
      <c r="B992" s="1">
        <v>12</v>
      </c>
      <c r="C992" s="1">
        <v>2019</v>
      </c>
      <c r="G992" s="1" t="s">
        <v>38</v>
      </c>
      <c r="H992" s="2">
        <v>3.44</v>
      </c>
      <c r="I992" s="1">
        <v>11</v>
      </c>
      <c r="U992" s="1">
        <v>16</v>
      </c>
      <c r="X992" s="1">
        <v>14</v>
      </c>
      <c r="AA992" s="1">
        <v>1</v>
      </c>
      <c r="AB992" s="1">
        <v>2</v>
      </c>
      <c r="AC992" s="1">
        <v>591</v>
      </c>
      <c r="AF992" s="3">
        <v>3.1976744186046511</v>
      </c>
      <c r="AG992" s="3">
        <v>0.74260294500580704</v>
      </c>
      <c r="AH992" s="1">
        <v>6260</v>
      </c>
      <c r="AI992" s="1" t="b">
        <v>1</v>
      </c>
    </row>
    <row r="993" spans="1:35" x14ac:dyDescent="0.25">
      <c r="A993" s="1">
        <v>23</v>
      </c>
      <c r="B993" s="1">
        <v>12</v>
      </c>
      <c r="C993" s="1">
        <v>2019</v>
      </c>
      <c r="G993" s="1" t="s">
        <v>38</v>
      </c>
      <c r="H993" s="2">
        <v>7.66</v>
      </c>
      <c r="I993" s="1">
        <v>27</v>
      </c>
      <c r="U993" s="1">
        <v>39</v>
      </c>
      <c r="X993" s="1">
        <v>35</v>
      </c>
      <c r="AA993" s="1">
        <v>3</v>
      </c>
      <c r="AB993" s="1">
        <v>2</v>
      </c>
      <c r="AC993" s="1">
        <v>1099</v>
      </c>
      <c r="AF993" s="3">
        <v>3.524804177545692</v>
      </c>
      <c r="AG993" s="3">
        <v>1.1798455102329255</v>
      </c>
      <c r="AH993" s="1">
        <v>6260</v>
      </c>
      <c r="AI993" s="1" t="b">
        <v>1</v>
      </c>
    </row>
    <row r="994" spans="1:35" x14ac:dyDescent="0.25">
      <c r="A994" s="1">
        <v>23</v>
      </c>
      <c r="B994" s="1">
        <v>12</v>
      </c>
      <c r="C994" s="1">
        <v>2019</v>
      </c>
      <c r="G994" s="1" t="s">
        <v>38</v>
      </c>
      <c r="H994" s="2">
        <v>5.52</v>
      </c>
      <c r="I994" s="1">
        <v>14</v>
      </c>
      <c r="U994" s="1">
        <v>20</v>
      </c>
      <c r="X994" s="1">
        <v>19</v>
      </c>
      <c r="AA994" s="1">
        <v>2</v>
      </c>
      <c r="AB994" s="1">
        <v>6</v>
      </c>
      <c r="AC994" s="1">
        <v>788</v>
      </c>
      <c r="AF994" s="3">
        <v>2.5362318840579712</v>
      </c>
      <c r="AG994" s="3">
        <v>1.303672175674814</v>
      </c>
      <c r="AH994" s="1">
        <v>6260</v>
      </c>
      <c r="AI994" s="1" t="b">
        <v>1</v>
      </c>
    </row>
    <row r="995" spans="1:35" x14ac:dyDescent="0.25">
      <c r="A995" s="1">
        <v>30</v>
      </c>
      <c r="B995" s="1">
        <v>12</v>
      </c>
      <c r="C995" s="1">
        <v>2019</v>
      </c>
      <c r="G995" s="1" t="s">
        <v>38</v>
      </c>
      <c r="H995" s="2">
        <v>9.14</v>
      </c>
      <c r="I995" s="1">
        <v>20</v>
      </c>
      <c r="V995" s="1">
        <v>34</v>
      </c>
      <c r="X995" s="1">
        <v>24</v>
      </c>
      <c r="AA995" s="1">
        <v>4</v>
      </c>
      <c r="AB995" s="1">
        <v>3</v>
      </c>
      <c r="AC995" s="1">
        <v>677</v>
      </c>
      <c r="AF995" s="3">
        <v>2.1881838074398248</v>
      </c>
      <c r="AG995" s="3">
        <v>2.1506935719834872</v>
      </c>
      <c r="AH995" s="1">
        <v>6261</v>
      </c>
      <c r="AI995" s="1" t="b">
        <v>1</v>
      </c>
    </row>
    <row r="996" spans="1:35" x14ac:dyDescent="0.25">
      <c r="A996" s="1">
        <v>2</v>
      </c>
      <c r="B996" s="1">
        <v>1</v>
      </c>
      <c r="C996" s="1">
        <v>2020</v>
      </c>
      <c r="G996" s="1" t="s">
        <v>38</v>
      </c>
      <c r="H996" s="2">
        <v>6.07</v>
      </c>
      <c r="I996" s="1">
        <v>18</v>
      </c>
      <c r="U996" s="1">
        <v>27</v>
      </c>
      <c r="X996" s="1">
        <v>21</v>
      </c>
      <c r="AA996" s="1">
        <v>2</v>
      </c>
      <c r="AB996" s="1">
        <v>3</v>
      </c>
      <c r="AC996" s="1">
        <v>878</v>
      </c>
      <c r="AF996" s="3">
        <v>2.9654036243822075</v>
      </c>
      <c r="AG996" s="3">
        <v>1.1916487718374722</v>
      </c>
      <c r="AH996" s="1">
        <v>6261</v>
      </c>
      <c r="AI996" s="1" t="b">
        <v>1</v>
      </c>
    </row>
    <row r="997" spans="1:35" x14ac:dyDescent="0.25">
      <c r="A997" s="1">
        <v>2</v>
      </c>
      <c r="B997" s="1">
        <v>1</v>
      </c>
      <c r="C997" s="1">
        <v>2020</v>
      </c>
      <c r="G997" s="1" t="s">
        <v>38</v>
      </c>
      <c r="H997" s="2">
        <v>6.98</v>
      </c>
      <c r="I997" s="1">
        <v>19</v>
      </c>
      <c r="U997" s="1">
        <v>28</v>
      </c>
      <c r="X997" s="1">
        <v>24</v>
      </c>
      <c r="AA997" s="1">
        <v>2</v>
      </c>
      <c r="AB997" s="1">
        <v>5</v>
      </c>
      <c r="AC997" s="1">
        <v>1066</v>
      </c>
      <c r="AF997" s="3">
        <v>2.7220630372492836</v>
      </c>
      <c r="AG997" s="3">
        <v>1.4315305396515938</v>
      </c>
      <c r="AH997" s="1">
        <v>6261</v>
      </c>
      <c r="AI997" s="1" t="b">
        <v>1</v>
      </c>
    </row>
    <row r="998" spans="1:35" x14ac:dyDescent="0.25">
      <c r="A998" s="1">
        <v>2</v>
      </c>
      <c r="B998" s="1">
        <v>1</v>
      </c>
      <c r="C998" s="1">
        <v>2020</v>
      </c>
      <c r="G998" s="1" t="s">
        <v>38</v>
      </c>
      <c r="H998" s="2">
        <v>5.74</v>
      </c>
      <c r="I998" s="1">
        <v>10</v>
      </c>
      <c r="U998" s="1">
        <v>18</v>
      </c>
      <c r="X998" s="1">
        <v>15</v>
      </c>
      <c r="AA998" s="1">
        <v>3</v>
      </c>
      <c r="AB998" s="1">
        <v>5</v>
      </c>
      <c r="AC998" s="1">
        <v>674</v>
      </c>
      <c r="AF998" s="3">
        <v>1.7421602787456445</v>
      </c>
      <c r="AG998" s="3">
        <v>1.9505191434807763</v>
      </c>
      <c r="AH998" s="1">
        <v>6261</v>
      </c>
      <c r="AI998" s="1" t="b">
        <v>1</v>
      </c>
    </row>
    <row r="999" spans="1:35" x14ac:dyDescent="0.25">
      <c r="A999" s="1">
        <v>2</v>
      </c>
      <c r="B999" s="1">
        <v>1</v>
      </c>
      <c r="C999" s="1">
        <v>2020</v>
      </c>
      <c r="G999" s="1" t="s">
        <v>38</v>
      </c>
      <c r="H999" s="2">
        <v>6.06</v>
      </c>
      <c r="I999" s="1">
        <v>20</v>
      </c>
      <c r="U999" s="1">
        <v>31</v>
      </c>
      <c r="X999" s="1">
        <v>26</v>
      </c>
      <c r="AA999" s="1">
        <v>3</v>
      </c>
      <c r="AB999" s="1">
        <v>2</v>
      </c>
      <c r="AC999" s="1">
        <v>874</v>
      </c>
      <c r="AF999" s="3">
        <v>3.3003300330033007</v>
      </c>
      <c r="AG999" s="3">
        <v>1.0694819652203669</v>
      </c>
      <c r="AH999" s="1">
        <v>6261</v>
      </c>
      <c r="AI999" s="1" t="b">
        <v>1</v>
      </c>
    </row>
    <row r="1000" spans="1:35" x14ac:dyDescent="0.25">
      <c r="A1000" s="1">
        <v>2</v>
      </c>
      <c r="B1000" s="1">
        <v>1</v>
      </c>
      <c r="C1000" s="1">
        <v>2020</v>
      </c>
      <c r="G1000" s="1" t="s">
        <v>38</v>
      </c>
      <c r="H1000" s="2">
        <v>5.44</v>
      </c>
      <c r="I1000" s="1">
        <v>14</v>
      </c>
      <c r="U1000" s="1">
        <v>21</v>
      </c>
      <c r="X1000" s="1">
        <v>20</v>
      </c>
      <c r="AA1000" s="1">
        <v>3</v>
      </c>
      <c r="AB1000" s="1">
        <v>3</v>
      </c>
      <c r="AC1000" s="1">
        <v>762</v>
      </c>
      <c r="AF1000" s="3">
        <v>2.5735294117647056</v>
      </c>
      <c r="AG1000" s="3">
        <v>1.2717158783107292</v>
      </c>
      <c r="AH1000" s="1">
        <v>6261</v>
      </c>
      <c r="AI1000" s="1" t="b">
        <v>1</v>
      </c>
    </row>
    <row r="1001" spans="1:35" x14ac:dyDescent="0.25">
      <c r="A1001" s="1">
        <v>2</v>
      </c>
      <c r="B1001" s="1">
        <v>1</v>
      </c>
      <c r="C1001" s="1">
        <v>2020</v>
      </c>
      <c r="G1001" s="1" t="s">
        <v>38</v>
      </c>
      <c r="H1001" s="2">
        <v>7.84</v>
      </c>
      <c r="I1001" s="1">
        <v>24</v>
      </c>
      <c r="U1001" s="1">
        <v>39</v>
      </c>
      <c r="X1001" s="1">
        <v>33</v>
      </c>
      <c r="AA1001" s="1">
        <v>3</v>
      </c>
      <c r="AB1001" s="1">
        <v>3</v>
      </c>
      <c r="AC1001" s="1">
        <v>1133</v>
      </c>
      <c r="AF1001" s="3">
        <v>3.0612244897959182</v>
      </c>
      <c r="AG1001" s="3">
        <v>1.3807850138736342</v>
      </c>
      <c r="AH1001" s="1">
        <v>6261</v>
      </c>
      <c r="AI1001" s="1" t="b">
        <v>1</v>
      </c>
    </row>
    <row r="1002" spans="1:35" x14ac:dyDescent="0.25">
      <c r="A1002" s="1">
        <v>2</v>
      </c>
      <c r="B1002" s="1">
        <v>1</v>
      </c>
      <c r="C1002" s="1">
        <v>2020</v>
      </c>
      <c r="G1002" s="1" t="s">
        <v>38</v>
      </c>
      <c r="H1002" s="2">
        <v>5.01</v>
      </c>
      <c r="I1002" s="1">
        <v>16</v>
      </c>
      <c r="U1002" s="1">
        <v>20</v>
      </c>
      <c r="X1002" s="1">
        <v>18</v>
      </c>
      <c r="AA1002" s="1">
        <v>2</v>
      </c>
      <c r="AB1002" s="1">
        <v>2</v>
      </c>
      <c r="AC1002" s="1">
        <v>648</v>
      </c>
      <c r="AF1002" s="3">
        <v>3.1936127744510978</v>
      </c>
      <c r="AG1002" s="3">
        <v>0.96739569703177108</v>
      </c>
      <c r="AH1002" s="1">
        <v>6261</v>
      </c>
      <c r="AI1002" s="1" t="b">
        <v>1</v>
      </c>
    </row>
    <row r="1003" spans="1:35" x14ac:dyDescent="0.25">
      <c r="A1003" s="1">
        <v>8</v>
      </c>
      <c r="B1003" s="1">
        <v>1</v>
      </c>
      <c r="C1003" s="1">
        <v>2020</v>
      </c>
      <c r="G1003" s="1" t="s">
        <v>38</v>
      </c>
      <c r="H1003" s="2">
        <v>6.01</v>
      </c>
      <c r="I1003" s="1">
        <v>14</v>
      </c>
      <c r="U1003" s="1">
        <v>30</v>
      </c>
      <c r="X1003" s="1">
        <v>26</v>
      </c>
      <c r="AA1003" s="1">
        <v>4</v>
      </c>
      <c r="AB1003" s="1">
        <v>3</v>
      </c>
      <c r="AC1003" s="1">
        <v>925</v>
      </c>
      <c r="AF1003" s="3">
        <v>2.3294509151414311</v>
      </c>
      <c r="AG1003" s="3">
        <v>1.5064633372476794</v>
      </c>
      <c r="AH1003" s="1">
        <v>6262</v>
      </c>
      <c r="AI1003" s="1" t="b">
        <v>1</v>
      </c>
    </row>
    <row r="1004" spans="1:35" x14ac:dyDescent="0.25">
      <c r="A1004" s="1">
        <v>8</v>
      </c>
      <c r="B1004" s="1">
        <v>1</v>
      </c>
      <c r="C1004" s="1">
        <v>2020</v>
      </c>
      <c r="G1004" s="1" t="s">
        <v>38</v>
      </c>
      <c r="H1004" s="2">
        <v>6.07</v>
      </c>
      <c r="I1004" s="1">
        <v>13</v>
      </c>
      <c r="U1004" s="1">
        <v>29</v>
      </c>
      <c r="X1004" s="1">
        <v>24</v>
      </c>
      <c r="AA1004" s="1">
        <v>4</v>
      </c>
      <c r="AB1004" s="1">
        <v>4</v>
      </c>
      <c r="AC1004" s="1">
        <v>964</v>
      </c>
      <c r="AF1004" s="3">
        <v>2.1416803953871497</v>
      </c>
      <c r="AG1004" s="3">
        <v>1.6499752225441924</v>
      </c>
      <c r="AH1004" s="1">
        <v>6262</v>
      </c>
      <c r="AI1004" s="1" t="b">
        <v>1</v>
      </c>
    </row>
    <row r="1005" spans="1:35" x14ac:dyDescent="0.25">
      <c r="A1005" s="1">
        <v>8</v>
      </c>
      <c r="B1005" s="1">
        <v>1</v>
      </c>
      <c r="C1005" s="1">
        <v>2020</v>
      </c>
      <c r="G1005" s="1" t="s">
        <v>38</v>
      </c>
      <c r="H1005" s="2">
        <v>4.88</v>
      </c>
      <c r="I1005" s="1">
        <v>19</v>
      </c>
      <c r="U1005" s="1">
        <v>22</v>
      </c>
      <c r="X1005" s="1">
        <v>22</v>
      </c>
      <c r="AA1005" s="1">
        <v>2</v>
      </c>
      <c r="AB1005" s="1">
        <v>3</v>
      </c>
      <c r="AC1005" s="1">
        <v>773</v>
      </c>
      <c r="AF1005" s="3">
        <v>3.8934426229508197</v>
      </c>
      <c r="AG1005" s="3">
        <v>0.7790406085488143</v>
      </c>
      <c r="AH1005" s="1">
        <v>6262</v>
      </c>
      <c r="AI1005" s="1" t="b">
        <v>1</v>
      </c>
    </row>
    <row r="1006" spans="1:35" x14ac:dyDescent="0.25">
      <c r="A1006" s="1">
        <v>8</v>
      </c>
      <c r="B1006" s="1">
        <v>1</v>
      </c>
      <c r="C1006" s="1">
        <v>2020</v>
      </c>
      <c r="G1006" s="1" t="s">
        <v>38</v>
      </c>
      <c r="H1006" s="2">
        <v>5.05</v>
      </c>
      <c r="I1006" s="1">
        <v>11</v>
      </c>
      <c r="U1006" s="1">
        <v>23</v>
      </c>
      <c r="X1006" s="1">
        <v>19</v>
      </c>
      <c r="AA1006" s="1">
        <v>5</v>
      </c>
      <c r="AB1006" s="1">
        <v>4</v>
      </c>
      <c r="AC1006" s="1">
        <v>897</v>
      </c>
      <c r="AF1006" s="3">
        <v>2.1782178217821784</v>
      </c>
      <c r="AG1006" s="3">
        <v>1.4262729893325903</v>
      </c>
      <c r="AH1006" s="1">
        <v>6262</v>
      </c>
      <c r="AI1006" s="1" t="b">
        <v>1</v>
      </c>
    </row>
    <row r="1007" spans="1:35" x14ac:dyDescent="0.25">
      <c r="A1007" s="1">
        <v>8</v>
      </c>
      <c r="B1007" s="1">
        <v>1</v>
      </c>
      <c r="C1007" s="1">
        <v>2020</v>
      </c>
      <c r="G1007" s="1" t="s">
        <v>38</v>
      </c>
      <c r="H1007" s="2">
        <v>6.06</v>
      </c>
      <c r="I1007" s="1">
        <v>14</v>
      </c>
      <c r="U1007" s="1">
        <v>21</v>
      </c>
      <c r="X1007" s="1">
        <v>17</v>
      </c>
      <c r="AA1007" s="1">
        <v>2</v>
      </c>
      <c r="AB1007" s="1">
        <v>3</v>
      </c>
      <c r="AC1007" s="1">
        <v>817</v>
      </c>
      <c r="AF1007" s="3">
        <v>2.3102310231023102</v>
      </c>
      <c r="AG1007" s="3">
        <v>1.5278313788862383</v>
      </c>
      <c r="AH1007" s="1">
        <v>6262</v>
      </c>
      <c r="AI1007" s="1" t="b">
        <v>1</v>
      </c>
    </row>
    <row r="1008" spans="1:35" x14ac:dyDescent="0.25">
      <c r="A1008" s="1">
        <v>8</v>
      </c>
      <c r="B1008" s="1">
        <v>1</v>
      </c>
      <c r="C1008" s="1">
        <v>2020</v>
      </c>
      <c r="G1008" s="1" t="s">
        <v>38</v>
      </c>
      <c r="H1008" s="2">
        <v>3.84</v>
      </c>
      <c r="I1008" s="1">
        <v>10</v>
      </c>
      <c r="U1008" s="1">
        <v>14</v>
      </c>
      <c r="X1008" s="1">
        <v>12</v>
      </c>
      <c r="AA1008" s="1">
        <v>2</v>
      </c>
      <c r="AB1008" s="1">
        <v>6</v>
      </c>
      <c r="AC1008" s="1">
        <v>501</v>
      </c>
      <c r="AF1008" s="3">
        <v>2.604166666666667</v>
      </c>
      <c r="AG1008" s="3">
        <v>0.98483410848596087</v>
      </c>
      <c r="AH1008" s="1">
        <v>6262</v>
      </c>
      <c r="AI1008" s="1" t="b">
        <v>1</v>
      </c>
    </row>
    <row r="1009" spans="1:35" x14ac:dyDescent="0.25">
      <c r="A1009" s="1">
        <v>8</v>
      </c>
      <c r="B1009" s="1">
        <v>1</v>
      </c>
      <c r="C1009" s="1">
        <v>2020</v>
      </c>
      <c r="G1009" s="1" t="s">
        <v>38</v>
      </c>
      <c r="H1009" s="2">
        <v>5.13</v>
      </c>
      <c r="I1009" s="1">
        <v>12</v>
      </c>
      <c r="U1009" s="1">
        <v>20</v>
      </c>
      <c r="X1009" s="1">
        <v>17</v>
      </c>
      <c r="AA1009" s="1">
        <v>2</v>
      </c>
      <c r="AB1009" s="1">
        <v>7</v>
      </c>
      <c r="AC1009" s="1">
        <v>798</v>
      </c>
      <c r="AF1009" s="3">
        <v>2.3391812865497075</v>
      </c>
      <c r="AG1009" s="3">
        <v>1.3428214644251124</v>
      </c>
      <c r="AH1009" s="1">
        <v>6262</v>
      </c>
      <c r="AI1009" s="1" t="b">
        <v>1</v>
      </c>
    </row>
    <row r="1010" spans="1:35" x14ac:dyDescent="0.25">
      <c r="A1010" s="1">
        <v>8</v>
      </c>
      <c r="B1010" s="1">
        <v>1</v>
      </c>
      <c r="C1010" s="1">
        <v>2020</v>
      </c>
      <c r="G1010" s="1" t="s">
        <v>38</v>
      </c>
      <c r="H1010" s="2">
        <v>7.06</v>
      </c>
      <c r="I1010" s="1">
        <v>22</v>
      </c>
      <c r="U1010" s="1">
        <v>35</v>
      </c>
      <c r="X1010" s="1">
        <v>27</v>
      </c>
      <c r="AA1010" s="1">
        <v>2</v>
      </c>
      <c r="AB1010" s="1">
        <v>4</v>
      </c>
      <c r="AC1010" s="1">
        <v>928</v>
      </c>
      <c r="AF1010" s="3">
        <v>3.1161473087818701</v>
      </c>
      <c r="AG1010" s="3">
        <v>1.260507142712314</v>
      </c>
      <c r="AH1010" s="1">
        <v>6262</v>
      </c>
      <c r="AI1010" s="1" t="b">
        <v>1</v>
      </c>
    </row>
    <row r="1011" spans="1:35" x14ac:dyDescent="0.25">
      <c r="A1011" s="1">
        <v>8</v>
      </c>
      <c r="B1011" s="1">
        <v>1</v>
      </c>
      <c r="C1011" s="1">
        <v>2020</v>
      </c>
      <c r="G1011" s="1" t="s">
        <v>38</v>
      </c>
      <c r="H1011" s="2">
        <v>7.65</v>
      </c>
      <c r="I1011" s="1">
        <v>22</v>
      </c>
      <c r="U1011" s="1">
        <v>32</v>
      </c>
      <c r="X1011" s="1">
        <v>28</v>
      </c>
      <c r="AA1011" s="1">
        <v>3</v>
      </c>
      <c r="AB1011" s="1">
        <v>3</v>
      </c>
      <c r="AC1011" s="1">
        <v>1062</v>
      </c>
      <c r="AF1011" s="3">
        <v>2.8758169934640523</v>
      </c>
      <c r="AG1011" s="3">
        <v>1.4447801258817632</v>
      </c>
      <c r="AH1011" s="1">
        <v>6262</v>
      </c>
      <c r="AI1011" s="1" t="b">
        <v>1</v>
      </c>
    </row>
    <row r="1012" spans="1:35" x14ac:dyDescent="0.25">
      <c r="A1012" s="1">
        <v>8</v>
      </c>
      <c r="B1012" s="1">
        <v>1</v>
      </c>
      <c r="C1012" s="1">
        <v>2020</v>
      </c>
      <c r="G1012" s="1" t="s">
        <v>38</v>
      </c>
      <c r="H1012" s="2">
        <v>4.29</v>
      </c>
      <c r="I1012" s="1">
        <v>11</v>
      </c>
      <c r="U1012" s="1">
        <v>14</v>
      </c>
      <c r="X1012" s="1">
        <v>12</v>
      </c>
      <c r="AA1012" s="1">
        <v>2</v>
      </c>
      <c r="AB1012" s="1">
        <v>3</v>
      </c>
      <c r="AC1012" s="1">
        <v>631</v>
      </c>
      <c r="AF1012" s="3">
        <v>2.5641025641025639</v>
      </c>
      <c r="AG1012" s="3">
        <v>1.0808979957532829</v>
      </c>
      <c r="AH1012" s="1">
        <v>6262</v>
      </c>
      <c r="AI1012" s="1" t="b">
        <v>1</v>
      </c>
    </row>
    <row r="1013" spans="1:35" x14ac:dyDescent="0.25">
      <c r="A1013" s="1">
        <v>8</v>
      </c>
      <c r="B1013" s="1">
        <v>1</v>
      </c>
      <c r="C1013" s="1">
        <v>2020</v>
      </c>
      <c r="G1013" s="1" t="s">
        <v>38</v>
      </c>
      <c r="H1013" s="2">
        <v>4.24</v>
      </c>
      <c r="I1013" s="1">
        <v>8</v>
      </c>
      <c r="U1013" s="1">
        <v>18</v>
      </c>
      <c r="X1013" s="1">
        <v>13</v>
      </c>
      <c r="AA1013" s="1">
        <v>3</v>
      </c>
      <c r="AB1013" s="1">
        <v>3</v>
      </c>
      <c r="AC1013" s="1">
        <v>537</v>
      </c>
      <c r="AF1013" s="3">
        <v>1.8867924528301885</v>
      </c>
      <c r="AG1013" s="3">
        <v>1.4569074671516382</v>
      </c>
      <c r="AH1013" s="1">
        <v>6262</v>
      </c>
      <c r="AI1013" s="1" t="b">
        <v>1</v>
      </c>
    </row>
    <row r="1014" spans="1:35" x14ac:dyDescent="0.25">
      <c r="A1014" s="1">
        <v>8</v>
      </c>
      <c r="B1014" s="1">
        <v>1</v>
      </c>
      <c r="C1014" s="1">
        <v>2020</v>
      </c>
      <c r="G1014" s="1" t="s">
        <v>38</v>
      </c>
      <c r="H1014" s="2">
        <v>3.76</v>
      </c>
      <c r="I1014" s="1">
        <v>11</v>
      </c>
      <c r="U1014" s="1">
        <v>15</v>
      </c>
      <c r="X1014" s="1">
        <v>13</v>
      </c>
      <c r="AA1014" s="1">
        <v>2</v>
      </c>
      <c r="AB1014" s="1">
        <v>3</v>
      </c>
      <c r="AC1014" s="1">
        <v>602</v>
      </c>
      <c r="AF1014" s="3">
        <v>2.9255319148936172</v>
      </c>
      <c r="AG1014" s="3">
        <v>0.86382675509925544</v>
      </c>
      <c r="AH1014" s="1">
        <v>6262</v>
      </c>
      <c r="AI1014" s="1" t="b">
        <v>1</v>
      </c>
    </row>
    <row r="1015" spans="1:35" x14ac:dyDescent="0.25">
      <c r="A1015" s="1">
        <v>8</v>
      </c>
      <c r="B1015" s="1">
        <v>1</v>
      </c>
      <c r="C1015" s="1">
        <v>2020</v>
      </c>
      <c r="G1015" s="1" t="s">
        <v>38</v>
      </c>
      <c r="H1015" s="2">
        <v>7.85</v>
      </c>
      <c r="I1015" s="1">
        <v>18</v>
      </c>
      <c r="U1015" s="1">
        <v>35</v>
      </c>
      <c r="X1015" s="1">
        <v>28</v>
      </c>
      <c r="AA1015" s="1">
        <v>4</v>
      </c>
      <c r="AB1015" s="1">
        <v>4</v>
      </c>
      <c r="AC1015" s="1">
        <v>999</v>
      </c>
      <c r="AF1015" s="3">
        <v>2.2929936305732483</v>
      </c>
      <c r="AG1015" s="3">
        <v>1.8450405326260284</v>
      </c>
      <c r="AH1015" s="1">
        <v>6262</v>
      </c>
      <c r="AI1015" s="1" t="b">
        <v>1</v>
      </c>
    </row>
    <row r="1016" spans="1:35" x14ac:dyDescent="0.25">
      <c r="A1016" s="1">
        <v>8</v>
      </c>
      <c r="B1016" s="1">
        <v>1</v>
      </c>
      <c r="C1016" s="1">
        <v>2020</v>
      </c>
      <c r="G1016" s="1" t="s">
        <v>38</v>
      </c>
      <c r="H1016" s="2">
        <v>5.91</v>
      </c>
      <c r="I1016" s="1">
        <v>12</v>
      </c>
      <c r="U1016" s="1">
        <v>27</v>
      </c>
      <c r="X1016" s="1">
        <v>21</v>
      </c>
      <c r="AA1016" s="1">
        <v>4</v>
      </c>
      <c r="AB1016" s="1">
        <v>4</v>
      </c>
      <c r="AC1016" s="1">
        <v>890</v>
      </c>
      <c r="AF1016" s="3">
        <v>2.030456852791878</v>
      </c>
      <c r="AG1016" s="3">
        <v>1.7081164353501983</v>
      </c>
      <c r="AH1016" s="1">
        <v>6262</v>
      </c>
      <c r="AI1016" s="1" t="b">
        <v>1</v>
      </c>
    </row>
    <row r="1017" spans="1:35" x14ac:dyDescent="0.25">
      <c r="A1017" s="1">
        <v>8</v>
      </c>
      <c r="B1017" s="1">
        <v>1</v>
      </c>
      <c r="C1017" s="1">
        <v>2020</v>
      </c>
      <c r="G1017" s="1" t="s">
        <v>38</v>
      </c>
      <c r="H1017" s="2">
        <v>7.32</v>
      </c>
      <c r="I1017" s="1">
        <v>21</v>
      </c>
      <c r="U1017" s="1">
        <v>29</v>
      </c>
      <c r="X1017" s="1">
        <v>23</v>
      </c>
      <c r="AA1017" s="1">
        <v>2</v>
      </c>
      <c r="AB1017" s="1">
        <v>1</v>
      </c>
      <c r="AC1017" s="1">
        <v>854</v>
      </c>
      <c r="AF1017" s="3">
        <v>2.8688524590163933</v>
      </c>
      <c r="AG1017" s="3">
        <v>1.4042665244695822</v>
      </c>
      <c r="AH1017" s="1">
        <v>6262</v>
      </c>
      <c r="AI1017" s="1" t="b">
        <v>1</v>
      </c>
    </row>
    <row r="1018" spans="1:35" x14ac:dyDescent="0.25">
      <c r="A1018" s="1">
        <v>9</v>
      </c>
      <c r="B1018" s="1">
        <v>1</v>
      </c>
      <c r="C1018" s="1">
        <v>2020</v>
      </c>
      <c r="G1018" s="1" t="s">
        <v>38</v>
      </c>
      <c r="H1018" s="2">
        <v>5.27</v>
      </c>
      <c r="I1018" s="1">
        <v>19</v>
      </c>
      <c r="U1018" s="1">
        <v>22</v>
      </c>
      <c r="X1018" s="1">
        <v>19</v>
      </c>
      <c r="AA1018" s="1">
        <v>1</v>
      </c>
      <c r="AB1018" s="1">
        <v>3</v>
      </c>
      <c r="AC1018" s="1">
        <v>887</v>
      </c>
      <c r="AF1018" s="3">
        <v>3.6053130929791273</v>
      </c>
      <c r="AG1018" s="3">
        <v>0.88781902021460424</v>
      </c>
      <c r="AH1018" s="1">
        <v>6262</v>
      </c>
      <c r="AI1018" s="1" t="b">
        <v>1</v>
      </c>
    </row>
    <row r="1019" spans="1:35" x14ac:dyDescent="0.25">
      <c r="A1019" s="1">
        <v>9</v>
      </c>
      <c r="B1019" s="1">
        <v>1</v>
      </c>
      <c r="C1019" s="1">
        <v>2020</v>
      </c>
      <c r="G1019" s="1" t="s">
        <v>38</v>
      </c>
      <c r="H1019" s="2">
        <v>5.58</v>
      </c>
      <c r="I1019" s="1">
        <v>12</v>
      </c>
      <c r="U1019" s="1">
        <v>23</v>
      </c>
      <c r="X1019" s="1">
        <v>16</v>
      </c>
      <c r="AA1019" s="1">
        <v>3</v>
      </c>
      <c r="AB1019" s="1">
        <v>4</v>
      </c>
      <c r="AC1019" s="1">
        <v>891</v>
      </c>
      <c r="AF1019" s="3">
        <v>2.150537634408602</v>
      </c>
      <c r="AG1019" s="3">
        <v>1.5491622021840907</v>
      </c>
      <c r="AH1019" s="1">
        <v>6262</v>
      </c>
      <c r="AI1019" s="1" t="b">
        <v>1</v>
      </c>
    </row>
    <row r="1020" spans="1:35" x14ac:dyDescent="0.25">
      <c r="A1020" s="1">
        <v>9</v>
      </c>
      <c r="B1020" s="1">
        <v>1</v>
      </c>
      <c r="C1020" s="1">
        <v>2020</v>
      </c>
      <c r="G1020" s="1" t="s">
        <v>38</v>
      </c>
      <c r="H1020" s="2">
        <v>3.53</v>
      </c>
      <c r="I1020" s="1">
        <v>10</v>
      </c>
      <c r="U1020" s="1">
        <v>14</v>
      </c>
      <c r="X1020" s="1">
        <v>13</v>
      </c>
      <c r="AA1020" s="1">
        <v>2</v>
      </c>
      <c r="AB1020" s="1">
        <v>4</v>
      </c>
      <c r="AC1020" s="1">
        <v>544</v>
      </c>
      <c r="AF1020" s="3">
        <v>2.8328611898017</v>
      </c>
      <c r="AG1020" s="3">
        <v>0.85352647970239559</v>
      </c>
      <c r="AH1020" s="1">
        <v>6262</v>
      </c>
      <c r="AI1020" s="1" t="b">
        <v>1</v>
      </c>
    </row>
    <row r="1021" spans="1:35" x14ac:dyDescent="0.25">
      <c r="A1021" s="1">
        <v>9</v>
      </c>
      <c r="B1021" s="1">
        <v>1</v>
      </c>
      <c r="C1021" s="1">
        <v>2020</v>
      </c>
      <c r="G1021" s="1" t="s">
        <v>38</v>
      </c>
      <c r="H1021" s="2">
        <v>4.84</v>
      </c>
      <c r="I1021" s="1">
        <v>16</v>
      </c>
      <c r="U1021" s="1">
        <v>25</v>
      </c>
      <c r="X1021" s="1">
        <v>21</v>
      </c>
      <c r="AA1021" s="1">
        <v>2</v>
      </c>
      <c r="AB1021" s="1">
        <v>3</v>
      </c>
      <c r="AC1021" s="1">
        <v>745</v>
      </c>
      <c r="AF1021" s="3">
        <v>3.3057851239669422</v>
      </c>
      <c r="AG1021" s="3">
        <v>0.9122568479802261</v>
      </c>
      <c r="AH1021" s="1">
        <v>6262</v>
      </c>
      <c r="AI1021" s="1" t="b">
        <v>1</v>
      </c>
    </row>
    <row r="1022" spans="1:35" x14ac:dyDescent="0.25">
      <c r="A1022" s="1">
        <v>9</v>
      </c>
      <c r="B1022" s="1">
        <v>1</v>
      </c>
      <c r="C1022" s="1">
        <v>2020</v>
      </c>
      <c r="G1022" s="1" t="s">
        <v>38</v>
      </c>
      <c r="H1022" s="2">
        <v>4.88</v>
      </c>
      <c r="I1022" s="1">
        <v>11</v>
      </c>
      <c r="U1022" s="1">
        <v>16</v>
      </c>
      <c r="X1022" s="1">
        <v>13</v>
      </c>
      <c r="AA1022" s="1">
        <v>2</v>
      </c>
      <c r="AB1022" s="1">
        <v>2</v>
      </c>
      <c r="AC1022" s="1">
        <v>527</v>
      </c>
      <c r="AF1022" s="3">
        <v>2.2540983606557377</v>
      </c>
      <c r="AG1022" s="3">
        <v>1.3456155965843157</v>
      </c>
      <c r="AH1022" s="1">
        <v>6262</v>
      </c>
      <c r="AI1022" s="1" t="b">
        <v>1</v>
      </c>
    </row>
    <row r="1023" spans="1:35" x14ac:dyDescent="0.25">
      <c r="A1023" s="1">
        <v>9</v>
      </c>
      <c r="B1023" s="1">
        <v>1</v>
      </c>
      <c r="C1023" s="1">
        <v>2020</v>
      </c>
      <c r="G1023" s="1" t="s">
        <v>38</v>
      </c>
      <c r="H1023" s="2">
        <v>4.3499999999999996</v>
      </c>
      <c r="I1023" s="1">
        <v>13</v>
      </c>
      <c r="U1023" s="1">
        <v>18</v>
      </c>
      <c r="X1023" s="1">
        <v>16</v>
      </c>
      <c r="AA1023" s="1">
        <v>3</v>
      </c>
      <c r="AB1023" s="1">
        <v>4</v>
      </c>
      <c r="AC1023" s="1">
        <v>724</v>
      </c>
      <c r="AF1023" s="3">
        <v>2.9885057471264371</v>
      </c>
      <c r="AG1023" s="3">
        <v>0.936458173386013</v>
      </c>
      <c r="AH1023" s="1">
        <v>6262</v>
      </c>
      <c r="AI1023" s="1" t="b">
        <v>1</v>
      </c>
    </row>
    <row r="1024" spans="1:35" x14ac:dyDescent="0.25">
      <c r="A1024" s="1">
        <v>9</v>
      </c>
      <c r="B1024" s="1">
        <v>1</v>
      </c>
      <c r="C1024" s="1">
        <v>2020</v>
      </c>
      <c r="G1024" s="1" t="s">
        <v>38</v>
      </c>
      <c r="H1024" s="2">
        <v>6.38</v>
      </c>
      <c r="I1024" s="1">
        <v>22</v>
      </c>
      <c r="U1024" s="1">
        <v>29</v>
      </c>
      <c r="X1024" s="1">
        <v>26</v>
      </c>
      <c r="AA1024" s="1">
        <v>3</v>
      </c>
      <c r="AB1024" s="1">
        <v>2</v>
      </c>
      <c r="AC1024" s="1">
        <v>1109</v>
      </c>
      <c r="AF1024" s="3">
        <v>3.4482758620689657</v>
      </c>
      <c r="AG1024" s="3">
        <v>1.0611394802870318</v>
      </c>
      <c r="AH1024" s="1">
        <v>6262</v>
      </c>
      <c r="AI1024" s="1" t="b">
        <v>1</v>
      </c>
    </row>
    <row r="1025" spans="1:35" x14ac:dyDescent="0.25">
      <c r="A1025" s="1">
        <v>9</v>
      </c>
      <c r="B1025" s="1">
        <v>1</v>
      </c>
      <c r="C1025" s="1">
        <v>2020</v>
      </c>
      <c r="G1025" s="1" t="s">
        <v>38</v>
      </c>
      <c r="H1025" s="2">
        <v>6.42</v>
      </c>
      <c r="I1025" s="1">
        <v>16</v>
      </c>
      <c r="U1025" s="1">
        <v>30</v>
      </c>
      <c r="X1025" s="1">
        <v>24</v>
      </c>
      <c r="AA1025" s="1">
        <v>3</v>
      </c>
      <c r="AB1025" s="1">
        <v>4</v>
      </c>
      <c r="AC1025" s="1">
        <v>976</v>
      </c>
      <c r="AF1025" s="3">
        <v>2.4922118380062304</v>
      </c>
      <c r="AG1025" s="3">
        <v>1.4746520709328048</v>
      </c>
      <c r="AH1025" s="1">
        <v>6262</v>
      </c>
      <c r="AI1025" s="1" t="b">
        <v>1</v>
      </c>
    </row>
    <row r="1026" spans="1:35" x14ac:dyDescent="0.25">
      <c r="A1026" s="1">
        <v>9</v>
      </c>
      <c r="B1026" s="1">
        <v>1</v>
      </c>
      <c r="C1026" s="1">
        <v>2020</v>
      </c>
      <c r="G1026" s="1" t="s">
        <v>38</v>
      </c>
      <c r="H1026" s="2">
        <v>6.83</v>
      </c>
      <c r="I1026" s="1">
        <v>14</v>
      </c>
      <c r="U1026" s="1">
        <v>24</v>
      </c>
      <c r="X1026" s="1">
        <v>23</v>
      </c>
      <c r="AA1026" s="1">
        <v>4</v>
      </c>
      <c r="AB1026" s="1">
        <v>3</v>
      </c>
      <c r="AC1026" s="1">
        <v>1070</v>
      </c>
      <c r="AF1026" s="3">
        <v>2.0497803806734991</v>
      </c>
      <c r="AG1026" s="3">
        <v>1.8723505412663037</v>
      </c>
      <c r="AH1026" s="1">
        <v>6262</v>
      </c>
      <c r="AI1026" s="1" t="b">
        <v>1</v>
      </c>
    </row>
    <row r="1027" spans="1:35" x14ac:dyDescent="0.25">
      <c r="A1027" s="1">
        <v>9</v>
      </c>
      <c r="B1027" s="1">
        <v>1</v>
      </c>
      <c r="C1027" s="1">
        <v>2020</v>
      </c>
      <c r="G1027" s="1" t="s">
        <v>38</v>
      </c>
      <c r="H1027" s="2">
        <v>5.93</v>
      </c>
      <c r="I1027" s="1">
        <v>12</v>
      </c>
      <c r="U1027" s="1">
        <v>18</v>
      </c>
      <c r="X1027" s="1">
        <v>16</v>
      </c>
      <c r="AA1027" s="1">
        <v>4</v>
      </c>
      <c r="AB1027" s="1">
        <v>7</v>
      </c>
      <c r="AC1027" s="1">
        <v>980</v>
      </c>
      <c r="AF1027" s="3">
        <v>2.0236087689713322</v>
      </c>
      <c r="AG1027" s="3">
        <v>1.7179547978951915</v>
      </c>
      <c r="AH1027" s="1">
        <v>6262</v>
      </c>
      <c r="AI1027" s="1" t="b">
        <v>1</v>
      </c>
    </row>
    <row r="1028" spans="1:35" x14ac:dyDescent="0.25">
      <c r="A1028" s="1">
        <v>9</v>
      </c>
      <c r="B1028" s="1">
        <v>1</v>
      </c>
      <c r="C1028" s="1">
        <v>2020</v>
      </c>
      <c r="G1028" s="1" t="s">
        <v>38</v>
      </c>
      <c r="H1028" s="2">
        <v>2.48</v>
      </c>
      <c r="I1028" s="1">
        <v>6</v>
      </c>
      <c r="U1028" s="1">
        <v>8</v>
      </c>
      <c r="X1028" s="1">
        <v>6</v>
      </c>
      <c r="AA1028" s="1">
        <v>1</v>
      </c>
      <c r="AB1028" s="1">
        <v>5</v>
      </c>
      <c r="AC1028" s="1">
        <v>554</v>
      </c>
      <c r="AF1028" s="3">
        <v>2.4193548387096775</v>
      </c>
      <c r="AG1028" s="3">
        <v>0.78057853949984957</v>
      </c>
      <c r="AH1028" s="1">
        <v>6262</v>
      </c>
      <c r="AI1028" s="1" t="b">
        <v>1</v>
      </c>
    </row>
    <row r="1029" spans="1:35" x14ac:dyDescent="0.25">
      <c r="A1029" s="1">
        <v>9</v>
      </c>
      <c r="B1029" s="1">
        <v>1</v>
      </c>
      <c r="C1029" s="1">
        <v>2020</v>
      </c>
      <c r="G1029" s="1" t="s">
        <v>38</v>
      </c>
      <c r="H1029" s="2">
        <v>5.34</v>
      </c>
      <c r="I1029" s="1">
        <v>14</v>
      </c>
      <c r="U1029" s="1">
        <v>22</v>
      </c>
      <c r="X1029" s="1">
        <v>19</v>
      </c>
      <c r="AA1029" s="1">
        <v>3</v>
      </c>
      <c r="AB1029" s="1">
        <v>3</v>
      </c>
      <c r="AC1029" s="1">
        <v>797</v>
      </c>
      <c r="AF1029" s="3">
        <v>2.6217228464419478</v>
      </c>
      <c r="AG1029" s="3">
        <v>1.2322309173196651</v>
      </c>
      <c r="AH1029" s="1">
        <v>6262</v>
      </c>
      <c r="AI1029" s="1" t="b">
        <v>1</v>
      </c>
    </row>
    <row r="1030" spans="1:35" x14ac:dyDescent="0.25">
      <c r="A1030" s="1">
        <v>11</v>
      </c>
      <c r="B1030" s="1">
        <v>1</v>
      </c>
      <c r="C1030" s="1">
        <v>2020</v>
      </c>
      <c r="G1030" s="1" t="s">
        <v>38</v>
      </c>
      <c r="H1030" s="2">
        <v>3.37</v>
      </c>
      <c r="I1030" s="1">
        <v>11</v>
      </c>
      <c r="U1030" s="1">
        <v>17</v>
      </c>
      <c r="X1030" s="1">
        <v>13</v>
      </c>
      <c r="AA1030" s="1">
        <v>2</v>
      </c>
      <c r="AB1030" s="1">
        <v>2</v>
      </c>
      <c r="AC1030" s="1">
        <v>582</v>
      </c>
      <c r="AF1030" s="3">
        <v>3.2640949554896141</v>
      </c>
      <c r="AG1030" s="3">
        <v>0.7170973974440884</v>
      </c>
      <c r="AH1030" s="1">
        <v>6262</v>
      </c>
      <c r="AI1030" s="1" t="b">
        <v>1</v>
      </c>
    </row>
    <row r="1031" spans="1:35" x14ac:dyDescent="0.25">
      <c r="A1031" s="1">
        <v>11</v>
      </c>
      <c r="B1031" s="1">
        <v>1</v>
      </c>
      <c r="C1031" s="1">
        <v>2020</v>
      </c>
      <c r="G1031" s="1" t="s">
        <v>38</v>
      </c>
      <c r="H1031" s="2">
        <v>5.83</v>
      </c>
      <c r="I1031" s="1">
        <v>14</v>
      </c>
      <c r="U1031" s="1">
        <v>24</v>
      </c>
      <c r="X1031" s="1">
        <v>21</v>
      </c>
      <c r="AA1031" s="1">
        <v>3</v>
      </c>
      <c r="AB1031" s="1">
        <v>5</v>
      </c>
      <c r="AC1031" s="1">
        <v>808</v>
      </c>
      <c r="AF1031" s="3">
        <v>2.4013722126929675</v>
      </c>
      <c r="AG1031" s="3">
        <v>1.4305680039998006</v>
      </c>
      <c r="AH1031" s="1">
        <v>6262</v>
      </c>
      <c r="AI1031" s="1" t="b">
        <v>1</v>
      </c>
    </row>
    <row r="1032" spans="1:35" x14ac:dyDescent="0.25">
      <c r="A1032" s="1">
        <v>11</v>
      </c>
      <c r="B1032" s="1">
        <v>1</v>
      </c>
      <c r="C1032" s="1">
        <v>2020</v>
      </c>
      <c r="G1032" s="1" t="s">
        <v>38</v>
      </c>
      <c r="H1032" s="2">
        <v>6.16</v>
      </c>
      <c r="I1032" s="1">
        <v>19</v>
      </c>
      <c r="U1032" s="1">
        <v>30</v>
      </c>
      <c r="X1032" s="1">
        <v>27</v>
      </c>
      <c r="AA1032" s="1">
        <v>3</v>
      </c>
      <c r="AB1032" s="1">
        <v>4</v>
      </c>
      <c r="AC1032" s="1">
        <v>1042</v>
      </c>
      <c r="AF1032" s="3">
        <v>3.0844155844155843</v>
      </c>
      <c r="AG1032" s="3">
        <v>1.1575336092904671</v>
      </c>
      <c r="AH1032" s="1">
        <v>6262</v>
      </c>
      <c r="AI1032" s="1" t="b">
        <v>1</v>
      </c>
    </row>
    <row r="1033" spans="1:35" x14ac:dyDescent="0.25">
      <c r="A1033" s="1">
        <v>11</v>
      </c>
      <c r="B1033" s="1">
        <v>1</v>
      </c>
      <c r="C1033" s="1">
        <v>2020</v>
      </c>
      <c r="G1033" s="1" t="s">
        <v>38</v>
      </c>
      <c r="H1033" s="2">
        <v>5.42</v>
      </c>
      <c r="I1033" s="1">
        <v>15</v>
      </c>
      <c r="U1033" s="1">
        <v>27</v>
      </c>
      <c r="X1033" s="1">
        <v>21</v>
      </c>
      <c r="AA1033" s="1">
        <v>4</v>
      </c>
      <c r="AB1033" s="1">
        <v>6</v>
      </c>
      <c r="AC1033" s="1">
        <v>844</v>
      </c>
      <c r="AF1033" s="3">
        <v>2.7675276752767526</v>
      </c>
      <c r="AG1033" s="3">
        <v>1.1795260263082998</v>
      </c>
      <c r="AH1033" s="1">
        <v>6262</v>
      </c>
      <c r="AI1033" s="1" t="b">
        <v>1</v>
      </c>
    </row>
    <row r="1034" spans="1:35" x14ac:dyDescent="0.25">
      <c r="A1034" s="1">
        <v>11</v>
      </c>
      <c r="B1034" s="1">
        <v>1</v>
      </c>
      <c r="C1034" s="1">
        <v>2020</v>
      </c>
      <c r="G1034" s="1" t="s">
        <v>38</v>
      </c>
      <c r="H1034" s="2">
        <v>4.3600000000000003</v>
      </c>
      <c r="I1034" s="1">
        <v>14</v>
      </c>
      <c r="U1034" s="1">
        <v>17</v>
      </c>
      <c r="X1034" s="1">
        <v>15</v>
      </c>
      <c r="AA1034" s="1">
        <v>1</v>
      </c>
      <c r="AB1034" s="1">
        <v>3</v>
      </c>
      <c r="AC1034" s="1">
        <v>725</v>
      </c>
      <c r="AF1034" s="3">
        <v>3.2110091743119265</v>
      </c>
      <c r="AG1034" s="3">
        <v>0.87296935041672818</v>
      </c>
      <c r="AH1034" s="1">
        <v>6262</v>
      </c>
      <c r="AI1034" s="1" t="b">
        <v>1</v>
      </c>
    </row>
    <row r="1035" spans="1:35" x14ac:dyDescent="0.25">
      <c r="A1035" s="1">
        <v>11</v>
      </c>
      <c r="B1035" s="1">
        <v>1</v>
      </c>
      <c r="C1035" s="1">
        <v>2020</v>
      </c>
      <c r="G1035" s="1" t="s">
        <v>38</v>
      </c>
      <c r="H1035" s="2">
        <v>6.05</v>
      </c>
      <c r="I1035" s="1">
        <v>17</v>
      </c>
      <c r="U1035" s="1">
        <v>30</v>
      </c>
      <c r="X1035" s="1">
        <v>25</v>
      </c>
      <c r="AA1035" s="1">
        <v>3</v>
      </c>
      <c r="AB1035" s="1">
        <v>2</v>
      </c>
      <c r="AC1035" s="1">
        <v>918</v>
      </c>
      <c r="AF1035" s="3">
        <v>2.8099173553719008</v>
      </c>
      <c r="AG1035" s="3">
        <v>1.2546864721897992</v>
      </c>
      <c r="AH1035" s="1">
        <v>6262</v>
      </c>
      <c r="AI1035" s="1" t="b">
        <v>1</v>
      </c>
    </row>
    <row r="1036" spans="1:35" x14ac:dyDescent="0.25">
      <c r="A1036" s="1">
        <v>11</v>
      </c>
      <c r="B1036" s="1">
        <v>1</v>
      </c>
      <c r="C1036" s="1">
        <v>2020</v>
      </c>
      <c r="G1036" s="1" t="s">
        <v>38</v>
      </c>
      <c r="H1036" s="2">
        <v>6.28</v>
      </c>
      <c r="I1036" s="1">
        <v>13</v>
      </c>
      <c r="U1036" s="1">
        <v>23</v>
      </c>
      <c r="X1036" s="1">
        <v>20</v>
      </c>
      <c r="AA1036" s="1">
        <v>3</v>
      </c>
      <c r="AB1036" s="1">
        <v>5</v>
      </c>
      <c r="AC1036" s="1">
        <v>802</v>
      </c>
      <c r="AF1036" s="3">
        <v>2.0700636942675157</v>
      </c>
      <c r="AG1036" s="3">
        <v>1.7481876266170373</v>
      </c>
      <c r="AH1036" s="1">
        <v>6262</v>
      </c>
      <c r="AI1036" s="1" t="b">
        <v>1</v>
      </c>
    </row>
    <row r="1037" spans="1:35" x14ac:dyDescent="0.25">
      <c r="A1037" s="1">
        <v>11</v>
      </c>
      <c r="B1037" s="1">
        <v>1</v>
      </c>
      <c r="C1037" s="1">
        <v>2020</v>
      </c>
      <c r="G1037" s="1" t="s">
        <v>38</v>
      </c>
      <c r="H1037" s="2">
        <v>4.82</v>
      </c>
      <c r="I1037" s="1">
        <v>11</v>
      </c>
      <c r="U1037" s="1">
        <v>17</v>
      </c>
      <c r="X1037" s="1">
        <v>14</v>
      </c>
      <c r="AA1037" s="1">
        <v>2</v>
      </c>
      <c r="AB1037" s="1">
        <v>3</v>
      </c>
      <c r="AC1037" s="1">
        <v>598</v>
      </c>
      <c r="AF1037" s="3">
        <v>2.2821576763485476</v>
      </c>
      <c r="AG1037" s="3">
        <v>1.3176112062707046</v>
      </c>
      <c r="AH1037" s="1">
        <v>6262</v>
      </c>
      <c r="AI1037" s="1" t="b">
        <v>1</v>
      </c>
    </row>
    <row r="1038" spans="1:35" x14ac:dyDescent="0.25">
      <c r="A1038" s="1">
        <v>11</v>
      </c>
      <c r="B1038" s="1">
        <v>1</v>
      </c>
      <c r="C1038" s="1">
        <v>2020</v>
      </c>
      <c r="G1038" s="1" t="s">
        <v>38</v>
      </c>
      <c r="H1038" s="2">
        <v>7.84</v>
      </c>
      <c r="I1038" s="1">
        <v>22</v>
      </c>
      <c r="U1038" s="1">
        <v>36</v>
      </c>
      <c r="X1038" s="1">
        <v>30</v>
      </c>
      <c r="AA1038" s="1">
        <v>3</v>
      </c>
      <c r="AB1038" s="1">
        <v>2</v>
      </c>
      <c r="AC1038" s="1">
        <v>1064</v>
      </c>
      <c r="AF1038" s="3">
        <v>2.806122448979592</v>
      </c>
      <c r="AG1038" s="3">
        <v>1.5063109242257828</v>
      </c>
      <c r="AH1038" s="1">
        <v>6262</v>
      </c>
      <c r="AI1038" s="1" t="b">
        <v>1</v>
      </c>
    </row>
    <row r="1039" spans="1:35" x14ac:dyDescent="0.25">
      <c r="A1039" s="1">
        <v>11</v>
      </c>
      <c r="B1039" s="1">
        <v>1</v>
      </c>
      <c r="C1039" s="1">
        <v>2020</v>
      </c>
      <c r="G1039" s="1" t="s">
        <v>38</v>
      </c>
      <c r="H1039" s="2">
        <v>4.92</v>
      </c>
      <c r="I1039" s="1">
        <v>14</v>
      </c>
      <c r="U1039" s="1">
        <v>18</v>
      </c>
      <c r="X1039" s="1">
        <v>17</v>
      </c>
      <c r="AA1039" s="1">
        <v>2</v>
      </c>
      <c r="AB1039" s="1">
        <v>4</v>
      </c>
      <c r="AC1039" s="1">
        <v>648</v>
      </c>
      <c r="AF1039" s="3">
        <v>2.845528455284553</v>
      </c>
      <c r="AG1039" s="3">
        <v>1.0720440703898688</v>
      </c>
      <c r="AH1039" s="1">
        <v>6262</v>
      </c>
      <c r="AI1039" s="1" t="b">
        <v>1</v>
      </c>
    </row>
    <row r="1040" spans="1:35" x14ac:dyDescent="0.25">
      <c r="A1040" s="1">
        <v>11</v>
      </c>
      <c r="B1040" s="1">
        <v>1</v>
      </c>
      <c r="C1040" s="1">
        <v>2020</v>
      </c>
      <c r="G1040" s="1" t="s">
        <v>38</v>
      </c>
      <c r="H1040" s="2">
        <v>4.74</v>
      </c>
      <c r="I1040" s="1">
        <v>12</v>
      </c>
      <c r="U1040" s="1">
        <v>21</v>
      </c>
      <c r="X1040" s="1">
        <v>15</v>
      </c>
      <c r="AA1040" s="1">
        <v>3</v>
      </c>
      <c r="AB1040" s="1">
        <v>4</v>
      </c>
      <c r="AC1040" s="1">
        <v>625</v>
      </c>
      <c r="AF1040" s="3">
        <v>2.5316455696202529</v>
      </c>
      <c r="AG1040" s="3">
        <v>1.1739292797924878</v>
      </c>
      <c r="AH1040" s="1">
        <v>6262</v>
      </c>
      <c r="AI1040" s="1" t="b">
        <v>1</v>
      </c>
    </row>
    <row r="1041" spans="1:35" x14ac:dyDescent="0.25">
      <c r="A1041" s="1">
        <v>11</v>
      </c>
      <c r="B1041" s="1">
        <v>1</v>
      </c>
      <c r="C1041" s="1">
        <v>2020</v>
      </c>
      <c r="G1041" s="1" t="s">
        <v>38</v>
      </c>
      <c r="H1041" s="2">
        <v>4.6100000000000003</v>
      </c>
      <c r="I1041" s="1">
        <v>10</v>
      </c>
      <c r="U1041" s="1">
        <v>16</v>
      </c>
      <c r="X1041" s="1">
        <v>13</v>
      </c>
      <c r="AA1041" s="1">
        <v>3</v>
      </c>
      <c r="AB1041" s="1">
        <v>5</v>
      </c>
      <c r="AC1041" s="1">
        <v>614</v>
      </c>
      <c r="AF1041" s="3">
        <v>2.1691973969631233</v>
      </c>
      <c r="AG1041" s="3">
        <v>1.3436667586454667</v>
      </c>
      <c r="AH1041" s="1">
        <v>6262</v>
      </c>
      <c r="AI1041" s="1" t="b">
        <v>1</v>
      </c>
    </row>
    <row r="1042" spans="1:35" x14ac:dyDescent="0.25">
      <c r="A1042" s="1">
        <v>11</v>
      </c>
      <c r="B1042" s="1">
        <v>1</v>
      </c>
      <c r="C1042" s="1">
        <v>2020</v>
      </c>
      <c r="G1042" s="1" t="s">
        <v>38</v>
      </c>
      <c r="H1042" s="2">
        <v>7.8</v>
      </c>
      <c r="I1042" s="1">
        <v>20</v>
      </c>
      <c r="U1042" s="1">
        <v>39</v>
      </c>
      <c r="X1042" s="1">
        <v>31</v>
      </c>
      <c r="AA1042" s="1">
        <v>4</v>
      </c>
      <c r="AB1042" s="1">
        <v>5</v>
      </c>
      <c r="AC1042" s="1">
        <v>1083</v>
      </c>
      <c r="AF1042" s="3">
        <v>2.5641025641025643</v>
      </c>
      <c r="AG1042" s="3">
        <v>1.6425962571832666</v>
      </c>
      <c r="AH1042" s="1">
        <v>6262</v>
      </c>
      <c r="AI1042" s="1" t="b">
        <v>1</v>
      </c>
    </row>
    <row r="1043" spans="1:35" x14ac:dyDescent="0.25">
      <c r="A1043" s="1">
        <v>11</v>
      </c>
      <c r="B1043" s="1">
        <v>1</v>
      </c>
      <c r="C1043" s="1">
        <v>2020</v>
      </c>
      <c r="G1043" s="1" t="s">
        <v>38</v>
      </c>
      <c r="H1043" s="2">
        <v>5.94</v>
      </c>
      <c r="I1043" s="1">
        <v>21</v>
      </c>
      <c r="U1043" s="1">
        <v>26</v>
      </c>
      <c r="X1043" s="1">
        <v>22</v>
      </c>
      <c r="AA1043" s="1">
        <v>2</v>
      </c>
      <c r="AB1043" s="1">
        <v>1</v>
      </c>
      <c r="AC1043" s="1">
        <v>820</v>
      </c>
      <c r="AF1043" s="3">
        <v>3.535353535353535</v>
      </c>
      <c r="AG1043" s="3">
        <v>0.98450440064240785</v>
      </c>
      <c r="AH1043" s="1">
        <v>6262</v>
      </c>
      <c r="AI1043" s="1" t="b">
        <v>1</v>
      </c>
    </row>
    <row r="1044" spans="1:35" x14ac:dyDescent="0.25">
      <c r="A1044" s="1">
        <v>11</v>
      </c>
      <c r="B1044" s="1">
        <v>1</v>
      </c>
      <c r="C1044" s="1">
        <v>2020</v>
      </c>
      <c r="G1044" s="1" t="s">
        <v>38</v>
      </c>
      <c r="H1044" s="2">
        <v>6.38</v>
      </c>
      <c r="I1044" s="1">
        <v>12</v>
      </c>
      <c r="U1044" s="1">
        <v>21</v>
      </c>
      <c r="X1044" s="1">
        <v>17</v>
      </c>
      <c r="AA1044" s="1">
        <v>4</v>
      </c>
      <c r="AB1044" s="1">
        <v>5</v>
      </c>
      <c r="AC1044" s="1">
        <v>880</v>
      </c>
      <c r="AF1044" s="3">
        <v>1.8808777429467085</v>
      </c>
      <c r="AG1044" s="3">
        <v>1.9454223805262247</v>
      </c>
      <c r="AH1044" s="1">
        <v>6262</v>
      </c>
      <c r="AI1044" s="1" t="b">
        <v>1</v>
      </c>
    </row>
    <row r="1045" spans="1:35" x14ac:dyDescent="0.25">
      <c r="A1045" s="1">
        <v>11</v>
      </c>
      <c r="B1045" s="1">
        <v>1</v>
      </c>
      <c r="C1045" s="1">
        <v>2020</v>
      </c>
      <c r="G1045" s="1" t="s">
        <v>38</v>
      </c>
      <c r="H1045" s="2">
        <v>6.05</v>
      </c>
      <c r="I1045" s="1">
        <v>13</v>
      </c>
      <c r="U1045" s="1">
        <v>20</v>
      </c>
      <c r="X1045" s="1">
        <v>19</v>
      </c>
      <c r="AA1045" s="1">
        <v>3</v>
      </c>
      <c r="AB1045" s="1">
        <v>3</v>
      </c>
      <c r="AC1045" s="1">
        <v>904</v>
      </c>
      <c r="AF1045" s="3">
        <v>2.1487603305785123</v>
      </c>
      <c r="AG1045" s="3">
        <v>1.6407438482481991</v>
      </c>
      <c r="AH1045" s="1">
        <v>6262</v>
      </c>
      <c r="AI1045" s="1" t="b">
        <v>1</v>
      </c>
    </row>
    <row r="1046" spans="1:35" x14ac:dyDescent="0.25">
      <c r="A1046" s="1">
        <v>11</v>
      </c>
      <c r="B1046" s="1">
        <v>1</v>
      </c>
      <c r="C1046" s="1">
        <v>2020</v>
      </c>
      <c r="G1046" s="1" t="s">
        <v>38</v>
      </c>
      <c r="H1046" s="2">
        <v>5.34</v>
      </c>
      <c r="I1046" s="1">
        <v>16</v>
      </c>
      <c r="U1046" s="1">
        <v>22</v>
      </c>
      <c r="X1046" s="1">
        <v>20</v>
      </c>
      <c r="AA1046" s="1">
        <v>2</v>
      </c>
      <c r="AB1046" s="1">
        <v>3</v>
      </c>
      <c r="AC1046" s="1">
        <v>762</v>
      </c>
      <c r="AF1046" s="3">
        <v>2.9962546816479403</v>
      </c>
      <c r="AG1046" s="3">
        <v>1.0782020526547069</v>
      </c>
      <c r="AH1046" s="1">
        <v>6262</v>
      </c>
      <c r="AI1046" s="1" t="b">
        <v>1</v>
      </c>
    </row>
    <row r="1047" spans="1:35" x14ac:dyDescent="0.25">
      <c r="A1047" s="1">
        <v>11</v>
      </c>
      <c r="B1047" s="1">
        <v>1</v>
      </c>
      <c r="C1047" s="1">
        <v>2020</v>
      </c>
      <c r="G1047" s="1" t="s">
        <v>38</v>
      </c>
      <c r="H1047" s="2">
        <v>8.8000000000000007</v>
      </c>
      <c r="I1047" s="1">
        <v>22</v>
      </c>
      <c r="U1047" s="1">
        <v>38</v>
      </c>
      <c r="X1047" s="1">
        <v>34</v>
      </c>
      <c r="AA1047" s="1">
        <v>4</v>
      </c>
      <c r="AB1047" s="1">
        <v>5</v>
      </c>
      <c r="AC1047" s="1">
        <v>1169</v>
      </c>
      <c r="AF1047" s="3">
        <v>2.5</v>
      </c>
      <c r="AG1047" s="3">
        <v>1.8331494034835094</v>
      </c>
      <c r="AH1047" s="1">
        <v>6262</v>
      </c>
      <c r="AI1047" s="1" t="b">
        <v>1</v>
      </c>
    </row>
    <row r="1048" spans="1:35" x14ac:dyDescent="0.25">
      <c r="A1048" s="1">
        <v>11</v>
      </c>
      <c r="B1048" s="1">
        <v>1</v>
      </c>
      <c r="C1048" s="1">
        <v>2020</v>
      </c>
      <c r="G1048" s="1" t="s">
        <v>38</v>
      </c>
      <c r="H1048" s="2">
        <v>7.44</v>
      </c>
      <c r="I1048" s="1">
        <v>28</v>
      </c>
      <c r="U1048" s="1">
        <v>40</v>
      </c>
      <c r="X1048" s="1">
        <v>33</v>
      </c>
      <c r="AA1048" s="1">
        <v>3</v>
      </c>
      <c r="AB1048" s="1">
        <v>2</v>
      </c>
      <c r="AC1048" s="1">
        <v>1177</v>
      </c>
      <c r="AF1048" s="3">
        <v>3.7634408602150535</v>
      </c>
      <c r="AG1048" s="3">
        <v>1.0827195012554529</v>
      </c>
      <c r="AH1048" s="1">
        <v>6262</v>
      </c>
      <c r="AI1048" s="1" t="b">
        <v>1</v>
      </c>
    </row>
    <row r="1049" spans="1:35" x14ac:dyDescent="0.25">
      <c r="A1049" s="1">
        <v>11</v>
      </c>
      <c r="B1049" s="1">
        <v>1</v>
      </c>
      <c r="C1049" s="1">
        <v>2020</v>
      </c>
      <c r="G1049" s="1" t="s">
        <v>38</v>
      </c>
      <c r="H1049" s="2">
        <v>7.41</v>
      </c>
      <c r="I1049" s="1">
        <v>25</v>
      </c>
      <c r="U1049" s="1">
        <v>32</v>
      </c>
      <c r="X1049" s="1">
        <v>29</v>
      </c>
      <c r="AA1049" s="1">
        <v>3</v>
      </c>
      <c r="AB1049" s="1">
        <v>3</v>
      </c>
      <c r="AC1049" s="1">
        <v>1045</v>
      </c>
      <c r="AF1049" s="3">
        <v>3.3738191632928474</v>
      </c>
      <c r="AG1049" s="3">
        <v>1.2043450858269253</v>
      </c>
      <c r="AH1049" s="1">
        <v>6262</v>
      </c>
      <c r="AI1049" s="1" t="b">
        <v>1</v>
      </c>
    </row>
    <row r="1050" spans="1:35" x14ac:dyDescent="0.25">
      <c r="A1050" s="1">
        <v>11</v>
      </c>
      <c r="B1050" s="1">
        <v>1</v>
      </c>
      <c r="C1050" s="1">
        <v>2020</v>
      </c>
      <c r="G1050" s="1" t="s">
        <v>38</v>
      </c>
      <c r="H1050" s="2">
        <v>3.84</v>
      </c>
      <c r="I1050" s="1">
        <v>17</v>
      </c>
      <c r="U1050" s="1">
        <v>18</v>
      </c>
      <c r="X1050" s="1">
        <v>17</v>
      </c>
      <c r="AA1050" s="1">
        <v>1</v>
      </c>
      <c r="AB1050" s="1">
        <v>2</v>
      </c>
      <c r="AC1050" s="1">
        <v>469</v>
      </c>
      <c r="AF1050" s="3">
        <v>4.4270833333333339</v>
      </c>
      <c r="AG1050" s="3">
        <v>0.57931418146232994</v>
      </c>
      <c r="AH1050" s="1">
        <v>6262</v>
      </c>
      <c r="AI1050" s="1" t="b">
        <v>1</v>
      </c>
    </row>
    <row r="1051" spans="1:35" x14ac:dyDescent="0.25">
      <c r="A1051" s="1">
        <v>11</v>
      </c>
      <c r="B1051" s="1">
        <v>1</v>
      </c>
      <c r="C1051" s="1">
        <v>2020</v>
      </c>
      <c r="G1051" s="1" t="s">
        <v>38</v>
      </c>
      <c r="H1051" s="2">
        <v>4.12</v>
      </c>
      <c r="I1051" s="1">
        <v>11</v>
      </c>
      <c r="U1051" s="1">
        <v>19</v>
      </c>
      <c r="X1051" s="1">
        <v>14</v>
      </c>
      <c r="AA1051" s="1">
        <v>3</v>
      </c>
      <c r="AB1051" s="1">
        <v>3</v>
      </c>
      <c r="AC1051" s="1">
        <v>621</v>
      </c>
      <c r="AF1051" s="3">
        <v>2.6699029126213594</v>
      </c>
      <c r="AG1051" s="3">
        <v>1.009096226404671</v>
      </c>
      <c r="AH1051" s="1">
        <v>6262</v>
      </c>
      <c r="AI1051" s="1" t="b">
        <v>1</v>
      </c>
    </row>
    <row r="1052" spans="1:35" x14ac:dyDescent="0.25">
      <c r="A1052" s="1">
        <v>11</v>
      </c>
      <c r="B1052" s="1">
        <v>1</v>
      </c>
      <c r="C1052" s="1">
        <v>2020</v>
      </c>
      <c r="G1052" s="1" t="s">
        <v>38</v>
      </c>
      <c r="H1052" s="2">
        <v>5.45</v>
      </c>
      <c r="I1052" s="1">
        <v>18</v>
      </c>
      <c r="U1052" s="1">
        <v>28</v>
      </c>
      <c r="X1052" s="1">
        <v>24</v>
      </c>
      <c r="AA1052" s="1">
        <v>3</v>
      </c>
      <c r="AB1052" s="1">
        <v>1</v>
      </c>
      <c r="AC1052" s="1">
        <v>862</v>
      </c>
      <c r="AF1052" s="3">
        <v>3.3027522935779814</v>
      </c>
      <c r="AG1052" s="3">
        <v>0.99220531420447378</v>
      </c>
      <c r="AH1052" s="1">
        <v>6262</v>
      </c>
      <c r="AI1052" s="1" t="b">
        <v>1</v>
      </c>
    </row>
    <row r="1053" spans="1:35" x14ac:dyDescent="0.25">
      <c r="A1053" s="1">
        <v>11</v>
      </c>
      <c r="B1053" s="1">
        <v>1</v>
      </c>
      <c r="C1053" s="1">
        <v>2020</v>
      </c>
      <c r="G1053" s="1" t="s">
        <v>38</v>
      </c>
      <c r="H1053" s="2">
        <v>4.0999999999999996</v>
      </c>
      <c r="I1053" s="1">
        <v>10</v>
      </c>
      <c r="U1053" s="1">
        <v>13</v>
      </c>
      <c r="X1053" s="1">
        <v>12</v>
      </c>
      <c r="AA1053" s="1">
        <v>2</v>
      </c>
      <c r="AB1053" s="1">
        <v>3</v>
      </c>
      <c r="AC1053" s="1">
        <v>564</v>
      </c>
      <c r="AF1053" s="3">
        <v>2.4390243902439028</v>
      </c>
      <c r="AG1053" s="3">
        <v>1.1008611776873287</v>
      </c>
      <c r="AH1053" s="1">
        <v>6262</v>
      </c>
      <c r="AI1053" s="1" t="b">
        <v>1</v>
      </c>
    </row>
    <row r="1054" spans="1:35" x14ac:dyDescent="0.25">
      <c r="A1054" s="1">
        <v>11</v>
      </c>
      <c r="B1054" s="1">
        <v>1</v>
      </c>
      <c r="C1054" s="1">
        <v>2020</v>
      </c>
      <c r="G1054" s="1" t="s">
        <v>38</v>
      </c>
      <c r="H1054" s="2">
        <v>6.11</v>
      </c>
      <c r="I1054" s="1">
        <v>16</v>
      </c>
      <c r="U1054" s="1">
        <v>24</v>
      </c>
      <c r="X1054" s="1">
        <v>21</v>
      </c>
      <c r="AA1054" s="1">
        <v>3</v>
      </c>
      <c r="AB1054" s="1">
        <v>2</v>
      </c>
      <c r="AC1054" s="1">
        <v>695</v>
      </c>
      <c r="AF1054" s="3">
        <v>2.6186579378068737</v>
      </c>
      <c r="AG1054" s="3">
        <v>1.355657792386749</v>
      </c>
      <c r="AH1054" s="1">
        <v>6262</v>
      </c>
      <c r="AI1054" s="1" t="b">
        <v>1</v>
      </c>
    </row>
    <row r="1055" spans="1:35" x14ac:dyDescent="0.25">
      <c r="A1055" s="1">
        <v>11</v>
      </c>
      <c r="B1055" s="1">
        <v>1</v>
      </c>
      <c r="C1055" s="1">
        <v>2020</v>
      </c>
      <c r="G1055" s="1" t="s">
        <v>38</v>
      </c>
      <c r="H1055" s="2">
        <v>4.57</v>
      </c>
      <c r="I1055" s="1">
        <v>9</v>
      </c>
      <c r="U1055" s="1">
        <v>22</v>
      </c>
      <c r="X1055" s="1">
        <v>15</v>
      </c>
      <c r="AA1055" s="1">
        <v>3</v>
      </c>
      <c r="AB1055" s="1">
        <v>4</v>
      </c>
      <c r="AC1055" s="1">
        <v>582</v>
      </c>
      <c r="AF1055" s="3">
        <v>1.9693654266958422</v>
      </c>
      <c r="AG1055" s="3">
        <v>1.4710079866468293</v>
      </c>
      <c r="AH1055" s="1">
        <v>6262</v>
      </c>
      <c r="AI1055" s="1" t="b">
        <v>1</v>
      </c>
    </row>
    <row r="1056" spans="1:35" x14ac:dyDescent="0.25">
      <c r="A1056" s="1">
        <v>11</v>
      </c>
      <c r="B1056" s="1">
        <v>1</v>
      </c>
      <c r="C1056" s="1">
        <v>2020</v>
      </c>
      <c r="G1056" s="1" t="s">
        <v>38</v>
      </c>
      <c r="H1056" s="2">
        <v>5.17</v>
      </c>
      <c r="I1056" s="1">
        <v>11</v>
      </c>
      <c r="U1056" s="1">
        <v>22</v>
      </c>
      <c r="X1056" s="1">
        <v>16</v>
      </c>
      <c r="AA1056" s="1">
        <v>1</v>
      </c>
      <c r="AB1056" s="1">
        <v>3</v>
      </c>
      <c r="AC1056" s="1">
        <v>699</v>
      </c>
      <c r="AF1056" s="3">
        <v>2.1276595744680851</v>
      </c>
      <c r="AG1056" s="3">
        <v>1.4843668202929559</v>
      </c>
      <c r="AH1056" s="1">
        <v>6262</v>
      </c>
      <c r="AI1056" s="1" t="b">
        <v>1</v>
      </c>
    </row>
    <row r="1057" spans="1:35" x14ac:dyDescent="0.25">
      <c r="A1057" s="1">
        <v>11</v>
      </c>
      <c r="B1057" s="1">
        <v>1</v>
      </c>
      <c r="C1057" s="1">
        <v>2020</v>
      </c>
      <c r="G1057" s="1" t="s">
        <v>38</v>
      </c>
      <c r="H1057" s="2">
        <v>6.82</v>
      </c>
      <c r="I1057" s="1">
        <v>20</v>
      </c>
      <c r="U1057" s="1">
        <v>26</v>
      </c>
      <c r="X1057" s="1">
        <v>22</v>
      </c>
      <c r="AA1057" s="1">
        <v>2</v>
      </c>
      <c r="AB1057" s="1">
        <v>3</v>
      </c>
      <c r="AC1057" s="1">
        <v>883</v>
      </c>
      <c r="AF1057" s="3">
        <v>2.9325513196480939</v>
      </c>
      <c r="AG1057" s="3">
        <v>1.3073848295461443</v>
      </c>
      <c r="AH1057" s="1">
        <v>6262</v>
      </c>
      <c r="AI1057" s="1" t="b">
        <v>1</v>
      </c>
    </row>
    <row r="1058" spans="1:35" x14ac:dyDescent="0.25">
      <c r="A1058" s="1">
        <v>11</v>
      </c>
      <c r="B1058" s="1">
        <v>1</v>
      </c>
      <c r="C1058" s="1">
        <v>2020</v>
      </c>
      <c r="G1058" s="1" t="s">
        <v>38</v>
      </c>
      <c r="H1058" s="2">
        <v>3.68</v>
      </c>
      <c r="I1058" s="1">
        <v>12</v>
      </c>
      <c r="U1058" s="1">
        <v>17</v>
      </c>
      <c r="X1058" s="1">
        <v>14</v>
      </c>
      <c r="AA1058" s="1">
        <v>2</v>
      </c>
      <c r="AB1058" s="1">
        <v>2</v>
      </c>
      <c r="AC1058" s="1">
        <v>655</v>
      </c>
      <c r="AF1058" s="3">
        <v>3.2608695652173911</v>
      </c>
      <c r="AG1058" s="3">
        <v>0.76341386926452293</v>
      </c>
      <c r="AH1058" s="1">
        <v>6262</v>
      </c>
      <c r="AI1058" s="1" t="b">
        <v>1</v>
      </c>
    </row>
    <row r="1059" spans="1:35" x14ac:dyDescent="0.25">
      <c r="A1059" s="1">
        <v>11</v>
      </c>
      <c r="B1059" s="1">
        <v>1</v>
      </c>
      <c r="C1059" s="1">
        <v>2020</v>
      </c>
      <c r="G1059" s="1" t="s">
        <v>38</v>
      </c>
      <c r="H1059" s="2">
        <v>4.22</v>
      </c>
      <c r="I1059" s="1">
        <v>13</v>
      </c>
      <c r="U1059" s="1">
        <v>18</v>
      </c>
      <c r="X1059" s="1">
        <v>16</v>
      </c>
      <c r="AA1059" s="1">
        <v>2</v>
      </c>
      <c r="AB1059" s="1">
        <v>4</v>
      </c>
      <c r="AC1059" s="1">
        <v>634</v>
      </c>
      <c r="AF1059" s="3">
        <v>3.080568720379147</v>
      </c>
      <c r="AG1059" s="3">
        <v>0.88938093246938599</v>
      </c>
      <c r="AH1059" s="1">
        <v>6262</v>
      </c>
      <c r="AI1059" s="1" t="b">
        <v>1</v>
      </c>
    </row>
    <row r="1060" spans="1:35" x14ac:dyDescent="0.25">
      <c r="A1060" s="1">
        <v>11</v>
      </c>
      <c r="B1060" s="1">
        <v>1</v>
      </c>
      <c r="C1060" s="1">
        <v>2020</v>
      </c>
      <c r="G1060" s="1" t="s">
        <v>38</v>
      </c>
      <c r="H1060" s="2">
        <v>6.11</v>
      </c>
      <c r="I1060" s="1">
        <v>16</v>
      </c>
      <c r="U1060" s="1">
        <v>25</v>
      </c>
      <c r="X1060" s="1">
        <v>22</v>
      </c>
      <c r="AA1060" s="1">
        <v>4</v>
      </c>
      <c r="AB1060" s="1">
        <v>4</v>
      </c>
      <c r="AC1060" s="1">
        <v>976</v>
      </c>
      <c r="AF1060" s="3">
        <v>2.6186579378068737</v>
      </c>
      <c r="AG1060" s="3">
        <v>1.355657792386749</v>
      </c>
      <c r="AH1060" s="1">
        <v>6262</v>
      </c>
      <c r="AI1060" s="1" t="b">
        <v>1</v>
      </c>
    </row>
    <row r="1061" spans="1:35" x14ac:dyDescent="0.25">
      <c r="A1061" s="1">
        <v>11</v>
      </c>
      <c r="B1061" s="1">
        <v>1</v>
      </c>
      <c r="C1061" s="1">
        <v>2020</v>
      </c>
      <c r="G1061" s="1" t="s">
        <v>38</v>
      </c>
      <c r="H1061" s="2">
        <v>6.3</v>
      </c>
      <c r="I1061" s="1">
        <v>9</v>
      </c>
      <c r="U1061" s="1">
        <v>24</v>
      </c>
      <c r="X1061" s="1">
        <v>17</v>
      </c>
      <c r="AA1061" s="1">
        <v>3</v>
      </c>
      <c r="AB1061" s="1">
        <v>4</v>
      </c>
      <c r="AC1061" s="1">
        <v>1011</v>
      </c>
      <c r="AF1061" s="3">
        <v>1.4285714285714286</v>
      </c>
      <c r="AG1061" s="3">
        <v>2.538846386811477</v>
      </c>
      <c r="AH1061" s="1">
        <v>6262</v>
      </c>
      <c r="AI1061" s="1" t="b">
        <v>1</v>
      </c>
    </row>
    <row r="1062" spans="1:35" x14ac:dyDescent="0.25">
      <c r="A1062" s="1">
        <v>11</v>
      </c>
      <c r="B1062" s="1">
        <v>1</v>
      </c>
      <c r="C1062" s="1">
        <v>2020</v>
      </c>
      <c r="G1062" s="1" t="s">
        <v>38</v>
      </c>
      <c r="H1062" s="2">
        <v>3.54</v>
      </c>
      <c r="I1062" s="1">
        <v>9</v>
      </c>
      <c r="U1062" s="1">
        <v>16</v>
      </c>
      <c r="X1062" s="1">
        <v>12</v>
      </c>
      <c r="AA1062" s="1">
        <v>3</v>
      </c>
      <c r="AB1062" s="1">
        <v>2</v>
      </c>
      <c r="AC1062" s="1">
        <v>518</v>
      </c>
      <c r="AF1062" s="3">
        <v>2.5423728813559321</v>
      </c>
      <c r="AG1062" s="3">
        <v>0.95293446838802076</v>
      </c>
      <c r="AH1062" s="1">
        <v>6262</v>
      </c>
      <c r="AI1062" s="1" t="b">
        <v>1</v>
      </c>
    </row>
    <row r="1063" spans="1:35" x14ac:dyDescent="0.25">
      <c r="A1063" s="1">
        <v>11</v>
      </c>
      <c r="B1063" s="1">
        <v>1</v>
      </c>
      <c r="C1063" s="1">
        <v>2020</v>
      </c>
      <c r="G1063" s="1" t="s">
        <v>38</v>
      </c>
      <c r="H1063" s="2">
        <v>4.96</v>
      </c>
      <c r="I1063" s="1">
        <v>16</v>
      </c>
      <c r="U1063" s="1">
        <v>22</v>
      </c>
      <c r="X1063" s="1">
        <v>19</v>
      </c>
      <c r="AA1063" s="1">
        <v>3</v>
      </c>
      <c r="AB1063" s="1">
        <v>5</v>
      </c>
      <c r="AC1063" s="1">
        <v>729</v>
      </c>
      <c r="AF1063" s="3">
        <v>3.2258064516129035</v>
      </c>
      <c r="AG1063" s="3">
        <v>0.95104018387950484</v>
      </c>
      <c r="AH1063" s="1">
        <v>6262</v>
      </c>
      <c r="AI1063" s="1" t="b">
        <v>1</v>
      </c>
    </row>
    <row r="1064" spans="1:35" x14ac:dyDescent="0.25">
      <c r="A1064" s="1">
        <v>11</v>
      </c>
      <c r="B1064" s="1">
        <v>1</v>
      </c>
      <c r="C1064" s="1">
        <v>2020</v>
      </c>
      <c r="G1064" s="1" t="s">
        <v>38</v>
      </c>
      <c r="H1064" s="2">
        <v>7.24</v>
      </c>
      <c r="I1064" s="1">
        <v>21</v>
      </c>
      <c r="U1064" s="1">
        <v>32</v>
      </c>
      <c r="X1064" s="1">
        <v>28</v>
      </c>
      <c r="AA1064" s="1">
        <v>3</v>
      </c>
      <c r="AB1064" s="1">
        <v>5</v>
      </c>
      <c r="AC1064" s="1">
        <v>1134</v>
      </c>
      <c r="AF1064" s="3">
        <v>2.9005524861878453</v>
      </c>
      <c r="AG1064" s="3">
        <v>1.37827623477656</v>
      </c>
      <c r="AH1064" s="1">
        <v>6262</v>
      </c>
      <c r="AI1064" s="1" t="b">
        <v>1</v>
      </c>
    </row>
    <row r="1065" spans="1:35" x14ac:dyDescent="0.25">
      <c r="A1065" s="1">
        <v>11</v>
      </c>
      <c r="B1065" s="1">
        <v>1</v>
      </c>
      <c r="C1065" s="1">
        <v>2020</v>
      </c>
      <c r="G1065" s="1" t="s">
        <v>38</v>
      </c>
      <c r="H1065" s="2">
        <v>7.63</v>
      </c>
      <c r="I1065" s="1">
        <v>20</v>
      </c>
      <c r="U1065" s="1">
        <v>27</v>
      </c>
      <c r="X1065" s="1">
        <v>22</v>
      </c>
      <c r="AA1065" s="1">
        <v>2</v>
      </c>
      <c r="AB1065" s="1">
        <v>3</v>
      </c>
      <c r="AC1065" s="1">
        <v>1033</v>
      </c>
      <c r="AF1065" s="3">
        <v>2.6212319790301444</v>
      </c>
      <c r="AG1065" s="3">
        <v>1.5822012338707203</v>
      </c>
      <c r="AH1065" s="1">
        <v>6262</v>
      </c>
      <c r="AI1065" s="1" t="b">
        <v>1</v>
      </c>
    </row>
    <row r="1066" spans="1:35" x14ac:dyDescent="0.25">
      <c r="A1066" s="1">
        <v>11</v>
      </c>
      <c r="B1066" s="1">
        <v>1</v>
      </c>
      <c r="C1066" s="1">
        <v>2020</v>
      </c>
      <c r="G1066" s="1" t="s">
        <v>38</v>
      </c>
      <c r="H1066" s="2">
        <v>6.96</v>
      </c>
      <c r="I1066" s="1">
        <v>18</v>
      </c>
      <c r="U1066" s="1">
        <v>26</v>
      </c>
      <c r="X1066" s="1">
        <v>22</v>
      </c>
      <c r="AA1066" s="1">
        <v>2</v>
      </c>
      <c r="AB1066" s="1">
        <v>4</v>
      </c>
      <c r="AC1066" s="1">
        <v>852</v>
      </c>
      <c r="AF1066" s="3">
        <v>2.5862068965517242</v>
      </c>
      <c r="AG1066" s="3">
        <v>1.5037069334961708</v>
      </c>
      <c r="AH1066" s="1">
        <v>6262</v>
      </c>
      <c r="AI1066" s="1" t="b">
        <v>1</v>
      </c>
    </row>
    <row r="1067" spans="1:35" x14ac:dyDescent="0.25">
      <c r="A1067" s="1">
        <v>11</v>
      </c>
      <c r="B1067" s="1">
        <v>1</v>
      </c>
      <c r="C1067" s="1">
        <v>2020</v>
      </c>
      <c r="G1067" s="1" t="s">
        <v>38</v>
      </c>
      <c r="H1067" s="2">
        <v>4.28</v>
      </c>
      <c r="I1067" s="1">
        <v>9</v>
      </c>
      <c r="V1067" s="1">
        <v>14</v>
      </c>
      <c r="X1067" s="1">
        <v>11</v>
      </c>
      <c r="AA1067" s="1">
        <v>2</v>
      </c>
      <c r="AB1067" s="1">
        <v>5</v>
      </c>
      <c r="AC1067" s="1">
        <v>461</v>
      </c>
      <c r="AF1067" s="3">
        <v>2.1028037383177569</v>
      </c>
      <c r="AG1067" s="3">
        <v>1.3158667039392149</v>
      </c>
      <c r="AH1067" s="1">
        <v>6262</v>
      </c>
      <c r="AI1067" s="1" t="b">
        <v>1</v>
      </c>
    </row>
    <row r="1068" spans="1:35" x14ac:dyDescent="0.25">
      <c r="A1068" s="1">
        <v>11</v>
      </c>
      <c r="B1068" s="1">
        <v>1</v>
      </c>
      <c r="C1068" s="1">
        <v>2020</v>
      </c>
      <c r="G1068" s="1" t="s">
        <v>38</v>
      </c>
      <c r="H1068" s="2">
        <v>5.89</v>
      </c>
      <c r="I1068" s="1">
        <v>10</v>
      </c>
      <c r="V1068" s="1">
        <v>21</v>
      </c>
      <c r="X1068" s="1">
        <v>16</v>
      </c>
      <c r="AA1068" s="1">
        <v>4</v>
      </c>
      <c r="AB1068" s="1">
        <v>2</v>
      </c>
      <c r="AC1068" s="1">
        <v>726</v>
      </c>
      <c r="AF1068" s="3">
        <v>1.6977928692699491</v>
      </c>
      <c r="AG1068" s="3">
        <v>2.0379616212209655</v>
      </c>
      <c r="AH1068" s="1">
        <v>6262</v>
      </c>
      <c r="AI1068" s="1" t="b">
        <v>1</v>
      </c>
    </row>
    <row r="1069" spans="1:35" x14ac:dyDescent="0.25">
      <c r="A1069" s="1">
        <v>11</v>
      </c>
      <c r="B1069" s="1">
        <v>1</v>
      </c>
      <c r="C1069" s="1">
        <v>2020</v>
      </c>
      <c r="G1069" s="1" t="s">
        <v>38</v>
      </c>
      <c r="H1069" s="2">
        <v>3.24</v>
      </c>
      <c r="I1069" s="1">
        <v>9</v>
      </c>
      <c r="U1069" s="1">
        <v>14</v>
      </c>
      <c r="X1069" s="1">
        <v>11</v>
      </c>
      <c r="AA1069" s="1">
        <v>2</v>
      </c>
      <c r="AB1069" s="1">
        <v>3</v>
      </c>
      <c r="AC1069" s="1">
        <v>548</v>
      </c>
      <c r="AF1069" s="3">
        <v>2.7777777777777777</v>
      </c>
      <c r="AG1069" s="3">
        <v>0.81975487473030606</v>
      </c>
      <c r="AH1069" s="1">
        <v>6262</v>
      </c>
      <c r="AI1069" s="1" t="b">
        <v>1</v>
      </c>
    </row>
    <row r="1070" spans="1:35" x14ac:dyDescent="0.25">
      <c r="A1070" s="1">
        <v>11</v>
      </c>
      <c r="B1070" s="1">
        <v>1</v>
      </c>
      <c r="C1070" s="1">
        <v>2020</v>
      </c>
      <c r="G1070" s="1" t="s">
        <v>38</v>
      </c>
      <c r="H1070" s="2">
        <v>8.7899999999999991</v>
      </c>
      <c r="I1070" s="1">
        <v>15</v>
      </c>
      <c r="V1070" s="1">
        <v>31</v>
      </c>
      <c r="X1070" s="1">
        <v>23</v>
      </c>
      <c r="AA1070" s="1">
        <v>4</v>
      </c>
      <c r="AB1070" s="1">
        <v>5</v>
      </c>
      <c r="AC1070" s="1">
        <v>924</v>
      </c>
      <c r="AF1070" s="3">
        <v>1.7064846416382253</v>
      </c>
      <c r="AG1070" s="3">
        <v>2.683427267799062</v>
      </c>
      <c r="AH1070" s="1">
        <v>6262</v>
      </c>
      <c r="AI1070" s="1" t="b">
        <v>1</v>
      </c>
    </row>
    <row r="1071" spans="1:35" x14ac:dyDescent="0.25">
      <c r="A1071" s="1">
        <v>11</v>
      </c>
      <c r="B1071" s="1">
        <v>1</v>
      </c>
      <c r="C1071" s="1">
        <v>2020</v>
      </c>
      <c r="G1071" s="1" t="s">
        <v>38</v>
      </c>
      <c r="H1071" s="2">
        <v>3.55</v>
      </c>
      <c r="I1071" s="1">
        <v>11</v>
      </c>
      <c r="U1071" s="1">
        <v>15</v>
      </c>
      <c r="X1071" s="1">
        <v>11</v>
      </c>
      <c r="AA1071" s="1">
        <v>1</v>
      </c>
      <c r="AB1071" s="1">
        <v>5</v>
      </c>
      <c r="AC1071" s="1">
        <v>533</v>
      </c>
      <c r="AF1071" s="3">
        <v>3.098591549295775</v>
      </c>
      <c r="AG1071" s="3">
        <v>0.7834215523202338</v>
      </c>
      <c r="AH1071" s="1">
        <v>6262</v>
      </c>
      <c r="AI1071" s="1" t="b">
        <v>1</v>
      </c>
    </row>
    <row r="1072" spans="1:35" x14ac:dyDescent="0.25">
      <c r="A1072" s="1">
        <v>11</v>
      </c>
      <c r="B1072" s="1">
        <v>1</v>
      </c>
      <c r="C1072" s="1">
        <v>2020</v>
      </c>
      <c r="G1072" s="1" t="s">
        <v>38</v>
      </c>
      <c r="H1072" s="2">
        <v>7.2</v>
      </c>
      <c r="I1072" s="1">
        <v>26</v>
      </c>
      <c r="U1072" s="1">
        <v>32</v>
      </c>
      <c r="X1072" s="1">
        <v>29</v>
      </c>
      <c r="AA1072" s="1">
        <v>2</v>
      </c>
      <c r="AB1072" s="1">
        <v>2</v>
      </c>
      <c r="AC1072" s="1">
        <v>1169</v>
      </c>
      <c r="AF1072" s="3">
        <v>3.6111111111111112</v>
      </c>
      <c r="AG1072" s="3">
        <v>1.1027876553793008</v>
      </c>
      <c r="AH1072" s="1">
        <v>6262</v>
      </c>
      <c r="AI1072" s="1" t="b">
        <v>1</v>
      </c>
    </row>
    <row r="1073" spans="1:35" x14ac:dyDescent="0.25">
      <c r="A1073" s="1">
        <v>11</v>
      </c>
      <c r="B1073" s="1">
        <v>1</v>
      </c>
      <c r="C1073" s="1">
        <v>2020</v>
      </c>
      <c r="G1073" s="1" t="s">
        <v>38</v>
      </c>
      <c r="H1073" s="2">
        <v>5.95</v>
      </c>
      <c r="I1073" s="1">
        <v>19</v>
      </c>
      <c r="U1073" s="1">
        <v>27</v>
      </c>
      <c r="X1073" s="1">
        <v>23</v>
      </c>
      <c r="AA1073" s="1">
        <v>2</v>
      </c>
      <c r="AB1073" s="1">
        <v>4</v>
      </c>
      <c r="AC1073" s="1">
        <v>859</v>
      </c>
      <c r="AF1073" s="3">
        <v>3.1932773109243695</v>
      </c>
      <c r="AG1073" s="3">
        <v>1.0912524726767614</v>
      </c>
      <c r="AH1073" s="1">
        <v>6262</v>
      </c>
      <c r="AI1073" s="1" t="b">
        <v>1</v>
      </c>
    </row>
    <row r="1074" spans="1:35" x14ac:dyDescent="0.25">
      <c r="A1074" s="1">
        <v>11</v>
      </c>
      <c r="B1074" s="1">
        <v>1</v>
      </c>
      <c r="C1074" s="1">
        <v>2020</v>
      </c>
      <c r="G1074" s="1" t="s">
        <v>38</v>
      </c>
      <c r="H1074" s="2">
        <v>7.1</v>
      </c>
      <c r="I1074" s="1">
        <v>25</v>
      </c>
      <c r="U1074" s="1">
        <v>38</v>
      </c>
      <c r="X1074" s="1">
        <v>33</v>
      </c>
      <c r="AA1074" s="1">
        <v>3</v>
      </c>
      <c r="AB1074" s="1">
        <v>3</v>
      </c>
      <c r="AC1074" s="1">
        <v>1064</v>
      </c>
      <c r="AF1074" s="3">
        <v>3.5211267605633805</v>
      </c>
      <c r="AG1074" s="3">
        <v>1.119951418483448</v>
      </c>
      <c r="AH1074" s="1">
        <v>6262</v>
      </c>
      <c r="AI1074" s="1" t="b">
        <v>1</v>
      </c>
    </row>
    <row r="1075" spans="1:35" x14ac:dyDescent="0.25">
      <c r="A1075" s="1">
        <v>11</v>
      </c>
      <c r="B1075" s="1">
        <v>1</v>
      </c>
      <c r="C1075" s="1">
        <v>2020</v>
      </c>
      <c r="G1075" s="1" t="s">
        <v>38</v>
      </c>
      <c r="H1075" s="2">
        <v>6.42</v>
      </c>
      <c r="I1075" s="1">
        <v>19</v>
      </c>
      <c r="U1075" s="1">
        <v>24</v>
      </c>
      <c r="X1075" s="1">
        <v>19</v>
      </c>
      <c r="AA1075" s="1">
        <v>1</v>
      </c>
      <c r="AB1075" s="1">
        <v>2</v>
      </c>
      <c r="AC1075" s="1">
        <v>964</v>
      </c>
      <c r="AF1075" s="3">
        <v>2.9595015576323989</v>
      </c>
      <c r="AG1075" s="3">
        <v>1.241812270259204</v>
      </c>
      <c r="AH1075" s="1">
        <v>6262</v>
      </c>
      <c r="AI1075" s="1" t="b">
        <v>1</v>
      </c>
    </row>
    <row r="1076" spans="1:35" x14ac:dyDescent="0.25">
      <c r="A1076" s="1">
        <v>11</v>
      </c>
      <c r="B1076" s="1">
        <v>1</v>
      </c>
      <c r="C1076" s="1">
        <v>2020</v>
      </c>
      <c r="G1076" s="1" t="s">
        <v>38</v>
      </c>
      <c r="H1076" s="2">
        <v>4.05</v>
      </c>
      <c r="I1076" s="1">
        <v>10</v>
      </c>
      <c r="U1076" s="1">
        <v>17</v>
      </c>
      <c r="X1076" s="1">
        <v>15</v>
      </c>
      <c r="AA1076" s="1">
        <v>3</v>
      </c>
      <c r="AB1076" s="1">
        <v>2</v>
      </c>
      <c r="AC1076" s="1">
        <v>744</v>
      </c>
      <c r="AF1076" s="3">
        <v>2.4691358024691361</v>
      </c>
      <c r="AG1076" s="3">
        <v>1.0781359793248302</v>
      </c>
      <c r="AH1076" s="1">
        <v>6262</v>
      </c>
      <c r="AI1076" s="1" t="b">
        <v>1</v>
      </c>
    </row>
    <row r="1077" spans="1:35" x14ac:dyDescent="0.25">
      <c r="A1077" s="1">
        <v>11</v>
      </c>
      <c r="B1077" s="1">
        <v>1</v>
      </c>
      <c r="C1077" s="1">
        <v>2020</v>
      </c>
      <c r="G1077" s="1" t="s">
        <v>38</v>
      </c>
      <c r="H1077" s="2">
        <v>9.44</v>
      </c>
      <c r="I1077" s="1">
        <v>27</v>
      </c>
      <c r="U1077" s="1">
        <v>36</v>
      </c>
      <c r="X1077" s="1">
        <v>34</v>
      </c>
      <c r="AA1077" s="1">
        <v>4</v>
      </c>
      <c r="AB1077" s="1">
        <v>2</v>
      </c>
      <c r="AC1077" s="1">
        <v>1434</v>
      </c>
      <c r="AF1077" s="3">
        <v>2.8601694915254239</v>
      </c>
      <c r="AG1077" s="3">
        <v>1.6830174781376432</v>
      </c>
      <c r="AH1077" s="1">
        <v>6262</v>
      </c>
      <c r="AI1077" s="1" t="b">
        <v>1</v>
      </c>
    </row>
    <row r="1078" spans="1:35" x14ac:dyDescent="0.25">
      <c r="A1078" s="1">
        <v>11</v>
      </c>
      <c r="B1078" s="1">
        <v>1</v>
      </c>
      <c r="C1078" s="1">
        <v>2020</v>
      </c>
      <c r="G1078" s="1" t="s">
        <v>38</v>
      </c>
      <c r="H1078" s="2">
        <v>8.6199999999999992</v>
      </c>
      <c r="I1078" s="1">
        <v>19</v>
      </c>
      <c r="U1078" s="1">
        <v>37</v>
      </c>
      <c r="X1078" s="1">
        <v>30</v>
      </c>
      <c r="AA1078" s="1">
        <v>5</v>
      </c>
      <c r="AB1078" s="1">
        <v>4</v>
      </c>
      <c r="AC1078" s="1">
        <v>1337</v>
      </c>
      <c r="AF1078" s="3">
        <v>2.2041763341067289</v>
      </c>
      <c r="AG1078" s="3">
        <v>2.0493151512651857</v>
      </c>
      <c r="AH1078" s="1">
        <v>6262</v>
      </c>
      <c r="AI1078" s="1" t="b">
        <v>1</v>
      </c>
    </row>
    <row r="1079" spans="1:35" x14ac:dyDescent="0.25">
      <c r="A1079" s="1">
        <v>11</v>
      </c>
      <c r="B1079" s="1">
        <v>1</v>
      </c>
      <c r="C1079" s="1">
        <v>2020</v>
      </c>
      <c r="G1079" s="1" t="s">
        <v>38</v>
      </c>
      <c r="H1079" s="2">
        <v>6.08</v>
      </c>
      <c r="I1079" s="1">
        <v>18</v>
      </c>
      <c r="U1079" s="1">
        <v>31</v>
      </c>
      <c r="X1079" s="1">
        <v>24</v>
      </c>
      <c r="AA1079" s="1">
        <v>3</v>
      </c>
      <c r="AB1079" s="1">
        <v>3</v>
      </c>
      <c r="AC1079" s="1">
        <v>887</v>
      </c>
      <c r="AF1079" s="3">
        <v>2.9605263157894735</v>
      </c>
      <c r="AG1079" s="3">
        <v>1.1949880977195666</v>
      </c>
      <c r="AH1079" s="1">
        <v>6262</v>
      </c>
      <c r="AI1079" s="1" t="b">
        <v>1</v>
      </c>
    </row>
    <row r="1080" spans="1:35" x14ac:dyDescent="0.25">
      <c r="A1080" s="1">
        <v>11</v>
      </c>
      <c r="B1080" s="1">
        <v>1</v>
      </c>
      <c r="C1080" s="1">
        <v>2020</v>
      </c>
      <c r="G1080" s="1" t="s">
        <v>38</v>
      </c>
      <c r="H1080" s="2">
        <v>7.35</v>
      </c>
      <c r="I1080" s="1">
        <v>19</v>
      </c>
      <c r="U1080" s="1">
        <v>35</v>
      </c>
      <c r="X1080" s="1">
        <v>29</v>
      </c>
      <c r="AA1080" s="1">
        <v>4</v>
      </c>
      <c r="AB1080" s="1">
        <v>5</v>
      </c>
      <c r="AC1080" s="1">
        <v>1030</v>
      </c>
      <c r="AF1080" s="3">
        <v>2.5850340136054424</v>
      </c>
      <c r="AG1080" s="3">
        <v>1.5629132588396444</v>
      </c>
      <c r="AH1080" s="1">
        <v>6262</v>
      </c>
      <c r="AI1080" s="1" t="b">
        <v>1</v>
      </c>
    </row>
    <row r="1081" spans="1:35" x14ac:dyDescent="0.25">
      <c r="A1081" s="1">
        <v>11</v>
      </c>
      <c r="B1081" s="1">
        <v>1</v>
      </c>
      <c r="C1081" s="1">
        <v>2020</v>
      </c>
      <c r="G1081" s="1" t="s">
        <v>38</v>
      </c>
      <c r="H1081" s="2">
        <v>5.92</v>
      </c>
      <c r="I1081" s="1">
        <v>18</v>
      </c>
      <c r="U1081" s="1">
        <v>30</v>
      </c>
      <c r="X1081" s="1">
        <v>23</v>
      </c>
      <c r="AA1081" s="1">
        <v>3</v>
      </c>
      <c r="AB1081" s="1">
        <v>4</v>
      </c>
      <c r="AC1081" s="1">
        <v>700</v>
      </c>
      <c r="AF1081" s="3">
        <v>3.0405405405405408</v>
      </c>
      <c r="AG1081" s="3">
        <v>1.142021805548264</v>
      </c>
      <c r="AH1081" s="1">
        <v>6262</v>
      </c>
      <c r="AI1081" s="1" t="b">
        <v>1</v>
      </c>
    </row>
    <row r="1082" spans="1:35" x14ac:dyDescent="0.25">
      <c r="A1082" s="1">
        <v>11</v>
      </c>
      <c r="B1082" s="1">
        <v>1</v>
      </c>
      <c r="C1082" s="1">
        <v>2020</v>
      </c>
      <c r="G1082" s="1" t="s">
        <v>38</v>
      </c>
      <c r="H1082" s="2">
        <v>5.52</v>
      </c>
      <c r="I1082" s="1">
        <v>16</v>
      </c>
      <c r="U1082" s="1">
        <v>27</v>
      </c>
      <c r="X1082" s="1">
        <v>22</v>
      </c>
      <c r="AA1082" s="1">
        <v>3</v>
      </c>
      <c r="AB1082" s="1">
        <v>3</v>
      </c>
      <c r="AC1082" s="1">
        <v>799</v>
      </c>
      <c r="AF1082" s="3">
        <v>2.8985507246376816</v>
      </c>
      <c r="AG1082" s="3">
        <v>1.1407131537154622</v>
      </c>
      <c r="AH1082" s="1">
        <v>6262</v>
      </c>
      <c r="AI1082" s="1" t="b">
        <v>1</v>
      </c>
    </row>
    <row r="1083" spans="1:35" x14ac:dyDescent="0.25">
      <c r="A1083" s="1">
        <v>11</v>
      </c>
      <c r="B1083" s="1">
        <v>1</v>
      </c>
      <c r="C1083" s="1">
        <v>2020</v>
      </c>
      <c r="G1083" s="1" t="s">
        <v>38</v>
      </c>
      <c r="H1083" s="2">
        <v>8.52</v>
      </c>
      <c r="I1083" s="1">
        <v>16</v>
      </c>
      <c r="U1083" s="1">
        <v>33</v>
      </c>
      <c r="X1083" s="1">
        <v>28</v>
      </c>
      <c r="AA1083" s="1">
        <v>4</v>
      </c>
      <c r="AB1083" s="1">
        <v>4</v>
      </c>
      <c r="AC1083" s="1">
        <v>1044</v>
      </c>
      <c r="AF1083" s="3">
        <v>1.8779342723004695</v>
      </c>
      <c r="AG1083" s="3">
        <v>2.3857631619210138</v>
      </c>
      <c r="AH1083" s="1">
        <v>6262</v>
      </c>
      <c r="AI1083" s="1" t="b">
        <v>1</v>
      </c>
    </row>
    <row r="1084" spans="1:35" x14ac:dyDescent="0.25">
      <c r="A1084" s="1">
        <v>11</v>
      </c>
      <c r="B1084" s="1">
        <v>1</v>
      </c>
      <c r="C1084" s="1">
        <v>2020</v>
      </c>
      <c r="G1084" s="1" t="s">
        <v>38</v>
      </c>
      <c r="H1084" s="2">
        <v>5.54</v>
      </c>
      <c r="I1084" s="1">
        <v>14</v>
      </c>
      <c r="U1084" s="1">
        <v>21</v>
      </c>
      <c r="X1084" s="1">
        <v>16</v>
      </c>
      <c r="AA1084" s="1">
        <v>2</v>
      </c>
      <c r="AB1084" s="1">
        <v>3</v>
      </c>
      <c r="AC1084" s="1">
        <v>652</v>
      </c>
      <c r="AF1084" s="3">
        <v>2.5270758122743682</v>
      </c>
      <c r="AG1084" s="3">
        <v>1.3117122196395312</v>
      </c>
      <c r="AH1084" s="1">
        <v>6262</v>
      </c>
      <c r="AI1084" s="1" t="b">
        <v>1</v>
      </c>
    </row>
    <row r="1085" spans="1:35" x14ac:dyDescent="0.25">
      <c r="A1085" s="1">
        <v>11</v>
      </c>
      <c r="B1085" s="1">
        <v>1</v>
      </c>
      <c r="C1085" s="1">
        <v>2020</v>
      </c>
      <c r="G1085" s="1" t="s">
        <v>38</v>
      </c>
      <c r="H1085" s="2">
        <v>4.42</v>
      </c>
      <c r="I1085" s="1">
        <v>15</v>
      </c>
      <c r="U1085" s="1">
        <v>18</v>
      </c>
      <c r="X1085" s="1">
        <v>15</v>
      </c>
      <c r="AA1085" s="1">
        <v>1</v>
      </c>
      <c r="AB1085" s="1">
        <v>2</v>
      </c>
      <c r="AC1085" s="1">
        <v>584</v>
      </c>
      <c r="AF1085" s="3">
        <v>3.3936651583710407</v>
      </c>
      <c r="AG1085" s="3">
        <v>0.83392424194153447</v>
      </c>
      <c r="AH1085" s="1">
        <v>6262</v>
      </c>
      <c r="AI1085" s="1" t="b">
        <v>1</v>
      </c>
    </row>
    <row r="1086" spans="1:35" x14ac:dyDescent="0.25">
      <c r="A1086" s="1">
        <v>16</v>
      </c>
      <c r="B1086" s="1">
        <v>1</v>
      </c>
      <c r="C1086" s="1">
        <v>2020</v>
      </c>
      <c r="G1086" s="1" t="s">
        <v>38</v>
      </c>
      <c r="H1086" s="2">
        <v>8.5500000000000007</v>
      </c>
      <c r="I1086" s="1">
        <v>24</v>
      </c>
      <c r="U1086" s="1">
        <v>40</v>
      </c>
      <c r="X1086" s="1">
        <v>34</v>
      </c>
      <c r="AA1086" s="1">
        <v>4</v>
      </c>
      <c r="AB1086" s="1">
        <v>3</v>
      </c>
      <c r="AC1086" s="1">
        <v>1268</v>
      </c>
      <c r="AF1086" s="3">
        <v>2.807017543859649</v>
      </c>
      <c r="AG1086" s="3">
        <v>1.6000411547997671</v>
      </c>
      <c r="AH1086" s="1">
        <v>6263</v>
      </c>
      <c r="AI1086" s="1" t="b">
        <v>1</v>
      </c>
    </row>
    <row r="1087" spans="1:35" x14ac:dyDescent="0.25">
      <c r="A1087" s="1">
        <v>16</v>
      </c>
      <c r="B1087" s="1">
        <v>1</v>
      </c>
      <c r="C1087" s="1">
        <v>2020</v>
      </c>
      <c r="G1087" s="1" t="s">
        <v>38</v>
      </c>
      <c r="H1087" s="2">
        <v>5.95</v>
      </c>
      <c r="I1087" s="1">
        <v>11</v>
      </c>
      <c r="U1087" s="1">
        <v>15</v>
      </c>
      <c r="X1087" s="1">
        <v>12</v>
      </c>
      <c r="AA1087" s="1">
        <v>2</v>
      </c>
      <c r="AB1087" s="1">
        <v>3</v>
      </c>
      <c r="AC1087" s="1">
        <v>766</v>
      </c>
      <c r="AF1087" s="3">
        <v>1.8487394957983192</v>
      </c>
      <c r="AG1087" s="3">
        <v>1.884890634623497</v>
      </c>
      <c r="AH1087" s="1">
        <v>6263</v>
      </c>
      <c r="AI1087" s="1" t="b">
        <v>1</v>
      </c>
    </row>
    <row r="1088" spans="1:35" x14ac:dyDescent="0.25">
      <c r="A1088" s="1">
        <v>16</v>
      </c>
      <c r="B1088" s="1">
        <v>1</v>
      </c>
      <c r="C1088" s="1">
        <v>2020</v>
      </c>
      <c r="G1088" s="1" t="s">
        <v>38</v>
      </c>
      <c r="H1088" s="2">
        <v>8.6300000000000008</v>
      </c>
      <c r="I1088" s="1">
        <v>25</v>
      </c>
      <c r="U1088" s="1">
        <v>35</v>
      </c>
      <c r="X1088" s="1">
        <v>31</v>
      </c>
      <c r="AA1088" s="1">
        <v>2</v>
      </c>
      <c r="AB1088" s="1">
        <v>2</v>
      </c>
      <c r="AC1088" s="1">
        <v>1312</v>
      </c>
      <c r="AF1088" s="3">
        <v>2.8968713789107761</v>
      </c>
      <c r="AG1088" s="3">
        <v>1.5605523573155216</v>
      </c>
      <c r="AH1088" s="1">
        <v>6263</v>
      </c>
      <c r="AI1088" s="1" t="b">
        <v>1</v>
      </c>
    </row>
    <row r="1089" spans="1:35" x14ac:dyDescent="0.25">
      <c r="A1089" s="1">
        <v>16</v>
      </c>
      <c r="B1089" s="1">
        <v>1</v>
      </c>
      <c r="C1089" s="1">
        <v>2020</v>
      </c>
      <c r="G1089" s="1" t="s">
        <v>38</v>
      </c>
      <c r="H1089" s="2">
        <v>6.84</v>
      </c>
      <c r="I1089" s="1">
        <v>19</v>
      </c>
      <c r="U1089" s="1">
        <v>31</v>
      </c>
      <c r="X1089" s="1">
        <v>25</v>
      </c>
      <c r="AA1089" s="1">
        <v>4</v>
      </c>
      <c r="AB1089" s="1">
        <v>2</v>
      </c>
      <c r="AC1089" s="1">
        <v>897</v>
      </c>
      <c r="AF1089" s="3">
        <v>2.7777777777777777</v>
      </c>
      <c r="AG1089" s="3">
        <v>1.3830623912058075</v>
      </c>
      <c r="AH1089" s="1">
        <v>6263</v>
      </c>
      <c r="AI1089" s="1" t="b">
        <v>1</v>
      </c>
    </row>
    <row r="1090" spans="1:35" x14ac:dyDescent="0.25">
      <c r="A1090" s="1">
        <v>16</v>
      </c>
      <c r="B1090" s="1">
        <v>1</v>
      </c>
      <c r="C1090" s="1">
        <v>2020</v>
      </c>
      <c r="G1090" s="1" t="s">
        <v>38</v>
      </c>
      <c r="H1090" s="2">
        <v>9.31</v>
      </c>
      <c r="I1090" s="1">
        <v>27</v>
      </c>
      <c r="U1090" s="1">
        <v>36</v>
      </c>
      <c r="X1090" s="1">
        <v>30</v>
      </c>
      <c r="AA1090" s="1">
        <v>2</v>
      </c>
      <c r="AB1090" s="1">
        <v>2</v>
      </c>
      <c r="AC1090" s="1">
        <v>1395</v>
      </c>
      <c r="AF1090" s="3">
        <v>2.9001074113856067</v>
      </c>
      <c r="AG1090" s="3">
        <v>1.6438065003454343</v>
      </c>
      <c r="AH1090" s="1">
        <v>6263</v>
      </c>
      <c r="AI1090" s="1" t="b">
        <v>1</v>
      </c>
    </row>
    <row r="1091" spans="1:35" x14ac:dyDescent="0.25">
      <c r="A1091" s="1">
        <v>16</v>
      </c>
      <c r="B1091" s="1">
        <v>1</v>
      </c>
      <c r="C1091" s="1">
        <v>2020</v>
      </c>
      <c r="G1091" s="1" t="s">
        <v>38</v>
      </c>
      <c r="H1091" s="2">
        <v>6.39</v>
      </c>
      <c r="I1091" s="1">
        <v>15</v>
      </c>
      <c r="U1091" s="1">
        <v>27</v>
      </c>
      <c r="X1091" s="1">
        <v>23</v>
      </c>
      <c r="AA1091" s="1">
        <v>5</v>
      </c>
      <c r="AB1091" s="1">
        <v>3</v>
      </c>
      <c r="AC1091" s="1">
        <v>922</v>
      </c>
      <c r="AF1091" s="3">
        <v>2.347417840375587</v>
      </c>
      <c r="AG1091" s="3">
        <v>1.5604871609316215</v>
      </c>
      <c r="AH1091" s="1">
        <v>6263</v>
      </c>
      <c r="AI1091" s="1" t="b">
        <v>1</v>
      </c>
    </row>
    <row r="1092" spans="1:35" x14ac:dyDescent="0.25">
      <c r="A1092" s="1">
        <v>16</v>
      </c>
      <c r="B1092" s="1">
        <v>1</v>
      </c>
      <c r="C1092" s="1">
        <v>2020</v>
      </c>
      <c r="G1092" s="1" t="s">
        <v>38</v>
      </c>
      <c r="H1092" s="2">
        <v>8.15</v>
      </c>
      <c r="I1092" s="1">
        <v>22</v>
      </c>
      <c r="U1092" s="1">
        <v>33</v>
      </c>
      <c r="X1092" s="1">
        <v>29</v>
      </c>
      <c r="AA1092" s="1">
        <v>3</v>
      </c>
      <c r="AB1092" s="1">
        <v>3</v>
      </c>
      <c r="AC1092" s="1">
        <v>1058</v>
      </c>
      <c r="AF1092" s="3">
        <v>2.6993865030674846</v>
      </c>
      <c r="AG1092" s="3">
        <v>1.6089600248290836</v>
      </c>
      <c r="AH1092" s="1">
        <v>6263</v>
      </c>
      <c r="AI1092" s="1" t="b">
        <v>1</v>
      </c>
    </row>
    <row r="1093" spans="1:35" x14ac:dyDescent="0.25">
      <c r="A1093" s="1">
        <v>16</v>
      </c>
      <c r="B1093" s="1">
        <v>1</v>
      </c>
      <c r="C1093" s="1">
        <v>2020</v>
      </c>
      <c r="G1093" s="1" t="s">
        <v>38</v>
      </c>
      <c r="H1093" s="2">
        <v>7.09</v>
      </c>
      <c r="I1093" s="1">
        <v>19</v>
      </c>
      <c r="U1093" s="1">
        <v>36</v>
      </c>
      <c r="X1093" s="1">
        <v>25</v>
      </c>
      <c r="AA1093" s="1">
        <v>2</v>
      </c>
      <c r="AB1093" s="1">
        <v>2</v>
      </c>
      <c r="AC1093" s="1">
        <v>1053</v>
      </c>
      <c r="AF1093" s="3">
        <v>2.6798307475317351</v>
      </c>
      <c r="AG1093" s="3">
        <v>1.4700936404649994</v>
      </c>
      <c r="AH1093" s="1">
        <v>6263</v>
      </c>
      <c r="AI1093" s="1" t="b">
        <v>1</v>
      </c>
    </row>
    <row r="1094" spans="1:35" x14ac:dyDescent="0.25">
      <c r="A1094" s="1">
        <v>16</v>
      </c>
      <c r="B1094" s="1">
        <v>1</v>
      </c>
      <c r="C1094" s="1">
        <v>2020</v>
      </c>
      <c r="G1094" s="1" t="s">
        <v>38</v>
      </c>
      <c r="H1094" s="2">
        <v>4.84</v>
      </c>
      <c r="I1094" s="1">
        <v>11</v>
      </c>
      <c r="U1094" s="1">
        <v>19</v>
      </c>
      <c r="X1094" s="1">
        <v>16</v>
      </c>
      <c r="AA1094" s="1">
        <v>3</v>
      </c>
      <c r="AB1094" s="1">
        <v>3</v>
      </c>
      <c r="AC1094" s="1">
        <v>611</v>
      </c>
      <c r="AF1094" s="3">
        <v>2.2727272727272729</v>
      </c>
      <c r="AG1094" s="3">
        <v>1.3269190516076017</v>
      </c>
      <c r="AH1094" s="1">
        <v>6263</v>
      </c>
      <c r="AI1094" s="1" t="b">
        <v>1</v>
      </c>
    </row>
    <row r="1095" spans="1:35" x14ac:dyDescent="0.25">
      <c r="A1095" s="1">
        <v>16</v>
      </c>
      <c r="B1095" s="1">
        <v>1</v>
      </c>
      <c r="C1095" s="1">
        <v>2020</v>
      </c>
      <c r="G1095" s="1" t="s">
        <v>38</v>
      </c>
      <c r="H1095" s="2">
        <v>6.96</v>
      </c>
      <c r="I1095" s="1">
        <v>17</v>
      </c>
      <c r="U1095" s="1">
        <v>24</v>
      </c>
      <c r="X1095" s="1">
        <v>21</v>
      </c>
      <c r="AA1095" s="1">
        <v>2</v>
      </c>
      <c r="AB1095" s="1">
        <v>5</v>
      </c>
      <c r="AC1095" s="1">
        <v>852</v>
      </c>
      <c r="AF1095" s="3">
        <v>2.4425287356321839</v>
      </c>
      <c r="AG1095" s="3">
        <v>1.5921602825253574</v>
      </c>
      <c r="AH1095" s="1">
        <v>6263</v>
      </c>
      <c r="AI1095" s="1" t="b">
        <v>1</v>
      </c>
    </row>
    <row r="1096" spans="1:35" x14ac:dyDescent="0.25">
      <c r="A1096" s="1">
        <v>16</v>
      </c>
      <c r="B1096" s="1">
        <v>1</v>
      </c>
      <c r="C1096" s="1">
        <v>2020</v>
      </c>
      <c r="G1096" s="1" t="s">
        <v>38</v>
      </c>
      <c r="H1096" s="2">
        <v>7.38</v>
      </c>
      <c r="I1096" s="1">
        <v>15</v>
      </c>
      <c r="U1096" s="1">
        <v>28</v>
      </c>
      <c r="X1096" s="1">
        <v>23</v>
      </c>
      <c r="AA1096" s="1">
        <v>5</v>
      </c>
      <c r="AB1096" s="1">
        <v>4</v>
      </c>
      <c r="AC1096" s="1">
        <v>990</v>
      </c>
      <c r="AF1096" s="3">
        <v>2.0325203252032522</v>
      </c>
      <c r="AG1096" s="3">
        <v>1.9934463689920117</v>
      </c>
      <c r="AH1096" s="1">
        <v>6263</v>
      </c>
      <c r="AI1096" s="1" t="b">
        <v>1</v>
      </c>
    </row>
    <row r="1097" spans="1:35" x14ac:dyDescent="0.25">
      <c r="A1097" s="1">
        <v>16</v>
      </c>
      <c r="B1097" s="1">
        <v>1</v>
      </c>
      <c r="C1097" s="1">
        <v>2020</v>
      </c>
      <c r="G1097" s="1" t="s">
        <v>38</v>
      </c>
      <c r="H1097" s="2">
        <v>5.78</v>
      </c>
      <c r="I1097" s="1">
        <v>13</v>
      </c>
      <c r="U1097" s="1">
        <v>24</v>
      </c>
      <c r="X1097" s="1">
        <v>21</v>
      </c>
      <c r="AA1097" s="1">
        <v>4</v>
      </c>
      <c r="AB1097" s="1">
        <v>6</v>
      </c>
      <c r="AC1097" s="1">
        <v>887</v>
      </c>
      <c r="AF1097" s="3">
        <v>2.2491349480968856</v>
      </c>
      <c r="AG1097" s="3">
        <v>1.5182174297970017</v>
      </c>
      <c r="AH1097" s="1">
        <v>6263</v>
      </c>
      <c r="AI1097" s="1" t="b">
        <v>1</v>
      </c>
    </row>
    <row r="1098" spans="1:35" x14ac:dyDescent="0.25">
      <c r="A1098" s="1">
        <v>16</v>
      </c>
      <c r="B1098" s="1">
        <v>1</v>
      </c>
      <c r="C1098" s="1">
        <v>2020</v>
      </c>
      <c r="G1098" s="1" t="s">
        <v>38</v>
      </c>
      <c r="H1098" s="2">
        <v>7.16</v>
      </c>
      <c r="I1098" s="1">
        <v>14</v>
      </c>
      <c r="U1098" s="1">
        <v>32</v>
      </c>
      <c r="X1098" s="1">
        <v>25</v>
      </c>
      <c r="AA1098" s="1">
        <v>4</v>
      </c>
      <c r="AB1098" s="1">
        <v>5</v>
      </c>
      <c r="AC1098" s="1">
        <v>832</v>
      </c>
      <c r="AF1098" s="3">
        <v>1.9553072625698324</v>
      </c>
      <c r="AG1098" s="3">
        <v>2.0287293031864153</v>
      </c>
      <c r="AH1098" s="1">
        <v>6263</v>
      </c>
      <c r="AI1098" s="1" t="b">
        <v>1</v>
      </c>
    </row>
    <row r="1099" spans="1:35" x14ac:dyDescent="0.25">
      <c r="A1099" s="1">
        <v>16</v>
      </c>
      <c r="B1099" s="1">
        <v>1</v>
      </c>
      <c r="C1099" s="1">
        <v>2020</v>
      </c>
      <c r="G1099" s="1" t="s">
        <v>38</v>
      </c>
      <c r="H1099" s="2">
        <v>5.23</v>
      </c>
      <c r="I1099" s="1">
        <v>16</v>
      </c>
      <c r="U1099" s="1">
        <v>21</v>
      </c>
      <c r="X1099" s="1">
        <v>17</v>
      </c>
      <c r="AA1099" s="1">
        <v>2</v>
      </c>
      <c r="AB1099" s="1">
        <v>2</v>
      </c>
      <c r="AC1099" s="1">
        <v>735</v>
      </c>
      <c r="AF1099" s="3">
        <v>3.0592734225621414</v>
      </c>
      <c r="AG1099" s="3">
        <v>1.0407175742714889</v>
      </c>
      <c r="AH1099" s="1">
        <v>6263</v>
      </c>
      <c r="AI1099" s="1" t="b">
        <v>1</v>
      </c>
    </row>
    <row r="1100" spans="1:35" x14ac:dyDescent="0.25">
      <c r="A1100" s="1">
        <v>16</v>
      </c>
      <c r="B1100" s="1">
        <v>1</v>
      </c>
      <c r="C1100" s="1">
        <v>2020</v>
      </c>
      <c r="G1100" s="1" t="s">
        <v>38</v>
      </c>
      <c r="H1100" s="2">
        <v>3.66</v>
      </c>
      <c r="I1100" s="1">
        <v>10</v>
      </c>
      <c r="U1100" s="1">
        <v>16</v>
      </c>
      <c r="X1100" s="1">
        <v>12</v>
      </c>
      <c r="AA1100" s="1">
        <v>2</v>
      </c>
      <c r="AB1100" s="1">
        <v>4</v>
      </c>
      <c r="AC1100" s="1">
        <v>556</v>
      </c>
      <c r="AF1100" s="3">
        <v>2.7322404371584699</v>
      </c>
      <c r="AG1100" s="3">
        <v>0.90764881538520448</v>
      </c>
      <c r="AH1100" s="1">
        <v>6263</v>
      </c>
      <c r="AI1100" s="1" t="b">
        <v>1</v>
      </c>
    </row>
    <row r="1101" spans="1:35" x14ac:dyDescent="0.25">
      <c r="A1101" s="1">
        <v>16</v>
      </c>
      <c r="B1101" s="1">
        <v>1</v>
      </c>
      <c r="C1101" s="1">
        <v>2020</v>
      </c>
      <c r="G1101" s="1" t="s">
        <v>38</v>
      </c>
      <c r="H1101" s="2">
        <v>7.62</v>
      </c>
      <c r="I1101" s="1">
        <v>21</v>
      </c>
      <c r="U1101" s="1">
        <v>35</v>
      </c>
      <c r="X1101" s="1">
        <v>30</v>
      </c>
      <c r="AA1101" s="1">
        <v>3</v>
      </c>
      <c r="AB1101" s="1">
        <v>3</v>
      </c>
      <c r="AC1101" s="1">
        <v>1018</v>
      </c>
      <c r="AF1101" s="3">
        <v>2.7559055118110236</v>
      </c>
      <c r="AG1101" s="3">
        <v>1.503502506814212</v>
      </c>
      <c r="AH1101" s="1">
        <v>6263</v>
      </c>
      <c r="AI1101" s="1" t="b">
        <v>1</v>
      </c>
    </row>
    <row r="1102" spans="1:35" x14ac:dyDescent="0.25">
      <c r="A1102" s="1">
        <v>16</v>
      </c>
      <c r="B1102" s="1">
        <v>1</v>
      </c>
      <c r="C1102" s="1">
        <v>2020</v>
      </c>
      <c r="G1102" s="1" t="s">
        <v>38</v>
      </c>
      <c r="H1102" s="2">
        <v>7.86</v>
      </c>
      <c r="I1102" s="1">
        <v>14</v>
      </c>
      <c r="U1102" s="1">
        <v>28</v>
      </c>
      <c r="X1102" s="1">
        <v>24</v>
      </c>
      <c r="AA1102" s="1">
        <v>6</v>
      </c>
      <c r="AB1102" s="1">
        <v>4</v>
      </c>
      <c r="AC1102" s="1">
        <v>1042</v>
      </c>
      <c r="AF1102" s="3">
        <v>1.7811704834605597</v>
      </c>
      <c r="AG1102" s="3">
        <v>2.3773344982313569</v>
      </c>
      <c r="AH1102" s="1">
        <v>6263</v>
      </c>
      <c r="AI1102" s="1" t="b">
        <v>1</v>
      </c>
    </row>
    <row r="1103" spans="1:35" x14ac:dyDescent="0.25">
      <c r="A1103" s="1">
        <v>16</v>
      </c>
      <c r="B1103" s="1">
        <v>1</v>
      </c>
      <c r="C1103" s="1">
        <v>2020</v>
      </c>
      <c r="G1103" s="1" t="s">
        <v>38</v>
      </c>
      <c r="H1103" s="2">
        <v>7.21</v>
      </c>
      <c r="I1103" s="1">
        <v>19</v>
      </c>
      <c r="U1103" s="1">
        <v>33</v>
      </c>
      <c r="X1103" s="1">
        <v>27</v>
      </c>
      <c r="AA1103" s="1">
        <v>3</v>
      </c>
      <c r="AB1103" s="1">
        <v>3</v>
      </c>
      <c r="AC1103" s="1">
        <v>947</v>
      </c>
      <c r="AF1103" s="3">
        <v>2.635228848821082</v>
      </c>
      <c r="AG1103" s="3">
        <v>1.5126426764910044</v>
      </c>
      <c r="AH1103" s="1">
        <v>6263</v>
      </c>
      <c r="AI1103" s="1" t="b">
        <v>1</v>
      </c>
    </row>
    <row r="1104" spans="1:35" x14ac:dyDescent="0.25">
      <c r="A1104" s="1">
        <v>16</v>
      </c>
      <c r="B1104" s="1">
        <v>1</v>
      </c>
      <c r="C1104" s="1">
        <v>2020</v>
      </c>
      <c r="G1104" s="1" t="s">
        <v>38</v>
      </c>
      <c r="H1104" s="2">
        <v>5.59</v>
      </c>
      <c r="I1104" s="1">
        <v>14</v>
      </c>
      <c r="U1104" s="1">
        <v>24</v>
      </c>
      <c r="X1104" s="1">
        <v>20</v>
      </c>
      <c r="AA1104" s="1">
        <v>2</v>
      </c>
      <c r="AB1104" s="1">
        <v>3</v>
      </c>
      <c r="AC1104" s="1">
        <v>721</v>
      </c>
      <c r="AF1104" s="3">
        <v>2.5044722719141324</v>
      </c>
      <c r="AG1104" s="3">
        <v>1.3319012844101354</v>
      </c>
      <c r="AH1104" s="1">
        <v>6263</v>
      </c>
      <c r="AI1104" s="1" t="b">
        <v>1</v>
      </c>
    </row>
    <row r="1105" spans="1:35" x14ac:dyDescent="0.25">
      <c r="A1105" s="1">
        <v>16</v>
      </c>
      <c r="B1105" s="1">
        <v>1</v>
      </c>
      <c r="C1105" s="1">
        <v>2020</v>
      </c>
      <c r="G1105" s="1" t="s">
        <v>38</v>
      </c>
      <c r="H1105" s="2">
        <v>7.04</v>
      </c>
      <c r="I1105" s="1">
        <v>22</v>
      </c>
      <c r="U1105" s="1">
        <v>31</v>
      </c>
      <c r="X1105" s="1">
        <v>27</v>
      </c>
      <c r="AA1105" s="1">
        <v>3</v>
      </c>
      <c r="AB1105" s="1">
        <v>2</v>
      </c>
      <c r="AC1105" s="1">
        <v>869</v>
      </c>
      <c r="AF1105" s="3">
        <v>3.125</v>
      </c>
      <c r="AG1105" s="3">
        <v>1.2544427322609761</v>
      </c>
      <c r="AH1105" s="1">
        <v>6263</v>
      </c>
      <c r="AI1105" s="1" t="b">
        <v>1</v>
      </c>
    </row>
    <row r="1106" spans="1:35" x14ac:dyDescent="0.25">
      <c r="A1106" s="1">
        <v>16</v>
      </c>
      <c r="B1106" s="1">
        <v>1</v>
      </c>
      <c r="C1106" s="1">
        <v>2020</v>
      </c>
      <c r="G1106" s="1" t="s">
        <v>38</v>
      </c>
      <c r="H1106" s="2">
        <v>4.43</v>
      </c>
      <c r="I1106" s="1">
        <v>9</v>
      </c>
      <c r="U1106" s="1">
        <v>22</v>
      </c>
      <c r="X1106" s="1">
        <v>19</v>
      </c>
      <c r="AA1106" s="1">
        <v>4</v>
      </c>
      <c r="AB1106" s="1">
        <v>2</v>
      </c>
      <c r="AC1106" s="1">
        <v>586</v>
      </c>
      <c r="AF1106" s="3">
        <v>2.0316027088036117</v>
      </c>
      <c r="AG1106" s="3">
        <v>1.3952236368250051</v>
      </c>
      <c r="AH1106" s="1">
        <v>6263</v>
      </c>
      <c r="AI1106" s="1" t="b">
        <v>1</v>
      </c>
    </row>
    <row r="1107" spans="1:35" x14ac:dyDescent="0.25">
      <c r="A1107" s="1">
        <v>16</v>
      </c>
      <c r="B1107" s="1">
        <v>1</v>
      </c>
      <c r="C1107" s="1">
        <v>2020</v>
      </c>
      <c r="G1107" s="1" t="s">
        <v>38</v>
      </c>
      <c r="H1107" s="2">
        <v>5.04</v>
      </c>
      <c r="I1107" s="1">
        <v>13</v>
      </c>
      <c r="U1107" s="1">
        <v>20</v>
      </c>
      <c r="X1107" s="1">
        <v>16</v>
      </c>
      <c r="AA1107" s="1">
        <v>3</v>
      </c>
      <c r="AB1107" s="1">
        <v>2</v>
      </c>
      <c r="AC1107" s="1">
        <v>681</v>
      </c>
      <c r="AF1107" s="3">
        <v>2.5793650793650795</v>
      </c>
      <c r="AG1107" s="3">
        <v>1.2027865406805163</v>
      </c>
      <c r="AH1107" s="1">
        <v>6263</v>
      </c>
      <c r="AI1107" s="1" t="b">
        <v>1</v>
      </c>
    </row>
    <row r="1108" spans="1:35" x14ac:dyDescent="0.25">
      <c r="A1108" s="1">
        <v>16</v>
      </c>
      <c r="B1108" s="1">
        <v>1</v>
      </c>
      <c r="C1108" s="1">
        <v>2020</v>
      </c>
      <c r="G1108" s="1" t="s">
        <v>38</v>
      </c>
      <c r="H1108" s="2">
        <v>4.0999999999999996</v>
      </c>
      <c r="I1108" s="1">
        <v>8</v>
      </c>
      <c r="U1108" s="1">
        <v>19</v>
      </c>
      <c r="X1108" s="1">
        <v>14</v>
      </c>
      <c r="AA1108" s="1">
        <v>4</v>
      </c>
      <c r="AB1108" s="1">
        <v>2</v>
      </c>
      <c r="AC1108" s="1">
        <v>590</v>
      </c>
      <c r="AF1108" s="3">
        <v>1.9512195121951221</v>
      </c>
      <c r="AG1108" s="3">
        <v>1.376076472109161</v>
      </c>
      <c r="AH1108" s="1">
        <v>6263</v>
      </c>
      <c r="AI1108" s="1" t="b">
        <v>1</v>
      </c>
    </row>
    <row r="1109" spans="1:35" x14ac:dyDescent="0.25">
      <c r="A1109" s="1">
        <v>16</v>
      </c>
      <c r="B1109" s="1">
        <v>1</v>
      </c>
      <c r="C1109" s="1">
        <v>2020</v>
      </c>
      <c r="G1109" s="1" t="s">
        <v>38</v>
      </c>
      <c r="H1109" s="2">
        <v>4.3</v>
      </c>
      <c r="I1109" s="1">
        <v>12</v>
      </c>
      <c r="U1109" s="1">
        <v>14</v>
      </c>
      <c r="X1109" s="1">
        <v>13</v>
      </c>
      <c r="AA1109" s="1">
        <v>2</v>
      </c>
      <c r="AB1109" s="1">
        <v>4</v>
      </c>
      <c r="AC1109" s="1">
        <v>609</v>
      </c>
      <c r="AF1109" s="3">
        <v>2.7906976744186047</v>
      </c>
      <c r="AG1109" s="3">
        <v>0.99475270420795214</v>
      </c>
      <c r="AH1109" s="1">
        <v>6263</v>
      </c>
      <c r="AI1109" s="1" t="b">
        <v>1</v>
      </c>
    </row>
    <row r="1110" spans="1:35" x14ac:dyDescent="0.25">
      <c r="A1110" s="1">
        <v>16</v>
      </c>
      <c r="B1110" s="1">
        <v>1</v>
      </c>
      <c r="C1110" s="1">
        <v>2020</v>
      </c>
      <c r="G1110" s="1" t="s">
        <v>38</v>
      </c>
      <c r="H1110" s="2">
        <v>4.54</v>
      </c>
      <c r="I1110" s="1">
        <v>11</v>
      </c>
      <c r="U1110" s="1">
        <v>15</v>
      </c>
      <c r="X1110" s="1">
        <v>13</v>
      </c>
      <c r="AA1110" s="1">
        <v>2</v>
      </c>
      <c r="AB1110" s="1">
        <v>4</v>
      </c>
      <c r="AC1110" s="1">
        <v>717</v>
      </c>
      <c r="AF1110" s="3">
        <v>2.4229074889867843</v>
      </c>
      <c r="AG1110" s="3">
        <v>1.1901515449254896</v>
      </c>
      <c r="AH1110" s="1">
        <v>6263</v>
      </c>
      <c r="AI1110" s="1" t="b">
        <v>1</v>
      </c>
    </row>
    <row r="1111" spans="1:35" x14ac:dyDescent="0.25">
      <c r="A1111" s="1">
        <v>16</v>
      </c>
      <c r="B1111" s="1">
        <v>1</v>
      </c>
      <c r="C1111" s="1">
        <v>2020</v>
      </c>
      <c r="G1111" s="1" t="s">
        <v>38</v>
      </c>
      <c r="H1111" s="2">
        <v>7.5</v>
      </c>
      <c r="I1111" s="1">
        <v>26</v>
      </c>
      <c r="U1111" s="1">
        <v>33</v>
      </c>
      <c r="X1111" s="1">
        <v>31</v>
      </c>
      <c r="AA1111" s="1">
        <v>2</v>
      </c>
      <c r="AB1111" s="1">
        <v>3</v>
      </c>
      <c r="AC1111" s="1">
        <v>1125</v>
      </c>
      <c r="AF1111" s="3">
        <v>3.4666666666666668</v>
      </c>
      <c r="AG1111" s="3">
        <v>1.1820362618534737</v>
      </c>
      <c r="AH1111" s="1">
        <v>6263</v>
      </c>
      <c r="AI1111" s="1" t="b">
        <v>1</v>
      </c>
    </row>
    <row r="1112" spans="1:35" x14ac:dyDescent="0.25">
      <c r="A1112" s="1">
        <v>16</v>
      </c>
      <c r="B1112" s="1">
        <v>1</v>
      </c>
      <c r="C1112" s="1">
        <v>2020</v>
      </c>
      <c r="G1112" s="1" t="s">
        <v>38</v>
      </c>
      <c r="H1112" s="2">
        <v>4.7300000000000004</v>
      </c>
      <c r="I1112" s="1">
        <v>12</v>
      </c>
      <c r="U1112" s="1">
        <v>18</v>
      </c>
      <c r="X1112" s="1">
        <v>16</v>
      </c>
      <c r="AA1112" s="1">
        <v>3</v>
      </c>
      <c r="AB1112" s="1">
        <v>4</v>
      </c>
      <c r="AC1112" s="1">
        <v>667</v>
      </c>
      <c r="AF1112" s="3">
        <v>2.536997885835095</v>
      </c>
      <c r="AG1112" s="3">
        <v>1.1697220944310169</v>
      </c>
      <c r="AH1112" s="1">
        <v>6263</v>
      </c>
      <c r="AI1112" s="1" t="b">
        <v>1</v>
      </c>
    </row>
    <row r="1113" spans="1:35" x14ac:dyDescent="0.25">
      <c r="A1113" s="1">
        <v>16</v>
      </c>
      <c r="B1113" s="1">
        <v>1</v>
      </c>
      <c r="C1113" s="1">
        <v>2020</v>
      </c>
      <c r="G1113" s="1" t="s">
        <v>38</v>
      </c>
      <c r="H1113" s="2">
        <v>8.08</v>
      </c>
      <c r="I1113" s="1">
        <v>21</v>
      </c>
      <c r="U1113" s="1">
        <v>31</v>
      </c>
      <c r="X1113" s="1">
        <v>28</v>
      </c>
      <c r="AA1113" s="1">
        <v>3</v>
      </c>
      <c r="AB1113" s="1">
        <v>6</v>
      </c>
      <c r="AC1113" s="1">
        <v>1153</v>
      </c>
      <c r="AF1113" s="3">
        <v>2.5990099009900991</v>
      </c>
      <c r="AG1113" s="3">
        <v>1.6610397232094718</v>
      </c>
      <c r="AH1113" s="1">
        <v>6263</v>
      </c>
      <c r="AI1113" s="1" t="b">
        <v>1</v>
      </c>
    </row>
    <row r="1114" spans="1:35" x14ac:dyDescent="0.25">
      <c r="A1114" s="1">
        <v>16</v>
      </c>
      <c r="B1114" s="1">
        <v>1</v>
      </c>
      <c r="C1114" s="1">
        <v>2020</v>
      </c>
      <c r="G1114" s="1" t="s">
        <v>38</v>
      </c>
      <c r="H1114" s="2">
        <v>5.92</v>
      </c>
      <c r="I1114" s="1">
        <v>17</v>
      </c>
      <c r="U1114" s="1">
        <v>18</v>
      </c>
      <c r="X1114" s="1">
        <v>17</v>
      </c>
      <c r="AA1114" s="1">
        <v>1</v>
      </c>
      <c r="AB1114" s="1">
        <v>3</v>
      </c>
      <c r="AC1114" s="1">
        <v>929</v>
      </c>
      <c r="AF1114" s="3">
        <v>2.8716216216216215</v>
      </c>
      <c r="AG1114" s="3">
        <v>1.2091995588158091</v>
      </c>
      <c r="AH1114" s="1">
        <v>6263</v>
      </c>
      <c r="AI1114" s="1" t="b">
        <v>1</v>
      </c>
    </row>
    <row r="1115" spans="1:35" x14ac:dyDescent="0.25">
      <c r="A1115" s="1">
        <v>16</v>
      </c>
      <c r="B1115" s="1">
        <v>1</v>
      </c>
      <c r="C1115" s="1">
        <v>2020</v>
      </c>
      <c r="G1115" s="1" t="s">
        <v>38</v>
      </c>
      <c r="H1115" s="2">
        <v>6.7</v>
      </c>
      <c r="I1115" s="1">
        <v>21</v>
      </c>
      <c r="U1115" s="1">
        <v>24</v>
      </c>
      <c r="X1115" s="1">
        <v>21</v>
      </c>
      <c r="AA1115" s="1">
        <v>1</v>
      </c>
      <c r="AB1115" s="1">
        <v>2</v>
      </c>
      <c r="AC1115" s="1">
        <v>897</v>
      </c>
      <c r="AF1115" s="3">
        <v>3.1343283582089549</v>
      </c>
      <c r="AG1115" s="3">
        <v>1.2081138685939798</v>
      </c>
      <c r="AH1115" s="1">
        <v>6263</v>
      </c>
      <c r="AI1115" s="1" t="b">
        <v>1</v>
      </c>
    </row>
    <row r="1116" spans="1:35" x14ac:dyDescent="0.25">
      <c r="A1116" s="1">
        <v>16</v>
      </c>
      <c r="B1116" s="1">
        <v>1</v>
      </c>
      <c r="C1116" s="1">
        <v>2020</v>
      </c>
      <c r="G1116" s="1" t="s">
        <v>38</v>
      </c>
      <c r="H1116" s="2">
        <v>6.11</v>
      </c>
      <c r="I1116" s="1">
        <v>15</v>
      </c>
      <c r="U1116" s="1">
        <v>27</v>
      </c>
      <c r="X1116" s="1">
        <v>23</v>
      </c>
      <c r="AA1116" s="1">
        <v>4</v>
      </c>
      <c r="AB1116" s="1">
        <v>2</v>
      </c>
      <c r="AC1116" s="1">
        <v>963</v>
      </c>
      <c r="AF1116" s="3">
        <v>2.4549918166939442</v>
      </c>
      <c r="AG1116" s="3">
        <v>1.4460349785458655</v>
      </c>
      <c r="AH1116" s="1">
        <v>6263</v>
      </c>
      <c r="AI1116" s="1" t="b">
        <v>1</v>
      </c>
    </row>
    <row r="1117" spans="1:35" x14ac:dyDescent="0.25">
      <c r="A1117" s="1">
        <v>16</v>
      </c>
      <c r="B1117" s="1">
        <v>1</v>
      </c>
      <c r="C1117" s="1">
        <v>2020</v>
      </c>
      <c r="G1117" s="1" t="s">
        <v>38</v>
      </c>
      <c r="H1117" s="2">
        <v>5.58</v>
      </c>
      <c r="I1117" s="1">
        <v>16</v>
      </c>
      <c r="U1117" s="1">
        <v>26</v>
      </c>
      <c r="X1117" s="1">
        <v>19</v>
      </c>
      <c r="AA1117" s="1">
        <v>3</v>
      </c>
      <c r="AB1117" s="1">
        <v>4</v>
      </c>
      <c r="AC1117" s="1">
        <v>649</v>
      </c>
      <c r="AF1117" s="3">
        <v>2.8673835125448028</v>
      </c>
      <c r="AG1117" s="3">
        <v>1.161871651638068</v>
      </c>
      <c r="AH1117" s="1">
        <v>6263</v>
      </c>
      <c r="AI1117" s="1" t="b">
        <v>1</v>
      </c>
    </row>
    <row r="1118" spans="1:35" x14ac:dyDescent="0.25">
      <c r="A1118" s="1">
        <v>16</v>
      </c>
      <c r="B1118" s="1">
        <v>1</v>
      </c>
      <c r="C1118" s="1">
        <v>2020</v>
      </c>
      <c r="G1118" s="1" t="s">
        <v>38</v>
      </c>
      <c r="H1118" s="2">
        <v>6.13</v>
      </c>
      <c r="I1118" s="1">
        <v>18</v>
      </c>
      <c r="U1118" s="1">
        <v>25</v>
      </c>
      <c r="X1118" s="1">
        <v>23</v>
      </c>
      <c r="AA1118" s="1">
        <v>3</v>
      </c>
      <c r="AB1118" s="1">
        <v>2</v>
      </c>
      <c r="AC1118" s="1">
        <v>847</v>
      </c>
      <c r="AF1118" s="3">
        <v>2.9363784665579118</v>
      </c>
      <c r="AG1118" s="3">
        <v>1.2117423917755836</v>
      </c>
      <c r="AH1118" s="1">
        <v>6263</v>
      </c>
      <c r="AI1118" s="1" t="b">
        <v>1</v>
      </c>
    </row>
    <row r="1119" spans="1:35" x14ac:dyDescent="0.25">
      <c r="A1119" s="1">
        <v>16</v>
      </c>
      <c r="B1119" s="1">
        <v>1</v>
      </c>
      <c r="C1119" s="1">
        <v>2020</v>
      </c>
      <c r="G1119" s="1" t="s">
        <v>38</v>
      </c>
      <c r="H1119" s="2">
        <v>4.3099999999999996</v>
      </c>
      <c r="I1119" s="1">
        <v>14</v>
      </c>
      <c r="U1119" s="1">
        <v>22</v>
      </c>
      <c r="X1119" s="1">
        <v>20</v>
      </c>
      <c r="AA1119" s="1">
        <v>4</v>
      </c>
      <c r="AB1119" s="1">
        <v>3</v>
      </c>
      <c r="AC1119" s="1">
        <v>520</v>
      </c>
      <c r="AF1119" s="3">
        <v>3.2482598607888633</v>
      </c>
      <c r="AG1119" s="3">
        <v>0.85601884095716585</v>
      </c>
      <c r="AH1119" s="1">
        <v>6263</v>
      </c>
      <c r="AI1119" s="1" t="b">
        <v>1</v>
      </c>
    </row>
    <row r="1120" spans="1:35" x14ac:dyDescent="0.25">
      <c r="A1120" s="1">
        <v>16</v>
      </c>
      <c r="B1120" s="1">
        <v>1</v>
      </c>
      <c r="C1120" s="1">
        <v>2020</v>
      </c>
      <c r="G1120" s="1" t="s">
        <v>38</v>
      </c>
      <c r="H1120" s="2">
        <v>8.41</v>
      </c>
      <c r="I1120" s="1">
        <v>24</v>
      </c>
      <c r="U1120" s="1">
        <v>33</v>
      </c>
      <c r="X1120" s="1">
        <v>27</v>
      </c>
      <c r="AA1120" s="1">
        <v>2</v>
      </c>
      <c r="AB1120" s="1">
        <v>3</v>
      </c>
      <c r="AC1120" s="1">
        <v>1073</v>
      </c>
      <c r="AF1120" s="3">
        <v>2.853745541022592</v>
      </c>
      <c r="AG1120" s="3">
        <v>1.5557576713585652</v>
      </c>
      <c r="AH1120" s="1">
        <v>6263</v>
      </c>
      <c r="AI1120" s="1" t="b">
        <v>1</v>
      </c>
    </row>
    <row r="1121" spans="1:35" x14ac:dyDescent="0.25">
      <c r="A1121" s="1">
        <v>18</v>
      </c>
      <c r="B1121" s="1">
        <v>1</v>
      </c>
      <c r="C1121" s="1">
        <v>2020</v>
      </c>
      <c r="G1121" s="1" t="s">
        <v>38</v>
      </c>
      <c r="H1121" s="2">
        <v>95.24</v>
      </c>
      <c r="I1121" s="1">
        <v>20</v>
      </c>
      <c r="V1121" s="1">
        <v>34</v>
      </c>
      <c r="X1121" s="1">
        <v>34</v>
      </c>
      <c r="AA1121" s="1">
        <v>3</v>
      </c>
      <c r="AB1121" s="1">
        <v>3</v>
      </c>
      <c r="AC1121" s="1">
        <v>3297</v>
      </c>
      <c r="AF1121" s="3">
        <v>0.20999580008399832</v>
      </c>
      <c r="AG1121" s="3">
        <v>115.60136489257084</v>
      </c>
      <c r="AH1121" s="1">
        <v>6263</v>
      </c>
      <c r="AI1121" s="1" t="b">
        <v>1</v>
      </c>
    </row>
    <row r="1122" spans="1:35" x14ac:dyDescent="0.25">
      <c r="A1122" s="1">
        <v>18</v>
      </c>
      <c r="B1122" s="1">
        <v>1</v>
      </c>
      <c r="C1122" s="1">
        <v>2020</v>
      </c>
      <c r="G1122" s="1" t="s">
        <v>38</v>
      </c>
      <c r="H1122" s="2">
        <v>20.22</v>
      </c>
      <c r="I1122" s="1">
        <v>5</v>
      </c>
      <c r="V1122" s="1">
        <v>19</v>
      </c>
      <c r="X1122" s="1">
        <v>19</v>
      </c>
      <c r="AA1122" s="1">
        <v>2</v>
      </c>
      <c r="AB1122" s="1">
        <v>2</v>
      </c>
      <c r="AC1122" s="1">
        <v>941</v>
      </c>
      <c r="AF1122" s="3">
        <v>0.24727992087042533</v>
      </c>
      <c r="AG1122" s="3">
        <v>33.178592066784582</v>
      </c>
      <c r="AH1122" s="1">
        <v>6263</v>
      </c>
      <c r="AI1122" s="1" t="b">
        <v>1</v>
      </c>
    </row>
    <row r="1123" spans="1:35" x14ac:dyDescent="0.25">
      <c r="A1123" s="1">
        <v>18</v>
      </c>
      <c r="B1123" s="1">
        <v>1</v>
      </c>
      <c r="C1123" s="1">
        <v>2020</v>
      </c>
      <c r="G1123" s="1" t="s">
        <v>38</v>
      </c>
      <c r="H1123" s="2">
        <v>84.04</v>
      </c>
      <c r="I1123" s="1">
        <v>18</v>
      </c>
      <c r="V1123" s="1">
        <v>47</v>
      </c>
      <c r="X1123" s="1">
        <v>36</v>
      </c>
      <c r="AA1123" s="1">
        <v>2</v>
      </c>
      <c r="AB1123" s="1">
        <v>3</v>
      </c>
      <c r="AC1123" s="1">
        <v>2995</v>
      </c>
      <c r="AF1123" s="3">
        <v>0.21418372203712516</v>
      </c>
      <c r="AG1123" s="3">
        <v>103.83739139633298</v>
      </c>
      <c r="AH1123" s="1">
        <v>6263</v>
      </c>
      <c r="AI1123" s="1" t="b">
        <v>1</v>
      </c>
    </row>
    <row r="1124" spans="1:35" x14ac:dyDescent="0.25">
      <c r="A1124" s="1">
        <v>18</v>
      </c>
      <c r="B1124" s="1">
        <v>1</v>
      </c>
      <c r="C1124" s="1">
        <v>2020</v>
      </c>
      <c r="G1124" s="1" t="s">
        <v>38</v>
      </c>
      <c r="H1124" s="2">
        <v>38.24</v>
      </c>
      <c r="I1124" s="1">
        <v>10</v>
      </c>
      <c r="V1124" s="1">
        <v>22</v>
      </c>
      <c r="X1124" s="1">
        <v>22</v>
      </c>
      <c r="AA1124" s="1">
        <v>2</v>
      </c>
      <c r="AB1124" s="1">
        <v>4</v>
      </c>
      <c r="AC1124" s="1">
        <v>2246</v>
      </c>
      <c r="AF1124" s="3">
        <v>0.2615062761506276</v>
      </c>
      <c r="AG1124" s="3">
        <v>49.009514705183669</v>
      </c>
      <c r="AH1124" s="1">
        <v>6263</v>
      </c>
      <c r="AI1124" s="1" t="b">
        <v>1</v>
      </c>
    </row>
    <row r="1125" spans="1:35" x14ac:dyDescent="0.25">
      <c r="A1125" s="1">
        <v>18</v>
      </c>
      <c r="B1125" s="1">
        <v>1</v>
      </c>
      <c r="C1125" s="1">
        <v>2020</v>
      </c>
      <c r="G1125" s="1" t="s">
        <v>38</v>
      </c>
      <c r="H1125" s="2">
        <v>46.01</v>
      </c>
      <c r="I1125" s="1">
        <v>15</v>
      </c>
      <c r="V1125" s="1">
        <v>30</v>
      </c>
      <c r="X1125" s="1">
        <v>27</v>
      </c>
      <c r="AA1125" s="1">
        <v>4</v>
      </c>
      <c r="AB1125" s="1">
        <v>3</v>
      </c>
      <c r="AC1125" s="1">
        <v>2443</v>
      </c>
      <c r="AF1125" s="3">
        <v>0.3260160834601174</v>
      </c>
      <c r="AG1125" s="3">
        <v>44.746341982968147</v>
      </c>
      <c r="AH1125" s="1">
        <v>6263</v>
      </c>
      <c r="AI1125" s="1" t="b">
        <v>1</v>
      </c>
    </row>
    <row r="1126" spans="1:35" x14ac:dyDescent="0.25">
      <c r="A1126" s="1">
        <v>18</v>
      </c>
      <c r="B1126" s="1">
        <v>1</v>
      </c>
      <c r="C1126" s="1">
        <v>2020</v>
      </c>
      <c r="G1126" s="1" t="s">
        <v>38</v>
      </c>
      <c r="H1126" s="2">
        <v>128.51</v>
      </c>
      <c r="I1126" s="1">
        <v>22</v>
      </c>
      <c r="V1126" s="1">
        <v>27</v>
      </c>
      <c r="X1126" s="1">
        <v>26</v>
      </c>
      <c r="AA1126" s="1">
        <v>1</v>
      </c>
      <c r="AB1126" s="1">
        <v>5</v>
      </c>
      <c r="AC1126" s="1">
        <v>4873</v>
      </c>
      <c r="AF1126" s="3">
        <v>0.17119290327600967</v>
      </c>
      <c r="AG1126" s="3">
        <v>174.89205841896344</v>
      </c>
      <c r="AH1126" s="1">
        <v>6263</v>
      </c>
      <c r="AI1126" s="1" t="b">
        <v>1</v>
      </c>
    </row>
    <row r="1127" spans="1:35" x14ac:dyDescent="0.25">
      <c r="A1127" s="1">
        <v>18</v>
      </c>
      <c r="B1127" s="1">
        <v>1</v>
      </c>
      <c r="C1127" s="1">
        <v>2020</v>
      </c>
      <c r="G1127" s="1" t="s">
        <v>38</v>
      </c>
      <c r="H1127" s="2">
        <v>57.64</v>
      </c>
      <c r="I1127" s="1">
        <v>20</v>
      </c>
      <c r="V1127" s="1">
        <v>36</v>
      </c>
      <c r="X1127" s="1">
        <v>35</v>
      </c>
      <c r="AA1127" s="1">
        <v>4</v>
      </c>
      <c r="AB1127" s="1">
        <v>4</v>
      </c>
      <c r="AC1127" s="1">
        <v>2830</v>
      </c>
      <c r="AF1127" s="3">
        <v>0.34698126301179738</v>
      </c>
      <c r="AG1127" s="3">
        <v>49.226703846736463</v>
      </c>
      <c r="AH1127" s="1">
        <v>6263</v>
      </c>
      <c r="AI1127" s="1" t="b">
        <v>1</v>
      </c>
    </row>
    <row r="1128" spans="1:35" x14ac:dyDescent="0.25">
      <c r="A1128" s="1">
        <v>18</v>
      </c>
      <c r="B1128" s="1">
        <v>1</v>
      </c>
      <c r="C1128" s="1">
        <v>2020</v>
      </c>
      <c r="G1128" s="1" t="s">
        <v>38</v>
      </c>
      <c r="H1128" s="2">
        <v>35.67</v>
      </c>
      <c r="I1128" s="1">
        <v>12</v>
      </c>
      <c r="V1128" s="1">
        <v>26</v>
      </c>
      <c r="X1128" s="1">
        <v>24</v>
      </c>
      <c r="AA1128" s="1">
        <v>3</v>
      </c>
      <c r="AB1128" s="1">
        <v>3</v>
      </c>
      <c r="AC1128" s="1">
        <v>1943</v>
      </c>
      <c r="AF1128" s="3">
        <v>0.33641715727502103</v>
      </c>
      <c r="AG1128" s="3">
        <v>36.28557753161494</v>
      </c>
      <c r="AH1128" s="1">
        <v>6263</v>
      </c>
      <c r="AI1128" s="1" t="b">
        <v>1</v>
      </c>
    </row>
    <row r="1129" spans="1:35" x14ac:dyDescent="0.25">
      <c r="A1129" s="1">
        <v>24</v>
      </c>
      <c r="B1129" s="1">
        <v>1</v>
      </c>
      <c r="C1129" s="1">
        <v>2020</v>
      </c>
      <c r="G1129" s="1" t="s">
        <v>38</v>
      </c>
      <c r="H1129" s="2">
        <v>6.62</v>
      </c>
      <c r="I1129" s="1">
        <v>15</v>
      </c>
      <c r="U1129" s="1">
        <v>27</v>
      </c>
      <c r="X1129" s="1">
        <v>22</v>
      </c>
      <c r="AA1129" s="1">
        <v>4</v>
      </c>
      <c r="AB1129" s="1">
        <v>4</v>
      </c>
      <c r="AC1129" s="1">
        <v>1007</v>
      </c>
      <c r="AF1129" s="3">
        <v>2.2658610271903323</v>
      </c>
      <c r="AG1129" s="3">
        <v>1.6571709936025372</v>
      </c>
      <c r="AH1129" s="1">
        <v>6264</v>
      </c>
      <c r="AI1129" s="1" t="b">
        <v>1</v>
      </c>
    </row>
    <row r="1130" spans="1:35" x14ac:dyDescent="0.25">
      <c r="A1130" s="1">
        <v>24</v>
      </c>
      <c r="B1130" s="1">
        <v>1</v>
      </c>
      <c r="C1130" s="1">
        <v>2020</v>
      </c>
      <c r="G1130" s="1" t="s">
        <v>38</v>
      </c>
      <c r="H1130" s="2">
        <v>5.86</v>
      </c>
      <c r="I1130" s="1">
        <v>14</v>
      </c>
      <c r="U1130" s="1">
        <v>30</v>
      </c>
      <c r="X1130" s="1">
        <v>21</v>
      </c>
      <c r="AA1130" s="1">
        <v>4</v>
      </c>
      <c r="AB1130" s="1">
        <v>4</v>
      </c>
      <c r="AC1130" s="1">
        <v>673</v>
      </c>
      <c r="AF1130" s="3">
        <v>2.3890784982935154</v>
      </c>
      <c r="AG1130" s="3">
        <v>1.4431049340048734</v>
      </c>
      <c r="AH1130" s="1">
        <v>6264</v>
      </c>
      <c r="AI1130" s="1" t="b">
        <v>1</v>
      </c>
    </row>
    <row r="1131" spans="1:35" x14ac:dyDescent="0.25">
      <c r="A1131" s="1">
        <v>24</v>
      </c>
      <c r="B1131" s="1">
        <v>1</v>
      </c>
      <c r="C1131" s="1">
        <v>2020</v>
      </c>
      <c r="G1131" s="1" t="s">
        <v>38</v>
      </c>
      <c r="H1131" s="2">
        <v>4.28</v>
      </c>
      <c r="I1131" s="1">
        <v>12</v>
      </c>
      <c r="U1131" s="1">
        <v>19</v>
      </c>
      <c r="X1131" s="1">
        <v>16</v>
      </c>
      <c r="AA1131" s="1">
        <v>3</v>
      </c>
      <c r="AB1131" s="1">
        <v>5</v>
      </c>
      <c r="AC1131" s="1">
        <v>506</v>
      </c>
      <c r="AF1131" s="3">
        <v>2.8037383177570092</v>
      </c>
      <c r="AG1131" s="3">
        <v>0.98690002795441112</v>
      </c>
      <c r="AH1131" s="1">
        <v>6264</v>
      </c>
      <c r="AI1131" s="1" t="b">
        <v>1</v>
      </c>
    </row>
    <row r="1132" spans="1:35" x14ac:dyDescent="0.25">
      <c r="A1132" s="1">
        <v>24</v>
      </c>
      <c r="B1132" s="1">
        <v>1</v>
      </c>
      <c r="C1132" s="1">
        <v>2020</v>
      </c>
      <c r="G1132" s="1" t="s">
        <v>38</v>
      </c>
      <c r="H1132" s="2">
        <v>3.91</v>
      </c>
      <c r="I1132" s="1">
        <v>11</v>
      </c>
      <c r="U1132" s="1">
        <v>17</v>
      </c>
      <c r="X1132" s="1">
        <v>13</v>
      </c>
      <c r="AA1132" s="1">
        <v>2</v>
      </c>
      <c r="AB1132" s="1">
        <v>4</v>
      </c>
      <c r="AC1132" s="1">
        <v>662</v>
      </c>
      <c r="AF1132" s="3">
        <v>2.8132992327365729</v>
      </c>
      <c r="AG1132" s="3">
        <v>0.92322552334800545</v>
      </c>
      <c r="AH1132" s="1">
        <v>6264</v>
      </c>
      <c r="AI1132" s="1" t="b">
        <v>1</v>
      </c>
    </row>
    <row r="1133" spans="1:35" x14ac:dyDescent="0.25">
      <c r="A1133" s="1">
        <v>24</v>
      </c>
      <c r="B1133" s="1">
        <v>1</v>
      </c>
      <c r="C1133" s="1">
        <v>2020</v>
      </c>
      <c r="G1133" s="1" t="s">
        <v>38</v>
      </c>
      <c r="H1133" s="2">
        <v>3.8</v>
      </c>
      <c r="I1133" s="1">
        <v>8</v>
      </c>
      <c r="U1133" s="1">
        <v>14</v>
      </c>
      <c r="X1133" s="1">
        <v>12</v>
      </c>
      <c r="AA1133" s="1">
        <v>2</v>
      </c>
      <c r="AB1133" s="1">
        <v>5</v>
      </c>
      <c r="AC1133" s="1">
        <v>666</v>
      </c>
      <c r="AF1133" s="3">
        <v>2.1052631578947367</v>
      </c>
      <c r="AG1133" s="3">
        <v>1.2093224834614555</v>
      </c>
      <c r="AH1133" s="1">
        <v>6264</v>
      </c>
      <c r="AI1133" s="1" t="b">
        <v>1</v>
      </c>
    </row>
    <row r="1134" spans="1:35" x14ac:dyDescent="0.25">
      <c r="A1134" s="1">
        <v>24</v>
      </c>
      <c r="B1134" s="1">
        <v>1</v>
      </c>
      <c r="C1134" s="1">
        <v>2020</v>
      </c>
      <c r="G1134" s="1" t="s">
        <v>38</v>
      </c>
      <c r="H1134" s="2">
        <v>4.84</v>
      </c>
      <c r="I1134" s="1">
        <v>15</v>
      </c>
      <c r="U1134" s="1">
        <v>20</v>
      </c>
      <c r="X1134" s="1">
        <v>16</v>
      </c>
      <c r="AA1134" s="1">
        <v>2</v>
      </c>
      <c r="AB1134" s="1">
        <v>2</v>
      </c>
      <c r="AC1134" s="1">
        <v>666</v>
      </c>
      <c r="AF1134" s="3">
        <v>3.0991735537190084</v>
      </c>
      <c r="AG1134" s="3">
        <v>0.97307397117890782</v>
      </c>
      <c r="AH1134" s="1">
        <v>6264</v>
      </c>
      <c r="AI1134" s="1" t="b">
        <v>1</v>
      </c>
    </row>
    <row r="1135" spans="1:35" x14ac:dyDescent="0.25">
      <c r="A1135" s="1">
        <v>24</v>
      </c>
      <c r="B1135" s="1">
        <v>1</v>
      </c>
      <c r="C1135" s="1">
        <v>2020</v>
      </c>
      <c r="G1135" s="1" t="s">
        <v>38</v>
      </c>
      <c r="H1135" s="2">
        <v>6.38</v>
      </c>
      <c r="I1135" s="1">
        <v>18</v>
      </c>
      <c r="U1135" s="1">
        <v>27</v>
      </c>
      <c r="X1135" s="1">
        <v>22</v>
      </c>
      <c r="AA1135" s="1">
        <v>4</v>
      </c>
      <c r="AB1135" s="1">
        <v>3</v>
      </c>
      <c r="AC1135" s="1">
        <v>864</v>
      </c>
      <c r="AF1135" s="3">
        <v>2.8213166144200628</v>
      </c>
      <c r="AG1135" s="3">
        <v>1.2969482536841499</v>
      </c>
      <c r="AH1135" s="1">
        <v>6264</v>
      </c>
      <c r="AI1135" s="1" t="b">
        <v>1</v>
      </c>
    </row>
    <row r="1136" spans="1:35" x14ac:dyDescent="0.25">
      <c r="A1136" s="1">
        <v>24</v>
      </c>
      <c r="B1136" s="1">
        <v>1</v>
      </c>
      <c r="C1136" s="1">
        <v>2020</v>
      </c>
      <c r="G1136" s="1" t="s">
        <v>38</v>
      </c>
      <c r="H1136" s="2">
        <v>5.75</v>
      </c>
      <c r="I1136" s="1">
        <v>17</v>
      </c>
      <c r="U1136" s="1">
        <v>19</v>
      </c>
      <c r="X1136" s="1">
        <v>19</v>
      </c>
      <c r="AA1136" s="1">
        <v>2</v>
      </c>
      <c r="AB1136" s="1">
        <v>3</v>
      </c>
      <c r="AC1136" s="1">
        <v>658</v>
      </c>
      <c r="AF1136" s="3">
        <v>2.9565217391304346</v>
      </c>
      <c r="AG1136" s="3">
        <v>1.1507643906839906</v>
      </c>
      <c r="AH1136" s="1">
        <v>6264</v>
      </c>
      <c r="AI1136" s="1" t="b">
        <v>1</v>
      </c>
    </row>
    <row r="1137" spans="1:35" x14ac:dyDescent="0.25">
      <c r="A1137" s="1">
        <v>30</v>
      </c>
      <c r="B1137" s="1">
        <v>1</v>
      </c>
      <c r="C1137" s="1">
        <v>2020</v>
      </c>
      <c r="G1137" s="1" t="s">
        <v>38</v>
      </c>
      <c r="H1137" s="2">
        <v>3.3</v>
      </c>
      <c r="I1137" s="1">
        <v>9</v>
      </c>
      <c r="U1137" s="1">
        <v>12</v>
      </c>
      <c r="X1137" s="1">
        <v>11</v>
      </c>
      <c r="AA1137" s="1">
        <v>2</v>
      </c>
      <c r="AB1137" s="1">
        <v>2</v>
      </c>
      <c r="AC1137" s="1">
        <v>393</v>
      </c>
      <c r="AF1137" s="3">
        <v>2.7272727272727275</v>
      </c>
      <c r="AG1137" s="3">
        <v>0.84572893295823959</v>
      </c>
      <c r="AH1137" s="1">
        <v>6265</v>
      </c>
      <c r="AI1137" s="1" t="b">
        <v>1</v>
      </c>
    </row>
    <row r="1138" spans="1:35" x14ac:dyDescent="0.25">
      <c r="A1138" s="1">
        <v>30</v>
      </c>
      <c r="B1138" s="1">
        <v>1</v>
      </c>
      <c r="C1138" s="1">
        <v>2020</v>
      </c>
      <c r="G1138" s="1" t="s">
        <v>38</v>
      </c>
      <c r="H1138" s="2">
        <v>4.07</v>
      </c>
      <c r="I1138" s="1">
        <v>10</v>
      </c>
      <c r="U1138" s="1">
        <v>19</v>
      </c>
      <c r="X1138" s="1">
        <v>14</v>
      </c>
      <c r="AA1138" s="1">
        <v>3</v>
      </c>
      <c r="AB1138" s="1">
        <v>3</v>
      </c>
      <c r="AC1138" s="1">
        <v>560</v>
      </c>
      <c r="AF1138" s="3">
        <v>2.4570024570024569</v>
      </c>
      <c r="AG1138" s="3">
        <v>1.0872026334449196</v>
      </c>
      <c r="AH1138" s="1">
        <v>6265</v>
      </c>
      <c r="AI1138" s="1" t="b">
        <v>1</v>
      </c>
    </row>
    <row r="1139" spans="1:35" x14ac:dyDescent="0.25">
      <c r="A1139" s="1">
        <v>30</v>
      </c>
      <c r="B1139" s="1">
        <v>1</v>
      </c>
      <c r="C1139" s="1">
        <v>2020</v>
      </c>
      <c r="G1139" s="1" t="s">
        <v>38</v>
      </c>
      <c r="H1139" s="2">
        <v>6.84</v>
      </c>
      <c r="I1139" s="1">
        <v>19</v>
      </c>
      <c r="U1139" s="1">
        <v>29</v>
      </c>
      <c r="X1139" s="1">
        <v>26</v>
      </c>
      <c r="AA1139" s="1">
        <v>3</v>
      </c>
      <c r="AB1139" s="1">
        <v>2</v>
      </c>
      <c r="AC1139" s="1">
        <v>906</v>
      </c>
      <c r="AF1139" s="3">
        <v>2.7777777777777777</v>
      </c>
      <c r="AG1139" s="3">
        <v>1.3830623912058075</v>
      </c>
      <c r="AH1139" s="1">
        <v>6265</v>
      </c>
      <c r="AI1139" s="1" t="b">
        <v>1</v>
      </c>
    </row>
    <row r="1140" spans="1:35" x14ac:dyDescent="0.25">
      <c r="A1140" s="1">
        <v>31</v>
      </c>
      <c r="B1140" s="1">
        <v>1</v>
      </c>
      <c r="C1140" s="1">
        <v>2020</v>
      </c>
      <c r="G1140" s="1" t="s">
        <v>38</v>
      </c>
      <c r="H1140" s="2">
        <v>15.45</v>
      </c>
      <c r="I1140" s="1">
        <v>19</v>
      </c>
      <c r="U1140" s="1">
        <v>29</v>
      </c>
      <c r="X1140" s="1">
        <v>28</v>
      </c>
      <c r="AA1140" s="1">
        <v>5</v>
      </c>
      <c r="AB1140" s="1">
        <v>4</v>
      </c>
      <c r="AC1140" s="1">
        <v>980</v>
      </c>
      <c r="AF1140" s="3">
        <v>1.2297734627831716</v>
      </c>
      <c r="AG1140" s="3">
        <v>5.5261773875394358</v>
      </c>
      <c r="AH1140" s="1">
        <v>6265</v>
      </c>
      <c r="AI1140" s="1" t="b">
        <v>1</v>
      </c>
    </row>
    <row r="1141" spans="1:35" x14ac:dyDescent="0.25">
      <c r="A1141" s="1">
        <v>1</v>
      </c>
      <c r="B1141" s="1">
        <v>2</v>
      </c>
      <c r="C1141" s="1">
        <v>2020</v>
      </c>
      <c r="G1141" s="1" t="s">
        <v>38</v>
      </c>
      <c r="H1141" s="2">
        <v>14.4</v>
      </c>
      <c r="I1141" s="1">
        <v>29</v>
      </c>
      <c r="V1141" s="1">
        <v>46</v>
      </c>
      <c r="X1141" s="1">
        <v>31</v>
      </c>
      <c r="AA1141" s="1">
        <v>1</v>
      </c>
      <c r="AB1141" s="1">
        <v>1</v>
      </c>
      <c r="AC1141" s="1">
        <v>950</v>
      </c>
      <c r="AF1141" s="3">
        <v>2.0138888888888888</v>
      </c>
      <c r="AG1141" s="3">
        <v>3.2123158358071313</v>
      </c>
      <c r="AH1141" s="1">
        <v>6265</v>
      </c>
      <c r="AI1141" s="1" t="b">
        <v>1</v>
      </c>
    </row>
    <row r="1142" spans="1:35" x14ac:dyDescent="0.25">
      <c r="A1142" s="1">
        <v>8</v>
      </c>
      <c r="B1142" s="1">
        <v>2</v>
      </c>
      <c r="C1142" s="1">
        <v>2020</v>
      </c>
      <c r="G1142" s="1" t="s">
        <v>38</v>
      </c>
      <c r="H1142" s="2">
        <v>8.6999999999999993</v>
      </c>
      <c r="I1142" s="1">
        <v>21</v>
      </c>
      <c r="U1142" s="1">
        <v>39</v>
      </c>
      <c r="X1142" s="1">
        <v>32</v>
      </c>
      <c r="AA1142" s="1">
        <v>4</v>
      </c>
      <c r="AB1142" s="1">
        <v>5</v>
      </c>
      <c r="AC1142" s="1">
        <v>1315</v>
      </c>
      <c r="AF1142" s="3">
        <v>2.4137931034482762</v>
      </c>
      <c r="AG1142" s="3">
        <v>1.883490502945188</v>
      </c>
      <c r="AH1142" s="1">
        <v>6266</v>
      </c>
      <c r="AI1142" s="1" t="b">
        <v>1</v>
      </c>
    </row>
    <row r="1143" spans="1:35" x14ac:dyDescent="0.25">
      <c r="A1143" s="1">
        <v>8</v>
      </c>
      <c r="B1143" s="1">
        <v>2</v>
      </c>
      <c r="C1143" s="1">
        <v>2020</v>
      </c>
      <c r="G1143" s="1" t="s">
        <v>38</v>
      </c>
      <c r="H1143" s="2">
        <v>4.54</v>
      </c>
      <c r="I1143" s="1">
        <v>11</v>
      </c>
      <c r="U1143" s="1">
        <v>18</v>
      </c>
      <c r="X1143" s="1">
        <v>14</v>
      </c>
      <c r="AA1143" s="1">
        <v>2</v>
      </c>
      <c r="AB1143" s="1">
        <v>3</v>
      </c>
      <c r="AC1143" s="1">
        <v>710</v>
      </c>
      <c r="AF1143" s="3">
        <v>2.4229074889867843</v>
      </c>
      <c r="AG1143" s="3">
        <v>1.1901515449254896</v>
      </c>
      <c r="AH1143" s="1">
        <v>6266</v>
      </c>
      <c r="AI1143" s="1" t="b">
        <v>1</v>
      </c>
    </row>
    <row r="1144" spans="1:35" x14ac:dyDescent="0.25">
      <c r="A1144" s="1">
        <v>8</v>
      </c>
      <c r="B1144" s="1">
        <v>2</v>
      </c>
      <c r="C1144" s="1">
        <v>2020</v>
      </c>
      <c r="G1144" s="1" t="s">
        <v>38</v>
      </c>
      <c r="H1144" s="2">
        <v>5.67</v>
      </c>
      <c r="I1144" s="1">
        <v>18</v>
      </c>
      <c r="U1144" s="1">
        <v>25</v>
      </c>
      <c r="X1144" s="1">
        <v>23</v>
      </c>
      <c r="AA1144" s="1">
        <v>3</v>
      </c>
      <c r="AB1144" s="1">
        <v>4</v>
      </c>
      <c r="AC1144" s="1">
        <v>854</v>
      </c>
      <c r="AF1144" s="3">
        <v>3.1746031746031744</v>
      </c>
      <c r="AG1144" s="3">
        <v>1.0612524234921983</v>
      </c>
      <c r="AH1144" s="1">
        <v>6266</v>
      </c>
      <c r="AI1144" s="1" t="b">
        <v>1</v>
      </c>
    </row>
    <row r="1145" spans="1:35" x14ac:dyDescent="0.25">
      <c r="A1145" s="1">
        <v>8</v>
      </c>
      <c r="B1145" s="1">
        <v>2</v>
      </c>
      <c r="C1145" s="1">
        <v>2020</v>
      </c>
      <c r="G1145" s="1" t="s">
        <v>38</v>
      </c>
      <c r="H1145" s="2">
        <v>5.43</v>
      </c>
      <c r="I1145" s="1">
        <v>16</v>
      </c>
      <c r="U1145" s="1">
        <v>17</v>
      </c>
      <c r="X1145" s="1">
        <v>16</v>
      </c>
      <c r="AA1145" s="1">
        <v>1</v>
      </c>
      <c r="AB1145" s="1">
        <v>2</v>
      </c>
      <c r="AC1145" s="1">
        <v>693</v>
      </c>
      <c r="AF1145" s="3">
        <v>2.9465930018416207</v>
      </c>
      <c r="AG1145" s="3">
        <v>1.1092762830930452</v>
      </c>
      <c r="AH1145" s="1">
        <v>6266</v>
      </c>
      <c r="AI1145" s="1" t="b">
        <v>1</v>
      </c>
    </row>
    <row r="1146" spans="1:35" x14ac:dyDescent="0.25">
      <c r="A1146" s="1">
        <v>8</v>
      </c>
      <c r="B1146" s="1">
        <v>2</v>
      </c>
      <c r="C1146" s="1">
        <v>2020</v>
      </c>
      <c r="G1146" s="1" t="s">
        <v>38</v>
      </c>
      <c r="H1146" s="2">
        <v>5.66</v>
      </c>
      <c r="I1146" s="1">
        <v>10</v>
      </c>
      <c r="U1146" s="1">
        <v>21</v>
      </c>
      <c r="X1146" s="1">
        <v>17</v>
      </c>
      <c r="AA1146" s="1">
        <v>3</v>
      </c>
      <c r="AB1146" s="1">
        <v>3</v>
      </c>
      <c r="AC1146" s="1">
        <v>738</v>
      </c>
      <c r="AF1146" s="3">
        <v>1.7667844522968197</v>
      </c>
      <c r="AG1146" s="3">
        <v>1.9045305043067162</v>
      </c>
      <c r="AH1146" s="1">
        <v>6266</v>
      </c>
      <c r="AI1146" s="1" t="b">
        <v>1</v>
      </c>
    </row>
    <row r="1147" spans="1:35" x14ac:dyDescent="0.25">
      <c r="A1147" s="1">
        <v>8</v>
      </c>
      <c r="B1147" s="1">
        <v>2</v>
      </c>
      <c r="C1147" s="1">
        <v>2020</v>
      </c>
      <c r="G1147" s="1" t="s">
        <v>38</v>
      </c>
      <c r="H1147" s="2">
        <v>5.8</v>
      </c>
      <c r="I1147" s="1">
        <v>15</v>
      </c>
      <c r="U1147" s="1">
        <v>23</v>
      </c>
      <c r="X1147" s="1">
        <v>19</v>
      </c>
      <c r="AA1147" s="1">
        <v>3</v>
      </c>
      <c r="AB1147" s="1">
        <v>5</v>
      </c>
      <c r="AC1147" s="1">
        <v>804</v>
      </c>
      <c r="AF1147" s="3">
        <v>2.5862068965517242</v>
      </c>
      <c r="AG1147" s="3">
        <v>1.3235377415326826</v>
      </c>
      <c r="AH1147" s="1">
        <v>6266</v>
      </c>
      <c r="AI1147" s="1" t="b">
        <v>1</v>
      </c>
    </row>
    <row r="1148" spans="1:35" x14ac:dyDescent="0.25">
      <c r="A1148" s="1">
        <v>8</v>
      </c>
      <c r="B1148" s="1">
        <v>2</v>
      </c>
      <c r="C1148" s="1">
        <v>2020</v>
      </c>
      <c r="G1148" s="1" t="s">
        <v>38</v>
      </c>
      <c r="H1148" s="2">
        <v>6.05</v>
      </c>
      <c r="I1148" s="1">
        <v>11</v>
      </c>
      <c r="U1148" s="1">
        <v>24</v>
      </c>
      <c r="X1148" s="1">
        <v>18</v>
      </c>
      <c r="AA1148" s="1">
        <v>4</v>
      </c>
      <c r="AB1148" s="1">
        <v>4</v>
      </c>
      <c r="AC1148" s="1">
        <v>855</v>
      </c>
      <c r="AF1148" s="3">
        <v>1.8181818181818183</v>
      </c>
      <c r="AG1148" s="3">
        <v>1.9390609115660533</v>
      </c>
      <c r="AH1148" s="1">
        <v>6266</v>
      </c>
      <c r="AI1148" s="1" t="b">
        <v>1</v>
      </c>
    </row>
    <row r="1149" spans="1:35" x14ac:dyDescent="0.25">
      <c r="A1149" s="1">
        <v>8</v>
      </c>
      <c r="B1149" s="1">
        <v>2</v>
      </c>
      <c r="C1149" s="1">
        <v>2020</v>
      </c>
      <c r="G1149" s="1" t="s">
        <v>38</v>
      </c>
      <c r="H1149" s="2">
        <v>7.39</v>
      </c>
      <c r="I1149" s="1">
        <v>21</v>
      </c>
      <c r="U1149" s="1">
        <v>29</v>
      </c>
      <c r="X1149" s="1">
        <v>25</v>
      </c>
      <c r="AA1149" s="1">
        <v>2</v>
      </c>
      <c r="AB1149" s="1">
        <v>1</v>
      </c>
      <c r="AC1149" s="1">
        <v>853</v>
      </c>
      <c r="AF1149" s="3">
        <v>2.8416779431664412</v>
      </c>
      <c r="AG1149" s="3">
        <v>1.4271717829152943</v>
      </c>
      <c r="AH1149" s="1">
        <v>6266</v>
      </c>
      <c r="AI1149" s="1" t="b">
        <v>1</v>
      </c>
    </row>
    <row r="1150" spans="1:35" x14ac:dyDescent="0.25">
      <c r="A1150" s="1">
        <v>8</v>
      </c>
      <c r="B1150" s="1">
        <v>2</v>
      </c>
      <c r="C1150" s="1">
        <v>2020</v>
      </c>
      <c r="G1150" s="1" t="s">
        <v>38</v>
      </c>
      <c r="H1150" s="2">
        <v>4.21</v>
      </c>
      <c r="I1150" s="1">
        <v>12</v>
      </c>
      <c r="U1150" s="1">
        <v>17</v>
      </c>
      <c r="X1150" s="1">
        <v>15</v>
      </c>
      <c r="AA1150" s="1">
        <v>2</v>
      </c>
      <c r="AB1150" s="1">
        <v>3</v>
      </c>
      <c r="AC1150" s="1">
        <v>725</v>
      </c>
      <c r="AF1150" s="3">
        <v>2.8503562945368173</v>
      </c>
      <c r="AG1150" s="3">
        <v>0.95961784806279138</v>
      </c>
      <c r="AH1150" s="1">
        <v>6266</v>
      </c>
      <c r="AI1150" s="1" t="b">
        <v>1</v>
      </c>
    </row>
    <row r="1151" spans="1:35" x14ac:dyDescent="0.25">
      <c r="A1151" s="1">
        <v>8</v>
      </c>
      <c r="B1151" s="1">
        <v>2</v>
      </c>
      <c r="C1151" s="1">
        <v>2020</v>
      </c>
      <c r="G1151" s="1" t="s">
        <v>38</v>
      </c>
      <c r="H1151" s="2">
        <v>7.33</v>
      </c>
      <c r="I1151" s="1">
        <v>17</v>
      </c>
      <c r="U1151" s="1">
        <v>25</v>
      </c>
      <c r="X1151" s="1">
        <v>22</v>
      </c>
      <c r="AA1151" s="1">
        <v>3</v>
      </c>
      <c r="AB1151" s="1">
        <v>4</v>
      </c>
      <c r="AC1151" s="1">
        <v>869</v>
      </c>
      <c r="AF1151" s="3">
        <v>2.3192360163710779</v>
      </c>
      <c r="AG1151" s="3">
        <v>1.7387127367539339</v>
      </c>
      <c r="AH1151" s="1">
        <v>6266</v>
      </c>
      <c r="AI1151" s="1" t="b">
        <v>1</v>
      </c>
    </row>
    <row r="1152" spans="1:35" x14ac:dyDescent="0.25">
      <c r="A1152" s="1">
        <v>8</v>
      </c>
      <c r="B1152" s="1">
        <v>2</v>
      </c>
      <c r="C1152" s="1">
        <v>2020</v>
      </c>
      <c r="G1152" s="1" t="s">
        <v>38</v>
      </c>
      <c r="H1152" s="2">
        <v>6.6</v>
      </c>
      <c r="I1152" s="1">
        <v>18</v>
      </c>
      <c r="U1152" s="1">
        <v>23</v>
      </c>
      <c r="X1152" s="1">
        <v>20</v>
      </c>
      <c r="AA1152" s="1">
        <v>2</v>
      </c>
      <c r="AB1152" s="1">
        <v>1</v>
      </c>
      <c r="AC1152" s="1">
        <v>863</v>
      </c>
      <c r="AF1152" s="3">
        <v>2.7272727272727275</v>
      </c>
      <c r="AG1152" s="3">
        <v>1.3738907049262643</v>
      </c>
      <c r="AH1152" s="1">
        <v>6266</v>
      </c>
      <c r="AI1152" s="1" t="b">
        <v>1</v>
      </c>
    </row>
    <row r="1153" spans="1:35" x14ac:dyDescent="0.25">
      <c r="A1153" s="1">
        <v>8</v>
      </c>
      <c r="B1153" s="1">
        <v>2</v>
      </c>
      <c r="C1153" s="1">
        <v>2020</v>
      </c>
      <c r="G1153" s="1" t="s">
        <v>38</v>
      </c>
      <c r="H1153" s="2">
        <v>7.6</v>
      </c>
      <c r="I1153" s="1">
        <v>20</v>
      </c>
      <c r="U1153" s="1">
        <v>32</v>
      </c>
      <c r="X1153" s="1">
        <v>26</v>
      </c>
      <c r="AA1153" s="1">
        <v>3</v>
      </c>
      <c r="AB1153" s="1">
        <v>4</v>
      </c>
      <c r="AC1153" s="1">
        <v>933</v>
      </c>
      <c r="AF1153" s="3">
        <v>2.6315789473684212</v>
      </c>
      <c r="AG1153" s="3">
        <v>1.5716401362544661</v>
      </c>
      <c r="AH1153" s="1">
        <v>6266</v>
      </c>
      <c r="AI1153" s="1" t="b">
        <v>1</v>
      </c>
    </row>
    <row r="1154" spans="1:35" x14ac:dyDescent="0.25">
      <c r="A1154" s="1">
        <v>8</v>
      </c>
      <c r="B1154" s="1">
        <v>2</v>
      </c>
      <c r="C1154" s="1">
        <v>2020</v>
      </c>
      <c r="G1154" s="1" t="s">
        <v>38</v>
      </c>
      <c r="H1154" s="2">
        <v>6.76</v>
      </c>
      <c r="I1154" s="1">
        <v>19</v>
      </c>
      <c r="U1154" s="1">
        <v>29</v>
      </c>
      <c r="X1154" s="1">
        <v>27</v>
      </c>
      <c r="AA1154" s="1">
        <v>3</v>
      </c>
      <c r="AB1154" s="1">
        <v>5</v>
      </c>
      <c r="AC1154" s="1">
        <v>801</v>
      </c>
      <c r="AF1154" s="3">
        <v>2.8106508875739644</v>
      </c>
      <c r="AG1154" s="3">
        <v>1.3556756082259351</v>
      </c>
      <c r="AH1154" s="1">
        <v>6266</v>
      </c>
      <c r="AI1154" s="1" t="b">
        <v>1</v>
      </c>
    </row>
    <row r="1155" spans="1:35" x14ac:dyDescent="0.25">
      <c r="A1155" s="1">
        <v>8</v>
      </c>
      <c r="B1155" s="1">
        <v>2</v>
      </c>
      <c r="C1155" s="1">
        <v>2020</v>
      </c>
      <c r="G1155" s="1" t="s">
        <v>38</v>
      </c>
      <c r="H1155" s="2">
        <v>8.07</v>
      </c>
      <c r="I1155" s="1">
        <v>15</v>
      </c>
      <c r="V1155" s="1">
        <v>22</v>
      </c>
      <c r="X1155" s="1">
        <v>19</v>
      </c>
      <c r="AA1155" s="1">
        <v>4</v>
      </c>
      <c r="AB1155" s="1">
        <v>4</v>
      </c>
      <c r="AC1155" s="1">
        <v>1014</v>
      </c>
      <c r="AF1155" s="3">
        <v>1.8587360594795539</v>
      </c>
      <c r="AG1155" s="3">
        <v>2.320565065592346</v>
      </c>
      <c r="AH1155" s="1">
        <v>6266</v>
      </c>
      <c r="AI1155" s="1" t="b">
        <v>1</v>
      </c>
    </row>
    <row r="1156" spans="1:35" x14ac:dyDescent="0.25">
      <c r="A1156" s="1">
        <v>8</v>
      </c>
      <c r="B1156" s="1">
        <v>2</v>
      </c>
      <c r="C1156" s="1">
        <v>2020</v>
      </c>
      <c r="G1156" s="1" t="s">
        <v>38</v>
      </c>
      <c r="H1156" s="2">
        <v>6.55</v>
      </c>
      <c r="I1156" s="1">
        <v>16</v>
      </c>
      <c r="U1156" s="1">
        <v>25</v>
      </c>
      <c r="X1156" s="1">
        <v>21</v>
      </c>
      <c r="AA1156" s="1">
        <v>3</v>
      </c>
      <c r="AB1156" s="1">
        <v>5</v>
      </c>
      <c r="AC1156" s="1">
        <v>932</v>
      </c>
      <c r="AF1156" s="3">
        <v>2.4427480916030535</v>
      </c>
      <c r="AG1156" s="3">
        <v>1.5257740608368389</v>
      </c>
      <c r="AH1156" s="1">
        <v>6266</v>
      </c>
      <c r="AI1156" s="1" t="b">
        <v>1</v>
      </c>
    </row>
    <row r="1157" spans="1:35" x14ac:dyDescent="0.25">
      <c r="A1157" s="1">
        <v>8</v>
      </c>
      <c r="B1157" s="1">
        <v>2</v>
      </c>
      <c r="C1157" s="1">
        <v>2020</v>
      </c>
      <c r="G1157" s="1" t="s">
        <v>38</v>
      </c>
      <c r="H1157" s="2">
        <v>5.84</v>
      </c>
      <c r="I1157" s="1">
        <v>18</v>
      </c>
      <c r="U1157" s="1">
        <v>26</v>
      </c>
      <c r="X1157" s="1">
        <v>23</v>
      </c>
      <c r="AA1157" s="1">
        <v>4</v>
      </c>
      <c r="AB1157" s="1">
        <v>3</v>
      </c>
      <c r="AC1157" s="1">
        <v>1366</v>
      </c>
      <c r="AF1157" s="3">
        <v>3.0821917808219177</v>
      </c>
      <c r="AG1157" s="3">
        <v>1.1159104253696102</v>
      </c>
      <c r="AH1157" s="1">
        <v>6266</v>
      </c>
      <c r="AI1157" s="1" t="b">
        <v>1</v>
      </c>
    </row>
    <row r="1158" spans="1:35" x14ac:dyDescent="0.25">
      <c r="A1158" s="1">
        <v>8</v>
      </c>
      <c r="B1158" s="1">
        <v>2</v>
      </c>
      <c r="C1158" s="1">
        <v>2020</v>
      </c>
      <c r="G1158" s="1" t="s">
        <v>38</v>
      </c>
      <c r="H1158" s="2">
        <v>5.57</v>
      </c>
      <c r="I1158" s="1">
        <v>16</v>
      </c>
      <c r="U1158" s="1">
        <v>22</v>
      </c>
      <c r="X1158" s="1">
        <v>20</v>
      </c>
      <c r="AA1158" s="1">
        <v>2</v>
      </c>
      <c r="AB1158" s="1">
        <v>3</v>
      </c>
      <c r="AC1158" s="1">
        <v>1011</v>
      </c>
      <c r="AF1158" s="3">
        <v>2.8725314183123878</v>
      </c>
      <c r="AG1158" s="3">
        <v>1.1583341199672661</v>
      </c>
      <c r="AH1158" s="1">
        <v>6266</v>
      </c>
      <c r="AI1158" s="1" t="b">
        <v>1</v>
      </c>
    </row>
    <row r="1159" spans="1:35" x14ac:dyDescent="0.25">
      <c r="A1159" s="1">
        <v>8</v>
      </c>
      <c r="B1159" s="1">
        <v>2</v>
      </c>
      <c r="C1159" s="1">
        <v>2020</v>
      </c>
      <c r="G1159" s="1" t="s">
        <v>38</v>
      </c>
      <c r="H1159" s="2">
        <v>3.79</v>
      </c>
      <c r="I1159" s="1">
        <v>10</v>
      </c>
      <c r="U1159" s="1">
        <v>17</v>
      </c>
      <c r="X1159" s="1">
        <v>14</v>
      </c>
      <c r="AA1159" s="1">
        <v>2</v>
      </c>
      <c r="AB1159" s="1">
        <v>2</v>
      </c>
      <c r="AC1159" s="1">
        <v>758</v>
      </c>
      <c r="AF1159" s="3">
        <v>2.6385224274406331</v>
      </c>
      <c r="AG1159" s="3">
        <v>0.96313387270865558</v>
      </c>
      <c r="AH1159" s="1">
        <v>6266</v>
      </c>
      <c r="AI1159" s="1" t="b">
        <v>1</v>
      </c>
    </row>
    <row r="1160" spans="1:35" x14ac:dyDescent="0.25">
      <c r="A1160" s="1">
        <v>8</v>
      </c>
      <c r="B1160" s="1">
        <v>2</v>
      </c>
      <c r="C1160" s="1">
        <v>2020</v>
      </c>
      <c r="G1160" s="1" t="s">
        <v>38</v>
      </c>
      <c r="H1160" s="2">
        <v>7.02</v>
      </c>
      <c r="I1160" s="1">
        <v>17</v>
      </c>
      <c r="U1160" s="1">
        <v>29</v>
      </c>
      <c r="X1160" s="1">
        <v>25</v>
      </c>
      <c r="AA1160" s="1">
        <v>3</v>
      </c>
      <c r="AB1160" s="1">
        <v>2</v>
      </c>
      <c r="AC1160" s="1">
        <v>1441</v>
      </c>
      <c r="AF1160" s="3">
        <v>2.4216524216524218</v>
      </c>
      <c r="AG1160" s="3">
        <v>1.6155640079038298</v>
      </c>
      <c r="AH1160" s="1">
        <v>6266</v>
      </c>
      <c r="AI1160" s="1" t="b">
        <v>1</v>
      </c>
    </row>
    <row r="1161" spans="1:35" x14ac:dyDescent="0.25">
      <c r="A1161" s="1">
        <v>9</v>
      </c>
      <c r="B1161" s="1">
        <v>2</v>
      </c>
      <c r="C1161" s="1">
        <v>2020</v>
      </c>
      <c r="G1161" s="1" t="s">
        <v>38</v>
      </c>
      <c r="H1161" s="2">
        <v>5.59</v>
      </c>
      <c r="I1161" s="1">
        <v>14</v>
      </c>
      <c r="U1161" s="1">
        <v>25</v>
      </c>
      <c r="X1161" s="1">
        <v>21</v>
      </c>
      <c r="AA1161" s="1">
        <v>3</v>
      </c>
      <c r="AB1161" s="1">
        <v>1</v>
      </c>
      <c r="AC1161" s="1">
        <v>781</v>
      </c>
      <c r="AF1161" s="3">
        <v>2.5044722719141324</v>
      </c>
      <c r="AG1161" s="3">
        <v>1.3319012844101354</v>
      </c>
      <c r="AH1161" s="1">
        <v>6266</v>
      </c>
      <c r="AI1161" s="1" t="b">
        <v>1</v>
      </c>
    </row>
    <row r="1162" spans="1:35" x14ac:dyDescent="0.25">
      <c r="A1162" s="1">
        <v>9</v>
      </c>
      <c r="B1162" s="1">
        <v>2</v>
      </c>
      <c r="C1162" s="1">
        <v>2020</v>
      </c>
      <c r="G1162" s="1" t="s">
        <v>38</v>
      </c>
      <c r="H1162" s="2">
        <v>7.48</v>
      </c>
      <c r="I1162" s="1">
        <v>21</v>
      </c>
      <c r="U1162" s="1">
        <v>37</v>
      </c>
      <c r="X1162" s="1">
        <v>31</v>
      </c>
      <c r="AA1162" s="1">
        <v>5</v>
      </c>
      <c r="AB1162" s="1">
        <v>5</v>
      </c>
      <c r="AC1162" s="1">
        <v>1077</v>
      </c>
      <c r="AF1162" s="3">
        <v>2.8074866310160425</v>
      </c>
      <c r="AG1162" s="3">
        <v>1.4568452477775367</v>
      </c>
      <c r="AH1162" s="1">
        <v>6266</v>
      </c>
      <c r="AI1162" s="1" t="b">
        <v>1</v>
      </c>
    </row>
    <row r="1163" spans="1:35" x14ac:dyDescent="0.25">
      <c r="A1163" s="1">
        <v>9</v>
      </c>
      <c r="B1163" s="1">
        <v>2</v>
      </c>
      <c r="C1163" s="1">
        <v>2020</v>
      </c>
      <c r="G1163" s="1" t="s">
        <v>38</v>
      </c>
      <c r="H1163" s="2">
        <v>4.41</v>
      </c>
      <c r="I1163" s="1">
        <v>11</v>
      </c>
      <c r="U1163" s="1">
        <v>16</v>
      </c>
      <c r="X1163" s="1">
        <v>14</v>
      </c>
      <c r="AA1163" s="1">
        <v>2</v>
      </c>
      <c r="AB1163" s="1">
        <v>4</v>
      </c>
      <c r="AC1163" s="1">
        <v>721</v>
      </c>
      <c r="AF1163" s="3">
        <v>2.4943310657596371</v>
      </c>
      <c r="AG1163" s="3">
        <v>1.1327991564315611</v>
      </c>
      <c r="AH1163" s="1">
        <v>6266</v>
      </c>
      <c r="AI1163" s="1" t="b">
        <v>1</v>
      </c>
    </row>
    <row r="1164" spans="1:35" x14ac:dyDescent="0.25">
      <c r="A1164" s="1">
        <v>9</v>
      </c>
      <c r="B1164" s="1">
        <v>2</v>
      </c>
      <c r="C1164" s="1">
        <v>2020</v>
      </c>
      <c r="G1164" s="1" t="s">
        <v>38</v>
      </c>
      <c r="H1164" s="2">
        <v>7.41</v>
      </c>
      <c r="I1164" s="1">
        <v>21</v>
      </c>
      <c r="U1164" s="1">
        <v>32</v>
      </c>
      <c r="X1164" s="1">
        <v>27</v>
      </c>
      <c r="AA1164" s="1">
        <v>4</v>
      </c>
      <c r="AB1164" s="1">
        <v>6</v>
      </c>
      <c r="AC1164" s="1">
        <v>1176</v>
      </c>
      <c r="AF1164" s="3">
        <v>2.834008097165992</v>
      </c>
      <c r="AG1164" s="3">
        <v>1.4337441497939589</v>
      </c>
      <c r="AH1164" s="1">
        <v>6266</v>
      </c>
      <c r="AI1164" s="1" t="b">
        <v>1</v>
      </c>
    </row>
    <row r="1165" spans="1:35" x14ac:dyDescent="0.25">
      <c r="A1165" s="1">
        <v>9</v>
      </c>
      <c r="B1165" s="1">
        <v>2</v>
      </c>
      <c r="C1165" s="1">
        <v>2020</v>
      </c>
      <c r="G1165" s="1" t="s">
        <v>38</v>
      </c>
      <c r="H1165" s="2">
        <v>2.96</v>
      </c>
      <c r="I1165" s="1">
        <v>9</v>
      </c>
      <c r="U1165" s="1">
        <v>12</v>
      </c>
      <c r="X1165" s="1">
        <v>9</v>
      </c>
      <c r="AA1165" s="1">
        <v>1</v>
      </c>
      <c r="AB1165" s="1">
        <v>3</v>
      </c>
      <c r="AC1165" s="1">
        <v>688</v>
      </c>
      <c r="AF1165" s="3">
        <v>3.0405405405405408</v>
      </c>
      <c r="AG1165" s="3">
        <v>0.70299688290940976</v>
      </c>
      <c r="AH1165" s="1">
        <v>6266</v>
      </c>
      <c r="AI1165" s="1" t="b">
        <v>1</v>
      </c>
    </row>
    <row r="1166" spans="1:35" x14ac:dyDescent="0.25">
      <c r="A1166" s="1">
        <v>9</v>
      </c>
      <c r="B1166" s="1">
        <v>2</v>
      </c>
      <c r="C1166" s="1">
        <v>2020</v>
      </c>
      <c r="G1166" s="1" t="s">
        <v>38</v>
      </c>
      <c r="H1166" s="2">
        <v>5.84</v>
      </c>
      <c r="I1166" s="1">
        <v>13</v>
      </c>
      <c r="U1166" s="1">
        <v>21</v>
      </c>
      <c r="X1166" s="1">
        <v>17</v>
      </c>
      <c r="AA1166" s="1">
        <v>2</v>
      </c>
      <c r="AB1166" s="1">
        <v>3</v>
      </c>
      <c r="AC1166" s="1">
        <v>1136</v>
      </c>
      <c r="AF1166" s="3">
        <v>2.2260273972602742</v>
      </c>
      <c r="AG1166" s="3">
        <v>1.5451067428194603</v>
      </c>
      <c r="AH1166" s="1">
        <v>6266</v>
      </c>
      <c r="AI1166" s="1" t="b">
        <v>1</v>
      </c>
    </row>
    <row r="1167" spans="1:35" x14ac:dyDescent="0.25">
      <c r="A1167" s="1">
        <v>9</v>
      </c>
      <c r="B1167" s="1">
        <v>2</v>
      </c>
      <c r="C1167" s="1">
        <v>2020</v>
      </c>
      <c r="G1167" s="1" t="s">
        <v>38</v>
      </c>
      <c r="H1167" s="2">
        <v>5.13</v>
      </c>
      <c r="I1167" s="1">
        <v>10</v>
      </c>
      <c r="U1167" s="1">
        <v>21</v>
      </c>
      <c r="X1167" s="1">
        <v>18</v>
      </c>
      <c r="AA1167" s="1">
        <v>3</v>
      </c>
      <c r="AB1167" s="1">
        <v>5</v>
      </c>
      <c r="AC1167" s="1">
        <v>752</v>
      </c>
      <c r="AF1167" s="3">
        <v>1.9493177387914231</v>
      </c>
      <c r="AG1167" s="3">
        <v>1.6113857573101349</v>
      </c>
      <c r="AH1167" s="1">
        <v>6266</v>
      </c>
      <c r="AI1167" s="1" t="b">
        <v>1</v>
      </c>
    </row>
    <row r="1168" spans="1:35" x14ac:dyDescent="0.25">
      <c r="A1168" s="1">
        <v>9</v>
      </c>
      <c r="B1168" s="1">
        <v>2</v>
      </c>
      <c r="C1168" s="1">
        <v>2020</v>
      </c>
      <c r="G1168" s="1" t="s">
        <v>38</v>
      </c>
      <c r="H1168" s="2">
        <v>5.71</v>
      </c>
      <c r="I1168" s="1">
        <v>18</v>
      </c>
      <c r="U1168" s="1">
        <v>27</v>
      </c>
      <c r="X1168" s="1">
        <v>22</v>
      </c>
      <c r="AA1168" s="1">
        <v>3</v>
      </c>
      <c r="AB1168" s="1">
        <v>2</v>
      </c>
      <c r="AC1168" s="1">
        <v>821</v>
      </c>
      <c r="AF1168" s="3">
        <v>3.1523642732049035</v>
      </c>
      <c r="AG1168" s="3">
        <v>1.0740113696954996</v>
      </c>
      <c r="AH1168" s="1">
        <v>6266</v>
      </c>
      <c r="AI1168" s="1" t="b">
        <v>1</v>
      </c>
    </row>
    <row r="1169" spans="1:35" x14ac:dyDescent="0.25">
      <c r="A1169" s="1">
        <v>9</v>
      </c>
      <c r="B1169" s="1">
        <v>2</v>
      </c>
      <c r="C1169" s="1">
        <v>2020</v>
      </c>
      <c r="G1169" s="1" t="s">
        <v>38</v>
      </c>
      <c r="H1169" s="2">
        <v>2.99</v>
      </c>
      <c r="I1169" s="1">
        <v>6</v>
      </c>
      <c r="U1169" s="1">
        <v>12</v>
      </c>
      <c r="X1169" s="1">
        <v>9</v>
      </c>
      <c r="AA1169" s="1">
        <v>2</v>
      </c>
      <c r="AB1169" s="1">
        <v>3</v>
      </c>
      <c r="AC1169" s="1">
        <v>420</v>
      </c>
      <c r="AF1169" s="3">
        <v>2.0066889632107023</v>
      </c>
      <c r="AG1169" s="3">
        <v>1.0727283783697221</v>
      </c>
      <c r="AH1169" s="1">
        <v>6266</v>
      </c>
      <c r="AI1169" s="1" t="b">
        <v>1</v>
      </c>
    </row>
    <row r="1170" spans="1:35" x14ac:dyDescent="0.25">
      <c r="A1170" s="1">
        <v>9</v>
      </c>
      <c r="B1170" s="1">
        <v>2</v>
      </c>
      <c r="C1170" s="1">
        <v>2020</v>
      </c>
      <c r="G1170" s="1" t="s">
        <v>38</v>
      </c>
      <c r="H1170" s="2">
        <v>3.07</v>
      </c>
      <c r="I1170" s="1">
        <v>4</v>
      </c>
      <c r="U1170" s="1">
        <v>13</v>
      </c>
      <c r="X1170" s="1">
        <v>9</v>
      </c>
      <c r="AA1170" s="1">
        <v>3</v>
      </c>
      <c r="AB1170" s="1">
        <v>1</v>
      </c>
      <c r="AC1170" s="1">
        <v>571</v>
      </c>
      <c r="AF1170" s="3">
        <v>1.3029315960912053</v>
      </c>
      <c r="AG1170" s="3">
        <v>1.6829656307811742</v>
      </c>
      <c r="AH1170" s="1">
        <v>6266</v>
      </c>
      <c r="AI1170" s="1" t="b">
        <v>1</v>
      </c>
    </row>
    <row r="1171" spans="1:35" x14ac:dyDescent="0.25">
      <c r="A1171" s="1">
        <v>9</v>
      </c>
      <c r="B1171" s="1">
        <v>2</v>
      </c>
      <c r="C1171" s="1">
        <v>2020</v>
      </c>
      <c r="G1171" s="1" t="s">
        <v>38</v>
      </c>
      <c r="H1171" s="2">
        <v>6.69</v>
      </c>
      <c r="I1171" s="1">
        <v>23</v>
      </c>
      <c r="U1171" s="1">
        <v>32</v>
      </c>
      <c r="X1171" s="1">
        <v>29</v>
      </c>
      <c r="AA1171" s="1">
        <v>2</v>
      </c>
      <c r="AB1171" s="1">
        <v>3</v>
      </c>
      <c r="AC1171" s="1">
        <v>1011</v>
      </c>
      <c r="AF1171" s="3">
        <v>3.4379671150971598</v>
      </c>
      <c r="AG1171" s="3">
        <v>1.1002631408043444</v>
      </c>
      <c r="AH1171" s="1">
        <v>6266</v>
      </c>
      <c r="AI1171" s="1" t="b">
        <v>1</v>
      </c>
    </row>
    <row r="1172" spans="1:35" x14ac:dyDescent="0.25">
      <c r="A1172" s="1">
        <v>9</v>
      </c>
      <c r="B1172" s="1">
        <v>2</v>
      </c>
      <c r="C1172" s="1">
        <v>2020</v>
      </c>
      <c r="G1172" s="1" t="s">
        <v>38</v>
      </c>
      <c r="H1172" s="2">
        <v>5.83</v>
      </c>
      <c r="I1172" s="1">
        <v>17</v>
      </c>
      <c r="U1172" s="1">
        <v>26</v>
      </c>
      <c r="X1172" s="1">
        <v>20</v>
      </c>
      <c r="AA1172" s="1">
        <v>3</v>
      </c>
      <c r="AB1172" s="1">
        <v>4</v>
      </c>
      <c r="AC1172" s="1">
        <v>1027</v>
      </c>
      <c r="AF1172" s="3">
        <v>2.9159519725557459</v>
      </c>
      <c r="AG1172" s="3">
        <v>1.1781148268233652</v>
      </c>
      <c r="AH1172" s="1">
        <v>6266</v>
      </c>
      <c r="AI1172" s="1" t="b">
        <v>1</v>
      </c>
    </row>
    <row r="1173" spans="1:35" x14ac:dyDescent="0.25">
      <c r="A1173" s="1">
        <v>9</v>
      </c>
      <c r="B1173" s="1">
        <v>2</v>
      </c>
      <c r="C1173" s="1">
        <v>2020</v>
      </c>
      <c r="G1173" s="1" t="s">
        <v>38</v>
      </c>
      <c r="H1173" s="2">
        <v>3.03</v>
      </c>
      <c r="I1173" s="1">
        <v>6</v>
      </c>
      <c r="U1173" s="1">
        <v>14</v>
      </c>
      <c r="X1173" s="1">
        <v>11</v>
      </c>
      <c r="AA1173" s="1">
        <v>3</v>
      </c>
      <c r="AB1173" s="1">
        <v>2</v>
      </c>
      <c r="AC1173" s="1">
        <v>501</v>
      </c>
      <c r="AF1173" s="3">
        <v>1.9801980198019804</v>
      </c>
      <c r="AG1173" s="3">
        <v>1.0972389555451638</v>
      </c>
      <c r="AH1173" s="1">
        <v>6266</v>
      </c>
      <c r="AI1173" s="1" t="b">
        <v>1</v>
      </c>
    </row>
    <row r="1174" spans="1:35" x14ac:dyDescent="0.25">
      <c r="A1174" s="1">
        <v>9</v>
      </c>
      <c r="B1174" s="1">
        <v>2</v>
      </c>
      <c r="C1174" s="1">
        <v>2020</v>
      </c>
      <c r="G1174" s="1" t="s">
        <v>38</v>
      </c>
      <c r="H1174" s="2">
        <v>5.91</v>
      </c>
      <c r="I1174" s="1">
        <v>12</v>
      </c>
      <c r="U1174" s="1">
        <v>25</v>
      </c>
      <c r="X1174" s="1">
        <v>21</v>
      </c>
      <c r="AA1174" s="1">
        <v>4</v>
      </c>
      <c r="AB1174" s="1">
        <v>2</v>
      </c>
      <c r="AC1174" s="1">
        <v>816</v>
      </c>
      <c r="AF1174" s="3">
        <v>2.030456852791878</v>
      </c>
      <c r="AG1174" s="3">
        <v>1.7081164353501983</v>
      </c>
      <c r="AH1174" s="1">
        <v>6266</v>
      </c>
      <c r="AI1174" s="1" t="b">
        <v>1</v>
      </c>
    </row>
    <row r="1175" spans="1:35" x14ac:dyDescent="0.25">
      <c r="A1175" s="1">
        <v>9</v>
      </c>
      <c r="B1175" s="1">
        <v>2</v>
      </c>
      <c r="C1175" s="1">
        <v>2020</v>
      </c>
      <c r="G1175" s="1" t="s">
        <v>38</v>
      </c>
      <c r="H1175" s="2">
        <v>6.76</v>
      </c>
      <c r="I1175" s="1">
        <v>20</v>
      </c>
      <c r="U1175" s="1">
        <v>34</v>
      </c>
      <c r="X1175" s="1">
        <v>28</v>
      </c>
      <c r="AA1175" s="1">
        <v>3</v>
      </c>
      <c r="AB1175" s="1">
        <v>4</v>
      </c>
      <c r="AC1175" s="1">
        <v>980</v>
      </c>
      <c r="AF1175" s="3">
        <v>2.9585798816568047</v>
      </c>
      <c r="AG1175" s="3">
        <v>1.2878918278146383</v>
      </c>
      <c r="AH1175" s="1">
        <v>6266</v>
      </c>
      <c r="AI1175" s="1" t="b">
        <v>1</v>
      </c>
    </row>
    <row r="1176" spans="1:35" x14ac:dyDescent="0.25">
      <c r="A1176" s="1">
        <v>9</v>
      </c>
      <c r="B1176" s="1">
        <v>2</v>
      </c>
      <c r="C1176" s="1">
        <v>2020</v>
      </c>
      <c r="G1176" s="1" t="s">
        <v>38</v>
      </c>
      <c r="H1176" s="2">
        <v>7.86</v>
      </c>
      <c r="I1176" s="1">
        <v>23</v>
      </c>
      <c r="U1176" s="1">
        <v>34</v>
      </c>
      <c r="X1176" s="1">
        <v>27</v>
      </c>
      <c r="AA1176" s="1">
        <v>2</v>
      </c>
      <c r="AB1176" s="1">
        <v>3</v>
      </c>
      <c r="AC1176" s="1">
        <v>1122</v>
      </c>
      <c r="AF1176" s="3">
        <v>2.9262086513994912</v>
      </c>
      <c r="AG1176" s="3">
        <v>1.4470731728364783</v>
      </c>
      <c r="AH1176" s="1">
        <v>6266</v>
      </c>
      <c r="AI1176" s="1" t="b">
        <v>1</v>
      </c>
    </row>
    <row r="1177" spans="1:35" x14ac:dyDescent="0.25">
      <c r="A1177" s="1">
        <v>10</v>
      </c>
      <c r="B1177" s="1">
        <v>2</v>
      </c>
      <c r="C1177" s="1">
        <v>2020</v>
      </c>
      <c r="G1177" s="1" t="s">
        <v>38</v>
      </c>
      <c r="H1177" s="2">
        <v>3.83</v>
      </c>
      <c r="I1177" s="1">
        <v>12</v>
      </c>
      <c r="U1177" s="1">
        <v>15</v>
      </c>
      <c r="X1177" s="1">
        <v>12</v>
      </c>
      <c r="AA1177" s="1">
        <v>1</v>
      </c>
      <c r="AB1177" s="1">
        <v>3</v>
      </c>
      <c r="AC1177" s="1">
        <v>387</v>
      </c>
      <c r="AF1177" s="3">
        <v>3.133159268929504</v>
      </c>
      <c r="AG1177" s="3">
        <v>0.81706511730000864</v>
      </c>
      <c r="AH1177" s="1">
        <v>6267</v>
      </c>
      <c r="AI1177" s="1" t="b">
        <v>1</v>
      </c>
    </row>
    <row r="1178" spans="1:35" x14ac:dyDescent="0.25">
      <c r="A1178" s="1">
        <v>10</v>
      </c>
      <c r="B1178" s="1">
        <v>2</v>
      </c>
      <c r="C1178" s="1">
        <v>2020</v>
      </c>
      <c r="G1178" s="1" t="s">
        <v>38</v>
      </c>
      <c r="H1178" s="2">
        <v>9.16</v>
      </c>
      <c r="I1178" s="1">
        <v>30</v>
      </c>
      <c r="U1178" s="1">
        <v>40</v>
      </c>
      <c r="X1178" s="1">
        <v>36</v>
      </c>
      <c r="AA1178" s="1">
        <v>3</v>
      </c>
      <c r="AB1178" s="1">
        <v>3</v>
      </c>
      <c r="AC1178" s="1">
        <v>1231</v>
      </c>
      <c r="AF1178" s="3">
        <v>3.2751091703056767</v>
      </c>
      <c r="AG1178" s="3">
        <v>1.4391333931344774</v>
      </c>
      <c r="AH1178" s="1">
        <v>6267</v>
      </c>
      <c r="AI1178" s="1" t="b">
        <v>1</v>
      </c>
    </row>
    <row r="1179" spans="1:35" x14ac:dyDescent="0.25">
      <c r="A1179" s="1">
        <v>10</v>
      </c>
      <c r="B1179" s="1">
        <v>2</v>
      </c>
      <c r="C1179" s="1">
        <v>2020</v>
      </c>
      <c r="G1179" s="1" t="s">
        <v>38</v>
      </c>
      <c r="H1179" s="2">
        <v>5.99</v>
      </c>
      <c r="I1179" s="1">
        <v>20</v>
      </c>
      <c r="U1179" s="1">
        <v>26</v>
      </c>
      <c r="X1179" s="1">
        <v>23</v>
      </c>
      <c r="AA1179" s="1">
        <v>2</v>
      </c>
      <c r="AB1179" s="1">
        <v>2</v>
      </c>
      <c r="AC1179" s="1">
        <v>763</v>
      </c>
      <c r="AF1179" s="3">
        <v>3.33889816360601</v>
      </c>
      <c r="AG1179" s="3">
        <v>1.0485655917058061</v>
      </c>
      <c r="AH1179" s="1">
        <v>6267</v>
      </c>
      <c r="AI1179" s="1" t="b">
        <v>1</v>
      </c>
    </row>
    <row r="1180" spans="1:35" x14ac:dyDescent="0.25">
      <c r="A1180" s="1">
        <v>10</v>
      </c>
      <c r="B1180" s="1">
        <v>2</v>
      </c>
      <c r="C1180" s="1">
        <v>2020</v>
      </c>
      <c r="G1180" s="1" t="s">
        <v>38</v>
      </c>
      <c r="H1180" s="2">
        <v>7.01</v>
      </c>
      <c r="I1180" s="1">
        <v>16</v>
      </c>
      <c r="U1180" s="1">
        <v>31</v>
      </c>
      <c r="X1180" s="1">
        <v>25</v>
      </c>
      <c r="AA1180" s="1">
        <v>4</v>
      </c>
      <c r="AB1180" s="1">
        <v>5</v>
      </c>
      <c r="AC1180" s="1">
        <v>1091</v>
      </c>
      <c r="AF1180" s="3">
        <v>2.2824536376604851</v>
      </c>
      <c r="AG1180" s="3">
        <v>1.7123819758016081</v>
      </c>
      <c r="AH1180" s="1">
        <v>6267</v>
      </c>
      <c r="AI1180" s="1" t="b">
        <v>1</v>
      </c>
    </row>
    <row r="1181" spans="1:35" x14ac:dyDescent="0.25">
      <c r="A1181" s="1">
        <v>10</v>
      </c>
      <c r="B1181" s="1">
        <v>2</v>
      </c>
      <c r="C1181" s="1">
        <v>2020</v>
      </c>
      <c r="G1181" s="1" t="s">
        <v>38</v>
      </c>
      <c r="H1181" s="2">
        <v>8.49</v>
      </c>
      <c r="I1181" s="1">
        <v>25</v>
      </c>
      <c r="U1181" s="1">
        <v>36</v>
      </c>
      <c r="X1181" s="1">
        <v>34</v>
      </c>
      <c r="AA1181" s="1">
        <v>3</v>
      </c>
      <c r="AB1181" s="1">
        <v>2</v>
      </c>
      <c r="AC1181" s="1">
        <v>1267</v>
      </c>
      <c r="AF1181" s="3">
        <v>2.944640753828033</v>
      </c>
      <c r="AG1181" s="3">
        <v>1.5177598663980505</v>
      </c>
      <c r="AH1181" s="1">
        <v>6267</v>
      </c>
      <c r="AI1181" s="1" t="b">
        <v>1</v>
      </c>
    </row>
    <row r="1182" spans="1:35" x14ac:dyDescent="0.25">
      <c r="A1182" s="1">
        <v>10</v>
      </c>
      <c r="B1182" s="1">
        <v>2</v>
      </c>
      <c r="C1182" s="1">
        <v>2020</v>
      </c>
      <c r="G1182" s="1" t="s">
        <v>38</v>
      </c>
      <c r="H1182" s="2">
        <v>10.49</v>
      </c>
      <c r="I1182" s="1">
        <v>22</v>
      </c>
      <c r="V1182" s="1">
        <v>42</v>
      </c>
      <c r="X1182" s="1">
        <v>25</v>
      </c>
      <c r="AA1182" s="1">
        <v>2</v>
      </c>
      <c r="AB1182" s="1">
        <v>3</v>
      </c>
      <c r="AC1182" s="1">
        <v>1286</v>
      </c>
      <c r="AF1182" s="3">
        <v>2.0972354623450906</v>
      </c>
      <c r="AG1182" s="3">
        <v>2.4711303183650739</v>
      </c>
      <c r="AH1182" s="1">
        <v>6267</v>
      </c>
      <c r="AI1182" s="1" t="b">
        <v>1</v>
      </c>
    </row>
    <row r="1183" spans="1:35" x14ac:dyDescent="0.25">
      <c r="A1183" s="1">
        <v>24</v>
      </c>
      <c r="B1183" s="1">
        <v>2</v>
      </c>
      <c r="C1183" s="1">
        <v>2020</v>
      </c>
      <c r="G1183" s="1" t="s">
        <v>38</v>
      </c>
      <c r="H1183" s="2">
        <v>6.27</v>
      </c>
      <c r="I1183" s="1">
        <v>17</v>
      </c>
      <c r="U1183" s="1">
        <v>27</v>
      </c>
      <c r="X1183" s="1">
        <v>22</v>
      </c>
      <c r="AA1183" s="1">
        <v>4</v>
      </c>
      <c r="AB1183" s="1">
        <v>6</v>
      </c>
      <c r="AC1183" s="1">
        <v>938</v>
      </c>
      <c r="AF1183" s="3">
        <v>2.7113237639553431</v>
      </c>
      <c r="AG1183" s="3">
        <v>1.3332325189957996</v>
      </c>
      <c r="AH1183" s="1">
        <v>6269</v>
      </c>
      <c r="AI1183" s="1" t="b">
        <v>1</v>
      </c>
    </row>
    <row r="1184" spans="1:35" x14ac:dyDescent="0.25">
      <c r="A1184" s="1">
        <v>3</v>
      </c>
      <c r="B1184" s="1">
        <v>3</v>
      </c>
      <c r="C1184" s="1">
        <v>2020</v>
      </c>
      <c r="G1184" s="1" t="s">
        <v>38</v>
      </c>
      <c r="H1184" s="2">
        <v>4.41</v>
      </c>
      <c r="I1184" s="1">
        <v>8</v>
      </c>
      <c r="U1184" s="1">
        <v>15</v>
      </c>
      <c r="X1184" s="1">
        <v>12</v>
      </c>
      <c r="AA1184" s="1">
        <v>2</v>
      </c>
      <c r="AB1184" s="1">
        <v>2</v>
      </c>
      <c r="AC1184" s="1">
        <v>715</v>
      </c>
      <c r="AF1184" s="3">
        <v>1.8140589569160996</v>
      </c>
      <c r="AG1184" s="3">
        <v>1.5575988400933964</v>
      </c>
      <c r="AH1184" s="1">
        <v>6270</v>
      </c>
      <c r="AI1184" s="1" t="b">
        <v>1</v>
      </c>
    </row>
    <row r="1185" spans="1:35" x14ac:dyDescent="0.25">
      <c r="A1185" s="1">
        <v>3</v>
      </c>
      <c r="B1185" s="1">
        <v>3</v>
      </c>
      <c r="C1185" s="1">
        <v>2020</v>
      </c>
      <c r="G1185" s="1" t="s">
        <v>38</v>
      </c>
      <c r="H1185" s="2">
        <v>4.78</v>
      </c>
      <c r="I1185" s="1">
        <v>15</v>
      </c>
      <c r="U1185" s="1">
        <v>23</v>
      </c>
      <c r="X1185" s="1">
        <v>20</v>
      </c>
      <c r="AA1185" s="1">
        <v>3</v>
      </c>
      <c r="AB1185" s="1">
        <v>2</v>
      </c>
      <c r="AC1185" s="1">
        <v>640</v>
      </c>
      <c r="AF1185" s="3">
        <v>3.1380753138075312</v>
      </c>
      <c r="AG1185" s="3">
        <v>0.95265612748218076</v>
      </c>
      <c r="AH1185" s="1">
        <v>6270</v>
      </c>
      <c r="AI1185" s="1" t="b">
        <v>1</v>
      </c>
    </row>
    <row r="1186" spans="1:35" x14ac:dyDescent="0.25">
      <c r="A1186" s="1">
        <v>3</v>
      </c>
      <c r="B1186" s="1">
        <v>3</v>
      </c>
      <c r="C1186" s="1">
        <v>2020</v>
      </c>
      <c r="G1186" s="1" t="s">
        <v>38</v>
      </c>
      <c r="H1186" s="2">
        <v>5.87</v>
      </c>
      <c r="I1186" s="1">
        <v>17</v>
      </c>
      <c r="U1186" s="1">
        <v>25</v>
      </c>
      <c r="X1186" s="1">
        <v>21</v>
      </c>
      <c r="AA1186" s="1">
        <v>3</v>
      </c>
      <c r="AB1186" s="1">
        <v>3</v>
      </c>
      <c r="AC1186" s="1">
        <v>824</v>
      </c>
      <c r="AF1186" s="3">
        <v>2.8960817717206133</v>
      </c>
      <c r="AG1186" s="3">
        <v>1.1918891072342761</v>
      </c>
      <c r="AH1186" s="1">
        <v>6270</v>
      </c>
      <c r="AI1186" s="1" t="b">
        <v>1</v>
      </c>
    </row>
    <row r="1187" spans="1:35" x14ac:dyDescent="0.25">
      <c r="A1187" s="1">
        <v>3</v>
      </c>
      <c r="B1187" s="1">
        <v>3</v>
      </c>
      <c r="C1187" s="1">
        <v>2020</v>
      </c>
      <c r="G1187" s="1" t="s">
        <v>38</v>
      </c>
      <c r="H1187" s="2">
        <v>6.94</v>
      </c>
      <c r="I1187" s="1">
        <v>18</v>
      </c>
      <c r="U1187" s="1">
        <v>28</v>
      </c>
      <c r="X1187" s="1">
        <v>24</v>
      </c>
      <c r="AA1187" s="1">
        <v>3</v>
      </c>
      <c r="AB1187" s="1">
        <v>5</v>
      </c>
      <c r="AC1187" s="1">
        <v>1006</v>
      </c>
      <c r="AF1187" s="3">
        <v>2.5936599423631121</v>
      </c>
      <c r="AG1187" s="3">
        <v>1.4963686287424784</v>
      </c>
      <c r="AH1187" s="1">
        <v>6270</v>
      </c>
      <c r="AI1187" s="1" t="b">
        <v>1</v>
      </c>
    </row>
    <row r="1188" spans="1:35" x14ac:dyDescent="0.25">
      <c r="A1188" s="1">
        <v>3</v>
      </c>
      <c r="B1188" s="1">
        <v>3</v>
      </c>
      <c r="C1188" s="1">
        <v>2020</v>
      </c>
      <c r="G1188" s="1" t="s">
        <v>38</v>
      </c>
      <c r="H1188" s="2">
        <v>6.15</v>
      </c>
      <c r="I1188" s="1">
        <v>24</v>
      </c>
      <c r="U1188" s="1">
        <v>27</v>
      </c>
      <c r="X1188" s="1">
        <v>24</v>
      </c>
      <c r="AA1188" s="1">
        <v>1</v>
      </c>
      <c r="AB1188" s="1">
        <v>3</v>
      </c>
      <c r="AC1188" s="1">
        <v>891</v>
      </c>
      <c r="AF1188" s="3">
        <v>3.9024390243902438</v>
      </c>
      <c r="AG1188" s="3">
        <v>0.91385323825611842</v>
      </c>
      <c r="AH1188" s="1">
        <v>6270</v>
      </c>
      <c r="AI1188" s="1" t="b">
        <v>1</v>
      </c>
    </row>
    <row r="1189" spans="1:35" x14ac:dyDescent="0.25">
      <c r="A1189" s="1">
        <v>3</v>
      </c>
      <c r="B1189" s="1">
        <v>3</v>
      </c>
      <c r="C1189" s="1">
        <v>2020</v>
      </c>
      <c r="G1189" s="1" t="s">
        <v>38</v>
      </c>
      <c r="H1189" s="2">
        <v>4.42</v>
      </c>
      <c r="I1189" s="1">
        <v>17</v>
      </c>
      <c r="U1189" s="1">
        <v>22</v>
      </c>
      <c r="X1189" s="1">
        <v>21</v>
      </c>
      <c r="AA1189" s="1">
        <v>1</v>
      </c>
      <c r="AB1189" s="1">
        <v>3</v>
      </c>
      <c r="AC1189" s="1">
        <v>721</v>
      </c>
      <c r="AF1189" s="3">
        <v>3.8461538461538463</v>
      </c>
      <c r="AG1189" s="3">
        <v>0.73581550759547154</v>
      </c>
      <c r="AH1189" s="1">
        <v>6270</v>
      </c>
      <c r="AI1189" s="1" t="b">
        <v>1</v>
      </c>
    </row>
    <row r="1190" spans="1:35" x14ac:dyDescent="0.25">
      <c r="A1190" s="1">
        <v>3</v>
      </c>
      <c r="B1190" s="1">
        <v>3</v>
      </c>
      <c r="C1190" s="1">
        <v>2020</v>
      </c>
      <c r="G1190" s="1" t="s">
        <v>38</v>
      </c>
      <c r="H1190" s="2">
        <v>8.0299999999999994</v>
      </c>
      <c r="I1190" s="1">
        <v>24</v>
      </c>
      <c r="U1190" s="1">
        <v>35</v>
      </c>
      <c r="X1190" s="1">
        <v>34</v>
      </c>
      <c r="AA1190" s="1">
        <v>4</v>
      </c>
      <c r="AB1190" s="1">
        <v>3</v>
      </c>
      <c r="AC1190" s="1">
        <v>1156</v>
      </c>
      <c r="AF1190" s="3">
        <v>2.9887920298879207</v>
      </c>
      <c r="AG1190" s="3">
        <v>1.4381533103075643</v>
      </c>
      <c r="AH1190" s="1">
        <v>6270</v>
      </c>
      <c r="AI1190" s="1" t="b">
        <v>1</v>
      </c>
    </row>
    <row r="1191" spans="1:35" x14ac:dyDescent="0.25">
      <c r="A1191" s="1">
        <v>3</v>
      </c>
      <c r="B1191" s="1">
        <v>3</v>
      </c>
      <c r="C1191" s="1">
        <v>2020</v>
      </c>
      <c r="G1191" s="1" t="s">
        <v>38</v>
      </c>
      <c r="H1191" s="2">
        <v>6.03</v>
      </c>
      <c r="I1191" s="1">
        <v>15</v>
      </c>
      <c r="U1191" s="1">
        <v>20</v>
      </c>
      <c r="X1191" s="1">
        <v>20</v>
      </c>
      <c r="AA1191" s="1">
        <v>3</v>
      </c>
      <c r="AB1191" s="1">
        <v>3</v>
      </c>
      <c r="AC1191" s="1">
        <v>894</v>
      </c>
      <c r="AF1191" s="3">
        <v>2.4875621890547261</v>
      </c>
      <c r="AG1191" s="3">
        <v>1.4139959696530784</v>
      </c>
      <c r="AH1191" s="1">
        <v>6270</v>
      </c>
      <c r="AI1191" s="1" t="b">
        <v>1</v>
      </c>
    </row>
    <row r="1192" spans="1:35" x14ac:dyDescent="0.25">
      <c r="A1192" s="1">
        <v>3</v>
      </c>
      <c r="B1192" s="1">
        <v>3</v>
      </c>
      <c r="C1192" s="1">
        <v>2020</v>
      </c>
      <c r="G1192" s="1" t="s">
        <v>38</v>
      </c>
      <c r="H1192" s="2">
        <v>9.16</v>
      </c>
      <c r="I1192" s="1">
        <v>25</v>
      </c>
      <c r="U1192" s="1">
        <v>44</v>
      </c>
      <c r="X1192" s="1">
        <v>35</v>
      </c>
      <c r="AA1192" s="1">
        <v>3</v>
      </c>
      <c r="AB1192" s="1">
        <v>3</v>
      </c>
      <c r="AC1192" s="1">
        <v>1460</v>
      </c>
      <c r="AF1192" s="3">
        <v>2.7292576419213974</v>
      </c>
      <c r="AG1192" s="3">
        <v>1.7269600717613729</v>
      </c>
      <c r="AH1192" s="1">
        <v>6270</v>
      </c>
      <c r="AI1192" s="1" t="b">
        <v>1</v>
      </c>
    </row>
    <row r="1193" spans="1:35" x14ac:dyDescent="0.25">
      <c r="A1193" s="1">
        <v>3</v>
      </c>
      <c r="B1193" s="1">
        <v>3</v>
      </c>
      <c r="C1193" s="1">
        <v>2020</v>
      </c>
      <c r="G1193" s="1" t="s">
        <v>38</v>
      </c>
      <c r="H1193" s="2">
        <v>7.59</v>
      </c>
      <c r="I1193" s="1">
        <v>19</v>
      </c>
      <c r="U1193" s="1">
        <v>39</v>
      </c>
      <c r="X1193" s="1">
        <v>30</v>
      </c>
      <c r="AA1193" s="1">
        <v>4</v>
      </c>
      <c r="AB1193" s="1">
        <v>4</v>
      </c>
      <c r="AC1193" s="1">
        <v>975</v>
      </c>
      <c r="AF1193" s="3">
        <v>2.5032938076416338</v>
      </c>
      <c r="AG1193" s="3">
        <v>1.6506592048649866</v>
      </c>
      <c r="AH1193" s="1">
        <v>6270</v>
      </c>
      <c r="AI1193" s="1" t="b">
        <v>1</v>
      </c>
    </row>
    <row r="1194" spans="1:35" x14ac:dyDescent="0.25">
      <c r="A1194" s="1">
        <v>3</v>
      </c>
      <c r="B1194" s="1">
        <v>3</v>
      </c>
      <c r="C1194" s="1">
        <v>2020</v>
      </c>
      <c r="G1194" s="1" t="s">
        <v>38</v>
      </c>
      <c r="H1194" s="2">
        <v>3.95</v>
      </c>
      <c r="I1194" s="1">
        <v>15</v>
      </c>
      <c r="U1194" s="1">
        <v>16</v>
      </c>
      <c r="X1194" s="1">
        <v>15</v>
      </c>
      <c r="AA1194" s="1">
        <v>1</v>
      </c>
      <c r="AB1194" s="1">
        <v>1</v>
      </c>
      <c r="AC1194" s="1">
        <v>580</v>
      </c>
      <c r="AF1194" s="3">
        <v>3.7974683544303796</v>
      </c>
      <c r="AG1194" s="3">
        <v>0.68884863714019029</v>
      </c>
      <c r="AH1194" s="1">
        <v>6270</v>
      </c>
      <c r="AI1194" s="1" t="b">
        <v>1</v>
      </c>
    </row>
    <row r="1195" spans="1:35" x14ac:dyDescent="0.25">
      <c r="A1195" s="1">
        <v>3</v>
      </c>
      <c r="B1195" s="1">
        <v>3</v>
      </c>
      <c r="C1195" s="1">
        <v>2020</v>
      </c>
      <c r="G1195" s="1" t="s">
        <v>38</v>
      </c>
      <c r="H1195" s="2">
        <v>5.07</v>
      </c>
      <c r="I1195" s="1">
        <v>17</v>
      </c>
      <c r="U1195" s="1">
        <v>24</v>
      </c>
      <c r="X1195" s="1">
        <v>23</v>
      </c>
      <c r="AA1195" s="1">
        <v>3</v>
      </c>
      <c r="AB1195" s="1">
        <v>4</v>
      </c>
      <c r="AC1195" s="1">
        <v>717</v>
      </c>
      <c r="AF1195" s="3">
        <v>3.3530571992110452</v>
      </c>
      <c r="AG1195" s="3">
        <v>0.92910459831673198</v>
      </c>
      <c r="AH1195" s="1">
        <v>6270</v>
      </c>
      <c r="AI1195" s="1" t="b">
        <v>1</v>
      </c>
    </row>
    <row r="1196" spans="1:35" x14ac:dyDescent="0.25">
      <c r="A1196" s="1">
        <v>3</v>
      </c>
      <c r="B1196" s="1">
        <v>3</v>
      </c>
      <c r="C1196" s="1">
        <v>2020</v>
      </c>
      <c r="G1196" s="1" t="s">
        <v>38</v>
      </c>
      <c r="H1196" s="2">
        <v>6.25</v>
      </c>
      <c r="I1196" s="1">
        <v>16</v>
      </c>
      <c r="U1196" s="1">
        <v>22</v>
      </c>
      <c r="X1196" s="1">
        <v>18</v>
      </c>
      <c r="AA1196" s="1">
        <v>2</v>
      </c>
      <c r="AB1196" s="1">
        <v>3</v>
      </c>
      <c r="AC1196" s="1">
        <v>849</v>
      </c>
      <c r="AF1196" s="3">
        <v>2.56</v>
      </c>
      <c r="AG1196" s="3">
        <v>1.4088866268625131</v>
      </c>
      <c r="AH1196" s="1">
        <v>6270</v>
      </c>
      <c r="AI1196" s="1" t="b">
        <v>1</v>
      </c>
    </row>
    <row r="1197" spans="1:35" x14ac:dyDescent="0.25">
      <c r="A1197" s="1">
        <v>3</v>
      </c>
      <c r="B1197" s="1">
        <v>3</v>
      </c>
      <c r="C1197" s="1">
        <v>2020</v>
      </c>
      <c r="G1197" s="1" t="s">
        <v>38</v>
      </c>
      <c r="H1197" s="2">
        <v>9.1999999999999993</v>
      </c>
      <c r="I1197" s="1">
        <v>27</v>
      </c>
      <c r="V1197" s="1">
        <v>33</v>
      </c>
      <c r="X1197" s="1">
        <v>26</v>
      </c>
      <c r="AA1197" s="1">
        <v>2</v>
      </c>
      <c r="AB1197" s="1">
        <v>2</v>
      </c>
      <c r="AC1197" s="1">
        <v>1129</v>
      </c>
      <c r="AF1197" s="3">
        <v>2.9347826086956523</v>
      </c>
      <c r="AG1197" s="3">
        <v>1.6109258194984757</v>
      </c>
      <c r="AH1197" s="1">
        <v>6270</v>
      </c>
      <c r="AI1197" s="1" t="b">
        <v>1</v>
      </c>
    </row>
    <row r="1198" spans="1:35" x14ac:dyDescent="0.25">
      <c r="A1198" s="1">
        <v>4</v>
      </c>
      <c r="B1198" s="1">
        <v>3</v>
      </c>
      <c r="C1198" s="1">
        <v>2020</v>
      </c>
      <c r="G1198" s="1" t="s">
        <v>38</v>
      </c>
      <c r="H1198" s="2">
        <v>5.16</v>
      </c>
      <c r="I1198" s="1">
        <v>14</v>
      </c>
      <c r="V1198" s="1">
        <v>19</v>
      </c>
      <c r="X1198" s="1">
        <v>16</v>
      </c>
      <c r="AA1198" s="1">
        <v>2</v>
      </c>
      <c r="AB1198" s="1">
        <v>6</v>
      </c>
      <c r="AC1198" s="1">
        <v>770</v>
      </c>
      <c r="AF1198" s="3">
        <v>2.7131782945736433</v>
      </c>
      <c r="AG1198" s="3">
        <v>1.1624558224034069</v>
      </c>
      <c r="AH1198" s="1">
        <v>6270</v>
      </c>
      <c r="AI1198" s="1" t="b">
        <v>1</v>
      </c>
    </row>
    <row r="1199" spans="1:35" x14ac:dyDescent="0.25">
      <c r="A1199" s="1">
        <v>4</v>
      </c>
      <c r="B1199" s="1">
        <v>3</v>
      </c>
      <c r="C1199" s="1">
        <v>2020</v>
      </c>
      <c r="G1199" s="1" t="s">
        <v>38</v>
      </c>
      <c r="H1199" s="2">
        <v>8.44</v>
      </c>
      <c r="I1199" s="1">
        <v>17</v>
      </c>
      <c r="V1199" s="1">
        <v>31</v>
      </c>
      <c r="X1199" s="1">
        <v>21</v>
      </c>
      <c r="AA1199" s="1">
        <v>4</v>
      </c>
      <c r="AB1199" s="1">
        <v>2</v>
      </c>
      <c r="AC1199" s="1">
        <v>1057</v>
      </c>
      <c r="AF1199" s="3">
        <v>2.014218009478673</v>
      </c>
      <c r="AG1199" s="3">
        <v>2.2096996041725707</v>
      </c>
      <c r="AH1199" s="1">
        <v>6270</v>
      </c>
      <c r="AI1199" s="1" t="b">
        <v>1</v>
      </c>
    </row>
    <row r="1200" spans="1:35" x14ac:dyDescent="0.25">
      <c r="A1200" s="1">
        <v>4</v>
      </c>
      <c r="B1200" s="1">
        <v>3</v>
      </c>
      <c r="C1200" s="1">
        <v>2020</v>
      </c>
      <c r="G1200" s="1" t="s">
        <v>38</v>
      </c>
      <c r="H1200" s="2">
        <v>8.5500000000000007</v>
      </c>
      <c r="I1200" s="1">
        <v>24</v>
      </c>
      <c r="V1200" s="1">
        <v>34</v>
      </c>
      <c r="X1200" s="1">
        <v>27</v>
      </c>
      <c r="AA1200" s="1">
        <v>2</v>
      </c>
      <c r="AB1200" s="1">
        <v>2</v>
      </c>
      <c r="AC1200" s="1">
        <v>874</v>
      </c>
      <c r="AF1200" s="3">
        <v>2.807017543859649</v>
      </c>
      <c r="AG1200" s="3">
        <v>1.6000411547997671</v>
      </c>
      <c r="AH1200" s="1">
        <v>6270</v>
      </c>
      <c r="AI1200" s="1" t="b">
        <v>1</v>
      </c>
    </row>
    <row r="1201" spans="1:35" x14ac:dyDescent="0.25">
      <c r="A1201" s="1">
        <v>4</v>
      </c>
      <c r="B1201" s="1">
        <v>3</v>
      </c>
      <c r="C1201" s="1">
        <v>2020</v>
      </c>
      <c r="G1201" s="1" t="s">
        <v>38</v>
      </c>
      <c r="H1201" s="2">
        <v>9.74</v>
      </c>
      <c r="I1201" s="1">
        <v>23</v>
      </c>
      <c r="V1201" s="1">
        <v>42</v>
      </c>
      <c r="X1201" s="1">
        <v>30</v>
      </c>
      <c r="AA1201" s="1">
        <v>3</v>
      </c>
      <c r="AB1201" s="1">
        <v>3</v>
      </c>
      <c r="AC1201" s="1">
        <v>1113</v>
      </c>
      <c r="AF1201" s="3">
        <v>2.3613963039014374</v>
      </c>
      <c r="AG1201" s="3">
        <v>2.0836385827836925</v>
      </c>
      <c r="AH1201" s="1">
        <v>6270</v>
      </c>
      <c r="AI1201" s="1" t="b">
        <v>1</v>
      </c>
    </row>
    <row r="1202" spans="1:35" x14ac:dyDescent="0.25">
      <c r="A1202" s="1">
        <v>4</v>
      </c>
      <c r="B1202" s="1">
        <v>3</v>
      </c>
      <c r="C1202" s="1">
        <v>2020</v>
      </c>
      <c r="G1202" s="1" t="s">
        <v>38</v>
      </c>
      <c r="H1202" s="2">
        <v>4.5999999999999996</v>
      </c>
      <c r="I1202" s="1">
        <v>17</v>
      </c>
      <c r="U1202" s="1">
        <v>18</v>
      </c>
      <c r="X1202" s="1">
        <v>17</v>
      </c>
      <c r="AA1202" s="1">
        <v>1</v>
      </c>
      <c r="AB1202" s="1">
        <v>3</v>
      </c>
      <c r="AC1202" s="1">
        <v>604</v>
      </c>
      <c r="AF1202" s="3">
        <v>3.6956521739130439</v>
      </c>
      <c r="AG1202" s="3">
        <v>0.78747974589254399</v>
      </c>
      <c r="AH1202" s="1">
        <v>6270</v>
      </c>
      <c r="AI1202" s="1" t="b">
        <v>1</v>
      </c>
    </row>
    <row r="1203" spans="1:35" x14ac:dyDescent="0.25">
      <c r="A1203" s="1">
        <v>4</v>
      </c>
      <c r="B1203" s="1">
        <v>3</v>
      </c>
      <c r="C1203" s="1">
        <v>2020</v>
      </c>
      <c r="G1203" s="1" t="s">
        <v>38</v>
      </c>
      <c r="H1203" s="2">
        <v>5.09</v>
      </c>
      <c r="I1203" s="1">
        <v>11</v>
      </c>
      <c r="V1203" s="1">
        <v>22</v>
      </c>
      <c r="X1203" s="1">
        <v>18</v>
      </c>
      <c r="AA1203" s="1">
        <v>3</v>
      </c>
      <c r="AB1203" s="1">
        <v>3</v>
      </c>
      <c r="AC1203" s="1">
        <v>638</v>
      </c>
      <c r="AF1203" s="3">
        <v>2.1611001964636545</v>
      </c>
      <c r="AG1203" s="3">
        <v>1.4455314496281164</v>
      </c>
      <c r="AH1203" s="1">
        <v>6270</v>
      </c>
      <c r="AI1203" s="1" t="b">
        <v>1</v>
      </c>
    </row>
    <row r="1204" spans="1:35" x14ac:dyDescent="0.25">
      <c r="A1204" s="1">
        <v>4</v>
      </c>
      <c r="B1204" s="1">
        <v>3</v>
      </c>
      <c r="C1204" s="1">
        <v>2020</v>
      </c>
      <c r="G1204" s="1" t="s">
        <v>38</v>
      </c>
      <c r="H1204" s="2">
        <v>7.99</v>
      </c>
      <c r="I1204" s="1">
        <v>21</v>
      </c>
      <c r="V1204" s="1">
        <v>33</v>
      </c>
      <c r="X1204" s="1">
        <v>27</v>
      </c>
      <c r="AA1204" s="1">
        <v>3</v>
      </c>
      <c r="AB1204" s="1">
        <v>3</v>
      </c>
      <c r="AC1204" s="1">
        <v>1052</v>
      </c>
      <c r="AF1204" s="3">
        <v>2.6282853566958697</v>
      </c>
      <c r="AG1204" s="3">
        <v>1.6297096235693667</v>
      </c>
      <c r="AH1204" s="1">
        <v>6270</v>
      </c>
      <c r="AI1204" s="1" t="b">
        <v>1</v>
      </c>
    </row>
    <row r="1205" spans="1:35" x14ac:dyDescent="0.25">
      <c r="A1205" s="1">
        <v>4</v>
      </c>
      <c r="B1205" s="1">
        <v>3</v>
      </c>
      <c r="C1205" s="1">
        <v>2020</v>
      </c>
      <c r="G1205" s="1" t="s">
        <v>38</v>
      </c>
      <c r="H1205" s="2">
        <v>5.75</v>
      </c>
      <c r="I1205" s="1">
        <v>17</v>
      </c>
      <c r="U1205" s="1">
        <v>22</v>
      </c>
      <c r="X1205" s="1">
        <v>19</v>
      </c>
      <c r="AA1205" s="1">
        <v>2</v>
      </c>
      <c r="AB1205" s="1">
        <v>5</v>
      </c>
      <c r="AC1205" s="1">
        <v>755</v>
      </c>
      <c r="AF1205" s="3">
        <v>2.9565217391304346</v>
      </c>
      <c r="AG1205" s="3">
        <v>1.1507643906839906</v>
      </c>
      <c r="AH1205" s="1">
        <v>6270</v>
      </c>
      <c r="AI1205" s="1" t="b">
        <v>1</v>
      </c>
    </row>
    <row r="1206" spans="1:35" x14ac:dyDescent="0.25">
      <c r="A1206" s="1">
        <v>6</v>
      </c>
      <c r="B1206" s="1">
        <v>3</v>
      </c>
      <c r="C1206" s="1">
        <v>2020</v>
      </c>
      <c r="G1206" s="1" t="s">
        <v>38</v>
      </c>
      <c r="H1206" s="2">
        <v>4.99</v>
      </c>
      <c r="I1206" s="1">
        <v>11</v>
      </c>
      <c r="U1206" s="1">
        <v>18</v>
      </c>
      <c r="X1206" s="1">
        <v>16</v>
      </c>
      <c r="AA1206" s="1">
        <v>3</v>
      </c>
      <c r="AB1206" s="1">
        <v>3</v>
      </c>
      <c r="AC1206" s="1">
        <v>741</v>
      </c>
      <c r="AF1206" s="3">
        <v>2.2044088176352705</v>
      </c>
      <c r="AG1206" s="3">
        <v>1.3975850373210319</v>
      </c>
      <c r="AH1206" s="1">
        <v>6270</v>
      </c>
      <c r="AI1206" s="1" t="b">
        <v>1</v>
      </c>
    </row>
    <row r="1207" spans="1:35" x14ac:dyDescent="0.25">
      <c r="A1207" s="1">
        <v>6</v>
      </c>
      <c r="B1207" s="1">
        <v>3</v>
      </c>
      <c r="C1207" s="1">
        <v>2020</v>
      </c>
      <c r="G1207" s="1" t="s">
        <v>38</v>
      </c>
      <c r="H1207" s="2">
        <v>5.47</v>
      </c>
      <c r="I1207" s="1">
        <v>15</v>
      </c>
      <c r="U1207" s="1">
        <v>22</v>
      </c>
      <c r="X1207" s="1">
        <v>17</v>
      </c>
      <c r="AA1207" s="1">
        <v>2</v>
      </c>
      <c r="AB1207" s="1">
        <v>2</v>
      </c>
      <c r="AC1207" s="1">
        <v>753</v>
      </c>
      <c r="AF1207" s="3">
        <v>2.7422303473491776</v>
      </c>
      <c r="AG1207" s="3">
        <v>1.1980837996070268</v>
      </c>
      <c r="AH1207" s="1">
        <v>6270</v>
      </c>
      <c r="AI1207" s="1" t="b">
        <v>1</v>
      </c>
    </row>
    <row r="1208" spans="1:35" x14ac:dyDescent="0.25">
      <c r="A1208" s="1">
        <v>6</v>
      </c>
      <c r="B1208" s="1">
        <v>3</v>
      </c>
      <c r="C1208" s="1">
        <v>2020</v>
      </c>
      <c r="G1208" s="1" t="s">
        <v>38</v>
      </c>
      <c r="H1208" s="2">
        <v>5.2</v>
      </c>
      <c r="I1208" s="1">
        <v>19</v>
      </c>
      <c r="V1208" s="1">
        <v>24</v>
      </c>
      <c r="X1208" s="1">
        <v>20</v>
      </c>
      <c r="AA1208" s="1">
        <v>1</v>
      </c>
      <c r="AB1208" s="1">
        <v>3</v>
      </c>
      <c r="AC1208" s="1">
        <v>752</v>
      </c>
      <c r="AF1208" s="3">
        <v>3.6538461538461537</v>
      </c>
      <c r="AG1208" s="3">
        <v>0.86786481835921558</v>
      </c>
      <c r="AH1208" s="1">
        <v>6270</v>
      </c>
      <c r="AI1208" s="1" t="b">
        <v>1</v>
      </c>
    </row>
    <row r="1209" spans="1:35" x14ac:dyDescent="0.25">
      <c r="A1209" s="1">
        <v>6</v>
      </c>
      <c r="B1209" s="1">
        <v>3</v>
      </c>
      <c r="C1209" s="1">
        <v>2020</v>
      </c>
      <c r="G1209" s="1" t="s">
        <v>38</v>
      </c>
      <c r="H1209" s="2">
        <v>5.74</v>
      </c>
      <c r="I1209" s="1">
        <v>17</v>
      </c>
      <c r="V1209" s="1">
        <v>19</v>
      </c>
      <c r="X1209" s="1">
        <v>18</v>
      </c>
      <c r="AA1209" s="1">
        <v>1</v>
      </c>
      <c r="AB1209" s="1">
        <v>3</v>
      </c>
      <c r="AC1209" s="1">
        <v>747</v>
      </c>
      <c r="AF1209" s="3">
        <v>2.9616724738675959</v>
      </c>
      <c r="AG1209" s="3">
        <v>1.1473642020475154</v>
      </c>
      <c r="AH1209" s="1">
        <v>6270</v>
      </c>
      <c r="AI1209" s="1" t="b">
        <v>1</v>
      </c>
    </row>
    <row r="1210" spans="1:35" x14ac:dyDescent="0.25">
      <c r="A1210" s="1">
        <v>6</v>
      </c>
      <c r="B1210" s="1">
        <v>3</v>
      </c>
      <c r="C1210" s="1">
        <v>2020</v>
      </c>
      <c r="G1210" s="1" t="s">
        <v>38</v>
      </c>
      <c r="H1210" s="2">
        <v>7.27</v>
      </c>
      <c r="I1210" s="1">
        <v>25</v>
      </c>
      <c r="V1210" s="1">
        <v>27</v>
      </c>
      <c r="X1210" s="1">
        <v>25</v>
      </c>
      <c r="AA1210" s="1">
        <v>2</v>
      </c>
      <c r="AB1210" s="1">
        <v>2</v>
      </c>
      <c r="AC1210" s="1">
        <v>972</v>
      </c>
      <c r="AF1210" s="3">
        <v>3.4387895460797799</v>
      </c>
      <c r="AG1210" s="3">
        <v>1.1659192955737248</v>
      </c>
      <c r="AH1210" s="1">
        <v>6270</v>
      </c>
      <c r="AI1210" s="1" t="b">
        <v>1</v>
      </c>
    </row>
    <row r="1211" spans="1:35" x14ac:dyDescent="0.25">
      <c r="A1211" s="1">
        <v>6</v>
      </c>
      <c r="B1211" s="1">
        <v>3</v>
      </c>
      <c r="C1211" s="1">
        <v>2020</v>
      </c>
      <c r="G1211" s="1" t="s">
        <v>38</v>
      </c>
      <c r="H1211" s="2">
        <v>5.14</v>
      </c>
      <c r="I1211" s="1">
        <v>12</v>
      </c>
      <c r="U1211" s="1">
        <v>17</v>
      </c>
      <c r="X1211" s="1">
        <v>16</v>
      </c>
      <c r="AA1211" s="1">
        <v>2</v>
      </c>
      <c r="AB1211" s="1">
        <v>3</v>
      </c>
      <c r="AC1211" s="1">
        <v>793</v>
      </c>
      <c r="AF1211" s="3">
        <v>2.3346303501945527</v>
      </c>
      <c r="AG1211" s="3">
        <v>1.3472743955159654</v>
      </c>
      <c r="AH1211" s="1">
        <v>6270</v>
      </c>
      <c r="AI1211" s="1" t="b">
        <v>1</v>
      </c>
    </row>
    <row r="1212" spans="1:35" x14ac:dyDescent="0.25">
      <c r="A1212" s="1">
        <v>6</v>
      </c>
      <c r="B1212" s="1">
        <v>3</v>
      </c>
      <c r="C1212" s="1">
        <v>2020</v>
      </c>
      <c r="G1212" s="1" t="s">
        <v>38</v>
      </c>
      <c r="H1212" s="2">
        <v>5.56</v>
      </c>
      <c r="I1212" s="1">
        <v>15</v>
      </c>
      <c r="U1212" s="1">
        <v>25</v>
      </c>
      <c r="X1212" s="1">
        <v>21</v>
      </c>
      <c r="AA1212" s="1">
        <v>4</v>
      </c>
      <c r="AB1212" s="1">
        <v>3</v>
      </c>
      <c r="AC1212" s="1">
        <v>731</v>
      </c>
      <c r="AF1212" s="3">
        <v>2.6978417266187051</v>
      </c>
      <c r="AG1212" s="3">
        <v>1.2317877666524175</v>
      </c>
      <c r="AH1212" s="1">
        <v>6270</v>
      </c>
      <c r="AI1212" s="1" t="b">
        <v>1</v>
      </c>
    </row>
    <row r="1213" spans="1:35" x14ac:dyDescent="0.25">
      <c r="A1213" s="1">
        <v>6</v>
      </c>
      <c r="B1213" s="1">
        <v>3</v>
      </c>
      <c r="C1213" s="1">
        <v>2020</v>
      </c>
      <c r="G1213" s="1" t="s">
        <v>38</v>
      </c>
      <c r="H1213" s="2">
        <v>7</v>
      </c>
      <c r="I1213" s="1">
        <v>20</v>
      </c>
      <c r="U1213" s="1">
        <v>32</v>
      </c>
      <c r="X1213" s="1">
        <v>29</v>
      </c>
      <c r="AA1213" s="1">
        <v>3</v>
      </c>
      <c r="AB1213" s="1">
        <v>3</v>
      </c>
      <c r="AC1213" s="1">
        <v>1013</v>
      </c>
      <c r="AF1213" s="3">
        <v>2.8571428571428572</v>
      </c>
      <c r="AG1213" s="3">
        <v>1.3665850719929526</v>
      </c>
      <c r="AH1213" s="1">
        <v>6270</v>
      </c>
      <c r="AI1213" s="1" t="b">
        <v>1</v>
      </c>
    </row>
    <row r="1214" spans="1:35" x14ac:dyDescent="0.25">
      <c r="A1214" s="1">
        <v>6</v>
      </c>
      <c r="B1214" s="1">
        <v>3</v>
      </c>
      <c r="C1214" s="1">
        <v>2020</v>
      </c>
      <c r="G1214" s="1" t="s">
        <v>38</v>
      </c>
      <c r="H1214" s="2">
        <v>6.43</v>
      </c>
      <c r="I1214" s="1">
        <v>27</v>
      </c>
      <c r="U1214" s="1">
        <v>29</v>
      </c>
      <c r="X1214" s="1">
        <v>29</v>
      </c>
      <c r="AA1214" s="1">
        <v>2</v>
      </c>
      <c r="AB1214" s="1">
        <v>1</v>
      </c>
      <c r="AC1214" s="1">
        <v>851</v>
      </c>
      <c r="AF1214" s="3">
        <v>4.1990668740279942</v>
      </c>
      <c r="AG1214" s="3">
        <v>0.87618313560987626</v>
      </c>
      <c r="AH1214" s="1">
        <v>6270</v>
      </c>
      <c r="AI1214" s="1" t="b">
        <v>1</v>
      </c>
    </row>
    <row r="1215" spans="1:35" x14ac:dyDescent="0.25">
      <c r="A1215" s="1">
        <v>6</v>
      </c>
      <c r="B1215" s="1">
        <v>3</v>
      </c>
      <c r="C1215" s="1">
        <v>2020</v>
      </c>
      <c r="G1215" s="1" t="s">
        <v>38</v>
      </c>
      <c r="H1215" s="2">
        <v>6.67</v>
      </c>
      <c r="I1215" s="1">
        <v>16</v>
      </c>
      <c r="V1215" s="1">
        <v>29</v>
      </c>
      <c r="X1215" s="1">
        <v>25</v>
      </c>
      <c r="AA1215" s="1">
        <v>4</v>
      </c>
      <c r="AB1215" s="1">
        <v>4</v>
      </c>
      <c r="AC1215" s="1">
        <v>886</v>
      </c>
      <c r="AF1215" s="3">
        <v>2.39880059970015</v>
      </c>
      <c r="AG1215" s="3">
        <v>1.5735985075108363</v>
      </c>
      <c r="AH1215" s="1">
        <v>6270</v>
      </c>
      <c r="AI1215" s="1" t="b">
        <v>1</v>
      </c>
    </row>
    <row r="1216" spans="1:35" x14ac:dyDescent="0.25">
      <c r="A1216" s="1">
        <v>6</v>
      </c>
      <c r="B1216" s="1">
        <v>3</v>
      </c>
      <c r="C1216" s="1">
        <v>2020</v>
      </c>
      <c r="G1216" s="1" t="s">
        <v>38</v>
      </c>
      <c r="H1216" s="2">
        <v>3.13</v>
      </c>
      <c r="I1216" s="1">
        <v>12</v>
      </c>
      <c r="U1216" s="1">
        <v>13</v>
      </c>
      <c r="X1216" s="1">
        <v>13</v>
      </c>
      <c r="AA1216" s="1">
        <v>1</v>
      </c>
      <c r="AB1216" s="1">
        <v>3</v>
      </c>
      <c r="AC1216" s="1">
        <v>515</v>
      </c>
      <c r="AF1216" s="3">
        <v>3.8338658146964857</v>
      </c>
      <c r="AG1216" s="3">
        <v>0.57975449933952039</v>
      </c>
      <c r="AH1216" s="1">
        <v>6270</v>
      </c>
      <c r="AI1216" s="1" t="b">
        <v>1</v>
      </c>
    </row>
    <row r="1217" spans="1:35" x14ac:dyDescent="0.25">
      <c r="A1217" s="1">
        <v>6</v>
      </c>
      <c r="B1217" s="1">
        <v>3</v>
      </c>
      <c r="C1217" s="1">
        <v>2020</v>
      </c>
      <c r="G1217" s="1" t="s">
        <v>38</v>
      </c>
      <c r="H1217" s="2">
        <v>6.17</v>
      </c>
      <c r="I1217" s="1">
        <v>16</v>
      </c>
      <c r="U1217" s="1">
        <v>26</v>
      </c>
      <c r="X1217" s="1">
        <v>23</v>
      </c>
      <c r="AA1217" s="1">
        <v>4</v>
      </c>
      <c r="AB1217" s="1">
        <v>4</v>
      </c>
      <c r="AC1217" s="1">
        <v>929</v>
      </c>
      <c r="AF1217" s="3">
        <v>2.5931928687196111</v>
      </c>
      <c r="AG1217" s="3">
        <v>1.3783667754303384</v>
      </c>
      <c r="AH1217" s="1">
        <v>6270</v>
      </c>
      <c r="AI1217" s="1" t="b">
        <v>1</v>
      </c>
    </row>
    <row r="1218" spans="1:35" x14ac:dyDescent="0.25">
      <c r="A1218" s="1">
        <v>6</v>
      </c>
      <c r="B1218" s="1">
        <v>3</v>
      </c>
      <c r="C1218" s="1">
        <v>2020</v>
      </c>
      <c r="G1218" s="1" t="s">
        <v>38</v>
      </c>
      <c r="H1218" s="2">
        <v>8.17</v>
      </c>
      <c r="I1218" s="1">
        <v>19</v>
      </c>
      <c r="U1218" s="1">
        <v>33</v>
      </c>
      <c r="X1218" s="1">
        <v>28</v>
      </c>
      <c r="AA1218" s="1">
        <v>4</v>
      </c>
      <c r="AB1218" s="1">
        <v>8</v>
      </c>
      <c r="AC1218" s="1">
        <v>1297</v>
      </c>
      <c r="AF1218" s="3">
        <v>2.3255813953488373</v>
      </c>
      <c r="AG1218" s="3">
        <v>1.8707850692912396</v>
      </c>
      <c r="AH1218" s="1">
        <v>6270</v>
      </c>
      <c r="AI1218" s="1" t="b">
        <v>1</v>
      </c>
    </row>
    <row r="1219" spans="1:35" x14ac:dyDescent="0.25">
      <c r="A1219" s="1">
        <v>6</v>
      </c>
      <c r="B1219" s="1">
        <v>3</v>
      </c>
      <c r="C1219" s="1">
        <v>2020</v>
      </c>
      <c r="G1219" s="1" t="s">
        <v>38</v>
      </c>
      <c r="H1219" s="2">
        <v>7.24</v>
      </c>
      <c r="I1219" s="1">
        <v>25</v>
      </c>
      <c r="U1219" s="1">
        <v>32</v>
      </c>
      <c r="X1219" s="1">
        <v>29</v>
      </c>
      <c r="AA1219" s="1">
        <v>3</v>
      </c>
      <c r="AB1219" s="1">
        <v>4</v>
      </c>
      <c r="AC1219" s="1">
        <v>993</v>
      </c>
      <c r="AF1219" s="3">
        <v>3.4530386740331491</v>
      </c>
      <c r="AG1219" s="3">
        <v>1.1577520372123105</v>
      </c>
      <c r="AH1219" s="1">
        <v>6270</v>
      </c>
      <c r="AI1219" s="1" t="b">
        <v>1</v>
      </c>
    </row>
    <row r="1220" spans="1:35" x14ac:dyDescent="0.25">
      <c r="A1220" s="1">
        <v>6</v>
      </c>
      <c r="B1220" s="1">
        <v>3</v>
      </c>
      <c r="C1220" s="1">
        <v>2020</v>
      </c>
      <c r="G1220" s="1" t="s">
        <v>38</v>
      </c>
      <c r="H1220" s="2">
        <v>7.85</v>
      </c>
      <c r="I1220" s="1">
        <v>27</v>
      </c>
      <c r="V1220" s="1">
        <v>34</v>
      </c>
      <c r="X1220" s="1">
        <v>30</v>
      </c>
      <c r="AA1220" s="1">
        <v>3</v>
      </c>
      <c r="AB1220" s="1">
        <v>3</v>
      </c>
      <c r="AC1220" s="1">
        <v>1150</v>
      </c>
      <c r="AF1220" s="3">
        <v>3.4394904458598727</v>
      </c>
      <c r="AG1220" s="3">
        <v>1.2300270217506855</v>
      </c>
      <c r="AH1220" s="1">
        <v>6270</v>
      </c>
      <c r="AI1220" s="1" t="b">
        <v>1</v>
      </c>
    </row>
    <row r="1221" spans="1:35" x14ac:dyDescent="0.25">
      <c r="A1221" s="1">
        <v>6</v>
      </c>
      <c r="B1221" s="1">
        <v>3</v>
      </c>
      <c r="C1221" s="1">
        <v>2020</v>
      </c>
      <c r="G1221" s="1" t="s">
        <v>38</v>
      </c>
      <c r="H1221" s="2">
        <v>7.23</v>
      </c>
      <c r="I1221" s="1">
        <v>21</v>
      </c>
      <c r="V1221" s="1">
        <v>30</v>
      </c>
      <c r="X1221" s="1">
        <v>24</v>
      </c>
      <c r="AA1221" s="1">
        <v>3</v>
      </c>
      <c r="AB1221" s="1">
        <v>2</v>
      </c>
      <c r="AC1221" s="1">
        <v>969</v>
      </c>
      <c r="AF1221" s="3">
        <v>2.904564315352697</v>
      </c>
      <c r="AG1221" s="3">
        <v>1.3750415155179858</v>
      </c>
      <c r="AH1221" s="1">
        <v>6270</v>
      </c>
      <c r="AI1221" s="1" t="b">
        <v>1</v>
      </c>
    </row>
    <row r="1222" spans="1:35" x14ac:dyDescent="0.25">
      <c r="A1222" s="1">
        <v>6</v>
      </c>
      <c r="B1222" s="1">
        <v>3</v>
      </c>
      <c r="C1222" s="1">
        <v>2020</v>
      </c>
      <c r="G1222" s="1" t="s">
        <v>38</v>
      </c>
      <c r="H1222" s="2">
        <v>6.49</v>
      </c>
      <c r="I1222" s="1">
        <v>18</v>
      </c>
      <c r="V1222" s="1">
        <v>30</v>
      </c>
      <c r="X1222" s="1">
        <v>25</v>
      </c>
      <c r="AA1222" s="1">
        <v>4</v>
      </c>
      <c r="AB1222" s="1">
        <v>3</v>
      </c>
      <c r="AC1222" s="1">
        <v>852</v>
      </c>
      <c r="AF1222" s="3">
        <v>2.773497688751926</v>
      </c>
      <c r="AG1222" s="3">
        <v>1.3351912557444765</v>
      </c>
      <c r="AH1222" s="1">
        <v>6270</v>
      </c>
      <c r="AI1222" s="1" t="b">
        <v>1</v>
      </c>
    </row>
    <row r="1223" spans="1:35" x14ac:dyDescent="0.25">
      <c r="A1223" s="1">
        <v>6</v>
      </c>
      <c r="B1223" s="1">
        <v>3</v>
      </c>
      <c r="C1223" s="1">
        <v>2020</v>
      </c>
      <c r="G1223" s="1" t="s">
        <v>38</v>
      </c>
      <c r="H1223" s="2">
        <v>6.52</v>
      </c>
      <c r="I1223" s="1">
        <v>20</v>
      </c>
      <c r="U1223" s="1">
        <v>29</v>
      </c>
      <c r="X1223" s="1">
        <v>26</v>
      </c>
      <c r="AA1223" s="1">
        <v>3</v>
      </c>
      <c r="AB1223" s="1">
        <v>2</v>
      </c>
      <c r="AC1223" s="1">
        <v>844</v>
      </c>
      <c r="AF1223" s="3">
        <v>3.0674846625766872</v>
      </c>
      <c r="AG1223" s="3">
        <v>1.2111304328991555</v>
      </c>
      <c r="AH1223" s="1">
        <v>6270</v>
      </c>
      <c r="AI1223" s="1" t="b">
        <v>1</v>
      </c>
    </row>
    <row r="1224" spans="1:35" x14ac:dyDescent="0.25">
      <c r="A1224" s="1">
        <v>8</v>
      </c>
      <c r="B1224" s="1">
        <v>3</v>
      </c>
      <c r="C1224" s="1">
        <v>2020</v>
      </c>
      <c r="G1224" s="1" t="s">
        <v>38</v>
      </c>
      <c r="H1224" s="2">
        <v>5.16</v>
      </c>
      <c r="I1224" s="1">
        <v>15</v>
      </c>
      <c r="U1224" s="1">
        <v>26</v>
      </c>
      <c r="X1224" s="1">
        <v>22</v>
      </c>
      <c r="AA1224" s="1">
        <v>4</v>
      </c>
      <c r="AB1224" s="1">
        <v>4</v>
      </c>
      <c r="AC1224" s="1">
        <v>873</v>
      </c>
      <c r="AF1224" s="3">
        <v>2.9069767441860463</v>
      </c>
      <c r="AG1224" s="3">
        <v>1.0849587675765131</v>
      </c>
      <c r="AH1224" s="1">
        <v>6270</v>
      </c>
      <c r="AI1224" s="1" t="b">
        <v>1</v>
      </c>
    </row>
    <row r="1225" spans="1:35" x14ac:dyDescent="0.25">
      <c r="A1225" s="1">
        <v>8</v>
      </c>
      <c r="B1225" s="1">
        <v>3</v>
      </c>
      <c r="C1225" s="1">
        <v>2020</v>
      </c>
      <c r="G1225" s="1" t="s">
        <v>38</v>
      </c>
      <c r="H1225" s="2">
        <v>3.21</v>
      </c>
      <c r="I1225" s="1">
        <v>10</v>
      </c>
      <c r="U1225" s="1">
        <v>14</v>
      </c>
      <c r="X1225" s="1">
        <v>13</v>
      </c>
      <c r="AA1225" s="1">
        <v>2</v>
      </c>
      <c r="AB1225" s="1">
        <v>2</v>
      </c>
      <c r="AC1225" s="1">
        <v>464</v>
      </c>
      <c r="AF1225" s="3">
        <v>3.1152647975077881</v>
      </c>
      <c r="AG1225" s="3">
        <v>0.7262038635025736</v>
      </c>
      <c r="AH1225" s="1">
        <v>6270</v>
      </c>
      <c r="AI1225" s="1" t="b">
        <v>1</v>
      </c>
    </row>
    <row r="1226" spans="1:35" x14ac:dyDescent="0.25">
      <c r="A1226" s="1">
        <v>8</v>
      </c>
      <c r="B1226" s="1">
        <v>3</v>
      </c>
      <c r="C1226" s="1">
        <v>2020</v>
      </c>
      <c r="G1226" s="1" t="s">
        <v>38</v>
      </c>
      <c r="H1226" s="2">
        <v>5.34</v>
      </c>
      <c r="I1226" s="1">
        <v>15</v>
      </c>
      <c r="U1226" s="1">
        <v>30</v>
      </c>
      <c r="X1226" s="1">
        <v>23</v>
      </c>
      <c r="AA1226" s="1">
        <v>4</v>
      </c>
      <c r="AB1226" s="1">
        <v>2</v>
      </c>
      <c r="AC1226" s="1">
        <v>799</v>
      </c>
      <c r="AF1226" s="3">
        <v>2.808988764044944</v>
      </c>
      <c r="AG1226" s="3">
        <v>1.1500821894983539</v>
      </c>
      <c r="AH1226" s="1">
        <v>6270</v>
      </c>
      <c r="AI1226" s="1" t="b">
        <v>1</v>
      </c>
    </row>
    <row r="1227" spans="1:35" x14ac:dyDescent="0.25">
      <c r="A1227" s="1">
        <v>8</v>
      </c>
      <c r="B1227" s="1">
        <v>3</v>
      </c>
      <c r="C1227" s="1">
        <v>2020</v>
      </c>
      <c r="G1227" s="1" t="s">
        <v>38</v>
      </c>
      <c r="H1227" s="2">
        <v>7.95</v>
      </c>
      <c r="I1227" s="1">
        <v>25</v>
      </c>
      <c r="U1227" s="1">
        <v>36</v>
      </c>
      <c r="X1227" s="1">
        <v>34</v>
      </c>
      <c r="AA1227" s="1">
        <v>4</v>
      </c>
      <c r="AB1227" s="1">
        <v>4</v>
      </c>
      <c r="AC1227" s="1">
        <v>1123</v>
      </c>
      <c r="AF1227" s="3">
        <v>3.1446540880503142</v>
      </c>
      <c r="AG1227" s="3">
        <v>1.357325818185356</v>
      </c>
      <c r="AH1227" s="1">
        <v>6270</v>
      </c>
      <c r="AI1227" s="1" t="b">
        <v>1</v>
      </c>
    </row>
    <row r="1228" spans="1:35" x14ac:dyDescent="0.25">
      <c r="A1228" s="1">
        <v>8</v>
      </c>
      <c r="B1228" s="1">
        <v>3</v>
      </c>
      <c r="C1228" s="1">
        <v>2020</v>
      </c>
      <c r="G1228" s="1" t="s">
        <v>38</v>
      </c>
      <c r="H1228" s="2">
        <v>5.3</v>
      </c>
      <c r="I1228" s="1">
        <v>21</v>
      </c>
      <c r="U1228" s="1">
        <v>26</v>
      </c>
      <c r="X1228" s="1">
        <v>23</v>
      </c>
      <c r="AA1228" s="1">
        <v>2</v>
      </c>
      <c r="AB1228" s="1">
        <v>2</v>
      </c>
      <c r="AC1228" s="1">
        <v>698</v>
      </c>
      <c r="AF1228" s="3">
        <v>3.9622641509433962</v>
      </c>
      <c r="AG1228" s="3">
        <v>0.81105383766354522</v>
      </c>
      <c r="AH1228" s="1">
        <v>6270</v>
      </c>
      <c r="AI1228" s="1" t="b">
        <v>1</v>
      </c>
    </row>
    <row r="1229" spans="1:35" x14ac:dyDescent="0.25">
      <c r="A1229" s="1">
        <v>8</v>
      </c>
      <c r="B1229" s="1">
        <v>3</v>
      </c>
      <c r="C1229" s="1">
        <v>2020</v>
      </c>
      <c r="G1229" s="1" t="s">
        <v>38</v>
      </c>
      <c r="H1229" s="2">
        <v>4.4400000000000004</v>
      </c>
      <c r="I1229" s="1">
        <v>12</v>
      </c>
      <c r="U1229" s="1">
        <v>17</v>
      </c>
      <c r="X1229" s="1">
        <v>15</v>
      </c>
      <c r="AA1229" s="1">
        <v>2</v>
      </c>
      <c r="AB1229" s="1">
        <v>5</v>
      </c>
      <c r="AC1229" s="1">
        <v>680</v>
      </c>
      <c r="AF1229" s="3">
        <v>2.7027027027027026</v>
      </c>
      <c r="AG1229" s="3">
        <v>1.0504364980011494</v>
      </c>
      <c r="AH1229" s="1">
        <v>6270</v>
      </c>
      <c r="AI1229" s="1" t="b">
        <v>1</v>
      </c>
    </row>
    <row r="1230" spans="1:35" x14ac:dyDescent="0.25">
      <c r="A1230" s="1">
        <v>8</v>
      </c>
      <c r="B1230" s="1">
        <v>3</v>
      </c>
      <c r="C1230" s="1">
        <v>2020</v>
      </c>
      <c r="G1230" s="1" t="s">
        <v>38</v>
      </c>
      <c r="H1230" s="2">
        <v>7.7</v>
      </c>
      <c r="I1230" s="1">
        <v>29</v>
      </c>
      <c r="U1230" s="1">
        <v>36</v>
      </c>
      <c r="X1230" s="1">
        <v>32</v>
      </c>
      <c r="AA1230" s="1">
        <v>2</v>
      </c>
      <c r="AB1230" s="1">
        <v>1</v>
      </c>
      <c r="AC1230" s="1">
        <v>1105</v>
      </c>
      <c r="AF1230" s="3">
        <v>3.7662337662337659</v>
      </c>
      <c r="AG1230" s="3">
        <v>1.1082461592907915</v>
      </c>
      <c r="AH1230" s="1">
        <v>6270</v>
      </c>
      <c r="AI1230" s="1" t="b">
        <v>1</v>
      </c>
    </row>
    <row r="1231" spans="1:35" x14ac:dyDescent="0.25">
      <c r="A1231" s="1">
        <v>8</v>
      </c>
      <c r="B1231" s="1">
        <v>3</v>
      </c>
      <c r="C1231" s="1">
        <v>2020</v>
      </c>
      <c r="G1231" s="1" t="s">
        <v>38</v>
      </c>
      <c r="H1231" s="2">
        <v>3.24</v>
      </c>
      <c r="I1231" s="1">
        <v>6</v>
      </c>
      <c r="U1231" s="1">
        <v>7</v>
      </c>
      <c r="X1231" s="1">
        <v>6</v>
      </c>
      <c r="AA1231" s="1">
        <v>2</v>
      </c>
      <c r="AB1231" s="1">
        <v>2</v>
      </c>
      <c r="AC1231" s="1">
        <v>548</v>
      </c>
      <c r="AF1231" s="3">
        <v>1.8518518518518516</v>
      </c>
      <c r="AG1231" s="3">
        <v>1.2296323120954591</v>
      </c>
      <c r="AH1231" s="1">
        <v>6270</v>
      </c>
      <c r="AI1231" s="1" t="b">
        <v>1</v>
      </c>
    </row>
    <row r="1232" spans="1:35" x14ac:dyDescent="0.25">
      <c r="A1232" s="1">
        <v>8</v>
      </c>
      <c r="B1232" s="1">
        <v>3</v>
      </c>
      <c r="C1232" s="1">
        <v>2020</v>
      </c>
      <c r="G1232" s="1" t="s">
        <v>38</v>
      </c>
      <c r="H1232" s="2">
        <v>6.47</v>
      </c>
      <c r="I1232" s="1">
        <v>24</v>
      </c>
      <c r="U1232" s="1">
        <v>27</v>
      </c>
      <c r="X1232" s="1">
        <v>25</v>
      </c>
      <c r="AA1232" s="1">
        <v>2</v>
      </c>
      <c r="AB1232" s="1">
        <v>3</v>
      </c>
      <c r="AC1232" s="1">
        <v>996</v>
      </c>
      <c r="AF1232" s="3">
        <v>3.7094281298299845</v>
      </c>
      <c r="AG1232" s="3">
        <v>0.99615297296543404</v>
      </c>
      <c r="AH1232" s="1">
        <v>6270</v>
      </c>
      <c r="AI1232" s="1" t="b">
        <v>1</v>
      </c>
    </row>
    <row r="1233" spans="1:35" x14ac:dyDescent="0.25">
      <c r="A1233" s="1">
        <v>8</v>
      </c>
      <c r="B1233" s="1">
        <v>3</v>
      </c>
      <c r="C1233" s="1">
        <v>2020</v>
      </c>
      <c r="G1233" s="1" t="s">
        <v>38</v>
      </c>
      <c r="H1233" s="2">
        <v>4.38</v>
      </c>
      <c r="I1233" s="1">
        <v>12</v>
      </c>
      <c r="U1233" s="1">
        <v>14</v>
      </c>
      <c r="X1233" s="1">
        <v>13</v>
      </c>
      <c r="AA1233" s="1">
        <v>2</v>
      </c>
      <c r="AB1233" s="1">
        <v>3</v>
      </c>
      <c r="AC1233" s="1">
        <v>576</v>
      </c>
      <c r="AF1233" s="3">
        <v>2.7397260273972601</v>
      </c>
      <c r="AG1233" s="3">
        <v>1.0264191398214828</v>
      </c>
      <c r="AH1233" s="1">
        <v>6270</v>
      </c>
      <c r="AI1233" s="1" t="b">
        <v>1</v>
      </c>
    </row>
    <row r="1234" spans="1:35" x14ac:dyDescent="0.25">
      <c r="A1234" s="1">
        <v>11</v>
      </c>
      <c r="B1234" s="1">
        <v>3</v>
      </c>
      <c r="C1234" s="1">
        <v>2020</v>
      </c>
      <c r="G1234" s="1" t="s">
        <v>38</v>
      </c>
      <c r="H1234" s="2">
        <v>5.78</v>
      </c>
      <c r="I1234" s="1">
        <v>14</v>
      </c>
      <c r="U1234" s="1">
        <v>24</v>
      </c>
      <c r="X1234" s="1">
        <v>22</v>
      </c>
      <c r="AA1234" s="1">
        <v>3</v>
      </c>
      <c r="AB1234" s="1">
        <v>5</v>
      </c>
      <c r="AC1234" s="1">
        <v>714</v>
      </c>
      <c r="AF1234" s="3">
        <v>2.422145328719723</v>
      </c>
      <c r="AG1234" s="3">
        <v>1.4097733276686444</v>
      </c>
      <c r="AH1234" s="1">
        <v>6271</v>
      </c>
      <c r="AI1234" s="1" t="b">
        <v>1</v>
      </c>
    </row>
    <row r="1235" spans="1:35" x14ac:dyDescent="0.25">
      <c r="A1235" s="1">
        <v>11</v>
      </c>
      <c r="B1235" s="1">
        <v>3</v>
      </c>
      <c r="C1235" s="1">
        <v>2020</v>
      </c>
      <c r="G1235" s="1" t="s">
        <v>38</v>
      </c>
      <c r="H1235" s="2">
        <v>6.42</v>
      </c>
      <c r="I1235" s="1">
        <v>15</v>
      </c>
      <c r="U1235" s="1">
        <v>27</v>
      </c>
      <c r="X1235" s="1">
        <v>23</v>
      </c>
      <c r="AA1235" s="1">
        <v>4</v>
      </c>
      <c r="AB1235" s="1">
        <v>3</v>
      </c>
      <c r="AC1235" s="1">
        <v>927</v>
      </c>
      <c r="AF1235" s="3">
        <v>2.3364485981308412</v>
      </c>
      <c r="AG1235" s="3">
        <v>1.5729622089949917</v>
      </c>
      <c r="AH1235" s="1">
        <v>6271</v>
      </c>
      <c r="AI1235" s="1" t="b">
        <v>1</v>
      </c>
    </row>
    <row r="1236" spans="1:35" x14ac:dyDescent="0.25">
      <c r="A1236" s="1">
        <v>11</v>
      </c>
      <c r="B1236" s="1">
        <v>3</v>
      </c>
      <c r="C1236" s="1">
        <v>2020</v>
      </c>
      <c r="G1236" s="1" t="s">
        <v>38</v>
      </c>
      <c r="H1236" s="2">
        <v>6.56</v>
      </c>
      <c r="I1236" s="1">
        <v>21</v>
      </c>
      <c r="U1236" s="1">
        <v>31</v>
      </c>
      <c r="X1236" s="1">
        <v>27</v>
      </c>
      <c r="AA1236" s="1">
        <v>3</v>
      </c>
      <c r="AB1236" s="1">
        <v>3</v>
      </c>
      <c r="AC1236" s="1">
        <v>798</v>
      </c>
      <c r="AF1236" s="3">
        <v>3.2012195121951224</v>
      </c>
      <c r="AG1236" s="3">
        <v>1.1655132958761765</v>
      </c>
      <c r="AH1236" s="1">
        <v>6271</v>
      </c>
      <c r="AI1236" s="1" t="b">
        <v>1</v>
      </c>
    </row>
    <row r="1237" spans="1:35" x14ac:dyDescent="0.25">
      <c r="A1237" s="1">
        <v>11</v>
      </c>
      <c r="B1237" s="1">
        <v>3</v>
      </c>
      <c r="C1237" s="1">
        <v>2020</v>
      </c>
      <c r="G1237" s="1" t="s">
        <v>38</v>
      </c>
      <c r="H1237" s="2">
        <v>8.2100000000000009</v>
      </c>
      <c r="I1237" s="1">
        <v>25</v>
      </c>
      <c r="U1237" s="1">
        <v>35</v>
      </c>
      <c r="X1237" s="1">
        <v>30</v>
      </c>
      <c r="AA1237" s="1">
        <v>3</v>
      </c>
      <c r="AB1237" s="1">
        <v>2</v>
      </c>
      <c r="AC1237" s="1">
        <v>1008</v>
      </c>
      <c r="AF1237" s="3">
        <v>3.0450669914738122</v>
      </c>
      <c r="AG1237" s="3">
        <v>1.4336507242209484</v>
      </c>
      <c r="AH1237" s="1">
        <v>6271</v>
      </c>
      <c r="AI1237" s="1" t="b">
        <v>1</v>
      </c>
    </row>
    <row r="1238" spans="1:35" x14ac:dyDescent="0.25">
      <c r="A1238" s="1">
        <v>11</v>
      </c>
      <c r="B1238" s="1">
        <v>3</v>
      </c>
      <c r="C1238" s="1">
        <v>2020</v>
      </c>
      <c r="G1238" s="1" t="s">
        <v>38</v>
      </c>
      <c r="H1238" s="2">
        <v>6.32</v>
      </c>
      <c r="I1238" s="1">
        <v>18</v>
      </c>
      <c r="U1238" s="1">
        <v>23</v>
      </c>
      <c r="X1238" s="1">
        <v>21</v>
      </c>
      <c r="AA1238" s="1">
        <v>2</v>
      </c>
      <c r="AB1238" s="1">
        <v>3</v>
      </c>
      <c r="AC1238" s="1">
        <v>980</v>
      </c>
      <c r="AF1238" s="3">
        <v>2.8481012658227849</v>
      </c>
      <c r="AG1238" s="3">
        <v>1.2762816583826693</v>
      </c>
      <c r="AH1238" s="1">
        <v>6271</v>
      </c>
      <c r="AI1238" s="1" t="b">
        <v>1</v>
      </c>
    </row>
    <row r="1239" spans="1:35" x14ac:dyDescent="0.25">
      <c r="A1239" s="1">
        <v>11</v>
      </c>
      <c r="B1239" s="1">
        <v>3</v>
      </c>
      <c r="C1239" s="1">
        <v>2020</v>
      </c>
      <c r="G1239" s="1" t="s">
        <v>38</v>
      </c>
      <c r="H1239" s="2">
        <v>4.4800000000000004</v>
      </c>
      <c r="I1239" s="1">
        <v>20</v>
      </c>
      <c r="U1239" s="1">
        <v>22</v>
      </c>
      <c r="X1239" s="1">
        <v>20</v>
      </c>
      <c r="AA1239" s="1">
        <v>1</v>
      </c>
      <c r="AB1239" s="1">
        <v>1</v>
      </c>
      <c r="AC1239" s="1">
        <v>701</v>
      </c>
      <c r="AF1239" s="3">
        <v>4.4642857142857135</v>
      </c>
      <c r="AG1239" s="3">
        <v>0.63994496748630669</v>
      </c>
      <c r="AH1239" s="1">
        <v>6271</v>
      </c>
      <c r="AI1239" s="1" t="b">
        <v>1</v>
      </c>
    </row>
    <row r="1240" spans="1:35" x14ac:dyDescent="0.25">
      <c r="A1240" s="1">
        <v>11</v>
      </c>
      <c r="B1240" s="1">
        <v>3</v>
      </c>
      <c r="C1240" s="1">
        <v>2020</v>
      </c>
      <c r="G1240" s="1" t="s">
        <v>38</v>
      </c>
      <c r="H1240" s="2">
        <v>6.31</v>
      </c>
      <c r="I1240" s="1">
        <v>17</v>
      </c>
      <c r="U1240" s="1">
        <v>26</v>
      </c>
      <c r="X1240" s="1">
        <v>22</v>
      </c>
      <c r="AA1240" s="1">
        <v>2</v>
      </c>
      <c r="AB1240" s="1">
        <v>4</v>
      </c>
      <c r="AC1240" s="1">
        <v>852</v>
      </c>
      <c r="AF1240" s="3">
        <v>2.6941362916006342</v>
      </c>
      <c r="AG1240" s="3">
        <v>1.3477240840065281</v>
      </c>
      <c r="AH1240" s="1">
        <v>6271</v>
      </c>
      <c r="AI1240" s="1" t="b">
        <v>1</v>
      </c>
    </row>
    <row r="1241" spans="1:35" x14ac:dyDescent="0.25">
      <c r="A1241" s="1">
        <v>11</v>
      </c>
      <c r="B1241" s="1">
        <v>3</v>
      </c>
      <c r="C1241" s="1">
        <v>2020</v>
      </c>
      <c r="G1241" s="1" t="s">
        <v>38</v>
      </c>
      <c r="H1241" s="2">
        <v>4.32</v>
      </c>
      <c r="I1241" s="1">
        <v>8</v>
      </c>
      <c r="U1241" s="1">
        <v>18</v>
      </c>
      <c r="X1241" s="1">
        <v>15</v>
      </c>
      <c r="AA1241" s="1">
        <v>3</v>
      </c>
      <c r="AB1241" s="1">
        <v>3</v>
      </c>
      <c r="AC1241" s="1">
        <v>624</v>
      </c>
      <c r="AF1241" s="3">
        <v>1.8518518518518516</v>
      </c>
      <c r="AG1241" s="3">
        <v>1.5039464835602867</v>
      </c>
      <c r="AH1241" s="1">
        <v>6271</v>
      </c>
      <c r="AI1241" s="1" t="b">
        <v>1</v>
      </c>
    </row>
    <row r="1242" spans="1:35" x14ac:dyDescent="0.25">
      <c r="A1242" s="1">
        <v>11</v>
      </c>
      <c r="B1242" s="1">
        <v>3</v>
      </c>
      <c r="C1242" s="1">
        <v>2020</v>
      </c>
      <c r="G1242" s="1" t="s">
        <v>38</v>
      </c>
      <c r="H1242" s="2">
        <v>4.92</v>
      </c>
      <c r="I1242" s="1">
        <v>17</v>
      </c>
      <c r="U1242" s="1">
        <v>24</v>
      </c>
      <c r="X1242" s="1">
        <v>21</v>
      </c>
      <c r="AA1242" s="1">
        <v>3</v>
      </c>
      <c r="AB1242" s="1">
        <v>1</v>
      </c>
      <c r="AC1242" s="1">
        <v>701</v>
      </c>
      <c r="AF1242" s="3">
        <v>3.4552845528455287</v>
      </c>
      <c r="AG1242" s="3">
        <v>0.88285982267400964</v>
      </c>
      <c r="AH1242" s="1">
        <v>6271</v>
      </c>
      <c r="AI1242" s="1" t="b">
        <v>1</v>
      </c>
    </row>
    <row r="1243" spans="1:35" x14ac:dyDescent="0.25">
      <c r="A1243" s="1">
        <v>11</v>
      </c>
      <c r="B1243" s="1">
        <v>3</v>
      </c>
      <c r="C1243" s="1">
        <v>2020</v>
      </c>
      <c r="G1243" s="1" t="s">
        <v>38</v>
      </c>
      <c r="H1243" s="2">
        <v>6.36</v>
      </c>
      <c r="I1243" s="1">
        <v>21</v>
      </c>
      <c r="U1243" s="1">
        <v>24</v>
      </c>
      <c r="X1243" s="1">
        <v>21</v>
      </c>
      <c r="AA1243" s="1">
        <v>1</v>
      </c>
      <c r="AB1243" s="1">
        <v>2</v>
      </c>
      <c r="AC1243" s="1">
        <v>915</v>
      </c>
      <c r="AF1243" s="3">
        <v>3.3018867924528301</v>
      </c>
      <c r="AG1243" s="3">
        <v>1.1057521739162905</v>
      </c>
      <c r="AH1243" s="1">
        <v>6271</v>
      </c>
      <c r="AI1243" s="1" t="b">
        <v>1</v>
      </c>
    </row>
    <row r="1244" spans="1:35" x14ac:dyDescent="0.25">
      <c r="A1244" s="1">
        <v>11</v>
      </c>
      <c r="B1244" s="1">
        <v>3</v>
      </c>
      <c r="C1244" s="1">
        <v>2020</v>
      </c>
      <c r="G1244" s="1" t="s">
        <v>38</v>
      </c>
      <c r="H1244" s="2">
        <v>8.5500000000000007</v>
      </c>
      <c r="I1244" s="1">
        <v>23</v>
      </c>
      <c r="U1244" s="1">
        <v>34</v>
      </c>
      <c r="X1244" s="1">
        <v>30</v>
      </c>
      <c r="AA1244" s="1">
        <v>3</v>
      </c>
      <c r="AB1244" s="1">
        <v>2</v>
      </c>
      <c r="AC1244" s="1">
        <v>1151</v>
      </c>
      <c r="AF1244" s="3">
        <v>2.6900584795321634</v>
      </c>
      <c r="AG1244" s="3">
        <v>1.6696081615301919</v>
      </c>
      <c r="AH1244" s="1">
        <v>6271</v>
      </c>
      <c r="AI1244" s="1" t="b">
        <v>1</v>
      </c>
    </row>
    <row r="1245" spans="1:35" x14ac:dyDescent="0.25">
      <c r="A1245" s="1">
        <v>11</v>
      </c>
      <c r="B1245" s="1">
        <v>3</v>
      </c>
      <c r="C1245" s="1">
        <v>2020</v>
      </c>
      <c r="G1245" s="1" t="s">
        <v>38</v>
      </c>
      <c r="H1245" s="2">
        <v>8.07</v>
      </c>
      <c r="I1245" s="1">
        <v>23</v>
      </c>
      <c r="U1245" s="1">
        <v>39</v>
      </c>
      <c r="X1245" s="1">
        <v>34</v>
      </c>
      <c r="AA1245" s="1">
        <v>4</v>
      </c>
      <c r="AB1245" s="1">
        <v>3</v>
      </c>
      <c r="AC1245" s="1">
        <v>1263</v>
      </c>
      <c r="AF1245" s="3">
        <v>2.850061957868649</v>
      </c>
      <c r="AG1245" s="3">
        <v>1.513411999299356</v>
      </c>
      <c r="AH1245" s="1">
        <v>6271</v>
      </c>
      <c r="AI1245" s="1" t="b">
        <v>1</v>
      </c>
    </row>
    <row r="1246" spans="1:35" x14ac:dyDescent="0.25">
      <c r="A1246" s="1">
        <v>11</v>
      </c>
      <c r="B1246" s="1">
        <v>3</v>
      </c>
      <c r="C1246" s="1">
        <v>2020</v>
      </c>
      <c r="G1246" s="1" t="s">
        <v>38</v>
      </c>
      <c r="H1246" s="2">
        <v>4.3</v>
      </c>
      <c r="I1246" s="1">
        <v>11</v>
      </c>
      <c r="U1246" s="1">
        <v>16</v>
      </c>
      <c r="X1246" s="1">
        <v>13</v>
      </c>
      <c r="AA1246" s="1">
        <v>1</v>
      </c>
      <c r="AB1246" s="1">
        <v>4</v>
      </c>
      <c r="AC1246" s="1">
        <v>612</v>
      </c>
      <c r="AF1246" s="3">
        <v>2.558139534883721</v>
      </c>
      <c r="AG1246" s="3">
        <v>1.0851847682268569</v>
      </c>
      <c r="AH1246" s="1">
        <v>6271</v>
      </c>
      <c r="AI1246" s="1" t="b">
        <v>1</v>
      </c>
    </row>
    <row r="1247" spans="1:35" x14ac:dyDescent="0.25">
      <c r="A1247" s="1">
        <v>11</v>
      </c>
      <c r="B1247" s="1">
        <v>3</v>
      </c>
      <c r="C1247" s="1">
        <v>2020</v>
      </c>
      <c r="G1247" s="1" t="s">
        <v>38</v>
      </c>
      <c r="H1247" s="2">
        <v>5.87</v>
      </c>
      <c r="I1247" s="1">
        <v>16</v>
      </c>
      <c r="U1247" s="1">
        <v>30</v>
      </c>
      <c r="X1247" s="1">
        <v>24</v>
      </c>
      <c r="AA1247" s="1">
        <v>5</v>
      </c>
      <c r="AB1247" s="1">
        <v>4</v>
      </c>
      <c r="AC1247" s="1">
        <v>816</v>
      </c>
      <c r="AF1247" s="3">
        <v>2.7257240204429301</v>
      </c>
      <c r="AG1247" s="3">
        <v>1.2663821764364183</v>
      </c>
      <c r="AH1247" s="1">
        <v>6271</v>
      </c>
      <c r="AI1247" s="1" t="b">
        <v>1</v>
      </c>
    </row>
    <row r="1248" spans="1:35" x14ac:dyDescent="0.25">
      <c r="A1248" s="1">
        <v>11</v>
      </c>
      <c r="B1248" s="1">
        <v>3</v>
      </c>
      <c r="C1248" s="1">
        <v>2020</v>
      </c>
      <c r="G1248" s="1" t="s">
        <v>38</v>
      </c>
      <c r="H1248" s="2">
        <v>6.91</v>
      </c>
      <c r="I1248" s="1">
        <v>17</v>
      </c>
      <c r="U1248" s="1">
        <v>30</v>
      </c>
      <c r="X1248" s="1">
        <v>26</v>
      </c>
      <c r="AA1248" s="1">
        <v>5</v>
      </c>
      <c r="AB1248" s="1">
        <v>5</v>
      </c>
      <c r="AC1248" s="1">
        <v>930</v>
      </c>
      <c r="AF1248" s="3">
        <v>2.4602026049204051</v>
      </c>
      <c r="AG1248" s="3">
        <v>1.5727647221115053</v>
      </c>
      <c r="AH1248" s="1">
        <v>6271</v>
      </c>
      <c r="AI1248" s="1" t="b">
        <v>1</v>
      </c>
    </row>
    <row r="1249" spans="1:35" x14ac:dyDescent="0.25">
      <c r="A1249" s="1">
        <v>11</v>
      </c>
      <c r="B1249" s="1">
        <v>3</v>
      </c>
      <c r="C1249" s="1">
        <v>2020</v>
      </c>
      <c r="G1249" s="1" t="s">
        <v>38</v>
      </c>
      <c r="H1249" s="2">
        <v>5.35</v>
      </c>
      <c r="I1249" s="1">
        <v>14</v>
      </c>
      <c r="U1249" s="1">
        <v>19</v>
      </c>
      <c r="X1249" s="1">
        <v>17</v>
      </c>
      <c r="AA1249" s="1">
        <v>2</v>
      </c>
      <c r="AB1249" s="1">
        <v>2</v>
      </c>
      <c r="AC1249" s="1">
        <v>718</v>
      </c>
      <c r="AF1249" s="3">
        <v>2.6168224299065423</v>
      </c>
      <c r="AG1249" s="3">
        <v>1.2361563204916934</v>
      </c>
      <c r="AH1249" s="1">
        <v>6271</v>
      </c>
      <c r="AI1249" s="1" t="b">
        <v>1</v>
      </c>
    </row>
    <row r="1250" spans="1:35" x14ac:dyDescent="0.25">
      <c r="A1250" s="1">
        <v>11</v>
      </c>
      <c r="B1250" s="1">
        <v>3</v>
      </c>
      <c r="C1250" s="1">
        <v>2020</v>
      </c>
      <c r="G1250" s="1" t="s">
        <v>38</v>
      </c>
      <c r="H1250" s="2">
        <v>5.41</v>
      </c>
      <c r="I1250" s="1">
        <v>14</v>
      </c>
      <c r="U1250" s="1">
        <v>17</v>
      </c>
      <c r="X1250" s="1">
        <v>14</v>
      </c>
      <c r="AA1250" s="1">
        <v>1</v>
      </c>
      <c r="AB1250" s="1">
        <v>3</v>
      </c>
      <c r="AC1250" s="1">
        <v>840</v>
      </c>
      <c r="AF1250" s="3">
        <v>2.587800369685767</v>
      </c>
      <c r="AG1250" s="3">
        <v>1.2598165665271919</v>
      </c>
      <c r="AH1250" s="1">
        <v>6271</v>
      </c>
      <c r="AI1250" s="1" t="b">
        <v>1</v>
      </c>
    </row>
    <row r="1251" spans="1:35" x14ac:dyDescent="0.25">
      <c r="A1251" s="1">
        <v>11</v>
      </c>
      <c r="B1251" s="1">
        <v>3</v>
      </c>
      <c r="C1251" s="1">
        <v>2020</v>
      </c>
      <c r="G1251" s="1" t="s">
        <v>38</v>
      </c>
      <c r="H1251" s="2">
        <v>3.65</v>
      </c>
      <c r="I1251" s="1">
        <v>11</v>
      </c>
      <c r="U1251" s="1">
        <v>14</v>
      </c>
      <c r="X1251" s="1">
        <v>12</v>
      </c>
      <c r="AA1251" s="1">
        <v>1</v>
      </c>
      <c r="AB1251" s="1">
        <v>2</v>
      </c>
      <c r="AC1251" s="1">
        <v>410</v>
      </c>
      <c r="AF1251" s="3">
        <v>3.0136986301369864</v>
      </c>
      <c r="AG1251" s="3">
        <v>0.82130635717249778</v>
      </c>
      <c r="AH1251" s="1">
        <v>6271</v>
      </c>
      <c r="AI1251" s="1" t="b">
        <v>1</v>
      </c>
    </row>
    <row r="1252" spans="1:35" x14ac:dyDescent="0.25">
      <c r="A1252" s="1">
        <v>11</v>
      </c>
      <c r="B1252" s="1">
        <v>3</v>
      </c>
      <c r="C1252" s="1">
        <v>2020</v>
      </c>
      <c r="G1252" s="1" t="s">
        <v>38</v>
      </c>
      <c r="H1252" s="2">
        <v>5.99</v>
      </c>
      <c r="I1252" s="1">
        <v>12</v>
      </c>
      <c r="U1252" s="1">
        <v>22</v>
      </c>
      <c r="X1252" s="1">
        <v>19</v>
      </c>
      <c r="AA1252" s="1">
        <v>3</v>
      </c>
      <c r="AB1252" s="1">
        <v>4</v>
      </c>
      <c r="AC1252" s="1">
        <v>880</v>
      </c>
      <c r="AF1252" s="3">
        <v>2.003338898163606</v>
      </c>
      <c r="AG1252" s="3">
        <v>1.7476093195096769</v>
      </c>
      <c r="AH1252" s="1">
        <v>6271</v>
      </c>
      <c r="AI1252" s="1" t="b">
        <v>1</v>
      </c>
    </row>
    <row r="1253" spans="1:35" x14ac:dyDescent="0.25">
      <c r="A1253" s="1">
        <v>11</v>
      </c>
      <c r="B1253" s="1">
        <v>3</v>
      </c>
      <c r="C1253" s="1">
        <v>2020</v>
      </c>
      <c r="G1253" s="1" t="s">
        <v>38</v>
      </c>
      <c r="H1253" s="2">
        <v>9.66</v>
      </c>
      <c r="I1253" s="1">
        <v>36</v>
      </c>
      <c r="U1253" s="1">
        <v>45</v>
      </c>
      <c r="X1253" s="1">
        <v>38</v>
      </c>
      <c r="AA1253" s="1">
        <v>2</v>
      </c>
      <c r="AB1253" s="1">
        <v>2</v>
      </c>
      <c r="AC1253" s="1">
        <v>1214</v>
      </c>
      <c r="AF1253" s="3">
        <v>3.7267080745341614</v>
      </c>
      <c r="AG1253" s="3">
        <v>1.3126792315414071</v>
      </c>
      <c r="AH1253" s="1">
        <v>6271</v>
      </c>
      <c r="AI1253" s="1" t="b">
        <v>1</v>
      </c>
    </row>
    <row r="1254" spans="1:35" x14ac:dyDescent="0.25">
      <c r="A1254" s="1">
        <v>11</v>
      </c>
      <c r="B1254" s="1">
        <v>3</v>
      </c>
      <c r="C1254" s="1">
        <v>2020</v>
      </c>
      <c r="G1254" s="1" t="s">
        <v>38</v>
      </c>
      <c r="H1254" s="2">
        <v>4.8499999999999996</v>
      </c>
      <c r="I1254" s="1">
        <v>8</v>
      </c>
      <c r="U1254" s="1">
        <v>16</v>
      </c>
      <c r="X1254" s="1">
        <v>13</v>
      </c>
      <c r="AA1254" s="1">
        <v>3</v>
      </c>
      <c r="AB1254" s="1">
        <v>3</v>
      </c>
      <c r="AC1254" s="1">
        <v>705</v>
      </c>
      <c r="AF1254" s="3">
        <v>1.6494845360824744</v>
      </c>
      <c r="AG1254" s="3">
        <v>1.8309267450628925</v>
      </c>
      <c r="AH1254" s="1">
        <v>6271</v>
      </c>
      <c r="AI1254" s="1" t="b">
        <v>1</v>
      </c>
    </row>
    <row r="1255" spans="1:35" x14ac:dyDescent="0.25">
      <c r="A1255" s="1">
        <v>11</v>
      </c>
      <c r="B1255" s="1">
        <v>3</v>
      </c>
      <c r="C1255" s="1">
        <v>2020</v>
      </c>
      <c r="G1255" s="1" t="s">
        <v>38</v>
      </c>
      <c r="H1255" s="2">
        <v>5.42</v>
      </c>
      <c r="I1255" s="1">
        <v>16</v>
      </c>
      <c r="U1255" s="1">
        <v>23</v>
      </c>
      <c r="X1255" s="1">
        <v>19</v>
      </c>
      <c r="AA1255" s="1">
        <v>2</v>
      </c>
      <c r="AB1255" s="1">
        <v>3</v>
      </c>
      <c r="AC1255" s="1">
        <v>761</v>
      </c>
      <c r="AF1255" s="3">
        <v>2.9520295202952029</v>
      </c>
      <c r="AG1255" s="3">
        <v>1.1058056496640312</v>
      </c>
      <c r="AH1255" s="1">
        <v>6271</v>
      </c>
      <c r="AI1255" s="1" t="b">
        <v>1</v>
      </c>
    </row>
    <row r="1256" spans="1:35" x14ac:dyDescent="0.25">
      <c r="A1256" s="1">
        <v>11</v>
      </c>
      <c r="B1256" s="1">
        <v>3</v>
      </c>
      <c r="C1256" s="1">
        <v>2020</v>
      </c>
      <c r="G1256" s="1" t="s">
        <v>38</v>
      </c>
      <c r="H1256" s="2">
        <v>7.27</v>
      </c>
      <c r="I1256" s="1">
        <v>17</v>
      </c>
      <c r="U1256" s="1">
        <v>33</v>
      </c>
      <c r="X1256" s="1">
        <v>29</v>
      </c>
      <c r="AA1256" s="1">
        <v>4</v>
      </c>
      <c r="AB1256" s="1">
        <v>3</v>
      </c>
      <c r="AC1256" s="1">
        <v>862</v>
      </c>
      <c r="AF1256" s="3">
        <v>2.3383768913342506</v>
      </c>
      <c r="AG1256" s="3">
        <v>1.7145871993731245</v>
      </c>
      <c r="AH1256" s="1">
        <v>6271</v>
      </c>
      <c r="AI1256" s="1" t="b">
        <v>1</v>
      </c>
    </row>
    <row r="1257" spans="1:35" x14ac:dyDescent="0.25">
      <c r="A1257" s="1">
        <v>11</v>
      </c>
      <c r="B1257" s="1">
        <v>3</v>
      </c>
      <c r="C1257" s="1">
        <v>2020</v>
      </c>
      <c r="G1257" s="1" t="s">
        <v>38</v>
      </c>
      <c r="H1257" s="2">
        <v>4.67</v>
      </c>
      <c r="I1257" s="1">
        <v>12</v>
      </c>
      <c r="U1257" s="1">
        <v>17</v>
      </c>
      <c r="X1257" s="1">
        <v>16</v>
      </c>
      <c r="AA1257" s="1">
        <v>2</v>
      </c>
      <c r="AB1257" s="1">
        <v>4</v>
      </c>
      <c r="AC1257" s="1">
        <v>611</v>
      </c>
      <c r="AF1257" s="3">
        <v>2.5695931477516059</v>
      </c>
      <c r="AG1257" s="3">
        <v>1.1446097761579168</v>
      </c>
      <c r="AH1257" s="1">
        <v>6271</v>
      </c>
      <c r="AI1257" s="1" t="b">
        <v>1</v>
      </c>
    </row>
    <row r="1258" spans="1:35" x14ac:dyDescent="0.25">
      <c r="A1258" s="1">
        <v>11</v>
      </c>
      <c r="B1258" s="1">
        <v>3</v>
      </c>
      <c r="C1258" s="1">
        <v>2020</v>
      </c>
      <c r="G1258" s="1" t="s">
        <v>38</v>
      </c>
      <c r="H1258" s="2">
        <v>6.15</v>
      </c>
      <c r="I1258" s="1">
        <v>14</v>
      </c>
      <c r="U1258" s="1">
        <v>31</v>
      </c>
      <c r="X1258" s="1">
        <v>27</v>
      </c>
      <c r="AA1258" s="1">
        <v>4</v>
      </c>
      <c r="AB1258" s="1">
        <v>4</v>
      </c>
      <c r="AC1258" s="1">
        <v>1021</v>
      </c>
      <c r="AF1258" s="3">
        <v>2.2764227642276422</v>
      </c>
      <c r="AG1258" s="3">
        <v>1.5666055512962029</v>
      </c>
      <c r="AH1258" s="1">
        <v>6271</v>
      </c>
      <c r="AI1258" s="1" t="b">
        <v>1</v>
      </c>
    </row>
    <row r="1259" spans="1:35" x14ac:dyDescent="0.25">
      <c r="A1259" s="1">
        <v>11</v>
      </c>
      <c r="B1259" s="1">
        <v>3</v>
      </c>
      <c r="C1259" s="1">
        <v>2020</v>
      </c>
      <c r="G1259" s="1" t="s">
        <v>38</v>
      </c>
      <c r="H1259" s="2">
        <v>6.18</v>
      </c>
      <c r="I1259" s="1">
        <v>24</v>
      </c>
      <c r="U1259" s="1">
        <v>29</v>
      </c>
      <c r="X1259" s="1">
        <v>24</v>
      </c>
      <c r="AA1259" s="1">
        <v>1</v>
      </c>
      <c r="AB1259" s="1">
        <v>1</v>
      </c>
      <c r="AC1259" s="1">
        <v>956</v>
      </c>
      <c r="AF1259" s="3">
        <v>3.883495145631068</v>
      </c>
      <c r="AG1259" s="3">
        <v>0.9214444656538161</v>
      </c>
      <c r="AH1259" s="1">
        <v>6271</v>
      </c>
      <c r="AI1259" s="1" t="b">
        <v>1</v>
      </c>
    </row>
    <row r="1260" spans="1:35" x14ac:dyDescent="0.25">
      <c r="A1260" s="1">
        <v>11</v>
      </c>
      <c r="B1260" s="1">
        <v>3</v>
      </c>
      <c r="C1260" s="1">
        <v>2020</v>
      </c>
      <c r="G1260" s="1" t="s">
        <v>38</v>
      </c>
      <c r="H1260" s="2">
        <v>6.31</v>
      </c>
      <c r="I1260" s="1">
        <v>19</v>
      </c>
      <c r="U1260" s="1">
        <v>25</v>
      </c>
      <c r="X1260" s="1">
        <v>20</v>
      </c>
      <c r="AA1260" s="1">
        <v>2</v>
      </c>
      <c r="AB1260" s="1">
        <v>2</v>
      </c>
      <c r="AC1260" s="1">
        <v>934</v>
      </c>
      <c r="AF1260" s="3">
        <v>3.0110935023771792</v>
      </c>
      <c r="AG1260" s="3">
        <v>1.2058583909532095</v>
      </c>
      <c r="AH1260" s="1">
        <v>6271</v>
      </c>
      <c r="AI1260" s="1" t="b">
        <v>1</v>
      </c>
    </row>
    <row r="1261" spans="1:35" x14ac:dyDescent="0.25">
      <c r="A1261" s="1">
        <v>11</v>
      </c>
      <c r="B1261" s="1">
        <v>3</v>
      </c>
      <c r="C1261" s="1">
        <v>2020</v>
      </c>
      <c r="G1261" s="1" t="s">
        <v>38</v>
      </c>
      <c r="H1261" s="2">
        <v>6.21</v>
      </c>
      <c r="I1261" s="1">
        <v>23</v>
      </c>
      <c r="U1261" s="1">
        <v>30</v>
      </c>
      <c r="X1261" s="1">
        <v>26</v>
      </c>
      <c r="AA1261" s="1">
        <v>2</v>
      </c>
      <c r="AB1261" s="1">
        <v>1</v>
      </c>
      <c r="AC1261" s="1">
        <v>859</v>
      </c>
      <c r="AF1261" s="3">
        <v>3.7037037037037037</v>
      </c>
      <c r="AG1261" s="3">
        <v>0.9694555120981273</v>
      </c>
      <c r="AH1261" s="1">
        <v>6271</v>
      </c>
      <c r="AI1261" s="1" t="b">
        <v>1</v>
      </c>
    </row>
    <row r="1262" spans="1:35" x14ac:dyDescent="0.25">
      <c r="A1262" s="1">
        <v>11</v>
      </c>
      <c r="B1262" s="1">
        <v>3</v>
      </c>
      <c r="C1262" s="1">
        <v>2020</v>
      </c>
      <c r="G1262" s="1" t="s">
        <v>38</v>
      </c>
      <c r="H1262" s="2">
        <v>7.48</v>
      </c>
      <c r="I1262" s="1">
        <v>25</v>
      </c>
      <c r="U1262" s="1">
        <v>32</v>
      </c>
      <c r="X1262" s="1">
        <v>27</v>
      </c>
      <c r="AA1262" s="1">
        <v>3</v>
      </c>
      <c r="AB1262" s="1">
        <v>3</v>
      </c>
      <c r="AC1262" s="1">
        <v>1019</v>
      </c>
      <c r="AF1262" s="3">
        <v>3.3422459893048124</v>
      </c>
      <c r="AG1262" s="3">
        <v>1.2237500081331307</v>
      </c>
      <c r="AH1262" s="1">
        <v>6271</v>
      </c>
      <c r="AI1262" s="1" t="b">
        <v>1</v>
      </c>
    </row>
    <row r="1263" spans="1:35" x14ac:dyDescent="0.25">
      <c r="A1263" s="1">
        <v>11</v>
      </c>
      <c r="B1263" s="1">
        <v>3</v>
      </c>
      <c r="C1263" s="1">
        <v>2020</v>
      </c>
      <c r="G1263" s="1" t="s">
        <v>38</v>
      </c>
      <c r="H1263" s="2">
        <v>5.25</v>
      </c>
      <c r="I1263" s="1">
        <v>20</v>
      </c>
      <c r="U1263" s="1">
        <v>22</v>
      </c>
      <c r="X1263" s="1">
        <v>21</v>
      </c>
      <c r="AA1263" s="1">
        <v>1</v>
      </c>
      <c r="AB1263" s="1">
        <v>2</v>
      </c>
      <c r="AC1263" s="1">
        <v>767</v>
      </c>
      <c r="AF1263" s="3">
        <v>3.8095238095238093</v>
      </c>
      <c r="AG1263" s="3">
        <v>0.83799382829691971</v>
      </c>
      <c r="AH1263" s="1">
        <v>6271</v>
      </c>
      <c r="AI1263" s="1" t="b">
        <v>1</v>
      </c>
    </row>
    <row r="1264" spans="1:35" x14ac:dyDescent="0.25">
      <c r="A1264" s="1">
        <v>11</v>
      </c>
      <c r="B1264" s="1">
        <v>3</v>
      </c>
      <c r="C1264" s="1">
        <v>2020</v>
      </c>
      <c r="G1264" s="1" t="s">
        <v>38</v>
      </c>
      <c r="H1264" s="2">
        <v>6.2</v>
      </c>
      <c r="I1264" s="1">
        <v>15</v>
      </c>
      <c r="U1264" s="1">
        <v>30</v>
      </c>
      <c r="X1264" s="1">
        <v>25</v>
      </c>
      <c r="AA1264" s="1">
        <v>5</v>
      </c>
      <c r="AB1264" s="1">
        <v>4</v>
      </c>
      <c r="AC1264" s="1">
        <v>955</v>
      </c>
      <c r="AF1264" s="3">
        <v>2.4193548387096775</v>
      </c>
      <c r="AG1264" s="3">
        <v>1.4824314263170788</v>
      </c>
      <c r="AH1264" s="1">
        <v>6271</v>
      </c>
      <c r="AI1264" s="1" t="b">
        <v>1</v>
      </c>
    </row>
    <row r="1265" spans="1:35" x14ac:dyDescent="0.25">
      <c r="A1265" s="1">
        <v>11</v>
      </c>
      <c r="B1265" s="1">
        <v>3</v>
      </c>
      <c r="C1265" s="1">
        <v>2020</v>
      </c>
      <c r="G1265" s="1" t="s">
        <v>38</v>
      </c>
      <c r="H1265" s="2">
        <v>4.3499999999999996</v>
      </c>
      <c r="I1265" s="1">
        <v>10</v>
      </c>
      <c r="U1265" s="1">
        <v>17</v>
      </c>
      <c r="X1265" s="1">
        <v>15</v>
      </c>
      <c r="AA1265" s="1">
        <v>3</v>
      </c>
      <c r="AB1265" s="1">
        <v>4</v>
      </c>
      <c r="AC1265" s="1">
        <v>713</v>
      </c>
      <c r="AF1265" s="3">
        <v>2.298850574712644</v>
      </c>
      <c r="AG1265" s="3">
        <v>1.2173956254018168</v>
      </c>
      <c r="AH1265" s="1">
        <v>6271</v>
      </c>
      <c r="AI1265" s="1" t="b">
        <v>1</v>
      </c>
    </row>
    <row r="1266" spans="1:35" x14ac:dyDescent="0.25">
      <c r="A1266" s="1">
        <v>15</v>
      </c>
      <c r="B1266" s="1">
        <v>3</v>
      </c>
      <c r="C1266" s="1">
        <v>2020</v>
      </c>
      <c r="G1266" s="1" t="s">
        <v>38</v>
      </c>
      <c r="H1266" s="2">
        <v>4.37</v>
      </c>
      <c r="I1266" s="1">
        <v>12</v>
      </c>
      <c r="U1266" s="1">
        <v>21</v>
      </c>
      <c r="X1266" s="1">
        <v>16</v>
      </c>
      <c r="AA1266" s="1">
        <v>4</v>
      </c>
      <c r="AB1266" s="1">
        <v>3</v>
      </c>
      <c r="AC1266" s="1">
        <v>803</v>
      </c>
      <c r="AF1266" s="3">
        <v>2.7459954233409611</v>
      </c>
      <c r="AG1266" s="3">
        <v>1.0224385053862874</v>
      </c>
      <c r="AH1266" s="1">
        <v>6271</v>
      </c>
      <c r="AI1266" s="1" t="b">
        <v>1</v>
      </c>
    </row>
    <row r="1267" spans="1:35" x14ac:dyDescent="0.25">
      <c r="A1267" s="1">
        <v>15</v>
      </c>
      <c r="B1267" s="1">
        <v>3</v>
      </c>
      <c r="C1267" s="1">
        <v>2020</v>
      </c>
      <c r="G1267" s="1" t="s">
        <v>38</v>
      </c>
      <c r="H1267" s="2">
        <v>7.26</v>
      </c>
      <c r="I1267" s="1">
        <v>20</v>
      </c>
      <c r="U1267" s="1">
        <v>26</v>
      </c>
      <c r="X1267" s="1">
        <v>23</v>
      </c>
      <c r="AA1267" s="1">
        <v>3</v>
      </c>
      <c r="AB1267" s="1">
        <v>4</v>
      </c>
      <c r="AC1267" s="1">
        <v>1049</v>
      </c>
      <c r="AF1267" s="3">
        <v>2.7548209366391188</v>
      </c>
      <c r="AG1267" s="3">
        <v>1.4539928119609609</v>
      </c>
      <c r="AH1267" s="1">
        <v>6271</v>
      </c>
      <c r="AI1267" s="1" t="b">
        <v>1</v>
      </c>
    </row>
    <row r="1268" spans="1:35" x14ac:dyDescent="0.25">
      <c r="A1268" s="1">
        <v>15</v>
      </c>
      <c r="B1268" s="1">
        <v>3</v>
      </c>
      <c r="C1268" s="1">
        <v>2020</v>
      </c>
      <c r="G1268" s="1" t="s">
        <v>38</v>
      </c>
      <c r="H1268" s="2">
        <v>6.73</v>
      </c>
      <c r="I1268" s="1">
        <v>15</v>
      </c>
      <c r="U1268" s="1">
        <v>22</v>
      </c>
      <c r="X1268" s="1">
        <v>20</v>
      </c>
      <c r="AA1268" s="1">
        <v>3</v>
      </c>
      <c r="AB1268" s="1">
        <v>5</v>
      </c>
      <c r="AC1268" s="1">
        <v>1041</v>
      </c>
      <c r="AF1268" s="3">
        <v>2.2288261515601784</v>
      </c>
      <c r="AG1268" s="3">
        <v>1.7042541104059679</v>
      </c>
      <c r="AH1268" s="1">
        <v>6271</v>
      </c>
      <c r="AI1268" s="1" t="b">
        <v>1</v>
      </c>
    </row>
    <row r="1269" spans="1:35" x14ac:dyDescent="0.25">
      <c r="A1269" s="1">
        <v>15</v>
      </c>
      <c r="B1269" s="1">
        <v>3</v>
      </c>
      <c r="C1269" s="1">
        <v>2020</v>
      </c>
      <c r="G1269" s="1" t="s">
        <v>38</v>
      </c>
      <c r="H1269" s="2">
        <v>6.29</v>
      </c>
      <c r="I1269" s="1">
        <v>21</v>
      </c>
      <c r="U1269" s="1">
        <v>30</v>
      </c>
      <c r="X1269" s="1">
        <v>27</v>
      </c>
      <c r="AA1269" s="1">
        <v>2</v>
      </c>
      <c r="AB1269" s="1">
        <v>2</v>
      </c>
      <c r="AC1269" s="1">
        <v>941</v>
      </c>
      <c r="AF1269" s="3">
        <v>3.3386327503974562</v>
      </c>
      <c r="AG1269" s="3">
        <v>1.0851425734787865</v>
      </c>
      <c r="AH1269" s="1">
        <v>6271</v>
      </c>
      <c r="AI1269" s="1" t="b">
        <v>1</v>
      </c>
    </row>
    <row r="1270" spans="1:35" x14ac:dyDescent="0.25">
      <c r="A1270" s="1">
        <v>16</v>
      </c>
      <c r="B1270" s="1">
        <v>3</v>
      </c>
      <c r="C1270" s="1">
        <v>2020</v>
      </c>
      <c r="G1270" s="1" t="s">
        <v>38</v>
      </c>
      <c r="H1270" s="2">
        <v>5.4</v>
      </c>
      <c r="I1270" s="1">
        <v>21</v>
      </c>
      <c r="U1270" s="1">
        <v>27</v>
      </c>
      <c r="X1270" s="1">
        <v>25</v>
      </c>
      <c r="AA1270" s="1">
        <v>2</v>
      </c>
      <c r="AB1270" s="1">
        <v>3</v>
      </c>
      <c r="AC1270" s="1">
        <v>832</v>
      </c>
      <c r="AF1270" s="3">
        <v>3.8888888888888888</v>
      </c>
      <c r="AG1270" s="3">
        <v>0.83724024664169505</v>
      </c>
      <c r="AH1270" s="1">
        <v>6272</v>
      </c>
      <c r="AI1270" s="1" t="b">
        <v>1</v>
      </c>
    </row>
    <row r="1271" spans="1:35" x14ac:dyDescent="0.25">
      <c r="A1271" s="1">
        <v>16</v>
      </c>
      <c r="B1271" s="1">
        <v>3</v>
      </c>
      <c r="C1271" s="1">
        <v>2020</v>
      </c>
      <c r="G1271" s="1" t="s">
        <v>38</v>
      </c>
      <c r="H1271" s="2">
        <v>7.99</v>
      </c>
      <c r="I1271" s="1">
        <v>27</v>
      </c>
      <c r="U1271" s="1">
        <v>37</v>
      </c>
      <c r="X1271" s="1">
        <v>32</v>
      </c>
      <c r="AA1271" s="1">
        <v>3</v>
      </c>
      <c r="AB1271" s="1">
        <v>3</v>
      </c>
      <c r="AC1271" s="1">
        <v>1220</v>
      </c>
      <c r="AF1271" s="3">
        <v>3.3792240300375469</v>
      </c>
      <c r="AG1271" s="3">
        <v>1.2675519294428408</v>
      </c>
      <c r="AH1271" s="1">
        <v>6272</v>
      </c>
      <c r="AI1271" s="1" t="b">
        <v>1</v>
      </c>
    </row>
    <row r="1272" spans="1:35" x14ac:dyDescent="0.25">
      <c r="A1272" s="1">
        <v>16</v>
      </c>
      <c r="B1272" s="1">
        <v>3</v>
      </c>
      <c r="C1272" s="1">
        <v>2020</v>
      </c>
      <c r="G1272" s="1" t="s">
        <v>38</v>
      </c>
      <c r="H1272" s="2">
        <v>5.51</v>
      </c>
      <c r="I1272" s="1">
        <v>16</v>
      </c>
      <c r="U1272" s="1">
        <v>27</v>
      </c>
      <c r="X1272" s="1">
        <v>21</v>
      </c>
      <c r="AA1272" s="1">
        <v>3</v>
      </c>
      <c r="AB1272" s="1">
        <v>2</v>
      </c>
      <c r="AC1272" s="1">
        <v>720</v>
      </c>
      <c r="AF1272" s="3">
        <v>2.9038112522686026</v>
      </c>
      <c r="AG1272" s="3">
        <v>1.1372023157346995</v>
      </c>
      <c r="AH1272" s="1">
        <v>6272</v>
      </c>
      <c r="AI1272" s="1" t="b">
        <v>1</v>
      </c>
    </row>
    <row r="1273" spans="1:35" x14ac:dyDescent="0.25">
      <c r="A1273" s="1">
        <v>16</v>
      </c>
      <c r="B1273" s="1">
        <v>3</v>
      </c>
      <c r="C1273" s="1">
        <v>2020</v>
      </c>
      <c r="G1273" s="1" t="s">
        <v>38</v>
      </c>
      <c r="H1273" s="2">
        <v>3.09</v>
      </c>
      <c r="I1273" s="1">
        <v>8</v>
      </c>
      <c r="U1273" s="1">
        <v>13</v>
      </c>
      <c r="X1273" s="1">
        <v>11</v>
      </c>
      <c r="AA1273" s="1">
        <v>3</v>
      </c>
      <c r="AB1273" s="1">
        <v>3</v>
      </c>
      <c r="AC1273" s="1">
        <v>614</v>
      </c>
      <c r="AF1273" s="3">
        <v>2.5889967637540456</v>
      </c>
      <c r="AG1273" s="3">
        <v>0.85082340457296546</v>
      </c>
      <c r="AH1273" s="1">
        <v>6272</v>
      </c>
      <c r="AI1273" s="1" t="b">
        <v>1</v>
      </c>
    </row>
    <row r="1274" spans="1:35" x14ac:dyDescent="0.25">
      <c r="A1274" s="1">
        <v>16</v>
      </c>
      <c r="B1274" s="1">
        <v>3</v>
      </c>
      <c r="C1274" s="1">
        <v>2020</v>
      </c>
      <c r="G1274" s="1" t="s">
        <v>38</v>
      </c>
      <c r="H1274" s="2">
        <v>3.81</v>
      </c>
      <c r="I1274" s="1">
        <v>12</v>
      </c>
      <c r="U1274" s="1">
        <v>23</v>
      </c>
      <c r="X1274" s="1">
        <v>17</v>
      </c>
      <c r="AA1274" s="1">
        <v>2</v>
      </c>
      <c r="AB1274" s="1">
        <v>4</v>
      </c>
      <c r="AC1274" s="1">
        <v>713</v>
      </c>
      <c r="AF1274" s="3">
        <v>3.1496062992125982</v>
      </c>
      <c r="AG1274" s="3">
        <v>0.80982506137504739</v>
      </c>
      <c r="AH1274" s="1">
        <v>6272</v>
      </c>
      <c r="AI1274" s="1" t="b">
        <v>1</v>
      </c>
    </row>
    <row r="1275" spans="1:35" x14ac:dyDescent="0.25">
      <c r="A1275" s="1">
        <v>16</v>
      </c>
      <c r="B1275" s="1">
        <v>3</v>
      </c>
      <c r="C1275" s="1">
        <v>2020</v>
      </c>
      <c r="G1275" s="1" t="s">
        <v>38</v>
      </c>
      <c r="H1275" s="2">
        <v>6.04</v>
      </c>
      <c r="I1275" s="1">
        <v>27</v>
      </c>
      <c r="U1275" s="1">
        <v>30</v>
      </c>
      <c r="X1275" s="1">
        <v>27</v>
      </c>
      <c r="AA1275" s="1">
        <v>1</v>
      </c>
      <c r="AB1275" s="1">
        <v>2</v>
      </c>
      <c r="AC1275" s="1">
        <v>838</v>
      </c>
      <c r="AF1275" s="3">
        <v>4.4701986754966887</v>
      </c>
      <c r="AG1275" s="3">
        <v>0.78776926281043491</v>
      </c>
      <c r="AH1275" s="1">
        <v>6272</v>
      </c>
      <c r="AI1275" s="1" t="b">
        <v>1</v>
      </c>
    </row>
    <row r="1276" spans="1:35" x14ac:dyDescent="0.25">
      <c r="A1276" s="1">
        <v>16</v>
      </c>
      <c r="B1276" s="1">
        <v>3</v>
      </c>
      <c r="C1276" s="1">
        <v>2020</v>
      </c>
      <c r="G1276" s="1" t="s">
        <v>38</v>
      </c>
      <c r="H1276" s="2">
        <v>5.32</v>
      </c>
      <c r="I1276" s="1">
        <v>15</v>
      </c>
      <c r="U1276" s="1">
        <v>22</v>
      </c>
      <c r="X1276" s="1">
        <v>22</v>
      </c>
      <c r="AA1276" s="1">
        <v>4</v>
      </c>
      <c r="AB1276" s="1">
        <v>4</v>
      </c>
      <c r="AC1276" s="1">
        <v>903</v>
      </c>
      <c r="AF1276" s="3">
        <v>2.8195488721804511</v>
      </c>
      <c r="AG1276" s="3">
        <v>1.1427691713566166</v>
      </c>
      <c r="AH1276" s="1">
        <v>6272</v>
      </c>
      <c r="AI1276" s="1" t="b">
        <v>1</v>
      </c>
    </row>
    <row r="1277" spans="1:35" x14ac:dyDescent="0.25">
      <c r="A1277" s="1">
        <v>16</v>
      </c>
      <c r="B1277" s="1">
        <v>3</v>
      </c>
      <c r="C1277" s="1">
        <v>2020</v>
      </c>
      <c r="G1277" s="1" t="s">
        <v>38</v>
      </c>
      <c r="H1277" s="2">
        <v>7.31</v>
      </c>
      <c r="I1277" s="1">
        <v>22</v>
      </c>
      <c r="U1277" s="1">
        <v>36</v>
      </c>
      <c r="X1277" s="1">
        <v>31</v>
      </c>
      <c r="AA1277" s="1">
        <v>4</v>
      </c>
      <c r="AB1277" s="1">
        <v>3</v>
      </c>
      <c r="AC1277" s="1">
        <v>1199</v>
      </c>
      <c r="AF1277" s="3">
        <v>3.0095759233926129</v>
      </c>
      <c r="AG1277" s="3">
        <v>1.3373246816237023</v>
      </c>
      <c r="AH1277" s="1">
        <v>6272</v>
      </c>
      <c r="AI1277" s="1" t="b">
        <v>1</v>
      </c>
    </row>
    <row r="1278" spans="1:35" x14ac:dyDescent="0.25">
      <c r="A1278" s="1">
        <v>16</v>
      </c>
      <c r="B1278" s="1">
        <v>3</v>
      </c>
      <c r="C1278" s="1">
        <v>2020</v>
      </c>
      <c r="G1278" s="1" t="s">
        <v>38</v>
      </c>
      <c r="H1278" s="2">
        <v>4.6500000000000004</v>
      </c>
      <c r="I1278" s="1">
        <v>14</v>
      </c>
      <c r="U1278" s="1">
        <v>19</v>
      </c>
      <c r="X1278" s="1">
        <v>18</v>
      </c>
      <c r="AA1278" s="1">
        <v>3</v>
      </c>
      <c r="AB1278" s="1">
        <v>2</v>
      </c>
      <c r="AC1278" s="1">
        <v>747</v>
      </c>
      <c r="AF1278" s="3">
        <v>3.010752688172043</v>
      </c>
      <c r="AG1278" s="3">
        <v>0.97396193589176916</v>
      </c>
      <c r="AH1278" s="1">
        <v>6272</v>
      </c>
      <c r="AI1278" s="1" t="b">
        <v>1</v>
      </c>
    </row>
    <row r="1279" spans="1:35" x14ac:dyDescent="0.25">
      <c r="A1279" s="1">
        <v>16</v>
      </c>
      <c r="B1279" s="1">
        <v>3</v>
      </c>
      <c r="C1279" s="1">
        <v>2020</v>
      </c>
      <c r="G1279" s="1" t="s">
        <v>38</v>
      </c>
      <c r="H1279" s="2">
        <v>3</v>
      </c>
      <c r="I1279" s="1">
        <v>10</v>
      </c>
      <c r="U1279" s="1">
        <v>14</v>
      </c>
      <c r="X1279" s="1">
        <v>12</v>
      </c>
      <c r="AA1279" s="1">
        <v>1</v>
      </c>
      <c r="AB1279" s="1">
        <v>2</v>
      </c>
      <c r="AC1279" s="1">
        <v>579</v>
      </c>
      <c r="AF1279" s="3">
        <v>3.3333333333333335</v>
      </c>
      <c r="AG1279" s="3">
        <v>0.64730078399237789</v>
      </c>
      <c r="AH1279" s="1">
        <v>6272</v>
      </c>
      <c r="AI1279" s="1" t="b">
        <v>1</v>
      </c>
    </row>
    <row r="1280" spans="1:35" x14ac:dyDescent="0.25">
      <c r="A1280" s="1">
        <v>16</v>
      </c>
      <c r="B1280" s="1">
        <v>3</v>
      </c>
      <c r="C1280" s="1">
        <v>2020</v>
      </c>
      <c r="G1280" s="1" t="s">
        <v>38</v>
      </c>
      <c r="H1280" s="2">
        <v>4.88</v>
      </c>
      <c r="I1280" s="1">
        <v>12</v>
      </c>
      <c r="U1280" s="1">
        <v>24</v>
      </c>
      <c r="X1280" s="1">
        <v>19</v>
      </c>
      <c r="AA1280" s="1">
        <v>2</v>
      </c>
      <c r="AB1280" s="1">
        <v>6</v>
      </c>
      <c r="AC1280" s="1">
        <v>803</v>
      </c>
      <c r="AF1280" s="3">
        <v>2.459016393442623</v>
      </c>
      <c r="AG1280" s="3">
        <v>1.2334809635356228</v>
      </c>
      <c r="AH1280" s="1">
        <v>6272</v>
      </c>
      <c r="AI1280" s="1" t="b">
        <v>1</v>
      </c>
    </row>
    <row r="1281" spans="1:35" x14ac:dyDescent="0.25">
      <c r="A1281" s="1">
        <v>16</v>
      </c>
      <c r="B1281" s="1">
        <v>3</v>
      </c>
      <c r="C1281" s="1">
        <v>2020</v>
      </c>
      <c r="G1281" s="1" t="s">
        <v>38</v>
      </c>
      <c r="H1281" s="2">
        <v>4.4800000000000004</v>
      </c>
      <c r="I1281" s="1">
        <v>14</v>
      </c>
      <c r="U1281" s="1">
        <v>24</v>
      </c>
      <c r="X1281" s="1">
        <v>20</v>
      </c>
      <c r="AA1281" s="1">
        <v>2</v>
      </c>
      <c r="AB1281" s="1">
        <v>4</v>
      </c>
      <c r="AC1281" s="1">
        <v>721</v>
      </c>
      <c r="AF1281" s="3">
        <v>3.1249999999999996</v>
      </c>
      <c r="AG1281" s="3">
        <v>0.91420709640900955</v>
      </c>
      <c r="AH1281" s="1">
        <v>6272</v>
      </c>
      <c r="AI1281" s="1" t="b">
        <v>1</v>
      </c>
    </row>
    <row r="1282" spans="1:35" x14ac:dyDescent="0.25">
      <c r="A1282" s="1">
        <v>16</v>
      </c>
      <c r="B1282" s="1">
        <v>3</v>
      </c>
      <c r="C1282" s="1">
        <v>2020</v>
      </c>
      <c r="G1282" s="1" t="s">
        <v>38</v>
      </c>
      <c r="H1282" s="2">
        <v>5.29</v>
      </c>
      <c r="I1282" s="1">
        <v>15</v>
      </c>
      <c r="U1282" s="1">
        <v>24</v>
      </c>
      <c r="X1282" s="1">
        <v>22</v>
      </c>
      <c r="AA1282" s="1">
        <v>3</v>
      </c>
      <c r="AB1282" s="1">
        <v>5</v>
      </c>
      <c r="AC1282" s="1">
        <v>826</v>
      </c>
      <c r="AF1282" s="3">
        <v>2.8355387523629489</v>
      </c>
      <c r="AG1282" s="3">
        <v>1.1318356875191713</v>
      </c>
      <c r="AH1282" s="1">
        <v>6272</v>
      </c>
      <c r="AI1282" s="1" t="b">
        <v>1</v>
      </c>
    </row>
    <row r="1283" spans="1:35" x14ac:dyDescent="0.25">
      <c r="A1283" s="1">
        <v>16</v>
      </c>
      <c r="B1283" s="1">
        <v>3</v>
      </c>
      <c r="C1283" s="1">
        <v>2020</v>
      </c>
      <c r="G1283" s="1" t="s">
        <v>38</v>
      </c>
      <c r="H1283" s="2">
        <v>6.58</v>
      </c>
      <c r="I1283" s="1">
        <v>18</v>
      </c>
      <c r="U1283" s="1">
        <v>30</v>
      </c>
      <c r="X1283" s="1">
        <v>23</v>
      </c>
      <c r="AA1283" s="1">
        <v>4</v>
      </c>
      <c r="AB1283" s="1">
        <v>4</v>
      </c>
      <c r="AC1283" s="1">
        <v>1154</v>
      </c>
      <c r="AF1283" s="3">
        <v>2.735562310030395</v>
      </c>
      <c r="AG1283" s="3">
        <v>1.3668205949856471</v>
      </c>
      <c r="AH1283" s="1">
        <v>6272</v>
      </c>
      <c r="AI1283" s="1" t="b">
        <v>1</v>
      </c>
    </row>
    <row r="1284" spans="1:35" x14ac:dyDescent="0.25">
      <c r="A1284" s="1">
        <v>16</v>
      </c>
      <c r="B1284" s="1">
        <v>3</v>
      </c>
      <c r="C1284" s="1">
        <v>2020</v>
      </c>
      <c r="G1284" s="1" t="s">
        <v>38</v>
      </c>
      <c r="H1284" s="2">
        <v>5.22</v>
      </c>
      <c r="I1284" s="1">
        <v>19</v>
      </c>
      <c r="U1284" s="1">
        <v>30</v>
      </c>
      <c r="X1284" s="1">
        <v>25</v>
      </c>
      <c r="AA1284" s="1">
        <v>4</v>
      </c>
      <c r="AB1284" s="1">
        <v>3</v>
      </c>
      <c r="AC1284" s="1">
        <v>862</v>
      </c>
      <c r="AF1284" s="3">
        <v>3.6398467432950192</v>
      </c>
      <c r="AG1284" s="3">
        <v>0.87354695491131584</v>
      </c>
      <c r="AH1284" s="1">
        <v>6272</v>
      </c>
      <c r="AI1284" s="1" t="b">
        <v>1</v>
      </c>
    </row>
    <row r="1285" spans="1:35" x14ac:dyDescent="0.25">
      <c r="A1285" s="1">
        <v>16</v>
      </c>
      <c r="B1285" s="1">
        <v>3</v>
      </c>
      <c r="C1285" s="1">
        <v>2020</v>
      </c>
      <c r="G1285" s="1" t="s">
        <v>38</v>
      </c>
      <c r="H1285" s="2">
        <v>5.0199999999999996</v>
      </c>
      <c r="I1285" s="1">
        <v>17</v>
      </c>
      <c r="U1285" s="1">
        <v>23</v>
      </c>
      <c r="X1285" s="1">
        <v>20</v>
      </c>
      <c r="AA1285" s="1">
        <v>2</v>
      </c>
      <c r="AB1285" s="1">
        <v>2</v>
      </c>
      <c r="AC1285" s="1">
        <v>699</v>
      </c>
      <c r="AF1285" s="3">
        <v>3.3864541832669324</v>
      </c>
      <c r="AG1285" s="3">
        <v>0.91358171294450397</v>
      </c>
      <c r="AH1285" s="1">
        <v>6272</v>
      </c>
      <c r="AI1285" s="1" t="b">
        <v>1</v>
      </c>
    </row>
    <row r="1286" spans="1:35" x14ac:dyDescent="0.25">
      <c r="A1286" s="1">
        <v>16</v>
      </c>
      <c r="B1286" s="1">
        <v>3</v>
      </c>
      <c r="C1286" s="1">
        <v>2020</v>
      </c>
      <c r="G1286" s="1" t="s">
        <v>38</v>
      </c>
      <c r="H1286" s="2">
        <v>6.2</v>
      </c>
      <c r="I1286" s="1">
        <v>13</v>
      </c>
      <c r="U1286" s="1">
        <v>22</v>
      </c>
      <c r="X1286" s="1">
        <v>20</v>
      </c>
      <c r="AA1286" s="1">
        <v>3</v>
      </c>
      <c r="AB1286" s="1">
        <v>6</v>
      </c>
      <c r="AC1286" s="1">
        <v>1001</v>
      </c>
      <c r="AF1286" s="3">
        <v>2.096774193548387</v>
      </c>
      <c r="AG1286" s="3">
        <v>1.7104977995966295</v>
      </c>
      <c r="AH1286" s="1">
        <v>6272</v>
      </c>
      <c r="AI1286" s="1" t="b">
        <v>1</v>
      </c>
    </row>
    <row r="1287" spans="1:35" x14ac:dyDescent="0.25">
      <c r="A1287" s="1">
        <v>16</v>
      </c>
      <c r="B1287" s="1">
        <v>3</v>
      </c>
      <c r="C1287" s="1">
        <v>2020</v>
      </c>
      <c r="G1287" s="1" t="s">
        <v>38</v>
      </c>
      <c r="H1287" s="2">
        <v>6.2</v>
      </c>
      <c r="I1287" s="1">
        <v>15</v>
      </c>
      <c r="U1287" s="1">
        <v>32</v>
      </c>
      <c r="X1287" s="1">
        <v>25</v>
      </c>
      <c r="AA1287" s="1">
        <v>4</v>
      </c>
      <c r="AB1287" s="1">
        <v>6</v>
      </c>
      <c r="AC1287" s="1">
        <v>998</v>
      </c>
      <c r="AF1287" s="3">
        <v>2.4193548387096775</v>
      </c>
      <c r="AG1287" s="3">
        <v>1.4824314263170788</v>
      </c>
      <c r="AH1287" s="1">
        <v>6272</v>
      </c>
      <c r="AI1287" s="1" t="b">
        <v>1</v>
      </c>
    </row>
    <row r="1288" spans="1:35" x14ac:dyDescent="0.25">
      <c r="A1288" s="1">
        <v>16</v>
      </c>
      <c r="B1288" s="1">
        <v>3</v>
      </c>
      <c r="C1288" s="1">
        <v>2020</v>
      </c>
      <c r="G1288" s="1" t="s">
        <v>38</v>
      </c>
      <c r="H1288" s="2">
        <v>4.25</v>
      </c>
      <c r="I1288" s="1">
        <v>14</v>
      </c>
      <c r="U1288" s="1">
        <v>21</v>
      </c>
      <c r="X1288" s="1">
        <v>18</v>
      </c>
      <c r="AA1288" s="1">
        <v>2</v>
      </c>
      <c r="AB1288" s="1">
        <v>5</v>
      </c>
      <c r="AC1288" s="1">
        <v>657</v>
      </c>
      <c r="AF1288" s="3">
        <v>3.2941176470588234</v>
      </c>
      <c r="AG1288" s="3">
        <v>0.8358592355331943</v>
      </c>
      <c r="AH1288" s="1">
        <v>6272</v>
      </c>
      <c r="AI1288" s="1" t="b">
        <v>1</v>
      </c>
    </row>
    <row r="1289" spans="1:35" x14ac:dyDescent="0.25">
      <c r="A1289" s="1">
        <v>16</v>
      </c>
      <c r="B1289" s="1">
        <v>3</v>
      </c>
      <c r="C1289" s="1">
        <v>2020</v>
      </c>
      <c r="G1289" s="1" t="s">
        <v>38</v>
      </c>
      <c r="H1289" s="2">
        <v>6</v>
      </c>
      <c r="I1289" s="1">
        <v>18</v>
      </c>
      <c r="U1289" s="1">
        <v>23</v>
      </c>
      <c r="X1289" s="1">
        <v>21</v>
      </c>
      <c r="AA1289" s="1">
        <v>2</v>
      </c>
      <c r="AB1289" s="1">
        <v>3</v>
      </c>
      <c r="AC1289" s="1">
        <v>862</v>
      </c>
      <c r="AF1289" s="3">
        <v>3</v>
      </c>
      <c r="AG1289" s="3">
        <v>1.1683813621357308</v>
      </c>
      <c r="AH1289" s="1">
        <v>6272</v>
      </c>
      <c r="AI1289" s="1" t="b">
        <v>1</v>
      </c>
    </row>
    <row r="1290" spans="1:35" x14ac:dyDescent="0.25">
      <c r="A1290" s="1">
        <v>16</v>
      </c>
      <c r="B1290" s="1">
        <v>3</v>
      </c>
      <c r="C1290" s="1">
        <v>2020</v>
      </c>
      <c r="G1290" s="1" t="s">
        <v>38</v>
      </c>
      <c r="H1290" s="2">
        <v>2.41</v>
      </c>
      <c r="I1290" s="1">
        <v>6</v>
      </c>
      <c r="U1290" s="1">
        <v>13</v>
      </c>
      <c r="X1290" s="1">
        <v>11</v>
      </c>
      <c r="AA1290" s="1">
        <v>3</v>
      </c>
      <c r="AB1290" s="1">
        <v>3</v>
      </c>
      <c r="AC1290" s="1">
        <v>441</v>
      </c>
      <c r="AF1290" s="3">
        <v>2.4896265560165975</v>
      </c>
      <c r="AG1290" s="3">
        <v>0.74349443463204878</v>
      </c>
      <c r="AH1290" s="1">
        <v>6272</v>
      </c>
      <c r="AI1290" s="1" t="b">
        <v>1</v>
      </c>
    </row>
    <row r="1291" spans="1:35" x14ac:dyDescent="0.25">
      <c r="A1291" s="1">
        <v>16</v>
      </c>
      <c r="B1291" s="1">
        <v>3</v>
      </c>
      <c r="C1291" s="1">
        <v>2020</v>
      </c>
      <c r="G1291" s="1" t="s">
        <v>38</v>
      </c>
      <c r="H1291" s="2">
        <v>4.26</v>
      </c>
      <c r="I1291" s="1">
        <v>13</v>
      </c>
      <c r="U1291" s="1">
        <v>18</v>
      </c>
      <c r="X1291" s="1">
        <v>16</v>
      </c>
      <c r="AA1291" s="1">
        <v>2</v>
      </c>
      <c r="AB1291" s="1">
        <v>1</v>
      </c>
      <c r="AC1291" s="1">
        <v>497</v>
      </c>
      <c r="AF1291" s="3">
        <v>3.051643192488263</v>
      </c>
      <c r="AG1291" s="3">
        <v>0.90375968872712586</v>
      </c>
      <c r="AH1291" s="1">
        <v>6272</v>
      </c>
      <c r="AI1291" s="1" t="b">
        <v>1</v>
      </c>
    </row>
    <row r="1292" spans="1:35" x14ac:dyDescent="0.25">
      <c r="A1292" s="1">
        <v>16</v>
      </c>
      <c r="B1292" s="1">
        <v>3</v>
      </c>
      <c r="C1292" s="1">
        <v>2020</v>
      </c>
      <c r="G1292" s="1" t="s">
        <v>38</v>
      </c>
      <c r="H1292" s="2">
        <v>4.09</v>
      </c>
      <c r="I1292" s="1">
        <v>13</v>
      </c>
      <c r="U1292" s="1">
        <v>19</v>
      </c>
      <c r="X1292" s="1">
        <v>16</v>
      </c>
      <c r="AA1292" s="1">
        <v>3</v>
      </c>
      <c r="AB1292" s="1">
        <v>5</v>
      </c>
      <c r="AC1292" s="1">
        <v>696</v>
      </c>
      <c r="AF1292" s="3">
        <v>3.1784841075794623</v>
      </c>
      <c r="AG1292" s="3">
        <v>0.84330809911993099</v>
      </c>
      <c r="AH1292" s="1">
        <v>6272</v>
      </c>
      <c r="AI1292" s="1" t="b">
        <v>1</v>
      </c>
    </row>
    <row r="1293" spans="1:35" x14ac:dyDescent="0.25">
      <c r="A1293" s="1">
        <v>16</v>
      </c>
      <c r="B1293" s="1">
        <v>3</v>
      </c>
      <c r="C1293" s="1">
        <v>2020</v>
      </c>
      <c r="G1293" s="1" t="s">
        <v>38</v>
      </c>
      <c r="H1293" s="2">
        <v>6.02</v>
      </c>
      <c r="I1293" s="1">
        <v>22</v>
      </c>
      <c r="U1293" s="1">
        <v>35</v>
      </c>
      <c r="X1293" s="1">
        <v>29</v>
      </c>
      <c r="AA1293" s="1">
        <v>3</v>
      </c>
      <c r="AB1293" s="1">
        <v>1</v>
      </c>
      <c r="AC1293" s="1">
        <v>976</v>
      </c>
      <c r="AF1293" s="3">
        <v>3.6544850498338874</v>
      </c>
      <c r="AG1293" s="3">
        <v>0.96137174583942864</v>
      </c>
      <c r="AH1293" s="1">
        <v>6272</v>
      </c>
      <c r="AI1293" s="1" t="b">
        <v>1</v>
      </c>
    </row>
    <row r="1294" spans="1:35" x14ac:dyDescent="0.25">
      <c r="A1294" s="1">
        <v>16</v>
      </c>
      <c r="B1294" s="1">
        <v>3</v>
      </c>
      <c r="C1294" s="1">
        <v>2020</v>
      </c>
      <c r="G1294" s="1" t="s">
        <v>38</v>
      </c>
      <c r="H1294" s="2">
        <v>7.27</v>
      </c>
      <c r="I1294" s="1">
        <v>22</v>
      </c>
      <c r="U1294" s="1">
        <v>36</v>
      </c>
      <c r="X1294" s="1">
        <v>29</v>
      </c>
      <c r="AA1294" s="1">
        <v>5</v>
      </c>
      <c r="AB1294" s="1">
        <v>6</v>
      </c>
      <c r="AC1294" s="1">
        <v>1098</v>
      </c>
      <c r="AF1294" s="3">
        <v>3.0261348005502064</v>
      </c>
      <c r="AG1294" s="3">
        <v>1.3249082904246872</v>
      </c>
      <c r="AH1294" s="1">
        <v>6272</v>
      </c>
      <c r="AI1294" s="1" t="b">
        <v>1</v>
      </c>
    </row>
    <row r="1295" spans="1:35" x14ac:dyDescent="0.25">
      <c r="A1295" s="1">
        <v>16</v>
      </c>
      <c r="B1295" s="1">
        <v>3</v>
      </c>
      <c r="C1295" s="1">
        <v>2020</v>
      </c>
      <c r="G1295" s="1" t="s">
        <v>38</v>
      </c>
      <c r="H1295" s="2">
        <v>2.85</v>
      </c>
      <c r="I1295" s="1">
        <v>7</v>
      </c>
      <c r="U1295" s="1">
        <v>10</v>
      </c>
      <c r="X1295" s="1">
        <v>8</v>
      </c>
      <c r="AA1295" s="1">
        <v>2</v>
      </c>
      <c r="AB1295" s="1">
        <v>2</v>
      </c>
      <c r="AC1295" s="1">
        <v>441</v>
      </c>
      <c r="AF1295" s="3">
        <v>2.4561403508771931</v>
      </c>
      <c r="AG1295" s="3">
        <v>0.84749710235937425</v>
      </c>
      <c r="AH1295" s="1">
        <v>6272</v>
      </c>
      <c r="AI1295" s="1" t="b">
        <v>1</v>
      </c>
    </row>
    <row r="1296" spans="1:35" x14ac:dyDescent="0.25">
      <c r="A1296" s="1">
        <v>16</v>
      </c>
      <c r="B1296" s="1">
        <v>3</v>
      </c>
      <c r="C1296" s="1">
        <v>2020</v>
      </c>
      <c r="G1296" s="1" t="s">
        <v>38</v>
      </c>
      <c r="H1296" s="2">
        <v>8.86</v>
      </c>
      <c r="I1296" s="1">
        <v>26</v>
      </c>
      <c r="U1296" s="1">
        <v>39</v>
      </c>
      <c r="X1296" s="1">
        <v>32</v>
      </c>
      <c r="AA1296" s="1">
        <v>3</v>
      </c>
      <c r="AB1296" s="1">
        <v>2</v>
      </c>
      <c r="AC1296" s="1">
        <v>1549</v>
      </c>
      <c r="AF1296" s="3">
        <v>2.9345372460496617</v>
      </c>
      <c r="AG1296" s="3">
        <v>1.5691482587962695</v>
      </c>
      <c r="AH1296" s="1">
        <v>6272</v>
      </c>
      <c r="AI1296" s="1" t="b">
        <v>1</v>
      </c>
    </row>
    <row r="1297" spans="1:35" x14ac:dyDescent="0.25">
      <c r="A1297" s="1">
        <v>16</v>
      </c>
      <c r="B1297" s="1">
        <v>3</v>
      </c>
      <c r="C1297" s="1">
        <v>2020</v>
      </c>
      <c r="G1297" s="1" t="s">
        <v>38</v>
      </c>
      <c r="H1297" s="2">
        <v>5.26</v>
      </c>
      <c r="I1297" s="1">
        <v>10</v>
      </c>
      <c r="U1297" s="1">
        <v>23</v>
      </c>
      <c r="X1297" s="1">
        <v>19</v>
      </c>
      <c r="AA1297" s="1">
        <v>4</v>
      </c>
      <c r="AB1297" s="1">
        <v>3</v>
      </c>
      <c r="AC1297" s="1">
        <v>813</v>
      </c>
      <c r="AF1297" s="3">
        <v>1.9011406844106464</v>
      </c>
      <c r="AG1297" s="3">
        <v>1.6814182815601448</v>
      </c>
      <c r="AH1297" s="1">
        <v>6272</v>
      </c>
      <c r="AI1297" s="1" t="b">
        <v>1</v>
      </c>
    </row>
    <row r="1298" spans="1:35" x14ac:dyDescent="0.25">
      <c r="A1298" s="1">
        <v>20</v>
      </c>
      <c r="B1298" s="1">
        <v>3</v>
      </c>
      <c r="C1298" s="1">
        <v>2020</v>
      </c>
      <c r="G1298" s="1" t="s">
        <v>38</v>
      </c>
      <c r="H1298" s="2">
        <v>5.18</v>
      </c>
      <c r="I1298" s="1">
        <v>11</v>
      </c>
      <c r="U1298" s="1">
        <v>15</v>
      </c>
      <c r="X1298" s="1">
        <v>12</v>
      </c>
      <c r="AA1298" s="1">
        <v>1</v>
      </c>
      <c r="AB1298" s="1">
        <v>5</v>
      </c>
      <c r="AC1298" s="1">
        <v>780</v>
      </c>
      <c r="AF1298" s="3">
        <v>2.1235521235521237</v>
      </c>
      <c r="AG1298" s="3">
        <v>1.4892510206374872</v>
      </c>
      <c r="AH1298" s="1">
        <v>6272</v>
      </c>
      <c r="AI1298" s="1" t="b">
        <v>1</v>
      </c>
    </row>
    <row r="1299" spans="1:35" x14ac:dyDescent="0.25">
      <c r="A1299" s="1">
        <v>20</v>
      </c>
      <c r="B1299" s="1">
        <v>3</v>
      </c>
      <c r="C1299" s="1">
        <v>2020</v>
      </c>
      <c r="G1299" s="1" t="s">
        <v>38</v>
      </c>
      <c r="H1299" s="2">
        <v>7.22</v>
      </c>
      <c r="I1299" s="1">
        <v>20</v>
      </c>
      <c r="V1299" s="1">
        <v>27</v>
      </c>
      <c r="X1299" s="1">
        <v>17</v>
      </c>
      <c r="AA1299" s="1">
        <v>1</v>
      </c>
      <c r="AB1299" s="1">
        <v>1</v>
      </c>
      <c r="AC1299" s="1">
        <v>789</v>
      </c>
      <c r="AF1299" s="3">
        <v>2.770083102493075</v>
      </c>
      <c r="AG1299" s="3">
        <v>1.4404004228892227</v>
      </c>
      <c r="AH1299" s="1">
        <v>6272</v>
      </c>
      <c r="AI1299" s="1" t="b">
        <v>1</v>
      </c>
    </row>
    <row r="1300" spans="1:35" x14ac:dyDescent="0.25">
      <c r="A1300" s="1">
        <v>20</v>
      </c>
      <c r="B1300" s="1">
        <v>3</v>
      </c>
      <c r="C1300" s="1">
        <v>2020</v>
      </c>
      <c r="G1300" s="1" t="s">
        <v>38</v>
      </c>
      <c r="H1300" s="2">
        <v>7.91</v>
      </c>
      <c r="I1300" s="1">
        <v>23</v>
      </c>
      <c r="U1300" s="1">
        <v>30</v>
      </c>
      <c r="X1300" s="1">
        <v>23</v>
      </c>
      <c r="AA1300" s="1">
        <v>2</v>
      </c>
      <c r="AB1300" s="1">
        <v>2</v>
      </c>
      <c r="AC1300" s="1">
        <v>1151</v>
      </c>
      <c r="AF1300" s="3">
        <v>2.9077117572692792</v>
      </c>
      <c r="AG1300" s="3">
        <v>1.462757002800591</v>
      </c>
      <c r="AH1300" s="1">
        <v>6272</v>
      </c>
      <c r="AI1300" s="1" t="b">
        <v>1</v>
      </c>
    </row>
    <row r="1301" spans="1:35" x14ac:dyDescent="0.25">
      <c r="A1301" s="1">
        <v>20</v>
      </c>
      <c r="B1301" s="1">
        <v>3</v>
      </c>
      <c r="C1301" s="1">
        <v>2020</v>
      </c>
      <c r="G1301" s="1" t="s">
        <v>38</v>
      </c>
      <c r="H1301" s="2">
        <v>7.26</v>
      </c>
      <c r="I1301" s="1">
        <v>16</v>
      </c>
      <c r="U1301" s="1">
        <v>30</v>
      </c>
      <c r="X1301" s="1">
        <v>21</v>
      </c>
      <c r="AA1301" s="1">
        <v>3</v>
      </c>
      <c r="AB1301" s="1">
        <v>2</v>
      </c>
      <c r="AC1301" s="1">
        <v>1279</v>
      </c>
      <c r="AF1301" s="3">
        <v>2.2038567493112948</v>
      </c>
      <c r="AG1301" s="3">
        <v>1.8174910149512011</v>
      </c>
      <c r="AH1301" s="1">
        <v>6272</v>
      </c>
      <c r="AI1301" s="1" t="b">
        <v>1</v>
      </c>
    </row>
    <row r="1302" spans="1:35" x14ac:dyDescent="0.25">
      <c r="A1302" s="1">
        <v>22</v>
      </c>
      <c r="B1302" s="1">
        <v>3</v>
      </c>
      <c r="C1302" s="1">
        <v>2020</v>
      </c>
      <c r="G1302" s="1" t="s">
        <v>38</v>
      </c>
      <c r="H1302" s="2">
        <v>6.14</v>
      </c>
      <c r="I1302" s="1">
        <v>14</v>
      </c>
      <c r="U1302" s="1">
        <v>27</v>
      </c>
      <c r="X1302" s="1">
        <v>21</v>
      </c>
      <c r="AA1302" s="1">
        <v>4</v>
      </c>
      <c r="AB1302" s="1">
        <v>3</v>
      </c>
      <c r="AC1302" s="1">
        <v>1025</v>
      </c>
      <c r="AF1302" s="3">
        <v>2.2801302931596092</v>
      </c>
      <c r="AG1302" s="3">
        <v>1.562277561813934</v>
      </c>
      <c r="AH1302" s="1">
        <v>6272</v>
      </c>
      <c r="AI1302" s="1" t="b">
        <v>1</v>
      </c>
    </row>
    <row r="1303" spans="1:35" x14ac:dyDescent="0.25">
      <c r="A1303" s="1">
        <v>22</v>
      </c>
      <c r="B1303" s="1">
        <v>3</v>
      </c>
      <c r="C1303" s="1">
        <v>2020</v>
      </c>
      <c r="G1303" s="1" t="s">
        <v>38</v>
      </c>
      <c r="H1303" s="2">
        <v>5.1100000000000003</v>
      </c>
      <c r="I1303" s="1">
        <v>15</v>
      </c>
      <c r="U1303" s="1">
        <v>23</v>
      </c>
      <c r="X1303" s="1">
        <v>17</v>
      </c>
      <c r="AA1303" s="1">
        <v>2</v>
      </c>
      <c r="AB1303" s="1">
        <v>3</v>
      </c>
      <c r="AC1303" s="1">
        <v>763</v>
      </c>
      <c r="AF1303" s="3">
        <v>2.9354207436399213</v>
      </c>
      <c r="AG1303" s="3">
        <v>1.0671470573986446</v>
      </c>
      <c r="AH1303" s="1">
        <v>6272</v>
      </c>
      <c r="AI1303" s="1" t="b">
        <v>1</v>
      </c>
    </row>
    <row r="1304" spans="1:35" x14ac:dyDescent="0.25">
      <c r="A1304" s="1">
        <v>22</v>
      </c>
      <c r="B1304" s="1">
        <v>3</v>
      </c>
      <c r="C1304" s="1">
        <v>2020</v>
      </c>
      <c r="G1304" s="1" t="s">
        <v>38</v>
      </c>
      <c r="H1304" s="2">
        <v>4.3899999999999997</v>
      </c>
      <c r="I1304" s="1">
        <v>13</v>
      </c>
      <c r="U1304" s="1">
        <v>17</v>
      </c>
      <c r="X1304" s="1">
        <v>15</v>
      </c>
      <c r="AA1304" s="1">
        <v>2</v>
      </c>
      <c r="AB1304" s="1">
        <v>2</v>
      </c>
      <c r="AC1304" s="1">
        <v>549</v>
      </c>
      <c r="AF1304" s="3">
        <v>2.9612756264236904</v>
      </c>
      <c r="AG1304" s="3">
        <v>0.95114413023794109</v>
      </c>
      <c r="AH1304" s="1">
        <v>6272</v>
      </c>
      <c r="AI1304" s="1" t="b">
        <v>1</v>
      </c>
    </row>
    <row r="1305" spans="1:35" x14ac:dyDescent="0.25">
      <c r="A1305" s="1">
        <v>22</v>
      </c>
      <c r="B1305" s="1">
        <v>3</v>
      </c>
      <c r="C1305" s="1">
        <v>2020</v>
      </c>
      <c r="G1305" s="1" t="s">
        <v>38</v>
      </c>
      <c r="H1305" s="2">
        <v>5.48</v>
      </c>
      <c r="I1305" s="1">
        <v>19</v>
      </c>
      <c r="U1305" s="1">
        <v>25</v>
      </c>
      <c r="X1305" s="1">
        <v>21</v>
      </c>
      <c r="AA1305" s="1">
        <v>2</v>
      </c>
      <c r="AB1305" s="1">
        <v>3</v>
      </c>
      <c r="AC1305" s="1">
        <v>817</v>
      </c>
      <c r="AF1305" s="3">
        <v>3.4671532846715327</v>
      </c>
      <c r="AG1305" s="3">
        <v>0.94879709971648929</v>
      </c>
      <c r="AH1305" s="1">
        <v>6272</v>
      </c>
      <c r="AI1305" s="1" t="b">
        <v>1</v>
      </c>
    </row>
    <row r="1306" spans="1:35" x14ac:dyDescent="0.25">
      <c r="A1306" s="1">
        <v>22</v>
      </c>
      <c r="B1306" s="1">
        <v>3</v>
      </c>
      <c r="C1306" s="1">
        <v>2020</v>
      </c>
      <c r="G1306" s="1" t="s">
        <v>38</v>
      </c>
      <c r="H1306" s="2">
        <v>5.74</v>
      </c>
      <c r="I1306" s="1">
        <v>15</v>
      </c>
      <c r="V1306" s="1">
        <v>26</v>
      </c>
      <c r="X1306" s="1">
        <v>24</v>
      </c>
      <c r="AA1306" s="1">
        <v>3</v>
      </c>
      <c r="AB1306" s="1">
        <v>4</v>
      </c>
      <c r="AC1306" s="1">
        <v>667</v>
      </c>
      <c r="AF1306" s="3">
        <v>2.6132404181184667</v>
      </c>
      <c r="AG1306" s="3">
        <v>1.3003460956538508</v>
      </c>
      <c r="AH1306" s="1">
        <v>6272</v>
      </c>
      <c r="AI1306" s="1" t="b">
        <v>1</v>
      </c>
    </row>
    <row r="1307" spans="1:35" x14ac:dyDescent="0.25">
      <c r="A1307" s="1">
        <v>22</v>
      </c>
      <c r="B1307" s="1">
        <v>3</v>
      </c>
      <c r="C1307" s="1">
        <v>2020</v>
      </c>
      <c r="G1307" s="1" t="s">
        <v>38</v>
      </c>
      <c r="H1307" s="2">
        <v>4.71</v>
      </c>
      <c r="I1307" s="1">
        <v>17</v>
      </c>
      <c r="U1307" s="1">
        <v>22</v>
      </c>
      <c r="X1307" s="1">
        <v>21</v>
      </c>
      <c r="AA1307" s="1">
        <v>3</v>
      </c>
      <c r="AB1307" s="1">
        <v>3</v>
      </c>
      <c r="AC1307" s="1">
        <v>795</v>
      </c>
      <c r="AF1307" s="3">
        <v>3.6093418259023355</v>
      </c>
      <c r="AG1307" s="3">
        <v>0.81975980660438585</v>
      </c>
      <c r="AH1307" s="1">
        <v>6272</v>
      </c>
      <c r="AI1307" s="1" t="b">
        <v>1</v>
      </c>
    </row>
    <row r="1308" spans="1:35" x14ac:dyDescent="0.25">
      <c r="A1308" s="1">
        <v>22</v>
      </c>
      <c r="B1308" s="1">
        <v>3</v>
      </c>
      <c r="C1308" s="1">
        <v>2020</v>
      </c>
      <c r="G1308" s="1" t="s">
        <v>38</v>
      </c>
      <c r="H1308" s="2">
        <v>3.26</v>
      </c>
      <c r="I1308" s="1">
        <v>11</v>
      </c>
      <c r="U1308" s="1">
        <v>20</v>
      </c>
      <c r="X1308" s="1">
        <v>19</v>
      </c>
      <c r="AA1308" s="1">
        <v>3</v>
      </c>
      <c r="AB1308" s="1">
        <v>2</v>
      </c>
      <c r="AC1308" s="1">
        <v>579</v>
      </c>
      <c r="AF1308" s="3">
        <v>3.3742331288343559</v>
      </c>
      <c r="AG1308" s="3">
        <v>0.67776203013445702</v>
      </c>
      <c r="AH1308" s="1">
        <v>6272</v>
      </c>
      <c r="AI1308" s="1" t="b">
        <v>1</v>
      </c>
    </row>
    <row r="1309" spans="1:35" x14ac:dyDescent="0.25">
      <c r="A1309" s="1">
        <v>22</v>
      </c>
      <c r="B1309" s="1">
        <v>3</v>
      </c>
      <c r="C1309" s="1">
        <v>2020</v>
      </c>
      <c r="G1309" s="1" t="s">
        <v>38</v>
      </c>
      <c r="H1309" s="2">
        <v>3.11</v>
      </c>
      <c r="I1309" s="1">
        <v>8</v>
      </c>
      <c r="U1309" s="1">
        <v>17</v>
      </c>
      <c r="X1309" s="1">
        <v>14</v>
      </c>
      <c r="AA1309" s="1">
        <v>3</v>
      </c>
      <c r="AB1309" s="1">
        <v>3</v>
      </c>
      <c r="AC1309" s="1">
        <v>577</v>
      </c>
      <c r="AF1309" s="3">
        <v>2.572347266881029</v>
      </c>
      <c r="AG1309" s="3">
        <v>0.86020640978491936</v>
      </c>
      <c r="AH1309" s="1">
        <v>6272</v>
      </c>
      <c r="AI1309" s="1" t="b">
        <v>1</v>
      </c>
    </row>
    <row r="1310" spans="1:35" x14ac:dyDescent="0.25">
      <c r="A1310" s="1">
        <v>22</v>
      </c>
      <c r="B1310" s="1">
        <v>3</v>
      </c>
      <c r="C1310" s="1">
        <v>2020</v>
      </c>
      <c r="G1310" s="1" t="s">
        <v>38</v>
      </c>
      <c r="H1310" s="2">
        <v>3.73</v>
      </c>
      <c r="I1310" s="1">
        <v>10</v>
      </c>
      <c r="U1310" s="1">
        <v>17</v>
      </c>
      <c r="X1310" s="1">
        <v>13</v>
      </c>
      <c r="AA1310" s="1">
        <v>2</v>
      </c>
      <c r="AB1310" s="1">
        <v>3</v>
      </c>
      <c r="AC1310" s="1">
        <v>498</v>
      </c>
      <c r="AF1310" s="3">
        <v>2.6809651474530831</v>
      </c>
      <c r="AG1310" s="3">
        <v>0.93735697218485181</v>
      </c>
      <c r="AH1310" s="1">
        <v>6272</v>
      </c>
      <c r="AI1310" s="1" t="b">
        <v>1</v>
      </c>
    </row>
    <row r="1311" spans="1:35" x14ac:dyDescent="0.25">
      <c r="A1311" s="1">
        <v>22</v>
      </c>
      <c r="B1311" s="1">
        <v>3</v>
      </c>
      <c r="C1311" s="1">
        <v>2020</v>
      </c>
      <c r="G1311" s="1" t="s">
        <v>38</v>
      </c>
      <c r="H1311" s="2">
        <v>5.8</v>
      </c>
      <c r="I1311" s="1">
        <v>16</v>
      </c>
      <c r="U1311" s="1">
        <v>27</v>
      </c>
      <c r="X1311" s="1">
        <v>22</v>
      </c>
      <c r="AA1311" s="1">
        <v>5</v>
      </c>
      <c r="AB1311" s="1">
        <v>2</v>
      </c>
      <c r="AC1311" s="1">
        <v>857</v>
      </c>
      <c r="AF1311" s="3">
        <v>2.7586206896551726</v>
      </c>
      <c r="AG1311" s="3">
        <v>1.2408166326868899</v>
      </c>
      <c r="AH1311" s="1">
        <v>6272</v>
      </c>
      <c r="AI1311" s="1" t="b">
        <v>1</v>
      </c>
    </row>
    <row r="1312" spans="1:35" x14ac:dyDescent="0.25">
      <c r="A1312" s="1">
        <v>22</v>
      </c>
      <c r="B1312" s="1">
        <v>3</v>
      </c>
      <c r="C1312" s="1">
        <v>2020</v>
      </c>
      <c r="G1312" s="1" t="s">
        <v>38</v>
      </c>
      <c r="H1312" s="2">
        <v>5.29</v>
      </c>
      <c r="I1312" s="1">
        <v>15</v>
      </c>
      <c r="U1312" s="1">
        <v>21</v>
      </c>
      <c r="X1312" s="1">
        <v>17</v>
      </c>
      <c r="AA1312" s="1">
        <v>2</v>
      </c>
      <c r="AB1312" s="1">
        <v>3</v>
      </c>
      <c r="AC1312" s="1">
        <v>761</v>
      </c>
      <c r="AF1312" s="3">
        <v>2.8355387523629489</v>
      </c>
      <c r="AG1312" s="3">
        <v>1.1318356875191713</v>
      </c>
      <c r="AH1312" s="1">
        <v>6272</v>
      </c>
      <c r="AI1312" s="1" t="b">
        <v>1</v>
      </c>
    </row>
    <row r="1313" spans="1:35" x14ac:dyDescent="0.25">
      <c r="A1313" s="1">
        <v>22</v>
      </c>
      <c r="B1313" s="1">
        <v>3</v>
      </c>
      <c r="C1313" s="1">
        <v>2020</v>
      </c>
      <c r="G1313" s="1" t="s">
        <v>38</v>
      </c>
      <c r="H1313" s="2">
        <v>7.4</v>
      </c>
      <c r="I1313" s="1">
        <v>25</v>
      </c>
      <c r="U1313" s="1">
        <v>36</v>
      </c>
      <c r="X1313" s="1">
        <v>30</v>
      </c>
      <c r="AA1313" s="1">
        <v>3</v>
      </c>
      <c r="AB1313" s="1">
        <v>2</v>
      </c>
      <c r="AC1313" s="1">
        <v>1043</v>
      </c>
      <c r="AF1313" s="3">
        <v>3.3783783783783781</v>
      </c>
      <c r="AG1313" s="3">
        <v>1.2015833861459266</v>
      </c>
      <c r="AH1313" s="1">
        <v>6272</v>
      </c>
      <c r="AI1313" s="1" t="b">
        <v>1</v>
      </c>
    </row>
    <row r="1314" spans="1:35" x14ac:dyDescent="0.25">
      <c r="A1314" s="1">
        <v>22</v>
      </c>
      <c r="B1314" s="1">
        <v>3</v>
      </c>
      <c r="C1314" s="1">
        <v>2020</v>
      </c>
      <c r="G1314" s="1" t="s">
        <v>38</v>
      </c>
      <c r="H1314" s="2">
        <v>5.89</v>
      </c>
      <c r="I1314" s="1">
        <v>16</v>
      </c>
      <c r="U1314" s="1">
        <v>25</v>
      </c>
      <c r="X1314" s="1">
        <v>19</v>
      </c>
      <c r="AA1314" s="1">
        <v>2</v>
      </c>
      <c r="AB1314" s="1">
        <v>7</v>
      </c>
      <c r="AC1314" s="1">
        <v>1110</v>
      </c>
      <c r="AF1314" s="3">
        <v>2.7164685908319188</v>
      </c>
      <c r="AG1314" s="3">
        <v>1.2737260132631034</v>
      </c>
      <c r="AH1314" s="1">
        <v>6272</v>
      </c>
      <c r="AI1314" s="1" t="b">
        <v>1</v>
      </c>
    </row>
    <row r="1315" spans="1:35" x14ac:dyDescent="0.25">
      <c r="A1315" s="1">
        <v>22</v>
      </c>
      <c r="B1315" s="1">
        <v>3</v>
      </c>
      <c r="C1315" s="1">
        <v>2020</v>
      </c>
      <c r="G1315" s="1" t="s">
        <v>38</v>
      </c>
      <c r="H1315" s="2">
        <v>5.08</v>
      </c>
      <c r="I1315" s="1">
        <v>12</v>
      </c>
      <c r="U1315" s="1">
        <v>21</v>
      </c>
      <c r="X1315" s="1">
        <v>17</v>
      </c>
      <c r="AA1315" s="1">
        <v>3</v>
      </c>
      <c r="AB1315" s="1">
        <v>3</v>
      </c>
      <c r="AC1315" s="1">
        <v>725</v>
      </c>
      <c r="AF1315" s="3">
        <v>2.3622047244094486</v>
      </c>
      <c r="AG1315" s="3">
        <v>1.3206479599618126</v>
      </c>
      <c r="AH1315" s="1">
        <v>6272</v>
      </c>
      <c r="AI1315" s="1" t="b">
        <v>1</v>
      </c>
    </row>
    <row r="1316" spans="1:35" x14ac:dyDescent="0.25">
      <c r="A1316" s="1">
        <v>22</v>
      </c>
      <c r="B1316" s="1">
        <v>3</v>
      </c>
      <c r="C1316" s="1">
        <v>2020</v>
      </c>
      <c r="G1316" s="1" t="s">
        <v>38</v>
      </c>
      <c r="H1316" s="2">
        <v>4.6399999999999997</v>
      </c>
      <c r="I1316" s="1">
        <v>11</v>
      </c>
      <c r="U1316" s="1">
        <v>16</v>
      </c>
      <c r="X1316" s="1">
        <v>13</v>
      </c>
      <c r="AA1316" s="1">
        <v>2</v>
      </c>
      <c r="AB1316" s="1">
        <v>4</v>
      </c>
      <c r="AC1316" s="1">
        <v>701</v>
      </c>
      <c r="AF1316" s="3">
        <v>2.3706896551724141</v>
      </c>
      <c r="AG1316" s="3">
        <v>1.2350595033957279</v>
      </c>
      <c r="AH1316" s="1">
        <v>6272</v>
      </c>
      <c r="AI1316" s="1" t="b">
        <v>1</v>
      </c>
    </row>
    <row r="1317" spans="1:35" x14ac:dyDescent="0.25">
      <c r="A1317" s="1">
        <v>22</v>
      </c>
      <c r="B1317" s="1">
        <v>3</v>
      </c>
      <c r="C1317" s="1">
        <v>2020</v>
      </c>
      <c r="G1317" s="1" t="s">
        <v>38</v>
      </c>
      <c r="H1317" s="2">
        <v>4.97</v>
      </c>
      <c r="I1317" s="1">
        <v>17</v>
      </c>
      <c r="U1317" s="1">
        <v>22</v>
      </c>
      <c r="X1317" s="1">
        <v>20</v>
      </c>
      <c r="AA1317" s="1">
        <v>2</v>
      </c>
      <c r="AB1317" s="1">
        <v>4</v>
      </c>
      <c r="AC1317" s="1">
        <v>757</v>
      </c>
      <c r="AF1317" s="3">
        <v>3.4205231388329982</v>
      </c>
      <c r="AG1317" s="3">
        <v>0.89816667960475094</v>
      </c>
      <c r="AH1317" s="1">
        <v>6272</v>
      </c>
      <c r="AI1317" s="1" t="b">
        <v>1</v>
      </c>
    </row>
    <row r="1318" spans="1:35" x14ac:dyDescent="0.25">
      <c r="A1318" s="1">
        <v>22</v>
      </c>
      <c r="B1318" s="1">
        <v>3</v>
      </c>
      <c r="C1318" s="1">
        <v>2020</v>
      </c>
      <c r="G1318" s="1" t="s">
        <v>38</v>
      </c>
      <c r="H1318" s="2">
        <v>5.58</v>
      </c>
      <c r="I1318" s="1">
        <v>19</v>
      </c>
      <c r="U1318" s="1">
        <v>29</v>
      </c>
      <c r="X1318" s="1">
        <v>24</v>
      </c>
      <c r="AA1318" s="1">
        <v>3</v>
      </c>
      <c r="AB1318" s="1">
        <v>2</v>
      </c>
      <c r="AC1318" s="1">
        <v>871</v>
      </c>
      <c r="AF1318" s="3">
        <v>3.4050179211469533</v>
      </c>
      <c r="AG1318" s="3">
        <v>0.97841823295837305</v>
      </c>
      <c r="AH1318" s="1">
        <v>6272</v>
      </c>
      <c r="AI1318" s="1" t="b">
        <v>1</v>
      </c>
    </row>
    <row r="1319" spans="1:35" x14ac:dyDescent="0.25">
      <c r="A1319" s="1">
        <v>22</v>
      </c>
      <c r="B1319" s="1">
        <v>3</v>
      </c>
      <c r="C1319" s="1">
        <v>2020</v>
      </c>
      <c r="G1319" s="1" t="s">
        <v>38</v>
      </c>
      <c r="H1319" s="2">
        <v>6.94</v>
      </c>
      <c r="I1319" s="1">
        <v>25</v>
      </c>
      <c r="U1319" s="1">
        <v>40</v>
      </c>
      <c r="X1319" s="1">
        <v>33</v>
      </c>
      <c r="AA1319" s="1">
        <v>2</v>
      </c>
      <c r="AB1319" s="1">
        <v>4</v>
      </c>
      <c r="AC1319" s="1">
        <v>1130</v>
      </c>
      <c r="AF1319" s="3">
        <v>3.6023054755043225</v>
      </c>
      <c r="AG1319" s="3">
        <v>1.0773854126945845</v>
      </c>
      <c r="AH1319" s="1">
        <v>6272</v>
      </c>
      <c r="AI1319" s="1" t="b">
        <v>1</v>
      </c>
    </row>
    <row r="1320" spans="1:35" x14ac:dyDescent="0.25">
      <c r="A1320" s="1">
        <v>22</v>
      </c>
      <c r="B1320" s="1">
        <v>3</v>
      </c>
      <c r="C1320" s="1">
        <v>2020</v>
      </c>
      <c r="G1320" s="1" t="s">
        <v>38</v>
      </c>
      <c r="H1320" s="2">
        <v>6.43</v>
      </c>
      <c r="I1320" s="1">
        <v>17</v>
      </c>
      <c r="V1320" s="1">
        <v>30</v>
      </c>
      <c r="X1320" s="1">
        <v>22</v>
      </c>
      <c r="AA1320" s="1">
        <v>3</v>
      </c>
      <c r="AB1320" s="1">
        <v>5</v>
      </c>
      <c r="AC1320" s="1">
        <v>753</v>
      </c>
      <c r="AF1320" s="3">
        <v>2.6438569206842923</v>
      </c>
      <c r="AG1320" s="3">
        <v>1.3915849800862741</v>
      </c>
      <c r="AH1320" s="1">
        <v>6272</v>
      </c>
      <c r="AI1320" s="1" t="b">
        <v>1</v>
      </c>
    </row>
    <row r="1321" spans="1:35" x14ac:dyDescent="0.25">
      <c r="A1321" s="1">
        <v>22</v>
      </c>
      <c r="B1321" s="1">
        <v>3</v>
      </c>
      <c r="C1321" s="1">
        <v>2020</v>
      </c>
      <c r="G1321" s="1" t="s">
        <v>38</v>
      </c>
      <c r="H1321" s="2">
        <v>4.0599999999999996</v>
      </c>
      <c r="I1321" s="1">
        <v>9</v>
      </c>
      <c r="U1321" s="1">
        <v>17</v>
      </c>
      <c r="X1321" s="1">
        <v>13</v>
      </c>
      <c r="AA1321" s="1">
        <v>2</v>
      </c>
      <c r="AB1321" s="1">
        <v>3</v>
      </c>
      <c r="AC1321" s="1">
        <v>720</v>
      </c>
      <c r="AF1321" s="3">
        <v>2.2167487684729066</v>
      </c>
      <c r="AG1321" s="3">
        <v>1.2029615537141172</v>
      </c>
      <c r="AH1321" s="1">
        <v>6272</v>
      </c>
      <c r="AI1321" s="1" t="b">
        <v>1</v>
      </c>
    </row>
    <row r="1322" spans="1:35" x14ac:dyDescent="0.25">
      <c r="A1322" s="1">
        <v>22</v>
      </c>
      <c r="B1322" s="1">
        <v>3</v>
      </c>
      <c r="C1322" s="1">
        <v>2020</v>
      </c>
      <c r="G1322" s="1" t="s">
        <v>38</v>
      </c>
      <c r="H1322" s="2">
        <v>2.7</v>
      </c>
      <c r="I1322" s="1">
        <v>7</v>
      </c>
      <c r="U1322" s="1">
        <v>12</v>
      </c>
      <c r="X1322" s="1">
        <v>9</v>
      </c>
      <c r="AA1322" s="1">
        <v>2</v>
      </c>
      <c r="AB1322" s="1">
        <v>2</v>
      </c>
      <c r="AC1322" s="1">
        <v>465</v>
      </c>
      <c r="AF1322" s="3">
        <v>2.5925925925925926</v>
      </c>
      <c r="AG1322" s="3">
        <v>0.77307273921033204</v>
      </c>
      <c r="AH1322" s="1">
        <v>6272</v>
      </c>
      <c r="AI1322" s="1" t="b">
        <v>1</v>
      </c>
    </row>
    <row r="1323" spans="1:35" x14ac:dyDescent="0.25">
      <c r="A1323" s="1">
        <v>22</v>
      </c>
      <c r="B1323" s="1">
        <v>3</v>
      </c>
      <c r="C1323" s="1">
        <v>2020</v>
      </c>
      <c r="G1323" s="1" t="s">
        <v>38</v>
      </c>
      <c r="H1323" s="2">
        <v>5.27</v>
      </c>
      <c r="I1323" s="1">
        <v>13</v>
      </c>
      <c r="U1323" s="1">
        <v>27</v>
      </c>
      <c r="X1323" s="1">
        <v>22</v>
      </c>
      <c r="AA1323" s="1">
        <v>3</v>
      </c>
      <c r="AB1323" s="1">
        <v>2</v>
      </c>
      <c r="AC1323" s="1">
        <v>793</v>
      </c>
      <c r="AF1323" s="3">
        <v>2.4667931688804554</v>
      </c>
      <c r="AG1323" s="3">
        <v>1.2975816449290369</v>
      </c>
      <c r="AH1323" s="1">
        <v>6272</v>
      </c>
      <c r="AI1323" s="1" t="b">
        <v>1</v>
      </c>
    </row>
    <row r="1324" spans="1:35" x14ac:dyDescent="0.25">
      <c r="A1324" s="1">
        <v>22</v>
      </c>
      <c r="B1324" s="1">
        <v>3</v>
      </c>
      <c r="C1324" s="1">
        <v>2020</v>
      </c>
      <c r="G1324" s="1" t="s">
        <v>38</v>
      </c>
      <c r="H1324" s="2">
        <v>6.01</v>
      </c>
      <c r="I1324" s="1">
        <v>16</v>
      </c>
      <c r="U1324" s="1">
        <v>29</v>
      </c>
      <c r="X1324" s="1">
        <v>24</v>
      </c>
      <c r="AA1324" s="1">
        <v>4</v>
      </c>
      <c r="AB1324" s="1">
        <v>5</v>
      </c>
      <c r="AC1324" s="1">
        <v>865</v>
      </c>
      <c r="AF1324" s="3">
        <v>2.6622296173044928</v>
      </c>
      <c r="AG1324" s="3">
        <v>1.3181554200917196</v>
      </c>
      <c r="AH1324" s="1">
        <v>6272</v>
      </c>
      <c r="AI1324" s="1" t="b">
        <v>1</v>
      </c>
    </row>
    <row r="1325" spans="1:35" x14ac:dyDescent="0.25">
      <c r="A1325" s="1">
        <v>28</v>
      </c>
      <c r="B1325" s="1">
        <v>3</v>
      </c>
      <c r="C1325" s="1">
        <v>2020</v>
      </c>
      <c r="G1325" s="1" t="s">
        <v>38</v>
      </c>
      <c r="H1325" s="2">
        <v>5.73</v>
      </c>
      <c r="I1325" s="1">
        <v>9</v>
      </c>
      <c r="U1325" s="1">
        <v>12</v>
      </c>
      <c r="X1325" s="1">
        <v>12</v>
      </c>
      <c r="AA1325" s="1">
        <v>3</v>
      </c>
      <c r="AB1325" s="1">
        <v>4</v>
      </c>
      <c r="AC1325" s="1">
        <v>422</v>
      </c>
      <c r="AF1325" s="3">
        <v>1.5706806282722512</v>
      </c>
      <c r="AG1325" s="3">
        <v>2.1608287418623533</v>
      </c>
      <c r="AH1325" s="1">
        <v>6273</v>
      </c>
      <c r="AI1325" s="1" t="b">
        <v>1</v>
      </c>
    </row>
    <row r="1326" spans="1:35" x14ac:dyDescent="0.25">
      <c r="A1326" s="1">
        <v>28</v>
      </c>
      <c r="B1326" s="1">
        <v>3</v>
      </c>
      <c r="C1326" s="1">
        <v>2020</v>
      </c>
      <c r="G1326" s="1" t="s">
        <v>38</v>
      </c>
      <c r="H1326" s="2">
        <v>7.34</v>
      </c>
      <c r="I1326" s="1">
        <v>9</v>
      </c>
      <c r="V1326" s="1">
        <v>15</v>
      </c>
      <c r="X1326" s="1">
        <v>14</v>
      </c>
      <c r="AA1326" s="1">
        <v>3</v>
      </c>
      <c r="AB1326" s="1">
        <v>3</v>
      </c>
      <c r="AC1326" s="1">
        <v>549</v>
      </c>
      <c r="AF1326" s="3">
        <v>1.2261580381471391</v>
      </c>
      <c r="AG1326" s="3">
        <v>3.2918557224189868</v>
      </c>
      <c r="AH1326" s="1">
        <v>6273</v>
      </c>
      <c r="AI1326" s="1" t="b">
        <v>1</v>
      </c>
    </row>
    <row r="1327" spans="1:35" x14ac:dyDescent="0.25">
      <c r="A1327" s="1">
        <v>1</v>
      </c>
      <c r="B1327" s="1">
        <v>4</v>
      </c>
      <c r="C1327" s="1">
        <v>2020</v>
      </c>
      <c r="G1327" s="1" t="s">
        <v>38</v>
      </c>
      <c r="H1327" s="2">
        <v>8.06</v>
      </c>
      <c r="I1327" s="1">
        <v>21</v>
      </c>
      <c r="U1327" s="1">
        <v>39</v>
      </c>
      <c r="X1327" s="1">
        <v>31</v>
      </c>
      <c r="AA1327" s="1">
        <v>3</v>
      </c>
      <c r="AB1327" s="1">
        <v>2</v>
      </c>
      <c r="AC1327" s="1">
        <v>1148</v>
      </c>
      <c r="AF1327" s="3">
        <v>2.6054590570719602</v>
      </c>
      <c r="AG1327" s="3">
        <v>1.6540562564020842</v>
      </c>
      <c r="AH1327" s="1">
        <v>6274</v>
      </c>
      <c r="AI1327" s="1" t="b">
        <v>1</v>
      </c>
    </row>
    <row r="1328" spans="1:35" x14ac:dyDescent="0.25">
      <c r="A1328" s="1">
        <v>1</v>
      </c>
      <c r="B1328" s="1">
        <v>4</v>
      </c>
      <c r="C1328" s="1">
        <v>2020</v>
      </c>
      <c r="G1328" s="1" t="s">
        <v>38</v>
      </c>
      <c r="H1328" s="2">
        <v>5.24</v>
      </c>
      <c r="I1328" s="1">
        <v>15</v>
      </c>
      <c r="U1328" s="1">
        <v>23</v>
      </c>
      <c r="X1328" s="1">
        <v>19</v>
      </c>
      <c r="AA1328" s="1">
        <v>4</v>
      </c>
      <c r="AB1328" s="1">
        <v>2</v>
      </c>
      <c r="AC1328" s="1">
        <v>684</v>
      </c>
      <c r="AF1328" s="3">
        <v>2.8625954198473282</v>
      </c>
      <c r="AG1328" s="3">
        <v>1.1137095117590583</v>
      </c>
      <c r="AH1328" s="1">
        <v>6274</v>
      </c>
      <c r="AI1328" s="1" t="b">
        <v>1</v>
      </c>
    </row>
    <row r="1329" spans="1:35" x14ac:dyDescent="0.25">
      <c r="A1329" s="1">
        <v>1</v>
      </c>
      <c r="B1329" s="1">
        <v>4</v>
      </c>
      <c r="C1329" s="1">
        <v>2020</v>
      </c>
      <c r="G1329" s="1" t="s">
        <v>38</v>
      </c>
      <c r="H1329" s="2">
        <v>5.36</v>
      </c>
      <c r="I1329" s="1">
        <v>18</v>
      </c>
      <c r="U1329" s="1">
        <v>22</v>
      </c>
      <c r="X1329" s="1">
        <v>20</v>
      </c>
      <c r="AA1329" s="1">
        <v>2</v>
      </c>
      <c r="AB1329" s="1">
        <v>2</v>
      </c>
      <c r="AC1329" s="1">
        <v>682</v>
      </c>
      <c r="AF1329" s="3">
        <v>3.3582089552238803</v>
      </c>
      <c r="AG1329" s="3">
        <v>0.96451200460898512</v>
      </c>
      <c r="AH1329" s="1">
        <v>6274</v>
      </c>
      <c r="AI1329" s="1" t="b">
        <v>1</v>
      </c>
    </row>
    <row r="1330" spans="1:35" x14ac:dyDescent="0.25">
      <c r="A1330" s="1">
        <v>1</v>
      </c>
      <c r="B1330" s="1">
        <v>4</v>
      </c>
      <c r="C1330" s="1">
        <v>2020</v>
      </c>
      <c r="G1330" s="1" t="s">
        <v>38</v>
      </c>
      <c r="H1330" s="2">
        <v>6.29</v>
      </c>
      <c r="I1330" s="1">
        <v>21</v>
      </c>
      <c r="U1330" s="1">
        <v>33</v>
      </c>
      <c r="X1330" s="1">
        <v>26</v>
      </c>
      <c r="AA1330" s="1">
        <v>3</v>
      </c>
      <c r="AB1330" s="1">
        <v>3</v>
      </c>
      <c r="AC1330" s="1">
        <v>1115</v>
      </c>
      <c r="AF1330" s="3">
        <v>3.3386327503974562</v>
      </c>
      <c r="AG1330" s="3">
        <v>1.0851425734787865</v>
      </c>
      <c r="AH1330" s="1">
        <v>6274</v>
      </c>
      <c r="AI1330" s="1" t="b">
        <v>1</v>
      </c>
    </row>
    <row r="1331" spans="1:35" x14ac:dyDescent="0.25">
      <c r="A1331" s="1">
        <v>1</v>
      </c>
      <c r="B1331" s="1">
        <v>4</v>
      </c>
      <c r="C1331" s="1">
        <v>2020</v>
      </c>
      <c r="G1331" s="1" t="s">
        <v>38</v>
      </c>
      <c r="H1331" s="2">
        <v>6.31</v>
      </c>
      <c r="I1331" s="1">
        <v>17</v>
      </c>
      <c r="U1331" s="1">
        <v>26</v>
      </c>
      <c r="X1331" s="1">
        <v>21</v>
      </c>
      <c r="AA1331" s="1">
        <v>3</v>
      </c>
      <c r="AB1331" s="1">
        <v>4</v>
      </c>
      <c r="AC1331" s="1">
        <v>1070</v>
      </c>
      <c r="AF1331" s="3">
        <v>2.6941362916006342</v>
      </c>
      <c r="AG1331" s="3">
        <v>1.3477240840065281</v>
      </c>
      <c r="AH1331" s="1">
        <v>6274</v>
      </c>
      <c r="AI1331" s="1" t="b">
        <v>1</v>
      </c>
    </row>
    <row r="1332" spans="1:35" x14ac:dyDescent="0.25">
      <c r="A1332" s="1">
        <v>14</v>
      </c>
      <c r="B1332" s="1">
        <v>4</v>
      </c>
      <c r="C1332" s="1">
        <v>2020</v>
      </c>
      <c r="G1332" s="1" t="s">
        <v>38</v>
      </c>
      <c r="H1332" s="2">
        <v>8.84</v>
      </c>
      <c r="I1332" s="1">
        <v>31</v>
      </c>
      <c r="U1332" s="1">
        <v>34</v>
      </c>
      <c r="X1332" s="1">
        <v>31</v>
      </c>
      <c r="AA1332" s="1">
        <v>1</v>
      </c>
      <c r="AB1332" s="1">
        <v>1</v>
      </c>
      <c r="AC1332" s="1">
        <v>1190</v>
      </c>
      <c r="AF1332" s="3">
        <v>3.5067873303167421</v>
      </c>
      <c r="AG1332" s="3">
        <v>1.3110134785094874</v>
      </c>
      <c r="AH1332" s="1">
        <v>6276</v>
      </c>
      <c r="AI1332" s="1" t="b">
        <v>1</v>
      </c>
    </row>
    <row r="1333" spans="1:35" x14ac:dyDescent="0.25">
      <c r="A1333" s="1">
        <v>14</v>
      </c>
      <c r="B1333" s="1">
        <v>4</v>
      </c>
      <c r="C1333" s="1">
        <v>2020</v>
      </c>
      <c r="G1333" s="1" t="s">
        <v>38</v>
      </c>
      <c r="H1333" s="2">
        <v>3.95</v>
      </c>
      <c r="I1333" s="1">
        <v>8</v>
      </c>
      <c r="U1333" s="1">
        <v>13</v>
      </c>
      <c r="X1333" s="1">
        <v>11</v>
      </c>
      <c r="AA1333" s="1">
        <v>2</v>
      </c>
      <c r="AB1333" s="1">
        <v>2</v>
      </c>
      <c r="AC1333" s="1">
        <v>472</v>
      </c>
      <c r="AF1333" s="3">
        <v>2.0253164556962022</v>
      </c>
      <c r="AG1333" s="3">
        <v>1.2915911946378569</v>
      </c>
      <c r="AH1333" s="1">
        <v>6276</v>
      </c>
      <c r="AI1333" s="1" t="b">
        <v>1</v>
      </c>
    </row>
    <row r="1334" spans="1:35" x14ac:dyDescent="0.25">
      <c r="A1334" s="1">
        <v>14</v>
      </c>
      <c r="B1334" s="1">
        <v>4</v>
      </c>
      <c r="C1334" s="1">
        <v>2020</v>
      </c>
      <c r="G1334" s="1" t="s">
        <v>38</v>
      </c>
      <c r="H1334" s="2">
        <v>8.52</v>
      </c>
      <c r="I1334" s="1">
        <v>22</v>
      </c>
      <c r="U1334" s="1">
        <v>35</v>
      </c>
      <c r="X1334" s="1">
        <v>33</v>
      </c>
      <c r="AA1334" s="1">
        <v>5</v>
      </c>
      <c r="AB1334" s="1">
        <v>4</v>
      </c>
      <c r="AC1334" s="1">
        <v>1167</v>
      </c>
      <c r="AF1334" s="3">
        <v>2.5821596244131455</v>
      </c>
      <c r="AG1334" s="3">
        <v>1.7351004813971009</v>
      </c>
      <c r="AH1334" s="1">
        <v>6276</v>
      </c>
      <c r="AI1334" s="1" t="b">
        <v>1</v>
      </c>
    </row>
    <row r="1335" spans="1:35" x14ac:dyDescent="0.25">
      <c r="A1335" s="1">
        <v>14</v>
      </c>
      <c r="B1335" s="1">
        <v>4</v>
      </c>
      <c r="C1335" s="1">
        <v>2020</v>
      </c>
      <c r="G1335" s="1" t="s">
        <v>38</v>
      </c>
      <c r="H1335" s="2">
        <v>6.57</v>
      </c>
      <c r="I1335" s="1">
        <v>25</v>
      </c>
      <c r="U1335" s="1">
        <v>33</v>
      </c>
      <c r="X1335" s="1">
        <v>29</v>
      </c>
      <c r="AA1335" s="1">
        <v>3</v>
      </c>
      <c r="AB1335" s="1">
        <v>2</v>
      </c>
      <c r="AC1335" s="1">
        <v>992</v>
      </c>
      <c r="AF1335" s="3">
        <v>3.8051750380517504</v>
      </c>
      <c r="AG1335" s="3">
        <v>0.9815696454329742</v>
      </c>
      <c r="AH1335" s="1">
        <v>6276</v>
      </c>
      <c r="AI1335" s="1" t="b">
        <v>1</v>
      </c>
    </row>
    <row r="1336" spans="1:35" x14ac:dyDescent="0.25">
      <c r="A1336" s="1">
        <v>14</v>
      </c>
      <c r="B1336" s="1">
        <v>4</v>
      </c>
      <c r="C1336" s="1">
        <v>2020</v>
      </c>
      <c r="G1336" s="1" t="s">
        <v>38</v>
      </c>
      <c r="H1336" s="2">
        <v>5.17</v>
      </c>
      <c r="I1336" s="1">
        <v>18</v>
      </c>
      <c r="U1336" s="1">
        <v>25</v>
      </c>
      <c r="X1336" s="1">
        <v>22</v>
      </c>
      <c r="AA1336" s="1">
        <v>3</v>
      </c>
      <c r="AB1336" s="1">
        <v>2</v>
      </c>
      <c r="AC1336" s="1">
        <v>753</v>
      </c>
      <c r="AF1336" s="3">
        <v>3.4816247582205029</v>
      </c>
      <c r="AG1336" s="3">
        <v>0.90711305684569532</v>
      </c>
      <c r="AH1336" s="1">
        <v>6276</v>
      </c>
      <c r="AI1336" s="1" t="b">
        <v>1</v>
      </c>
    </row>
    <row r="1337" spans="1:35" x14ac:dyDescent="0.25">
      <c r="A1337" s="1">
        <v>14</v>
      </c>
      <c r="B1337" s="1">
        <v>4</v>
      </c>
      <c r="C1337" s="1">
        <v>2020</v>
      </c>
      <c r="G1337" s="1" t="s">
        <v>38</v>
      </c>
      <c r="H1337" s="2">
        <v>5.27</v>
      </c>
      <c r="I1337" s="1">
        <v>11</v>
      </c>
      <c r="U1337" s="1">
        <v>23</v>
      </c>
      <c r="X1337" s="1">
        <v>18</v>
      </c>
      <c r="AA1337" s="1">
        <v>3</v>
      </c>
      <c r="AB1337" s="1">
        <v>3</v>
      </c>
      <c r="AC1337" s="1">
        <v>795</v>
      </c>
      <c r="AF1337" s="3">
        <v>2.0872865275142316</v>
      </c>
      <c r="AG1337" s="3">
        <v>1.5335055803706801</v>
      </c>
      <c r="AH1337" s="1">
        <v>6276</v>
      </c>
      <c r="AI1337" s="1" t="b">
        <v>1</v>
      </c>
    </row>
    <row r="1338" spans="1:35" x14ac:dyDescent="0.25">
      <c r="A1338" s="1">
        <v>14</v>
      </c>
      <c r="B1338" s="1">
        <v>4</v>
      </c>
      <c r="C1338" s="1">
        <v>2020</v>
      </c>
      <c r="G1338" s="1" t="s">
        <v>38</v>
      </c>
      <c r="H1338" s="2">
        <v>6.34</v>
      </c>
      <c r="I1338" s="1">
        <v>15</v>
      </c>
      <c r="U1338" s="1">
        <v>32</v>
      </c>
      <c r="X1338" s="1">
        <v>24</v>
      </c>
      <c r="AA1338" s="1">
        <v>4</v>
      </c>
      <c r="AB1338" s="1">
        <v>1</v>
      </c>
      <c r="AC1338" s="1">
        <v>864</v>
      </c>
      <c r="AF1338" s="3">
        <v>2.3659305993690851</v>
      </c>
      <c r="AG1338" s="3">
        <v>1.5397863996218235</v>
      </c>
      <c r="AH1338" s="1">
        <v>6276</v>
      </c>
      <c r="AI1338" s="1" t="b">
        <v>1</v>
      </c>
    </row>
    <row r="1339" spans="1:35" x14ac:dyDescent="0.25">
      <c r="A1339" s="1">
        <v>14</v>
      </c>
      <c r="B1339" s="1">
        <v>4</v>
      </c>
      <c r="C1339" s="1">
        <v>2020</v>
      </c>
      <c r="G1339" s="1" t="s">
        <v>38</v>
      </c>
      <c r="H1339" s="2">
        <v>5.72</v>
      </c>
      <c r="I1339" s="1">
        <v>18</v>
      </c>
      <c r="U1339" s="1">
        <v>30</v>
      </c>
      <c r="X1339" s="1">
        <v>25</v>
      </c>
      <c r="AA1339" s="1">
        <v>4</v>
      </c>
      <c r="AB1339" s="1">
        <v>2</v>
      </c>
      <c r="AC1339" s="1">
        <v>859</v>
      </c>
      <c r="AF1339" s="3">
        <v>3.1468531468531471</v>
      </c>
      <c r="AG1339" s="3">
        <v>1.0772109113527657</v>
      </c>
      <c r="AH1339" s="1">
        <v>6276</v>
      </c>
      <c r="AI1339" s="1" t="b">
        <v>1</v>
      </c>
    </row>
    <row r="1340" spans="1:35" x14ac:dyDescent="0.25">
      <c r="A1340" s="1">
        <v>14</v>
      </c>
      <c r="B1340" s="1">
        <v>4</v>
      </c>
      <c r="C1340" s="1">
        <v>2020</v>
      </c>
      <c r="G1340" s="1" t="s">
        <v>38</v>
      </c>
      <c r="H1340" s="2">
        <v>5.34</v>
      </c>
      <c r="I1340" s="1">
        <v>20</v>
      </c>
      <c r="U1340" s="1">
        <v>27</v>
      </c>
      <c r="X1340" s="1">
        <v>24</v>
      </c>
      <c r="AA1340" s="1">
        <v>3</v>
      </c>
      <c r="AB1340" s="1">
        <v>2</v>
      </c>
      <c r="AC1340" s="1">
        <v>825</v>
      </c>
      <c r="AF1340" s="3">
        <v>3.7453183520599254</v>
      </c>
      <c r="AG1340" s="3">
        <v>0.86256164212376552</v>
      </c>
      <c r="AH1340" s="1">
        <v>6276</v>
      </c>
      <c r="AI1340" s="1" t="b">
        <v>1</v>
      </c>
    </row>
    <row r="1341" spans="1:35" x14ac:dyDescent="0.25">
      <c r="A1341" s="1">
        <v>14</v>
      </c>
      <c r="B1341" s="1">
        <v>4</v>
      </c>
      <c r="C1341" s="1">
        <v>2020</v>
      </c>
      <c r="G1341" s="1" t="s">
        <v>38</v>
      </c>
      <c r="H1341" s="2">
        <v>6.87</v>
      </c>
      <c r="I1341" s="1">
        <v>15</v>
      </c>
      <c r="U1341" s="1">
        <v>30</v>
      </c>
      <c r="X1341" s="1">
        <v>25</v>
      </c>
      <c r="AA1341" s="1">
        <v>5</v>
      </c>
      <c r="AB1341" s="1">
        <v>5</v>
      </c>
      <c r="AC1341" s="1">
        <v>1061</v>
      </c>
      <c r="AF1341" s="3">
        <v>2.1834061135371177</v>
      </c>
      <c r="AG1341" s="3">
        <v>1.76496132770418</v>
      </c>
      <c r="AH1341" s="1">
        <v>6276</v>
      </c>
      <c r="AI1341" s="1" t="b">
        <v>1</v>
      </c>
    </row>
    <row r="1342" spans="1:35" x14ac:dyDescent="0.25">
      <c r="A1342" s="1">
        <v>14</v>
      </c>
      <c r="B1342" s="1">
        <v>4</v>
      </c>
      <c r="C1342" s="1">
        <v>2020</v>
      </c>
      <c r="G1342" s="1" t="s">
        <v>38</v>
      </c>
      <c r="H1342" s="2">
        <v>6.44</v>
      </c>
      <c r="I1342" s="1">
        <v>17</v>
      </c>
      <c r="U1342" s="1">
        <v>27</v>
      </c>
      <c r="X1342" s="1">
        <v>23</v>
      </c>
      <c r="AA1342" s="1">
        <v>3</v>
      </c>
      <c r="AB1342" s="1">
        <v>6</v>
      </c>
      <c r="AC1342" s="1">
        <v>1022</v>
      </c>
      <c r="AF1342" s="3">
        <v>2.639751552795031</v>
      </c>
      <c r="AG1342" s="3">
        <v>1.3952661340039043</v>
      </c>
      <c r="AH1342" s="1">
        <v>6276</v>
      </c>
      <c r="AI1342" s="1" t="b">
        <v>1</v>
      </c>
    </row>
    <row r="1343" spans="1:35" x14ac:dyDescent="0.25">
      <c r="A1343" s="1">
        <v>14</v>
      </c>
      <c r="B1343" s="1">
        <v>4</v>
      </c>
      <c r="C1343" s="1">
        <v>2020</v>
      </c>
      <c r="G1343" s="1" t="s">
        <v>38</v>
      </c>
      <c r="H1343" s="2">
        <v>3.92</v>
      </c>
      <c r="I1343" s="1">
        <v>9</v>
      </c>
      <c r="U1343" s="1">
        <v>15</v>
      </c>
      <c r="X1343" s="1">
        <v>12</v>
      </c>
      <c r="AA1343" s="1">
        <v>3</v>
      </c>
      <c r="AB1343" s="1">
        <v>3</v>
      </c>
      <c r="AC1343" s="1">
        <v>559</v>
      </c>
      <c r="AF1343" s="3">
        <v>2.295918367346939</v>
      </c>
      <c r="AG1343" s="3">
        <v>1.1332971705739383</v>
      </c>
      <c r="AH1343" s="1">
        <v>6276</v>
      </c>
      <c r="AI1343" s="1" t="b">
        <v>1</v>
      </c>
    </row>
    <row r="1344" spans="1:35" x14ac:dyDescent="0.25">
      <c r="A1344" s="1">
        <v>14</v>
      </c>
      <c r="B1344" s="1">
        <v>4</v>
      </c>
      <c r="C1344" s="1">
        <v>2020</v>
      </c>
      <c r="G1344" s="1" t="s">
        <v>38</v>
      </c>
      <c r="H1344" s="2">
        <v>5.55</v>
      </c>
      <c r="I1344" s="1">
        <v>13</v>
      </c>
      <c r="U1344" s="1">
        <v>23</v>
      </c>
      <c r="X1344" s="1">
        <v>20</v>
      </c>
      <c r="AA1344" s="1">
        <v>3</v>
      </c>
      <c r="AB1344" s="1">
        <v>2</v>
      </c>
      <c r="AC1344" s="1">
        <v>708</v>
      </c>
      <c r="AF1344" s="3">
        <v>2.3423423423423424</v>
      </c>
      <c r="AG1344" s="3">
        <v>1.416950631190103</v>
      </c>
      <c r="AH1344" s="1">
        <v>6276</v>
      </c>
      <c r="AI1344" s="1" t="b">
        <v>1</v>
      </c>
    </row>
    <row r="1345" spans="1:35" x14ac:dyDescent="0.25">
      <c r="A1345" s="1">
        <v>14</v>
      </c>
      <c r="B1345" s="1">
        <v>4</v>
      </c>
      <c r="C1345" s="1">
        <v>2020</v>
      </c>
      <c r="G1345" s="1" t="s">
        <v>38</v>
      </c>
      <c r="H1345" s="2">
        <v>6.55</v>
      </c>
      <c r="I1345" s="1">
        <v>17</v>
      </c>
      <c r="U1345" s="1">
        <v>28</v>
      </c>
      <c r="X1345" s="1">
        <v>22</v>
      </c>
      <c r="AA1345" s="1">
        <v>3</v>
      </c>
      <c r="AB1345" s="1">
        <v>2</v>
      </c>
      <c r="AC1345" s="1">
        <v>926</v>
      </c>
      <c r="AF1345" s="3">
        <v>2.5954198473282442</v>
      </c>
      <c r="AG1345" s="3">
        <v>1.4360226454934955</v>
      </c>
      <c r="AH1345" s="1">
        <v>6276</v>
      </c>
      <c r="AI1345" s="1" t="b">
        <v>1</v>
      </c>
    </row>
    <row r="1346" spans="1:35" x14ac:dyDescent="0.25">
      <c r="A1346" s="1">
        <v>14</v>
      </c>
      <c r="B1346" s="1">
        <v>4</v>
      </c>
      <c r="C1346" s="1">
        <v>2020</v>
      </c>
      <c r="G1346" s="1" t="s">
        <v>38</v>
      </c>
      <c r="H1346" s="2">
        <v>6.3</v>
      </c>
      <c r="I1346" s="1">
        <v>22</v>
      </c>
      <c r="U1346" s="1">
        <v>30</v>
      </c>
      <c r="X1346" s="1">
        <v>26</v>
      </c>
      <c r="AA1346" s="1">
        <v>2</v>
      </c>
      <c r="AB1346" s="1">
        <v>2</v>
      </c>
      <c r="AC1346" s="1">
        <v>827</v>
      </c>
      <c r="AF1346" s="3">
        <v>3.4920634920634921</v>
      </c>
      <c r="AG1346" s="3">
        <v>1.038618976422877</v>
      </c>
      <c r="AH1346" s="1">
        <v>6276</v>
      </c>
      <c r="AI1346" s="1" t="b">
        <v>1</v>
      </c>
    </row>
    <row r="1347" spans="1:35" x14ac:dyDescent="0.25">
      <c r="A1347" s="1">
        <v>14</v>
      </c>
      <c r="B1347" s="1">
        <v>4</v>
      </c>
      <c r="C1347" s="1">
        <v>2020</v>
      </c>
      <c r="G1347" s="1" t="s">
        <v>38</v>
      </c>
      <c r="H1347" s="2">
        <v>4.1500000000000004</v>
      </c>
      <c r="I1347" s="1">
        <v>10</v>
      </c>
      <c r="U1347" s="1">
        <v>19</v>
      </c>
      <c r="X1347" s="1">
        <v>15</v>
      </c>
      <c r="AA1347" s="1">
        <v>3</v>
      </c>
      <c r="AB1347" s="1">
        <v>5</v>
      </c>
      <c r="AC1347" s="1">
        <v>707</v>
      </c>
      <c r="AF1347" s="3">
        <v>2.4096385542168672</v>
      </c>
      <c r="AG1347" s="3">
        <v>1.1237812051892688</v>
      </c>
      <c r="AH1347" s="1">
        <v>6276</v>
      </c>
      <c r="AI1347" s="1" t="b">
        <v>1</v>
      </c>
    </row>
    <row r="1348" spans="1:35" x14ac:dyDescent="0.25">
      <c r="A1348" s="1">
        <v>14</v>
      </c>
      <c r="B1348" s="1">
        <v>4</v>
      </c>
      <c r="C1348" s="1">
        <v>2020</v>
      </c>
      <c r="G1348" s="1" t="s">
        <v>38</v>
      </c>
      <c r="H1348" s="2">
        <v>4.8600000000000003</v>
      </c>
      <c r="I1348" s="1">
        <v>12</v>
      </c>
      <c r="U1348" s="1">
        <v>20</v>
      </c>
      <c r="X1348" s="1">
        <v>19</v>
      </c>
      <c r="AA1348" s="1">
        <v>4</v>
      </c>
      <c r="AB1348" s="1">
        <v>2</v>
      </c>
      <c r="AC1348" s="1">
        <v>684</v>
      </c>
      <c r="AF1348" s="3">
        <v>2.4691358024691357</v>
      </c>
      <c r="AG1348" s="3">
        <v>1.224899371199683</v>
      </c>
      <c r="AH1348" s="1">
        <v>6276</v>
      </c>
      <c r="AI1348" s="1" t="b">
        <v>1</v>
      </c>
    </row>
    <row r="1349" spans="1:35" x14ac:dyDescent="0.25">
      <c r="A1349" s="1">
        <v>14</v>
      </c>
      <c r="B1349" s="1">
        <v>4</v>
      </c>
      <c r="C1349" s="1">
        <v>2020</v>
      </c>
      <c r="G1349" s="1" t="s">
        <v>38</v>
      </c>
      <c r="H1349" s="2">
        <v>4.25</v>
      </c>
      <c r="I1349" s="1">
        <v>12</v>
      </c>
      <c r="U1349" s="1">
        <v>20</v>
      </c>
      <c r="X1349" s="1">
        <v>16</v>
      </c>
      <c r="AA1349" s="1">
        <v>3</v>
      </c>
      <c r="AB1349" s="1">
        <v>4</v>
      </c>
      <c r="AC1349" s="1">
        <v>646</v>
      </c>
      <c r="AF1349" s="3">
        <v>2.8235294117647061</v>
      </c>
      <c r="AG1349" s="3">
        <v>0.97516910812206004</v>
      </c>
      <c r="AH1349" s="1">
        <v>6276</v>
      </c>
      <c r="AI1349" s="1" t="b">
        <v>1</v>
      </c>
    </row>
    <row r="1350" spans="1:35" x14ac:dyDescent="0.25">
      <c r="A1350" s="1">
        <v>14</v>
      </c>
      <c r="B1350" s="1">
        <v>4</v>
      </c>
      <c r="C1350" s="1">
        <v>2020</v>
      </c>
      <c r="G1350" s="1" t="s">
        <v>38</v>
      </c>
      <c r="H1350" s="2">
        <v>2.62</v>
      </c>
      <c r="I1350" s="1">
        <v>5</v>
      </c>
      <c r="U1350" s="1">
        <v>11</v>
      </c>
      <c r="X1350" s="1">
        <v>7</v>
      </c>
      <c r="AA1350" s="1">
        <v>2</v>
      </c>
      <c r="AB1350" s="1">
        <v>2</v>
      </c>
      <c r="AC1350" s="1">
        <v>541</v>
      </c>
      <c r="AF1350" s="3">
        <v>1.9083969465648853</v>
      </c>
      <c r="AG1350" s="3">
        <v>1.0283529326184442</v>
      </c>
      <c r="AH1350" s="1">
        <v>6276</v>
      </c>
      <c r="AI1350" s="1" t="b">
        <v>1</v>
      </c>
    </row>
    <row r="1351" spans="1:35" x14ac:dyDescent="0.25">
      <c r="A1351" s="1">
        <v>14</v>
      </c>
      <c r="B1351" s="1">
        <v>4</v>
      </c>
      <c r="C1351" s="1">
        <v>2020</v>
      </c>
      <c r="G1351" s="1" t="s">
        <v>38</v>
      </c>
      <c r="H1351" s="2">
        <v>7.54</v>
      </c>
      <c r="I1351" s="1">
        <v>25</v>
      </c>
      <c r="U1351" s="1">
        <v>37</v>
      </c>
      <c r="X1351" s="1">
        <v>35</v>
      </c>
      <c r="AA1351" s="1">
        <v>3</v>
      </c>
      <c r="AB1351" s="1">
        <v>2</v>
      </c>
      <c r="AC1351" s="1">
        <v>999</v>
      </c>
      <c r="AF1351" s="3">
        <v>3.3156498673740051</v>
      </c>
      <c r="AG1351" s="3">
        <v>1.2404843206949527</v>
      </c>
      <c r="AH1351" s="1">
        <v>6276</v>
      </c>
      <c r="AI1351" s="1" t="b">
        <v>1</v>
      </c>
    </row>
    <row r="1352" spans="1:35" x14ac:dyDescent="0.25">
      <c r="A1352" s="1">
        <v>14</v>
      </c>
      <c r="B1352" s="1">
        <v>4</v>
      </c>
      <c r="C1352" s="1">
        <v>2020</v>
      </c>
      <c r="G1352" s="1" t="s">
        <v>38</v>
      </c>
      <c r="H1352" s="2">
        <v>4.49</v>
      </c>
      <c r="I1352" s="1">
        <v>15</v>
      </c>
      <c r="U1352" s="1">
        <v>21</v>
      </c>
      <c r="X1352" s="1">
        <v>18</v>
      </c>
      <c r="AA1352" s="1">
        <v>2</v>
      </c>
      <c r="AB1352" s="1">
        <v>4</v>
      </c>
      <c r="AC1352" s="1">
        <v>722</v>
      </c>
      <c r="AF1352" s="3">
        <v>3.3407572383073494</v>
      </c>
      <c r="AG1352" s="3">
        <v>0.8565003024283443</v>
      </c>
      <c r="AH1352" s="1">
        <v>6276</v>
      </c>
      <c r="AI1352" s="1" t="b">
        <v>1</v>
      </c>
    </row>
    <row r="1353" spans="1:35" x14ac:dyDescent="0.25">
      <c r="A1353" s="1">
        <v>14</v>
      </c>
      <c r="B1353" s="1">
        <v>4</v>
      </c>
      <c r="C1353" s="1">
        <v>2020</v>
      </c>
      <c r="G1353" s="1" t="s">
        <v>38</v>
      </c>
      <c r="H1353" s="2">
        <v>4.84</v>
      </c>
      <c r="I1353" s="1">
        <v>15</v>
      </c>
      <c r="U1353" s="1">
        <v>22</v>
      </c>
      <c r="X1353" s="1">
        <v>20</v>
      </c>
      <c r="AA1353" s="1">
        <v>3</v>
      </c>
      <c r="AB1353" s="1">
        <v>3</v>
      </c>
      <c r="AC1353" s="1">
        <v>801</v>
      </c>
      <c r="AF1353" s="3">
        <v>3.0991735537190084</v>
      </c>
      <c r="AG1353" s="3">
        <v>0.97307397117890782</v>
      </c>
      <c r="AH1353" s="1">
        <v>6276</v>
      </c>
      <c r="AI1353" s="1" t="b">
        <v>1</v>
      </c>
    </row>
    <row r="1354" spans="1:35" x14ac:dyDescent="0.25">
      <c r="A1354" s="1">
        <v>14</v>
      </c>
      <c r="B1354" s="1">
        <v>4</v>
      </c>
      <c r="C1354" s="1">
        <v>2020</v>
      </c>
      <c r="G1354" s="1" t="s">
        <v>38</v>
      </c>
      <c r="H1354" s="2">
        <v>5.71</v>
      </c>
      <c r="I1354" s="1">
        <v>17</v>
      </c>
      <c r="U1354" s="1">
        <v>25</v>
      </c>
      <c r="X1354" s="1">
        <v>21</v>
      </c>
      <c r="AA1354" s="1">
        <v>3</v>
      </c>
      <c r="AB1354" s="1">
        <v>4</v>
      </c>
      <c r="AC1354" s="1">
        <v>881</v>
      </c>
      <c r="AF1354" s="3">
        <v>2.9772329246935203</v>
      </c>
      <c r="AG1354" s="3">
        <v>1.1371885090893525</v>
      </c>
      <c r="AH1354" s="1">
        <v>6276</v>
      </c>
      <c r="AI1354" s="1" t="b">
        <v>1</v>
      </c>
    </row>
    <row r="1355" spans="1:35" x14ac:dyDescent="0.25">
      <c r="A1355" s="1">
        <v>14</v>
      </c>
      <c r="B1355" s="1">
        <v>4</v>
      </c>
      <c r="C1355" s="1">
        <v>2020</v>
      </c>
      <c r="G1355" s="1" t="s">
        <v>38</v>
      </c>
      <c r="H1355" s="2">
        <v>4.8099999999999996</v>
      </c>
      <c r="I1355" s="1">
        <v>14</v>
      </c>
      <c r="U1355" s="1">
        <v>19</v>
      </c>
      <c r="X1355" s="1">
        <v>18</v>
      </c>
      <c r="AA1355" s="1">
        <v>2</v>
      </c>
      <c r="AB1355" s="1">
        <v>4</v>
      </c>
      <c r="AC1355" s="1">
        <v>841</v>
      </c>
      <c r="AF1355" s="3">
        <v>2.9106029106029108</v>
      </c>
      <c r="AG1355" s="3">
        <v>1.0316172468040634</v>
      </c>
      <c r="AH1355" s="1">
        <v>6276</v>
      </c>
      <c r="AI1355" s="1" t="b">
        <v>1</v>
      </c>
    </row>
    <row r="1356" spans="1:35" x14ac:dyDescent="0.25">
      <c r="A1356" s="1">
        <v>14</v>
      </c>
      <c r="B1356" s="1">
        <v>4</v>
      </c>
      <c r="C1356" s="1">
        <v>2020</v>
      </c>
      <c r="G1356" s="1" t="s">
        <v>38</v>
      </c>
      <c r="H1356" s="2">
        <v>5.33</v>
      </c>
      <c r="I1356" s="1">
        <v>20</v>
      </c>
      <c r="U1356" s="1">
        <v>28</v>
      </c>
      <c r="X1356" s="1">
        <v>23</v>
      </c>
      <c r="AA1356" s="1">
        <v>2</v>
      </c>
      <c r="AB1356" s="1">
        <v>3</v>
      </c>
      <c r="AC1356" s="1">
        <v>815</v>
      </c>
      <c r="AF1356" s="3">
        <v>3.75234521575985</v>
      </c>
      <c r="AG1356" s="3">
        <v>0.85981745950661936</v>
      </c>
      <c r="AH1356" s="1">
        <v>6276</v>
      </c>
      <c r="AI1356" s="1" t="b">
        <v>1</v>
      </c>
    </row>
    <row r="1357" spans="1:35" x14ac:dyDescent="0.25">
      <c r="A1357" s="1">
        <v>14</v>
      </c>
      <c r="B1357" s="1">
        <v>4</v>
      </c>
      <c r="C1357" s="1">
        <v>2020</v>
      </c>
      <c r="G1357" s="1" t="s">
        <v>38</v>
      </c>
      <c r="H1357" s="2">
        <v>8.67</v>
      </c>
      <c r="I1357" s="1">
        <v>27</v>
      </c>
      <c r="U1357" s="1">
        <v>39</v>
      </c>
      <c r="X1357" s="1">
        <v>35</v>
      </c>
      <c r="AA1357" s="1">
        <v>2</v>
      </c>
      <c r="AB1357" s="1">
        <v>1</v>
      </c>
      <c r="AC1357" s="1">
        <v>1157</v>
      </c>
      <c r="AF1357" s="3">
        <v>3.1141868512110729</v>
      </c>
      <c r="AG1357" s="3">
        <v>1.4563598636599706</v>
      </c>
      <c r="AH1357" s="1">
        <v>6276</v>
      </c>
      <c r="AI1357" s="1" t="b">
        <v>1</v>
      </c>
    </row>
    <row r="1358" spans="1:35" x14ac:dyDescent="0.25">
      <c r="A1358" s="1">
        <v>14</v>
      </c>
      <c r="B1358" s="1">
        <v>4</v>
      </c>
      <c r="C1358" s="1">
        <v>2020</v>
      </c>
      <c r="G1358" s="1" t="s">
        <v>38</v>
      </c>
      <c r="H1358" s="2">
        <v>6.66</v>
      </c>
      <c r="I1358" s="1">
        <v>18</v>
      </c>
      <c r="U1358" s="1">
        <v>31</v>
      </c>
      <c r="X1358" s="1">
        <v>25</v>
      </c>
      <c r="AA1358" s="1">
        <v>3</v>
      </c>
      <c r="AB1358" s="1">
        <v>2</v>
      </c>
      <c r="AC1358" s="1">
        <v>968</v>
      </c>
      <c r="AF1358" s="3">
        <v>2.7027027027027026</v>
      </c>
      <c r="AG1358" s="3">
        <v>1.3951910591268599</v>
      </c>
      <c r="AH1358" s="1">
        <v>6276</v>
      </c>
      <c r="AI1358" s="1" t="b">
        <v>1</v>
      </c>
    </row>
    <row r="1359" spans="1:35" x14ac:dyDescent="0.25">
      <c r="A1359" s="1">
        <v>14</v>
      </c>
      <c r="B1359" s="1">
        <v>4</v>
      </c>
      <c r="C1359" s="1">
        <v>2020</v>
      </c>
      <c r="G1359" s="1" t="s">
        <v>38</v>
      </c>
      <c r="H1359" s="2">
        <v>5.54</v>
      </c>
      <c r="I1359" s="1">
        <v>21</v>
      </c>
      <c r="U1359" s="1">
        <v>29</v>
      </c>
      <c r="X1359" s="1">
        <v>25</v>
      </c>
      <c r="AA1359" s="1">
        <v>2</v>
      </c>
      <c r="AB1359" s="1">
        <v>4</v>
      </c>
      <c r="AC1359" s="1">
        <v>922</v>
      </c>
      <c r="AF1359" s="3">
        <v>3.7906137184115525</v>
      </c>
      <c r="AG1359" s="3">
        <v>0.87447481309302078</v>
      </c>
      <c r="AH1359" s="1">
        <v>6276</v>
      </c>
      <c r="AI1359" s="1" t="b">
        <v>1</v>
      </c>
    </row>
    <row r="1360" spans="1:35" x14ac:dyDescent="0.25">
      <c r="A1360" s="1">
        <v>14</v>
      </c>
      <c r="B1360" s="1">
        <v>4</v>
      </c>
      <c r="C1360" s="1">
        <v>2020</v>
      </c>
      <c r="G1360" s="1" t="s">
        <v>38</v>
      </c>
      <c r="H1360" s="2">
        <v>4.59</v>
      </c>
      <c r="I1360" s="1">
        <v>9</v>
      </c>
      <c r="U1360" s="1">
        <v>19</v>
      </c>
      <c r="X1360" s="1">
        <v>15</v>
      </c>
      <c r="AA1360" s="1">
        <v>3</v>
      </c>
      <c r="AB1360" s="1">
        <v>5</v>
      </c>
      <c r="AC1360" s="1">
        <v>692</v>
      </c>
      <c r="AF1360" s="3">
        <v>1.9607843137254903</v>
      </c>
      <c r="AG1360" s="3">
        <v>1.4819687845375014</v>
      </c>
      <c r="AH1360" s="1">
        <v>6276</v>
      </c>
      <c r="AI1360" s="1" t="b">
        <v>1</v>
      </c>
    </row>
    <row r="1361" spans="1:35" x14ac:dyDescent="0.25">
      <c r="A1361" s="1">
        <v>14</v>
      </c>
      <c r="B1361" s="1">
        <v>4</v>
      </c>
      <c r="C1361" s="1">
        <v>2020</v>
      </c>
      <c r="G1361" s="1" t="s">
        <v>38</v>
      </c>
      <c r="H1361" s="2">
        <v>4.08</v>
      </c>
      <c r="I1361" s="1">
        <v>10</v>
      </c>
      <c r="U1361" s="1">
        <v>19</v>
      </c>
      <c r="X1361" s="1">
        <v>14</v>
      </c>
      <c r="AA1361" s="1">
        <v>4</v>
      </c>
      <c r="AB1361" s="1">
        <v>4</v>
      </c>
      <c r="AC1361" s="1">
        <v>725</v>
      </c>
      <c r="AF1361" s="3">
        <v>2.4509803921568629</v>
      </c>
      <c r="AG1361" s="3">
        <v>1.0917476788652618</v>
      </c>
      <c r="AH1361" s="1">
        <v>6276</v>
      </c>
      <c r="AI1361" s="1" t="b">
        <v>1</v>
      </c>
    </row>
    <row r="1362" spans="1:35" x14ac:dyDescent="0.25">
      <c r="A1362" s="1">
        <v>14</v>
      </c>
      <c r="B1362" s="1">
        <v>4</v>
      </c>
      <c r="C1362" s="1">
        <v>2020</v>
      </c>
      <c r="G1362" s="1" t="s">
        <v>38</v>
      </c>
      <c r="H1362" s="2">
        <v>6.21</v>
      </c>
      <c r="I1362" s="1">
        <v>16</v>
      </c>
      <c r="U1362" s="1">
        <v>24</v>
      </c>
      <c r="X1362" s="1">
        <v>20</v>
      </c>
      <c r="AA1362" s="1">
        <v>3</v>
      </c>
      <c r="AB1362" s="1">
        <v>3</v>
      </c>
      <c r="AC1362" s="1">
        <v>914</v>
      </c>
      <c r="AF1362" s="3">
        <v>2.576489533011272</v>
      </c>
      <c r="AG1362" s="3">
        <v>1.393592298641058</v>
      </c>
      <c r="AH1362" s="1">
        <v>6276</v>
      </c>
      <c r="AI1362" s="1" t="b">
        <v>1</v>
      </c>
    </row>
    <row r="1363" spans="1:35" x14ac:dyDescent="0.25">
      <c r="A1363" s="1">
        <v>14</v>
      </c>
      <c r="B1363" s="1">
        <v>4</v>
      </c>
      <c r="C1363" s="1">
        <v>2020</v>
      </c>
      <c r="G1363" s="1" t="s">
        <v>38</v>
      </c>
      <c r="H1363" s="2">
        <v>5.31</v>
      </c>
      <c r="I1363" s="1">
        <v>17</v>
      </c>
      <c r="U1363" s="1">
        <v>25</v>
      </c>
      <c r="X1363" s="1">
        <v>23</v>
      </c>
      <c r="AA1363" s="1">
        <v>2</v>
      </c>
      <c r="AB1363" s="1">
        <v>3</v>
      </c>
      <c r="AC1363" s="1">
        <v>809</v>
      </c>
      <c r="AF1363" s="3">
        <v>3.2015065913370999</v>
      </c>
      <c r="AG1363" s="3">
        <v>1.0051057661011233</v>
      </c>
      <c r="AH1363" s="1">
        <v>6276</v>
      </c>
      <c r="AI1363" s="1" t="b">
        <v>1</v>
      </c>
    </row>
    <row r="1364" spans="1:35" x14ac:dyDescent="0.25">
      <c r="A1364" s="1">
        <v>14</v>
      </c>
      <c r="B1364" s="1">
        <v>4</v>
      </c>
      <c r="C1364" s="1">
        <v>2020</v>
      </c>
      <c r="G1364" s="1" t="s">
        <v>38</v>
      </c>
      <c r="H1364" s="2">
        <v>3.67</v>
      </c>
      <c r="I1364" s="1">
        <v>11</v>
      </c>
      <c r="U1364" s="1">
        <v>16</v>
      </c>
      <c r="X1364" s="1">
        <v>14</v>
      </c>
      <c r="AA1364" s="1">
        <v>2</v>
      </c>
      <c r="AB1364" s="1">
        <v>2</v>
      </c>
      <c r="AC1364" s="1">
        <v>673</v>
      </c>
      <c r="AF1364" s="3">
        <v>2.9972752043596729</v>
      </c>
      <c r="AG1364" s="3">
        <v>0.8289715463577878</v>
      </c>
      <c r="AH1364" s="1">
        <v>6276</v>
      </c>
      <c r="AI1364" s="1" t="b">
        <v>1</v>
      </c>
    </row>
    <row r="1365" spans="1:35" x14ac:dyDescent="0.25">
      <c r="A1365" s="1">
        <v>14</v>
      </c>
      <c r="B1365" s="1">
        <v>4</v>
      </c>
      <c r="C1365" s="1">
        <v>2020</v>
      </c>
      <c r="G1365" s="1" t="s">
        <v>38</v>
      </c>
      <c r="H1365" s="2">
        <v>7.82</v>
      </c>
      <c r="I1365" s="1">
        <v>27</v>
      </c>
      <c r="U1365" s="1">
        <v>34</v>
      </c>
      <c r="X1365" s="1">
        <v>31</v>
      </c>
      <c r="AA1365" s="1">
        <v>2</v>
      </c>
      <c r="AB1365" s="1">
        <v>1</v>
      </c>
      <c r="AC1365" s="1">
        <v>1161</v>
      </c>
      <c r="AF1365" s="3">
        <v>3.4526854219948846</v>
      </c>
      <c r="AG1365" s="3">
        <v>1.2220464564271449</v>
      </c>
      <c r="AH1365" s="1">
        <v>6276</v>
      </c>
      <c r="AI1365" s="1" t="b">
        <v>1</v>
      </c>
    </row>
    <row r="1366" spans="1:35" x14ac:dyDescent="0.25">
      <c r="A1366" s="1">
        <v>14</v>
      </c>
      <c r="B1366" s="1">
        <v>4</v>
      </c>
      <c r="C1366" s="1">
        <v>2020</v>
      </c>
      <c r="G1366" s="1" t="s">
        <v>38</v>
      </c>
      <c r="H1366" s="2">
        <v>6.25</v>
      </c>
      <c r="I1366" s="1">
        <v>21</v>
      </c>
      <c r="U1366" s="1">
        <v>28</v>
      </c>
      <c r="X1366" s="1">
        <v>24</v>
      </c>
      <c r="AA1366" s="1">
        <v>3</v>
      </c>
      <c r="AB1366" s="1">
        <v>2</v>
      </c>
      <c r="AC1366" s="1">
        <v>942</v>
      </c>
      <c r="AF1366" s="3">
        <v>3.36</v>
      </c>
      <c r="AG1366" s="3">
        <v>1.0734374299904861</v>
      </c>
      <c r="AH1366" s="1">
        <v>6276</v>
      </c>
      <c r="AI1366" s="1" t="b">
        <v>1</v>
      </c>
    </row>
    <row r="1367" spans="1:35" x14ac:dyDescent="0.25">
      <c r="A1367" s="1">
        <v>14</v>
      </c>
      <c r="B1367" s="1">
        <v>4</v>
      </c>
      <c r="C1367" s="1">
        <v>2020</v>
      </c>
      <c r="G1367" s="1" t="s">
        <v>38</v>
      </c>
      <c r="H1367" s="2">
        <v>6.18</v>
      </c>
      <c r="I1367" s="1">
        <v>20</v>
      </c>
      <c r="U1367" s="1">
        <v>29</v>
      </c>
      <c r="X1367" s="1">
        <v>23</v>
      </c>
      <c r="AA1367" s="1">
        <v>3</v>
      </c>
      <c r="AB1367" s="1">
        <v>4</v>
      </c>
      <c r="AC1367" s="1">
        <v>868</v>
      </c>
      <c r="AF1367" s="3">
        <v>3.2362459546925568</v>
      </c>
      <c r="AG1367" s="3">
        <v>1.1057333587845792</v>
      </c>
      <c r="AH1367" s="1">
        <v>6276</v>
      </c>
      <c r="AI1367" s="1" t="b">
        <v>1</v>
      </c>
    </row>
    <row r="1368" spans="1:35" x14ac:dyDescent="0.25">
      <c r="A1368" s="1">
        <v>14</v>
      </c>
      <c r="B1368" s="1">
        <v>4</v>
      </c>
      <c r="C1368" s="1">
        <v>2020</v>
      </c>
      <c r="G1368" s="1" t="s">
        <v>38</v>
      </c>
      <c r="H1368" s="2">
        <v>5.18</v>
      </c>
      <c r="I1368" s="1">
        <v>13</v>
      </c>
      <c r="U1368" s="1">
        <v>25</v>
      </c>
      <c r="X1368" s="1">
        <v>20</v>
      </c>
      <c r="AA1368" s="1">
        <v>3</v>
      </c>
      <c r="AB1368" s="1">
        <v>3</v>
      </c>
      <c r="AC1368" s="1">
        <v>801</v>
      </c>
      <c r="AF1368" s="3">
        <v>2.50965250965251</v>
      </c>
      <c r="AG1368" s="3">
        <v>1.2601354790009507</v>
      </c>
      <c r="AH1368" s="1">
        <v>6276</v>
      </c>
      <c r="AI1368" s="1" t="b">
        <v>1</v>
      </c>
    </row>
    <row r="1369" spans="1:35" x14ac:dyDescent="0.25">
      <c r="A1369" s="1">
        <v>14</v>
      </c>
      <c r="B1369" s="1">
        <v>4</v>
      </c>
      <c r="C1369" s="1">
        <v>2020</v>
      </c>
      <c r="G1369" s="1" t="s">
        <v>38</v>
      </c>
      <c r="H1369" s="2">
        <v>6</v>
      </c>
      <c r="I1369" s="1">
        <v>19</v>
      </c>
      <c r="U1369" s="1">
        <v>33</v>
      </c>
      <c r="X1369" s="1">
        <v>25</v>
      </c>
      <c r="AA1369" s="1">
        <v>3</v>
      </c>
      <c r="AB1369" s="1">
        <v>4</v>
      </c>
      <c r="AC1369" s="1">
        <v>951</v>
      </c>
      <c r="AF1369" s="3">
        <v>3.1666666666666665</v>
      </c>
      <c r="AG1369" s="3">
        <v>1.1068876062338504</v>
      </c>
      <c r="AH1369" s="1">
        <v>6276</v>
      </c>
      <c r="AI1369" s="1" t="b">
        <v>1</v>
      </c>
    </row>
    <row r="1370" spans="1:35" x14ac:dyDescent="0.25">
      <c r="A1370" s="1">
        <v>14</v>
      </c>
      <c r="B1370" s="1">
        <v>4</v>
      </c>
      <c r="C1370" s="1">
        <v>2020</v>
      </c>
      <c r="G1370" s="1" t="s">
        <v>38</v>
      </c>
      <c r="H1370" s="2">
        <v>5.8</v>
      </c>
      <c r="I1370" s="1">
        <v>15</v>
      </c>
      <c r="U1370" s="1">
        <v>21</v>
      </c>
      <c r="X1370" s="1">
        <v>19</v>
      </c>
      <c r="AA1370" s="1">
        <v>4</v>
      </c>
      <c r="AB1370" s="1">
        <v>4</v>
      </c>
      <c r="AC1370" s="1">
        <v>777</v>
      </c>
      <c r="AF1370" s="3">
        <v>2.5862068965517242</v>
      </c>
      <c r="AG1370" s="3">
        <v>1.3235377415326826</v>
      </c>
      <c r="AH1370" s="1">
        <v>6276</v>
      </c>
      <c r="AI1370" s="1" t="b">
        <v>1</v>
      </c>
    </row>
    <row r="1371" spans="1:35" x14ac:dyDescent="0.25">
      <c r="A1371" s="1">
        <v>14</v>
      </c>
      <c r="B1371" s="1">
        <v>4</v>
      </c>
      <c r="C1371" s="1">
        <v>2020</v>
      </c>
      <c r="G1371" s="1" t="s">
        <v>38</v>
      </c>
      <c r="H1371" s="2">
        <v>6.19</v>
      </c>
      <c r="I1371" s="1">
        <v>24</v>
      </c>
      <c r="U1371" s="1">
        <v>34</v>
      </c>
      <c r="X1371" s="1">
        <v>30</v>
      </c>
      <c r="AA1371" s="1">
        <v>2</v>
      </c>
      <c r="AB1371" s="1">
        <v>1</v>
      </c>
      <c r="AC1371" s="1">
        <v>923</v>
      </c>
      <c r="AF1371" s="3">
        <v>3.8772213247172855</v>
      </c>
      <c r="AG1371" s="3">
        <v>0.92398061872721426</v>
      </c>
      <c r="AH1371" s="1">
        <v>6276</v>
      </c>
      <c r="AI1371" s="1" t="b">
        <v>1</v>
      </c>
    </row>
    <row r="1372" spans="1:35" x14ac:dyDescent="0.25">
      <c r="A1372" s="1">
        <v>14</v>
      </c>
      <c r="B1372" s="1">
        <v>4</v>
      </c>
      <c r="C1372" s="1">
        <v>2020</v>
      </c>
      <c r="G1372" s="1" t="s">
        <v>38</v>
      </c>
      <c r="H1372" s="2">
        <v>7.3</v>
      </c>
      <c r="I1372" s="1">
        <v>26</v>
      </c>
      <c r="U1372" s="1">
        <v>35</v>
      </c>
      <c r="X1372" s="1">
        <v>32</v>
      </c>
      <c r="AA1372" s="1">
        <v>3</v>
      </c>
      <c r="AB1372" s="1">
        <v>3</v>
      </c>
      <c r="AC1372" s="1">
        <v>1050</v>
      </c>
      <c r="AF1372" s="3">
        <v>3.5616438356164384</v>
      </c>
      <c r="AG1372" s="3">
        <v>1.1289520960485675</v>
      </c>
      <c r="AH1372" s="1">
        <v>6276</v>
      </c>
      <c r="AI1372" s="1" t="b">
        <v>1</v>
      </c>
    </row>
    <row r="1373" spans="1:35" x14ac:dyDescent="0.25">
      <c r="A1373" s="1">
        <v>14</v>
      </c>
      <c r="B1373" s="1">
        <v>4</v>
      </c>
      <c r="C1373" s="1">
        <v>2020</v>
      </c>
      <c r="G1373" s="1" t="s">
        <v>38</v>
      </c>
      <c r="H1373" s="2">
        <v>4.3099999999999996</v>
      </c>
      <c r="I1373" s="1">
        <v>14</v>
      </c>
      <c r="U1373" s="1">
        <v>18</v>
      </c>
      <c r="X1373" s="1">
        <v>16</v>
      </c>
      <c r="AA1373" s="1">
        <v>3</v>
      </c>
      <c r="AB1373" s="1">
        <v>3</v>
      </c>
      <c r="AC1373" s="1">
        <v>790</v>
      </c>
      <c r="AF1373" s="3">
        <v>3.2482598607888633</v>
      </c>
      <c r="AG1373" s="3">
        <v>0.85601884095716585</v>
      </c>
      <c r="AH1373" s="1">
        <v>6276</v>
      </c>
      <c r="AI1373" s="1" t="b">
        <v>1</v>
      </c>
    </row>
    <row r="1374" spans="1:35" x14ac:dyDescent="0.25">
      <c r="A1374" s="1">
        <v>16</v>
      </c>
      <c r="B1374" s="1">
        <v>4</v>
      </c>
      <c r="C1374" s="1">
        <v>2020</v>
      </c>
      <c r="G1374" s="1" t="s">
        <v>38</v>
      </c>
      <c r="H1374" s="2">
        <v>7.65</v>
      </c>
      <c r="I1374" s="1">
        <v>21</v>
      </c>
      <c r="U1374" s="1">
        <v>40</v>
      </c>
      <c r="X1374" s="1">
        <v>30</v>
      </c>
      <c r="AA1374" s="1">
        <v>5</v>
      </c>
      <c r="AB1374" s="1">
        <v>6</v>
      </c>
      <c r="AC1374" s="1">
        <v>1171</v>
      </c>
      <c r="AF1374" s="3">
        <v>2.7450980392156863</v>
      </c>
      <c r="AG1374" s="3">
        <v>1.5135791794951803</v>
      </c>
      <c r="AH1374" s="1">
        <v>6276</v>
      </c>
      <c r="AI1374" s="1" t="b">
        <v>1</v>
      </c>
    </row>
    <row r="1375" spans="1:35" x14ac:dyDescent="0.25">
      <c r="A1375" s="1">
        <v>16</v>
      </c>
      <c r="B1375" s="1">
        <v>4</v>
      </c>
      <c r="C1375" s="1">
        <v>2020</v>
      </c>
      <c r="G1375" s="1" t="s">
        <v>38</v>
      </c>
      <c r="H1375" s="2">
        <v>4.67</v>
      </c>
      <c r="I1375" s="1">
        <v>12</v>
      </c>
      <c r="U1375" s="1">
        <v>20</v>
      </c>
      <c r="X1375" s="1">
        <v>15</v>
      </c>
      <c r="AA1375" s="1">
        <v>2</v>
      </c>
      <c r="AB1375" s="1">
        <v>2</v>
      </c>
      <c r="AC1375" s="1">
        <v>715</v>
      </c>
      <c r="AF1375" s="3">
        <v>2.5695931477516059</v>
      </c>
      <c r="AG1375" s="3">
        <v>1.1446097761579168</v>
      </c>
      <c r="AH1375" s="1">
        <v>6276</v>
      </c>
      <c r="AI1375" s="1" t="b">
        <v>1</v>
      </c>
    </row>
    <row r="1376" spans="1:35" x14ac:dyDescent="0.25">
      <c r="A1376" s="1">
        <v>16</v>
      </c>
      <c r="B1376" s="1">
        <v>4</v>
      </c>
      <c r="C1376" s="1">
        <v>2020</v>
      </c>
      <c r="G1376" s="1" t="s">
        <v>38</v>
      </c>
      <c r="H1376" s="2">
        <v>9.5399999999999991</v>
      </c>
      <c r="I1376" s="1">
        <v>38</v>
      </c>
      <c r="U1376" s="1">
        <v>45</v>
      </c>
      <c r="X1376" s="1">
        <v>38</v>
      </c>
      <c r="AA1376" s="1">
        <v>1</v>
      </c>
      <c r="AB1376" s="1">
        <v>2</v>
      </c>
      <c r="AC1376" s="1">
        <v>1339</v>
      </c>
      <c r="AF1376" s="3">
        <v>3.9832285115303985</v>
      </c>
      <c r="AG1376" s="3">
        <v>1.2174430096491604</v>
      </c>
      <c r="AH1376" s="1">
        <v>6276</v>
      </c>
      <c r="AI1376" s="1" t="b">
        <v>1</v>
      </c>
    </row>
    <row r="1377" spans="1:35" x14ac:dyDescent="0.25">
      <c r="A1377" s="1">
        <v>16</v>
      </c>
      <c r="B1377" s="1">
        <v>4</v>
      </c>
      <c r="C1377" s="1">
        <v>2020</v>
      </c>
      <c r="G1377" s="1" t="s">
        <v>38</v>
      </c>
      <c r="H1377" s="2">
        <v>3.95</v>
      </c>
      <c r="I1377" s="1">
        <v>8</v>
      </c>
      <c r="U1377" s="1">
        <v>18</v>
      </c>
      <c r="X1377" s="1">
        <v>13</v>
      </c>
      <c r="AA1377" s="1">
        <v>3</v>
      </c>
      <c r="AB1377" s="1">
        <v>5</v>
      </c>
      <c r="AC1377" s="1">
        <v>471</v>
      </c>
      <c r="AF1377" s="3">
        <v>2.0253164556962022</v>
      </c>
      <c r="AG1377" s="3">
        <v>1.2915911946378569</v>
      </c>
      <c r="AH1377" s="1">
        <v>6276</v>
      </c>
      <c r="AI1377" s="1" t="b">
        <v>1</v>
      </c>
    </row>
    <row r="1378" spans="1:35" x14ac:dyDescent="0.25">
      <c r="A1378" s="1">
        <v>16</v>
      </c>
      <c r="B1378" s="1">
        <v>4</v>
      </c>
      <c r="C1378" s="1">
        <v>2020</v>
      </c>
      <c r="G1378" s="1" t="s">
        <v>38</v>
      </c>
      <c r="H1378" s="2">
        <v>5.3</v>
      </c>
      <c r="I1378" s="1">
        <v>15</v>
      </c>
      <c r="U1378" s="1">
        <v>27</v>
      </c>
      <c r="X1378" s="1">
        <v>22</v>
      </c>
      <c r="AA1378" s="1">
        <v>3</v>
      </c>
      <c r="AB1378" s="1">
        <v>5</v>
      </c>
      <c r="AC1378" s="1">
        <v>854</v>
      </c>
      <c r="AF1378" s="3">
        <v>2.8301886792452833</v>
      </c>
      <c r="AG1378" s="3">
        <v>1.1354753727289633</v>
      </c>
      <c r="AH1378" s="1">
        <v>6276</v>
      </c>
      <c r="AI1378" s="1" t="b">
        <v>1</v>
      </c>
    </row>
    <row r="1379" spans="1:35" x14ac:dyDescent="0.25">
      <c r="A1379" s="1">
        <v>16</v>
      </c>
      <c r="B1379" s="1">
        <v>4</v>
      </c>
      <c r="C1379" s="1">
        <v>2020</v>
      </c>
      <c r="G1379" s="1" t="s">
        <v>38</v>
      </c>
      <c r="H1379" s="2">
        <v>5.51</v>
      </c>
      <c r="I1379" s="1">
        <v>12</v>
      </c>
      <c r="U1379" s="1">
        <v>24</v>
      </c>
      <c r="X1379" s="1">
        <v>19</v>
      </c>
      <c r="AA1379" s="1">
        <v>4</v>
      </c>
      <c r="AB1379" s="1">
        <v>3</v>
      </c>
      <c r="AC1379" s="1">
        <v>788</v>
      </c>
      <c r="AF1379" s="3">
        <v>2.1778584392014522</v>
      </c>
      <c r="AG1379" s="3">
        <v>1.5162697543129326</v>
      </c>
      <c r="AH1379" s="1">
        <v>6276</v>
      </c>
      <c r="AI1379" s="1" t="b">
        <v>1</v>
      </c>
    </row>
    <row r="1380" spans="1:35" x14ac:dyDescent="0.25">
      <c r="A1380" s="1">
        <v>16</v>
      </c>
      <c r="B1380" s="1">
        <v>4</v>
      </c>
      <c r="C1380" s="1">
        <v>2020</v>
      </c>
      <c r="G1380" s="1" t="s">
        <v>38</v>
      </c>
      <c r="H1380" s="2">
        <v>5.44</v>
      </c>
      <c r="I1380" s="1">
        <v>18</v>
      </c>
      <c r="U1380" s="1">
        <v>25</v>
      </c>
      <c r="X1380" s="1">
        <v>23</v>
      </c>
      <c r="AA1380" s="1">
        <v>3</v>
      </c>
      <c r="AB1380" s="1">
        <v>2</v>
      </c>
      <c r="AC1380" s="1">
        <v>715</v>
      </c>
      <c r="AF1380" s="3">
        <v>3.3088235294117645</v>
      </c>
      <c r="AG1380" s="3">
        <v>0.98911234979723384</v>
      </c>
      <c r="AH1380" s="1">
        <v>6276</v>
      </c>
      <c r="AI1380" s="1" t="b">
        <v>1</v>
      </c>
    </row>
    <row r="1381" spans="1:35" x14ac:dyDescent="0.25">
      <c r="A1381" s="1">
        <v>16</v>
      </c>
      <c r="B1381" s="1">
        <v>4</v>
      </c>
      <c r="C1381" s="1">
        <v>2020</v>
      </c>
      <c r="G1381" s="1" t="s">
        <v>38</v>
      </c>
      <c r="H1381" s="2">
        <v>3.72</v>
      </c>
      <c r="I1381" s="1">
        <v>16</v>
      </c>
      <c r="U1381" s="1">
        <v>17</v>
      </c>
      <c r="X1381" s="1">
        <v>16</v>
      </c>
      <c r="AA1381" s="1">
        <v>1</v>
      </c>
      <c r="AB1381" s="1">
        <v>5</v>
      </c>
      <c r="AC1381" s="1">
        <v>616</v>
      </c>
      <c r="AF1381" s="3">
        <v>4.301075268817204</v>
      </c>
      <c r="AG1381" s="3">
        <v>0.5831805285207321</v>
      </c>
      <c r="AH1381" s="1">
        <v>6276</v>
      </c>
      <c r="AI1381" s="1" t="b">
        <v>1</v>
      </c>
    </row>
    <row r="1382" spans="1:35" x14ac:dyDescent="0.25">
      <c r="A1382" s="1">
        <v>16</v>
      </c>
      <c r="B1382" s="1">
        <v>4</v>
      </c>
      <c r="C1382" s="1">
        <v>2020</v>
      </c>
      <c r="G1382" s="1" t="s">
        <v>38</v>
      </c>
      <c r="H1382" s="2">
        <v>8.48</v>
      </c>
      <c r="I1382" s="1">
        <v>21</v>
      </c>
      <c r="U1382" s="1">
        <v>34</v>
      </c>
      <c r="X1382" s="1">
        <v>27</v>
      </c>
      <c r="AA1382" s="1">
        <v>3</v>
      </c>
      <c r="AB1382" s="1">
        <v>3</v>
      </c>
      <c r="AC1382" s="1">
        <v>1208</v>
      </c>
      <c r="AF1382" s="3">
        <v>2.4764150943396226</v>
      </c>
      <c r="AG1382" s="3">
        <v>1.8032405050867986</v>
      </c>
      <c r="AH1382" s="1">
        <v>6276</v>
      </c>
      <c r="AI1382" s="1" t="b">
        <v>1</v>
      </c>
    </row>
    <row r="1383" spans="1:35" x14ac:dyDescent="0.25">
      <c r="A1383" s="1">
        <v>16</v>
      </c>
      <c r="B1383" s="1">
        <v>4</v>
      </c>
      <c r="C1383" s="1">
        <v>2020</v>
      </c>
      <c r="G1383" s="1" t="s">
        <v>38</v>
      </c>
      <c r="H1383" s="2">
        <v>6.07</v>
      </c>
      <c r="I1383" s="1">
        <v>15</v>
      </c>
      <c r="U1383" s="1">
        <v>22</v>
      </c>
      <c r="X1383" s="1">
        <v>19</v>
      </c>
      <c r="AA1383" s="1">
        <v>3</v>
      </c>
      <c r="AB1383" s="1">
        <v>3</v>
      </c>
      <c r="AC1383" s="1">
        <v>809</v>
      </c>
      <c r="AF1383" s="3">
        <v>2.4711696869851729</v>
      </c>
      <c r="AG1383" s="3">
        <v>1.4299785262049667</v>
      </c>
      <c r="AH1383" s="1">
        <v>6276</v>
      </c>
      <c r="AI1383" s="1" t="b">
        <v>1</v>
      </c>
    </row>
    <row r="1384" spans="1:35" x14ac:dyDescent="0.25">
      <c r="A1384" s="1">
        <v>16</v>
      </c>
      <c r="B1384" s="1">
        <v>4</v>
      </c>
      <c r="C1384" s="1">
        <v>2020</v>
      </c>
      <c r="G1384" s="1" t="s">
        <v>38</v>
      </c>
      <c r="H1384" s="2">
        <v>4.21</v>
      </c>
      <c r="I1384" s="1">
        <v>10</v>
      </c>
      <c r="U1384" s="1">
        <v>15</v>
      </c>
      <c r="X1384" s="1">
        <v>13</v>
      </c>
      <c r="AA1384" s="1">
        <v>2</v>
      </c>
      <c r="AB1384" s="1">
        <v>5</v>
      </c>
      <c r="AC1384" s="1">
        <v>679</v>
      </c>
      <c r="AF1384" s="3">
        <v>2.3752969121140142</v>
      </c>
      <c r="AG1384" s="3">
        <v>1.1515414176753498</v>
      </c>
      <c r="AH1384" s="1">
        <v>6276</v>
      </c>
      <c r="AI1384" s="1" t="b">
        <v>1</v>
      </c>
    </row>
    <row r="1385" spans="1:35" x14ac:dyDescent="0.25">
      <c r="A1385" s="1">
        <v>19</v>
      </c>
      <c r="B1385" s="1">
        <v>4</v>
      </c>
      <c r="C1385" s="1">
        <v>2020</v>
      </c>
      <c r="G1385" s="1" t="s">
        <v>38</v>
      </c>
      <c r="H1385" s="2">
        <v>3.53</v>
      </c>
      <c r="I1385" s="1">
        <v>9</v>
      </c>
      <c r="U1385" s="1">
        <v>15</v>
      </c>
      <c r="X1385" s="1">
        <v>13</v>
      </c>
      <c r="AA1385" s="1">
        <v>2</v>
      </c>
      <c r="AB1385" s="1">
        <v>4</v>
      </c>
      <c r="AC1385" s="1">
        <v>547</v>
      </c>
      <c r="AF1385" s="3">
        <v>2.5495750708215299</v>
      </c>
      <c r="AG1385" s="3">
        <v>0.948362755224884</v>
      </c>
      <c r="AH1385" s="1">
        <v>6276</v>
      </c>
      <c r="AI1385" s="1" t="b">
        <v>1</v>
      </c>
    </row>
    <row r="1386" spans="1:35" x14ac:dyDescent="0.25">
      <c r="A1386" s="1">
        <v>19</v>
      </c>
      <c r="B1386" s="1">
        <v>4</v>
      </c>
      <c r="C1386" s="1">
        <v>2020</v>
      </c>
      <c r="G1386" s="1" t="s">
        <v>38</v>
      </c>
      <c r="H1386" s="2">
        <v>5.0199999999999996</v>
      </c>
      <c r="I1386" s="1">
        <v>18</v>
      </c>
      <c r="U1386" s="1">
        <v>26</v>
      </c>
      <c r="X1386" s="1">
        <v>20</v>
      </c>
      <c r="AA1386" s="1">
        <v>2</v>
      </c>
      <c r="AB1386" s="1">
        <v>2</v>
      </c>
      <c r="AC1386" s="1">
        <v>888</v>
      </c>
      <c r="AF1386" s="3">
        <v>3.5856573705179287</v>
      </c>
      <c r="AG1386" s="3">
        <v>0.86282717333647596</v>
      </c>
      <c r="AH1386" s="1">
        <v>6276</v>
      </c>
      <c r="AI1386" s="1" t="b">
        <v>1</v>
      </c>
    </row>
    <row r="1387" spans="1:35" x14ac:dyDescent="0.25">
      <c r="A1387" s="1">
        <v>19</v>
      </c>
      <c r="B1387" s="1">
        <v>4</v>
      </c>
      <c r="C1387" s="1">
        <v>2020</v>
      </c>
      <c r="G1387" s="1" t="s">
        <v>38</v>
      </c>
      <c r="H1387" s="2">
        <v>4.95</v>
      </c>
      <c r="I1387" s="1">
        <v>15</v>
      </c>
      <c r="U1387" s="1">
        <v>24</v>
      </c>
      <c r="X1387" s="1">
        <v>19</v>
      </c>
      <c r="AA1387" s="1">
        <v>3</v>
      </c>
      <c r="AB1387" s="1">
        <v>3</v>
      </c>
      <c r="AC1387" s="1">
        <v>766</v>
      </c>
      <c r="AF1387" s="3">
        <v>3.0303030303030303</v>
      </c>
      <c r="AG1387" s="3">
        <v>1.0109683956699782</v>
      </c>
      <c r="AH1387" s="1">
        <v>6276</v>
      </c>
      <c r="AI1387" s="1" t="b">
        <v>1</v>
      </c>
    </row>
    <row r="1388" spans="1:35" x14ac:dyDescent="0.25">
      <c r="A1388" s="1">
        <v>19</v>
      </c>
      <c r="B1388" s="1">
        <v>4</v>
      </c>
      <c r="C1388" s="1">
        <v>2020</v>
      </c>
      <c r="G1388" s="1" t="s">
        <v>38</v>
      </c>
      <c r="H1388" s="2">
        <v>6.77</v>
      </c>
      <c r="I1388" s="1">
        <v>19</v>
      </c>
      <c r="U1388" s="1">
        <v>27</v>
      </c>
      <c r="X1388" s="1">
        <v>25</v>
      </c>
      <c r="AA1388" s="1">
        <v>3</v>
      </c>
      <c r="AB1388" s="1">
        <v>3</v>
      </c>
      <c r="AC1388" s="1">
        <v>1068</v>
      </c>
      <c r="AF1388" s="3">
        <v>2.8064992614475628</v>
      </c>
      <c r="AG1388" s="3">
        <v>1.3590866164992228</v>
      </c>
      <c r="AH1388" s="1">
        <v>6276</v>
      </c>
      <c r="AI1388" s="1" t="b">
        <v>1</v>
      </c>
    </row>
    <row r="1389" spans="1:35" x14ac:dyDescent="0.25">
      <c r="A1389" s="1">
        <v>19</v>
      </c>
      <c r="B1389" s="1">
        <v>4</v>
      </c>
      <c r="C1389" s="1">
        <v>2020</v>
      </c>
      <c r="G1389" s="1" t="s">
        <v>38</v>
      </c>
      <c r="H1389" s="2">
        <v>8.98</v>
      </c>
      <c r="I1389" s="1">
        <v>37</v>
      </c>
      <c r="U1389" s="1">
        <v>46</v>
      </c>
      <c r="X1389" s="1">
        <v>43</v>
      </c>
      <c r="AA1389" s="1">
        <v>2</v>
      </c>
      <c r="AB1389" s="1">
        <v>2</v>
      </c>
      <c r="AC1389" s="1">
        <v>1419</v>
      </c>
      <c r="AF1389" s="3">
        <v>4.1202672605790642</v>
      </c>
      <c r="AG1389" s="3">
        <v>1.1281531185847509</v>
      </c>
      <c r="AH1389" s="1">
        <v>6276</v>
      </c>
      <c r="AI1389" s="1" t="b">
        <v>1</v>
      </c>
    </row>
    <row r="1390" spans="1:35" x14ac:dyDescent="0.25">
      <c r="A1390" s="1">
        <v>19</v>
      </c>
      <c r="B1390" s="1">
        <v>4</v>
      </c>
      <c r="C1390" s="1">
        <v>2020</v>
      </c>
      <c r="G1390" s="1" t="s">
        <v>38</v>
      </c>
      <c r="H1390" s="2">
        <v>6.2</v>
      </c>
      <c r="I1390" s="1">
        <v>22</v>
      </c>
      <c r="U1390" s="1">
        <v>29</v>
      </c>
      <c r="X1390" s="1">
        <v>24</v>
      </c>
      <c r="AA1390" s="1">
        <v>2</v>
      </c>
      <c r="AB1390" s="1">
        <v>2</v>
      </c>
      <c r="AC1390" s="1">
        <v>760</v>
      </c>
      <c r="AF1390" s="3">
        <v>3.5483870967741935</v>
      </c>
      <c r="AG1390" s="3">
        <v>1.0107486997616446</v>
      </c>
      <c r="AH1390" s="1">
        <v>6276</v>
      </c>
      <c r="AI1390" s="1" t="b">
        <v>1</v>
      </c>
    </row>
    <row r="1391" spans="1:35" x14ac:dyDescent="0.25">
      <c r="A1391" s="1">
        <v>19</v>
      </c>
      <c r="B1391" s="1">
        <v>4</v>
      </c>
      <c r="C1391" s="1">
        <v>2020</v>
      </c>
      <c r="G1391" s="1" t="s">
        <v>38</v>
      </c>
      <c r="H1391" s="2">
        <v>3.99</v>
      </c>
      <c r="I1391" s="1">
        <v>11</v>
      </c>
      <c r="U1391" s="1">
        <v>19</v>
      </c>
      <c r="X1391" s="1">
        <v>18</v>
      </c>
      <c r="AA1391" s="1">
        <v>3</v>
      </c>
      <c r="AB1391" s="1">
        <v>4</v>
      </c>
      <c r="AC1391" s="1">
        <v>596</v>
      </c>
      <c r="AF1391" s="3">
        <v>2.7568922305764412</v>
      </c>
      <c r="AG1391" s="3">
        <v>0.95556720749082225</v>
      </c>
      <c r="AH1391" s="1">
        <v>6276</v>
      </c>
      <c r="AI1391" s="1" t="b">
        <v>1</v>
      </c>
    </row>
    <row r="1392" spans="1:35" x14ac:dyDescent="0.25">
      <c r="A1392" s="1">
        <v>19</v>
      </c>
      <c r="B1392" s="1">
        <v>4</v>
      </c>
      <c r="C1392" s="1">
        <v>2020</v>
      </c>
      <c r="G1392" s="1" t="s">
        <v>38</v>
      </c>
      <c r="H1392" s="2">
        <v>3.16</v>
      </c>
      <c r="I1392" s="1">
        <v>10</v>
      </c>
      <c r="U1392" s="1">
        <v>16</v>
      </c>
      <c r="X1392" s="1">
        <v>14</v>
      </c>
      <c r="AA1392" s="1">
        <v>2</v>
      </c>
      <c r="AB1392" s="1">
        <v>1</v>
      </c>
      <c r="AC1392" s="1">
        <v>463</v>
      </c>
      <c r="AF1392" s="3">
        <v>3.1645569620253164</v>
      </c>
      <c r="AG1392" s="3">
        <v>0.70707916510758384</v>
      </c>
      <c r="AH1392" s="1">
        <v>6276</v>
      </c>
      <c r="AI1392" s="1" t="b">
        <v>1</v>
      </c>
    </row>
    <row r="1393" spans="1:35" x14ac:dyDescent="0.25">
      <c r="A1393" s="1">
        <v>19</v>
      </c>
      <c r="B1393" s="1">
        <v>4</v>
      </c>
      <c r="C1393" s="1">
        <v>2020</v>
      </c>
      <c r="G1393" s="1" t="s">
        <v>38</v>
      </c>
      <c r="H1393" s="2">
        <v>7.6</v>
      </c>
      <c r="I1393" s="1">
        <v>26</v>
      </c>
      <c r="U1393" s="1">
        <v>37</v>
      </c>
      <c r="X1393" s="1">
        <v>31</v>
      </c>
      <c r="AA1393" s="1">
        <v>3</v>
      </c>
      <c r="AB1393" s="1">
        <v>1</v>
      </c>
      <c r="AC1393" s="1">
        <v>1117</v>
      </c>
      <c r="AF1393" s="3">
        <v>3.4210526315789473</v>
      </c>
      <c r="AG1393" s="3">
        <v>1.2089539509649738</v>
      </c>
      <c r="AH1393" s="1">
        <v>6276</v>
      </c>
      <c r="AI1393" s="1" t="b">
        <v>1</v>
      </c>
    </row>
    <row r="1394" spans="1:35" x14ac:dyDescent="0.25">
      <c r="A1394" s="1">
        <v>19</v>
      </c>
      <c r="B1394" s="1">
        <v>4</v>
      </c>
      <c r="C1394" s="1">
        <v>2020</v>
      </c>
      <c r="G1394" s="1" t="s">
        <v>38</v>
      </c>
      <c r="H1394" s="2">
        <v>4.3099999999999996</v>
      </c>
      <c r="I1394" s="1">
        <v>15</v>
      </c>
      <c r="U1394" s="1">
        <v>19</v>
      </c>
      <c r="X1394" s="1">
        <v>15</v>
      </c>
      <c r="AA1394" s="1">
        <v>1</v>
      </c>
      <c r="AB1394" s="1">
        <v>1</v>
      </c>
      <c r="AC1394" s="1">
        <v>589</v>
      </c>
      <c r="AF1394" s="3">
        <v>3.4802784222737824</v>
      </c>
      <c r="AG1394" s="3">
        <v>0.79895091822668818</v>
      </c>
      <c r="AH1394" s="1">
        <v>6276</v>
      </c>
      <c r="AI1394" s="1" t="b">
        <v>1</v>
      </c>
    </row>
    <row r="1395" spans="1:35" x14ac:dyDescent="0.25">
      <c r="A1395" s="1">
        <v>19</v>
      </c>
      <c r="B1395" s="1">
        <v>4</v>
      </c>
      <c r="C1395" s="1">
        <v>2020</v>
      </c>
      <c r="G1395" s="1" t="s">
        <v>38</v>
      </c>
      <c r="H1395" s="2">
        <v>6.1</v>
      </c>
      <c r="I1395" s="1">
        <v>20</v>
      </c>
      <c r="U1395" s="1">
        <v>27</v>
      </c>
      <c r="X1395" s="1">
        <v>24</v>
      </c>
      <c r="AA1395" s="1">
        <v>2</v>
      </c>
      <c r="AB1395" s="1">
        <v>2</v>
      </c>
      <c r="AC1395" s="1">
        <v>816</v>
      </c>
      <c r="AF1395" s="3">
        <v>3.278688524590164</v>
      </c>
      <c r="AG1395" s="3">
        <v>1.0815104592801021</v>
      </c>
      <c r="AH1395" s="1">
        <v>6276</v>
      </c>
      <c r="AI1395" s="1" t="b">
        <v>1</v>
      </c>
    </row>
    <row r="1396" spans="1:35" x14ac:dyDescent="0.25">
      <c r="A1396" s="1">
        <v>19</v>
      </c>
      <c r="B1396" s="1">
        <v>4</v>
      </c>
      <c r="C1396" s="1">
        <v>2020</v>
      </c>
      <c r="G1396" s="1" t="s">
        <v>38</v>
      </c>
      <c r="H1396" s="2">
        <v>5.41</v>
      </c>
      <c r="I1396" s="1">
        <v>15</v>
      </c>
      <c r="U1396" s="1">
        <v>22</v>
      </c>
      <c r="X1396" s="1">
        <v>19</v>
      </c>
      <c r="AA1396" s="1">
        <v>2</v>
      </c>
      <c r="AB1396" s="1">
        <v>6</v>
      </c>
      <c r="AC1396" s="1">
        <v>875</v>
      </c>
      <c r="AF1396" s="3">
        <v>2.7726432532347505</v>
      </c>
      <c r="AG1396" s="3">
        <v>1.175828795425379</v>
      </c>
      <c r="AH1396" s="1">
        <v>6276</v>
      </c>
      <c r="AI1396" s="1" t="b">
        <v>1</v>
      </c>
    </row>
    <row r="1397" spans="1:35" x14ac:dyDescent="0.25">
      <c r="A1397" s="1">
        <v>19</v>
      </c>
      <c r="B1397" s="1">
        <v>4</v>
      </c>
      <c r="C1397" s="1">
        <v>2020</v>
      </c>
      <c r="G1397" s="1" t="s">
        <v>38</v>
      </c>
      <c r="H1397" s="2">
        <v>6.5</v>
      </c>
      <c r="I1397" s="1">
        <v>24</v>
      </c>
      <c r="U1397" s="1">
        <v>29</v>
      </c>
      <c r="X1397" s="1">
        <v>25</v>
      </c>
      <c r="AA1397" s="1">
        <v>1</v>
      </c>
      <c r="AB1397" s="1">
        <v>2</v>
      </c>
      <c r="AC1397" s="1">
        <v>1211</v>
      </c>
      <c r="AF1397" s="3">
        <v>3.6923076923076925</v>
      </c>
      <c r="AG1397" s="3">
        <v>1.0040179206716167</v>
      </c>
      <c r="AH1397" s="1">
        <v>6276</v>
      </c>
      <c r="AI1397" s="1" t="b">
        <v>1</v>
      </c>
    </row>
    <row r="1398" spans="1:35" x14ac:dyDescent="0.25">
      <c r="A1398" s="1">
        <v>19</v>
      </c>
      <c r="B1398" s="1">
        <v>4</v>
      </c>
      <c r="C1398" s="1">
        <v>2020</v>
      </c>
      <c r="G1398" s="1" t="s">
        <v>38</v>
      </c>
      <c r="H1398" s="2">
        <v>6.58</v>
      </c>
      <c r="I1398" s="1">
        <v>28</v>
      </c>
      <c r="U1398" s="1">
        <v>34</v>
      </c>
      <c r="X1398" s="1">
        <v>32</v>
      </c>
      <c r="AA1398" s="1">
        <v>2</v>
      </c>
      <c r="AB1398" s="1">
        <v>2</v>
      </c>
      <c r="AC1398" s="1">
        <v>1291</v>
      </c>
      <c r="AF1398" s="3">
        <v>4.2553191489361701</v>
      </c>
      <c r="AG1398" s="3">
        <v>0.87867038249077312</v>
      </c>
      <c r="AH1398" s="1">
        <v>6276</v>
      </c>
      <c r="AI1398" s="1" t="b">
        <v>1</v>
      </c>
    </row>
    <row r="1399" spans="1:35" x14ac:dyDescent="0.25">
      <c r="A1399" s="1">
        <v>19</v>
      </c>
      <c r="B1399" s="1">
        <v>4</v>
      </c>
      <c r="C1399" s="1">
        <v>2020</v>
      </c>
      <c r="G1399" s="1" t="s">
        <v>38</v>
      </c>
      <c r="H1399" s="2">
        <v>3.94</v>
      </c>
      <c r="I1399" s="1">
        <v>8</v>
      </c>
      <c r="U1399" s="1">
        <v>17</v>
      </c>
      <c r="X1399" s="1">
        <v>12</v>
      </c>
      <c r="AA1399" s="1">
        <v>2</v>
      </c>
      <c r="AB1399" s="1">
        <v>3</v>
      </c>
      <c r="AC1399" s="1">
        <v>588</v>
      </c>
      <c r="AF1399" s="3">
        <v>2.030456852791878</v>
      </c>
      <c r="AG1399" s="3">
        <v>1.2860373744441564</v>
      </c>
      <c r="AH1399" s="1">
        <v>6276</v>
      </c>
      <c r="AI1399" s="1" t="b">
        <v>1</v>
      </c>
    </row>
    <row r="1400" spans="1:35" x14ac:dyDescent="0.25">
      <c r="A1400" s="1">
        <v>19</v>
      </c>
      <c r="B1400" s="1">
        <v>4</v>
      </c>
      <c r="C1400" s="1">
        <v>2020</v>
      </c>
      <c r="G1400" s="1" t="s">
        <v>38</v>
      </c>
      <c r="H1400" s="2">
        <v>4.9800000000000004</v>
      </c>
      <c r="I1400" s="1">
        <v>19</v>
      </c>
      <c r="U1400" s="1">
        <v>27</v>
      </c>
      <c r="X1400" s="1">
        <v>24</v>
      </c>
      <c r="AA1400" s="1">
        <v>3</v>
      </c>
      <c r="AB1400" s="1">
        <v>3</v>
      </c>
      <c r="AC1400" s="1">
        <v>960</v>
      </c>
      <c r="AF1400" s="3">
        <v>3.8152610441767063</v>
      </c>
      <c r="AG1400" s="3">
        <v>0.80637356443238395</v>
      </c>
      <c r="AH1400" s="1">
        <v>6276</v>
      </c>
      <c r="AI1400" s="1" t="b">
        <v>1</v>
      </c>
    </row>
    <row r="1401" spans="1:35" x14ac:dyDescent="0.25">
      <c r="A1401" s="1">
        <v>19</v>
      </c>
      <c r="B1401" s="1">
        <v>4</v>
      </c>
      <c r="C1401" s="1">
        <v>2020</v>
      </c>
      <c r="G1401" s="1" t="s">
        <v>38</v>
      </c>
      <c r="H1401" s="2">
        <v>3.35</v>
      </c>
      <c r="I1401" s="1">
        <v>12</v>
      </c>
      <c r="U1401" s="1">
        <v>17</v>
      </c>
      <c r="X1401" s="1">
        <v>14</v>
      </c>
      <c r="AA1401" s="1">
        <v>2</v>
      </c>
      <c r="AB1401" s="1">
        <v>3</v>
      </c>
      <c r="AC1401" s="1">
        <v>508</v>
      </c>
      <c r="AF1401" s="3">
        <v>3.5820895522388061</v>
      </c>
      <c r="AG1401" s="3">
        <v>0.65072115500174676</v>
      </c>
      <c r="AH1401" s="1">
        <v>6276</v>
      </c>
      <c r="AI1401" s="1" t="b">
        <v>1</v>
      </c>
    </row>
    <row r="1402" spans="1:35" x14ac:dyDescent="0.25">
      <c r="A1402" s="1">
        <v>19</v>
      </c>
      <c r="B1402" s="1">
        <v>4</v>
      </c>
      <c r="C1402" s="1">
        <v>2020</v>
      </c>
      <c r="G1402" s="1" t="s">
        <v>38</v>
      </c>
      <c r="H1402" s="2">
        <v>6.17</v>
      </c>
      <c r="I1402" s="1">
        <v>16</v>
      </c>
      <c r="U1402" s="1">
        <v>26</v>
      </c>
      <c r="X1402" s="1">
        <v>21</v>
      </c>
      <c r="AA1402" s="1">
        <v>3</v>
      </c>
      <c r="AB1402" s="1">
        <v>5</v>
      </c>
      <c r="AC1402" s="1">
        <v>956</v>
      </c>
      <c r="AF1402" s="3">
        <v>2.5931928687196111</v>
      </c>
      <c r="AG1402" s="3">
        <v>1.3783667754303384</v>
      </c>
      <c r="AH1402" s="1">
        <v>6276</v>
      </c>
      <c r="AI1402" s="1" t="b">
        <v>1</v>
      </c>
    </row>
    <row r="1403" spans="1:35" x14ac:dyDescent="0.25">
      <c r="A1403" s="1">
        <v>19</v>
      </c>
      <c r="B1403" s="1">
        <v>4</v>
      </c>
      <c r="C1403" s="1">
        <v>2020</v>
      </c>
      <c r="G1403" s="1" t="s">
        <v>38</v>
      </c>
      <c r="H1403" s="2">
        <v>4.6399999999999997</v>
      </c>
      <c r="I1403" s="1">
        <v>18</v>
      </c>
      <c r="U1403" s="1">
        <v>23</v>
      </c>
      <c r="X1403" s="1">
        <v>19</v>
      </c>
      <c r="AA1403" s="1">
        <v>1</v>
      </c>
      <c r="AB1403" s="1">
        <v>1</v>
      </c>
      <c r="AC1403" s="1">
        <v>713</v>
      </c>
      <c r="AF1403" s="3">
        <v>3.8793103448275863</v>
      </c>
      <c r="AG1403" s="3">
        <v>0.75475858540850038</v>
      </c>
      <c r="AH1403" s="1">
        <v>6276</v>
      </c>
      <c r="AI1403" s="1" t="b">
        <v>1</v>
      </c>
    </row>
    <row r="1404" spans="1:35" x14ac:dyDescent="0.25">
      <c r="A1404" s="1">
        <v>19</v>
      </c>
      <c r="B1404" s="1">
        <v>4</v>
      </c>
      <c r="C1404" s="1">
        <v>2020</v>
      </c>
      <c r="G1404" s="1" t="s">
        <v>38</v>
      </c>
      <c r="H1404" s="2">
        <v>5.88</v>
      </c>
      <c r="I1404" s="1">
        <v>17</v>
      </c>
      <c r="U1404" s="1">
        <v>25</v>
      </c>
      <c r="X1404" s="1">
        <v>22</v>
      </c>
      <c r="AA1404" s="1">
        <v>3</v>
      </c>
      <c r="AB1404" s="1">
        <v>5</v>
      </c>
      <c r="AC1404" s="1">
        <v>1024</v>
      </c>
      <c r="AF1404" s="3">
        <v>2.8911564625850339</v>
      </c>
      <c r="AG1404" s="3">
        <v>1.1953429733492817</v>
      </c>
      <c r="AH1404" s="1">
        <v>6276</v>
      </c>
      <c r="AI1404" s="1" t="b">
        <v>1</v>
      </c>
    </row>
    <row r="1405" spans="1:35" x14ac:dyDescent="0.25">
      <c r="A1405" s="1">
        <v>19</v>
      </c>
      <c r="B1405" s="1">
        <v>4</v>
      </c>
      <c r="C1405" s="1">
        <v>2020</v>
      </c>
      <c r="G1405" s="1" t="s">
        <v>38</v>
      </c>
      <c r="H1405" s="2">
        <v>5.76</v>
      </c>
      <c r="I1405" s="1">
        <v>15</v>
      </c>
      <c r="U1405" s="1">
        <v>26</v>
      </c>
      <c r="X1405" s="1">
        <v>21</v>
      </c>
      <c r="AA1405" s="1">
        <v>3</v>
      </c>
      <c r="AB1405" s="1">
        <v>3</v>
      </c>
      <c r="AC1405" s="1">
        <v>836</v>
      </c>
      <c r="AF1405" s="3">
        <v>2.604166666666667</v>
      </c>
      <c r="AG1405" s="3">
        <v>1.3080578840295414</v>
      </c>
      <c r="AH1405" s="1">
        <v>6276</v>
      </c>
      <c r="AI1405" s="1" t="b">
        <v>1</v>
      </c>
    </row>
    <row r="1406" spans="1:35" x14ac:dyDescent="0.25">
      <c r="A1406" s="1">
        <v>19</v>
      </c>
      <c r="B1406" s="1">
        <v>4</v>
      </c>
      <c r="C1406" s="1">
        <v>2020</v>
      </c>
      <c r="G1406" s="1" t="s">
        <v>38</v>
      </c>
      <c r="H1406" s="2">
        <v>3.3</v>
      </c>
      <c r="I1406" s="1">
        <v>11</v>
      </c>
      <c r="U1406" s="1">
        <v>17</v>
      </c>
      <c r="X1406" s="1">
        <v>14</v>
      </c>
      <c r="AA1406" s="1">
        <v>2</v>
      </c>
      <c r="AB1406" s="1">
        <v>3</v>
      </c>
      <c r="AC1406" s="1">
        <v>533</v>
      </c>
      <c r="AF1406" s="3">
        <v>3.3333333333333335</v>
      </c>
      <c r="AG1406" s="3">
        <v>0.6919600360567415</v>
      </c>
      <c r="AH1406" s="1">
        <v>6276</v>
      </c>
      <c r="AI1406" s="1" t="b">
        <v>1</v>
      </c>
    </row>
    <row r="1407" spans="1:35" x14ac:dyDescent="0.25">
      <c r="A1407" s="1">
        <v>19</v>
      </c>
      <c r="B1407" s="1">
        <v>4</v>
      </c>
      <c r="C1407" s="1">
        <v>2020</v>
      </c>
      <c r="G1407" s="1" t="s">
        <v>38</v>
      </c>
      <c r="H1407" s="2">
        <v>6.93</v>
      </c>
      <c r="I1407" s="1">
        <v>18</v>
      </c>
      <c r="U1407" s="1">
        <v>33</v>
      </c>
      <c r="X1407" s="1">
        <v>27</v>
      </c>
      <c r="AA1407" s="1">
        <v>4</v>
      </c>
      <c r="AB1407" s="1">
        <v>4</v>
      </c>
      <c r="AC1407" s="1">
        <v>901</v>
      </c>
      <c r="AF1407" s="3">
        <v>2.5974025974025974</v>
      </c>
      <c r="AG1407" s="3">
        <v>1.4927050212868371</v>
      </c>
      <c r="AH1407" s="1">
        <v>6276</v>
      </c>
      <c r="AI1407" s="1" t="b">
        <v>1</v>
      </c>
    </row>
    <row r="1408" spans="1:35" x14ac:dyDescent="0.25">
      <c r="A1408" s="1">
        <v>19</v>
      </c>
      <c r="B1408" s="1">
        <v>4</v>
      </c>
      <c r="C1408" s="1">
        <v>2020</v>
      </c>
      <c r="G1408" s="1" t="s">
        <v>38</v>
      </c>
      <c r="H1408" s="2">
        <v>6.97</v>
      </c>
      <c r="I1408" s="1">
        <v>20</v>
      </c>
      <c r="U1408" s="1">
        <v>28</v>
      </c>
      <c r="X1408" s="1">
        <v>24</v>
      </c>
      <c r="AA1408" s="1">
        <v>2</v>
      </c>
      <c r="AB1408" s="1">
        <v>3</v>
      </c>
      <c r="AC1408" s="1">
        <v>1108</v>
      </c>
      <c r="AF1408" s="3">
        <v>2.8694404591104736</v>
      </c>
      <c r="AG1408" s="3">
        <v>1.3566434648434331</v>
      </c>
      <c r="AH1408" s="1">
        <v>6276</v>
      </c>
      <c r="AI1408" s="1" t="b">
        <v>1</v>
      </c>
    </row>
    <row r="1409" spans="1:35" x14ac:dyDescent="0.25">
      <c r="A1409" s="1">
        <v>19</v>
      </c>
      <c r="B1409" s="1">
        <v>4</v>
      </c>
      <c r="C1409" s="1">
        <v>2020</v>
      </c>
      <c r="G1409" s="1" t="s">
        <v>38</v>
      </c>
      <c r="H1409" s="2">
        <v>5.38</v>
      </c>
      <c r="I1409" s="1">
        <v>16</v>
      </c>
      <c r="U1409" s="1">
        <v>26</v>
      </c>
      <c r="X1409" s="1">
        <v>20</v>
      </c>
      <c r="AA1409" s="1">
        <v>2</v>
      </c>
      <c r="AB1409" s="1">
        <v>3</v>
      </c>
      <c r="AC1409" s="1">
        <v>794</v>
      </c>
      <c r="AF1409" s="3">
        <v>2.9739776951672865</v>
      </c>
      <c r="AG1409" s="3">
        <v>1.0919679355645635</v>
      </c>
      <c r="AH1409" s="1">
        <v>6276</v>
      </c>
      <c r="AI1409" s="1" t="b">
        <v>1</v>
      </c>
    </row>
    <row r="1410" spans="1:35" x14ac:dyDescent="0.25">
      <c r="A1410" s="1">
        <v>19</v>
      </c>
      <c r="B1410" s="1">
        <v>4</v>
      </c>
      <c r="C1410" s="1">
        <v>2020</v>
      </c>
      <c r="G1410" s="1" t="s">
        <v>38</v>
      </c>
      <c r="H1410" s="2">
        <v>4.8099999999999996</v>
      </c>
      <c r="I1410" s="1">
        <v>14</v>
      </c>
      <c r="U1410" s="1">
        <v>18</v>
      </c>
      <c r="X1410" s="1">
        <v>14</v>
      </c>
      <c r="AA1410" s="1">
        <v>1</v>
      </c>
      <c r="AB1410" s="1">
        <v>4</v>
      </c>
      <c r="AC1410" s="1">
        <v>723</v>
      </c>
      <c r="AF1410" s="3">
        <v>2.9106029106029108</v>
      </c>
      <c r="AG1410" s="3">
        <v>1.0316172468040634</v>
      </c>
      <c r="AH1410" s="1">
        <v>6276</v>
      </c>
      <c r="AI1410" s="1" t="b">
        <v>1</v>
      </c>
    </row>
    <row r="1411" spans="1:35" x14ac:dyDescent="0.25">
      <c r="A1411" s="1">
        <v>19</v>
      </c>
      <c r="B1411" s="1">
        <v>4</v>
      </c>
      <c r="C1411" s="1">
        <v>2020</v>
      </c>
      <c r="G1411" s="1" t="s">
        <v>38</v>
      </c>
      <c r="H1411" s="2">
        <v>6.64</v>
      </c>
      <c r="I1411" s="1">
        <v>22</v>
      </c>
      <c r="U1411" s="1">
        <v>30</v>
      </c>
      <c r="X1411" s="1">
        <v>24</v>
      </c>
      <c r="AA1411" s="1">
        <v>3</v>
      </c>
      <c r="AB1411" s="1">
        <v>2</v>
      </c>
      <c r="AC1411" s="1">
        <v>1037</v>
      </c>
      <c r="AF1411" s="3">
        <v>3.3132530120481931</v>
      </c>
      <c r="AG1411" s="3">
        <v>1.1356985050295605</v>
      </c>
      <c r="AH1411" s="1">
        <v>6276</v>
      </c>
      <c r="AI1411" s="1" t="b">
        <v>1</v>
      </c>
    </row>
    <row r="1412" spans="1:35" x14ac:dyDescent="0.25">
      <c r="A1412" s="1">
        <v>19</v>
      </c>
      <c r="B1412" s="1">
        <v>4</v>
      </c>
      <c r="C1412" s="1">
        <v>2020</v>
      </c>
      <c r="G1412" s="1" t="s">
        <v>38</v>
      </c>
      <c r="H1412" s="2">
        <v>4.9800000000000004</v>
      </c>
      <c r="I1412" s="1">
        <v>18</v>
      </c>
      <c r="U1412" s="1">
        <v>26</v>
      </c>
      <c r="X1412" s="1">
        <v>21</v>
      </c>
      <c r="AA1412" s="1">
        <v>2</v>
      </c>
      <c r="AB1412" s="1">
        <v>5</v>
      </c>
      <c r="AC1412" s="1">
        <v>801</v>
      </c>
      <c r="AF1412" s="3">
        <v>3.6144578313253009</v>
      </c>
      <c r="AG1412" s="3">
        <v>0.85117209578973863</v>
      </c>
      <c r="AH1412" s="1">
        <v>6276</v>
      </c>
      <c r="AI1412" s="1" t="b">
        <v>1</v>
      </c>
    </row>
    <row r="1413" spans="1:35" x14ac:dyDescent="0.25">
      <c r="A1413" s="1">
        <v>19</v>
      </c>
      <c r="B1413" s="1">
        <v>4</v>
      </c>
      <c r="C1413" s="1">
        <v>2020</v>
      </c>
      <c r="G1413" s="1" t="s">
        <v>38</v>
      </c>
      <c r="H1413" s="2">
        <v>2.84</v>
      </c>
      <c r="I1413" s="1">
        <v>7</v>
      </c>
      <c r="U1413" s="1">
        <v>12</v>
      </c>
      <c r="X1413" s="1">
        <v>9</v>
      </c>
      <c r="AA1413" s="1">
        <v>3</v>
      </c>
      <c r="AB1413" s="1">
        <v>1</v>
      </c>
      <c r="AC1413" s="1">
        <v>402</v>
      </c>
      <c r="AF1413" s="3">
        <v>2.4647887323943665</v>
      </c>
      <c r="AG1413" s="3">
        <v>0.84244806686314144</v>
      </c>
      <c r="AH1413" s="1">
        <v>6276</v>
      </c>
      <c r="AI1413" s="1" t="b">
        <v>1</v>
      </c>
    </row>
    <row r="1414" spans="1:35" x14ac:dyDescent="0.25">
      <c r="A1414" s="1">
        <v>19</v>
      </c>
      <c r="B1414" s="1">
        <v>4</v>
      </c>
      <c r="C1414" s="1">
        <v>2020</v>
      </c>
      <c r="G1414" s="1" t="s">
        <v>38</v>
      </c>
      <c r="H1414" s="2">
        <v>3.68</v>
      </c>
      <c r="I1414" s="1">
        <v>10</v>
      </c>
      <c r="U1414" s="1">
        <v>15</v>
      </c>
      <c r="X1414" s="1">
        <v>13</v>
      </c>
      <c r="AA1414" s="1">
        <v>2</v>
      </c>
      <c r="AB1414" s="1">
        <v>3</v>
      </c>
      <c r="AC1414" s="1">
        <v>603</v>
      </c>
      <c r="AF1414" s="3">
        <v>2.7173913043478262</v>
      </c>
      <c r="AG1414" s="3">
        <v>0.91609664311742756</v>
      </c>
      <c r="AH1414" s="1">
        <v>6276</v>
      </c>
      <c r="AI1414" s="1" t="b">
        <v>1</v>
      </c>
    </row>
    <row r="1415" spans="1:35" x14ac:dyDescent="0.25">
      <c r="A1415" s="1">
        <v>19</v>
      </c>
      <c r="B1415" s="1">
        <v>4</v>
      </c>
      <c r="C1415" s="1">
        <v>2020</v>
      </c>
      <c r="G1415" s="1" t="s">
        <v>38</v>
      </c>
      <c r="H1415" s="2">
        <v>5.0599999999999996</v>
      </c>
      <c r="I1415" s="1">
        <v>14</v>
      </c>
      <c r="U1415" s="1">
        <v>20</v>
      </c>
      <c r="X1415" s="1">
        <v>18</v>
      </c>
      <c r="AA1415" s="1">
        <v>3</v>
      </c>
      <c r="AB1415" s="1">
        <v>4</v>
      </c>
      <c r="AC1415" s="1">
        <v>850</v>
      </c>
      <c r="AF1415" s="3">
        <v>2.766798418972332</v>
      </c>
      <c r="AG1415" s="3">
        <v>1.1244181389035086</v>
      </c>
      <c r="AH1415" s="1">
        <v>6276</v>
      </c>
      <c r="AI1415" s="1" t="b">
        <v>1</v>
      </c>
    </row>
    <row r="1416" spans="1:35" x14ac:dyDescent="0.25">
      <c r="A1416" s="1">
        <v>19</v>
      </c>
      <c r="B1416" s="1">
        <v>4</v>
      </c>
      <c r="C1416" s="1">
        <v>2020</v>
      </c>
      <c r="G1416" s="1" t="s">
        <v>38</v>
      </c>
      <c r="H1416" s="2">
        <v>5.26</v>
      </c>
      <c r="I1416" s="1">
        <v>9</v>
      </c>
      <c r="U1416" s="1">
        <v>19</v>
      </c>
      <c r="X1416" s="1">
        <v>16</v>
      </c>
      <c r="AA1416" s="1">
        <v>3</v>
      </c>
      <c r="AB1416" s="1">
        <v>3</v>
      </c>
      <c r="AC1416" s="1">
        <v>715</v>
      </c>
      <c r="AF1416" s="3">
        <v>1.7110266159695817</v>
      </c>
      <c r="AG1416" s="3">
        <v>1.8682425350668277</v>
      </c>
      <c r="AH1416" s="1">
        <v>6276</v>
      </c>
      <c r="AI1416" s="1" t="b">
        <v>1</v>
      </c>
    </row>
    <row r="1417" spans="1:35" x14ac:dyDescent="0.25">
      <c r="A1417" s="1">
        <v>19</v>
      </c>
      <c r="B1417" s="1">
        <v>4</v>
      </c>
      <c r="C1417" s="1">
        <v>2020</v>
      </c>
      <c r="G1417" s="1" t="s">
        <v>38</v>
      </c>
      <c r="H1417" s="2">
        <v>6.88</v>
      </c>
      <c r="I1417" s="1">
        <v>18</v>
      </c>
      <c r="U1417" s="1">
        <v>31</v>
      </c>
      <c r="X1417" s="1">
        <v>27</v>
      </c>
      <c r="AA1417" s="1">
        <v>4</v>
      </c>
      <c r="AB1417" s="1">
        <v>4</v>
      </c>
      <c r="AC1417" s="1">
        <v>1018</v>
      </c>
      <c r="AF1417" s="3">
        <v>2.6162790697674421</v>
      </c>
      <c r="AG1417" s="3">
        <v>1.4744424972986245</v>
      </c>
      <c r="AH1417" s="1">
        <v>6276</v>
      </c>
      <c r="AI1417" s="1" t="b">
        <v>1</v>
      </c>
    </row>
    <row r="1418" spans="1:35" x14ac:dyDescent="0.25">
      <c r="A1418" s="1">
        <v>19</v>
      </c>
      <c r="B1418" s="1">
        <v>4</v>
      </c>
      <c r="C1418" s="1">
        <v>2020</v>
      </c>
      <c r="G1418" s="1" t="s">
        <v>38</v>
      </c>
      <c r="H1418" s="2">
        <v>5.01</v>
      </c>
      <c r="I1418" s="1">
        <v>15</v>
      </c>
      <c r="U1418" s="1">
        <v>26</v>
      </c>
      <c r="X1418" s="1">
        <v>22</v>
      </c>
      <c r="AA1418" s="1">
        <v>3</v>
      </c>
      <c r="AB1418" s="1">
        <v>5</v>
      </c>
      <c r="AC1418" s="1">
        <v>890</v>
      </c>
      <c r="AF1418" s="3">
        <v>2.9940119760479043</v>
      </c>
      <c r="AG1418" s="3">
        <v>1.0318887435005559</v>
      </c>
      <c r="AH1418" s="1">
        <v>6276</v>
      </c>
      <c r="AI1418" s="1" t="b">
        <v>1</v>
      </c>
    </row>
    <row r="1419" spans="1:35" x14ac:dyDescent="0.25">
      <c r="A1419" s="1">
        <v>19</v>
      </c>
      <c r="B1419" s="1">
        <v>4</v>
      </c>
      <c r="C1419" s="1">
        <v>2020</v>
      </c>
      <c r="G1419" s="1" t="s">
        <v>38</v>
      </c>
      <c r="H1419" s="2">
        <v>5.07</v>
      </c>
      <c r="I1419" s="1">
        <v>14</v>
      </c>
      <c r="U1419" s="1">
        <v>19</v>
      </c>
      <c r="X1419" s="1">
        <v>17</v>
      </c>
      <c r="AA1419" s="1">
        <v>2</v>
      </c>
      <c r="AB1419" s="1">
        <v>3</v>
      </c>
      <c r="AC1419" s="1">
        <v>767</v>
      </c>
      <c r="AF1419" s="3">
        <v>2.7613412228796843</v>
      </c>
      <c r="AG1419" s="3">
        <v>1.1281984408131744</v>
      </c>
      <c r="AH1419" s="1">
        <v>6276</v>
      </c>
      <c r="AI1419" s="1" t="b">
        <v>1</v>
      </c>
    </row>
    <row r="1420" spans="1:35" x14ac:dyDescent="0.25">
      <c r="A1420" s="1">
        <v>19</v>
      </c>
      <c r="B1420" s="1">
        <v>4</v>
      </c>
      <c r="C1420" s="1">
        <v>2020</v>
      </c>
      <c r="G1420" s="1" t="s">
        <v>38</v>
      </c>
      <c r="H1420" s="2">
        <v>7.22</v>
      </c>
      <c r="I1420" s="1">
        <v>17</v>
      </c>
      <c r="U1420" s="1">
        <v>27</v>
      </c>
      <c r="X1420" s="1">
        <v>24</v>
      </c>
      <c r="AA1420" s="1">
        <v>3</v>
      </c>
      <c r="AB1420" s="1">
        <v>3</v>
      </c>
      <c r="AC1420" s="1">
        <v>941</v>
      </c>
      <c r="AF1420" s="3">
        <v>2.3545706371191137</v>
      </c>
      <c r="AG1420" s="3">
        <v>1.6945887328108502</v>
      </c>
      <c r="AH1420" s="1">
        <v>6276</v>
      </c>
      <c r="AI1420" s="1" t="b">
        <v>1</v>
      </c>
    </row>
    <row r="1421" spans="1:35" x14ac:dyDescent="0.25">
      <c r="A1421" s="1">
        <v>19</v>
      </c>
      <c r="B1421" s="1">
        <v>4</v>
      </c>
      <c r="C1421" s="1">
        <v>2020</v>
      </c>
      <c r="G1421" s="1" t="s">
        <v>38</v>
      </c>
      <c r="H1421" s="2">
        <v>5.97</v>
      </c>
      <c r="I1421" s="1">
        <v>22</v>
      </c>
      <c r="U1421" s="1">
        <v>28</v>
      </c>
      <c r="X1421" s="1">
        <v>26</v>
      </c>
      <c r="AA1421" s="1">
        <v>2</v>
      </c>
      <c r="AB1421" s="1">
        <v>3</v>
      </c>
      <c r="AC1421" s="1">
        <v>900</v>
      </c>
      <c r="AF1421" s="3">
        <v>3.6850921273031827</v>
      </c>
      <c r="AG1421" s="3">
        <v>0.94783705276445085</v>
      </c>
      <c r="AH1421" s="1">
        <v>6276</v>
      </c>
      <c r="AI1421" s="1" t="b">
        <v>1</v>
      </c>
    </row>
    <row r="1422" spans="1:35" x14ac:dyDescent="0.25">
      <c r="A1422" s="1">
        <v>19</v>
      </c>
      <c r="B1422" s="1">
        <v>4</v>
      </c>
      <c r="C1422" s="1">
        <v>2020</v>
      </c>
      <c r="G1422" s="1" t="s">
        <v>38</v>
      </c>
      <c r="H1422" s="2">
        <v>5.68</v>
      </c>
      <c r="I1422" s="1">
        <v>19</v>
      </c>
      <c r="U1422" s="1">
        <v>23</v>
      </c>
      <c r="X1422" s="1">
        <v>21</v>
      </c>
      <c r="AA1422" s="1">
        <v>2</v>
      </c>
      <c r="AB1422" s="1">
        <v>2</v>
      </c>
      <c r="AC1422" s="1">
        <v>869</v>
      </c>
      <c r="AF1422" s="3">
        <v>3.3450704225352115</v>
      </c>
      <c r="AG1422" s="3">
        <v>1.0084133111172322</v>
      </c>
      <c r="AH1422" s="1">
        <v>6276</v>
      </c>
      <c r="AI1422" s="1" t="b">
        <v>1</v>
      </c>
    </row>
    <row r="1423" spans="1:35" x14ac:dyDescent="0.25">
      <c r="A1423" s="1">
        <v>19</v>
      </c>
      <c r="B1423" s="1">
        <v>4</v>
      </c>
      <c r="C1423" s="1">
        <v>2020</v>
      </c>
      <c r="G1423" s="1" t="s">
        <v>38</v>
      </c>
      <c r="H1423" s="2">
        <v>6.39</v>
      </c>
      <c r="I1423" s="1">
        <v>20</v>
      </c>
      <c r="U1423" s="1">
        <v>25</v>
      </c>
      <c r="X1423" s="1">
        <v>22</v>
      </c>
      <c r="AA1423" s="1">
        <v>3</v>
      </c>
      <c r="AB1423" s="1">
        <v>3</v>
      </c>
      <c r="AC1423" s="1">
        <v>841</v>
      </c>
      <c r="AF1423" s="3">
        <v>3.1298904538341161</v>
      </c>
      <c r="AG1423" s="3">
        <v>1.170365370698716</v>
      </c>
      <c r="AH1423" s="1">
        <v>6276</v>
      </c>
      <c r="AI1423" s="1" t="b">
        <v>1</v>
      </c>
    </row>
    <row r="1424" spans="1:35" x14ac:dyDescent="0.25">
      <c r="A1424" s="1">
        <v>19</v>
      </c>
      <c r="B1424" s="1">
        <v>4</v>
      </c>
      <c r="C1424" s="1">
        <v>2020</v>
      </c>
      <c r="G1424" s="1" t="s">
        <v>38</v>
      </c>
      <c r="H1424" s="2">
        <v>4.04</v>
      </c>
      <c r="I1424" s="1">
        <v>9</v>
      </c>
      <c r="U1424" s="1">
        <v>18</v>
      </c>
      <c r="X1424" s="1">
        <v>13</v>
      </c>
      <c r="AA1424" s="1">
        <v>3</v>
      </c>
      <c r="AB1424" s="1">
        <v>4</v>
      </c>
      <c r="AC1424" s="1">
        <v>578</v>
      </c>
      <c r="AF1424" s="3">
        <v>2.2277227722772279</v>
      </c>
      <c r="AG1424" s="3">
        <v>1.1929048690844413</v>
      </c>
      <c r="AH1424" s="1">
        <v>6276</v>
      </c>
      <c r="AI1424" s="1" t="b">
        <v>1</v>
      </c>
    </row>
    <row r="1425" spans="1:35" x14ac:dyDescent="0.25">
      <c r="A1425" s="1">
        <v>19</v>
      </c>
      <c r="B1425" s="1">
        <v>4</v>
      </c>
      <c r="C1425" s="1">
        <v>2020</v>
      </c>
      <c r="G1425" s="1" t="s">
        <v>38</v>
      </c>
      <c r="H1425" s="2">
        <v>7.8</v>
      </c>
      <c r="I1425" s="1">
        <v>20</v>
      </c>
      <c r="U1425" s="1">
        <v>30</v>
      </c>
      <c r="X1425" s="1">
        <v>26</v>
      </c>
      <c r="AA1425" s="1">
        <v>2</v>
      </c>
      <c r="AB1425" s="1">
        <v>2</v>
      </c>
      <c r="AC1425" s="1">
        <v>1104</v>
      </c>
      <c r="AF1425" s="3">
        <v>2.5641025641025643</v>
      </c>
      <c r="AG1425" s="3">
        <v>1.6425962571832666</v>
      </c>
      <c r="AH1425" s="1">
        <v>6276</v>
      </c>
      <c r="AI1425" s="1" t="b">
        <v>1</v>
      </c>
    </row>
    <row r="1426" spans="1:35" x14ac:dyDescent="0.25">
      <c r="A1426" s="1">
        <v>19</v>
      </c>
      <c r="B1426" s="1">
        <v>4</v>
      </c>
      <c r="C1426" s="1">
        <v>2020</v>
      </c>
      <c r="G1426" s="1" t="s">
        <v>38</v>
      </c>
      <c r="H1426" s="2">
        <v>6.24</v>
      </c>
      <c r="I1426" s="1">
        <v>20</v>
      </c>
      <c r="U1426" s="1">
        <v>25</v>
      </c>
      <c r="X1426" s="1">
        <v>23</v>
      </c>
      <c r="AA1426" s="1">
        <v>2</v>
      </c>
      <c r="AB1426" s="1">
        <v>3</v>
      </c>
      <c r="AC1426" s="1">
        <v>848</v>
      </c>
      <c r="AF1426" s="3">
        <v>3.2051282051282048</v>
      </c>
      <c r="AG1426" s="3">
        <v>1.1240452812776787</v>
      </c>
      <c r="AH1426" s="1">
        <v>6276</v>
      </c>
      <c r="AI1426" s="1" t="b">
        <v>1</v>
      </c>
    </row>
    <row r="1427" spans="1:35" x14ac:dyDescent="0.25">
      <c r="A1427" s="1">
        <v>19</v>
      </c>
      <c r="B1427" s="1">
        <v>4</v>
      </c>
      <c r="C1427" s="1">
        <v>2020</v>
      </c>
      <c r="G1427" s="1" t="s">
        <v>38</v>
      </c>
      <c r="H1427" s="2">
        <v>2.93</v>
      </c>
      <c r="I1427" s="1">
        <v>8</v>
      </c>
      <c r="U1427" s="1">
        <v>10</v>
      </c>
      <c r="X1427" s="1">
        <v>8</v>
      </c>
      <c r="AA1427" s="1">
        <v>1</v>
      </c>
      <c r="AB1427" s="1">
        <v>2</v>
      </c>
      <c r="AC1427" s="1">
        <v>455</v>
      </c>
      <c r="AF1427" s="3">
        <v>2.7303754266211602</v>
      </c>
      <c r="AG1427" s="3">
        <v>0.77729337759963046</v>
      </c>
      <c r="AH1427" s="1">
        <v>6276</v>
      </c>
      <c r="AI1427" s="1" t="b">
        <v>1</v>
      </c>
    </row>
    <row r="1428" spans="1:35" x14ac:dyDescent="0.25">
      <c r="A1428" s="1">
        <v>19</v>
      </c>
      <c r="B1428" s="1">
        <v>4</v>
      </c>
      <c r="C1428" s="1">
        <v>2020</v>
      </c>
      <c r="G1428" s="1" t="s">
        <v>38</v>
      </c>
      <c r="H1428" s="2">
        <v>6.68</v>
      </c>
      <c r="I1428" s="1">
        <v>19</v>
      </c>
      <c r="U1428" s="1">
        <v>30</v>
      </c>
      <c r="X1428" s="1">
        <v>24</v>
      </c>
      <c r="AA1428" s="1">
        <v>3</v>
      </c>
      <c r="AB1428" s="1">
        <v>3</v>
      </c>
      <c r="AC1428" s="1">
        <v>994</v>
      </c>
      <c r="AF1428" s="3">
        <v>2.8443113772455093</v>
      </c>
      <c r="AG1428" s="3">
        <v>1.3285147642982014</v>
      </c>
      <c r="AH1428" s="1">
        <v>6276</v>
      </c>
      <c r="AI1428" s="1" t="b">
        <v>1</v>
      </c>
    </row>
    <row r="1429" spans="1:35" x14ac:dyDescent="0.25">
      <c r="A1429" s="1">
        <v>19</v>
      </c>
      <c r="B1429" s="1">
        <v>4</v>
      </c>
      <c r="C1429" s="1">
        <v>2020</v>
      </c>
      <c r="G1429" s="1" t="s">
        <v>38</v>
      </c>
      <c r="H1429" s="2">
        <v>5.17</v>
      </c>
      <c r="I1429" s="1">
        <v>14</v>
      </c>
      <c r="U1429" s="1">
        <v>19</v>
      </c>
      <c r="X1429" s="1">
        <v>16</v>
      </c>
      <c r="AA1429" s="1">
        <v>2</v>
      </c>
      <c r="AB1429" s="1">
        <v>2</v>
      </c>
      <c r="AC1429" s="1">
        <v>713</v>
      </c>
      <c r="AF1429" s="3">
        <v>2.7079303675048356</v>
      </c>
      <c r="AG1429" s="3">
        <v>1.1662882159444654</v>
      </c>
      <c r="AH1429" s="1">
        <v>6276</v>
      </c>
      <c r="AI1429" s="1" t="b">
        <v>1</v>
      </c>
    </row>
    <row r="1430" spans="1:35" x14ac:dyDescent="0.25">
      <c r="A1430" s="1">
        <v>19</v>
      </c>
      <c r="B1430" s="1">
        <v>4</v>
      </c>
      <c r="C1430" s="1">
        <v>2020</v>
      </c>
      <c r="G1430" s="1" t="s">
        <v>38</v>
      </c>
      <c r="H1430" s="2">
        <v>4.6100000000000003</v>
      </c>
      <c r="I1430" s="1">
        <v>12</v>
      </c>
      <c r="U1430" s="1">
        <v>19</v>
      </c>
      <c r="X1430" s="1">
        <v>18</v>
      </c>
      <c r="AA1430" s="1">
        <v>3</v>
      </c>
      <c r="AB1430" s="1">
        <v>3</v>
      </c>
      <c r="AC1430" s="1">
        <v>616</v>
      </c>
      <c r="AF1430" s="3">
        <v>2.6030368763557483</v>
      </c>
      <c r="AG1430" s="3">
        <v>1.1197222988712223</v>
      </c>
      <c r="AH1430" s="1">
        <v>6276</v>
      </c>
      <c r="AI1430" s="1" t="b">
        <v>1</v>
      </c>
    </row>
    <row r="1431" spans="1:35" x14ac:dyDescent="0.25">
      <c r="A1431" s="1">
        <v>19</v>
      </c>
      <c r="B1431" s="1">
        <v>4</v>
      </c>
      <c r="C1431" s="1">
        <v>2020</v>
      </c>
      <c r="G1431" s="1" t="s">
        <v>38</v>
      </c>
      <c r="H1431" s="2">
        <v>5.75</v>
      </c>
      <c r="I1431" s="1">
        <v>19</v>
      </c>
      <c r="U1431" s="1">
        <v>21</v>
      </c>
      <c r="X1431" s="1">
        <v>21</v>
      </c>
      <c r="AA1431" s="1">
        <v>1</v>
      </c>
      <c r="AB1431" s="1">
        <v>4</v>
      </c>
      <c r="AC1431" s="1">
        <v>921</v>
      </c>
      <c r="AF1431" s="3">
        <v>3.3043478260869565</v>
      </c>
      <c r="AG1431" s="3">
        <v>1.0296312969277812</v>
      </c>
      <c r="AH1431" s="1">
        <v>6276</v>
      </c>
      <c r="AI1431" s="1" t="b">
        <v>1</v>
      </c>
    </row>
    <row r="1432" spans="1:35" x14ac:dyDescent="0.25">
      <c r="A1432" s="1">
        <v>19</v>
      </c>
      <c r="B1432" s="1">
        <v>4</v>
      </c>
      <c r="C1432" s="1">
        <v>2020</v>
      </c>
      <c r="G1432" s="1" t="s">
        <v>38</v>
      </c>
      <c r="H1432" s="2">
        <v>4.03</v>
      </c>
      <c r="I1432" s="1">
        <v>12</v>
      </c>
      <c r="U1432" s="1">
        <v>16</v>
      </c>
      <c r="X1432" s="1">
        <v>15</v>
      </c>
      <c r="AA1432" s="1">
        <v>2</v>
      </c>
      <c r="AB1432" s="1">
        <v>2</v>
      </c>
      <c r="AC1432" s="1">
        <v>577</v>
      </c>
      <c r="AF1432" s="3">
        <v>2.9776674937965257</v>
      </c>
      <c r="AG1432" s="3">
        <v>0.89091717724958919</v>
      </c>
      <c r="AH1432" s="1">
        <v>6276</v>
      </c>
      <c r="AI1432" s="1" t="b">
        <v>1</v>
      </c>
    </row>
    <row r="1433" spans="1:35" x14ac:dyDescent="0.25">
      <c r="A1433" s="1">
        <v>28</v>
      </c>
      <c r="B1433" s="1">
        <v>4</v>
      </c>
      <c r="C1433" s="1">
        <v>2020</v>
      </c>
      <c r="G1433" s="1" t="s">
        <v>38</v>
      </c>
      <c r="H1433" s="2">
        <v>31.57</v>
      </c>
      <c r="I1433" s="1">
        <v>20</v>
      </c>
      <c r="U1433" s="1">
        <v>20</v>
      </c>
      <c r="X1433" s="1">
        <v>20</v>
      </c>
      <c r="AA1433" s="1">
        <v>3</v>
      </c>
      <c r="AB1433" s="1">
        <v>2</v>
      </c>
      <c r="AC1433" s="1">
        <v>974</v>
      </c>
      <c r="AF1433" s="3">
        <v>0.63351282863477987</v>
      </c>
      <c r="AG1433" s="3">
        <v>17.690364995222637</v>
      </c>
      <c r="AH1433" s="1">
        <v>6278</v>
      </c>
      <c r="AI1433" s="1" t="b">
        <v>1</v>
      </c>
    </row>
    <row r="1434" spans="1:35" x14ac:dyDescent="0.25">
      <c r="A1434" s="1">
        <v>28</v>
      </c>
      <c r="B1434" s="1">
        <v>4</v>
      </c>
      <c r="C1434" s="1">
        <v>2020</v>
      </c>
      <c r="G1434" s="1" t="s">
        <v>38</v>
      </c>
      <c r="H1434" s="2">
        <v>14.04</v>
      </c>
      <c r="I1434" s="1">
        <v>15</v>
      </c>
      <c r="U1434" s="1">
        <v>16</v>
      </c>
      <c r="X1434" s="1">
        <v>16</v>
      </c>
      <c r="AA1434" s="1">
        <v>3</v>
      </c>
      <c r="AB1434" s="1">
        <v>2</v>
      </c>
      <c r="AC1434" s="1">
        <v>665</v>
      </c>
      <c r="AF1434" s="3">
        <v>1.0683760683760684</v>
      </c>
      <c r="AG1434" s="3">
        <v>5.9488473405533577</v>
      </c>
      <c r="AH1434" s="1">
        <v>6278</v>
      </c>
      <c r="AI1434" s="1" t="b">
        <v>1</v>
      </c>
    </row>
    <row r="1435" spans="1:35" x14ac:dyDescent="0.25">
      <c r="A1435" s="1">
        <v>28</v>
      </c>
      <c r="B1435" s="1">
        <v>4</v>
      </c>
      <c r="C1435" s="1">
        <v>2020</v>
      </c>
      <c r="G1435" s="1" t="s">
        <v>38</v>
      </c>
      <c r="H1435" s="2">
        <v>17.760000000000002</v>
      </c>
      <c r="I1435" s="1">
        <v>12</v>
      </c>
      <c r="V1435" s="1">
        <v>12</v>
      </c>
      <c r="X1435" s="1">
        <v>12</v>
      </c>
      <c r="AA1435" s="1">
        <v>2</v>
      </c>
      <c r="AB1435" s="1">
        <v>2</v>
      </c>
      <c r="AC1435" s="1">
        <v>652</v>
      </c>
      <c r="AF1435" s="3">
        <v>0.67567567567567566</v>
      </c>
      <c r="AG1435" s="3">
        <v>11.088474151016735</v>
      </c>
      <c r="AH1435" s="1">
        <v>6278</v>
      </c>
      <c r="AI1435" s="1" t="b">
        <v>1</v>
      </c>
    </row>
    <row r="1436" spans="1:35" x14ac:dyDescent="0.25">
      <c r="A1436" s="1">
        <v>28</v>
      </c>
      <c r="B1436" s="1">
        <v>4</v>
      </c>
      <c r="C1436" s="1">
        <v>2020</v>
      </c>
      <c r="G1436" s="1" t="s">
        <v>38</v>
      </c>
      <c r="H1436" s="2">
        <v>23.77</v>
      </c>
      <c r="I1436" s="1">
        <v>20</v>
      </c>
      <c r="V1436" s="1">
        <v>21</v>
      </c>
      <c r="X1436" s="1">
        <v>21</v>
      </c>
      <c r="AA1436" s="1">
        <v>4</v>
      </c>
      <c r="AB1436" s="1">
        <v>5</v>
      </c>
      <c r="AC1436" s="1">
        <v>988</v>
      </c>
      <c r="AF1436" s="3">
        <v>0.84139671855279763</v>
      </c>
      <c r="AG1436" s="3">
        <v>10.919923936588031</v>
      </c>
      <c r="AH1436" s="1">
        <v>6278</v>
      </c>
      <c r="AI1436" s="1" t="b">
        <v>1</v>
      </c>
    </row>
    <row r="1437" spans="1:35" x14ac:dyDescent="0.25">
      <c r="A1437" s="1">
        <v>28</v>
      </c>
      <c r="B1437" s="1">
        <v>4</v>
      </c>
      <c r="C1437" s="1">
        <v>2020</v>
      </c>
      <c r="G1437" s="1" t="s">
        <v>38</v>
      </c>
      <c r="H1437" s="2">
        <v>19.399999999999999</v>
      </c>
      <c r="I1437" s="1">
        <v>23</v>
      </c>
      <c r="V1437" s="1">
        <v>22</v>
      </c>
      <c r="X1437" s="1">
        <v>22</v>
      </c>
      <c r="AA1437" s="1">
        <v>3</v>
      </c>
      <c r="AB1437" s="1">
        <v>2</v>
      </c>
      <c r="AC1437" s="1">
        <v>933</v>
      </c>
      <c r="AF1437" s="3">
        <v>1.1855670103092784</v>
      </c>
      <c r="AG1437" s="3">
        <v>6.7225664672171206</v>
      </c>
      <c r="AH1437" s="1">
        <v>6278</v>
      </c>
      <c r="AI1437" s="1" t="b">
        <v>1</v>
      </c>
    </row>
    <row r="1438" spans="1:35" x14ac:dyDescent="0.25">
      <c r="A1438" s="1">
        <v>28</v>
      </c>
      <c r="B1438" s="1">
        <v>4</v>
      </c>
      <c r="C1438" s="1">
        <v>2020</v>
      </c>
      <c r="G1438" s="1" t="s">
        <v>38</v>
      </c>
      <c r="H1438" s="2">
        <v>17.25</v>
      </c>
      <c r="I1438" s="1">
        <v>19</v>
      </c>
      <c r="V1438" s="1">
        <v>20</v>
      </c>
      <c r="X1438" s="1">
        <v>20</v>
      </c>
      <c r="AA1438" s="1">
        <v>2</v>
      </c>
      <c r="AB1438" s="1">
        <v>3</v>
      </c>
      <c r="AC1438" s="1">
        <v>837</v>
      </c>
      <c r="AF1438" s="3">
        <v>1.1014492753623188</v>
      </c>
      <c r="AG1438" s="3">
        <v>6.6648114572444159</v>
      </c>
      <c r="AH1438" s="1">
        <v>6278</v>
      </c>
      <c r="AI1438" s="1" t="b">
        <v>1</v>
      </c>
    </row>
    <row r="1439" spans="1:35" x14ac:dyDescent="0.25">
      <c r="A1439" s="1">
        <v>28</v>
      </c>
      <c r="B1439" s="1">
        <v>4</v>
      </c>
      <c r="C1439" s="1">
        <v>2020</v>
      </c>
      <c r="G1439" s="1" t="s">
        <v>38</v>
      </c>
      <c r="H1439" s="2">
        <v>26.2</v>
      </c>
      <c r="I1439" s="1">
        <v>21</v>
      </c>
      <c r="V1439" s="1">
        <v>16</v>
      </c>
      <c r="X1439" s="1">
        <v>16</v>
      </c>
      <c r="AA1439" s="1">
        <v>2</v>
      </c>
      <c r="AB1439" s="1">
        <v>2</v>
      </c>
      <c r="AC1439" s="1">
        <v>643</v>
      </c>
      <c r="AF1439" s="3">
        <v>0.80152671755725191</v>
      </c>
      <c r="AG1439" s="3">
        <v>12.271365749798353</v>
      </c>
      <c r="AH1439" s="1">
        <v>6278</v>
      </c>
      <c r="AI1439" s="1" t="b">
        <v>1</v>
      </c>
    </row>
    <row r="1440" spans="1:35" x14ac:dyDescent="0.25">
      <c r="A1440" s="1">
        <v>28</v>
      </c>
      <c r="B1440" s="1">
        <v>4</v>
      </c>
      <c r="C1440" s="1">
        <v>2020</v>
      </c>
      <c r="G1440" s="1" t="s">
        <v>38</v>
      </c>
      <c r="H1440" s="2">
        <v>8.85</v>
      </c>
      <c r="I1440" s="1">
        <v>9</v>
      </c>
      <c r="V1440" s="1">
        <v>7</v>
      </c>
      <c r="X1440" s="1">
        <v>7</v>
      </c>
      <c r="AA1440" s="1">
        <v>1</v>
      </c>
      <c r="AB1440" s="1">
        <v>2</v>
      </c>
      <c r="AC1440" s="1">
        <v>300</v>
      </c>
      <c r="AF1440" s="3">
        <v>1.0169491525423728</v>
      </c>
      <c r="AG1440" s="3">
        <v>4.5244005941551793</v>
      </c>
      <c r="AH1440" s="1">
        <v>6278</v>
      </c>
      <c r="AI1440" s="1" t="b">
        <v>1</v>
      </c>
    </row>
    <row r="1441" spans="1:35" x14ac:dyDescent="0.25">
      <c r="A1441" s="1">
        <v>28</v>
      </c>
      <c r="B1441" s="1">
        <v>4</v>
      </c>
      <c r="C1441" s="1">
        <v>2020</v>
      </c>
      <c r="G1441" s="1" t="s">
        <v>38</v>
      </c>
      <c r="H1441" s="2">
        <v>22.17</v>
      </c>
      <c r="I1441" s="1">
        <v>17</v>
      </c>
      <c r="V1441" s="1">
        <v>17</v>
      </c>
      <c r="X1441" s="1">
        <v>17</v>
      </c>
      <c r="AA1441" s="1">
        <v>2</v>
      </c>
      <c r="AB1441" s="1">
        <v>5</v>
      </c>
      <c r="AC1441" s="1">
        <v>971</v>
      </c>
      <c r="AF1441" s="3">
        <v>0.76680198466396021</v>
      </c>
      <c r="AG1441" s="3">
        <v>11.411763349076629</v>
      </c>
      <c r="AH1441" s="1">
        <v>6278</v>
      </c>
      <c r="AI1441" s="1" t="b">
        <v>1</v>
      </c>
    </row>
    <row r="1442" spans="1:35" x14ac:dyDescent="0.25">
      <c r="A1442" s="1">
        <v>28</v>
      </c>
      <c r="B1442" s="1">
        <v>4</v>
      </c>
      <c r="C1442" s="1">
        <v>2020</v>
      </c>
      <c r="G1442" s="1" t="s">
        <v>38</v>
      </c>
      <c r="H1442" s="2">
        <v>10.73</v>
      </c>
      <c r="I1442" s="1">
        <v>12</v>
      </c>
      <c r="V1442" s="1">
        <v>11</v>
      </c>
      <c r="X1442" s="1">
        <v>11</v>
      </c>
      <c r="AA1442" s="1">
        <v>1</v>
      </c>
      <c r="AB1442" s="1">
        <v>5</v>
      </c>
      <c r="AC1442" s="1">
        <v>491</v>
      </c>
      <c r="AF1442" s="3">
        <v>1.1183597390493942</v>
      </c>
      <c r="AG1442" s="3">
        <v>4.7080198070986032</v>
      </c>
      <c r="AH1442" s="1">
        <v>6278</v>
      </c>
      <c r="AI1442" s="1" t="b">
        <v>1</v>
      </c>
    </row>
    <row r="1443" spans="1:35" x14ac:dyDescent="0.25">
      <c r="A1443" s="1">
        <v>28</v>
      </c>
      <c r="B1443" s="1">
        <v>4</v>
      </c>
      <c r="C1443" s="1">
        <v>2020</v>
      </c>
      <c r="G1443" s="1" t="s">
        <v>38</v>
      </c>
      <c r="H1443" s="2">
        <v>5.76</v>
      </c>
      <c r="I1443" s="1">
        <v>7</v>
      </c>
      <c r="U1443" s="1">
        <v>7</v>
      </c>
      <c r="X1443" s="1">
        <v>7</v>
      </c>
      <c r="AA1443" s="1">
        <v>1</v>
      </c>
      <c r="AB1443" s="1">
        <v>3</v>
      </c>
      <c r="AC1443" s="1">
        <v>514</v>
      </c>
      <c r="AF1443" s="3">
        <v>1.2152777777777779</v>
      </c>
      <c r="AG1443" s="3">
        <v>2.8029811800633029</v>
      </c>
      <c r="AH1443" s="1">
        <v>6278</v>
      </c>
      <c r="AI1443" s="1" t="b">
        <v>1</v>
      </c>
    </row>
    <row r="1444" spans="1:35" x14ac:dyDescent="0.25">
      <c r="A1444" s="1">
        <v>28</v>
      </c>
      <c r="B1444" s="1">
        <v>4</v>
      </c>
      <c r="C1444" s="1">
        <v>2020</v>
      </c>
      <c r="G1444" s="1" t="s">
        <v>38</v>
      </c>
      <c r="H1444" s="2">
        <v>13.06</v>
      </c>
      <c r="I1444" s="1">
        <v>6</v>
      </c>
      <c r="V1444" s="1">
        <v>10</v>
      </c>
      <c r="X1444" s="1">
        <v>10</v>
      </c>
      <c r="AA1444" s="1">
        <v>3</v>
      </c>
      <c r="AB1444" s="1">
        <v>2</v>
      </c>
      <c r="AC1444" s="1">
        <v>488</v>
      </c>
      <c r="AF1444" s="3">
        <v>0.4594180704441041</v>
      </c>
      <c r="AG1444" s="3">
        <v>13.150799316668929</v>
      </c>
      <c r="AH1444" s="1">
        <v>6278</v>
      </c>
      <c r="AI1444" s="1" t="b">
        <v>1</v>
      </c>
    </row>
    <row r="1445" spans="1:35" x14ac:dyDescent="0.25">
      <c r="A1445" s="1">
        <v>28</v>
      </c>
      <c r="B1445" s="1">
        <v>4</v>
      </c>
      <c r="C1445" s="1">
        <v>2020</v>
      </c>
      <c r="G1445" s="1" t="s">
        <v>38</v>
      </c>
      <c r="H1445" s="2">
        <v>6.09</v>
      </c>
      <c r="I1445" s="1">
        <v>11</v>
      </c>
      <c r="V1445" s="1">
        <v>64</v>
      </c>
      <c r="X1445" s="1">
        <v>63</v>
      </c>
      <c r="AA1445" s="1">
        <v>3</v>
      </c>
      <c r="AB1445" s="1">
        <v>3</v>
      </c>
      <c r="AC1445" s="1">
        <v>483</v>
      </c>
      <c r="AF1445" s="3">
        <v>1.80623973727422</v>
      </c>
      <c r="AG1445" s="3">
        <v>1.9609057152579887</v>
      </c>
      <c r="AH1445" s="1">
        <v>6278</v>
      </c>
      <c r="AI1445" s="1" t="b">
        <v>1</v>
      </c>
    </row>
    <row r="1446" spans="1:35" x14ac:dyDescent="0.25">
      <c r="A1446" s="1">
        <v>28</v>
      </c>
      <c r="B1446" s="1">
        <v>4</v>
      </c>
      <c r="C1446" s="1">
        <v>2020</v>
      </c>
      <c r="G1446" s="1" t="s">
        <v>38</v>
      </c>
      <c r="H1446" s="2">
        <v>12.09</v>
      </c>
      <c r="I1446" s="1">
        <v>18</v>
      </c>
      <c r="V1446" s="1">
        <v>153</v>
      </c>
      <c r="X1446" s="1">
        <v>150</v>
      </c>
      <c r="AA1446" s="1">
        <v>4</v>
      </c>
      <c r="AB1446" s="1">
        <v>2</v>
      </c>
      <c r="AC1446" s="1">
        <v>1009</v>
      </c>
      <c r="AF1446" s="3">
        <v>1.4888337468982631</v>
      </c>
      <c r="AG1446" s="3">
        <v>3.8446092487062362</v>
      </c>
      <c r="AH1446" s="1">
        <v>6278</v>
      </c>
      <c r="AI1446" s="1" t="b">
        <v>1</v>
      </c>
    </row>
    <row r="1447" spans="1:35" x14ac:dyDescent="0.25">
      <c r="A1447" s="1">
        <v>28</v>
      </c>
      <c r="B1447" s="1">
        <v>4</v>
      </c>
      <c r="C1447" s="1">
        <v>2020</v>
      </c>
      <c r="G1447" s="1" t="s">
        <v>38</v>
      </c>
      <c r="H1447" s="2">
        <v>6.44</v>
      </c>
      <c r="I1447" s="1">
        <v>21</v>
      </c>
      <c r="U1447" s="1">
        <v>31</v>
      </c>
      <c r="X1447" s="1">
        <v>26</v>
      </c>
      <c r="AA1447" s="1">
        <v>3</v>
      </c>
      <c r="AB1447" s="1">
        <v>3</v>
      </c>
      <c r="AC1447" s="1">
        <v>1100</v>
      </c>
      <c r="AF1447" s="3">
        <v>3.2608695652173911</v>
      </c>
      <c r="AG1447" s="3">
        <v>1.1295011560983987</v>
      </c>
      <c r="AH1447" s="1">
        <v>6278</v>
      </c>
      <c r="AI1447" s="1" t="b">
        <v>1</v>
      </c>
    </row>
    <row r="1448" spans="1:35" x14ac:dyDescent="0.25">
      <c r="A1448" s="1">
        <v>28</v>
      </c>
      <c r="B1448" s="1">
        <v>4</v>
      </c>
      <c r="C1448" s="1">
        <v>2020</v>
      </c>
      <c r="G1448" s="1" t="s">
        <v>38</v>
      </c>
      <c r="H1448" s="2">
        <v>8.31</v>
      </c>
      <c r="I1448" s="1">
        <v>22</v>
      </c>
      <c r="U1448" s="1">
        <v>36</v>
      </c>
      <c r="X1448" s="1">
        <v>31</v>
      </c>
      <c r="AA1448" s="1">
        <v>3</v>
      </c>
      <c r="AB1448" s="1">
        <v>4</v>
      </c>
      <c r="AC1448" s="1">
        <v>1255</v>
      </c>
      <c r="AF1448" s="3">
        <v>2.6474127557160045</v>
      </c>
      <c r="AG1448" s="3">
        <v>1.6630260785479551</v>
      </c>
      <c r="AH1448" s="1">
        <v>6278</v>
      </c>
      <c r="AI1448" s="1" t="b">
        <v>1</v>
      </c>
    </row>
    <row r="1449" spans="1:35" x14ac:dyDescent="0.25">
      <c r="A1449" s="1">
        <v>28</v>
      </c>
      <c r="B1449" s="1">
        <v>4</v>
      </c>
      <c r="C1449" s="1">
        <v>2020</v>
      </c>
      <c r="G1449" s="1" t="s">
        <v>38</v>
      </c>
      <c r="H1449" s="2">
        <v>5.77</v>
      </c>
      <c r="I1449" s="1">
        <v>19</v>
      </c>
      <c r="U1449" s="1">
        <v>26</v>
      </c>
      <c r="X1449" s="1">
        <v>23</v>
      </c>
      <c r="AA1449" s="1">
        <v>2</v>
      </c>
      <c r="AB1449" s="1">
        <v>4</v>
      </c>
      <c r="AC1449" s="1">
        <v>910</v>
      </c>
      <c r="AF1449" s="3">
        <v>3.2928942807625652</v>
      </c>
      <c r="AG1449" s="3">
        <v>1.0357269607662289</v>
      </c>
      <c r="AH1449" s="1">
        <v>6278</v>
      </c>
      <c r="AI1449" s="1" t="b">
        <v>1</v>
      </c>
    </row>
    <row r="1450" spans="1:35" x14ac:dyDescent="0.25">
      <c r="A1450" s="1">
        <v>29</v>
      </c>
      <c r="B1450" s="1">
        <v>4</v>
      </c>
      <c r="C1450" s="1">
        <v>2020</v>
      </c>
      <c r="G1450" s="1" t="s">
        <v>38</v>
      </c>
      <c r="H1450" s="2">
        <v>4.97</v>
      </c>
      <c r="I1450" s="1">
        <v>13</v>
      </c>
      <c r="U1450" s="1">
        <v>19</v>
      </c>
      <c r="X1450" s="1">
        <v>16</v>
      </c>
      <c r="AA1450" s="1">
        <v>2</v>
      </c>
      <c r="AB1450" s="1">
        <v>2</v>
      </c>
      <c r="AC1450" s="1">
        <v>740</v>
      </c>
      <c r="AF1450" s="3">
        <v>2.6156941649899399</v>
      </c>
      <c r="AG1450" s="3">
        <v>1.1745256579446743</v>
      </c>
      <c r="AH1450" s="1">
        <v>6278</v>
      </c>
      <c r="AI1450" s="1" t="b">
        <v>1</v>
      </c>
    </row>
    <row r="1451" spans="1:35" x14ac:dyDescent="0.25">
      <c r="A1451" s="1">
        <v>29</v>
      </c>
      <c r="B1451" s="1">
        <v>4</v>
      </c>
      <c r="C1451" s="1">
        <v>2020</v>
      </c>
      <c r="G1451" s="1" t="s">
        <v>38</v>
      </c>
      <c r="H1451" s="2">
        <v>4.1500000000000004</v>
      </c>
      <c r="I1451" s="1">
        <v>11</v>
      </c>
      <c r="U1451" s="1">
        <v>16</v>
      </c>
      <c r="X1451" s="1">
        <v>13</v>
      </c>
      <c r="AA1451" s="1">
        <v>2</v>
      </c>
      <c r="AB1451" s="1">
        <v>2</v>
      </c>
      <c r="AC1451" s="1">
        <v>683</v>
      </c>
      <c r="AF1451" s="3">
        <v>2.6506024096385539</v>
      </c>
      <c r="AG1451" s="3">
        <v>1.0216192774447899</v>
      </c>
      <c r="AH1451" s="1">
        <v>6278</v>
      </c>
      <c r="AI1451" s="1" t="b">
        <v>1</v>
      </c>
    </row>
    <row r="1452" spans="1:35" x14ac:dyDescent="0.25">
      <c r="A1452" s="1">
        <v>29</v>
      </c>
      <c r="B1452" s="1">
        <v>4</v>
      </c>
      <c r="C1452" s="1">
        <v>2020</v>
      </c>
      <c r="G1452" s="1" t="s">
        <v>38</v>
      </c>
      <c r="H1452" s="2">
        <v>7.21</v>
      </c>
      <c r="I1452" s="1">
        <v>21</v>
      </c>
      <c r="U1452" s="1">
        <v>36</v>
      </c>
      <c r="X1452" s="1">
        <v>30</v>
      </c>
      <c r="AA1452" s="1">
        <v>4</v>
      </c>
      <c r="AB1452" s="1">
        <v>2</v>
      </c>
      <c r="AC1452" s="1">
        <v>1016</v>
      </c>
      <c r="AF1452" s="3">
        <v>2.912621359223301</v>
      </c>
      <c r="AG1452" s="3">
        <v>1.3685814692061467</v>
      </c>
      <c r="AH1452" s="1">
        <v>6278</v>
      </c>
      <c r="AI1452" s="1" t="b">
        <v>1</v>
      </c>
    </row>
    <row r="1453" spans="1:35" x14ac:dyDescent="0.25">
      <c r="A1453" s="1">
        <v>29</v>
      </c>
      <c r="B1453" s="1">
        <v>4</v>
      </c>
      <c r="C1453" s="1">
        <v>2020</v>
      </c>
      <c r="G1453" s="1" t="s">
        <v>38</v>
      </c>
      <c r="H1453" s="2">
        <v>4.38</v>
      </c>
      <c r="I1453" s="1">
        <v>14</v>
      </c>
      <c r="U1453" s="1">
        <v>20</v>
      </c>
      <c r="X1453" s="1">
        <v>17</v>
      </c>
      <c r="AA1453" s="1">
        <v>2</v>
      </c>
      <c r="AB1453" s="1">
        <v>3</v>
      </c>
      <c r="AC1453" s="1">
        <v>492</v>
      </c>
      <c r="AF1453" s="3">
        <v>3.1963470319634704</v>
      </c>
      <c r="AG1453" s="3">
        <v>0.87978783413269956</v>
      </c>
      <c r="AH1453" s="1">
        <v>6278</v>
      </c>
      <c r="AI1453" s="1" t="b">
        <v>1</v>
      </c>
    </row>
    <row r="1454" spans="1:35" x14ac:dyDescent="0.25">
      <c r="A1454" s="1">
        <v>29</v>
      </c>
      <c r="B1454" s="1">
        <v>4</v>
      </c>
      <c r="C1454" s="1">
        <v>2020</v>
      </c>
      <c r="G1454" s="1" t="s">
        <v>38</v>
      </c>
      <c r="H1454" s="2">
        <v>7.03</v>
      </c>
      <c r="I1454" s="1">
        <v>27</v>
      </c>
      <c r="U1454" s="1">
        <v>36</v>
      </c>
      <c r="X1454" s="1">
        <v>32</v>
      </c>
      <c r="AA1454" s="1">
        <v>3</v>
      </c>
      <c r="AB1454" s="1">
        <v>2</v>
      </c>
      <c r="AC1454" s="1">
        <v>1151</v>
      </c>
      <c r="AF1454" s="3">
        <v>3.8406827880512089</v>
      </c>
      <c r="AG1454" s="3">
        <v>1.0196715176336648</v>
      </c>
      <c r="AH1454" s="1">
        <v>6278</v>
      </c>
      <c r="AI1454" s="1" t="b">
        <v>1</v>
      </c>
    </row>
    <row r="1455" spans="1:35" x14ac:dyDescent="0.25">
      <c r="A1455" s="1">
        <v>29</v>
      </c>
      <c r="B1455" s="1">
        <v>4</v>
      </c>
      <c r="C1455" s="1">
        <v>2020</v>
      </c>
      <c r="G1455" s="1" t="s">
        <v>38</v>
      </c>
      <c r="H1455" s="2">
        <v>4.53</v>
      </c>
      <c r="I1455" s="1">
        <v>14</v>
      </c>
      <c r="U1455" s="1">
        <v>19</v>
      </c>
      <c r="X1455" s="1">
        <v>17</v>
      </c>
      <c r="AA1455" s="1">
        <v>2</v>
      </c>
      <c r="AB1455" s="1">
        <v>4</v>
      </c>
      <c r="AC1455" s="1">
        <v>676</v>
      </c>
      <c r="AF1455" s="3">
        <v>3.0905077262693155</v>
      </c>
      <c r="AG1455" s="3">
        <v>0.93162022385633936</v>
      </c>
      <c r="AH1455" s="1">
        <v>6278</v>
      </c>
      <c r="AI1455" s="1" t="b">
        <v>1</v>
      </c>
    </row>
    <row r="1456" spans="1:35" x14ac:dyDescent="0.25">
      <c r="A1456" s="1">
        <v>29</v>
      </c>
      <c r="B1456" s="1">
        <v>4</v>
      </c>
      <c r="C1456" s="1">
        <v>2020</v>
      </c>
      <c r="G1456" s="1" t="s">
        <v>38</v>
      </c>
      <c r="H1456" s="2">
        <v>4.53</v>
      </c>
      <c r="I1456" s="1">
        <v>12</v>
      </c>
      <c r="U1456" s="1">
        <v>17</v>
      </c>
      <c r="X1456" s="1">
        <v>14</v>
      </c>
      <c r="AA1456" s="1">
        <v>2</v>
      </c>
      <c r="AB1456" s="1">
        <v>4</v>
      </c>
      <c r="AC1456" s="1">
        <v>764</v>
      </c>
      <c r="AF1456" s="3">
        <v>2.6490066225165561</v>
      </c>
      <c r="AG1456" s="3">
        <v>1.0868902611657292</v>
      </c>
      <c r="AH1456" s="1">
        <v>6278</v>
      </c>
      <c r="AI1456" s="1" t="b">
        <v>1</v>
      </c>
    </row>
    <row r="1457" spans="1:35" x14ac:dyDescent="0.25">
      <c r="A1457" s="1">
        <v>29</v>
      </c>
      <c r="B1457" s="1">
        <v>4</v>
      </c>
      <c r="C1457" s="1">
        <v>2020</v>
      </c>
      <c r="G1457" s="1" t="s">
        <v>38</v>
      </c>
      <c r="H1457" s="2">
        <v>5.42</v>
      </c>
      <c r="I1457" s="1">
        <v>13</v>
      </c>
      <c r="U1457" s="1">
        <v>28</v>
      </c>
      <c r="X1457" s="1">
        <v>22</v>
      </c>
      <c r="AA1457" s="1">
        <v>4</v>
      </c>
      <c r="AB1457" s="1">
        <v>5</v>
      </c>
      <c r="AC1457" s="1">
        <v>816</v>
      </c>
      <c r="AF1457" s="3">
        <v>2.3985239852398523</v>
      </c>
      <c r="AG1457" s="3">
        <v>1.3609915688172691</v>
      </c>
      <c r="AH1457" s="1">
        <v>6278</v>
      </c>
      <c r="AI1457" s="1" t="b">
        <v>1</v>
      </c>
    </row>
    <row r="1458" spans="1:35" x14ac:dyDescent="0.25">
      <c r="A1458" s="1">
        <v>29</v>
      </c>
      <c r="B1458" s="1">
        <v>4</v>
      </c>
      <c r="C1458" s="1">
        <v>2020</v>
      </c>
      <c r="G1458" s="1" t="s">
        <v>38</v>
      </c>
      <c r="H1458" s="2">
        <v>5.25</v>
      </c>
      <c r="I1458" s="1">
        <v>12</v>
      </c>
      <c r="U1458" s="1">
        <v>21</v>
      </c>
      <c r="X1458" s="1">
        <v>16</v>
      </c>
      <c r="AA1458" s="1">
        <v>3</v>
      </c>
      <c r="AB1458" s="1">
        <v>3</v>
      </c>
      <c r="AC1458" s="1">
        <v>754</v>
      </c>
      <c r="AF1458" s="3">
        <v>2.2857142857142856</v>
      </c>
      <c r="AG1458" s="3">
        <v>1.3966563804948662</v>
      </c>
      <c r="AH1458" s="1">
        <v>6278</v>
      </c>
      <c r="AI1458" s="1" t="b">
        <v>1</v>
      </c>
    </row>
    <row r="1459" spans="1:35" x14ac:dyDescent="0.25">
      <c r="A1459" s="1">
        <v>29</v>
      </c>
      <c r="B1459" s="1">
        <v>4</v>
      </c>
      <c r="C1459" s="1">
        <v>2020</v>
      </c>
      <c r="G1459" s="1" t="s">
        <v>38</v>
      </c>
      <c r="H1459" s="2">
        <v>6.69</v>
      </c>
      <c r="I1459" s="1">
        <v>18</v>
      </c>
      <c r="U1459" s="1">
        <v>29</v>
      </c>
      <c r="X1459" s="1">
        <v>22</v>
      </c>
      <c r="AA1459" s="1">
        <v>4</v>
      </c>
      <c r="AB1459" s="1">
        <v>1</v>
      </c>
      <c r="AC1459" s="1">
        <v>969</v>
      </c>
      <c r="AF1459" s="3">
        <v>2.6905829596412554</v>
      </c>
      <c r="AG1459" s="3">
        <v>1.4058917910277733</v>
      </c>
      <c r="AH1459" s="1">
        <v>6278</v>
      </c>
      <c r="AI1459" s="1" t="b">
        <v>1</v>
      </c>
    </row>
    <row r="1460" spans="1:35" x14ac:dyDescent="0.25">
      <c r="A1460" s="1">
        <v>1</v>
      </c>
      <c r="B1460" s="1">
        <v>5</v>
      </c>
      <c r="C1460" s="1">
        <v>2020</v>
      </c>
      <c r="G1460" s="1" t="s">
        <v>38</v>
      </c>
      <c r="H1460" s="2">
        <v>4.72</v>
      </c>
      <c r="I1460" s="1">
        <v>9</v>
      </c>
      <c r="U1460" s="1">
        <v>18</v>
      </c>
      <c r="X1460" s="1">
        <v>15</v>
      </c>
      <c r="AA1460" s="1">
        <v>4</v>
      </c>
      <c r="AB1460" s="1">
        <v>4</v>
      </c>
      <c r="AC1460" s="1">
        <v>634</v>
      </c>
      <c r="AF1460" s="3">
        <v>1.9067796610169492</v>
      </c>
      <c r="AG1460" s="3">
        <v>1.5540281743282571</v>
      </c>
      <c r="AH1460" s="1">
        <v>6278</v>
      </c>
      <c r="AI1460" s="1" t="b">
        <v>1</v>
      </c>
    </row>
    <row r="1461" spans="1:35" x14ac:dyDescent="0.25">
      <c r="A1461" s="1">
        <v>1</v>
      </c>
      <c r="B1461" s="1">
        <v>5</v>
      </c>
      <c r="C1461" s="1">
        <v>2020</v>
      </c>
      <c r="G1461" s="1" t="s">
        <v>38</v>
      </c>
      <c r="H1461" s="2">
        <v>5.72</v>
      </c>
      <c r="I1461" s="1">
        <v>18</v>
      </c>
      <c r="U1461" s="1">
        <v>21</v>
      </c>
      <c r="X1461" s="1">
        <v>20</v>
      </c>
      <c r="AA1461" s="1">
        <v>2</v>
      </c>
      <c r="AB1461" s="1">
        <v>4</v>
      </c>
      <c r="AC1461" s="1">
        <v>975</v>
      </c>
      <c r="AF1461" s="3">
        <v>3.1468531468531471</v>
      </c>
      <c r="AG1461" s="3">
        <v>1.0772109113527657</v>
      </c>
      <c r="AH1461" s="1">
        <v>6278</v>
      </c>
      <c r="AI1461" s="1" t="b">
        <v>1</v>
      </c>
    </row>
    <row r="1462" spans="1:35" x14ac:dyDescent="0.25">
      <c r="A1462" s="1">
        <v>1</v>
      </c>
      <c r="B1462" s="1">
        <v>5</v>
      </c>
      <c r="C1462" s="1">
        <v>2020</v>
      </c>
      <c r="G1462" s="1" t="s">
        <v>38</v>
      </c>
      <c r="H1462" s="2">
        <v>4.3099999999999996</v>
      </c>
      <c r="I1462" s="1">
        <v>14</v>
      </c>
      <c r="U1462" s="1">
        <v>20</v>
      </c>
      <c r="X1462" s="1">
        <v>19</v>
      </c>
      <c r="AA1462" s="1">
        <v>3</v>
      </c>
      <c r="AB1462" s="1">
        <v>3</v>
      </c>
      <c r="AC1462" s="1">
        <v>648</v>
      </c>
      <c r="AF1462" s="3">
        <v>3.2482598607888633</v>
      </c>
      <c r="AG1462" s="3">
        <v>0.85601884095716585</v>
      </c>
      <c r="AH1462" s="1">
        <v>6278</v>
      </c>
      <c r="AI1462" s="1" t="b">
        <v>1</v>
      </c>
    </row>
    <row r="1463" spans="1:35" x14ac:dyDescent="0.25">
      <c r="A1463" s="1">
        <v>1</v>
      </c>
      <c r="B1463" s="1">
        <v>5</v>
      </c>
      <c r="C1463" s="1">
        <v>2020</v>
      </c>
      <c r="G1463" s="1" t="s">
        <v>38</v>
      </c>
      <c r="H1463" s="2">
        <v>7.95</v>
      </c>
      <c r="I1463" s="1">
        <v>19</v>
      </c>
      <c r="U1463" s="1">
        <v>29</v>
      </c>
      <c r="X1463" s="1">
        <v>25</v>
      </c>
      <c r="AA1463" s="1">
        <v>3</v>
      </c>
      <c r="AB1463" s="1">
        <v>4</v>
      </c>
      <c r="AC1463" s="1">
        <v>1068</v>
      </c>
      <c r="AF1463" s="3">
        <v>2.3899371069182389</v>
      </c>
      <c r="AG1463" s="3">
        <v>1.7859550239281001</v>
      </c>
      <c r="AH1463" s="1">
        <v>6278</v>
      </c>
      <c r="AI1463" s="1" t="b">
        <v>1</v>
      </c>
    </row>
    <row r="1464" spans="1:35" x14ac:dyDescent="0.25">
      <c r="A1464" s="1">
        <v>1</v>
      </c>
      <c r="B1464" s="1">
        <v>5</v>
      </c>
      <c r="C1464" s="1">
        <v>2020</v>
      </c>
      <c r="G1464" s="1" t="s">
        <v>38</v>
      </c>
      <c r="H1464" s="2">
        <v>6.53</v>
      </c>
      <c r="I1464" s="1">
        <v>15</v>
      </c>
      <c r="U1464" s="1">
        <v>20</v>
      </c>
      <c r="X1464" s="1">
        <v>19</v>
      </c>
      <c r="AA1464" s="1">
        <v>3</v>
      </c>
      <c r="AB1464" s="1">
        <v>3</v>
      </c>
      <c r="AC1464" s="1">
        <v>648</v>
      </c>
      <c r="AF1464" s="3">
        <v>2.2970903522205206</v>
      </c>
      <c r="AG1464" s="3">
        <v>1.6190533109737093</v>
      </c>
      <c r="AH1464" s="1">
        <v>6278</v>
      </c>
      <c r="AI1464" s="1" t="b">
        <v>1</v>
      </c>
    </row>
    <row r="1465" spans="1:35" x14ac:dyDescent="0.25">
      <c r="A1465" s="1">
        <v>1</v>
      </c>
      <c r="B1465" s="1">
        <v>5</v>
      </c>
      <c r="C1465" s="1">
        <v>2020</v>
      </c>
      <c r="G1465" s="1" t="s">
        <v>38</v>
      </c>
      <c r="H1465" s="2">
        <v>4.0999999999999996</v>
      </c>
      <c r="I1465" s="1">
        <v>7</v>
      </c>
      <c r="U1465" s="1">
        <v>15</v>
      </c>
      <c r="X1465" s="1">
        <v>11</v>
      </c>
      <c r="AA1465" s="1">
        <v>3</v>
      </c>
      <c r="AB1465" s="1">
        <v>3</v>
      </c>
      <c r="AC1465" s="1">
        <v>972</v>
      </c>
      <c r="AF1465" s="3">
        <v>1.7073170731707319</v>
      </c>
      <c r="AG1465" s="3">
        <v>1.5726588252676126</v>
      </c>
      <c r="AH1465" s="1">
        <v>6278</v>
      </c>
      <c r="AI1465" s="1" t="b">
        <v>1</v>
      </c>
    </row>
    <row r="1466" spans="1:35" x14ac:dyDescent="0.25">
      <c r="A1466" s="1">
        <v>1</v>
      </c>
      <c r="B1466" s="1">
        <v>5</v>
      </c>
      <c r="C1466" s="1">
        <v>2020</v>
      </c>
      <c r="G1466" s="1" t="s">
        <v>38</v>
      </c>
      <c r="H1466" s="2">
        <v>3.13</v>
      </c>
      <c r="I1466" s="1">
        <v>11</v>
      </c>
      <c r="U1466" s="1">
        <v>14</v>
      </c>
      <c r="X1466" s="1">
        <v>12</v>
      </c>
      <c r="AA1466" s="1">
        <v>2</v>
      </c>
      <c r="AB1466" s="1">
        <v>5</v>
      </c>
      <c r="AC1466" s="1">
        <v>648</v>
      </c>
      <c r="AF1466" s="3">
        <v>3.5143769968051117</v>
      </c>
      <c r="AG1466" s="3">
        <v>0.63245945382493129</v>
      </c>
      <c r="AH1466" s="1">
        <v>6278</v>
      </c>
      <c r="AI1466" s="1" t="b">
        <v>1</v>
      </c>
    </row>
    <row r="1467" spans="1:35" x14ac:dyDescent="0.25">
      <c r="A1467" s="1">
        <v>1</v>
      </c>
      <c r="B1467" s="1">
        <v>5</v>
      </c>
      <c r="C1467" s="1">
        <v>2020</v>
      </c>
      <c r="G1467" s="1" t="s">
        <v>38</v>
      </c>
      <c r="H1467" s="2">
        <v>6.9</v>
      </c>
      <c r="I1467" s="1">
        <v>23</v>
      </c>
      <c r="U1467" s="1">
        <v>32</v>
      </c>
      <c r="X1467" s="1">
        <v>26</v>
      </c>
      <c r="AA1467" s="1">
        <v>2</v>
      </c>
      <c r="AB1467" s="1">
        <v>2</v>
      </c>
      <c r="AC1467" s="1">
        <v>1068</v>
      </c>
      <c r="AF1467" s="3">
        <v>3.333333333333333</v>
      </c>
      <c r="AG1467" s="3">
        <v>1.1596197895904714</v>
      </c>
      <c r="AH1467" s="1">
        <v>6278</v>
      </c>
      <c r="AI1467" s="1" t="b">
        <v>1</v>
      </c>
    </row>
    <row r="1468" spans="1:35" x14ac:dyDescent="0.25">
      <c r="A1468" s="1">
        <v>1</v>
      </c>
      <c r="B1468" s="1">
        <v>5</v>
      </c>
      <c r="C1468" s="1">
        <v>2020</v>
      </c>
      <c r="G1468" s="1" t="s">
        <v>38</v>
      </c>
      <c r="H1468" s="2">
        <v>5.34</v>
      </c>
      <c r="I1468" s="1">
        <v>18</v>
      </c>
      <c r="U1468" s="1">
        <v>25</v>
      </c>
      <c r="X1468" s="1">
        <v>21</v>
      </c>
      <c r="AA1468" s="1">
        <v>2</v>
      </c>
      <c r="AB1468" s="1">
        <v>2</v>
      </c>
      <c r="AC1468" s="1">
        <v>886</v>
      </c>
      <c r="AF1468" s="3">
        <v>3.3707865168539328</v>
      </c>
      <c r="AG1468" s="3">
        <v>0.95840182458196166</v>
      </c>
      <c r="AH1468" s="1">
        <v>6278</v>
      </c>
      <c r="AI1468" s="1" t="b">
        <v>1</v>
      </c>
    </row>
    <row r="1469" spans="1:35" x14ac:dyDescent="0.25">
      <c r="A1469" s="1">
        <v>1</v>
      </c>
      <c r="B1469" s="1">
        <v>5</v>
      </c>
      <c r="C1469" s="1">
        <v>2020</v>
      </c>
      <c r="G1469" s="1" t="s">
        <v>38</v>
      </c>
      <c r="H1469" s="2">
        <v>5.44</v>
      </c>
      <c r="I1469" s="1">
        <v>18</v>
      </c>
      <c r="U1469" s="1">
        <v>27</v>
      </c>
      <c r="X1469" s="1">
        <v>24</v>
      </c>
      <c r="AA1469" s="1">
        <v>3</v>
      </c>
      <c r="AB1469" s="1">
        <v>5</v>
      </c>
      <c r="AC1469" s="1">
        <v>1001</v>
      </c>
      <c r="AF1469" s="3">
        <v>3.3088235294117645</v>
      </c>
      <c r="AG1469" s="3">
        <v>0.98911234979723384</v>
      </c>
      <c r="AH1469" s="1">
        <v>6278</v>
      </c>
      <c r="AI1469" s="1" t="b">
        <v>1</v>
      </c>
    </row>
    <row r="1470" spans="1:35" x14ac:dyDescent="0.25">
      <c r="A1470" s="1">
        <v>1</v>
      </c>
      <c r="B1470" s="1">
        <v>5</v>
      </c>
      <c r="C1470" s="1">
        <v>2020</v>
      </c>
      <c r="G1470" s="1" t="s">
        <v>38</v>
      </c>
      <c r="H1470" s="2">
        <v>4.3499999999999996</v>
      </c>
      <c r="I1470" s="1">
        <v>13</v>
      </c>
      <c r="U1470" s="1">
        <v>16</v>
      </c>
      <c r="X1470" s="1">
        <v>15</v>
      </c>
      <c r="AA1470" s="1">
        <v>2</v>
      </c>
      <c r="AB1470" s="1">
        <v>2</v>
      </c>
      <c r="AC1470" s="1">
        <v>594</v>
      </c>
      <c r="AF1470" s="3">
        <v>2.9885057471264371</v>
      </c>
      <c r="AG1470" s="3">
        <v>0.936458173386013</v>
      </c>
      <c r="AH1470" s="1">
        <v>6278</v>
      </c>
      <c r="AI1470" s="1" t="b">
        <v>1</v>
      </c>
    </row>
    <row r="1471" spans="1:35" x14ac:dyDescent="0.25">
      <c r="A1471" s="1">
        <v>1</v>
      </c>
      <c r="B1471" s="1">
        <v>5</v>
      </c>
      <c r="C1471" s="1">
        <v>2020</v>
      </c>
      <c r="G1471" s="1" t="s">
        <v>38</v>
      </c>
      <c r="H1471" s="2">
        <v>5.29</v>
      </c>
      <c r="I1471" s="1">
        <v>14</v>
      </c>
      <c r="U1471" s="1">
        <v>24</v>
      </c>
      <c r="X1471" s="1">
        <v>20</v>
      </c>
      <c r="AA1471" s="1">
        <v>3</v>
      </c>
      <c r="AB1471" s="1">
        <v>4</v>
      </c>
      <c r="AC1471" s="1">
        <v>802</v>
      </c>
      <c r="AF1471" s="3">
        <v>2.6465028355387523</v>
      </c>
      <c r="AG1471" s="3">
        <v>1.2126810937705408</v>
      </c>
      <c r="AH1471" s="1">
        <v>6278</v>
      </c>
      <c r="AI1471" s="1" t="b">
        <v>1</v>
      </c>
    </row>
    <row r="1472" spans="1:35" x14ac:dyDescent="0.25">
      <c r="A1472" s="1">
        <v>1</v>
      </c>
      <c r="B1472" s="1">
        <v>5</v>
      </c>
      <c r="C1472" s="1">
        <v>2020</v>
      </c>
      <c r="G1472" s="1" t="s">
        <v>38</v>
      </c>
      <c r="H1472" s="2">
        <v>4.5999999999999996</v>
      </c>
      <c r="I1472" s="1">
        <v>16</v>
      </c>
      <c r="U1472" s="1">
        <v>24</v>
      </c>
      <c r="X1472" s="1">
        <v>19</v>
      </c>
      <c r="AA1472" s="1">
        <v>2</v>
      </c>
      <c r="AB1472" s="1">
        <v>2</v>
      </c>
      <c r="AC1472" s="1">
        <v>706</v>
      </c>
      <c r="AF1472" s="3">
        <v>3.4782608695652177</v>
      </c>
      <c r="AG1472" s="3">
        <v>0.83669723001082796</v>
      </c>
      <c r="AH1472" s="1">
        <v>6278</v>
      </c>
      <c r="AI1472" s="1" t="b">
        <v>1</v>
      </c>
    </row>
    <row r="1473" spans="1:35" x14ac:dyDescent="0.25">
      <c r="A1473" s="1">
        <v>1</v>
      </c>
      <c r="B1473" s="1">
        <v>5</v>
      </c>
      <c r="C1473" s="1">
        <v>2020</v>
      </c>
      <c r="G1473" s="1" t="s">
        <v>38</v>
      </c>
      <c r="H1473" s="2">
        <v>4.58</v>
      </c>
      <c r="I1473" s="1">
        <v>12</v>
      </c>
      <c r="U1473" s="1">
        <v>20</v>
      </c>
      <c r="X1473" s="1">
        <v>15</v>
      </c>
      <c r="AA1473" s="1">
        <v>2</v>
      </c>
      <c r="AB1473" s="1">
        <v>5</v>
      </c>
      <c r="AC1473" s="1">
        <v>690</v>
      </c>
      <c r="AF1473" s="3">
        <v>2.6200873362445414</v>
      </c>
      <c r="AG1473" s="3">
        <v>1.1073631481347659</v>
      </c>
      <c r="AH1473" s="1">
        <v>6278</v>
      </c>
      <c r="AI1473" s="1" t="b">
        <v>1</v>
      </c>
    </row>
    <row r="1474" spans="1:35" x14ac:dyDescent="0.25">
      <c r="A1474" s="1">
        <v>1</v>
      </c>
      <c r="B1474" s="1">
        <v>5</v>
      </c>
      <c r="C1474" s="1">
        <v>2020</v>
      </c>
      <c r="G1474" s="1" t="s">
        <v>38</v>
      </c>
      <c r="H1474" s="2">
        <v>3.36</v>
      </c>
      <c r="I1474" s="1">
        <v>7</v>
      </c>
      <c r="U1474" s="1">
        <v>14</v>
      </c>
      <c r="X1474" s="1">
        <v>10</v>
      </c>
      <c r="AA1474" s="1">
        <v>2</v>
      </c>
      <c r="AB1474" s="1">
        <v>5</v>
      </c>
      <c r="AC1474" s="1">
        <v>659</v>
      </c>
      <c r="AF1474" s="3">
        <v>2.0833333333333335</v>
      </c>
      <c r="AG1474" s="3">
        <v>1.121188750377258</v>
      </c>
      <c r="AH1474" s="1">
        <v>6278</v>
      </c>
      <c r="AI1474" s="1" t="b">
        <v>1</v>
      </c>
    </row>
    <row r="1475" spans="1:35" x14ac:dyDescent="0.25">
      <c r="A1475" s="1">
        <v>1</v>
      </c>
      <c r="B1475" s="1">
        <v>5</v>
      </c>
      <c r="C1475" s="1">
        <v>2020</v>
      </c>
      <c r="G1475" s="1" t="s">
        <v>38</v>
      </c>
      <c r="H1475" s="2">
        <v>7.95</v>
      </c>
      <c r="I1475" s="1">
        <v>26</v>
      </c>
      <c r="U1475" s="1">
        <v>40</v>
      </c>
      <c r="X1475" s="1">
        <v>35</v>
      </c>
      <c r="AA1475" s="1">
        <v>3</v>
      </c>
      <c r="AB1475" s="1">
        <v>2</v>
      </c>
      <c r="AC1475" s="1">
        <v>1143</v>
      </c>
      <c r="AF1475" s="3">
        <v>3.2704402515723268</v>
      </c>
      <c r="AG1475" s="3">
        <v>1.3051209790243807</v>
      </c>
      <c r="AH1475" s="1">
        <v>6278</v>
      </c>
      <c r="AI1475" s="1" t="b">
        <v>1</v>
      </c>
    </row>
    <row r="1476" spans="1:35" x14ac:dyDescent="0.25">
      <c r="A1476" s="1">
        <v>1</v>
      </c>
      <c r="B1476" s="1">
        <v>5</v>
      </c>
      <c r="C1476" s="1">
        <v>2020</v>
      </c>
      <c r="G1476" s="1" t="s">
        <v>38</v>
      </c>
      <c r="H1476" s="2">
        <v>3.9</v>
      </c>
      <c r="I1476" s="1">
        <v>12</v>
      </c>
      <c r="U1476" s="1">
        <v>18</v>
      </c>
      <c r="X1476" s="1">
        <v>14</v>
      </c>
      <c r="AA1476" s="1">
        <v>2</v>
      </c>
      <c r="AB1476" s="1">
        <v>3</v>
      </c>
      <c r="AC1476" s="1">
        <v>602</v>
      </c>
      <c r="AF1476" s="3">
        <v>3.0769230769230771</v>
      </c>
      <c r="AG1476" s="3">
        <v>0.8426138355885201</v>
      </c>
      <c r="AH1476" s="1">
        <v>6278</v>
      </c>
      <c r="AI1476" s="1" t="b">
        <v>1</v>
      </c>
    </row>
    <row r="1477" spans="1:35" x14ac:dyDescent="0.25">
      <c r="A1477" s="1">
        <v>1</v>
      </c>
      <c r="B1477" s="1">
        <v>5</v>
      </c>
      <c r="C1477" s="1">
        <v>2020</v>
      </c>
      <c r="G1477" s="1" t="s">
        <v>38</v>
      </c>
      <c r="H1477" s="2">
        <v>5.8</v>
      </c>
      <c r="I1477" s="1">
        <v>18</v>
      </c>
      <c r="U1477" s="1">
        <v>26</v>
      </c>
      <c r="X1477" s="1">
        <v>23</v>
      </c>
      <c r="AA1477" s="1">
        <v>3</v>
      </c>
      <c r="AB1477" s="1">
        <v>4</v>
      </c>
      <c r="AC1477" s="1">
        <v>834</v>
      </c>
      <c r="AF1477" s="3">
        <v>3.103448275862069</v>
      </c>
      <c r="AG1477" s="3">
        <v>1.1029481179439022</v>
      </c>
      <c r="AH1477" s="1">
        <v>6278</v>
      </c>
      <c r="AI1477" s="1" t="b">
        <v>1</v>
      </c>
    </row>
    <row r="1478" spans="1:35" x14ac:dyDescent="0.25">
      <c r="A1478" s="1">
        <v>1</v>
      </c>
      <c r="B1478" s="1">
        <v>5</v>
      </c>
      <c r="C1478" s="1">
        <v>2020</v>
      </c>
      <c r="G1478" s="1" t="s">
        <v>38</v>
      </c>
      <c r="H1478" s="2">
        <v>5.86</v>
      </c>
      <c r="I1478" s="1">
        <v>16</v>
      </c>
      <c r="U1478" s="1">
        <v>25</v>
      </c>
      <c r="X1478" s="1">
        <v>23</v>
      </c>
      <c r="AA1478" s="1">
        <v>4</v>
      </c>
      <c r="AB1478" s="1">
        <v>5</v>
      </c>
      <c r="AC1478" s="1">
        <v>871</v>
      </c>
      <c r="AF1478" s="3">
        <v>2.7303754266211602</v>
      </c>
      <c r="AG1478" s="3">
        <v>1.2627168172542642</v>
      </c>
      <c r="AH1478" s="1">
        <v>6278</v>
      </c>
      <c r="AI1478" s="1" t="b">
        <v>1</v>
      </c>
    </row>
    <row r="1479" spans="1:35" x14ac:dyDescent="0.25">
      <c r="A1479" s="1">
        <v>2</v>
      </c>
      <c r="B1479" s="1">
        <v>5</v>
      </c>
      <c r="C1479" s="1">
        <v>2020</v>
      </c>
      <c r="G1479" s="1" t="s">
        <v>38</v>
      </c>
      <c r="H1479" s="2">
        <v>5.2</v>
      </c>
      <c r="I1479" s="1">
        <v>15</v>
      </c>
      <c r="U1479" s="1">
        <v>24</v>
      </c>
      <c r="X1479" s="1">
        <v>22</v>
      </c>
      <c r="AA1479" s="1">
        <v>3</v>
      </c>
      <c r="AB1479" s="1">
        <v>4</v>
      </c>
      <c r="AC1479" s="1">
        <v>786</v>
      </c>
      <c r="AF1479" s="3">
        <v>2.8846153846153846</v>
      </c>
      <c r="AG1479" s="3">
        <v>1.0992954365883396</v>
      </c>
      <c r="AH1479" s="1">
        <v>6278</v>
      </c>
      <c r="AI1479" s="1" t="b">
        <v>1</v>
      </c>
    </row>
    <row r="1480" spans="1:35" x14ac:dyDescent="0.25">
      <c r="A1480" s="1">
        <v>2</v>
      </c>
      <c r="B1480" s="1">
        <v>5</v>
      </c>
      <c r="C1480" s="1">
        <v>2020</v>
      </c>
      <c r="G1480" s="1" t="s">
        <v>38</v>
      </c>
      <c r="H1480" s="2">
        <v>3.94</v>
      </c>
      <c r="I1480" s="1">
        <v>10</v>
      </c>
      <c r="U1480" s="1">
        <v>15</v>
      </c>
      <c r="X1480" s="1">
        <v>13</v>
      </c>
      <c r="AA1480" s="1">
        <v>2</v>
      </c>
      <c r="AB1480" s="1">
        <v>1</v>
      </c>
      <c r="AC1480" s="1">
        <v>466</v>
      </c>
      <c r="AF1480" s="3">
        <v>2.5380710659898478</v>
      </c>
      <c r="AG1480" s="3">
        <v>1.0288298995553251</v>
      </c>
      <c r="AH1480" s="1">
        <v>6278</v>
      </c>
      <c r="AI1480" s="1" t="b">
        <v>1</v>
      </c>
    </row>
    <row r="1481" spans="1:35" x14ac:dyDescent="0.25">
      <c r="A1481" s="1">
        <v>2</v>
      </c>
      <c r="B1481" s="1">
        <v>5</v>
      </c>
      <c r="C1481" s="1">
        <v>2020</v>
      </c>
      <c r="G1481" s="1" t="s">
        <v>38</v>
      </c>
      <c r="H1481" s="2">
        <v>7.3</v>
      </c>
      <c r="I1481" s="1">
        <v>20</v>
      </c>
      <c r="U1481" s="1">
        <v>29</v>
      </c>
      <c r="X1481" s="1">
        <v>25</v>
      </c>
      <c r="AA1481" s="1">
        <v>3</v>
      </c>
      <c r="AB1481" s="1">
        <v>2</v>
      </c>
      <c r="AC1481" s="1">
        <v>1039</v>
      </c>
      <c r="AF1481" s="3">
        <v>2.7397260273972601</v>
      </c>
      <c r="AG1481" s="3">
        <v>1.4676377248631378</v>
      </c>
      <c r="AH1481" s="1">
        <v>6278</v>
      </c>
      <c r="AI1481" s="1" t="b">
        <v>1</v>
      </c>
    </row>
    <row r="1482" spans="1:35" x14ac:dyDescent="0.25">
      <c r="A1482" s="1">
        <v>2</v>
      </c>
      <c r="B1482" s="1">
        <v>5</v>
      </c>
      <c r="C1482" s="1">
        <v>2020</v>
      </c>
      <c r="G1482" s="1" t="s">
        <v>38</v>
      </c>
      <c r="H1482" s="2">
        <v>5.8</v>
      </c>
      <c r="I1482" s="1">
        <v>20</v>
      </c>
      <c r="U1482" s="1">
        <v>29</v>
      </c>
      <c r="X1482" s="1">
        <v>22</v>
      </c>
      <c r="AA1482" s="1">
        <v>2</v>
      </c>
      <c r="AB1482" s="1">
        <v>1</v>
      </c>
      <c r="AC1482" s="1">
        <v>842</v>
      </c>
      <c r="AF1482" s="3">
        <v>3.4482758620689657</v>
      </c>
      <c r="AG1482" s="3">
        <v>0.99265330614951197</v>
      </c>
      <c r="AH1482" s="1">
        <v>6278</v>
      </c>
      <c r="AI1482" s="1" t="b">
        <v>1</v>
      </c>
    </row>
    <row r="1483" spans="1:35" x14ac:dyDescent="0.25">
      <c r="A1483" s="1">
        <v>2</v>
      </c>
      <c r="B1483" s="1">
        <v>5</v>
      </c>
      <c r="C1483" s="1">
        <v>2020</v>
      </c>
      <c r="G1483" s="1" t="s">
        <v>38</v>
      </c>
      <c r="H1483" s="2">
        <v>5.39</v>
      </c>
      <c r="I1483" s="1">
        <v>16</v>
      </c>
      <c r="U1483" s="1">
        <v>26</v>
      </c>
      <c r="X1483" s="1">
        <v>22</v>
      </c>
      <c r="AA1483" s="1">
        <v>3</v>
      </c>
      <c r="AB1483" s="1">
        <v>5</v>
      </c>
      <c r="AC1483" s="1">
        <v>777</v>
      </c>
      <c r="AF1483" s="3">
        <v>2.9684601113172544</v>
      </c>
      <c r="AG1483" s="3">
        <v>1.0954206361701933</v>
      </c>
      <c r="AH1483" s="1">
        <v>6278</v>
      </c>
      <c r="AI1483" s="1" t="b">
        <v>1</v>
      </c>
    </row>
    <row r="1484" spans="1:35" x14ac:dyDescent="0.25">
      <c r="A1484" s="1">
        <v>2</v>
      </c>
      <c r="B1484" s="1">
        <v>5</v>
      </c>
      <c r="C1484" s="1">
        <v>2020</v>
      </c>
      <c r="G1484" s="1" t="s">
        <v>38</v>
      </c>
      <c r="H1484" s="2">
        <v>7.33</v>
      </c>
      <c r="I1484" s="1">
        <v>19</v>
      </c>
      <c r="U1484" s="1">
        <v>33</v>
      </c>
      <c r="X1484" s="1">
        <v>27</v>
      </c>
      <c r="AA1484" s="1">
        <v>3</v>
      </c>
      <c r="AB1484" s="1">
        <v>4</v>
      </c>
      <c r="AC1484" s="1">
        <v>908</v>
      </c>
      <c r="AF1484" s="3">
        <v>2.5920873124147339</v>
      </c>
      <c r="AG1484" s="3">
        <v>1.5556903434114144</v>
      </c>
      <c r="AH1484" s="1">
        <v>6278</v>
      </c>
      <c r="AI1484" s="1" t="b">
        <v>1</v>
      </c>
    </row>
    <row r="1485" spans="1:35" x14ac:dyDescent="0.25">
      <c r="A1485" s="1">
        <v>2</v>
      </c>
      <c r="B1485" s="1">
        <v>5</v>
      </c>
      <c r="C1485" s="1">
        <v>2020</v>
      </c>
      <c r="G1485" s="1" t="s">
        <v>38</v>
      </c>
      <c r="H1485" s="2">
        <v>7.5</v>
      </c>
      <c r="I1485" s="1">
        <v>28</v>
      </c>
      <c r="U1485" s="1">
        <v>40</v>
      </c>
      <c r="X1485" s="1">
        <v>34</v>
      </c>
      <c r="AA1485" s="1">
        <v>4</v>
      </c>
      <c r="AB1485" s="1">
        <v>2</v>
      </c>
      <c r="AC1485" s="1">
        <v>1058</v>
      </c>
      <c r="AF1485" s="3">
        <v>3.7333333333333334</v>
      </c>
      <c r="AG1485" s="3">
        <v>1.0976051002925113</v>
      </c>
      <c r="AH1485" s="1">
        <v>6278</v>
      </c>
      <c r="AI1485" s="1" t="b">
        <v>1</v>
      </c>
    </row>
    <row r="1486" spans="1:35" x14ac:dyDescent="0.25">
      <c r="A1486" s="1">
        <v>27</v>
      </c>
      <c r="B1486" s="1">
        <v>5</v>
      </c>
      <c r="C1486" s="1">
        <v>2020</v>
      </c>
      <c r="G1486" s="1" t="s">
        <v>38</v>
      </c>
      <c r="H1486" s="2">
        <v>5.7</v>
      </c>
      <c r="I1486" s="1">
        <v>16</v>
      </c>
      <c r="U1486" s="1">
        <v>28</v>
      </c>
      <c r="X1486" s="1">
        <v>23</v>
      </c>
      <c r="AA1486" s="1">
        <v>5</v>
      </c>
      <c r="AB1486" s="1">
        <v>4</v>
      </c>
      <c r="AC1486" s="1">
        <v>832</v>
      </c>
      <c r="AF1486" s="3">
        <v>2.807017543859649</v>
      </c>
      <c r="AG1486" s="3">
        <v>1.2046677165186432</v>
      </c>
      <c r="AH1486" s="1">
        <v>6282</v>
      </c>
      <c r="AI1486" s="1" t="b">
        <v>1</v>
      </c>
    </row>
    <row r="1487" spans="1:35" x14ac:dyDescent="0.25">
      <c r="A1487" s="1">
        <v>27</v>
      </c>
      <c r="B1487" s="1">
        <v>5</v>
      </c>
      <c r="C1487" s="1">
        <v>2020</v>
      </c>
      <c r="G1487" s="1" t="s">
        <v>38</v>
      </c>
      <c r="H1487" s="2">
        <v>6.42</v>
      </c>
      <c r="I1487" s="1">
        <v>21</v>
      </c>
      <c r="U1487" s="1">
        <v>31</v>
      </c>
      <c r="X1487" s="1">
        <v>26</v>
      </c>
      <c r="AA1487" s="1">
        <v>3</v>
      </c>
      <c r="AB1487" s="1">
        <v>4</v>
      </c>
      <c r="AC1487" s="1">
        <v>937</v>
      </c>
      <c r="AF1487" s="3">
        <v>3.2710280373831777</v>
      </c>
      <c r="AG1487" s="3">
        <v>1.1235444349964228</v>
      </c>
      <c r="AH1487" s="1">
        <v>6282</v>
      </c>
      <c r="AI1487" s="1" t="b">
        <v>1</v>
      </c>
    </row>
    <row r="1488" spans="1:35" x14ac:dyDescent="0.25">
      <c r="A1488" s="1">
        <v>27</v>
      </c>
      <c r="B1488" s="1">
        <v>5</v>
      </c>
      <c r="C1488" s="1">
        <v>2020</v>
      </c>
      <c r="G1488" s="1" t="s">
        <v>38</v>
      </c>
      <c r="H1488" s="2">
        <v>5.64</v>
      </c>
      <c r="I1488" s="1">
        <v>18</v>
      </c>
      <c r="U1488" s="1">
        <v>20</v>
      </c>
      <c r="X1488" s="1">
        <v>19</v>
      </c>
      <c r="AA1488" s="1">
        <v>1</v>
      </c>
      <c r="AB1488" s="1">
        <v>2</v>
      </c>
      <c r="AC1488" s="1">
        <v>694</v>
      </c>
      <c r="AF1488" s="3">
        <v>3.191489361702128</v>
      </c>
      <c r="AG1488" s="3">
        <v>1.0517244532841366</v>
      </c>
      <c r="AH1488" s="1">
        <v>6282</v>
      </c>
      <c r="AI1488" s="1" t="b">
        <v>1</v>
      </c>
    </row>
    <row r="1489" spans="1:35" x14ac:dyDescent="0.25">
      <c r="A1489" s="1">
        <v>27</v>
      </c>
      <c r="B1489" s="1">
        <v>5</v>
      </c>
      <c r="C1489" s="1">
        <v>2020</v>
      </c>
      <c r="G1489" s="1" t="s">
        <v>38</v>
      </c>
      <c r="H1489" s="2">
        <v>4.21</v>
      </c>
      <c r="I1489" s="1">
        <v>10</v>
      </c>
      <c r="U1489" s="1">
        <v>17</v>
      </c>
      <c r="X1489" s="1">
        <v>13</v>
      </c>
      <c r="AA1489" s="1">
        <v>3</v>
      </c>
      <c r="AB1489" s="1">
        <v>4</v>
      </c>
      <c r="AC1489" s="1">
        <v>635</v>
      </c>
      <c r="AF1489" s="3">
        <v>2.3752969121140142</v>
      </c>
      <c r="AG1489" s="3">
        <v>1.1515414176753498</v>
      </c>
      <c r="AH1489" s="1">
        <v>6282</v>
      </c>
      <c r="AI1489" s="1" t="b">
        <v>1</v>
      </c>
    </row>
    <row r="1490" spans="1:35" x14ac:dyDescent="0.25">
      <c r="A1490" s="1">
        <v>27</v>
      </c>
      <c r="B1490" s="1">
        <v>5</v>
      </c>
      <c r="C1490" s="1">
        <v>2020</v>
      </c>
      <c r="G1490" s="1" t="s">
        <v>38</v>
      </c>
      <c r="H1490" s="2">
        <v>6.16</v>
      </c>
      <c r="I1490" s="1">
        <v>20</v>
      </c>
      <c r="U1490" s="1">
        <v>30</v>
      </c>
      <c r="X1490" s="1">
        <v>25</v>
      </c>
      <c r="AA1490" s="1">
        <v>3</v>
      </c>
      <c r="AB1490" s="1">
        <v>3</v>
      </c>
      <c r="AC1490" s="1">
        <v>882</v>
      </c>
      <c r="AF1490" s="3">
        <v>3.2467532467532467</v>
      </c>
      <c r="AG1490" s="3">
        <v>1.0996569288259437</v>
      </c>
      <c r="AH1490" s="1">
        <v>6282</v>
      </c>
      <c r="AI1490" s="1" t="b">
        <v>1</v>
      </c>
    </row>
    <row r="1491" spans="1:35" x14ac:dyDescent="0.25">
      <c r="A1491" s="1">
        <v>27</v>
      </c>
      <c r="B1491" s="1">
        <v>5</v>
      </c>
      <c r="C1491" s="1">
        <v>2020</v>
      </c>
      <c r="G1491" s="1" t="s">
        <v>38</v>
      </c>
      <c r="H1491" s="2">
        <v>4.8099999999999996</v>
      </c>
      <c r="I1491" s="1">
        <v>10</v>
      </c>
      <c r="U1491" s="1">
        <v>23</v>
      </c>
      <c r="X1491" s="1">
        <v>17</v>
      </c>
      <c r="AA1491" s="1">
        <v>4</v>
      </c>
      <c r="AB1491" s="1">
        <v>4</v>
      </c>
      <c r="AC1491" s="1">
        <v>831</v>
      </c>
      <c r="AF1491" s="3">
        <v>2.0790020790020791</v>
      </c>
      <c r="AG1491" s="3">
        <v>1.4442641455256886</v>
      </c>
      <c r="AH1491" s="1">
        <v>6282</v>
      </c>
      <c r="AI1491" s="1" t="b">
        <v>1</v>
      </c>
    </row>
    <row r="1492" spans="1:35" x14ac:dyDescent="0.25">
      <c r="A1492" s="1">
        <v>27</v>
      </c>
      <c r="B1492" s="1">
        <v>5</v>
      </c>
      <c r="C1492" s="1">
        <v>2020</v>
      </c>
      <c r="G1492" s="1" t="s">
        <v>38</v>
      </c>
      <c r="H1492" s="2">
        <v>5.56</v>
      </c>
      <c r="I1492" s="1">
        <v>18</v>
      </c>
      <c r="U1492" s="1">
        <v>25</v>
      </c>
      <c r="X1492" s="1">
        <v>22</v>
      </c>
      <c r="AA1492" s="1">
        <v>2</v>
      </c>
      <c r="AB1492" s="1">
        <v>2</v>
      </c>
      <c r="AC1492" s="1">
        <v>876</v>
      </c>
      <c r="AF1492" s="3">
        <v>3.2374100719424463</v>
      </c>
      <c r="AG1492" s="3">
        <v>1.0264898055436813</v>
      </c>
      <c r="AH1492" s="1">
        <v>6282</v>
      </c>
      <c r="AI1492" s="1" t="b">
        <v>1</v>
      </c>
    </row>
    <row r="1493" spans="1:35" x14ac:dyDescent="0.25">
      <c r="A1493" s="1">
        <v>27</v>
      </c>
      <c r="B1493" s="1">
        <v>5</v>
      </c>
      <c r="C1493" s="1">
        <v>2020</v>
      </c>
      <c r="G1493" s="1" t="s">
        <v>38</v>
      </c>
      <c r="H1493" s="2">
        <v>4.6399999999999997</v>
      </c>
      <c r="I1493" s="1">
        <v>11</v>
      </c>
      <c r="V1493" s="1">
        <v>18</v>
      </c>
      <c r="X1493" s="1">
        <v>15</v>
      </c>
      <c r="AA1493" s="1">
        <v>2</v>
      </c>
      <c r="AB1493" s="1">
        <v>3</v>
      </c>
      <c r="AC1493" s="1">
        <v>629</v>
      </c>
      <c r="AF1493" s="3">
        <v>2.3706896551724141</v>
      </c>
      <c r="AG1493" s="3">
        <v>1.2350595033957279</v>
      </c>
      <c r="AH1493" s="1">
        <v>6282</v>
      </c>
      <c r="AI1493" s="1" t="b">
        <v>1</v>
      </c>
    </row>
    <row r="1494" spans="1:35" x14ac:dyDescent="0.25">
      <c r="A1494" s="1">
        <v>27</v>
      </c>
      <c r="B1494" s="1">
        <v>5</v>
      </c>
      <c r="C1494" s="1">
        <v>2020</v>
      </c>
      <c r="G1494" s="1" t="s">
        <v>38</v>
      </c>
      <c r="H1494" s="2">
        <v>6.67</v>
      </c>
      <c r="I1494" s="1">
        <v>20</v>
      </c>
      <c r="U1494" s="1">
        <v>35</v>
      </c>
      <c r="X1494" s="1">
        <v>25</v>
      </c>
      <c r="AA1494" s="1">
        <v>4</v>
      </c>
      <c r="AB1494" s="1">
        <v>3</v>
      </c>
      <c r="AC1494" s="1">
        <v>911</v>
      </c>
      <c r="AF1494" s="3">
        <v>2.9985007496251876</v>
      </c>
      <c r="AG1494" s="3">
        <v>1.2588788060086691</v>
      </c>
      <c r="AH1494" s="1">
        <v>6282</v>
      </c>
      <c r="AI1494" s="1" t="b">
        <v>1</v>
      </c>
    </row>
    <row r="1495" spans="1:35" x14ac:dyDescent="0.25">
      <c r="A1495" s="1">
        <v>27</v>
      </c>
      <c r="B1495" s="1">
        <v>5</v>
      </c>
      <c r="C1495" s="1">
        <v>2020</v>
      </c>
      <c r="G1495" s="1" t="s">
        <v>38</v>
      </c>
      <c r="H1495" s="2">
        <v>6.43</v>
      </c>
      <c r="I1495" s="1">
        <v>17</v>
      </c>
      <c r="U1495" s="1">
        <v>29</v>
      </c>
      <c r="X1495" s="1">
        <v>25</v>
      </c>
      <c r="AA1495" s="1">
        <v>3</v>
      </c>
      <c r="AB1495" s="1">
        <v>4</v>
      </c>
      <c r="AC1495" s="1">
        <v>962</v>
      </c>
      <c r="AF1495" s="3">
        <v>2.6438569206842923</v>
      </c>
      <c r="AG1495" s="3">
        <v>1.3915849800862741</v>
      </c>
      <c r="AH1495" s="1">
        <v>6282</v>
      </c>
      <c r="AI1495" s="1" t="b">
        <v>1</v>
      </c>
    </row>
    <row r="1496" spans="1:35" x14ac:dyDescent="0.25">
      <c r="A1496" s="1">
        <v>27</v>
      </c>
      <c r="B1496" s="1">
        <v>5</v>
      </c>
      <c r="C1496" s="1">
        <v>2020</v>
      </c>
      <c r="G1496" s="1" t="s">
        <v>38</v>
      </c>
      <c r="H1496" s="2">
        <v>3.99</v>
      </c>
      <c r="I1496" s="1">
        <v>12</v>
      </c>
      <c r="U1496" s="1">
        <v>16</v>
      </c>
      <c r="X1496" s="1">
        <v>14</v>
      </c>
      <c r="AA1496" s="1">
        <v>2</v>
      </c>
      <c r="AB1496" s="1">
        <v>3</v>
      </c>
      <c r="AC1496" s="1">
        <v>631</v>
      </c>
      <c r="AF1496" s="3">
        <v>3.007518796992481</v>
      </c>
      <c r="AG1496" s="3">
        <v>0.87593660686658703</v>
      </c>
      <c r="AH1496" s="1">
        <v>6282</v>
      </c>
      <c r="AI1496" s="1" t="b">
        <v>1</v>
      </c>
    </row>
    <row r="1497" spans="1:35" x14ac:dyDescent="0.25">
      <c r="A1497" s="1">
        <v>27</v>
      </c>
      <c r="B1497" s="1">
        <v>5</v>
      </c>
      <c r="C1497" s="1">
        <v>2020</v>
      </c>
      <c r="G1497" s="1" t="s">
        <v>38</v>
      </c>
      <c r="H1497" s="2">
        <v>5.73</v>
      </c>
      <c r="I1497" s="1">
        <v>20</v>
      </c>
      <c r="U1497" s="1">
        <v>24</v>
      </c>
      <c r="X1497" s="1">
        <v>22</v>
      </c>
      <c r="AA1497" s="1">
        <v>2</v>
      </c>
      <c r="AB1497" s="1">
        <v>5</v>
      </c>
      <c r="AC1497" s="1">
        <v>812</v>
      </c>
      <c r="AF1497" s="3">
        <v>3.490401396160558</v>
      </c>
      <c r="AG1497" s="3">
        <v>0.97237293383805901</v>
      </c>
      <c r="AH1497" s="1">
        <v>6282</v>
      </c>
      <c r="AI1497" s="1" t="b">
        <v>1</v>
      </c>
    </row>
    <row r="1498" spans="1:35" x14ac:dyDescent="0.25">
      <c r="A1498" s="1">
        <v>27</v>
      </c>
      <c r="B1498" s="1">
        <v>5</v>
      </c>
      <c r="C1498" s="1">
        <v>2020</v>
      </c>
      <c r="G1498" s="1" t="s">
        <v>38</v>
      </c>
      <c r="H1498" s="2">
        <v>6.07</v>
      </c>
      <c r="I1498" s="1">
        <v>21</v>
      </c>
      <c r="U1498" s="1">
        <v>27</v>
      </c>
      <c r="X1498" s="1">
        <v>23</v>
      </c>
      <c r="AA1498" s="1">
        <v>2</v>
      </c>
      <c r="AB1498" s="1">
        <v>2</v>
      </c>
      <c r="AC1498" s="1">
        <v>771</v>
      </c>
      <c r="AF1498" s="3">
        <v>3.4596375617792421</v>
      </c>
      <c r="AG1498" s="3">
        <v>1.0214132330035477</v>
      </c>
      <c r="AH1498" s="1">
        <v>6282</v>
      </c>
      <c r="AI1498" s="1" t="b">
        <v>1</v>
      </c>
    </row>
    <row r="1499" spans="1:35" x14ac:dyDescent="0.25">
      <c r="A1499" s="1">
        <v>27</v>
      </c>
      <c r="B1499" s="1">
        <v>5</v>
      </c>
      <c r="C1499" s="1">
        <v>2020</v>
      </c>
      <c r="G1499" s="1" t="s">
        <v>38</v>
      </c>
      <c r="H1499" s="2">
        <v>8.19</v>
      </c>
      <c r="I1499" s="1">
        <v>23</v>
      </c>
      <c r="V1499" s="1">
        <v>29</v>
      </c>
      <c r="X1499" s="1">
        <v>25</v>
      </c>
      <c r="AA1499" s="1">
        <v>2</v>
      </c>
      <c r="AB1499" s="1">
        <v>3</v>
      </c>
      <c r="AC1499" s="1">
        <v>912</v>
      </c>
      <c r="AF1499" s="3">
        <v>2.8083028083028085</v>
      </c>
      <c r="AG1499" s="3">
        <v>1.5518680680397381</v>
      </c>
      <c r="AH1499" s="1">
        <v>6282</v>
      </c>
      <c r="AI1499" s="1" t="b">
        <v>1</v>
      </c>
    </row>
    <row r="1500" spans="1:35" x14ac:dyDescent="0.25">
      <c r="A1500" s="1">
        <v>2</v>
      </c>
      <c r="B1500" s="1">
        <v>6</v>
      </c>
      <c r="C1500" s="1">
        <v>2020</v>
      </c>
      <c r="G1500" s="1" t="s">
        <v>38</v>
      </c>
      <c r="H1500" s="2">
        <v>3.22</v>
      </c>
      <c r="I1500" s="1">
        <v>7</v>
      </c>
      <c r="U1500" s="1">
        <v>14</v>
      </c>
      <c r="X1500" s="1">
        <v>11</v>
      </c>
      <c r="AA1500" s="1">
        <v>3</v>
      </c>
      <c r="AB1500" s="1">
        <v>2</v>
      </c>
      <c r="AC1500" s="1">
        <v>502</v>
      </c>
      <c r="AF1500" s="3">
        <v>2.1739130434782608</v>
      </c>
      <c r="AG1500" s="3">
        <v>1.0429342786478759</v>
      </c>
      <c r="AH1500" s="1">
        <v>6283</v>
      </c>
      <c r="AI1500" s="1" t="b">
        <v>1</v>
      </c>
    </row>
    <row r="1501" spans="1:35" x14ac:dyDescent="0.25">
      <c r="A1501" s="1">
        <v>2</v>
      </c>
      <c r="B1501" s="1">
        <v>6</v>
      </c>
      <c r="C1501" s="1">
        <v>2020</v>
      </c>
      <c r="G1501" s="1" t="s">
        <v>38</v>
      </c>
      <c r="H1501" s="2">
        <v>4.4000000000000004</v>
      </c>
      <c r="I1501" s="1">
        <v>13</v>
      </c>
      <c r="U1501" s="1">
        <v>24</v>
      </c>
      <c r="X1501" s="1">
        <v>20</v>
      </c>
      <c r="AA1501" s="1">
        <v>2</v>
      </c>
      <c r="AB1501" s="1">
        <v>3</v>
      </c>
      <c r="AC1501" s="1">
        <v>724</v>
      </c>
      <c r="AF1501" s="3">
        <v>2.9545454545454541</v>
      </c>
      <c r="AG1501" s="3">
        <v>0.95483031216069902</v>
      </c>
      <c r="AH1501" s="1">
        <v>6283</v>
      </c>
      <c r="AI1501" s="1" t="b">
        <v>1</v>
      </c>
    </row>
    <row r="1502" spans="1:35" x14ac:dyDescent="0.25">
      <c r="A1502" s="1">
        <v>2</v>
      </c>
      <c r="B1502" s="1">
        <v>6</v>
      </c>
      <c r="C1502" s="1">
        <v>2020</v>
      </c>
      <c r="G1502" s="1" t="s">
        <v>38</v>
      </c>
      <c r="H1502" s="2">
        <v>7.41</v>
      </c>
      <c r="I1502" s="1">
        <v>20</v>
      </c>
      <c r="U1502" s="1">
        <v>34</v>
      </c>
      <c r="X1502" s="1">
        <v>29</v>
      </c>
      <c r="AA1502" s="1">
        <v>3</v>
      </c>
      <c r="AB1502" s="1">
        <v>5</v>
      </c>
      <c r="AC1502" s="1">
        <v>1094</v>
      </c>
      <c r="AF1502" s="3">
        <v>2.6990553306342782</v>
      </c>
      <c r="AG1502" s="3">
        <v>1.5054313572836568</v>
      </c>
      <c r="AH1502" s="1">
        <v>6283</v>
      </c>
      <c r="AI1502" s="1" t="b">
        <v>1</v>
      </c>
    </row>
    <row r="1503" spans="1:35" x14ac:dyDescent="0.25">
      <c r="A1503" s="1">
        <v>2</v>
      </c>
      <c r="B1503" s="1">
        <v>6</v>
      </c>
      <c r="C1503" s="1">
        <v>2020</v>
      </c>
      <c r="G1503" s="1" t="s">
        <v>38</v>
      </c>
      <c r="H1503" s="2">
        <v>4.91</v>
      </c>
      <c r="I1503" s="1">
        <v>10</v>
      </c>
      <c r="U1503" s="1">
        <v>19</v>
      </c>
      <c r="X1503" s="1">
        <v>16</v>
      </c>
      <c r="AA1503" s="1">
        <v>3</v>
      </c>
      <c r="AB1503" s="1">
        <v>3</v>
      </c>
      <c r="AC1503" s="1">
        <v>832</v>
      </c>
      <c r="AF1503" s="3">
        <v>2.0366598778004072</v>
      </c>
      <c r="AG1503" s="3">
        <v>1.495679484212721</v>
      </c>
      <c r="AH1503" s="1">
        <v>6283</v>
      </c>
      <c r="AI1503" s="1" t="b">
        <v>1</v>
      </c>
    </row>
    <row r="1504" spans="1:35" x14ac:dyDescent="0.25">
      <c r="A1504" s="1">
        <v>2</v>
      </c>
      <c r="B1504" s="1">
        <v>6</v>
      </c>
      <c r="C1504" s="1">
        <v>2020</v>
      </c>
      <c r="G1504" s="1" t="s">
        <v>38</v>
      </c>
      <c r="H1504" s="2">
        <v>5.07</v>
      </c>
      <c r="I1504" s="1">
        <v>20</v>
      </c>
      <c r="U1504" s="1">
        <v>22</v>
      </c>
      <c r="X1504" s="1">
        <v>20</v>
      </c>
      <c r="AA1504" s="1">
        <v>1</v>
      </c>
      <c r="AB1504" s="1">
        <v>1</v>
      </c>
      <c r="AC1504" s="1">
        <v>768</v>
      </c>
      <c r="AF1504" s="3">
        <v>3.944773175542406</v>
      </c>
      <c r="AG1504" s="3">
        <v>0.78973890856922213</v>
      </c>
      <c r="AH1504" s="1">
        <v>6283</v>
      </c>
      <c r="AI1504" s="1" t="b">
        <v>1</v>
      </c>
    </row>
    <row r="1505" spans="1:35" x14ac:dyDescent="0.25">
      <c r="A1505" s="1">
        <v>2</v>
      </c>
      <c r="B1505" s="1">
        <v>6</v>
      </c>
      <c r="C1505" s="1">
        <v>2020</v>
      </c>
      <c r="G1505" s="1" t="s">
        <v>38</v>
      </c>
      <c r="H1505" s="2">
        <v>5.34</v>
      </c>
      <c r="I1505" s="1">
        <v>13</v>
      </c>
      <c r="U1505" s="1">
        <v>20</v>
      </c>
      <c r="X1505" s="1">
        <v>16</v>
      </c>
      <c r="AA1505" s="1">
        <v>4</v>
      </c>
      <c r="AB1505" s="1">
        <v>3</v>
      </c>
      <c r="AC1505" s="1">
        <v>840</v>
      </c>
      <c r="AF1505" s="3">
        <v>2.4344569288389515</v>
      </c>
      <c r="AG1505" s="3">
        <v>1.3270179109596394</v>
      </c>
      <c r="AH1505" s="1">
        <v>6283</v>
      </c>
      <c r="AI1505" s="1" t="b">
        <v>1</v>
      </c>
    </row>
    <row r="1506" spans="1:35" x14ac:dyDescent="0.25">
      <c r="A1506" s="1">
        <v>2</v>
      </c>
      <c r="B1506" s="1">
        <v>6</v>
      </c>
      <c r="C1506" s="1">
        <v>2020</v>
      </c>
      <c r="G1506" s="1" t="s">
        <v>38</v>
      </c>
      <c r="H1506" s="2">
        <v>6.56</v>
      </c>
      <c r="I1506" s="1">
        <v>21</v>
      </c>
      <c r="U1506" s="1">
        <v>28</v>
      </c>
      <c r="X1506" s="1">
        <v>25</v>
      </c>
      <c r="AA1506" s="1">
        <v>3</v>
      </c>
      <c r="AB1506" s="1">
        <v>3</v>
      </c>
      <c r="AC1506" s="1">
        <v>855</v>
      </c>
      <c r="AF1506" s="3">
        <v>3.2012195121951224</v>
      </c>
      <c r="AG1506" s="3">
        <v>1.1655132958761765</v>
      </c>
      <c r="AH1506" s="1">
        <v>6283</v>
      </c>
      <c r="AI1506" s="1" t="b">
        <v>1</v>
      </c>
    </row>
    <row r="1507" spans="1:35" x14ac:dyDescent="0.25">
      <c r="A1507" s="1">
        <v>2</v>
      </c>
      <c r="B1507" s="1">
        <v>6</v>
      </c>
      <c r="C1507" s="1">
        <v>2020</v>
      </c>
      <c r="G1507" s="1" t="s">
        <v>38</v>
      </c>
      <c r="H1507" s="2">
        <v>4.95</v>
      </c>
      <c r="I1507" s="1">
        <v>11</v>
      </c>
      <c r="U1507" s="1">
        <v>20</v>
      </c>
      <c r="X1507" s="1">
        <v>16</v>
      </c>
      <c r="AA1507" s="1">
        <v>3</v>
      </c>
      <c r="AB1507" s="1">
        <v>5</v>
      </c>
      <c r="AC1507" s="1">
        <v>773</v>
      </c>
      <c r="AF1507" s="3">
        <v>2.2222222222222223</v>
      </c>
      <c r="AG1507" s="3">
        <v>1.3785932668226977</v>
      </c>
      <c r="AH1507" s="1">
        <v>6283</v>
      </c>
      <c r="AI1507" s="1" t="b">
        <v>1</v>
      </c>
    </row>
    <row r="1508" spans="1:35" x14ac:dyDescent="0.25">
      <c r="A1508" s="1">
        <v>2</v>
      </c>
      <c r="B1508" s="1">
        <v>6</v>
      </c>
      <c r="C1508" s="1">
        <v>2020</v>
      </c>
      <c r="G1508" s="1" t="s">
        <v>38</v>
      </c>
      <c r="H1508" s="2">
        <v>4.78</v>
      </c>
      <c r="I1508" s="1">
        <v>14</v>
      </c>
      <c r="U1508" s="1">
        <v>26</v>
      </c>
      <c r="X1508" s="1">
        <v>20</v>
      </c>
      <c r="AA1508" s="1">
        <v>3</v>
      </c>
      <c r="AB1508" s="1">
        <v>3</v>
      </c>
      <c r="AC1508" s="1">
        <v>690</v>
      </c>
      <c r="AF1508" s="3">
        <v>2.9288702928870292</v>
      </c>
      <c r="AG1508" s="3">
        <v>1.020702993730908</v>
      </c>
      <c r="AH1508" s="1">
        <v>6283</v>
      </c>
      <c r="AI1508" s="1" t="b">
        <v>1</v>
      </c>
    </row>
    <row r="1509" spans="1:35" x14ac:dyDescent="0.25">
      <c r="A1509" s="1">
        <v>2</v>
      </c>
      <c r="B1509" s="1">
        <v>6</v>
      </c>
      <c r="C1509" s="1">
        <v>2020</v>
      </c>
      <c r="G1509" s="1" t="s">
        <v>38</v>
      </c>
      <c r="H1509" s="2">
        <v>4.74</v>
      </c>
      <c r="I1509" s="1">
        <v>15</v>
      </c>
      <c r="U1509" s="1">
        <v>28</v>
      </c>
      <c r="X1509" s="1">
        <v>19</v>
      </c>
      <c r="AA1509" s="1">
        <v>3</v>
      </c>
      <c r="AB1509" s="1">
        <v>1</v>
      </c>
      <c r="AC1509" s="1">
        <v>635</v>
      </c>
      <c r="AF1509" s="3">
        <v>3.1645569620253164</v>
      </c>
      <c r="AG1509" s="3">
        <v>0.9391434238339903</v>
      </c>
      <c r="AH1509" s="1">
        <v>6283</v>
      </c>
      <c r="AI1509" s="1" t="b">
        <v>1</v>
      </c>
    </row>
    <row r="1510" spans="1:35" x14ac:dyDescent="0.25">
      <c r="A1510" s="1">
        <v>2</v>
      </c>
      <c r="B1510" s="1">
        <v>6</v>
      </c>
      <c r="C1510" s="1">
        <v>2020</v>
      </c>
      <c r="G1510" s="1" t="s">
        <v>38</v>
      </c>
      <c r="H1510" s="2">
        <v>4.53</v>
      </c>
      <c r="I1510" s="1">
        <v>16</v>
      </c>
      <c r="U1510" s="1">
        <v>21</v>
      </c>
      <c r="X1510" s="1">
        <v>16</v>
      </c>
      <c r="AA1510" s="1">
        <v>1</v>
      </c>
      <c r="AB1510" s="1">
        <v>3</v>
      </c>
      <c r="AC1510" s="1">
        <v>631</v>
      </c>
      <c r="AF1510" s="3">
        <v>3.5320088300220749</v>
      </c>
      <c r="AG1510" s="3">
        <v>0.81516769587429694</v>
      </c>
      <c r="AH1510" s="1">
        <v>6283</v>
      </c>
      <c r="AI1510" s="1" t="b">
        <v>1</v>
      </c>
    </row>
    <row r="1511" spans="1:35" x14ac:dyDescent="0.25">
      <c r="A1511" s="1">
        <v>2</v>
      </c>
      <c r="B1511" s="1">
        <v>6</v>
      </c>
      <c r="C1511" s="1">
        <v>2020</v>
      </c>
      <c r="G1511" s="1" t="s">
        <v>38</v>
      </c>
      <c r="H1511" s="2">
        <v>3.52</v>
      </c>
      <c r="I1511" s="1">
        <v>10</v>
      </c>
      <c r="U1511" s="1">
        <v>19</v>
      </c>
      <c r="X1511" s="1">
        <v>13</v>
      </c>
      <c r="AA1511" s="1">
        <v>4</v>
      </c>
      <c r="AB1511" s="1">
        <v>1</v>
      </c>
      <c r="AC1511" s="1">
        <v>567</v>
      </c>
      <c r="AF1511" s="3">
        <v>2.8409090909090908</v>
      </c>
      <c r="AG1511" s="3">
        <v>0.84942008892632825</v>
      </c>
      <c r="AH1511" s="1">
        <v>6283</v>
      </c>
      <c r="AI1511" s="1" t="b">
        <v>1</v>
      </c>
    </row>
    <row r="1512" spans="1:35" x14ac:dyDescent="0.25">
      <c r="A1512" s="1">
        <v>2</v>
      </c>
      <c r="B1512" s="1">
        <v>6</v>
      </c>
      <c r="C1512" s="1">
        <v>2020</v>
      </c>
      <c r="G1512" s="1" t="s">
        <v>38</v>
      </c>
      <c r="H1512" s="2">
        <v>7.43</v>
      </c>
      <c r="I1512" s="1">
        <v>22</v>
      </c>
      <c r="U1512" s="1">
        <v>36</v>
      </c>
      <c r="X1512" s="1">
        <v>28</v>
      </c>
      <c r="AA1512" s="1">
        <v>4</v>
      </c>
      <c r="AB1512" s="1">
        <v>4</v>
      </c>
      <c r="AC1512" s="1">
        <v>826</v>
      </c>
      <c r="AF1512" s="3">
        <v>2.9609690444145356</v>
      </c>
      <c r="AG1512" s="3">
        <v>1.374859448308974</v>
      </c>
      <c r="AH1512" s="1">
        <v>6283</v>
      </c>
      <c r="AI1512" s="1" t="b">
        <v>1</v>
      </c>
    </row>
    <row r="1513" spans="1:35" x14ac:dyDescent="0.25">
      <c r="A1513" s="1">
        <v>2</v>
      </c>
      <c r="B1513" s="1">
        <v>6</v>
      </c>
      <c r="C1513" s="1">
        <v>2020</v>
      </c>
      <c r="G1513" s="1" t="s">
        <v>38</v>
      </c>
      <c r="H1513" s="2">
        <v>7.96</v>
      </c>
      <c r="I1513" s="1">
        <v>19</v>
      </c>
      <c r="U1513" s="1">
        <v>37</v>
      </c>
      <c r="X1513" s="1">
        <v>29</v>
      </c>
      <c r="AA1513" s="1">
        <v>4</v>
      </c>
      <c r="AB1513" s="1">
        <v>5</v>
      </c>
      <c r="AC1513" s="1">
        <v>1107</v>
      </c>
      <c r="AF1513" s="3">
        <v>2.3869346733668344</v>
      </c>
      <c r="AG1513" s="3">
        <v>1.7897757283693274</v>
      </c>
      <c r="AH1513" s="1">
        <v>6283</v>
      </c>
      <c r="AI1513" s="1" t="b">
        <v>1</v>
      </c>
    </row>
    <row r="1514" spans="1:35" x14ac:dyDescent="0.25">
      <c r="A1514" s="1">
        <v>2</v>
      </c>
      <c r="B1514" s="1">
        <v>6</v>
      </c>
      <c r="C1514" s="1">
        <v>2020</v>
      </c>
      <c r="G1514" s="1" t="s">
        <v>38</v>
      </c>
      <c r="H1514" s="2">
        <v>5.43</v>
      </c>
      <c r="I1514" s="1">
        <v>16</v>
      </c>
      <c r="U1514" s="1">
        <v>23</v>
      </c>
      <c r="X1514" s="1">
        <v>20</v>
      </c>
      <c r="AA1514" s="1">
        <v>3</v>
      </c>
      <c r="AB1514" s="1">
        <v>2</v>
      </c>
      <c r="AC1514" s="1">
        <v>722</v>
      </c>
      <c r="AF1514" s="3">
        <v>2.9465930018416207</v>
      </c>
      <c r="AG1514" s="3">
        <v>1.1092762830930452</v>
      </c>
      <c r="AH1514" s="1">
        <v>6283</v>
      </c>
      <c r="AI1514" s="1" t="b">
        <v>1</v>
      </c>
    </row>
    <row r="1515" spans="1:35" x14ac:dyDescent="0.25">
      <c r="A1515" s="1">
        <v>2</v>
      </c>
      <c r="B1515" s="1">
        <v>6</v>
      </c>
      <c r="C1515" s="1">
        <v>2020</v>
      </c>
      <c r="G1515" s="1" t="s">
        <v>38</v>
      </c>
      <c r="H1515" s="2">
        <v>5.99</v>
      </c>
      <c r="I1515" s="1">
        <v>22</v>
      </c>
      <c r="U1515" s="1">
        <v>29</v>
      </c>
      <c r="X1515" s="1">
        <v>27</v>
      </c>
      <c r="AA1515" s="1">
        <v>2</v>
      </c>
      <c r="AB1515" s="1">
        <v>2</v>
      </c>
      <c r="AC1515" s="1">
        <v>879</v>
      </c>
      <c r="AF1515" s="3">
        <v>3.672787979966611</v>
      </c>
      <c r="AG1515" s="3">
        <v>0.95324144700527824</v>
      </c>
      <c r="AH1515" s="1">
        <v>6283</v>
      </c>
      <c r="AI1515" s="1" t="b">
        <v>1</v>
      </c>
    </row>
    <row r="1516" spans="1:35" x14ac:dyDescent="0.25">
      <c r="A1516" s="1">
        <v>2</v>
      </c>
      <c r="B1516" s="1">
        <v>6</v>
      </c>
      <c r="C1516" s="1">
        <v>2020</v>
      </c>
      <c r="G1516" s="1" t="s">
        <v>38</v>
      </c>
      <c r="H1516" s="2">
        <v>5.73</v>
      </c>
      <c r="I1516" s="1">
        <v>12</v>
      </c>
      <c r="U1516" s="1">
        <v>25</v>
      </c>
      <c r="X1516" s="1">
        <v>19</v>
      </c>
      <c r="AA1516" s="1">
        <v>4</v>
      </c>
      <c r="AB1516" s="1">
        <v>2</v>
      </c>
      <c r="AC1516" s="1">
        <v>714</v>
      </c>
      <c r="AF1516" s="3">
        <v>2.0942408376963351</v>
      </c>
      <c r="AG1516" s="3">
        <v>1.620621556396765</v>
      </c>
      <c r="AH1516" s="1">
        <v>6283</v>
      </c>
      <c r="AI1516" s="1" t="b">
        <v>1</v>
      </c>
    </row>
    <row r="1517" spans="1:35" x14ac:dyDescent="0.25">
      <c r="A1517" s="1">
        <v>2</v>
      </c>
      <c r="B1517" s="1">
        <v>6</v>
      </c>
      <c r="C1517" s="1">
        <v>2020</v>
      </c>
      <c r="G1517" s="1" t="s">
        <v>38</v>
      </c>
      <c r="H1517" s="2">
        <v>6.48</v>
      </c>
      <c r="I1517" s="1">
        <v>21</v>
      </c>
      <c r="U1517" s="1">
        <v>35</v>
      </c>
      <c r="X1517" s="1">
        <v>27</v>
      </c>
      <c r="AA1517" s="1">
        <v>3</v>
      </c>
      <c r="AB1517" s="1">
        <v>3</v>
      </c>
      <c r="AC1517" s="1">
        <v>1003</v>
      </c>
      <c r="AF1517" s="3">
        <v>3.2407407407407405</v>
      </c>
      <c r="AG1517" s="3">
        <v>1.1414534767275373</v>
      </c>
      <c r="AH1517" s="1">
        <v>6283</v>
      </c>
      <c r="AI1517" s="1" t="b">
        <v>1</v>
      </c>
    </row>
    <row r="1518" spans="1:35" x14ac:dyDescent="0.25">
      <c r="A1518" s="1">
        <v>2</v>
      </c>
      <c r="B1518" s="1">
        <v>6</v>
      </c>
      <c r="C1518" s="1">
        <v>2020</v>
      </c>
      <c r="G1518" s="1" t="s">
        <v>38</v>
      </c>
      <c r="H1518" s="2">
        <v>4.6900000000000004</v>
      </c>
      <c r="I1518" s="1">
        <v>10</v>
      </c>
      <c r="U1518" s="1">
        <v>22</v>
      </c>
      <c r="X1518" s="1">
        <v>16</v>
      </c>
      <c r="AA1518" s="1">
        <v>4</v>
      </c>
      <c r="AB1518" s="1">
        <v>4</v>
      </c>
      <c r="AC1518" s="1">
        <v>706</v>
      </c>
      <c r="AF1518" s="3">
        <v>2.1321961620469083</v>
      </c>
      <c r="AG1518" s="3">
        <v>1.3835467311857459</v>
      </c>
      <c r="AH1518" s="1">
        <v>6283</v>
      </c>
      <c r="AI1518" s="1" t="b">
        <v>1</v>
      </c>
    </row>
    <row r="1519" spans="1:35" x14ac:dyDescent="0.25">
      <c r="A1519" s="1">
        <v>2</v>
      </c>
      <c r="B1519" s="1">
        <v>6</v>
      </c>
      <c r="C1519" s="1">
        <v>2020</v>
      </c>
      <c r="G1519" s="1" t="s">
        <v>38</v>
      </c>
      <c r="H1519" s="2">
        <v>7.69</v>
      </c>
      <c r="I1519" s="1">
        <v>21</v>
      </c>
      <c r="U1519" s="1">
        <v>32</v>
      </c>
      <c r="X1519" s="1">
        <v>26</v>
      </c>
      <c r="AA1519" s="1">
        <v>2</v>
      </c>
      <c r="AB1519" s="1">
        <v>2</v>
      </c>
      <c r="AC1519" s="1">
        <v>1085</v>
      </c>
      <c r="AF1519" s="3">
        <v>2.7308192457737319</v>
      </c>
      <c r="AG1519" s="3">
        <v>1.5270578255612823</v>
      </c>
      <c r="AH1519" s="1">
        <v>6283</v>
      </c>
      <c r="AI1519" s="1" t="b">
        <v>1</v>
      </c>
    </row>
    <row r="1520" spans="1:35" x14ac:dyDescent="0.25">
      <c r="A1520" s="1">
        <v>2</v>
      </c>
      <c r="B1520" s="1">
        <v>6</v>
      </c>
      <c r="C1520" s="1">
        <v>2020</v>
      </c>
      <c r="G1520" s="1" t="s">
        <v>38</v>
      </c>
      <c r="H1520" s="2">
        <v>4.1100000000000003</v>
      </c>
      <c r="I1520" s="1">
        <v>14</v>
      </c>
      <c r="U1520" s="1">
        <v>17</v>
      </c>
      <c r="X1520" s="1">
        <v>15</v>
      </c>
      <c r="AA1520" s="1">
        <v>1</v>
      </c>
      <c r="AB1520" s="1">
        <v>2</v>
      </c>
      <c r="AC1520" s="1">
        <v>556</v>
      </c>
      <c r="AF1520" s="3">
        <v>3.4063260340632602</v>
      </c>
      <c r="AG1520" s="3">
        <v>0.7895925854629734</v>
      </c>
      <c r="AH1520" s="1">
        <v>6283</v>
      </c>
      <c r="AI1520" s="1" t="b">
        <v>1</v>
      </c>
    </row>
    <row r="1521" spans="1:35" x14ac:dyDescent="0.25">
      <c r="A1521" s="1">
        <v>2</v>
      </c>
      <c r="B1521" s="1">
        <v>6</v>
      </c>
      <c r="C1521" s="1">
        <v>2020</v>
      </c>
      <c r="G1521" s="1" t="s">
        <v>38</v>
      </c>
      <c r="H1521" s="2">
        <v>8.5</v>
      </c>
      <c r="I1521" s="1">
        <v>28</v>
      </c>
      <c r="U1521" s="1">
        <v>40</v>
      </c>
      <c r="X1521" s="1">
        <v>33</v>
      </c>
      <c r="AA1521" s="1">
        <v>3</v>
      </c>
      <c r="AB1521" s="1">
        <v>2</v>
      </c>
      <c r="AC1521" s="1">
        <v>1052</v>
      </c>
      <c r="AF1521" s="3">
        <v>3.2941176470588234</v>
      </c>
      <c r="AG1521" s="3">
        <v>1.3578573341566564</v>
      </c>
      <c r="AH1521" s="1">
        <v>6283</v>
      </c>
      <c r="AI1521" s="1" t="b">
        <v>1</v>
      </c>
    </row>
    <row r="1522" spans="1:35" x14ac:dyDescent="0.25">
      <c r="A1522" s="1">
        <v>2</v>
      </c>
      <c r="B1522" s="1">
        <v>6</v>
      </c>
      <c r="C1522" s="1">
        <v>2020</v>
      </c>
      <c r="G1522" s="1" t="s">
        <v>38</v>
      </c>
      <c r="H1522" s="2">
        <v>7.7</v>
      </c>
      <c r="I1522" s="1">
        <v>29</v>
      </c>
      <c r="U1522" s="1">
        <v>40</v>
      </c>
      <c r="X1522" s="1">
        <v>35</v>
      </c>
      <c r="AA1522" s="1">
        <v>3</v>
      </c>
      <c r="AB1522" s="1">
        <v>2</v>
      </c>
      <c r="AC1522" s="1">
        <v>1156</v>
      </c>
      <c r="AF1522" s="3">
        <v>3.7662337662337659</v>
      </c>
      <c r="AG1522" s="3">
        <v>1.1082461592907915</v>
      </c>
      <c r="AH1522" s="1">
        <v>6283</v>
      </c>
      <c r="AI1522" s="1" t="b">
        <v>1</v>
      </c>
    </row>
    <row r="1523" spans="1:35" x14ac:dyDescent="0.25">
      <c r="A1523" s="1">
        <v>2</v>
      </c>
      <c r="B1523" s="1">
        <v>6</v>
      </c>
      <c r="C1523" s="1">
        <v>2020</v>
      </c>
      <c r="G1523" s="1" t="s">
        <v>38</v>
      </c>
      <c r="H1523" s="2">
        <v>7.29</v>
      </c>
      <c r="I1523" s="1">
        <v>23</v>
      </c>
      <c r="U1523" s="1">
        <v>32</v>
      </c>
      <c r="X1523" s="1">
        <v>28</v>
      </c>
      <c r="AA1523" s="1">
        <v>2</v>
      </c>
      <c r="AB1523" s="1">
        <v>1</v>
      </c>
      <c r="AC1523" s="1">
        <v>992</v>
      </c>
      <c r="AF1523" s="3">
        <v>3.1550068587105624</v>
      </c>
      <c r="AG1523" s="3">
        <v>1.2732361541477446</v>
      </c>
      <c r="AH1523" s="1">
        <v>6283</v>
      </c>
      <c r="AI1523" s="1" t="b">
        <v>1</v>
      </c>
    </row>
    <row r="1524" spans="1:35" x14ac:dyDescent="0.25">
      <c r="A1524" s="1">
        <v>2</v>
      </c>
      <c r="B1524" s="1">
        <v>6</v>
      </c>
      <c r="C1524" s="1">
        <v>2020</v>
      </c>
      <c r="G1524" s="1" t="s">
        <v>38</v>
      </c>
      <c r="H1524" s="2">
        <v>4.6500000000000004</v>
      </c>
      <c r="I1524" s="1">
        <v>17</v>
      </c>
      <c r="V1524" s="1">
        <v>22</v>
      </c>
      <c r="X1524" s="1">
        <v>16</v>
      </c>
      <c r="AA1524" s="1">
        <v>3</v>
      </c>
      <c r="AB1524" s="1">
        <v>1</v>
      </c>
      <c r="AC1524" s="1">
        <v>694</v>
      </c>
      <c r="AF1524" s="3">
        <v>3.6559139784946235</v>
      </c>
      <c r="AG1524" s="3">
        <v>0.80208630014616278</v>
      </c>
      <c r="AH1524" s="1">
        <v>6283</v>
      </c>
      <c r="AI1524" s="1" t="b">
        <v>1</v>
      </c>
    </row>
    <row r="1525" spans="1:35" x14ac:dyDescent="0.25">
      <c r="A1525" s="1">
        <v>2</v>
      </c>
      <c r="B1525" s="1">
        <v>6</v>
      </c>
      <c r="C1525" s="1">
        <v>2020</v>
      </c>
      <c r="G1525" s="1" t="s">
        <v>38</v>
      </c>
      <c r="H1525" s="2">
        <v>4.66</v>
      </c>
      <c r="I1525" s="1">
        <v>12</v>
      </c>
      <c r="U1525" s="1">
        <v>21</v>
      </c>
      <c r="X1525" s="1">
        <v>16</v>
      </c>
      <c r="AA1525" s="1">
        <v>3</v>
      </c>
      <c r="AB1525" s="1">
        <v>3</v>
      </c>
      <c r="AC1525" s="1">
        <v>675</v>
      </c>
      <c r="AF1525" s="3">
        <v>2.5751072961373391</v>
      </c>
      <c r="AG1525" s="3">
        <v>1.1404462258984367</v>
      </c>
      <c r="AH1525" s="1">
        <v>6283</v>
      </c>
      <c r="AI1525" s="1" t="b">
        <v>1</v>
      </c>
    </row>
    <row r="1526" spans="1:35" x14ac:dyDescent="0.25">
      <c r="A1526" s="1">
        <v>2</v>
      </c>
      <c r="B1526" s="1">
        <v>6</v>
      </c>
      <c r="C1526" s="1">
        <v>2020</v>
      </c>
      <c r="G1526" s="1" t="s">
        <v>38</v>
      </c>
      <c r="H1526" s="2">
        <v>4.29</v>
      </c>
      <c r="I1526" s="1">
        <v>9</v>
      </c>
      <c r="U1526" s="1">
        <v>18</v>
      </c>
      <c r="X1526" s="1">
        <v>16</v>
      </c>
      <c r="AA1526" s="1">
        <v>3</v>
      </c>
      <c r="AB1526" s="1">
        <v>6</v>
      </c>
      <c r="AC1526" s="1">
        <v>677</v>
      </c>
      <c r="AF1526" s="3">
        <v>2.0979020979020979</v>
      </c>
      <c r="AG1526" s="3">
        <v>1.3210975503651237</v>
      </c>
      <c r="AH1526" s="1">
        <v>6283</v>
      </c>
      <c r="AI1526" s="1" t="b">
        <v>1</v>
      </c>
    </row>
    <row r="1527" spans="1:35" x14ac:dyDescent="0.25">
      <c r="A1527" s="1">
        <v>2</v>
      </c>
      <c r="B1527" s="1">
        <v>6</v>
      </c>
      <c r="C1527" s="1">
        <v>2020</v>
      </c>
      <c r="G1527" s="1" t="s">
        <v>38</v>
      </c>
      <c r="H1527" s="2">
        <v>5.5</v>
      </c>
      <c r="I1527" s="1">
        <v>17</v>
      </c>
      <c r="U1527" s="1">
        <v>26</v>
      </c>
      <c r="X1527" s="1">
        <v>22</v>
      </c>
      <c r="AA1527" s="1">
        <v>3</v>
      </c>
      <c r="AB1527" s="1">
        <v>3</v>
      </c>
      <c r="AC1527" s="1">
        <v>664</v>
      </c>
      <c r="AF1527" s="3">
        <v>3.0909090909090908</v>
      </c>
      <c r="AG1527" s="3">
        <v>1.0670079389678009</v>
      </c>
      <c r="AH1527" s="1">
        <v>6283</v>
      </c>
      <c r="AI1527" s="1" t="b">
        <v>1</v>
      </c>
    </row>
    <row r="1528" spans="1:35" x14ac:dyDescent="0.25">
      <c r="A1528" s="1">
        <v>2</v>
      </c>
      <c r="B1528" s="1">
        <v>6</v>
      </c>
      <c r="C1528" s="1">
        <v>2020</v>
      </c>
      <c r="G1528" s="1" t="s">
        <v>38</v>
      </c>
      <c r="H1528" s="2">
        <v>9.35</v>
      </c>
      <c r="I1528" s="1">
        <v>26</v>
      </c>
      <c r="V1528" s="1">
        <v>40</v>
      </c>
      <c r="X1528" s="1">
        <v>30</v>
      </c>
      <c r="AA1528" s="1">
        <v>4</v>
      </c>
      <c r="AB1528" s="1">
        <v>3</v>
      </c>
      <c r="AC1528" s="1">
        <v>1031</v>
      </c>
      <c r="AF1528" s="3">
        <v>2.7807486631016043</v>
      </c>
      <c r="AG1528" s="3">
        <v>1.719516670116332</v>
      </c>
      <c r="AH1528" s="1">
        <v>6283</v>
      </c>
      <c r="AI1528" s="1" t="b">
        <v>1</v>
      </c>
    </row>
    <row r="1529" spans="1:35" x14ac:dyDescent="0.25">
      <c r="A1529" s="1">
        <v>2</v>
      </c>
      <c r="B1529" s="1">
        <v>6</v>
      </c>
      <c r="C1529" s="1">
        <v>2020</v>
      </c>
      <c r="G1529" s="1" t="s">
        <v>38</v>
      </c>
      <c r="H1529" s="2">
        <v>5.39</v>
      </c>
      <c r="I1529" s="1">
        <v>15</v>
      </c>
      <c r="U1529" s="1">
        <v>28</v>
      </c>
      <c r="X1529" s="1">
        <v>21</v>
      </c>
      <c r="AA1529" s="1">
        <v>4</v>
      </c>
      <c r="AB1529" s="1">
        <v>4</v>
      </c>
      <c r="AC1529" s="1">
        <v>776</v>
      </c>
      <c r="AF1529" s="3">
        <v>2.7829313543599259</v>
      </c>
      <c r="AG1529" s="3">
        <v>1.1684486785815396</v>
      </c>
      <c r="AH1529" s="1">
        <v>6283</v>
      </c>
      <c r="AI1529" s="1" t="b">
        <v>1</v>
      </c>
    </row>
    <row r="1530" spans="1:35" x14ac:dyDescent="0.25">
      <c r="A1530" s="1">
        <v>2</v>
      </c>
      <c r="B1530" s="1">
        <v>6</v>
      </c>
      <c r="C1530" s="1">
        <v>2020</v>
      </c>
      <c r="G1530" s="1" t="s">
        <v>38</v>
      </c>
      <c r="H1530" s="2">
        <v>7.25</v>
      </c>
      <c r="I1530" s="1">
        <v>15</v>
      </c>
      <c r="V1530" s="1">
        <v>28</v>
      </c>
      <c r="X1530" s="1">
        <v>18</v>
      </c>
      <c r="AA1530" s="1">
        <v>3</v>
      </c>
      <c r="AB1530" s="1">
        <v>2</v>
      </c>
      <c r="AC1530" s="1">
        <v>820</v>
      </c>
      <c r="AF1530" s="3">
        <v>2.0689655172413794</v>
      </c>
      <c r="AG1530" s="3">
        <v>1.9341197162548425</v>
      </c>
      <c r="AH1530" s="1">
        <v>6283</v>
      </c>
      <c r="AI1530" s="1" t="b">
        <v>1</v>
      </c>
    </row>
    <row r="1531" spans="1:35" x14ac:dyDescent="0.25">
      <c r="A1531" s="1">
        <v>2</v>
      </c>
      <c r="B1531" s="1">
        <v>6</v>
      </c>
      <c r="C1531" s="1">
        <v>2020</v>
      </c>
      <c r="G1531" s="1" t="s">
        <v>38</v>
      </c>
      <c r="H1531" s="2">
        <v>4.6399999999999997</v>
      </c>
      <c r="I1531" s="1">
        <v>13</v>
      </c>
      <c r="U1531" s="1">
        <v>19</v>
      </c>
      <c r="X1531" s="1">
        <v>16</v>
      </c>
      <c r="AA1531" s="1">
        <v>2</v>
      </c>
      <c r="AB1531" s="1">
        <v>3</v>
      </c>
      <c r="AC1531" s="1">
        <v>588</v>
      </c>
      <c r="AF1531" s="3">
        <v>2.8017241379310347</v>
      </c>
      <c r="AG1531" s="3">
        <v>1.0450503490271543</v>
      </c>
      <c r="AH1531" s="1">
        <v>6283</v>
      </c>
      <c r="AI1531" s="1" t="b">
        <v>1</v>
      </c>
    </row>
    <row r="1532" spans="1:35" x14ac:dyDescent="0.25">
      <c r="A1532" s="1">
        <v>2</v>
      </c>
      <c r="B1532" s="1">
        <v>6</v>
      </c>
      <c r="C1532" s="1">
        <v>2020</v>
      </c>
      <c r="G1532" s="1" t="s">
        <v>38</v>
      </c>
      <c r="H1532" s="2">
        <v>7.21</v>
      </c>
      <c r="I1532" s="1">
        <v>24</v>
      </c>
      <c r="U1532" s="1">
        <v>31</v>
      </c>
      <c r="X1532" s="1">
        <v>30</v>
      </c>
      <c r="AA1532" s="1">
        <v>3</v>
      </c>
      <c r="AB1532" s="1">
        <v>2</v>
      </c>
      <c r="AC1532" s="1">
        <v>1010</v>
      </c>
      <c r="AF1532" s="3">
        <v>3.3287101248266295</v>
      </c>
      <c r="AG1532" s="3">
        <v>1.1975087855553783</v>
      </c>
      <c r="AH1532" s="1">
        <v>6283</v>
      </c>
      <c r="AI1532" s="1" t="b">
        <v>1</v>
      </c>
    </row>
    <row r="1533" spans="1:35" x14ac:dyDescent="0.25">
      <c r="A1533" s="1">
        <v>2</v>
      </c>
      <c r="B1533" s="1">
        <v>6</v>
      </c>
      <c r="C1533" s="1">
        <v>2020</v>
      </c>
      <c r="G1533" s="1" t="s">
        <v>38</v>
      </c>
      <c r="H1533" s="2">
        <v>7.55</v>
      </c>
      <c r="I1533" s="1">
        <v>22</v>
      </c>
      <c r="U1533" s="1">
        <v>28</v>
      </c>
      <c r="X1533" s="1">
        <v>24</v>
      </c>
      <c r="AA1533" s="1">
        <v>2</v>
      </c>
      <c r="AB1533" s="1">
        <v>2</v>
      </c>
      <c r="AC1533" s="1">
        <v>958</v>
      </c>
      <c r="AF1533" s="3">
        <v>2.9139072847682121</v>
      </c>
      <c r="AG1533" s="3">
        <v>1.4128209849231113</v>
      </c>
      <c r="AH1533" s="1">
        <v>6283</v>
      </c>
      <c r="AI1533" s="1" t="b">
        <v>1</v>
      </c>
    </row>
    <row r="1534" spans="1:35" x14ac:dyDescent="0.25">
      <c r="A1534" s="1">
        <v>2</v>
      </c>
      <c r="B1534" s="1">
        <v>6</v>
      </c>
      <c r="C1534" s="1">
        <v>2020</v>
      </c>
      <c r="G1534" s="1" t="s">
        <v>38</v>
      </c>
      <c r="H1534" s="2">
        <v>4.8899999999999997</v>
      </c>
      <c r="I1534" s="1">
        <v>19</v>
      </c>
      <c r="U1534" s="1">
        <v>21</v>
      </c>
      <c r="X1534" s="1">
        <v>19</v>
      </c>
      <c r="AA1534" s="1">
        <v>1</v>
      </c>
      <c r="AB1534" s="1">
        <v>2</v>
      </c>
      <c r="AC1534" s="1">
        <v>708</v>
      </c>
      <c r="AF1534" s="3">
        <v>3.8854805725971371</v>
      </c>
      <c r="AG1534" s="3">
        <v>0.78175642554647917</v>
      </c>
      <c r="AH1534" s="1">
        <v>6283</v>
      </c>
      <c r="AI1534" s="1" t="b">
        <v>1</v>
      </c>
    </row>
    <row r="1535" spans="1:35" x14ac:dyDescent="0.25">
      <c r="A1535" s="1">
        <v>2</v>
      </c>
      <c r="B1535" s="1">
        <v>6</v>
      </c>
      <c r="C1535" s="1">
        <v>2020</v>
      </c>
      <c r="G1535" s="1" t="s">
        <v>38</v>
      </c>
      <c r="H1535" s="2">
        <v>5.79</v>
      </c>
      <c r="I1535" s="1">
        <v>18</v>
      </c>
      <c r="V1535" s="1">
        <v>24</v>
      </c>
      <c r="X1535" s="1">
        <v>18</v>
      </c>
      <c r="AA1535" s="1">
        <v>2</v>
      </c>
      <c r="AB1535" s="1">
        <v>3</v>
      </c>
      <c r="AC1535" s="1">
        <v>819</v>
      </c>
      <c r="AF1535" s="3">
        <v>3.1088082901554404</v>
      </c>
      <c r="AG1535" s="3">
        <v>1.0997172901289445</v>
      </c>
      <c r="AH1535" s="1">
        <v>6283</v>
      </c>
      <c r="AI1535" s="1" t="b">
        <v>1</v>
      </c>
    </row>
    <row r="1536" spans="1:35" x14ac:dyDescent="0.25">
      <c r="A1536" s="1">
        <v>2</v>
      </c>
      <c r="B1536" s="1">
        <v>6</v>
      </c>
      <c r="C1536" s="1">
        <v>2020</v>
      </c>
      <c r="G1536" s="1" t="s">
        <v>38</v>
      </c>
      <c r="H1536" s="2">
        <v>4.91</v>
      </c>
      <c r="I1536" s="1">
        <v>14</v>
      </c>
      <c r="U1536" s="1">
        <v>16</v>
      </c>
      <c r="X1536" s="1">
        <v>14</v>
      </c>
      <c r="AA1536" s="1">
        <v>1</v>
      </c>
      <c r="AB1536" s="1">
        <v>2</v>
      </c>
      <c r="AC1536" s="1">
        <v>659</v>
      </c>
      <c r="AF1536" s="3">
        <v>2.8513238289205702</v>
      </c>
      <c r="AG1536" s="3">
        <v>1.0683424887233721</v>
      </c>
      <c r="AH1536" s="1">
        <v>6283</v>
      </c>
      <c r="AI1536" s="1" t="b">
        <v>1</v>
      </c>
    </row>
    <row r="1537" spans="1:35" x14ac:dyDescent="0.25">
      <c r="A1537" s="1">
        <v>2</v>
      </c>
      <c r="B1537" s="1">
        <v>6</v>
      </c>
      <c r="C1537" s="1">
        <v>2020</v>
      </c>
      <c r="G1537" s="1" t="s">
        <v>38</v>
      </c>
      <c r="H1537" s="2">
        <v>5.81</v>
      </c>
      <c r="I1537" s="1">
        <v>11</v>
      </c>
      <c r="U1537" s="1">
        <v>28</v>
      </c>
      <c r="X1537" s="1">
        <v>23</v>
      </c>
      <c r="AA1537" s="1">
        <v>4</v>
      </c>
      <c r="AB1537" s="1">
        <v>3</v>
      </c>
      <c r="AC1537" s="1">
        <v>934</v>
      </c>
      <c r="AF1537" s="3">
        <v>1.8932874354561102</v>
      </c>
      <c r="AG1537" s="3">
        <v>1.8101173866365843</v>
      </c>
      <c r="AH1537" s="1">
        <v>6283</v>
      </c>
      <c r="AI1537" s="1" t="b">
        <v>1</v>
      </c>
    </row>
    <row r="1538" spans="1:35" x14ac:dyDescent="0.25">
      <c r="A1538" s="1">
        <v>2</v>
      </c>
      <c r="B1538" s="1">
        <v>6</v>
      </c>
      <c r="C1538" s="1">
        <v>2020</v>
      </c>
      <c r="G1538" s="1" t="s">
        <v>38</v>
      </c>
      <c r="H1538" s="2">
        <v>5.23</v>
      </c>
      <c r="I1538" s="1">
        <v>19</v>
      </c>
      <c r="U1538" s="1">
        <v>24</v>
      </c>
      <c r="X1538" s="1">
        <v>22</v>
      </c>
      <c r="AA1538" s="1">
        <v>3</v>
      </c>
      <c r="AB1538" s="1">
        <v>2</v>
      </c>
      <c r="AC1538" s="1">
        <v>656</v>
      </c>
      <c r="AF1538" s="3">
        <v>3.6328871892925427</v>
      </c>
      <c r="AG1538" s="3">
        <v>0.87639374675493809</v>
      </c>
      <c r="AH1538" s="1">
        <v>6283</v>
      </c>
      <c r="AI1538" s="1" t="b">
        <v>1</v>
      </c>
    </row>
    <row r="1539" spans="1:35" x14ac:dyDescent="0.25">
      <c r="A1539" s="1">
        <v>2</v>
      </c>
      <c r="B1539" s="1">
        <v>6</v>
      </c>
      <c r="C1539" s="1">
        <v>2020</v>
      </c>
      <c r="G1539" s="1" t="s">
        <v>38</v>
      </c>
      <c r="H1539" s="2">
        <v>6.01</v>
      </c>
      <c r="I1539" s="1">
        <v>24</v>
      </c>
      <c r="U1539" s="1">
        <v>30</v>
      </c>
      <c r="X1539" s="1">
        <v>26</v>
      </c>
      <c r="AA1539" s="1">
        <v>2</v>
      </c>
      <c r="AB1539" s="1">
        <v>2</v>
      </c>
      <c r="AC1539" s="1">
        <v>894</v>
      </c>
      <c r="AF1539" s="3">
        <v>3.9933444259567388</v>
      </c>
      <c r="AG1539" s="3">
        <v>0.87877028006114644</v>
      </c>
      <c r="AH1539" s="1">
        <v>6283</v>
      </c>
      <c r="AI1539" s="1" t="b">
        <v>1</v>
      </c>
    </row>
    <row r="1540" spans="1:35" x14ac:dyDescent="0.25">
      <c r="A1540" s="1">
        <v>2</v>
      </c>
      <c r="B1540" s="1">
        <v>6</v>
      </c>
      <c r="C1540" s="1">
        <v>2020</v>
      </c>
      <c r="G1540" s="1" t="s">
        <v>38</v>
      </c>
      <c r="H1540" s="2">
        <v>7.32</v>
      </c>
      <c r="I1540" s="1">
        <v>20</v>
      </c>
      <c r="U1540" s="1">
        <v>37</v>
      </c>
      <c r="X1540" s="1">
        <v>31</v>
      </c>
      <c r="AA1540" s="1">
        <v>4</v>
      </c>
      <c r="AB1540" s="1">
        <v>4</v>
      </c>
      <c r="AC1540" s="1">
        <v>1042</v>
      </c>
      <c r="AF1540" s="3">
        <v>2.7322404371584699</v>
      </c>
      <c r="AG1540" s="3">
        <v>1.4744798506930614</v>
      </c>
      <c r="AH1540" s="1">
        <v>6283</v>
      </c>
      <c r="AI1540" s="1" t="b">
        <v>1</v>
      </c>
    </row>
    <row r="1541" spans="1:35" x14ac:dyDescent="0.25">
      <c r="A1541" s="1">
        <v>2</v>
      </c>
      <c r="B1541" s="1">
        <v>6</v>
      </c>
      <c r="C1541" s="1">
        <v>2020</v>
      </c>
      <c r="G1541" s="1" t="s">
        <v>38</v>
      </c>
      <c r="H1541" s="2">
        <v>3.26</v>
      </c>
      <c r="I1541" s="1">
        <v>12</v>
      </c>
      <c r="U1541" s="1">
        <v>14</v>
      </c>
      <c r="X1541" s="1">
        <v>12</v>
      </c>
      <c r="AA1541" s="1">
        <v>1</v>
      </c>
      <c r="AB1541" s="1">
        <v>4</v>
      </c>
      <c r="AC1541" s="1">
        <v>501</v>
      </c>
      <c r="AF1541" s="3">
        <v>3.6809815950920246</v>
      </c>
      <c r="AG1541" s="3">
        <v>0.62128186095658555</v>
      </c>
      <c r="AH1541" s="1">
        <v>6283</v>
      </c>
      <c r="AI1541" s="1" t="b">
        <v>1</v>
      </c>
    </row>
    <row r="1542" spans="1:35" x14ac:dyDescent="0.25">
      <c r="A1542" s="1">
        <v>2</v>
      </c>
      <c r="B1542" s="1">
        <v>6</v>
      </c>
      <c r="C1542" s="1">
        <v>2020</v>
      </c>
      <c r="G1542" s="1" t="s">
        <v>38</v>
      </c>
      <c r="H1542" s="2">
        <v>5.41</v>
      </c>
      <c r="I1542" s="1">
        <v>18</v>
      </c>
      <c r="U1542" s="1">
        <v>29</v>
      </c>
      <c r="X1542" s="1">
        <v>24</v>
      </c>
      <c r="AA1542" s="1">
        <v>3</v>
      </c>
      <c r="AB1542" s="1">
        <v>3</v>
      </c>
      <c r="AC1542" s="1">
        <v>866</v>
      </c>
      <c r="AF1542" s="3">
        <v>3.3271719038817005</v>
      </c>
      <c r="AG1542" s="3">
        <v>0.97985732952114923</v>
      </c>
      <c r="AH1542" s="1">
        <v>6283</v>
      </c>
      <c r="AI1542" s="1" t="b">
        <v>1</v>
      </c>
    </row>
    <row r="1543" spans="1:35" x14ac:dyDescent="0.25">
      <c r="A1543" s="1">
        <v>2</v>
      </c>
      <c r="B1543" s="1">
        <v>6</v>
      </c>
      <c r="C1543" s="1">
        <v>2020</v>
      </c>
      <c r="G1543" s="1" t="s">
        <v>38</v>
      </c>
      <c r="H1543" s="2">
        <v>10.33</v>
      </c>
      <c r="I1543" s="1">
        <v>31</v>
      </c>
      <c r="V1543" s="1">
        <v>45</v>
      </c>
      <c r="X1543" s="1">
        <v>38</v>
      </c>
      <c r="AA1543" s="1">
        <v>4</v>
      </c>
      <c r="AB1543" s="1">
        <v>4</v>
      </c>
      <c r="AC1543" s="1">
        <v>1296</v>
      </c>
      <c r="AF1543" s="3">
        <v>3.000968054211036</v>
      </c>
      <c r="AG1543" s="3">
        <v>1.7084758834374332</v>
      </c>
      <c r="AH1543" s="1">
        <v>6283</v>
      </c>
      <c r="AI1543" s="1" t="b">
        <v>1</v>
      </c>
    </row>
    <row r="1544" spans="1:35" x14ac:dyDescent="0.25">
      <c r="A1544" s="1">
        <v>2</v>
      </c>
      <c r="B1544" s="1">
        <v>6</v>
      </c>
      <c r="C1544" s="1">
        <v>2020</v>
      </c>
      <c r="G1544" s="1" t="s">
        <v>38</v>
      </c>
      <c r="H1544" s="2">
        <v>9.81</v>
      </c>
      <c r="I1544" s="1">
        <v>25</v>
      </c>
      <c r="V1544" s="1">
        <v>39</v>
      </c>
      <c r="X1544" s="1">
        <v>33</v>
      </c>
      <c r="AA1544" s="1">
        <v>4</v>
      </c>
      <c r="AB1544" s="1">
        <v>2</v>
      </c>
      <c r="AC1544" s="1">
        <v>1187</v>
      </c>
      <c r="AF1544" s="3">
        <v>2.5484199796126399</v>
      </c>
      <c r="AG1544" s="3">
        <v>1.9404269772276783</v>
      </c>
      <c r="AH1544" s="1">
        <v>6283</v>
      </c>
      <c r="AI1544" s="1" t="b">
        <v>1</v>
      </c>
    </row>
    <row r="1545" spans="1:35" x14ac:dyDescent="0.25">
      <c r="A1545" s="1">
        <v>2</v>
      </c>
      <c r="B1545" s="1">
        <v>6</v>
      </c>
      <c r="C1545" s="1">
        <v>2020</v>
      </c>
      <c r="G1545" s="1" t="s">
        <v>38</v>
      </c>
      <c r="H1545" s="2">
        <v>4.4800000000000004</v>
      </c>
      <c r="I1545" s="1">
        <v>11</v>
      </c>
      <c r="U1545" s="1">
        <v>18</v>
      </c>
      <c r="X1545" s="1">
        <v>15</v>
      </c>
      <c r="AA1545" s="1">
        <v>3</v>
      </c>
      <c r="AB1545" s="1">
        <v>3</v>
      </c>
      <c r="AC1545" s="1">
        <v>645</v>
      </c>
      <c r="AF1545" s="3">
        <v>2.4553571428571428</v>
      </c>
      <c r="AG1545" s="3">
        <v>1.1635363045205576</v>
      </c>
      <c r="AH1545" s="1">
        <v>6283</v>
      </c>
      <c r="AI1545" s="1" t="b">
        <v>1</v>
      </c>
    </row>
    <row r="1546" spans="1:35" x14ac:dyDescent="0.25">
      <c r="A1546" s="1">
        <v>2</v>
      </c>
      <c r="B1546" s="1">
        <v>6</v>
      </c>
      <c r="C1546" s="1">
        <v>2020</v>
      </c>
      <c r="G1546" s="1" t="s">
        <v>38</v>
      </c>
      <c r="H1546" s="2">
        <v>6.63</v>
      </c>
      <c r="I1546" s="1">
        <v>19</v>
      </c>
      <c r="U1546" s="1">
        <v>28</v>
      </c>
      <c r="X1546" s="1">
        <v>23</v>
      </c>
      <c r="AA1546" s="1">
        <v>3</v>
      </c>
      <c r="AB1546" s="1">
        <v>1</v>
      </c>
      <c r="AC1546" s="1">
        <v>899</v>
      </c>
      <c r="AF1546" s="3">
        <v>2.8657616892911011</v>
      </c>
      <c r="AG1546" s="3">
        <v>1.3116543301960473</v>
      </c>
      <c r="AH1546" s="1">
        <v>6283</v>
      </c>
      <c r="AI1546" s="1" t="b">
        <v>1</v>
      </c>
    </row>
    <row r="1547" spans="1:35" x14ac:dyDescent="0.25">
      <c r="A1547" s="1">
        <v>2</v>
      </c>
      <c r="B1547" s="1">
        <v>6</v>
      </c>
      <c r="C1547" s="1">
        <v>2020</v>
      </c>
      <c r="G1547" s="1" t="s">
        <v>38</v>
      </c>
      <c r="H1547" s="2">
        <v>5.16</v>
      </c>
      <c r="I1547" s="1">
        <v>12</v>
      </c>
      <c r="U1547" s="1">
        <v>19</v>
      </c>
      <c r="X1547" s="1">
        <v>17</v>
      </c>
      <c r="AA1547" s="1">
        <v>2</v>
      </c>
      <c r="AB1547" s="1">
        <v>4</v>
      </c>
      <c r="AC1547" s="1">
        <v>632</v>
      </c>
      <c r="AF1547" s="3">
        <v>2.3255813953488373</v>
      </c>
      <c r="AG1547" s="3">
        <v>1.3561984594706413</v>
      </c>
      <c r="AH1547" s="1">
        <v>6283</v>
      </c>
      <c r="AI1547" s="1" t="b">
        <v>1</v>
      </c>
    </row>
    <row r="1548" spans="1:35" x14ac:dyDescent="0.25">
      <c r="A1548" s="1">
        <v>2</v>
      </c>
      <c r="B1548" s="1">
        <v>6</v>
      </c>
      <c r="C1548" s="1">
        <v>2020</v>
      </c>
      <c r="G1548" s="1" t="s">
        <v>38</v>
      </c>
      <c r="H1548" s="2">
        <v>4.3499999999999996</v>
      </c>
      <c r="I1548" s="1">
        <v>15</v>
      </c>
      <c r="U1548" s="1">
        <v>19</v>
      </c>
      <c r="X1548" s="1">
        <v>15</v>
      </c>
      <c r="AA1548" s="1">
        <v>1</v>
      </c>
      <c r="AB1548" s="1">
        <v>2</v>
      </c>
      <c r="AC1548" s="1">
        <v>566</v>
      </c>
      <c r="AF1548" s="3">
        <v>3.4482758620689657</v>
      </c>
      <c r="AG1548" s="3">
        <v>0.8115970836012113</v>
      </c>
      <c r="AH1548" s="1">
        <v>6283</v>
      </c>
      <c r="AI1548" s="1" t="b">
        <v>1</v>
      </c>
    </row>
    <row r="1549" spans="1:35" x14ac:dyDescent="0.25">
      <c r="A1549" s="1">
        <v>2</v>
      </c>
      <c r="B1549" s="1">
        <v>6</v>
      </c>
      <c r="C1549" s="1">
        <v>2020</v>
      </c>
      <c r="G1549" s="1" t="s">
        <v>38</v>
      </c>
      <c r="H1549" s="2">
        <v>5.45</v>
      </c>
      <c r="I1549" s="1">
        <v>20</v>
      </c>
      <c r="U1549" s="1">
        <v>25</v>
      </c>
      <c r="X1549" s="1">
        <v>21</v>
      </c>
      <c r="AA1549" s="1">
        <v>2</v>
      </c>
      <c r="AB1549" s="1">
        <v>2</v>
      </c>
      <c r="AC1549" s="1">
        <v>749</v>
      </c>
      <c r="AF1549" s="3">
        <v>3.6697247706422016</v>
      </c>
      <c r="AG1549" s="3">
        <v>0.89298478278402649</v>
      </c>
      <c r="AH1549" s="1">
        <v>6283</v>
      </c>
      <c r="AI1549" s="1" t="b">
        <v>1</v>
      </c>
    </row>
    <row r="1550" spans="1:35" x14ac:dyDescent="0.25">
      <c r="A1550" s="1">
        <v>2</v>
      </c>
      <c r="B1550" s="1">
        <v>6</v>
      </c>
      <c r="C1550" s="1">
        <v>2020</v>
      </c>
      <c r="G1550" s="1" t="s">
        <v>38</v>
      </c>
      <c r="H1550" s="2">
        <v>4.63</v>
      </c>
      <c r="I1550" s="1">
        <v>17</v>
      </c>
      <c r="U1550" s="1">
        <v>21</v>
      </c>
      <c r="X1550" s="1">
        <v>18</v>
      </c>
      <c r="AA1550" s="1">
        <v>1</v>
      </c>
      <c r="AB1550" s="1">
        <v>4</v>
      </c>
      <c r="AC1550" s="1">
        <v>735</v>
      </c>
      <c r="AF1550" s="3">
        <v>3.6717062634989204</v>
      </c>
      <c r="AG1550" s="3">
        <v>0.79623041552169116</v>
      </c>
      <c r="AH1550" s="1">
        <v>6283</v>
      </c>
      <c r="AI1550" s="1" t="b">
        <v>1</v>
      </c>
    </row>
    <row r="1551" spans="1:35" x14ac:dyDescent="0.25">
      <c r="A1551" s="1">
        <v>2</v>
      </c>
      <c r="B1551" s="1">
        <v>6</v>
      </c>
      <c r="C1551" s="1">
        <v>2020</v>
      </c>
      <c r="G1551" s="1" t="s">
        <v>38</v>
      </c>
      <c r="H1551" s="2">
        <v>5.05</v>
      </c>
      <c r="I1551" s="1">
        <v>13</v>
      </c>
      <c r="U1551" s="1">
        <v>23</v>
      </c>
      <c r="X1551" s="1">
        <v>19</v>
      </c>
      <c r="AA1551" s="1">
        <v>4</v>
      </c>
      <c r="AB1551" s="1">
        <v>3</v>
      </c>
      <c r="AC1551" s="1">
        <v>617</v>
      </c>
      <c r="AF1551" s="3">
        <v>2.5742574257425743</v>
      </c>
      <c r="AG1551" s="3">
        <v>1.206846375589115</v>
      </c>
      <c r="AH1551" s="1">
        <v>6283</v>
      </c>
      <c r="AI1551" s="1" t="b">
        <v>1</v>
      </c>
    </row>
    <row r="1552" spans="1:35" x14ac:dyDescent="0.25">
      <c r="A1552" s="1">
        <v>2</v>
      </c>
      <c r="B1552" s="1">
        <v>6</v>
      </c>
      <c r="C1552" s="1">
        <v>2020</v>
      </c>
      <c r="G1552" s="1" t="s">
        <v>38</v>
      </c>
      <c r="H1552" s="2">
        <v>5.05</v>
      </c>
      <c r="I1552" s="1">
        <v>18</v>
      </c>
      <c r="U1552" s="1">
        <v>29</v>
      </c>
      <c r="X1552" s="1">
        <v>23</v>
      </c>
      <c r="AA1552" s="1">
        <v>3</v>
      </c>
      <c r="AB1552" s="1">
        <v>3</v>
      </c>
      <c r="AC1552" s="1">
        <v>765</v>
      </c>
      <c r="AF1552" s="3">
        <v>3.5643564356435644</v>
      </c>
      <c r="AG1552" s="3">
        <v>0.87161127125880522</v>
      </c>
      <c r="AH1552" s="1">
        <v>6283</v>
      </c>
      <c r="AI1552" s="1" t="b">
        <v>1</v>
      </c>
    </row>
    <row r="1553" spans="1:35" x14ac:dyDescent="0.25">
      <c r="A1553" s="1">
        <v>2</v>
      </c>
      <c r="B1553" s="1">
        <v>6</v>
      </c>
      <c r="C1553" s="1">
        <v>2020</v>
      </c>
      <c r="G1553" s="1" t="s">
        <v>38</v>
      </c>
      <c r="H1553" s="2">
        <v>4.88</v>
      </c>
      <c r="I1553" s="1">
        <v>17</v>
      </c>
      <c r="U1553" s="1">
        <v>27</v>
      </c>
      <c r="X1553" s="1">
        <v>23</v>
      </c>
      <c r="AA1553" s="1">
        <v>3</v>
      </c>
      <c r="AB1553" s="1">
        <v>1</v>
      </c>
      <c r="AC1553" s="1">
        <v>712</v>
      </c>
      <c r="AF1553" s="3">
        <v>3.4836065573770494</v>
      </c>
      <c r="AG1553" s="3">
        <v>0.87069244484867481</v>
      </c>
      <c r="AH1553" s="1">
        <v>6283</v>
      </c>
      <c r="AI1553" s="1" t="b">
        <v>1</v>
      </c>
    </row>
    <row r="1554" spans="1:35" x14ac:dyDescent="0.25">
      <c r="A1554" s="1">
        <v>2</v>
      </c>
      <c r="B1554" s="1">
        <v>6</v>
      </c>
      <c r="C1554" s="1">
        <v>2020</v>
      </c>
      <c r="G1554" s="1" t="s">
        <v>38</v>
      </c>
      <c r="H1554" s="2">
        <v>7.46</v>
      </c>
      <c r="I1554" s="1">
        <v>22</v>
      </c>
      <c r="U1554" s="1">
        <v>39</v>
      </c>
      <c r="X1554" s="1">
        <v>30</v>
      </c>
      <c r="AA1554" s="1">
        <v>3</v>
      </c>
      <c r="AB1554" s="1">
        <v>2</v>
      </c>
      <c r="AC1554" s="1">
        <v>920</v>
      </c>
      <c r="AF1554" s="3">
        <v>2.9490616621983916</v>
      </c>
      <c r="AG1554" s="3">
        <v>1.3843099034515838</v>
      </c>
      <c r="AH1554" s="1">
        <v>6283</v>
      </c>
      <c r="AI1554" s="1" t="b">
        <v>1</v>
      </c>
    </row>
    <row r="1555" spans="1:35" x14ac:dyDescent="0.25">
      <c r="A1555" s="1">
        <v>2</v>
      </c>
      <c r="B1555" s="1">
        <v>6</v>
      </c>
      <c r="C1555" s="1">
        <v>2020</v>
      </c>
      <c r="G1555" s="1" t="s">
        <v>38</v>
      </c>
      <c r="H1555" s="2">
        <v>5.99</v>
      </c>
      <c r="I1555" s="1">
        <v>18</v>
      </c>
      <c r="U1555" s="1">
        <v>25</v>
      </c>
      <c r="X1555" s="1">
        <v>22</v>
      </c>
      <c r="AA1555" s="1">
        <v>3</v>
      </c>
      <c r="AB1555" s="1">
        <v>3</v>
      </c>
      <c r="AC1555" s="1">
        <v>853</v>
      </c>
      <c r="AF1555" s="3">
        <v>3.005008347245409</v>
      </c>
      <c r="AG1555" s="3">
        <v>1.1650728796731178</v>
      </c>
      <c r="AH1555" s="1">
        <v>6283</v>
      </c>
      <c r="AI1555" s="1" t="b">
        <v>1</v>
      </c>
    </row>
    <row r="1556" spans="1:35" x14ac:dyDescent="0.25">
      <c r="A1556" s="1">
        <v>7</v>
      </c>
      <c r="B1556" s="1">
        <v>6</v>
      </c>
      <c r="C1556" s="1">
        <v>2020</v>
      </c>
      <c r="G1556" s="1" t="s">
        <v>38</v>
      </c>
      <c r="H1556" s="2">
        <v>5.15</v>
      </c>
      <c r="I1556" s="1">
        <v>18</v>
      </c>
      <c r="U1556" s="1">
        <v>24</v>
      </c>
      <c r="X1556" s="1">
        <v>21</v>
      </c>
      <c r="AA1556" s="1">
        <v>4</v>
      </c>
      <c r="AB1556" s="1">
        <v>3</v>
      </c>
      <c r="AC1556" s="1">
        <v>816</v>
      </c>
      <c r="AF1556" s="3">
        <v>3.4951456310679609</v>
      </c>
      <c r="AG1556" s="3">
        <v>0.9011555966957433</v>
      </c>
      <c r="AH1556" s="1">
        <v>6283</v>
      </c>
      <c r="AI1556" s="1" t="b">
        <v>1</v>
      </c>
    </row>
    <row r="1557" spans="1:35" x14ac:dyDescent="0.25">
      <c r="A1557" s="1">
        <v>7</v>
      </c>
      <c r="B1557" s="1">
        <v>6</v>
      </c>
      <c r="C1557" s="1">
        <v>2020</v>
      </c>
      <c r="G1557" s="1" t="s">
        <v>38</v>
      </c>
      <c r="H1557" s="2">
        <v>7.3</v>
      </c>
      <c r="I1557" s="1">
        <v>21</v>
      </c>
      <c r="U1557" s="1">
        <v>34</v>
      </c>
      <c r="X1557" s="1">
        <v>29</v>
      </c>
      <c r="AA1557" s="1">
        <v>4</v>
      </c>
      <c r="AB1557" s="1">
        <v>6</v>
      </c>
      <c r="AC1557" s="1">
        <v>1088</v>
      </c>
      <c r="AF1557" s="3">
        <v>2.8767123287671232</v>
      </c>
      <c r="AG1557" s="3">
        <v>1.3977502141553693</v>
      </c>
      <c r="AH1557" s="1">
        <v>6283</v>
      </c>
      <c r="AI1557" s="1" t="b">
        <v>1</v>
      </c>
    </row>
    <row r="1558" spans="1:35" x14ac:dyDescent="0.25">
      <c r="A1558" s="1">
        <v>7</v>
      </c>
      <c r="B1558" s="1">
        <v>6</v>
      </c>
      <c r="C1558" s="1">
        <v>2020</v>
      </c>
      <c r="G1558" s="1" t="s">
        <v>38</v>
      </c>
      <c r="H1558" s="2">
        <v>3.93</v>
      </c>
      <c r="I1558" s="1">
        <v>16</v>
      </c>
      <c r="U1558" s="1">
        <v>18</v>
      </c>
      <c r="X1558" s="1">
        <v>17</v>
      </c>
      <c r="AA1558" s="1">
        <v>1</v>
      </c>
      <c r="AB1558" s="1">
        <v>3</v>
      </c>
      <c r="AC1558" s="1">
        <v>668</v>
      </c>
      <c r="AF1558" s="3">
        <v>4.0712468193384224</v>
      </c>
      <c r="AG1558" s="3">
        <v>0.64024670634524139</v>
      </c>
      <c r="AH1558" s="1">
        <v>6283</v>
      </c>
      <c r="AI1558" s="1" t="b">
        <v>1</v>
      </c>
    </row>
    <row r="1559" spans="1:35" x14ac:dyDescent="0.25">
      <c r="A1559" s="1">
        <v>7</v>
      </c>
      <c r="B1559" s="1">
        <v>6</v>
      </c>
      <c r="C1559" s="1">
        <v>2020</v>
      </c>
      <c r="G1559" s="1" t="s">
        <v>38</v>
      </c>
      <c r="H1559" s="2">
        <v>6.94</v>
      </c>
      <c r="I1559" s="1">
        <v>26</v>
      </c>
      <c r="U1559" s="1">
        <v>41</v>
      </c>
      <c r="X1559" s="1">
        <v>30</v>
      </c>
      <c r="AA1559" s="1">
        <v>3</v>
      </c>
      <c r="AB1559" s="1">
        <v>3</v>
      </c>
      <c r="AC1559" s="1">
        <v>1256</v>
      </c>
      <c r="AF1559" s="3">
        <v>3.7463976945244957</v>
      </c>
      <c r="AG1559" s="3">
        <v>1.0359475122063313</v>
      </c>
      <c r="AH1559" s="1">
        <v>6283</v>
      </c>
      <c r="AI1559" s="1" t="b">
        <v>1</v>
      </c>
    </row>
    <row r="1560" spans="1:35" x14ac:dyDescent="0.25">
      <c r="A1560" s="1">
        <v>7</v>
      </c>
      <c r="B1560" s="1">
        <v>6</v>
      </c>
      <c r="C1560" s="1">
        <v>2020</v>
      </c>
      <c r="G1560" s="1" t="s">
        <v>38</v>
      </c>
      <c r="H1560" s="2">
        <v>7.92</v>
      </c>
      <c r="I1560" s="1">
        <v>29</v>
      </c>
      <c r="U1560" s="1">
        <v>41</v>
      </c>
      <c r="X1560" s="1">
        <v>36</v>
      </c>
      <c r="AA1560" s="1">
        <v>3</v>
      </c>
      <c r="AB1560" s="1">
        <v>2</v>
      </c>
      <c r="AC1560" s="1">
        <v>1237</v>
      </c>
      <c r="AF1560" s="3">
        <v>3.6616161616161618</v>
      </c>
      <c r="AG1560" s="3">
        <v>1.1626120255701307</v>
      </c>
      <c r="AH1560" s="1">
        <v>6283</v>
      </c>
      <c r="AI1560" s="1" t="b">
        <v>1</v>
      </c>
    </row>
    <row r="1561" spans="1:35" x14ac:dyDescent="0.25">
      <c r="A1561" s="1">
        <v>7</v>
      </c>
      <c r="B1561" s="1">
        <v>6</v>
      </c>
      <c r="C1561" s="1">
        <v>2020</v>
      </c>
      <c r="G1561" s="1" t="s">
        <v>38</v>
      </c>
      <c r="H1561" s="2">
        <v>3.5</v>
      </c>
      <c r="I1561" s="1">
        <v>12</v>
      </c>
      <c r="U1561" s="1">
        <v>13</v>
      </c>
      <c r="X1561" s="1">
        <v>12</v>
      </c>
      <c r="AA1561" s="1">
        <v>3</v>
      </c>
      <c r="AB1561" s="1">
        <v>4</v>
      </c>
      <c r="AC1561" s="1">
        <v>745</v>
      </c>
      <c r="AF1561" s="3">
        <v>3.4285714285714284</v>
      </c>
      <c r="AG1561" s="3">
        <v>0.70102649031028497</v>
      </c>
      <c r="AH1561" s="1">
        <v>6283</v>
      </c>
      <c r="AI1561" s="1" t="b">
        <v>1</v>
      </c>
    </row>
    <row r="1562" spans="1:35" x14ac:dyDescent="0.25">
      <c r="A1562" s="1">
        <v>7</v>
      </c>
      <c r="B1562" s="1">
        <v>6</v>
      </c>
      <c r="C1562" s="1">
        <v>2020</v>
      </c>
      <c r="G1562" s="1" t="s">
        <v>38</v>
      </c>
      <c r="H1562" s="2">
        <v>4.1100000000000003</v>
      </c>
      <c r="I1562" s="1">
        <v>11</v>
      </c>
      <c r="U1562" s="1">
        <v>17</v>
      </c>
      <c r="X1562" s="1">
        <v>14</v>
      </c>
      <c r="AA1562" s="1">
        <v>2</v>
      </c>
      <c r="AB1562" s="1">
        <v>3</v>
      </c>
      <c r="AC1562" s="1">
        <v>532</v>
      </c>
      <c r="AF1562" s="3">
        <v>2.6763990267639901</v>
      </c>
      <c r="AG1562" s="3">
        <v>1.0049360178619662</v>
      </c>
      <c r="AH1562" s="1">
        <v>6283</v>
      </c>
      <c r="AI1562" s="1" t="b">
        <v>1</v>
      </c>
    </row>
    <row r="1563" spans="1:35" x14ac:dyDescent="0.25">
      <c r="A1563" s="1">
        <v>7</v>
      </c>
      <c r="B1563" s="1">
        <v>6</v>
      </c>
      <c r="C1563" s="1">
        <v>2020</v>
      </c>
      <c r="G1563" s="1" t="s">
        <v>38</v>
      </c>
      <c r="H1563" s="2">
        <v>4.38</v>
      </c>
      <c r="I1563" s="1">
        <v>9</v>
      </c>
      <c r="U1563" s="1">
        <v>20</v>
      </c>
      <c r="X1563" s="1">
        <v>14</v>
      </c>
      <c r="AA1563" s="1">
        <v>3</v>
      </c>
      <c r="AB1563" s="1">
        <v>4</v>
      </c>
      <c r="AC1563" s="1">
        <v>803</v>
      </c>
      <c r="AF1563" s="3">
        <v>2.0547945205479454</v>
      </c>
      <c r="AG1563" s="3">
        <v>1.3685588530953106</v>
      </c>
      <c r="AH1563" s="1">
        <v>6283</v>
      </c>
      <c r="AI1563" s="1" t="b">
        <v>1</v>
      </c>
    </row>
    <row r="1564" spans="1:35" x14ac:dyDescent="0.25">
      <c r="A1564" s="1">
        <v>7</v>
      </c>
      <c r="B1564" s="1">
        <v>6</v>
      </c>
      <c r="C1564" s="1">
        <v>2020</v>
      </c>
      <c r="G1564" s="1" t="s">
        <v>38</v>
      </c>
      <c r="H1564" s="2">
        <v>4.68</v>
      </c>
      <c r="I1564" s="1">
        <v>14</v>
      </c>
      <c r="U1564" s="1">
        <v>20</v>
      </c>
      <c r="X1564" s="1">
        <v>17</v>
      </c>
      <c r="AA1564" s="1">
        <v>3</v>
      </c>
      <c r="AB1564" s="1">
        <v>1</v>
      </c>
      <c r="AC1564" s="1">
        <v>694</v>
      </c>
      <c r="AF1564" s="3">
        <v>2.9914529914529915</v>
      </c>
      <c r="AG1564" s="3">
        <v>0.98466820454380799</v>
      </c>
      <c r="AH1564" s="1">
        <v>6283</v>
      </c>
      <c r="AI1564" s="1" t="b">
        <v>1</v>
      </c>
    </row>
    <row r="1565" spans="1:35" x14ac:dyDescent="0.25">
      <c r="A1565" s="1">
        <v>7</v>
      </c>
      <c r="B1565" s="1">
        <v>6</v>
      </c>
      <c r="C1565" s="1">
        <v>2020</v>
      </c>
      <c r="G1565" s="1" t="s">
        <v>38</v>
      </c>
      <c r="H1565" s="2">
        <v>4.8600000000000003</v>
      </c>
      <c r="I1565" s="1">
        <v>14</v>
      </c>
      <c r="U1565" s="1">
        <v>26</v>
      </c>
      <c r="X1565" s="1">
        <v>24</v>
      </c>
      <c r="AA1565" s="1">
        <v>4</v>
      </c>
      <c r="AB1565" s="1">
        <v>1</v>
      </c>
      <c r="AC1565" s="1">
        <v>858</v>
      </c>
      <c r="AF1565" s="3">
        <v>2.8806584362139915</v>
      </c>
      <c r="AG1565" s="3">
        <v>1.0499137467425854</v>
      </c>
      <c r="AH1565" s="1">
        <v>6283</v>
      </c>
      <c r="AI1565" s="1" t="b">
        <v>1</v>
      </c>
    </row>
    <row r="1566" spans="1:35" x14ac:dyDescent="0.25">
      <c r="A1566" s="1">
        <v>7</v>
      </c>
      <c r="B1566" s="1">
        <v>6</v>
      </c>
      <c r="C1566" s="1">
        <v>2020</v>
      </c>
      <c r="G1566" s="1" t="s">
        <v>38</v>
      </c>
      <c r="H1566" s="2">
        <v>3.31</v>
      </c>
      <c r="I1566" s="1">
        <v>10</v>
      </c>
      <c r="U1566" s="1">
        <v>11</v>
      </c>
      <c r="X1566" s="1">
        <v>11</v>
      </c>
      <c r="AA1566" s="1">
        <v>2</v>
      </c>
      <c r="AB1566" s="1">
        <v>3</v>
      </c>
      <c r="AC1566" s="1">
        <v>660</v>
      </c>
      <c r="AF1566" s="3">
        <v>3.0211480362537766</v>
      </c>
      <c r="AG1566" s="3">
        <v>0.76508130402412777</v>
      </c>
      <c r="AH1566" s="1">
        <v>6283</v>
      </c>
      <c r="AI1566" s="1" t="b">
        <v>1</v>
      </c>
    </row>
    <row r="1567" spans="1:35" x14ac:dyDescent="0.25">
      <c r="A1567" s="1">
        <v>7</v>
      </c>
      <c r="B1567" s="1">
        <v>6</v>
      </c>
      <c r="C1567" s="1">
        <v>2020</v>
      </c>
      <c r="G1567" s="1" t="s">
        <v>38</v>
      </c>
      <c r="H1567" s="2">
        <v>5.39</v>
      </c>
      <c r="I1567" s="1">
        <v>16</v>
      </c>
      <c r="U1567" s="1">
        <v>26</v>
      </c>
      <c r="X1567" s="1">
        <v>21</v>
      </c>
      <c r="AA1567" s="1">
        <v>3</v>
      </c>
      <c r="AB1567" s="1">
        <v>2</v>
      </c>
      <c r="AC1567" s="1">
        <v>756</v>
      </c>
      <c r="AF1567" s="3">
        <v>2.9684601113172544</v>
      </c>
      <c r="AG1567" s="3">
        <v>1.0954206361701933</v>
      </c>
      <c r="AH1567" s="1">
        <v>6283</v>
      </c>
      <c r="AI1567" s="1" t="b">
        <v>1</v>
      </c>
    </row>
    <row r="1568" spans="1:35" x14ac:dyDescent="0.25">
      <c r="A1568" s="1">
        <v>7</v>
      </c>
      <c r="B1568" s="1">
        <v>6</v>
      </c>
      <c r="C1568" s="1">
        <v>2020</v>
      </c>
      <c r="G1568" s="1" t="s">
        <v>38</v>
      </c>
      <c r="H1568" s="2">
        <v>5.4</v>
      </c>
      <c r="I1568" s="1">
        <v>12</v>
      </c>
      <c r="U1568" s="1">
        <v>24</v>
      </c>
      <c r="X1568" s="1">
        <v>17</v>
      </c>
      <c r="AA1568" s="1">
        <v>3</v>
      </c>
      <c r="AB1568" s="1">
        <v>4</v>
      </c>
      <c r="AC1568" s="1">
        <v>794</v>
      </c>
      <c r="AF1568" s="3">
        <v>2.2222222222222219</v>
      </c>
      <c r="AG1568" s="3">
        <v>1.4651704316229663</v>
      </c>
      <c r="AH1568" s="1">
        <v>6283</v>
      </c>
      <c r="AI1568" s="1" t="b">
        <v>1</v>
      </c>
    </row>
    <row r="1569" spans="1:35" x14ac:dyDescent="0.25">
      <c r="A1569" s="1">
        <v>7</v>
      </c>
      <c r="B1569" s="1">
        <v>6</v>
      </c>
      <c r="C1569" s="1">
        <v>2020</v>
      </c>
      <c r="G1569" s="1" t="s">
        <v>38</v>
      </c>
      <c r="H1569" s="2">
        <v>5.67</v>
      </c>
      <c r="I1569" s="1">
        <v>21</v>
      </c>
      <c r="U1569" s="1">
        <v>30</v>
      </c>
      <c r="X1569" s="1">
        <v>27</v>
      </c>
      <c r="AA1569" s="1">
        <v>3</v>
      </c>
      <c r="AB1569" s="1">
        <v>1</v>
      </c>
      <c r="AC1569" s="1">
        <v>833</v>
      </c>
      <c r="AF1569" s="3">
        <v>3.7037037037037037</v>
      </c>
      <c r="AG1569" s="3">
        <v>0.90964493442188421</v>
      </c>
      <c r="AH1569" s="1">
        <v>6283</v>
      </c>
      <c r="AI1569" s="1" t="b">
        <v>1</v>
      </c>
    </row>
    <row r="1570" spans="1:35" x14ac:dyDescent="0.25">
      <c r="A1570" s="1">
        <v>8</v>
      </c>
      <c r="B1570" s="1">
        <v>6</v>
      </c>
      <c r="C1570" s="1">
        <v>2020</v>
      </c>
      <c r="G1570" s="1" t="s">
        <v>38</v>
      </c>
      <c r="H1570" s="2">
        <v>4.38</v>
      </c>
      <c r="I1570" s="1">
        <v>13</v>
      </c>
      <c r="U1570" s="1">
        <v>22</v>
      </c>
      <c r="X1570" s="1">
        <v>18</v>
      </c>
      <c r="AA1570" s="1">
        <v>3</v>
      </c>
      <c r="AB1570" s="1">
        <v>3</v>
      </c>
      <c r="AC1570" s="1">
        <v>656</v>
      </c>
      <c r="AF1570" s="3">
        <v>2.9680365296803655</v>
      </c>
      <c r="AG1570" s="3">
        <v>0.94746382137367646</v>
      </c>
      <c r="AH1570" s="1">
        <v>6284</v>
      </c>
      <c r="AI1570" s="1" t="b">
        <v>1</v>
      </c>
    </row>
    <row r="1571" spans="1:35" x14ac:dyDescent="0.25">
      <c r="A1571" s="1">
        <v>20</v>
      </c>
      <c r="B1571" s="1">
        <v>6</v>
      </c>
      <c r="C1571" s="1">
        <v>2020</v>
      </c>
      <c r="G1571" s="1" t="s">
        <v>38</v>
      </c>
      <c r="H1571" s="2">
        <v>4.9000000000000004</v>
      </c>
      <c r="I1571" s="1">
        <v>12</v>
      </c>
      <c r="U1571" s="1">
        <v>20</v>
      </c>
      <c r="X1571" s="1">
        <v>16</v>
      </c>
      <c r="AA1571" s="1">
        <v>3</v>
      </c>
      <c r="AB1571" s="1">
        <v>5</v>
      </c>
      <c r="AC1571" s="1">
        <v>769</v>
      </c>
      <c r="AF1571" s="3">
        <v>2.4489795918367343</v>
      </c>
      <c r="AG1571" s="3">
        <v>1.2420872105871614</v>
      </c>
      <c r="AH1571" s="1">
        <v>6285</v>
      </c>
      <c r="AI1571" s="1" t="b">
        <v>1</v>
      </c>
    </row>
    <row r="1572" spans="1:35" x14ac:dyDescent="0.25">
      <c r="A1572" s="1">
        <v>24</v>
      </c>
      <c r="B1572" s="1">
        <v>6</v>
      </c>
      <c r="C1572" s="1">
        <v>2020</v>
      </c>
      <c r="G1572" s="1" t="s">
        <v>38</v>
      </c>
      <c r="H1572" s="2">
        <v>5.69</v>
      </c>
      <c r="I1572" s="1">
        <v>15</v>
      </c>
      <c r="U1572" s="1">
        <v>29</v>
      </c>
      <c r="X1572" s="1">
        <v>25</v>
      </c>
      <c r="AA1572" s="1">
        <v>4</v>
      </c>
      <c r="AB1572" s="1">
        <v>6</v>
      </c>
      <c r="AC1572" s="1">
        <v>907</v>
      </c>
      <c r="AF1572" s="3">
        <v>2.6362038664323371</v>
      </c>
      <c r="AG1572" s="3">
        <v>1.2811488580534374</v>
      </c>
      <c r="AH1572" s="1">
        <v>6286</v>
      </c>
      <c r="AI1572" s="1" t="b">
        <v>1</v>
      </c>
    </row>
    <row r="1573" spans="1:35" x14ac:dyDescent="0.25">
      <c r="A1573" s="1">
        <v>24</v>
      </c>
      <c r="B1573" s="1">
        <v>6</v>
      </c>
      <c r="C1573" s="1">
        <v>2020</v>
      </c>
      <c r="G1573" s="1" t="s">
        <v>38</v>
      </c>
      <c r="H1573" s="2">
        <v>9.43</v>
      </c>
      <c r="I1573" s="1">
        <v>30</v>
      </c>
      <c r="U1573" s="1">
        <v>43</v>
      </c>
      <c r="X1573" s="1">
        <v>37</v>
      </c>
      <c r="AA1573" s="1">
        <v>2</v>
      </c>
      <c r="AB1573" s="1">
        <v>2</v>
      </c>
      <c r="AC1573" s="1">
        <v>1439</v>
      </c>
      <c r="AF1573" s="3">
        <v>3.1813361611876991</v>
      </c>
      <c r="AG1573" s="3">
        <v>1.5119889698152034</v>
      </c>
      <c r="AH1573" s="1">
        <v>6286</v>
      </c>
      <c r="AI1573" s="1" t="b">
        <v>1</v>
      </c>
    </row>
    <row r="1574" spans="1:35" x14ac:dyDescent="0.25">
      <c r="A1574" s="1">
        <v>24</v>
      </c>
      <c r="B1574" s="1">
        <v>6</v>
      </c>
      <c r="C1574" s="1">
        <v>2020</v>
      </c>
      <c r="G1574" s="1" t="s">
        <v>38</v>
      </c>
      <c r="H1574" s="2">
        <v>5.38</v>
      </c>
      <c r="I1574" s="1">
        <v>19</v>
      </c>
      <c r="U1574" s="1">
        <v>26</v>
      </c>
      <c r="X1574" s="1">
        <v>22</v>
      </c>
      <c r="AA1574" s="1">
        <v>2</v>
      </c>
      <c r="AB1574" s="1">
        <v>2</v>
      </c>
      <c r="AC1574" s="1">
        <v>981</v>
      </c>
      <c r="AF1574" s="3">
        <v>3.5315985130111525</v>
      </c>
      <c r="AG1574" s="3">
        <v>0.91955194573857979</v>
      </c>
      <c r="AH1574" s="1">
        <v>6286</v>
      </c>
      <c r="AI1574" s="1" t="b">
        <v>1</v>
      </c>
    </row>
    <row r="1575" spans="1:35" x14ac:dyDescent="0.25">
      <c r="A1575" s="1">
        <v>24</v>
      </c>
      <c r="B1575" s="1">
        <v>6</v>
      </c>
      <c r="C1575" s="1">
        <v>2020</v>
      </c>
      <c r="G1575" s="1" t="s">
        <v>38</v>
      </c>
      <c r="H1575" s="2">
        <v>4.09</v>
      </c>
      <c r="I1575" s="1">
        <v>13</v>
      </c>
      <c r="U1575" s="1">
        <v>17</v>
      </c>
      <c r="X1575" s="1">
        <v>15</v>
      </c>
      <c r="AA1575" s="1">
        <v>1</v>
      </c>
      <c r="AB1575" s="1">
        <v>2</v>
      </c>
      <c r="AC1575" s="1">
        <v>774</v>
      </c>
      <c r="AF1575" s="3">
        <v>3.1784841075794623</v>
      </c>
      <c r="AG1575" s="3">
        <v>0.84330809911993099</v>
      </c>
      <c r="AH1575" s="1">
        <v>6286</v>
      </c>
      <c r="AI1575" s="1" t="b">
        <v>1</v>
      </c>
    </row>
    <row r="1576" spans="1:35" x14ac:dyDescent="0.25">
      <c r="A1576" s="1">
        <v>24</v>
      </c>
      <c r="B1576" s="1">
        <v>6</v>
      </c>
      <c r="C1576" s="1">
        <v>2020</v>
      </c>
      <c r="G1576" s="1" t="s">
        <v>38</v>
      </c>
      <c r="H1576" s="2">
        <v>7.04</v>
      </c>
      <c r="I1576" s="1">
        <v>21</v>
      </c>
      <c r="U1576" s="1">
        <v>31</v>
      </c>
      <c r="X1576" s="1">
        <v>27</v>
      </c>
      <c r="AA1576" s="1">
        <v>3</v>
      </c>
      <c r="AB1576" s="1">
        <v>2</v>
      </c>
      <c r="AC1576" s="1">
        <v>1176</v>
      </c>
      <c r="AF1576" s="3">
        <v>2.9829545454545454</v>
      </c>
      <c r="AG1576" s="3">
        <v>1.3141781004638797</v>
      </c>
      <c r="AH1576" s="1">
        <v>6286</v>
      </c>
      <c r="AI1576" s="1" t="b">
        <v>1</v>
      </c>
    </row>
    <row r="1577" spans="1:35" x14ac:dyDescent="0.25">
      <c r="A1577" s="1">
        <v>24</v>
      </c>
      <c r="B1577" s="1">
        <v>6</v>
      </c>
      <c r="C1577" s="1">
        <v>2020</v>
      </c>
      <c r="G1577" s="1" t="s">
        <v>38</v>
      </c>
      <c r="H1577" s="2">
        <v>8.25</v>
      </c>
      <c r="I1577" s="1">
        <v>27</v>
      </c>
      <c r="U1577" s="1">
        <v>41</v>
      </c>
      <c r="X1577" s="1">
        <v>32</v>
      </c>
      <c r="AA1577" s="1">
        <v>3</v>
      </c>
      <c r="AB1577" s="1">
        <v>2</v>
      </c>
      <c r="AC1577" s="1">
        <v>1292</v>
      </c>
      <c r="AF1577" s="3">
        <v>3.2727272727272729</v>
      </c>
      <c r="AG1577" s="3">
        <v>1.338467863812725</v>
      </c>
      <c r="AH1577" s="1">
        <v>6286</v>
      </c>
      <c r="AI1577" s="1" t="b">
        <v>1</v>
      </c>
    </row>
    <row r="1578" spans="1:35" x14ac:dyDescent="0.25">
      <c r="A1578" s="1">
        <v>24</v>
      </c>
      <c r="B1578" s="1">
        <v>6</v>
      </c>
      <c r="C1578" s="1">
        <v>2020</v>
      </c>
      <c r="G1578" s="1" t="s">
        <v>38</v>
      </c>
      <c r="H1578" s="2">
        <v>5</v>
      </c>
      <c r="I1578" s="1">
        <v>16</v>
      </c>
      <c r="U1578" s="1">
        <v>18</v>
      </c>
      <c r="X1578" s="1">
        <v>16</v>
      </c>
      <c r="AA1578" s="1">
        <v>1</v>
      </c>
      <c r="AB1578" s="1">
        <v>5</v>
      </c>
      <c r="AC1578" s="1">
        <v>751</v>
      </c>
      <c r="AF1578" s="3">
        <v>3.2</v>
      </c>
      <c r="AG1578" s="3">
        <v>0.96411541050001504</v>
      </c>
      <c r="AH1578" s="1">
        <v>6286</v>
      </c>
      <c r="AI1578" s="1" t="b">
        <v>1</v>
      </c>
    </row>
    <row r="1579" spans="1:35" x14ac:dyDescent="0.25">
      <c r="A1579" s="1">
        <v>24</v>
      </c>
      <c r="B1579" s="1">
        <v>6</v>
      </c>
      <c r="C1579" s="1">
        <v>2020</v>
      </c>
      <c r="G1579" s="1" t="s">
        <v>38</v>
      </c>
      <c r="H1579" s="2">
        <v>8.7899999999999991</v>
      </c>
      <c r="I1579" s="1">
        <v>21</v>
      </c>
      <c r="V1579" s="1">
        <v>33</v>
      </c>
      <c r="X1579" s="1">
        <v>27</v>
      </c>
      <c r="AA1579" s="1">
        <v>3</v>
      </c>
      <c r="AB1579" s="1">
        <v>3</v>
      </c>
      <c r="AC1579" s="1">
        <v>1253</v>
      </c>
      <c r="AF1579" s="3">
        <v>2.3890784982935154</v>
      </c>
      <c r="AG1579" s="3">
        <v>1.9167337627136158</v>
      </c>
      <c r="AH1579" s="1">
        <v>6286</v>
      </c>
      <c r="AI1579" s="1" t="b">
        <v>1</v>
      </c>
    </row>
    <row r="1580" spans="1:35" x14ac:dyDescent="0.25">
      <c r="A1580" s="1">
        <v>11</v>
      </c>
      <c r="B1580" s="1">
        <v>7</v>
      </c>
      <c r="C1580" s="1">
        <v>2020</v>
      </c>
      <c r="G1580" s="1" t="s">
        <v>38</v>
      </c>
      <c r="H1580" s="2">
        <v>7.14</v>
      </c>
      <c r="I1580" s="1">
        <v>24</v>
      </c>
      <c r="U1580" s="1">
        <v>33</v>
      </c>
      <c r="X1580" s="1">
        <v>27</v>
      </c>
      <c r="AA1580" s="1">
        <v>2</v>
      </c>
      <c r="AB1580" s="1">
        <v>2</v>
      </c>
      <c r="AC1580" s="1">
        <v>967</v>
      </c>
      <c r="AF1580" s="3">
        <v>3.3613445378151261</v>
      </c>
      <c r="AG1580" s="3">
        <v>1.1778113044859084</v>
      </c>
      <c r="AH1580" s="1">
        <v>6288</v>
      </c>
      <c r="AI1580" s="1" t="b">
        <v>1</v>
      </c>
    </row>
    <row r="1581" spans="1:35" x14ac:dyDescent="0.25">
      <c r="A1581" s="1">
        <v>11</v>
      </c>
      <c r="B1581" s="1">
        <v>7</v>
      </c>
      <c r="C1581" s="1">
        <v>2020</v>
      </c>
      <c r="G1581" s="1" t="s">
        <v>38</v>
      </c>
      <c r="H1581" s="2">
        <v>5.48</v>
      </c>
      <c r="I1581" s="1">
        <v>16</v>
      </c>
      <c r="U1581" s="1">
        <v>28</v>
      </c>
      <c r="X1581" s="1">
        <v>23</v>
      </c>
      <c r="AA1581" s="1">
        <v>3</v>
      </c>
      <c r="AB1581" s="1">
        <v>5</v>
      </c>
      <c r="AC1581" s="1">
        <v>777</v>
      </c>
      <c r="AF1581" s="3">
        <v>2.9197080291970803</v>
      </c>
      <c r="AG1581" s="3">
        <v>1.1266965559133311</v>
      </c>
      <c r="AH1581" s="1">
        <v>6288</v>
      </c>
      <c r="AI1581" s="1" t="b">
        <v>1</v>
      </c>
    </row>
    <row r="1582" spans="1:35" x14ac:dyDescent="0.25">
      <c r="A1582" s="1">
        <v>11</v>
      </c>
      <c r="B1582" s="1">
        <v>7</v>
      </c>
      <c r="C1582" s="1">
        <v>2020</v>
      </c>
      <c r="G1582" s="1" t="s">
        <v>38</v>
      </c>
      <c r="H1582" s="2">
        <v>4.3099999999999996</v>
      </c>
      <c r="I1582" s="1">
        <v>12</v>
      </c>
      <c r="U1582" s="1">
        <v>20</v>
      </c>
      <c r="X1582" s="1">
        <v>16</v>
      </c>
      <c r="AA1582" s="1">
        <v>3</v>
      </c>
      <c r="AB1582" s="1">
        <v>3</v>
      </c>
      <c r="AC1582" s="1">
        <v>695</v>
      </c>
      <c r="AF1582" s="3">
        <v>2.7842227378190256</v>
      </c>
      <c r="AG1582" s="3">
        <v>0.99868864778336019</v>
      </c>
      <c r="AH1582" s="1">
        <v>6288</v>
      </c>
      <c r="AI1582" s="1" t="b">
        <v>1</v>
      </c>
    </row>
    <row r="1583" spans="1:35" x14ac:dyDescent="0.25">
      <c r="A1583" s="1">
        <v>11</v>
      </c>
      <c r="B1583" s="1">
        <v>7</v>
      </c>
      <c r="C1583" s="1">
        <v>2020</v>
      </c>
      <c r="G1583" s="1" t="s">
        <v>38</v>
      </c>
      <c r="H1583" s="2">
        <v>6.51</v>
      </c>
      <c r="I1583" s="1">
        <v>18</v>
      </c>
      <c r="U1583" s="1">
        <v>27</v>
      </c>
      <c r="X1583" s="1">
        <v>23</v>
      </c>
      <c r="AA1583" s="1">
        <v>3</v>
      </c>
      <c r="AB1583" s="1">
        <v>2</v>
      </c>
      <c r="AC1583" s="1">
        <v>940</v>
      </c>
      <c r="AF1583" s="3">
        <v>2.7649769585253456</v>
      </c>
      <c r="AG1583" s="3">
        <v>1.3421936365598506</v>
      </c>
      <c r="AH1583" s="1">
        <v>6288</v>
      </c>
      <c r="AI1583" s="1" t="b">
        <v>1</v>
      </c>
    </row>
    <row r="1584" spans="1:35" x14ac:dyDescent="0.25">
      <c r="A1584" s="1">
        <v>14</v>
      </c>
      <c r="B1584" s="1">
        <v>7</v>
      </c>
      <c r="C1584" s="1">
        <v>2020</v>
      </c>
      <c r="G1584" s="1" t="s">
        <v>38</v>
      </c>
      <c r="H1584" s="2">
        <v>4.26</v>
      </c>
      <c r="I1584" s="1">
        <v>8</v>
      </c>
      <c r="U1584" s="1">
        <v>15</v>
      </c>
      <c r="X1584" s="1">
        <v>11</v>
      </c>
      <c r="AA1584" s="1">
        <v>2</v>
      </c>
      <c r="AB1584" s="1">
        <v>6</v>
      </c>
      <c r="AC1584" s="1">
        <v>723</v>
      </c>
      <c r="AF1584" s="3">
        <v>1.8779342723004695</v>
      </c>
      <c r="AG1584" s="3">
        <v>1.4686094941815795</v>
      </c>
      <c r="AH1584" s="1">
        <v>6289</v>
      </c>
      <c r="AI1584" s="1" t="b">
        <v>1</v>
      </c>
    </row>
    <row r="1585" spans="1:35" x14ac:dyDescent="0.25">
      <c r="A1585" s="1">
        <v>14</v>
      </c>
      <c r="B1585" s="1">
        <v>7</v>
      </c>
      <c r="C1585" s="1">
        <v>2020</v>
      </c>
      <c r="G1585" s="1" t="s">
        <v>38</v>
      </c>
      <c r="H1585" s="2">
        <v>5.65</v>
      </c>
      <c r="I1585" s="1">
        <v>17</v>
      </c>
      <c r="U1585" s="1">
        <v>28</v>
      </c>
      <c r="X1585" s="1">
        <v>24</v>
      </c>
      <c r="AA1585" s="1">
        <v>3</v>
      </c>
      <c r="AB1585" s="1">
        <v>3</v>
      </c>
      <c r="AC1585" s="1">
        <v>820</v>
      </c>
      <c r="AF1585" s="3">
        <v>3.0088495575221237</v>
      </c>
      <c r="AG1585" s="3">
        <v>1.1169492476061831</v>
      </c>
      <c r="AH1585" s="1">
        <v>6289</v>
      </c>
      <c r="AI1585" s="1" t="b">
        <v>1</v>
      </c>
    </row>
    <row r="1586" spans="1:35" x14ac:dyDescent="0.25">
      <c r="A1586" s="1">
        <v>14</v>
      </c>
      <c r="B1586" s="1">
        <v>7</v>
      </c>
      <c r="C1586" s="1">
        <v>2020</v>
      </c>
      <c r="G1586" s="1" t="s">
        <v>38</v>
      </c>
      <c r="H1586" s="2">
        <v>2.89</v>
      </c>
      <c r="I1586" s="1">
        <v>9</v>
      </c>
      <c r="U1586" s="1">
        <v>10</v>
      </c>
      <c r="X1586" s="1">
        <v>9</v>
      </c>
      <c r="AA1586" s="1">
        <v>1</v>
      </c>
      <c r="AB1586" s="1">
        <v>3</v>
      </c>
      <c r="AC1586" s="1">
        <v>355</v>
      </c>
      <c r="AF1586" s="3">
        <v>3.1141868512110724</v>
      </c>
      <c r="AG1586" s="3">
        <v>0.67496899417185918</v>
      </c>
      <c r="AH1586" s="1">
        <v>6289</v>
      </c>
      <c r="AI1586" s="1" t="b">
        <v>1</v>
      </c>
    </row>
    <row r="1587" spans="1:35" x14ac:dyDescent="0.25">
      <c r="A1587" s="1">
        <v>14</v>
      </c>
      <c r="B1587" s="1">
        <v>7</v>
      </c>
      <c r="C1587" s="1">
        <v>2020</v>
      </c>
      <c r="G1587" s="1" t="s">
        <v>38</v>
      </c>
      <c r="H1587" s="2">
        <v>4.74</v>
      </c>
      <c r="I1587" s="1">
        <v>10</v>
      </c>
      <c r="U1587" s="1">
        <v>23</v>
      </c>
      <c r="X1587" s="1">
        <v>16</v>
      </c>
      <c r="AA1587" s="1">
        <v>3</v>
      </c>
      <c r="AB1587" s="1">
        <v>3</v>
      </c>
      <c r="AC1587" s="1">
        <v>692</v>
      </c>
      <c r="AF1587" s="3">
        <v>2.109704641350211</v>
      </c>
      <c r="AG1587" s="3">
        <v>1.4087151357509855</v>
      </c>
      <c r="AH1587" s="1">
        <v>6289</v>
      </c>
      <c r="AI1587" s="1" t="b">
        <v>1</v>
      </c>
    </row>
    <row r="1588" spans="1:35" x14ac:dyDescent="0.25">
      <c r="A1588" s="1">
        <v>14</v>
      </c>
      <c r="B1588" s="1">
        <v>7</v>
      </c>
      <c r="C1588" s="1">
        <v>2020</v>
      </c>
      <c r="G1588" s="1" t="s">
        <v>38</v>
      </c>
      <c r="H1588" s="2">
        <v>5.22</v>
      </c>
      <c r="I1588" s="1">
        <v>17</v>
      </c>
      <c r="U1588" s="1">
        <v>26</v>
      </c>
      <c r="X1588" s="1">
        <v>23</v>
      </c>
      <c r="AA1588" s="1">
        <v>3</v>
      </c>
      <c r="AB1588" s="1">
        <v>5</v>
      </c>
      <c r="AC1588" s="1">
        <v>839</v>
      </c>
      <c r="AF1588" s="3">
        <v>3.2567049808429118</v>
      </c>
      <c r="AG1588" s="3">
        <v>0.97631718490088248</v>
      </c>
      <c r="AH1588" s="1">
        <v>6289</v>
      </c>
      <c r="AI1588" s="1" t="b">
        <v>1</v>
      </c>
    </row>
    <row r="1589" spans="1:35" x14ac:dyDescent="0.25">
      <c r="A1589" s="1">
        <v>11</v>
      </c>
      <c r="B1589" s="1">
        <v>8</v>
      </c>
      <c r="C1589" s="1">
        <v>2020</v>
      </c>
      <c r="G1589" s="1" t="s">
        <v>38</v>
      </c>
      <c r="H1589" s="2">
        <v>11.03</v>
      </c>
      <c r="I1589" s="1">
        <v>22</v>
      </c>
      <c r="U1589" s="1">
        <v>29</v>
      </c>
      <c r="X1589" s="1">
        <v>26</v>
      </c>
      <c r="AA1589" s="1">
        <v>2</v>
      </c>
      <c r="AB1589" s="1">
        <v>3</v>
      </c>
      <c r="AC1589" s="1">
        <v>857</v>
      </c>
      <c r="AF1589" s="3">
        <v>1.9945602901178605</v>
      </c>
      <c r="AG1589" s="3">
        <v>2.6912602092666775</v>
      </c>
      <c r="AH1589" s="1">
        <v>6293</v>
      </c>
      <c r="AI1589" s="1" t="b">
        <v>1</v>
      </c>
    </row>
    <row r="1590" spans="1:35" x14ac:dyDescent="0.25">
      <c r="A1590" s="1">
        <v>11</v>
      </c>
      <c r="B1590" s="1">
        <v>8</v>
      </c>
      <c r="C1590" s="1">
        <v>2020</v>
      </c>
      <c r="G1590" s="1" t="s">
        <v>38</v>
      </c>
      <c r="H1590" s="2">
        <v>5.86</v>
      </c>
      <c r="I1590" s="1">
        <v>23</v>
      </c>
      <c r="U1590" s="1">
        <v>33</v>
      </c>
      <c r="X1590" s="1">
        <v>28</v>
      </c>
      <c r="AA1590" s="1">
        <v>3</v>
      </c>
      <c r="AB1590" s="1">
        <v>2</v>
      </c>
      <c r="AC1590" s="1">
        <v>978</v>
      </c>
      <c r="AF1590" s="3">
        <v>3.9249146757679179</v>
      </c>
      <c r="AG1590" s="3">
        <v>0.87841169895948812</v>
      </c>
      <c r="AH1590" s="1">
        <v>6293</v>
      </c>
      <c r="AI1590" s="1" t="b">
        <v>1</v>
      </c>
    </row>
    <row r="1591" spans="1:35" x14ac:dyDescent="0.25">
      <c r="A1591" s="1">
        <v>11</v>
      </c>
      <c r="B1591" s="1">
        <v>8</v>
      </c>
      <c r="C1591" s="1">
        <v>2020</v>
      </c>
      <c r="G1591" s="1" t="s">
        <v>38</v>
      </c>
      <c r="H1591" s="2">
        <v>3.17</v>
      </c>
      <c r="I1591" s="1">
        <v>7</v>
      </c>
      <c r="U1591" s="1">
        <v>14</v>
      </c>
      <c r="X1591" s="1">
        <v>11</v>
      </c>
      <c r="AA1591" s="1">
        <v>3</v>
      </c>
      <c r="AB1591" s="1">
        <v>4</v>
      </c>
      <c r="AC1591" s="1">
        <v>585</v>
      </c>
      <c r="AF1591" s="3">
        <v>2.2082018927444795</v>
      </c>
      <c r="AG1591" s="3">
        <v>1.0155532626636914</v>
      </c>
      <c r="AH1591" s="1">
        <v>6293</v>
      </c>
      <c r="AI1591" s="1" t="b">
        <v>1</v>
      </c>
    </row>
    <row r="1592" spans="1:35" x14ac:dyDescent="0.25">
      <c r="A1592" s="1">
        <v>11</v>
      </c>
      <c r="B1592" s="1">
        <v>8</v>
      </c>
      <c r="C1592" s="1">
        <v>2020</v>
      </c>
      <c r="G1592" s="1" t="s">
        <v>38</v>
      </c>
      <c r="H1592" s="2">
        <v>5.36</v>
      </c>
      <c r="I1592" s="1">
        <v>17</v>
      </c>
      <c r="U1592" s="1">
        <v>22</v>
      </c>
      <c r="X1592" s="1">
        <v>20</v>
      </c>
      <c r="AA1592" s="1">
        <v>2</v>
      </c>
      <c r="AB1592" s="1">
        <v>5</v>
      </c>
      <c r="AC1592" s="1">
        <v>688</v>
      </c>
      <c r="AF1592" s="3">
        <v>3.1716417910447761</v>
      </c>
      <c r="AG1592" s="3">
        <v>1.0212480048801018</v>
      </c>
      <c r="AH1592" s="1">
        <v>6293</v>
      </c>
      <c r="AI1592" s="1" t="b">
        <v>1</v>
      </c>
    </row>
    <row r="1593" spans="1:35" x14ac:dyDescent="0.25">
      <c r="A1593" s="1">
        <v>11</v>
      </c>
      <c r="B1593" s="1">
        <v>8</v>
      </c>
      <c r="C1593" s="1">
        <v>2020</v>
      </c>
      <c r="G1593" s="1" t="s">
        <v>38</v>
      </c>
      <c r="H1593" s="2">
        <v>6.13</v>
      </c>
      <c r="I1593" s="1">
        <v>24</v>
      </c>
      <c r="U1593" s="1">
        <v>27</v>
      </c>
      <c r="X1593" s="1">
        <v>25</v>
      </c>
      <c r="AA1593" s="1">
        <v>1</v>
      </c>
      <c r="AB1593" s="1">
        <v>2</v>
      </c>
      <c r="AC1593" s="1">
        <v>840</v>
      </c>
      <c r="AF1593" s="3">
        <v>3.9151712887438825</v>
      </c>
      <c r="AG1593" s="3">
        <v>0.90880679383168772</v>
      </c>
      <c r="AH1593" s="1">
        <v>6293</v>
      </c>
      <c r="AI1593" s="1" t="b">
        <v>1</v>
      </c>
    </row>
    <row r="1594" spans="1:35" x14ac:dyDescent="0.25">
      <c r="A1594" s="1">
        <v>11</v>
      </c>
      <c r="B1594" s="1">
        <v>8</v>
      </c>
      <c r="C1594" s="1">
        <v>2020</v>
      </c>
      <c r="G1594" s="1" t="s">
        <v>38</v>
      </c>
      <c r="H1594" s="2">
        <v>5.28</v>
      </c>
      <c r="I1594" s="1">
        <v>18</v>
      </c>
      <c r="U1594" s="1">
        <v>26</v>
      </c>
      <c r="X1594" s="1">
        <v>22</v>
      </c>
      <c r="AA1594" s="1">
        <v>2</v>
      </c>
      <c r="AB1594" s="1">
        <v>2</v>
      </c>
      <c r="AC1594" s="1">
        <v>833</v>
      </c>
      <c r="AF1594" s="3">
        <v>3.4090909090909087</v>
      </c>
      <c r="AG1594" s="3">
        <v>0.94016734612060537</v>
      </c>
      <c r="AH1594" s="1">
        <v>6293</v>
      </c>
      <c r="AI1594" s="1" t="b">
        <v>1</v>
      </c>
    </row>
    <row r="1595" spans="1:35" x14ac:dyDescent="0.25">
      <c r="A1595" s="1">
        <v>11</v>
      </c>
      <c r="B1595" s="1">
        <v>8</v>
      </c>
      <c r="C1595" s="1">
        <v>2020</v>
      </c>
      <c r="G1595" s="1" t="s">
        <v>38</v>
      </c>
      <c r="H1595" s="2">
        <v>5.03</v>
      </c>
      <c r="I1595" s="1">
        <v>14</v>
      </c>
      <c r="U1595" s="1">
        <v>28</v>
      </c>
      <c r="X1595" s="1">
        <v>21</v>
      </c>
      <c r="AA1595" s="1">
        <v>3</v>
      </c>
      <c r="AB1595" s="1">
        <v>3</v>
      </c>
      <c r="AC1595" s="1">
        <v>885</v>
      </c>
      <c r="AF1595" s="3">
        <v>2.7833001988071571</v>
      </c>
      <c r="AG1595" s="3">
        <v>1.11310860191142</v>
      </c>
      <c r="AH1595" s="1">
        <v>6293</v>
      </c>
      <c r="AI1595" s="1" t="b">
        <v>1</v>
      </c>
    </row>
    <row r="1596" spans="1:35" x14ac:dyDescent="0.25">
      <c r="A1596" s="1">
        <v>11</v>
      </c>
      <c r="B1596" s="1">
        <v>8</v>
      </c>
      <c r="C1596" s="1">
        <v>2020</v>
      </c>
      <c r="G1596" s="1" t="s">
        <v>38</v>
      </c>
      <c r="H1596" s="2">
        <v>5.28</v>
      </c>
      <c r="I1596" s="1">
        <v>24</v>
      </c>
      <c r="U1596" s="1">
        <v>27</v>
      </c>
      <c r="X1596" s="1">
        <v>25</v>
      </c>
      <c r="AA1596" s="1">
        <v>1</v>
      </c>
      <c r="AB1596" s="1">
        <v>2</v>
      </c>
      <c r="AC1596" s="1">
        <v>973</v>
      </c>
      <c r="AF1596" s="3">
        <v>4.545454545454545</v>
      </c>
      <c r="AG1596" s="3">
        <v>0.70512550959045406</v>
      </c>
      <c r="AH1596" s="1">
        <v>6293</v>
      </c>
      <c r="AI1596" s="1" t="b">
        <v>1</v>
      </c>
    </row>
    <row r="1597" spans="1:35" x14ac:dyDescent="0.25">
      <c r="A1597" s="1">
        <v>11</v>
      </c>
      <c r="B1597" s="1">
        <v>8</v>
      </c>
      <c r="C1597" s="1">
        <v>2020</v>
      </c>
      <c r="G1597" s="1" t="s">
        <v>38</v>
      </c>
      <c r="H1597" s="2">
        <v>4.13</v>
      </c>
      <c r="I1597" s="1">
        <v>14</v>
      </c>
      <c r="U1597" s="1">
        <v>20</v>
      </c>
      <c r="X1597" s="1">
        <v>17</v>
      </c>
      <c r="AA1597" s="1">
        <v>3</v>
      </c>
      <c r="AB1597" s="1">
        <v>4</v>
      </c>
      <c r="AC1597" s="1">
        <v>720</v>
      </c>
      <c r="AF1597" s="3">
        <v>3.3898305084745766</v>
      </c>
      <c r="AG1597" s="3">
        <v>0.79613561443068626</v>
      </c>
      <c r="AH1597" s="1">
        <v>6293</v>
      </c>
      <c r="AI1597" s="1" t="b">
        <v>1</v>
      </c>
    </row>
    <row r="1598" spans="1:35" x14ac:dyDescent="0.25">
      <c r="A1598" s="1">
        <v>11</v>
      </c>
      <c r="B1598" s="1">
        <v>8</v>
      </c>
      <c r="C1598" s="1">
        <v>2020</v>
      </c>
      <c r="G1598" s="1" t="s">
        <v>38</v>
      </c>
      <c r="H1598" s="2">
        <v>5.41</v>
      </c>
      <c r="I1598" s="1">
        <v>16</v>
      </c>
      <c r="U1598" s="1">
        <v>29</v>
      </c>
      <c r="X1598" s="1">
        <v>20</v>
      </c>
      <c r="AA1598" s="1">
        <v>3</v>
      </c>
      <c r="AB1598" s="1">
        <v>5</v>
      </c>
      <c r="AC1598" s="1">
        <v>1015</v>
      </c>
      <c r="AF1598" s="3">
        <v>2.957486136783734</v>
      </c>
      <c r="AG1598" s="3">
        <v>1.1023394957112929</v>
      </c>
      <c r="AH1598" s="1">
        <v>6293</v>
      </c>
      <c r="AI1598" s="1" t="b">
        <v>1</v>
      </c>
    </row>
    <row r="1599" spans="1:35" x14ac:dyDescent="0.25">
      <c r="A1599" s="1">
        <v>11</v>
      </c>
      <c r="B1599" s="1">
        <v>8</v>
      </c>
      <c r="C1599" s="1">
        <v>2020</v>
      </c>
      <c r="G1599" s="1" t="s">
        <v>38</v>
      </c>
      <c r="H1599" s="2">
        <v>4.45</v>
      </c>
      <c r="I1599" s="1">
        <v>15</v>
      </c>
      <c r="U1599" s="1">
        <v>24</v>
      </c>
      <c r="X1599" s="1">
        <v>21</v>
      </c>
      <c r="AA1599" s="1">
        <v>2</v>
      </c>
      <c r="AB1599" s="1">
        <v>4</v>
      </c>
      <c r="AC1599" s="1">
        <v>814</v>
      </c>
      <c r="AF1599" s="3">
        <v>3.3707865168539324</v>
      </c>
      <c r="AG1599" s="3">
        <v>0.84356928742673931</v>
      </c>
      <c r="AH1599" s="1">
        <v>6293</v>
      </c>
      <c r="AI1599" s="1" t="b">
        <v>1</v>
      </c>
    </row>
    <row r="1600" spans="1:35" x14ac:dyDescent="0.25">
      <c r="A1600" s="1">
        <v>11</v>
      </c>
      <c r="B1600" s="1">
        <v>8</v>
      </c>
      <c r="C1600" s="1">
        <v>2020</v>
      </c>
      <c r="G1600" s="1" t="s">
        <v>38</v>
      </c>
      <c r="H1600" s="2">
        <v>6.38</v>
      </c>
      <c r="I1600" s="1">
        <v>25</v>
      </c>
      <c r="U1600" s="1">
        <v>36</v>
      </c>
      <c r="X1600" s="1">
        <v>33</v>
      </c>
      <c r="AA1600" s="1">
        <v>3</v>
      </c>
      <c r="AB1600" s="1">
        <v>3</v>
      </c>
      <c r="AC1600" s="1">
        <v>1147</v>
      </c>
      <c r="AF1600" s="3">
        <v>3.9184952978056429</v>
      </c>
      <c r="AG1600" s="3">
        <v>0.93380274265258789</v>
      </c>
      <c r="AH1600" s="1">
        <v>6293</v>
      </c>
      <c r="AI1600" s="1" t="b">
        <v>1</v>
      </c>
    </row>
    <row r="1601" spans="1:35" x14ac:dyDescent="0.25">
      <c r="A1601" s="1">
        <v>11</v>
      </c>
      <c r="B1601" s="1">
        <v>8</v>
      </c>
      <c r="C1601" s="1">
        <v>2020</v>
      </c>
      <c r="G1601" s="1" t="s">
        <v>38</v>
      </c>
      <c r="H1601" s="2">
        <v>4.3600000000000003</v>
      </c>
      <c r="I1601" s="1">
        <v>11</v>
      </c>
      <c r="U1601" s="1">
        <v>19</v>
      </c>
      <c r="X1601" s="1">
        <v>17</v>
      </c>
      <c r="AA1601" s="1">
        <v>3</v>
      </c>
      <c r="AB1601" s="1">
        <v>3</v>
      </c>
      <c r="AC1601" s="1">
        <v>647</v>
      </c>
      <c r="AF1601" s="3">
        <v>2.5229357798165135</v>
      </c>
      <c r="AG1601" s="3">
        <v>1.1110519005303814</v>
      </c>
      <c r="AH1601" s="1">
        <v>6293</v>
      </c>
      <c r="AI1601" s="1" t="b">
        <v>1</v>
      </c>
    </row>
    <row r="1602" spans="1:35" x14ac:dyDescent="0.25">
      <c r="A1602" s="1">
        <v>11</v>
      </c>
      <c r="B1602" s="1">
        <v>8</v>
      </c>
      <c r="C1602" s="1">
        <v>2020</v>
      </c>
      <c r="G1602" s="1" t="s">
        <v>38</v>
      </c>
      <c r="H1602" s="2">
        <v>5.47</v>
      </c>
      <c r="I1602" s="1">
        <v>18</v>
      </c>
      <c r="U1602" s="1">
        <v>23</v>
      </c>
      <c r="X1602" s="1">
        <v>22</v>
      </c>
      <c r="AA1602" s="1">
        <v>3</v>
      </c>
      <c r="AB1602" s="1">
        <v>4</v>
      </c>
      <c r="AC1602" s="1">
        <v>903</v>
      </c>
      <c r="AF1602" s="3">
        <v>3.290676416819013</v>
      </c>
      <c r="AG1602" s="3">
        <v>0.99840316633918902</v>
      </c>
      <c r="AH1602" s="1">
        <v>6293</v>
      </c>
      <c r="AI1602" s="1" t="b">
        <v>1</v>
      </c>
    </row>
    <row r="1603" spans="1:35" x14ac:dyDescent="0.25">
      <c r="A1603" s="1">
        <v>11</v>
      </c>
      <c r="B1603" s="1">
        <v>8</v>
      </c>
      <c r="C1603" s="1">
        <v>2020</v>
      </c>
      <c r="G1603" s="1" t="s">
        <v>38</v>
      </c>
      <c r="H1603" s="2">
        <v>4.57</v>
      </c>
      <c r="I1603" s="1">
        <v>16</v>
      </c>
      <c r="U1603" s="1">
        <v>20</v>
      </c>
      <c r="X1603" s="1">
        <v>17</v>
      </c>
      <c r="AA1603" s="1">
        <v>1</v>
      </c>
      <c r="AB1603" s="1">
        <v>3</v>
      </c>
      <c r="AC1603" s="1">
        <v>893</v>
      </c>
      <c r="AF1603" s="3">
        <v>3.5010940919037199</v>
      </c>
      <c r="AG1603" s="3">
        <v>0.82744199248884143</v>
      </c>
      <c r="AH1603" s="1">
        <v>6293</v>
      </c>
      <c r="AI1603" s="1" t="b">
        <v>1</v>
      </c>
    </row>
    <row r="1604" spans="1:35" x14ac:dyDescent="0.25">
      <c r="A1604" s="1">
        <v>11</v>
      </c>
      <c r="B1604" s="1">
        <v>8</v>
      </c>
      <c r="C1604" s="1">
        <v>2020</v>
      </c>
      <c r="G1604" s="1" t="s">
        <v>38</v>
      </c>
      <c r="H1604" s="2">
        <v>5.51</v>
      </c>
      <c r="I1604" s="1">
        <v>20</v>
      </c>
      <c r="U1604" s="1">
        <v>27</v>
      </c>
      <c r="X1604" s="1">
        <v>23</v>
      </c>
      <c r="AA1604" s="1">
        <v>3</v>
      </c>
      <c r="AB1604" s="1">
        <v>2</v>
      </c>
      <c r="AC1604" s="1">
        <v>833</v>
      </c>
      <c r="AF1604" s="3">
        <v>3.6297640653357535</v>
      </c>
      <c r="AG1604" s="3">
        <v>0.90976185258775966</v>
      </c>
      <c r="AH1604" s="1">
        <v>6293</v>
      </c>
      <c r="AI1604" s="1" t="b">
        <v>1</v>
      </c>
    </row>
    <row r="1605" spans="1:35" x14ac:dyDescent="0.25">
      <c r="A1605" s="1">
        <v>15</v>
      </c>
      <c r="B1605" s="1">
        <v>8</v>
      </c>
      <c r="C1605" s="1">
        <v>2020</v>
      </c>
      <c r="G1605" s="1" t="s">
        <v>38</v>
      </c>
      <c r="H1605" s="2">
        <v>6.74</v>
      </c>
      <c r="I1605" s="1">
        <v>15</v>
      </c>
      <c r="U1605" s="1">
        <v>20</v>
      </c>
      <c r="X1605" s="1">
        <v>18</v>
      </c>
      <c r="AA1605" s="1">
        <v>2</v>
      </c>
      <c r="AB1605" s="1">
        <v>4</v>
      </c>
      <c r="AC1605" s="1">
        <v>595</v>
      </c>
      <c r="AF1605" s="3">
        <v>2.2255192878338277</v>
      </c>
      <c r="AG1605" s="3">
        <v>1.7085612998513566</v>
      </c>
      <c r="AH1605" s="1">
        <v>6293</v>
      </c>
      <c r="AI1605" s="1" t="b">
        <v>1</v>
      </c>
    </row>
    <row r="1606" spans="1:35" x14ac:dyDescent="0.25">
      <c r="A1606" s="1">
        <v>19</v>
      </c>
      <c r="B1606" s="1">
        <v>8</v>
      </c>
      <c r="C1606" s="1">
        <v>2020</v>
      </c>
      <c r="G1606" s="1" t="s">
        <v>38</v>
      </c>
      <c r="H1606" s="2">
        <v>4.59</v>
      </c>
      <c r="I1606" s="1">
        <v>12</v>
      </c>
      <c r="U1606" s="1">
        <v>23</v>
      </c>
      <c r="X1606" s="1">
        <v>20</v>
      </c>
      <c r="AA1606" s="1">
        <v>4</v>
      </c>
      <c r="AB1606" s="1">
        <v>3</v>
      </c>
      <c r="AC1606" s="1">
        <v>795</v>
      </c>
      <c r="AF1606" s="3">
        <v>2.6143790849673203</v>
      </c>
      <c r="AG1606" s="3">
        <v>1.1114765884031261</v>
      </c>
      <c r="AH1606" s="1">
        <v>6294</v>
      </c>
      <c r="AI1606" s="1" t="b">
        <v>1</v>
      </c>
    </row>
    <row r="1607" spans="1:35" x14ac:dyDescent="0.25">
      <c r="A1607" s="1">
        <v>19</v>
      </c>
      <c r="B1607" s="1">
        <v>8</v>
      </c>
      <c r="C1607" s="1">
        <v>2020</v>
      </c>
      <c r="G1607" s="1" t="s">
        <v>38</v>
      </c>
      <c r="H1607" s="2">
        <v>6.86</v>
      </c>
      <c r="I1607" s="1">
        <v>24</v>
      </c>
      <c r="U1607" s="1">
        <v>35</v>
      </c>
      <c r="X1607" s="1">
        <v>30</v>
      </c>
      <c r="AA1607" s="1">
        <v>3</v>
      </c>
      <c r="AB1607" s="1">
        <v>4</v>
      </c>
      <c r="AC1607" s="1">
        <v>994</v>
      </c>
      <c r="AF1607" s="3">
        <v>3.4985422740524781</v>
      </c>
      <c r="AG1607" s="3">
        <v>1.1003725679619734</v>
      </c>
      <c r="AH1607" s="1">
        <v>6294</v>
      </c>
      <c r="AI1607" s="1" t="b">
        <v>1</v>
      </c>
    </row>
    <row r="1608" spans="1:35" x14ac:dyDescent="0.25">
      <c r="A1608" s="1">
        <v>19</v>
      </c>
      <c r="B1608" s="1">
        <v>8</v>
      </c>
      <c r="C1608" s="1">
        <v>2020</v>
      </c>
      <c r="G1608" s="1" t="s">
        <v>38</v>
      </c>
      <c r="H1608" s="2">
        <v>6.44</v>
      </c>
      <c r="I1608" s="1">
        <v>22</v>
      </c>
      <c r="U1608" s="1">
        <v>33</v>
      </c>
      <c r="X1608" s="1">
        <v>29</v>
      </c>
      <c r="AA1608" s="1">
        <v>3</v>
      </c>
      <c r="AB1608" s="1">
        <v>2</v>
      </c>
      <c r="AC1608" s="1">
        <v>945</v>
      </c>
      <c r="AF1608" s="3">
        <v>3.4161490683229814</v>
      </c>
      <c r="AG1608" s="3">
        <v>1.0781601944575625</v>
      </c>
      <c r="AH1608" s="1">
        <v>6294</v>
      </c>
      <c r="AI1608" s="1" t="b">
        <v>1</v>
      </c>
    </row>
    <row r="1609" spans="1:35" x14ac:dyDescent="0.25">
      <c r="A1609" s="1">
        <v>19</v>
      </c>
      <c r="B1609" s="1">
        <v>8</v>
      </c>
      <c r="C1609" s="1">
        <v>2020</v>
      </c>
      <c r="G1609" s="1" t="s">
        <v>38</v>
      </c>
      <c r="H1609" s="2">
        <v>3.85</v>
      </c>
      <c r="I1609" s="1">
        <v>14</v>
      </c>
      <c r="U1609" s="1">
        <v>20</v>
      </c>
      <c r="X1609" s="1">
        <v>18</v>
      </c>
      <c r="AA1609" s="1">
        <v>3</v>
      </c>
      <c r="AB1609" s="1">
        <v>3</v>
      </c>
      <c r="AC1609" s="1">
        <v>590</v>
      </c>
      <c r="AF1609" s="3">
        <v>3.6363636363636362</v>
      </c>
      <c r="AG1609" s="3">
        <v>0.70657001716129886</v>
      </c>
      <c r="AH1609" s="1">
        <v>6294</v>
      </c>
      <c r="AI1609" s="1" t="b">
        <v>1</v>
      </c>
    </row>
    <row r="1610" spans="1:35" x14ac:dyDescent="0.25">
      <c r="A1610" s="1">
        <v>19</v>
      </c>
      <c r="B1610" s="1">
        <v>8</v>
      </c>
      <c r="C1610" s="1">
        <v>2020</v>
      </c>
      <c r="G1610" s="1" t="s">
        <v>38</v>
      </c>
      <c r="H1610" s="2">
        <v>3.21</v>
      </c>
      <c r="I1610" s="1">
        <v>8</v>
      </c>
      <c r="U1610" s="1">
        <v>14</v>
      </c>
      <c r="X1610" s="1">
        <v>10</v>
      </c>
      <c r="AA1610" s="1">
        <v>2</v>
      </c>
      <c r="AB1610" s="1">
        <v>2</v>
      </c>
      <c r="AC1610" s="1">
        <v>487</v>
      </c>
      <c r="AF1610" s="3">
        <v>2.4922118380062304</v>
      </c>
      <c r="AG1610" s="3">
        <v>0.90775482937821705</v>
      </c>
      <c r="AH1610" s="1">
        <v>6294</v>
      </c>
      <c r="AI1610" s="1" t="b">
        <v>1</v>
      </c>
    </row>
    <row r="1611" spans="1:35" x14ac:dyDescent="0.25">
      <c r="A1611" s="1">
        <v>19</v>
      </c>
      <c r="B1611" s="1">
        <v>8</v>
      </c>
      <c r="C1611" s="1">
        <v>2020</v>
      </c>
      <c r="G1611" s="1" t="s">
        <v>38</v>
      </c>
      <c r="H1611" s="2">
        <v>7.02</v>
      </c>
      <c r="I1611" s="1">
        <v>25</v>
      </c>
      <c r="U1611" s="1">
        <v>33</v>
      </c>
      <c r="X1611" s="1">
        <v>30</v>
      </c>
      <c r="AA1611" s="1">
        <v>3</v>
      </c>
      <c r="AB1611" s="1">
        <v>3</v>
      </c>
      <c r="AC1611" s="1">
        <v>970</v>
      </c>
      <c r="AF1611" s="3">
        <v>3.5612535612535616</v>
      </c>
      <c r="AG1611" s="3">
        <v>1.0985835253746044</v>
      </c>
      <c r="AH1611" s="1">
        <v>6294</v>
      </c>
      <c r="AI1611" s="1" t="b">
        <v>1</v>
      </c>
    </row>
    <row r="1612" spans="1:35" x14ac:dyDescent="0.25">
      <c r="A1612" s="1">
        <v>27</v>
      </c>
      <c r="B1612" s="1">
        <v>8</v>
      </c>
      <c r="C1612" s="1">
        <v>2020</v>
      </c>
      <c r="G1612" s="1" t="s">
        <v>38</v>
      </c>
      <c r="H1612" s="2">
        <v>4.97</v>
      </c>
      <c r="I1612" s="1">
        <v>16</v>
      </c>
      <c r="U1612" s="1">
        <v>24</v>
      </c>
      <c r="X1612" s="1">
        <v>20</v>
      </c>
      <c r="AA1612" s="1">
        <v>2</v>
      </c>
      <c r="AB1612" s="1">
        <v>3</v>
      </c>
      <c r="AC1612" s="1">
        <v>795</v>
      </c>
      <c r="AF1612" s="3">
        <v>3.2193158953722336</v>
      </c>
      <c r="AG1612" s="3">
        <v>0.95430209708004787</v>
      </c>
      <c r="AH1612" s="1">
        <v>6295</v>
      </c>
      <c r="AI1612" s="1" t="b">
        <v>1</v>
      </c>
    </row>
    <row r="1613" spans="1:35" x14ac:dyDescent="0.25">
      <c r="A1613" s="1">
        <v>27</v>
      </c>
      <c r="B1613" s="1">
        <v>8</v>
      </c>
      <c r="C1613" s="1">
        <v>2020</v>
      </c>
      <c r="G1613" s="1" t="s">
        <v>38</v>
      </c>
      <c r="H1613" s="2">
        <v>6.46</v>
      </c>
      <c r="I1613" s="1">
        <v>21</v>
      </c>
      <c r="U1613" s="1">
        <v>30</v>
      </c>
      <c r="X1613" s="1">
        <v>25</v>
      </c>
      <c r="AA1613" s="1">
        <v>3</v>
      </c>
      <c r="AB1613" s="1">
        <v>3</v>
      </c>
      <c r="AC1613" s="1">
        <v>910</v>
      </c>
      <c r="AF1613" s="3">
        <v>3.2507739938080498</v>
      </c>
      <c r="AG1613" s="3">
        <v>1.135470840693267</v>
      </c>
      <c r="AH1613" s="1">
        <v>6295</v>
      </c>
      <c r="AI1613" s="1" t="b">
        <v>1</v>
      </c>
    </row>
    <row r="1614" spans="1:35" x14ac:dyDescent="0.25">
      <c r="A1614" s="1">
        <v>27</v>
      </c>
      <c r="B1614" s="1">
        <v>8</v>
      </c>
      <c r="C1614" s="1">
        <v>2020</v>
      </c>
      <c r="G1614" s="1" t="s">
        <v>38</v>
      </c>
      <c r="H1614" s="2">
        <v>4.8099999999999996</v>
      </c>
      <c r="I1614" s="1">
        <v>13</v>
      </c>
      <c r="U1614" s="1">
        <v>24</v>
      </c>
      <c r="X1614" s="1">
        <v>19</v>
      </c>
      <c r="AA1614" s="1">
        <v>4</v>
      </c>
      <c r="AB1614" s="1">
        <v>3</v>
      </c>
      <c r="AC1614" s="1">
        <v>744</v>
      </c>
      <c r="AF1614" s="3">
        <v>2.7027027027027031</v>
      </c>
      <c r="AG1614" s="3">
        <v>1.1109724196351451</v>
      </c>
      <c r="AH1614" s="1">
        <v>6295</v>
      </c>
      <c r="AI1614" s="1" t="b">
        <v>1</v>
      </c>
    </row>
    <row r="1615" spans="1:35" x14ac:dyDescent="0.25">
      <c r="A1615" s="1">
        <v>27</v>
      </c>
      <c r="B1615" s="1">
        <v>8</v>
      </c>
      <c r="C1615" s="1">
        <v>2020</v>
      </c>
      <c r="G1615" s="1" t="s">
        <v>38</v>
      </c>
      <c r="H1615" s="2">
        <v>6.23</v>
      </c>
      <c r="I1615" s="1">
        <v>23</v>
      </c>
      <c r="U1615" s="1">
        <v>35</v>
      </c>
      <c r="X1615" s="1">
        <v>30</v>
      </c>
      <c r="AA1615" s="1">
        <v>3</v>
      </c>
      <c r="AB1615" s="1">
        <v>4</v>
      </c>
      <c r="AC1615" s="1">
        <v>1083</v>
      </c>
      <c r="AF1615" s="3">
        <v>3.6918138041733544</v>
      </c>
      <c r="AG1615" s="3">
        <v>0.97476930116631866</v>
      </c>
      <c r="AH1615" s="1">
        <v>6295</v>
      </c>
      <c r="AI1615" s="1" t="b">
        <v>1</v>
      </c>
    </row>
    <row r="1616" spans="1:35" x14ac:dyDescent="0.25">
      <c r="A1616" s="1">
        <v>16</v>
      </c>
      <c r="B1616" s="1">
        <v>9</v>
      </c>
      <c r="C1616" s="1">
        <v>2020</v>
      </c>
      <c r="G1616" s="1" t="s">
        <v>38</v>
      </c>
      <c r="H1616" s="2">
        <v>4.83</v>
      </c>
      <c r="I1616" s="1">
        <v>12</v>
      </c>
      <c r="U1616" s="1">
        <v>22</v>
      </c>
      <c r="X1616" s="1">
        <v>19</v>
      </c>
      <c r="AA1616" s="1">
        <v>4</v>
      </c>
      <c r="AB1616" s="1">
        <v>5</v>
      </c>
      <c r="AC1616" s="1">
        <v>846</v>
      </c>
      <c r="AF1616" s="3">
        <v>2.4844720496894408</v>
      </c>
      <c r="AG1616" s="3">
        <v>1.2120732768195761</v>
      </c>
      <c r="AH1616" s="1">
        <v>6298</v>
      </c>
      <c r="AI1616" s="1" t="b">
        <v>1</v>
      </c>
    </row>
    <row r="1617" spans="1:35" x14ac:dyDescent="0.25">
      <c r="A1617" s="1">
        <v>16</v>
      </c>
      <c r="B1617" s="1">
        <v>9</v>
      </c>
      <c r="C1617" s="1">
        <v>2020</v>
      </c>
      <c r="G1617" s="1" t="s">
        <v>38</v>
      </c>
      <c r="H1617" s="2">
        <v>4.79</v>
      </c>
      <c r="I1617" s="1">
        <v>13</v>
      </c>
      <c r="U1617" s="1">
        <v>22</v>
      </c>
      <c r="X1617" s="1">
        <v>18</v>
      </c>
      <c r="AA1617" s="1">
        <v>2</v>
      </c>
      <c r="AB1617" s="1">
        <v>5</v>
      </c>
      <c r="AC1617" s="1">
        <v>629</v>
      </c>
      <c r="AF1617" s="3">
        <v>2.7139874739039667</v>
      </c>
      <c r="AG1617" s="3">
        <v>1.1031308254174501</v>
      </c>
      <c r="AH1617" s="1">
        <v>6298</v>
      </c>
      <c r="AI1617" s="1" t="b">
        <v>1</v>
      </c>
    </row>
    <row r="1618" spans="1:35" x14ac:dyDescent="0.25">
      <c r="A1618" s="1">
        <v>16</v>
      </c>
      <c r="B1618" s="1">
        <v>9</v>
      </c>
      <c r="C1618" s="1">
        <v>2020</v>
      </c>
      <c r="G1618" s="1" t="s">
        <v>38</v>
      </c>
      <c r="H1618" s="2">
        <v>5.47</v>
      </c>
      <c r="I1618" s="1">
        <v>16</v>
      </c>
      <c r="U1618" s="1">
        <v>23</v>
      </c>
      <c r="X1618" s="1">
        <v>20</v>
      </c>
      <c r="AA1618" s="1">
        <v>2</v>
      </c>
      <c r="AB1618" s="1">
        <v>3</v>
      </c>
      <c r="AC1618" s="1">
        <v>763</v>
      </c>
      <c r="AF1618" s="3">
        <v>2.9250457038391224</v>
      </c>
      <c r="AG1618" s="3">
        <v>1.1232035621315877</v>
      </c>
      <c r="AH1618" s="1">
        <v>6298</v>
      </c>
      <c r="AI1618" s="1" t="b">
        <v>1</v>
      </c>
    </row>
    <row r="1619" spans="1:35" x14ac:dyDescent="0.25">
      <c r="A1619" s="1">
        <v>19</v>
      </c>
      <c r="B1619" s="1">
        <v>9</v>
      </c>
      <c r="C1619" s="1">
        <v>2020</v>
      </c>
      <c r="G1619" s="1" t="s">
        <v>38</v>
      </c>
      <c r="H1619" s="2">
        <v>6.47</v>
      </c>
      <c r="I1619" s="1">
        <v>21</v>
      </c>
      <c r="U1619" s="1">
        <v>33</v>
      </c>
      <c r="X1619" s="1">
        <v>27</v>
      </c>
      <c r="AA1619" s="1">
        <v>3</v>
      </c>
      <c r="AB1619" s="1">
        <v>3</v>
      </c>
      <c r="AC1619" s="1">
        <v>1115</v>
      </c>
      <c r="AF1619" s="3">
        <v>3.2457496136012365</v>
      </c>
      <c r="AG1619" s="3">
        <v>1.1384605405319246</v>
      </c>
      <c r="AH1619" s="1">
        <v>6298</v>
      </c>
      <c r="AI1619" s="1" t="b">
        <v>1</v>
      </c>
    </row>
    <row r="1620" spans="1:35" x14ac:dyDescent="0.25">
      <c r="A1620" s="1">
        <v>19</v>
      </c>
      <c r="B1620" s="1">
        <v>9</v>
      </c>
      <c r="C1620" s="1">
        <v>2020</v>
      </c>
      <c r="G1620" s="1" t="s">
        <v>38</v>
      </c>
      <c r="H1620" s="2">
        <v>3.4</v>
      </c>
      <c r="I1620" s="1">
        <v>12</v>
      </c>
      <c r="U1620" s="1">
        <v>17</v>
      </c>
      <c r="X1620" s="1">
        <v>14</v>
      </c>
      <c r="AA1620" s="1">
        <v>2</v>
      </c>
      <c r="AB1620" s="1">
        <v>3</v>
      </c>
      <c r="AC1620" s="1">
        <v>635</v>
      </c>
      <c r="AF1620" s="3">
        <v>3.5294117647058822</v>
      </c>
      <c r="AG1620" s="3">
        <v>0.6673181127978588</v>
      </c>
      <c r="AH1620" s="1">
        <v>6298</v>
      </c>
      <c r="AI1620" s="1" t="b">
        <v>1</v>
      </c>
    </row>
    <row r="1621" spans="1:35" x14ac:dyDescent="0.25">
      <c r="A1621" s="1">
        <v>19</v>
      </c>
      <c r="B1621" s="1">
        <v>9</v>
      </c>
      <c r="C1621" s="1">
        <v>2020</v>
      </c>
      <c r="G1621" s="1" t="s">
        <v>38</v>
      </c>
      <c r="H1621" s="2">
        <v>6.04</v>
      </c>
      <c r="I1621" s="1">
        <v>29</v>
      </c>
      <c r="U1621" s="1">
        <v>36</v>
      </c>
      <c r="X1621" s="1">
        <v>31</v>
      </c>
      <c r="AA1621" s="1">
        <v>2</v>
      </c>
      <c r="AB1621" s="1">
        <v>2</v>
      </c>
      <c r="AC1621" s="1">
        <v>1068</v>
      </c>
      <c r="AF1621" s="3">
        <v>4.8013245033112586</v>
      </c>
      <c r="AG1621" s="3">
        <v>0.73344034813385317</v>
      </c>
      <c r="AH1621" s="1">
        <v>6298</v>
      </c>
      <c r="AI1621" s="1" t="b">
        <v>1</v>
      </c>
    </row>
    <row r="1622" spans="1:35" x14ac:dyDescent="0.25">
      <c r="A1622" s="1">
        <v>19</v>
      </c>
      <c r="B1622" s="1">
        <v>9</v>
      </c>
      <c r="C1622" s="1">
        <v>2020</v>
      </c>
      <c r="G1622" s="1" t="s">
        <v>38</v>
      </c>
      <c r="H1622" s="2">
        <v>5.35</v>
      </c>
      <c r="I1622" s="1">
        <v>17</v>
      </c>
      <c r="U1622" s="1">
        <v>22</v>
      </c>
      <c r="X1622" s="1">
        <v>21</v>
      </c>
      <c r="AA1622" s="1">
        <v>2</v>
      </c>
      <c r="AB1622" s="1">
        <v>2</v>
      </c>
      <c r="AC1622" s="1">
        <v>1120</v>
      </c>
      <c r="AF1622" s="3">
        <v>3.1775700934579443</v>
      </c>
      <c r="AG1622" s="3">
        <v>1.0180110874637476</v>
      </c>
      <c r="AH1622" s="1">
        <v>6298</v>
      </c>
      <c r="AI1622" s="1" t="b">
        <v>1</v>
      </c>
    </row>
    <row r="1623" spans="1:35" x14ac:dyDescent="0.25">
      <c r="A1623" s="1">
        <v>19</v>
      </c>
      <c r="B1623" s="1">
        <v>9</v>
      </c>
      <c r="C1623" s="1">
        <v>2020</v>
      </c>
      <c r="G1623" s="1" t="s">
        <v>38</v>
      </c>
      <c r="H1623" s="2">
        <v>4.3600000000000003</v>
      </c>
      <c r="I1623" s="1">
        <v>10</v>
      </c>
      <c r="U1623" s="1">
        <v>17</v>
      </c>
      <c r="X1623" s="1">
        <v>14</v>
      </c>
      <c r="AA1623" s="1">
        <v>2</v>
      </c>
      <c r="AB1623" s="1">
        <v>3</v>
      </c>
      <c r="AC1623" s="1">
        <v>570</v>
      </c>
      <c r="AF1623" s="3">
        <v>2.2935779816513762</v>
      </c>
      <c r="AG1623" s="3">
        <v>1.2221570905834196</v>
      </c>
      <c r="AH1623" s="1">
        <v>6298</v>
      </c>
      <c r="AI1623" s="1" t="b">
        <v>1</v>
      </c>
    </row>
    <row r="1624" spans="1:35" x14ac:dyDescent="0.25">
      <c r="A1624" s="1">
        <v>19</v>
      </c>
      <c r="B1624" s="1">
        <v>9</v>
      </c>
      <c r="C1624" s="1">
        <v>2020</v>
      </c>
      <c r="G1624" s="1" t="s">
        <v>38</v>
      </c>
      <c r="H1624" s="2">
        <v>5.44</v>
      </c>
      <c r="I1624" s="1">
        <v>18</v>
      </c>
      <c r="U1624" s="1">
        <v>26</v>
      </c>
      <c r="X1624" s="1">
        <v>23</v>
      </c>
      <c r="AA1624" s="1">
        <v>3</v>
      </c>
      <c r="AB1624" s="1">
        <v>4</v>
      </c>
      <c r="AC1624" s="1">
        <v>825</v>
      </c>
      <c r="AF1624" s="3">
        <v>3.3088235294117645</v>
      </c>
      <c r="AG1624" s="3">
        <v>0.98911234979723384</v>
      </c>
      <c r="AH1624" s="1">
        <v>6298</v>
      </c>
      <c r="AI1624" s="1" t="b">
        <v>1</v>
      </c>
    </row>
    <row r="1625" spans="1:35" x14ac:dyDescent="0.25">
      <c r="A1625" s="1">
        <v>19</v>
      </c>
      <c r="B1625" s="1">
        <v>9</v>
      </c>
      <c r="C1625" s="1">
        <v>2020</v>
      </c>
      <c r="G1625" s="1" t="s">
        <v>38</v>
      </c>
      <c r="H1625" s="2">
        <v>4.0599999999999996</v>
      </c>
      <c r="I1625" s="1">
        <v>13</v>
      </c>
      <c r="U1625" s="1">
        <v>18</v>
      </c>
      <c r="X1625" s="1">
        <v>16</v>
      </c>
      <c r="AA1625" s="1">
        <v>2</v>
      </c>
      <c r="AB1625" s="1">
        <v>5</v>
      </c>
      <c r="AC1625" s="1">
        <v>611</v>
      </c>
      <c r="AF1625" s="3">
        <v>3.201970443349754</v>
      </c>
      <c r="AG1625" s="3">
        <v>0.83281953718669643</v>
      </c>
      <c r="AH1625" s="1">
        <v>6298</v>
      </c>
      <c r="AI1625" s="1" t="b">
        <v>1</v>
      </c>
    </row>
    <row r="1626" spans="1:35" x14ac:dyDescent="0.25">
      <c r="A1626" s="1">
        <v>19</v>
      </c>
      <c r="B1626" s="1">
        <v>9</v>
      </c>
      <c r="C1626" s="1">
        <v>2020</v>
      </c>
      <c r="G1626" s="1" t="s">
        <v>38</v>
      </c>
      <c r="H1626" s="2">
        <v>4.5999999999999996</v>
      </c>
      <c r="I1626" s="1">
        <v>16</v>
      </c>
      <c r="U1626" s="1">
        <v>25</v>
      </c>
      <c r="X1626" s="1">
        <v>23</v>
      </c>
      <c r="AA1626" s="1">
        <v>3</v>
      </c>
      <c r="AB1626" s="1">
        <v>4</v>
      </c>
      <c r="AC1626" s="1">
        <v>878</v>
      </c>
      <c r="AF1626" s="3">
        <v>3.4782608695652177</v>
      </c>
      <c r="AG1626" s="3">
        <v>0.83669723001082796</v>
      </c>
      <c r="AH1626" s="1">
        <v>6298</v>
      </c>
      <c r="AI1626" s="1" t="b">
        <v>1</v>
      </c>
    </row>
    <row r="1627" spans="1:35" x14ac:dyDescent="0.25">
      <c r="A1627" s="1">
        <v>19</v>
      </c>
      <c r="B1627" s="1">
        <v>9</v>
      </c>
      <c r="C1627" s="1">
        <v>2020</v>
      </c>
      <c r="G1627" s="1" t="s">
        <v>38</v>
      </c>
      <c r="H1627" s="2">
        <v>3.69</v>
      </c>
      <c r="I1627" s="1">
        <v>18</v>
      </c>
      <c r="U1627" s="1">
        <v>19</v>
      </c>
      <c r="X1627" s="1">
        <v>18</v>
      </c>
      <c r="AA1627" s="1">
        <v>1</v>
      </c>
      <c r="AB1627" s="1">
        <v>1</v>
      </c>
      <c r="AC1627" s="1">
        <v>613</v>
      </c>
      <c r="AF1627" s="3">
        <v>4.8780487804878048</v>
      </c>
      <c r="AG1627" s="3">
        <v>0.5112959084348383</v>
      </c>
      <c r="AH1627" s="1">
        <v>6298</v>
      </c>
      <c r="AI1627" s="1" t="b">
        <v>1</v>
      </c>
    </row>
    <row r="1628" spans="1:35" x14ac:dyDescent="0.25">
      <c r="A1628" s="1">
        <v>19</v>
      </c>
      <c r="B1628" s="1">
        <v>9</v>
      </c>
      <c r="C1628" s="1">
        <v>2020</v>
      </c>
      <c r="G1628" s="1" t="s">
        <v>38</v>
      </c>
      <c r="H1628" s="2">
        <v>5.18</v>
      </c>
      <c r="I1628" s="1">
        <v>15</v>
      </c>
      <c r="U1628" s="1">
        <v>25</v>
      </c>
      <c r="X1628" s="1">
        <v>19</v>
      </c>
      <c r="AA1628" s="1">
        <v>3</v>
      </c>
      <c r="AB1628" s="1">
        <v>2</v>
      </c>
      <c r="AC1628" s="1">
        <v>913</v>
      </c>
      <c r="AF1628" s="3">
        <v>2.8957528957528957</v>
      </c>
      <c r="AG1628" s="3">
        <v>1.0921174151341573</v>
      </c>
      <c r="AH1628" s="1">
        <v>6298</v>
      </c>
      <c r="AI1628" s="1" t="b">
        <v>1</v>
      </c>
    </row>
    <row r="1629" spans="1:35" x14ac:dyDescent="0.25">
      <c r="A1629" s="1">
        <v>19</v>
      </c>
      <c r="B1629" s="1">
        <v>9</v>
      </c>
      <c r="C1629" s="1">
        <v>2020</v>
      </c>
      <c r="G1629" s="1" t="s">
        <v>38</v>
      </c>
      <c r="H1629" s="2">
        <v>4.79</v>
      </c>
      <c r="I1629" s="1">
        <v>14</v>
      </c>
      <c r="U1629" s="1">
        <v>24</v>
      </c>
      <c r="X1629" s="1">
        <v>20</v>
      </c>
      <c r="AA1629" s="1">
        <v>3</v>
      </c>
      <c r="AB1629" s="1">
        <v>4</v>
      </c>
      <c r="AC1629" s="1">
        <v>864</v>
      </c>
      <c r="AF1629" s="3">
        <v>2.9227557411273488</v>
      </c>
      <c r="AG1629" s="3">
        <v>1.0243357664590609</v>
      </c>
      <c r="AH1629" s="1">
        <v>6298</v>
      </c>
      <c r="AI1629" s="1" t="b">
        <v>1</v>
      </c>
    </row>
    <row r="1630" spans="1:35" x14ac:dyDescent="0.25">
      <c r="A1630" s="1">
        <v>19</v>
      </c>
      <c r="B1630" s="1">
        <v>9</v>
      </c>
      <c r="C1630" s="1">
        <v>2020</v>
      </c>
      <c r="G1630" s="1" t="s">
        <v>38</v>
      </c>
      <c r="H1630" s="2">
        <v>5.04</v>
      </c>
      <c r="I1630" s="1">
        <v>14</v>
      </c>
      <c r="U1630" s="1">
        <v>24</v>
      </c>
      <c r="X1630" s="1">
        <v>18</v>
      </c>
      <c r="AA1630" s="1">
        <v>2</v>
      </c>
      <c r="AB1630" s="1">
        <v>3</v>
      </c>
      <c r="AC1630" s="1">
        <v>995</v>
      </c>
      <c r="AF1630" s="3">
        <v>2.7777777777777777</v>
      </c>
      <c r="AG1630" s="3">
        <v>1.1168732163461936</v>
      </c>
      <c r="AH1630" s="1">
        <v>6298</v>
      </c>
      <c r="AI1630" s="1" t="b">
        <v>1</v>
      </c>
    </row>
    <row r="1631" spans="1:35" x14ac:dyDescent="0.25">
      <c r="A1631" s="1">
        <v>19</v>
      </c>
      <c r="B1631" s="1">
        <v>9</v>
      </c>
      <c r="C1631" s="1">
        <v>2020</v>
      </c>
      <c r="G1631" s="1" t="s">
        <v>38</v>
      </c>
      <c r="H1631" s="2">
        <v>4.4800000000000004</v>
      </c>
      <c r="I1631" s="1">
        <v>11</v>
      </c>
      <c r="U1631" s="1">
        <v>17</v>
      </c>
      <c r="X1631" s="1">
        <v>14</v>
      </c>
      <c r="AA1631" s="1">
        <v>2</v>
      </c>
      <c r="AB1631" s="1">
        <v>4</v>
      </c>
      <c r="AC1631" s="1">
        <v>843</v>
      </c>
      <c r="AF1631" s="3">
        <v>2.4553571428571428</v>
      </c>
      <c r="AG1631" s="3">
        <v>1.1635363045205576</v>
      </c>
      <c r="AH1631" s="1">
        <v>6298</v>
      </c>
      <c r="AI1631" s="1" t="b">
        <v>1</v>
      </c>
    </row>
    <row r="1632" spans="1:35" x14ac:dyDescent="0.25">
      <c r="A1632" s="1">
        <v>19</v>
      </c>
      <c r="B1632" s="1">
        <v>9</v>
      </c>
      <c r="C1632" s="1">
        <v>2020</v>
      </c>
      <c r="G1632" s="1" t="s">
        <v>38</v>
      </c>
      <c r="H1632" s="2">
        <v>3.6</v>
      </c>
      <c r="I1632" s="1">
        <v>13</v>
      </c>
      <c r="U1632" s="1">
        <v>20</v>
      </c>
      <c r="X1632" s="1">
        <v>14</v>
      </c>
      <c r="AA1632" s="1">
        <v>2</v>
      </c>
      <c r="AB1632" s="1">
        <v>1</v>
      </c>
      <c r="AC1632" s="1">
        <v>454</v>
      </c>
      <c r="AF1632" s="3">
        <v>3.6111111111111112</v>
      </c>
      <c r="AG1632" s="3">
        <v>0.67884543051298252</v>
      </c>
      <c r="AH1632" s="1">
        <v>6298</v>
      </c>
      <c r="AI1632" s="1" t="b">
        <v>1</v>
      </c>
    </row>
    <row r="1633" spans="1:35" x14ac:dyDescent="0.25">
      <c r="A1633" s="1">
        <v>19</v>
      </c>
      <c r="B1633" s="1">
        <v>9</v>
      </c>
      <c r="C1633" s="1">
        <v>2020</v>
      </c>
      <c r="G1633" s="1" t="s">
        <v>38</v>
      </c>
      <c r="H1633" s="2">
        <v>4.37</v>
      </c>
      <c r="I1633" s="1">
        <v>11</v>
      </c>
      <c r="U1633" s="1">
        <v>21</v>
      </c>
      <c r="X1633" s="1">
        <v>17</v>
      </c>
      <c r="AA1633" s="1">
        <v>4</v>
      </c>
      <c r="AB1633" s="1">
        <v>4</v>
      </c>
      <c r="AC1633" s="1">
        <v>723</v>
      </c>
      <c r="AF1633" s="3">
        <v>2.5171624713958809</v>
      </c>
      <c r="AG1633" s="3">
        <v>1.1153874604214045</v>
      </c>
      <c r="AH1633" s="1">
        <v>6298</v>
      </c>
      <c r="AI1633" s="1" t="b">
        <v>1</v>
      </c>
    </row>
    <row r="1634" spans="1:35" x14ac:dyDescent="0.25">
      <c r="A1634" s="1">
        <v>19</v>
      </c>
      <c r="B1634" s="1">
        <v>9</v>
      </c>
      <c r="C1634" s="1">
        <v>2020</v>
      </c>
      <c r="G1634" s="1" t="s">
        <v>38</v>
      </c>
      <c r="H1634" s="2">
        <v>4.33</v>
      </c>
      <c r="I1634" s="1">
        <v>12</v>
      </c>
      <c r="U1634" s="1">
        <v>19</v>
      </c>
      <c r="X1634" s="1">
        <v>17</v>
      </c>
      <c r="AA1634" s="1">
        <v>3</v>
      </c>
      <c r="AB1634" s="1">
        <v>3</v>
      </c>
      <c r="AC1634" s="1">
        <v>586</v>
      </c>
      <c r="AF1634" s="3">
        <v>2.7713625866050808</v>
      </c>
      <c r="AG1634" s="3">
        <v>1.0065797235320009</v>
      </c>
      <c r="AH1634" s="1">
        <v>6298</v>
      </c>
      <c r="AI1634" s="1" t="b">
        <v>1</v>
      </c>
    </row>
    <row r="1635" spans="1:35" x14ac:dyDescent="0.25">
      <c r="A1635" s="1">
        <v>19</v>
      </c>
      <c r="B1635" s="1">
        <v>9</v>
      </c>
      <c r="C1635" s="1">
        <v>2020</v>
      </c>
      <c r="G1635" s="1" t="s">
        <v>38</v>
      </c>
      <c r="H1635" s="2">
        <v>4.4800000000000004</v>
      </c>
      <c r="I1635" s="1">
        <v>11</v>
      </c>
      <c r="U1635" s="1">
        <v>26</v>
      </c>
      <c r="X1635" s="1">
        <v>16</v>
      </c>
      <c r="AA1635" s="1">
        <v>3</v>
      </c>
      <c r="AB1635" s="1">
        <v>2</v>
      </c>
      <c r="AC1635" s="1">
        <v>915</v>
      </c>
      <c r="AF1635" s="3">
        <v>2.4553571428571428</v>
      </c>
      <c r="AG1635" s="3">
        <v>1.1635363045205576</v>
      </c>
      <c r="AH1635" s="1">
        <v>6298</v>
      </c>
      <c r="AI1635" s="1" t="b">
        <v>1</v>
      </c>
    </row>
    <row r="1636" spans="1:35" x14ac:dyDescent="0.25">
      <c r="A1636" s="1">
        <v>19</v>
      </c>
      <c r="B1636" s="1">
        <v>9</v>
      </c>
      <c r="C1636" s="1">
        <v>2020</v>
      </c>
      <c r="G1636" s="1" t="s">
        <v>38</v>
      </c>
      <c r="H1636" s="2">
        <v>5.05</v>
      </c>
      <c r="I1636" s="1">
        <v>15</v>
      </c>
      <c r="U1636" s="1">
        <v>22</v>
      </c>
      <c r="X1636" s="1">
        <v>20</v>
      </c>
      <c r="AA1636" s="1">
        <v>2</v>
      </c>
      <c r="AB1636" s="1">
        <v>3</v>
      </c>
      <c r="AC1636" s="1">
        <v>833</v>
      </c>
      <c r="AF1636" s="3">
        <v>2.9702970297029703</v>
      </c>
      <c r="AG1636" s="3">
        <v>1.0459335255105662</v>
      </c>
      <c r="AH1636" s="1">
        <v>6298</v>
      </c>
      <c r="AI1636" s="1" t="b">
        <v>1</v>
      </c>
    </row>
    <row r="1637" spans="1:35" x14ac:dyDescent="0.25">
      <c r="A1637" s="1">
        <v>19</v>
      </c>
      <c r="B1637" s="1">
        <v>9</v>
      </c>
      <c r="C1637" s="1">
        <v>2020</v>
      </c>
      <c r="G1637" s="1" t="s">
        <v>38</v>
      </c>
      <c r="H1637" s="2">
        <v>3.95</v>
      </c>
      <c r="I1637" s="1">
        <v>16</v>
      </c>
      <c r="U1637" s="1">
        <v>20</v>
      </c>
      <c r="X1637" s="1">
        <v>20</v>
      </c>
      <c r="AA1637" s="1">
        <v>2</v>
      </c>
      <c r="AB1637" s="1">
        <v>3</v>
      </c>
      <c r="AC1637" s="1">
        <v>594</v>
      </c>
      <c r="AF1637" s="3">
        <v>4.0506329113924044</v>
      </c>
      <c r="AG1637" s="3">
        <v>0.64579559731892844</v>
      </c>
      <c r="AH1637" s="1">
        <v>6298</v>
      </c>
      <c r="AI1637" s="1" t="b">
        <v>1</v>
      </c>
    </row>
    <row r="1638" spans="1:35" x14ac:dyDescent="0.25">
      <c r="A1638" s="1">
        <v>19</v>
      </c>
      <c r="B1638" s="1">
        <v>9</v>
      </c>
      <c r="C1638" s="1">
        <v>2020</v>
      </c>
      <c r="G1638" s="1" t="s">
        <v>38</v>
      </c>
      <c r="H1638" s="2">
        <v>6.46</v>
      </c>
      <c r="I1638" s="1">
        <v>20</v>
      </c>
      <c r="U1638" s="1">
        <v>32</v>
      </c>
      <c r="X1638" s="1">
        <v>27</v>
      </c>
      <c r="AA1638" s="1">
        <v>3</v>
      </c>
      <c r="AB1638" s="1">
        <v>2</v>
      </c>
      <c r="AC1638" s="1">
        <v>1126</v>
      </c>
      <c r="AF1638" s="3">
        <v>3.0959752321981426</v>
      </c>
      <c r="AG1638" s="3">
        <v>1.1922443827279303</v>
      </c>
      <c r="AH1638" s="1">
        <v>6298</v>
      </c>
      <c r="AI1638" s="1" t="b">
        <v>1</v>
      </c>
    </row>
    <row r="1639" spans="1:35" x14ac:dyDescent="0.25">
      <c r="A1639" s="1">
        <v>19</v>
      </c>
      <c r="B1639" s="1">
        <v>9</v>
      </c>
      <c r="C1639" s="1">
        <v>2020</v>
      </c>
      <c r="G1639" s="1" t="s">
        <v>38</v>
      </c>
      <c r="H1639" s="2">
        <v>3.35</v>
      </c>
      <c r="I1639" s="1">
        <v>7</v>
      </c>
      <c r="U1639" s="1">
        <v>15</v>
      </c>
      <c r="X1639" s="1">
        <v>13</v>
      </c>
      <c r="AA1639" s="1">
        <v>4</v>
      </c>
      <c r="AB1639" s="1">
        <v>3</v>
      </c>
      <c r="AC1639" s="1">
        <v>591</v>
      </c>
      <c r="AF1639" s="3">
        <v>2.08955223880597</v>
      </c>
      <c r="AG1639" s="3">
        <v>1.1155219800029945</v>
      </c>
      <c r="AH1639" s="1">
        <v>6298</v>
      </c>
      <c r="AI1639" s="1" t="b">
        <v>1</v>
      </c>
    </row>
    <row r="1640" spans="1:35" x14ac:dyDescent="0.25">
      <c r="A1640" s="1">
        <v>19</v>
      </c>
      <c r="B1640" s="1">
        <v>9</v>
      </c>
      <c r="C1640" s="1">
        <v>2020</v>
      </c>
      <c r="G1640" s="1" t="s">
        <v>38</v>
      </c>
      <c r="H1640" s="2">
        <v>4.79</v>
      </c>
      <c r="I1640" s="1">
        <v>17</v>
      </c>
      <c r="U1640" s="1">
        <v>22</v>
      </c>
      <c r="X1640" s="1">
        <v>20</v>
      </c>
      <c r="AA1640" s="1">
        <v>2</v>
      </c>
      <c r="AB1640" s="1">
        <v>3</v>
      </c>
      <c r="AC1640" s="1">
        <v>724</v>
      </c>
      <c r="AF1640" s="3">
        <v>3.5490605427974948</v>
      </c>
      <c r="AG1640" s="3">
        <v>0.84357063120157949</v>
      </c>
      <c r="AH1640" s="1">
        <v>6298</v>
      </c>
      <c r="AI1640" s="1" t="b">
        <v>1</v>
      </c>
    </row>
    <row r="1641" spans="1:35" x14ac:dyDescent="0.25">
      <c r="A1641" s="1">
        <v>19</v>
      </c>
      <c r="B1641" s="1">
        <v>9</v>
      </c>
      <c r="C1641" s="1">
        <v>2020</v>
      </c>
      <c r="G1641" s="1" t="s">
        <v>38</v>
      </c>
      <c r="H1641" s="2">
        <v>5.53</v>
      </c>
      <c r="I1641" s="1">
        <v>16</v>
      </c>
      <c r="U1641" s="1">
        <v>24</v>
      </c>
      <c r="X1641" s="1">
        <v>20</v>
      </c>
      <c r="AA1641" s="1">
        <v>3</v>
      </c>
      <c r="AB1641" s="1">
        <v>5</v>
      </c>
      <c r="AC1641" s="1">
        <v>924</v>
      </c>
      <c r="AF1641" s="3">
        <v>2.8933092224231465</v>
      </c>
      <c r="AG1641" s="3">
        <v>1.1442284466715382</v>
      </c>
      <c r="AH1641" s="1">
        <v>6298</v>
      </c>
      <c r="AI1641" s="1" t="b">
        <v>1</v>
      </c>
    </row>
    <row r="1642" spans="1:35" x14ac:dyDescent="0.25">
      <c r="A1642" s="1">
        <v>19</v>
      </c>
      <c r="B1642" s="1">
        <v>9</v>
      </c>
      <c r="C1642" s="1">
        <v>2020</v>
      </c>
      <c r="G1642" s="1" t="s">
        <v>38</v>
      </c>
      <c r="H1642" s="2">
        <v>6.63</v>
      </c>
      <c r="I1642" s="1">
        <v>18</v>
      </c>
      <c r="U1642" s="1">
        <v>28</v>
      </c>
      <c r="X1642" s="1">
        <v>23</v>
      </c>
      <c r="AA1642" s="1">
        <v>4</v>
      </c>
      <c r="AB1642" s="1">
        <v>4</v>
      </c>
      <c r="AC1642" s="1">
        <v>885</v>
      </c>
      <c r="AF1642" s="3">
        <v>2.7149321266968327</v>
      </c>
      <c r="AG1642" s="3">
        <v>1.3845240152069389</v>
      </c>
      <c r="AH1642" s="1">
        <v>6298</v>
      </c>
      <c r="AI1642" s="1" t="b">
        <v>1</v>
      </c>
    </row>
    <row r="1643" spans="1:35" x14ac:dyDescent="0.25">
      <c r="A1643" s="1">
        <v>19</v>
      </c>
      <c r="B1643" s="1">
        <v>9</v>
      </c>
      <c r="C1643" s="1">
        <v>2020</v>
      </c>
      <c r="G1643" s="1" t="s">
        <v>38</v>
      </c>
      <c r="H1643" s="2">
        <v>3.61</v>
      </c>
      <c r="I1643" s="1">
        <v>15</v>
      </c>
      <c r="U1643" s="1">
        <v>19</v>
      </c>
      <c r="X1643" s="1">
        <v>15</v>
      </c>
      <c r="AA1643" s="1">
        <v>1</v>
      </c>
      <c r="AB1643" s="1">
        <v>2</v>
      </c>
      <c r="AC1643" s="1">
        <v>541</v>
      </c>
      <c r="AF1643" s="3">
        <v>4.1551246537396125</v>
      </c>
      <c r="AG1643" s="3">
        <v>0.59111364453990722</v>
      </c>
      <c r="AH1643" s="1">
        <v>6298</v>
      </c>
      <c r="AI1643" s="1" t="b">
        <v>1</v>
      </c>
    </row>
    <row r="1644" spans="1:35" x14ac:dyDescent="0.25">
      <c r="A1644" s="1">
        <v>19</v>
      </c>
      <c r="B1644" s="1">
        <v>9</v>
      </c>
      <c r="C1644" s="1">
        <v>2020</v>
      </c>
      <c r="G1644" s="1" t="s">
        <v>38</v>
      </c>
      <c r="H1644" s="2">
        <v>6.85</v>
      </c>
      <c r="I1644" s="1">
        <v>23</v>
      </c>
      <c r="U1644" s="1">
        <v>26</v>
      </c>
      <c r="X1644" s="1">
        <v>23</v>
      </c>
      <c r="AA1644" s="1">
        <v>1</v>
      </c>
      <c r="AB1644" s="1">
        <v>2</v>
      </c>
      <c r="AC1644" s="1">
        <v>907</v>
      </c>
      <c r="AF1644" s="3">
        <v>3.3576642335766427</v>
      </c>
      <c r="AG1644" s="3">
        <v>1.1453708750924303</v>
      </c>
      <c r="AH1644" s="1">
        <v>6298</v>
      </c>
      <c r="AI1644" s="1" t="b">
        <v>1</v>
      </c>
    </row>
    <row r="1645" spans="1:35" x14ac:dyDescent="0.25">
      <c r="A1645" s="1">
        <v>19</v>
      </c>
      <c r="B1645" s="1">
        <v>9</v>
      </c>
      <c r="C1645" s="1">
        <v>2020</v>
      </c>
      <c r="G1645" s="1" t="s">
        <v>38</v>
      </c>
      <c r="H1645" s="2">
        <v>4.24</v>
      </c>
      <c r="I1645" s="1">
        <v>13</v>
      </c>
      <c r="U1645" s="1">
        <v>16</v>
      </c>
      <c r="X1645" s="1">
        <v>15</v>
      </c>
      <c r="AA1645" s="1">
        <v>2</v>
      </c>
      <c r="AB1645" s="1">
        <v>3</v>
      </c>
      <c r="AC1645" s="1">
        <v>647</v>
      </c>
      <c r="AF1645" s="3">
        <v>3.0660377358490565</v>
      </c>
      <c r="AG1645" s="3">
        <v>0.89655844132408502</v>
      </c>
      <c r="AH1645" s="1">
        <v>6298</v>
      </c>
      <c r="AI1645" s="1" t="b">
        <v>1</v>
      </c>
    </row>
    <row r="1646" spans="1:35" x14ac:dyDescent="0.25">
      <c r="A1646" s="1">
        <v>19</v>
      </c>
      <c r="B1646" s="1">
        <v>9</v>
      </c>
      <c r="C1646" s="1">
        <v>2020</v>
      </c>
      <c r="G1646" s="1" t="s">
        <v>38</v>
      </c>
      <c r="H1646" s="2">
        <v>5.6</v>
      </c>
      <c r="I1646" s="1">
        <v>17</v>
      </c>
      <c r="U1646" s="1">
        <v>24</v>
      </c>
      <c r="X1646" s="1">
        <v>23</v>
      </c>
      <c r="AA1646" s="1">
        <v>3</v>
      </c>
      <c r="AB1646" s="1">
        <v>2</v>
      </c>
      <c r="AC1646" s="1">
        <v>843</v>
      </c>
      <c r="AF1646" s="3">
        <v>3.035714285714286</v>
      </c>
      <c r="AG1646" s="3">
        <v>1.1001976792894597</v>
      </c>
      <c r="AH1646" s="1">
        <v>6298</v>
      </c>
      <c r="AI1646" s="1" t="b">
        <v>1</v>
      </c>
    </row>
    <row r="1647" spans="1:35" x14ac:dyDescent="0.25">
      <c r="A1647" s="1">
        <v>19</v>
      </c>
      <c r="B1647" s="1">
        <v>9</v>
      </c>
      <c r="C1647" s="1">
        <v>2020</v>
      </c>
      <c r="G1647" s="1" t="s">
        <v>38</v>
      </c>
      <c r="H1647" s="2">
        <v>5.78</v>
      </c>
      <c r="I1647" s="1">
        <v>22</v>
      </c>
      <c r="U1647" s="1">
        <v>25</v>
      </c>
      <c r="X1647" s="1">
        <v>23</v>
      </c>
      <c r="AA1647" s="1">
        <v>1</v>
      </c>
      <c r="AB1647" s="1">
        <v>1</v>
      </c>
      <c r="AC1647" s="1">
        <v>889</v>
      </c>
      <c r="AF1647" s="3">
        <v>3.8062283737024218</v>
      </c>
      <c r="AG1647" s="3">
        <v>0.89712848124368283</v>
      </c>
      <c r="AH1647" s="1">
        <v>6298</v>
      </c>
      <c r="AI1647" s="1" t="b">
        <v>1</v>
      </c>
    </row>
    <row r="1648" spans="1:35" x14ac:dyDescent="0.25">
      <c r="A1648" s="1">
        <v>19</v>
      </c>
      <c r="B1648" s="1">
        <v>9</v>
      </c>
      <c r="C1648" s="1">
        <v>2020</v>
      </c>
      <c r="G1648" s="1" t="s">
        <v>38</v>
      </c>
      <c r="H1648" s="2">
        <v>2.92</v>
      </c>
      <c r="I1648" s="1">
        <v>8</v>
      </c>
      <c r="U1648" s="1">
        <v>12</v>
      </c>
      <c r="X1648" s="1">
        <v>10</v>
      </c>
      <c r="AA1648" s="1">
        <v>1</v>
      </c>
      <c r="AB1648" s="1">
        <v>3</v>
      </c>
      <c r="AC1648" s="1">
        <v>570</v>
      </c>
      <c r="AF1648" s="3">
        <v>2.7397260273972601</v>
      </c>
      <c r="AG1648" s="3">
        <v>0.77278887336776891</v>
      </c>
      <c r="AH1648" s="1">
        <v>6298</v>
      </c>
      <c r="AI1648" s="1" t="b">
        <v>1</v>
      </c>
    </row>
    <row r="1649" spans="1:35" x14ac:dyDescent="0.25">
      <c r="A1649" s="1">
        <v>19</v>
      </c>
      <c r="B1649" s="1">
        <v>9</v>
      </c>
      <c r="C1649" s="1">
        <v>2020</v>
      </c>
      <c r="G1649" s="1" t="s">
        <v>38</v>
      </c>
      <c r="H1649" s="2">
        <v>3.42</v>
      </c>
      <c r="I1649" s="1">
        <v>9</v>
      </c>
      <c r="U1649" s="1">
        <v>17</v>
      </c>
      <c r="X1649" s="1">
        <v>15</v>
      </c>
      <c r="AA1649" s="1">
        <v>3</v>
      </c>
      <c r="AB1649" s="1">
        <v>2</v>
      </c>
      <c r="AC1649" s="1">
        <v>593</v>
      </c>
      <c r="AF1649" s="3">
        <v>2.6315789473684212</v>
      </c>
      <c r="AG1649" s="3">
        <v>0.89867336634914807</v>
      </c>
      <c r="AH1649" s="1">
        <v>6298</v>
      </c>
      <c r="AI1649" s="1" t="b">
        <v>1</v>
      </c>
    </row>
    <row r="1650" spans="1:35" x14ac:dyDescent="0.25">
      <c r="A1650" s="1">
        <v>19</v>
      </c>
      <c r="B1650" s="1">
        <v>9</v>
      </c>
      <c r="C1650" s="1">
        <v>2020</v>
      </c>
      <c r="G1650" s="1" t="s">
        <v>38</v>
      </c>
      <c r="H1650" s="2">
        <v>7.21</v>
      </c>
      <c r="I1650" s="1">
        <v>27</v>
      </c>
      <c r="U1650" s="1">
        <v>40</v>
      </c>
      <c r="X1650" s="1">
        <v>34</v>
      </c>
      <c r="AA1650" s="1">
        <v>3</v>
      </c>
      <c r="AB1650" s="1">
        <v>2</v>
      </c>
      <c r="AC1650" s="1">
        <v>1072</v>
      </c>
      <c r="AF1650" s="3">
        <v>3.7447988904299585</v>
      </c>
      <c r="AG1650" s="3">
        <v>1.0644522538270029</v>
      </c>
      <c r="AH1650" s="1">
        <v>6298</v>
      </c>
      <c r="AI1650" s="1" t="b">
        <v>1</v>
      </c>
    </row>
    <row r="1651" spans="1:35" x14ac:dyDescent="0.25">
      <c r="A1651" s="1">
        <v>19</v>
      </c>
      <c r="B1651" s="1">
        <v>9</v>
      </c>
      <c r="C1651" s="1">
        <v>2020</v>
      </c>
      <c r="G1651" s="1" t="s">
        <v>38</v>
      </c>
      <c r="H1651" s="2">
        <v>7.06</v>
      </c>
      <c r="I1651" s="1">
        <v>15</v>
      </c>
      <c r="U1651" s="1">
        <v>30</v>
      </c>
      <c r="X1651" s="1">
        <v>24</v>
      </c>
      <c r="AA1651" s="1">
        <v>4</v>
      </c>
      <c r="AB1651" s="1">
        <v>5</v>
      </c>
      <c r="AC1651" s="1">
        <v>1014</v>
      </c>
      <c r="AF1651" s="3">
        <v>2.1246458923512748</v>
      </c>
      <c r="AG1651" s="3">
        <v>1.8487438093113939</v>
      </c>
      <c r="AH1651" s="1">
        <v>6298</v>
      </c>
      <c r="AI1651" s="1" t="b">
        <v>1</v>
      </c>
    </row>
    <row r="1652" spans="1:35" x14ac:dyDescent="0.25">
      <c r="A1652" s="1">
        <v>22</v>
      </c>
      <c r="B1652" s="1">
        <v>9</v>
      </c>
      <c r="C1652" s="1">
        <v>2020</v>
      </c>
      <c r="G1652" s="1" t="s">
        <v>38</v>
      </c>
      <c r="H1652" s="2">
        <v>7.12</v>
      </c>
      <c r="I1652" s="1">
        <v>19</v>
      </c>
      <c r="U1652" s="1">
        <v>30</v>
      </c>
      <c r="X1652" s="1">
        <v>26</v>
      </c>
      <c r="AA1652" s="1">
        <v>4</v>
      </c>
      <c r="AB1652" s="1">
        <v>6</v>
      </c>
      <c r="AC1652" s="1">
        <v>1192</v>
      </c>
      <c r="AF1652" s="3">
        <v>2.6685393258426964</v>
      </c>
      <c r="AG1652" s="3">
        <v>1.4806840161098649</v>
      </c>
      <c r="AH1652" s="1">
        <v>6299</v>
      </c>
      <c r="AI1652" s="1" t="b">
        <v>1</v>
      </c>
    </row>
    <row r="1653" spans="1:35" x14ac:dyDescent="0.25">
      <c r="A1653" s="1">
        <v>22</v>
      </c>
      <c r="B1653" s="1">
        <v>9</v>
      </c>
      <c r="C1653" s="1">
        <v>2020</v>
      </c>
      <c r="G1653" s="1" t="s">
        <v>38</v>
      </c>
      <c r="H1653" s="2">
        <v>4.84</v>
      </c>
      <c r="I1653" s="1">
        <v>15</v>
      </c>
      <c r="U1653" s="1">
        <v>21</v>
      </c>
      <c r="X1653" s="1">
        <v>18</v>
      </c>
      <c r="AA1653" s="1">
        <v>2</v>
      </c>
      <c r="AB1653" s="1">
        <v>1</v>
      </c>
      <c r="AC1653" s="1">
        <v>656</v>
      </c>
      <c r="AF1653" s="3">
        <v>3.0991735537190084</v>
      </c>
      <c r="AG1653" s="3">
        <v>0.97307397117890782</v>
      </c>
      <c r="AH1653" s="1">
        <v>6299</v>
      </c>
      <c r="AI1653" s="1" t="b">
        <v>1</v>
      </c>
    </row>
    <row r="1654" spans="1:35" x14ac:dyDescent="0.25">
      <c r="A1654" s="1">
        <v>22</v>
      </c>
      <c r="B1654" s="1">
        <v>9</v>
      </c>
      <c r="C1654" s="1">
        <v>2020</v>
      </c>
      <c r="G1654" s="1" t="s">
        <v>38</v>
      </c>
      <c r="H1654" s="2">
        <v>4.8899999999999997</v>
      </c>
      <c r="I1654" s="1">
        <v>12</v>
      </c>
      <c r="V1654" s="1">
        <v>17</v>
      </c>
      <c r="X1654" s="1">
        <v>14</v>
      </c>
      <c r="AA1654" s="1">
        <v>3</v>
      </c>
      <c r="AB1654" s="1">
        <v>4</v>
      </c>
      <c r="AC1654" s="1">
        <v>649</v>
      </c>
      <c r="AF1654" s="3">
        <v>2.4539877300613497</v>
      </c>
      <c r="AG1654" s="3">
        <v>1.2377810071152586</v>
      </c>
      <c r="AH1654" s="1">
        <v>6299</v>
      </c>
      <c r="AI1654" s="1" t="b">
        <v>1</v>
      </c>
    </row>
    <row r="1655" spans="1:35" x14ac:dyDescent="0.25">
      <c r="A1655" s="1">
        <v>22</v>
      </c>
      <c r="B1655" s="1">
        <v>9</v>
      </c>
      <c r="C1655" s="1">
        <v>2020</v>
      </c>
      <c r="G1655" s="1" t="s">
        <v>38</v>
      </c>
      <c r="H1655" s="2">
        <v>4.29</v>
      </c>
      <c r="I1655" s="1">
        <v>14</v>
      </c>
      <c r="U1655" s="1">
        <v>18</v>
      </c>
      <c r="X1655" s="1">
        <v>17</v>
      </c>
      <c r="AA1655" s="1">
        <v>2</v>
      </c>
      <c r="AB1655" s="1">
        <v>3</v>
      </c>
      <c r="AC1655" s="1">
        <v>672</v>
      </c>
      <c r="AF1655" s="3">
        <v>3.2634032634032635</v>
      </c>
      <c r="AG1655" s="3">
        <v>0.84927699666329382</v>
      </c>
      <c r="AH1655" s="1">
        <v>6299</v>
      </c>
      <c r="AI1655" s="1" t="b">
        <v>1</v>
      </c>
    </row>
    <row r="1656" spans="1:35" x14ac:dyDescent="0.25">
      <c r="A1656" s="1">
        <v>22</v>
      </c>
      <c r="B1656" s="1">
        <v>9</v>
      </c>
      <c r="C1656" s="1">
        <v>2020</v>
      </c>
      <c r="G1656" s="1" t="s">
        <v>38</v>
      </c>
      <c r="H1656" s="2">
        <v>4.68</v>
      </c>
      <c r="I1656" s="1">
        <v>11</v>
      </c>
      <c r="U1656" s="1">
        <v>19</v>
      </c>
      <c r="X1656" s="1">
        <v>18</v>
      </c>
      <c r="AA1656" s="1">
        <v>3</v>
      </c>
      <c r="AB1656" s="1">
        <v>5</v>
      </c>
      <c r="AC1656" s="1">
        <v>796</v>
      </c>
      <c r="AF1656" s="3">
        <v>2.3504273504273505</v>
      </c>
      <c r="AG1656" s="3">
        <v>1.2532140785103012</v>
      </c>
      <c r="AH1656" s="1">
        <v>6299</v>
      </c>
      <c r="AI1656" s="1" t="b">
        <v>1</v>
      </c>
    </row>
    <row r="1657" spans="1:35" x14ac:dyDescent="0.25">
      <c r="A1657" s="1">
        <v>22</v>
      </c>
      <c r="B1657" s="1">
        <v>9</v>
      </c>
      <c r="C1657" s="1">
        <v>2020</v>
      </c>
      <c r="G1657" s="1" t="s">
        <v>38</v>
      </c>
      <c r="H1657" s="2">
        <v>5.0999999999999996</v>
      </c>
      <c r="I1657" s="1">
        <v>20</v>
      </c>
      <c r="U1657" s="1">
        <v>25</v>
      </c>
      <c r="X1657" s="1">
        <v>24</v>
      </c>
      <c r="AA1657" s="1">
        <v>3</v>
      </c>
      <c r="AB1657" s="1">
        <v>5</v>
      </c>
      <c r="AC1657" s="1">
        <v>966</v>
      </c>
      <c r="AF1657" s="3">
        <v>3.9215686274509807</v>
      </c>
      <c r="AG1657" s="3">
        <v>0.79769947036928557</v>
      </c>
      <c r="AH1657" s="1">
        <v>6299</v>
      </c>
      <c r="AI1657" s="1" t="b">
        <v>1</v>
      </c>
    </row>
    <row r="1658" spans="1:35" x14ac:dyDescent="0.25">
      <c r="A1658" s="1">
        <v>22</v>
      </c>
      <c r="B1658" s="1">
        <v>9</v>
      </c>
      <c r="C1658" s="1">
        <v>2020</v>
      </c>
      <c r="G1658" s="1" t="s">
        <v>38</v>
      </c>
      <c r="H1658" s="2">
        <v>3.44</v>
      </c>
      <c r="I1658" s="1">
        <v>9</v>
      </c>
      <c r="U1658" s="1">
        <v>14</v>
      </c>
      <c r="X1658" s="1">
        <v>12</v>
      </c>
      <c r="AA1658" s="1">
        <v>2</v>
      </c>
      <c r="AB1658" s="1">
        <v>4</v>
      </c>
      <c r="AC1658" s="1">
        <v>736</v>
      </c>
      <c r="AF1658" s="3">
        <v>2.6162790697674421</v>
      </c>
      <c r="AG1658" s="3">
        <v>0.90762582167376415</v>
      </c>
      <c r="AH1658" s="1">
        <v>6299</v>
      </c>
      <c r="AI1658" s="1" t="b">
        <v>1</v>
      </c>
    </row>
    <row r="1659" spans="1:35" x14ac:dyDescent="0.25">
      <c r="A1659" s="1">
        <v>22</v>
      </c>
      <c r="B1659" s="1">
        <v>9</v>
      </c>
      <c r="C1659" s="1">
        <v>2020</v>
      </c>
      <c r="G1659" s="1" t="s">
        <v>38</v>
      </c>
      <c r="H1659" s="2">
        <v>6.41</v>
      </c>
      <c r="I1659" s="1">
        <v>20</v>
      </c>
      <c r="U1659" s="1">
        <v>33</v>
      </c>
      <c r="X1659" s="1">
        <v>30</v>
      </c>
      <c r="AA1659" s="1">
        <v>4</v>
      </c>
      <c r="AB1659" s="1">
        <v>2</v>
      </c>
      <c r="AC1659" s="1">
        <v>1039</v>
      </c>
      <c r="AF1659" s="3">
        <v>3.1201248049921997</v>
      </c>
      <c r="AG1659" s="3">
        <v>1.1765994865120748</v>
      </c>
      <c r="AH1659" s="1">
        <v>6299</v>
      </c>
      <c r="AI1659" s="1" t="b">
        <v>1</v>
      </c>
    </row>
    <row r="1660" spans="1:35" x14ac:dyDescent="0.25">
      <c r="A1660" s="1">
        <v>22</v>
      </c>
      <c r="B1660" s="1">
        <v>9</v>
      </c>
      <c r="C1660" s="1">
        <v>2020</v>
      </c>
      <c r="G1660" s="1" t="s">
        <v>38</v>
      </c>
      <c r="H1660" s="2">
        <v>4.57</v>
      </c>
      <c r="I1660" s="1">
        <v>16</v>
      </c>
      <c r="U1660" s="1">
        <v>25</v>
      </c>
      <c r="X1660" s="1">
        <v>22</v>
      </c>
      <c r="AA1660" s="1">
        <v>3</v>
      </c>
      <c r="AB1660" s="1">
        <v>2</v>
      </c>
      <c r="AC1660" s="1">
        <v>804</v>
      </c>
      <c r="AF1660" s="3">
        <v>3.5010940919037199</v>
      </c>
      <c r="AG1660" s="3">
        <v>0.82744199248884143</v>
      </c>
      <c r="AH1660" s="1">
        <v>6299</v>
      </c>
      <c r="AI1660" s="1" t="b">
        <v>1</v>
      </c>
    </row>
    <row r="1661" spans="1:35" x14ac:dyDescent="0.25">
      <c r="A1661" s="1">
        <v>22</v>
      </c>
      <c r="B1661" s="1">
        <v>9</v>
      </c>
      <c r="C1661" s="1">
        <v>2020</v>
      </c>
      <c r="G1661" s="1" t="s">
        <v>38</v>
      </c>
      <c r="H1661" s="2">
        <v>5.0599999999999996</v>
      </c>
      <c r="I1661" s="1">
        <v>13</v>
      </c>
      <c r="U1661" s="1">
        <v>17</v>
      </c>
      <c r="X1661" s="1">
        <v>15</v>
      </c>
      <c r="AA1661" s="1">
        <v>1</v>
      </c>
      <c r="AB1661" s="1">
        <v>6</v>
      </c>
      <c r="AC1661" s="1">
        <v>1291</v>
      </c>
      <c r="AF1661" s="3">
        <v>2.5691699604743086</v>
      </c>
      <c r="AG1661" s="3">
        <v>1.2109118418960862</v>
      </c>
      <c r="AH1661" s="1">
        <v>6299</v>
      </c>
      <c r="AI1661" s="1" t="b">
        <v>1</v>
      </c>
    </row>
    <row r="1662" spans="1:35" x14ac:dyDescent="0.25">
      <c r="A1662" s="1">
        <v>22</v>
      </c>
      <c r="B1662" s="1">
        <v>9</v>
      </c>
      <c r="C1662" s="1">
        <v>2020</v>
      </c>
      <c r="G1662" s="1" t="s">
        <v>38</v>
      </c>
      <c r="H1662" s="2">
        <v>3.19</v>
      </c>
      <c r="I1662" s="1">
        <v>12</v>
      </c>
      <c r="U1662" s="1">
        <v>14</v>
      </c>
      <c r="X1662" s="1">
        <v>13</v>
      </c>
      <c r="AA1662" s="1">
        <v>2</v>
      </c>
      <c r="AB1662" s="1">
        <v>5</v>
      </c>
      <c r="AC1662" s="1">
        <v>689</v>
      </c>
      <c r="AF1662" s="3">
        <v>3.761755485893417</v>
      </c>
      <c r="AG1662" s="3">
        <v>0.59877397384525743</v>
      </c>
      <c r="AH1662" s="1">
        <v>6299</v>
      </c>
      <c r="AI1662" s="1" t="b">
        <v>1</v>
      </c>
    </row>
    <row r="1663" spans="1:35" x14ac:dyDescent="0.25">
      <c r="A1663" s="1">
        <v>22</v>
      </c>
      <c r="B1663" s="1">
        <v>9</v>
      </c>
      <c r="C1663" s="1">
        <v>2020</v>
      </c>
      <c r="G1663" s="1" t="s">
        <v>38</v>
      </c>
      <c r="H1663" s="2">
        <v>4.17</v>
      </c>
      <c r="I1663" s="1">
        <v>14</v>
      </c>
      <c r="U1663" s="1">
        <v>16</v>
      </c>
      <c r="X1663" s="1">
        <v>15</v>
      </c>
      <c r="AA1663" s="1">
        <v>1</v>
      </c>
      <c r="AB1663" s="1">
        <v>6</v>
      </c>
      <c r="AC1663" s="1">
        <v>1000</v>
      </c>
      <c r="AF1663" s="3">
        <v>3.3573141486810552</v>
      </c>
      <c r="AG1663" s="3">
        <v>0.80928829254323909</v>
      </c>
      <c r="AH1663" s="1">
        <v>6299</v>
      </c>
      <c r="AI1663" s="1" t="b">
        <v>1</v>
      </c>
    </row>
    <row r="1664" spans="1:35" x14ac:dyDescent="0.25">
      <c r="A1664" s="1">
        <v>22</v>
      </c>
      <c r="B1664" s="1">
        <v>9</v>
      </c>
      <c r="C1664" s="1">
        <v>2020</v>
      </c>
      <c r="G1664" s="1" t="s">
        <v>38</v>
      </c>
      <c r="H1664" s="2">
        <v>2.92</v>
      </c>
      <c r="I1664" s="1">
        <v>7</v>
      </c>
      <c r="U1664" s="1">
        <v>14</v>
      </c>
      <c r="X1664" s="1">
        <v>11</v>
      </c>
      <c r="AA1664" s="1">
        <v>2</v>
      </c>
      <c r="AB1664" s="1">
        <v>2</v>
      </c>
      <c r="AC1664" s="1">
        <v>566</v>
      </c>
      <c r="AF1664" s="3">
        <v>2.397260273972603</v>
      </c>
      <c r="AG1664" s="3">
        <v>0.88318728384887879</v>
      </c>
      <c r="AH1664" s="1">
        <v>6299</v>
      </c>
      <c r="AI1664" s="1" t="b">
        <v>1</v>
      </c>
    </row>
    <row r="1665" spans="1:35" x14ac:dyDescent="0.25">
      <c r="A1665" s="1">
        <v>22</v>
      </c>
      <c r="B1665" s="1">
        <v>9</v>
      </c>
      <c r="C1665" s="1">
        <v>2020</v>
      </c>
      <c r="G1665" s="1" t="s">
        <v>38</v>
      </c>
      <c r="H1665" s="2">
        <v>6.81</v>
      </c>
      <c r="I1665" s="1">
        <v>25</v>
      </c>
      <c r="U1665" s="1">
        <v>32</v>
      </c>
      <c r="X1665" s="1">
        <v>27</v>
      </c>
      <c r="AA1665" s="1">
        <v>2</v>
      </c>
      <c r="AB1665" s="1">
        <v>1</v>
      </c>
      <c r="AC1665" s="1">
        <v>1088</v>
      </c>
      <c r="AF1665" s="3">
        <v>3.6710719530102791</v>
      </c>
      <c r="AG1665" s="3">
        <v>1.0433021000757365</v>
      </c>
      <c r="AH1665" s="1">
        <v>6299</v>
      </c>
      <c r="AI1665" s="1" t="b">
        <v>1</v>
      </c>
    </row>
    <row r="1666" spans="1:35" x14ac:dyDescent="0.25">
      <c r="A1666" s="1">
        <v>22</v>
      </c>
      <c r="B1666" s="1">
        <v>9</v>
      </c>
      <c r="C1666" s="1">
        <v>2020</v>
      </c>
      <c r="G1666" s="1" t="s">
        <v>38</v>
      </c>
      <c r="H1666" s="2">
        <v>6.62</v>
      </c>
      <c r="I1666" s="1">
        <v>17</v>
      </c>
      <c r="U1666" s="1">
        <v>26</v>
      </c>
      <c r="X1666" s="1">
        <v>23</v>
      </c>
      <c r="AA1666" s="1">
        <v>3</v>
      </c>
      <c r="AB1666" s="1">
        <v>2</v>
      </c>
      <c r="AC1666" s="1">
        <v>967</v>
      </c>
      <c r="AF1666" s="3">
        <v>2.5679758308157101</v>
      </c>
      <c r="AG1666" s="3">
        <v>1.4622097002375327</v>
      </c>
      <c r="AH1666" s="1">
        <v>6299</v>
      </c>
      <c r="AI1666" s="1" t="b">
        <v>1</v>
      </c>
    </row>
    <row r="1667" spans="1:35" x14ac:dyDescent="0.25">
      <c r="A1667" s="1">
        <v>26</v>
      </c>
      <c r="B1667" s="1">
        <v>9</v>
      </c>
      <c r="C1667" s="1">
        <v>2020</v>
      </c>
      <c r="G1667" s="1" t="s">
        <v>38</v>
      </c>
      <c r="H1667" s="2">
        <v>8.75</v>
      </c>
      <c r="I1667" s="1">
        <v>25</v>
      </c>
      <c r="V1667" s="1">
        <v>37</v>
      </c>
      <c r="X1667" s="1">
        <v>30</v>
      </c>
      <c r="AA1667" s="1">
        <v>3</v>
      </c>
      <c r="AB1667" s="1">
        <v>4</v>
      </c>
      <c r="AC1667" s="1">
        <v>1184</v>
      </c>
      <c r="AF1667" s="3">
        <v>2.8571428571428572</v>
      </c>
      <c r="AG1667" s="3">
        <v>1.5976207092487178</v>
      </c>
      <c r="AH1667" s="1">
        <v>6299</v>
      </c>
      <c r="AI1667" s="1" t="b">
        <v>1</v>
      </c>
    </row>
    <row r="1668" spans="1:35" x14ac:dyDescent="0.25">
      <c r="A1668" s="1">
        <v>26</v>
      </c>
      <c r="B1668" s="1">
        <v>9</v>
      </c>
      <c r="C1668" s="1">
        <v>2020</v>
      </c>
      <c r="G1668" s="1" t="s">
        <v>38</v>
      </c>
      <c r="H1668" s="2">
        <v>7.02</v>
      </c>
      <c r="I1668" s="1">
        <v>19</v>
      </c>
      <c r="V1668" s="1">
        <v>28</v>
      </c>
      <c r="X1668" s="1">
        <v>22</v>
      </c>
      <c r="AA1668" s="1">
        <v>4</v>
      </c>
      <c r="AB1668" s="1">
        <v>2</v>
      </c>
      <c r="AC1668" s="1">
        <v>1065</v>
      </c>
      <c r="AF1668" s="3">
        <v>2.7065527065527069</v>
      </c>
      <c r="AG1668" s="3">
        <v>1.4455046386507953</v>
      </c>
      <c r="AH1668" s="1">
        <v>6299</v>
      </c>
      <c r="AI1668" s="1" t="b">
        <v>1</v>
      </c>
    </row>
    <row r="1669" spans="1:35" x14ac:dyDescent="0.25">
      <c r="A1669" s="1">
        <v>26</v>
      </c>
      <c r="B1669" s="1">
        <v>9</v>
      </c>
      <c r="C1669" s="1">
        <v>2020</v>
      </c>
      <c r="G1669" s="1" t="s">
        <v>38</v>
      </c>
      <c r="H1669" s="2">
        <v>5.19</v>
      </c>
      <c r="I1669" s="1">
        <v>12</v>
      </c>
      <c r="U1669" s="1">
        <v>21</v>
      </c>
      <c r="X1669" s="1">
        <v>18</v>
      </c>
      <c r="AA1669" s="1">
        <v>3</v>
      </c>
      <c r="AB1669" s="1">
        <v>5</v>
      </c>
      <c r="AC1669" s="1">
        <v>716</v>
      </c>
      <c r="AF1669" s="3">
        <v>2.3121387283236992</v>
      </c>
      <c r="AG1669" s="3">
        <v>1.3696300069073188</v>
      </c>
      <c r="AH1669" s="1">
        <v>6299</v>
      </c>
      <c r="AI1669" s="1" t="b">
        <v>1</v>
      </c>
    </row>
    <row r="1670" spans="1:35" x14ac:dyDescent="0.25">
      <c r="A1670" s="1">
        <v>26</v>
      </c>
      <c r="B1670" s="1">
        <v>9</v>
      </c>
      <c r="C1670" s="1">
        <v>2020</v>
      </c>
      <c r="G1670" s="1" t="s">
        <v>38</v>
      </c>
      <c r="H1670" s="2">
        <v>4.97</v>
      </c>
      <c r="I1670" s="1">
        <v>9</v>
      </c>
      <c r="V1670" s="1">
        <v>20</v>
      </c>
      <c r="X1670" s="1">
        <v>12</v>
      </c>
      <c r="AA1670" s="1">
        <v>2</v>
      </c>
      <c r="AB1670" s="1">
        <v>4</v>
      </c>
      <c r="AC1670" s="1">
        <v>586</v>
      </c>
      <c r="AF1670" s="3">
        <v>1.8108651911468814</v>
      </c>
      <c r="AG1670" s="3">
        <v>1.6965370614756408</v>
      </c>
      <c r="AH1670" s="1">
        <v>6299</v>
      </c>
      <c r="AI1670" s="1" t="b">
        <v>1</v>
      </c>
    </row>
    <row r="1671" spans="1:35" x14ac:dyDescent="0.25">
      <c r="A1671" s="1">
        <v>26</v>
      </c>
      <c r="B1671" s="1">
        <v>9</v>
      </c>
      <c r="C1671" s="1">
        <v>2020</v>
      </c>
      <c r="G1671" s="1" t="s">
        <v>38</v>
      </c>
      <c r="H1671" s="2">
        <v>5.15</v>
      </c>
      <c r="I1671" s="1">
        <v>14</v>
      </c>
      <c r="V1671" s="1">
        <v>22</v>
      </c>
      <c r="X1671" s="1">
        <v>17</v>
      </c>
      <c r="AA1671" s="1">
        <v>3</v>
      </c>
      <c r="AB1671" s="1">
        <v>4</v>
      </c>
      <c r="AC1671" s="1">
        <v>664</v>
      </c>
      <c r="AF1671" s="3">
        <v>2.7184466019417473</v>
      </c>
      <c r="AG1671" s="3">
        <v>1.1586286243230985</v>
      </c>
      <c r="AH1671" s="1">
        <v>6299</v>
      </c>
      <c r="AI1671" s="1" t="b">
        <v>1</v>
      </c>
    </row>
    <row r="1672" spans="1:35" x14ac:dyDescent="0.25">
      <c r="A1672" s="1">
        <v>26</v>
      </c>
      <c r="B1672" s="1">
        <v>9</v>
      </c>
      <c r="C1672" s="1">
        <v>2020</v>
      </c>
      <c r="G1672" s="1" t="s">
        <v>38</v>
      </c>
      <c r="H1672" s="2">
        <v>1.89</v>
      </c>
      <c r="I1672" s="1">
        <v>5</v>
      </c>
      <c r="U1672" s="1">
        <v>6</v>
      </c>
      <c r="X1672" s="1">
        <v>5</v>
      </c>
      <c r="AA1672" s="1">
        <v>1</v>
      </c>
      <c r="AB1672" s="1">
        <v>1</v>
      </c>
      <c r="AC1672" s="1">
        <v>257</v>
      </c>
      <c r="AF1672" s="3">
        <v>2.6455026455026456</v>
      </c>
      <c r="AG1672" s="3">
        <v>0.59022155063802617</v>
      </c>
      <c r="AH1672" s="1">
        <v>6299</v>
      </c>
      <c r="AI1672" s="1" t="b">
        <v>1</v>
      </c>
    </row>
    <row r="1673" spans="1:35" x14ac:dyDescent="0.25">
      <c r="A1673" s="1">
        <v>26</v>
      </c>
      <c r="B1673" s="1">
        <v>9</v>
      </c>
      <c r="C1673" s="1">
        <v>2020</v>
      </c>
      <c r="G1673" s="1" t="s">
        <v>38</v>
      </c>
      <c r="H1673" s="2">
        <v>6.93</v>
      </c>
      <c r="I1673" s="1">
        <v>18</v>
      </c>
      <c r="U1673" s="1">
        <v>33</v>
      </c>
      <c r="X1673" s="1">
        <v>29</v>
      </c>
      <c r="AA1673" s="1">
        <v>5</v>
      </c>
      <c r="AB1673" s="1">
        <v>4</v>
      </c>
      <c r="AC1673" s="1">
        <v>1008</v>
      </c>
      <c r="AF1673" s="3">
        <v>2.5974025974025974</v>
      </c>
      <c r="AG1673" s="3">
        <v>1.4927050212868371</v>
      </c>
      <c r="AH1673" s="1">
        <v>6299</v>
      </c>
      <c r="AI1673" s="1" t="b">
        <v>1</v>
      </c>
    </row>
    <row r="1674" spans="1:35" x14ac:dyDescent="0.25">
      <c r="A1674" s="1">
        <v>26</v>
      </c>
      <c r="B1674" s="1">
        <v>9</v>
      </c>
      <c r="C1674" s="1">
        <v>2020</v>
      </c>
      <c r="G1674" s="1" t="s">
        <v>38</v>
      </c>
      <c r="H1674" s="2">
        <v>7.34</v>
      </c>
      <c r="I1674" s="1">
        <v>15</v>
      </c>
      <c r="V1674" s="1">
        <v>26</v>
      </c>
      <c r="X1674" s="1">
        <v>21</v>
      </c>
      <c r="AA1674" s="1">
        <v>3</v>
      </c>
      <c r="AB1674" s="1">
        <v>3</v>
      </c>
      <c r="AC1674" s="1">
        <v>912</v>
      </c>
      <c r="AF1674" s="3">
        <v>2.0435967302452318</v>
      </c>
      <c r="AG1674" s="3">
        <v>1.975113433451392</v>
      </c>
      <c r="AH1674" s="1">
        <v>6299</v>
      </c>
      <c r="AI1674" s="1" t="b">
        <v>1</v>
      </c>
    </row>
    <row r="1675" spans="1:35" x14ac:dyDescent="0.25">
      <c r="A1675" s="1">
        <v>26</v>
      </c>
      <c r="B1675" s="1">
        <v>9</v>
      </c>
      <c r="C1675" s="1">
        <v>2020</v>
      </c>
      <c r="G1675" s="1" t="s">
        <v>38</v>
      </c>
      <c r="H1675" s="2">
        <v>4.71</v>
      </c>
      <c r="I1675" s="1">
        <v>14</v>
      </c>
      <c r="V1675" s="1">
        <v>24</v>
      </c>
      <c r="X1675" s="1">
        <v>18</v>
      </c>
      <c r="AA1675" s="1">
        <v>2</v>
      </c>
      <c r="AB1675" s="1">
        <v>3</v>
      </c>
      <c r="AC1675" s="1">
        <v>646</v>
      </c>
      <c r="AF1675" s="3">
        <v>2.9723991507431</v>
      </c>
      <c r="AG1675" s="3">
        <v>0.99542262230532574</v>
      </c>
      <c r="AH1675" s="1">
        <v>6299</v>
      </c>
      <c r="AI1675" s="1" t="b">
        <v>1</v>
      </c>
    </row>
    <row r="1676" spans="1:35" x14ac:dyDescent="0.25">
      <c r="A1676" s="1">
        <v>26</v>
      </c>
      <c r="B1676" s="1">
        <v>9</v>
      </c>
      <c r="C1676" s="1">
        <v>2020</v>
      </c>
      <c r="G1676" s="1" t="s">
        <v>38</v>
      </c>
      <c r="H1676" s="2">
        <v>4.66</v>
      </c>
      <c r="I1676" s="1">
        <v>16</v>
      </c>
      <c r="V1676" s="1">
        <v>20</v>
      </c>
      <c r="X1676" s="1">
        <v>18</v>
      </c>
      <c r="AA1676" s="1">
        <v>3</v>
      </c>
      <c r="AB1676" s="1">
        <v>3</v>
      </c>
      <c r="AC1676" s="1">
        <v>649</v>
      </c>
      <c r="AF1676" s="3">
        <v>3.4334763948497855</v>
      </c>
      <c r="AG1676" s="3">
        <v>0.85533466942382752</v>
      </c>
      <c r="AH1676" s="1">
        <v>6299</v>
      </c>
      <c r="AI1676" s="1" t="b">
        <v>1</v>
      </c>
    </row>
    <row r="1677" spans="1:35" x14ac:dyDescent="0.25">
      <c r="A1677" s="1">
        <v>26</v>
      </c>
      <c r="B1677" s="1">
        <v>9</v>
      </c>
      <c r="C1677" s="1">
        <v>2020</v>
      </c>
      <c r="G1677" s="1" t="s">
        <v>38</v>
      </c>
      <c r="H1677" s="2">
        <v>9.51</v>
      </c>
      <c r="I1677" s="1">
        <v>20</v>
      </c>
      <c r="V1677" s="1">
        <v>35</v>
      </c>
      <c r="X1677" s="1">
        <v>30</v>
      </c>
      <c r="AA1677" s="1">
        <v>4</v>
      </c>
      <c r="AB1677" s="1">
        <v>5</v>
      </c>
      <c r="AC1677" s="1">
        <v>1249</v>
      </c>
      <c r="AF1677" s="3">
        <v>2.1030494216614093</v>
      </c>
      <c r="AG1677" s="3">
        <v>2.3007894808787865</v>
      </c>
      <c r="AH1677" s="1">
        <v>6299</v>
      </c>
      <c r="AI1677" s="1" t="b">
        <v>1</v>
      </c>
    </row>
    <row r="1678" spans="1:35" x14ac:dyDescent="0.25">
      <c r="A1678" s="1">
        <v>26</v>
      </c>
      <c r="B1678" s="1">
        <v>9</v>
      </c>
      <c r="C1678" s="1">
        <v>2020</v>
      </c>
      <c r="G1678" s="1" t="s">
        <v>38</v>
      </c>
      <c r="H1678" s="2">
        <v>6.84</v>
      </c>
      <c r="I1678" s="1">
        <v>18</v>
      </c>
      <c r="V1678" s="1">
        <v>22</v>
      </c>
      <c r="X1678" s="1">
        <v>16</v>
      </c>
      <c r="AA1678" s="1">
        <v>2</v>
      </c>
      <c r="AB1678" s="1">
        <v>3</v>
      </c>
      <c r="AC1678" s="1">
        <v>872</v>
      </c>
      <c r="AF1678" s="3">
        <v>2.6315789473684212</v>
      </c>
      <c r="AG1678" s="3">
        <v>1.4598991907172414</v>
      </c>
      <c r="AH1678" s="1">
        <v>6299</v>
      </c>
      <c r="AI1678" s="1" t="b">
        <v>1</v>
      </c>
    </row>
    <row r="1679" spans="1:35" x14ac:dyDescent="0.25">
      <c r="A1679" s="1">
        <v>26</v>
      </c>
      <c r="B1679" s="1">
        <v>9</v>
      </c>
      <c r="C1679" s="1">
        <v>2020</v>
      </c>
      <c r="G1679" s="1" t="s">
        <v>38</v>
      </c>
      <c r="H1679" s="2">
        <v>7.49</v>
      </c>
      <c r="I1679" s="1">
        <v>24</v>
      </c>
      <c r="V1679" s="1">
        <v>32</v>
      </c>
      <c r="X1679" s="1">
        <v>27</v>
      </c>
      <c r="AA1679" s="1">
        <v>3</v>
      </c>
      <c r="AB1679" s="1">
        <v>2</v>
      </c>
      <c r="AC1679" s="1">
        <v>882</v>
      </c>
      <c r="AF1679" s="3">
        <v>3.2042723631508676</v>
      </c>
      <c r="AG1679" s="3">
        <v>1.2776380826716138</v>
      </c>
      <c r="AH1679" s="1">
        <v>6299</v>
      </c>
      <c r="AI1679" s="1" t="b">
        <v>1</v>
      </c>
    </row>
    <row r="1680" spans="1:35" x14ac:dyDescent="0.25">
      <c r="A1680" s="1">
        <v>26</v>
      </c>
      <c r="B1680" s="1">
        <v>9</v>
      </c>
      <c r="C1680" s="1">
        <v>2020</v>
      </c>
      <c r="G1680" s="1" t="s">
        <v>38</v>
      </c>
      <c r="H1680" s="2">
        <v>4.24</v>
      </c>
      <c r="I1680" s="1">
        <v>13</v>
      </c>
      <c r="U1680" s="1">
        <v>17</v>
      </c>
      <c r="X1680" s="1">
        <v>16</v>
      </c>
      <c r="AA1680" s="1">
        <v>2</v>
      </c>
      <c r="AB1680" s="1">
        <v>4</v>
      </c>
      <c r="AC1680" s="1">
        <v>496</v>
      </c>
      <c r="AF1680" s="3">
        <v>3.0660377358490565</v>
      </c>
      <c r="AG1680" s="3">
        <v>0.89655844132408502</v>
      </c>
      <c r="AH1680" s="1">
        <v>6299</v>
      </c>
      <c r="AI1680" s="1" t="b">
        <v>1</v>
      </c>
    </row>
    <row r="1681" spans="1:35" x14ac:dyDescent="0.25">
      <c r="A1681" s="1">
        <v>26</v>
      </c>
      <c r="B1681" s="1">
        <v>9</v>
      </c>
      <c r="C1681" s="1">
        <v>2020</v>
      </c>
      <c r="G1681" s="1" t="s">
        <v>38</v>
      </c>
      <c r="H1681" s="2">
        <v>7.28</v>
      </c>
      <c r="I1681" s="1">
        <v>17</v>
      </c>
      <c r="V1681" s="1">
        <v>28</v>
      </c>
      <c r="X1681" s="1">
        <v>22</v>
      </c>
      <c r="AA1681" s="1">
        <v>4</v>
      </c>
      <c r="AB1681" s="1">
        <v>2</v>
      </c>
      <c r="AC1681" s="1">
        <v>998</v>
      </c>
      <c r="AF1681" s="3">
        <v>2.3351648351648353</v>
      </c>
      <c r="AG1681" s="3">
        <v>1.7185984804169736</v>
      </c>
      <c r="AH1681" s="1">
        <v>6299</v>
      </c>
      <c r="AI1681" s="1" t="b">
        <v>1</v>
      </c>
    </row>
    <row r="1682" spans="1:35" x14ac:dyDescent="0.25">
      <c r="A1682" s="1">
        <v>26</v>
      </c>
      <c r="B1682" s="1">
        <v>9</v>
      </c>
      <c r="C1682" s="1">
        <v>2020</v>
      </c>
      <c r="G1682" s="1" t="s">
        <v>38</v>
      </c>
      <c r="H1682" s="2">
        <v>6.15</v>
      </c>
      <c r="I1682" s="1">
        <v>16</v>
      </c>
      <c r="V1682" s="1">
        <v>32</v>
      </c>
      <c r="X1682" s="1">
        <v>24</v>
      </c>
      <c r="AA1682" s="1">
        <v>4</v>
      </c>
      <c r="AB1682" s="1">
        <v>2</v>
      </c>
      <c r="AC1682" s="1">
        <v>862</v>
      </c>
      <c r="AF1682" s="3">
        <v>2.6016260162601625</v>
      </c>
      <c r="AG1682" s="3">
        <v>1.3707798573841776</v>
      </c>
      <c r="AH1682" s="1">
        <v>6299</v>
      </c>
      <c r="AI1682" s="1" t="b">
        <v>1</v>
      </c>
    </row>
    <row r="1683" spans="1:35" x14ac:dyDescent="0.25">
      <c r="A1683" s="1">
        <v>26</v>
      </c>
      <c r="B1683" s="1">
        <v>9</v>
      </c>
      <c r="C1683" s="1">
        <v>2020</v>
      </c>
      <c r="G1683" s="1" t="s">
        <v>38</v>
      </c>
      <c r="H1683" s="2">
        <v>6.64</v>
      </c>
      <c r="I1683" s="1">
        <v>23</v>
      </c>
      <c r="V1683" s="1">
        <v>26</v>
      </c>
      <c r="X1683" s="1">
        <v>23</v>
      </c>
      <c r="AA1683" s="1">
        <v>2</v>
      </c>
      <c r="AB1683" s="1">
        <v>2</v>
      </c>
      <c r="AC1683" s="1">
        <v>1070</v>
      </c>
      <c r="AF1683" s="3">
        <v>3.463855421686747</v>
      </c>
      <c r="AG1683" s="3">
        <v>1.0863203091587099</v>
      </c>
      <c r="AH1683" s="1">
        <v>6299</v>
      </c>
      <c r="AI1683" s="1" t="b">
        <v>1</v>
      </c>
    </row>
    <row r="1684" spans="1:35" x14ac:dyDescent="0.25">
      <c r="A1684" s="1">
        <v>2</v>
      </c>
      <c r="B1684" s="1">
        <v>10</v>
      </c>
      <c r="C1684" s="1">
        <v>2020</v>
      </c>
      <c r="G1684" s="1" t="s">
        <v>38</v>
      </c>
      <c r="H1684" s="2">
        <v>5.41</v>
      </c>
      <c r="I1684" s="1">
        <v>19</v>
      </c>
      <c r="V1684" s="1">
        <v>22</v>
      </c>
      <c r="X1684" s="1">
        <v>18</v>
      </c>
      <c r="AA1684" s="1">
        <v>2</v>
      </c>
      <c r="AB1684" s="1">
        <v>3</v>
      </c>
      <c r="AC1684" s="1">
        <v>741</v>
      </c>
      <c r="AF1684" s="3">
        <v>3.512014787430684</v>
      </c>
      <c r="AG1684" s="3">
        <v>0.92828589112529925</v>
      </c>
      <c r="AH1684" s="1">
        <v>6300</v>
      </c>
      <c r="AI1684" s="1" t="b">
        <v>1</v>
      </c>
    </row>
    <row r="1685" spans="1:35" x14ac:dyDescent="0.25">
      <c r="A1685" s="1">
        <v>2</v>
      </c>
      <c r="B1685" s="1">
        <v>10</v>
      </c>
      <c r="C1685" s="1">
        <v>2020</v>
      </c>
      <c r="G1685" s="1" t="s">
        <v>38</v>
      </c>
      <c r="H1685" s="2">
        <v>3.72</v>
      </c>
      <c r="I1685" s="1">
        <v>15</v>
      </c>
      <c r="U1685" s="1">
        <v>16</v>
      </c>
      <c r="X1685" s="1">
        <v>15</v>
      </c>
      <c r="AA1685" s="1">
        <v>1</v>
      </c>
      <c r="AB1685" s="1">
        <v>3</v>
      </c>
      <c r="AC1685" s="1">
        <v>625</v>
      </c>
      <c r="AF1685" s="3">
        <v>4.032258064516129</v>
      </c>
      <c r="AG1685" s="3">
        <v>0.6220592304221142</v>
      </c>
      <c r="AH1685" s="1">
        <v>6300</v>
      </c>
      <c r="AI1685" s="1" t="b">
        <v>1</v>
      </c>
    </row>
    <row r="1686" spans="1:35" x14ac:dyDescent="0.25">
      <c r="A1686" s="1">
        <v>2</v>
      </c>
      <c r="B1686" s="1">
        <v>10</v>
      </c>
      <c r="C1686" s="1">
        <v>2020</v>
      </c>
      <c r="G1686" s="1" t="s">
        <v>38</v>
      </c>
      <c r="H1686" s="2">
        <v>9</v>
      </c>
      <c r="I1686" s="1">
        <v>28</v>
      </c>
      <c r="V1686" s="1">
        <v>38</v>
      </c>
      <c r="X1686" s="1">
        <v>32</v>
      </c>
      <c r="AA1686" s="1">
        <v>3</v>
      </c>
      <c r="AB1686" s="1">
        <v>2</v>
      </c>
      <c r="AC1686" s="1">
        <v>1144</v>
      </c>
      <c r="AF1686" s="3">
        <v>3.1111111111111112</v>
      </c>
      <c r="AG1686" s="3">
        <v>1.4964225177040968</v>
      </c>
      <c r="AH1686" s="1">
        <v>6300</v>
      </c>
      <c r="AI1686" s="1" t="b">
        <v>1</v>
      </c>
    </row>
    <row r="1687" spans="1:35" x14ac:dyDescent="0.25">
      <c r="A1687" s="1">
        <v>2</v>
      </c>
      <c r="B1687" s="1">
        <v>10</v>
      </c>
      <c r="C1687" s="1">
        <v>2020</v>
      </c>
      <c r="G1687" s="1" t="s">
        <v>38</v>
      </c>
      <c r="H1687" s="2">
        <v>4.42</v>
      </c>
      <c r="I1687" s="1">
        <v>14</v>
      </c>
      <c r="U1687" s="1">
        <v>24</v>
      </c>
      <c r="X1687" s="1">
        <v>19</v>
      </c>
      <c r="AA1687" s="1">
        <v>3</v>
      </c>
      <c r="AB1687" s="1">
        <v>3</v>
      </c>
      <c r="AC1687" s="1">
        <v>710</v>
      </c>
      <c r="AF1687" s="3">
        <v>3.1674208144796379</v>
      </c>
      <c r="AG1687" s="3">
        <v>0.89349025922307257</v>
      </c>
      <c r="AH1687" s="1">
        <v>6300</v>
      </c>
      <c r="AI1687" s="1" t="b">
        <v>1</v>
      </c>
    </row>
    <row r="1688" spans="1:35" x14ac:dyDescent="0.25">
      <c r="A1688" s="1">
        <v>2</v>
      </c>
      <c r="B1688" s="1">
        <v>10</v>
      </c>
      <c r="C1688" s="1">
        <v>2020</v>
      </c>
      <c r="G1688" s="1" t="s">
        <v>38</v>
      </c>
      <c r="H1688" s="2">
        <v>7.49</v>
      </c>
      <c r="I1688" s="1">
        <v>24</v>
      </c>
      <c r="V1688" s="1">
        <v>37</v>
      </c>
      <c r="X1688" s="1">
        <v>31</v>
      </c>
      <c r="AA1688" s="1">
        <v>4</v>
      </c>
      <c r="AB1688" s="1">
        <v>3</v>
      </c>
      <c r="AC1688" s="1">
        <v>1043</v>
      </c>
      <c r="AF1688" s="3">
        <v>3.2042723631508676</v>
      </c>
      <c r="AG1688" s="3">
        <v>1.2776380826716138</v>
      </c>
      <c r="AH1688" s="1">
        <v>6300</v>
      </c>
      <c r="AI1688" s="1" t="b">
        <v>1</v>
      </c>
    </row>
    <row r="1689" spans="1:35" x14ac:dyDescent="0.25">
      <c r="A1689" s="1">
        <v>2</v>
      </c>
      <c r="B1689" s="1">
        <v>10</v>
      </c>
      <c r="C1689" s="1">
        <v>2020</v>
      </c>
      <c r="G1689" s="1" t="s">
        <v>38</v>
      </c>
      <c r="H1689" s="2">
        <v>5.74</v>
      </c>
      <c r="I1689" s="1">
        <v>18</v>
      </c>
      <c r="U1689" s="1">
        <v>23</v>
      </c>
      <c r="X1689" s="1">
        <v>20</v>
      </c>
      <c r="AA1689" s="1">
        <v>2</v>
      </c>
      <c r="AB1689" s="1">
        <v>3</v>
      </c>
      <c r="AC1689" s="1">
        <v>895</v>
      </c>
      <c r="AF1689" s="3">
        <v>3.1358885017421603</v>
      </c>
      <c r="AG1689" s="3">
        <v>1.083621746378209</v>
      </c>
      <c r="AH1689" s="1">
        <v>6300</v>
      </c>
      <c r="AI1689" s="1" t="b">
        <v>1</v>
      </c>
    </row>
    <row r="1690" spans="1:35" x14ac:dyDescent="0.25">
      <c r="A1690" s="1">
        <v>2</v>
      </c>
      <c r="B1690" s="1">
        <v>10</v>
      </c>
      <c r="C1690" s="1">
        <v>2020</v>
      </c>
      <c r="G1690" s="1" t="s">
        <v>38</v>
      </c>
      <c r="H1690" s="2">
        <v>6.36</v>
      </c>
      <c r="I1690" s="1">
        <v>19</v>
      </c>
      <c r="V1690" s="1">
        <v>31</v>
      </c>
      <c r="X1690" s="1">
        <v>26</v>
      </c>
      <c r="AA1690" s="1">
        <v>3</v>
      </c>
      <c r="AB1690" s="1">
        <v>2</v>
      </c>
      <c r="AC1690" s="1">
        <v>976</v>
      </c>
      <c r="AF1690" s="3">
        <v>2.9874213836477987</v>
      </c>
      <c r="AG1690" s="3">
        <v>1.2221471395916894</v>
      </c>
      <c r="AH1690" s="1">
        <v>6300</v>
      </c>
      <c r="AI1690" s="1" t="b">
        <v>1</v>
      </c>
    </row>
    <row r="1691" spans="1:35" x14ac:dyDescent="0.25">
      <c r="A1691" s="1">
        <v>2</v>
      </c>
      <c r="B1691" s="1">
        <v>10</v>
      </c>
      <c r="C1691" s="1">
        <v>2020</v>
      </c>
      <c r="G1691" s="1" t="s">
        <v>38</v>
      </c>
      <c r="H1691" s="2">
        <v>8.59</v>
      </c>
      <c r="I1691" s="1">
        <v>21</v>
      </c>
      <c r="V1691" s="1">
        <v>34</v>
      </c>
      <c r="X1691" s="1">
        <v>29</v>
      </c>
      <c r="AA1691" s="1">
        <v>4</v>
      </c>
      <c r="AB1691" s="1">
        <v>3</v>
      </c>
      <c r="AC1691" s="1">
        <v>921</v>
      </c>
      <c r="AF1691" s="3">
        <v>2.4447031431897557</v>
      </c>
      <c r="AG1691" s="3">
        <v>1.8431856635551387</v>
      </c>
      <c r="AH1691" s="1">
        <v>6300</v>
      </c>
      <c r="AI1691" s="1" t="b">
        <v>1</v>
      </c>
    </row>
    <row r="1692" spans="1:35" x14ac:dyDescent="0.25">
      <c r="A1692" s="1">
        <v>2</v>
      </c>
      <c r="B1692" s="1">
        <v>10</v>
      </c>
      <c r="C1692" s="1">
        <v>2020</v>
      </c>
      <c r="G1692" s="1" t="s">
        <v>38</v>
      </c>
      <c r="H1692" s="2">
        <v>5.71</v>
      </c>
      <c r="I1692" s="1">
        <v>14</v>
      </c>
      <c r="V1692" s="1">
        <v>21</v>
      </c>
      <c r="X1692" s="1">
        <v>17</v>
      </c>
      <c r="AA1692" s="1">
        <v>2</v>
      </c>
      <c r="AB1692" s="1">
        <v>4</v>
      </c>
      <c r="AC1692" s="1">
        <v>786</v>
      </c>
      <c r="AF1692" s="3">
        <v>2.4518388791593697</v>
      </c>
      <c r="AG1692" s="3">
        <v>1.3808717610370709</v>
      </c>
      <c r="AH1692" s="1">
        <v>6300</v>
      </c>
      <c r="AI1692" s="1" t="b">
        <v>1</v>
      </c>
    </row>
    <row r="1693" spans="1:35" x14ac:dyDescent="0.25">
      <c r="A1693" s="1">
        <v>2</v>
      </c>
      <c r="B1693" s="1">
        <v>10</v>
      </c>
      <c r="C1693" s="1">
        <v>2020</v>
      </c>
      <c r="G1693" s="1" t="s">
        <v>38</v>
      </c>
      <c r="H1693" s="2">
        <v>9.33</v>
      </c>
      <c r="I1693" s="1">
        <v>30</v>
      </c>
      <c r="U1693" s="1">
        <v>42</v>
      </c>
      <c r="X1693" s="1">
        <v>38</v>
      </c>
      <c r="AA1693" s="1">
        <v>3</v>
      </c>
      <c r="AB1693" s="1">
        <v>1</v>
      </c>
      <c r="AC1693" s="1">
        <v>1271</v>
      </c>
      <c r="AF1693" s="3">
        <v>3.215434083601286</v>
      </c>
      <c r="AG1693" s="3">
        <v>1.4848327558641254</v>
      </c>
      <c r="AH1693" s="1">
        <v>6300</v>
      </c>
      <c r="AI1693" s="1" t="b">
        <v>1</v>
      </c>
    </row>
    <row r="1694" spans="1:35" x14ac:dyDescent="0.25">
      <c r="A1694" s="1">
        <v>2</v>
      </c>
      <c r="B1694" s="1">
        <v>10</v>
      </c>
      <c r="C1694" s="1">
        <v>2020</v>
      </c>
      <c r="G1694" s="1" t="s">
        <v>38</v>
      </c>
      <c r="H1694" s="2">
        <v>5.87</v>
      </c>
      <c r="I1694" s="1">
        <v>15</v>
      </c>
      <c r="U1694" s="1">
        <v>25</v>
      </c>
      <c r="X1694" s="1">
        <v>22</v>
      </c>
      <c r="AA1694" s="1">
        <v>4</v>
      </c>
      <c r="AB1694" s="1">
        <v>3</v>
      </c>
      <c r="AC1694" s="1">
        <v>803</v>
      </c>
      <c r="AF1694" s="3">
        <v>2.5553662691652468</v>
      </c>
      <c r="AG1694" s="3">
        <v>1.3508076548655128</v>
      </c>
      <c r="AH1694" s="1">
        <v>6300</v>
      </c>
      <c r="AI1694" s="1" t="b">
        <v>1</v>
      </c>
    </row>
    <row r="1695" spans="1:35" x14ac:dyDescent="0.25">
      <c r="A1695" s="1">
        <v>2</v>
      </c>
      <c r="B1695" s="1">
        <v>10</v>
      </c>
      <c r="C1695" s="1">
        <v>2020</v>
      </c>
      <c r="G1695" s="1" t="s">
        <v>38</v>
      </c>
      <c r="H1695" s="2">
        <v>4.46</v>
      </c>
      <c r="I1695" s="1">
        <v>11</v>
      </c>
      <c r="V1695" s="1">
        <v>16</v>
      </c>
      <c r="X1695" s="1">
        <v>14</v>
      </c>
      <c r="AA1695" s="1">
        <v>3</v>
      </c>
      <c r="AB1695" s="1">
        <v>5</v>
      </c>
      <c r="AC1695" s="1">
        <v>648</v>
      </c>
      <c r="AF1695" s="3">
        <v>2.4663677130044843</v>
      </c>
      <c r="AG1695" s="3">
        <v>1.1547196987499386</v>
      </c>
      <c r="AH1695" s="1">
        <v>6300</v>
      </c>
      <c r="AI1695" s="1" t="b">
        <v>1</v>
      </c>
    </row>
    <row r="1696" spans="1:35" x14ac:dyDescent="0.25">
      <c r="A1696" s="1">
        <v>2</v>
      </c>
      <c r="B1696" s="1">
        <v>10</v>
      </c>
      <c r="C1696" s="1">
        <v>2020</v>
      </c>
      <c r="G1696" s="1" t="s">
        <v>38</v>
      </c>
      <c r="H1696" s="2">
        <v>7.37</v>
      </c>
      <c r="I1696" s="1">
        <v>19</v>
      </c>
      <c r="U1696" s="1">
        <v>31</v>
      </c>
      <c r="X1696" s="1">
        <v>29</v>
      </c>
      <c r="AA1696" s="1">
        <v>4</v>
      </c>
      <c r="AB1696" s="1">
        <v>4</v>
      </c>
      <c r="AC1696" s="1">
        <v>989</v>
      </c>
      <c r="AF1696" s="3">
        <v>2.5780189959294435</v>
      </c>
      <c r="AG1696" s="3">
        <v>1.570149945324198</v>
      </c>
      <c r="AH1696" s="1">
        <v>6300</v>
      </c>
      <c r="AI1696" s="1" t="b">
        <v>1</v>
      </c>
    </row>
    <row r="1697" spans="1:35" x14ac:dyDescent="0.25">
      <c r="A1697" s="1">
        <v>2</v>
      </c>
      <c r="B1697" s="1">
        <v>10</v>
      </c>
      <c r="C1697" s="1">
        <v>2020</v>
      </c>
      <c r="G1697" s="1" t="s">
        <v>38</v>
      </c>
      <c r="H1697" s="2">
        <v>5.28</v>
      </c>
      <c r="I1697" s="1">
        <v>23</v>
      </c>
      <c r="U1697" s="1">
        <v>25</v>
      </c>
      <c r="X1697" s="1">
        <v>23</v>
      </c>
      <c r="AA1697" s="1">
        <v>1</v>
      </c>
      <c r="AB1697" s="1">
        <v>1</v>
      </c>
      <c r="AC1697" s="1">
        <v>751</v>
      </c>
      <c r="AF1697" s="3">
        <v>4.3560606060606055</v>
      </c>
      <c r="AG1697" s="3">
        <v>0.73578314044221294</v>
      </c>
      <c r="AH1697" s="1">
        <v>6300</v>
      </c>
      <c r="AI1697" s="1" t="b">
        <v>1</v>
      </c>
    </row>
    <row r="1698" spans="1:35" x14ac:dyDescent="0.25">
      <c r="A1698" s="1">
        <v>2</v>
      </c>
      <c r="B1698" s="1">
        <v>10</v>
      </c>
      <c r="C1698" s="1">
        <v>2020</v>
      </c>
      <c r="G1698" s="1" t="s">
        <v>38</v>
      </c>
      <c r="H1698" s="2">
        <v>3.99</v>
      </c>
      <c r="I1698" s="1">
        <v>11</v>
      </c>
      <c r="U1698" s="1">
        <v>19</v>
      </c>
      <c r="X1698" s="1">
        <v>16</v>
      </c>
      <c r="AA1698" s="1">
        <v>3</v>
      </c>
      <c r="AB1698" s="1">
        <v>3</v>
      </c>
      <c r="AC1698" s="1">
        <v>660</v>
      </c>
      <c r="AF1698" s="3">
        <v>2.7568922305764412</v>
      </c>
      <c r="AG1698" s="3">
        <v>0.95556720749082225</v>
      </c>
      <c r="AH1698" s="1">
        <v>6300</v>
      </c>
      <c r="AI1698" s="1" t="b">
        <v>1</v>
      </c>
    </row>
    <row r="1699" spans="1:35" x14ac:dyDescent="0.25">
      <c r="A1699" s="1">
        <v>3</v>
      </c>
      <c r="B1699" s="1">
        <v>10</v>
      </c>
      <c r="C1699" s="1">
        <v>2020</v>
      </c>
      <c r="G1699" s="1" t="s">
        <v>38</v>
      </c>
      <c r="H1699" s="2">
        <v>8.69</v>
      </c>
      <c r="I1699" s="1">
        <v>21</v>
      </c>
      <c r="V1699" s="1">
        <v>28</v>
      </c>
      <c r="X1699" s="1">
        <v>22</v>
      </c>
      <c r="AA1699" s="1">
        <v>2</v>
      </c>
      <c r="AB1699" s="1">
        <v>3</v>
      </c>
      <c r="AC1699" s="1">
        <v>1013</v>
      </c>
      <c r="AF1699" s="3">
        <v>2.416570771001151</v>
      </c>
      <c r="AG1699" s="3">
        <v>1.879811599988199</v>
      </c>
      <c r="AH1699" s="1">
        <v>6300</v>
      </c>
      <c r="AI1699" s="1" t="b">
        <v>1</v>
      </c>
    </row>
    <row r="1700" spans="1:35" x14ac:dyDescent="0.25">
      <c r="A1700" s="1">
        <v>3</v>
      </c>
      <c r="B1700" s="1">
        <v>10</v>
      </c>
      <c r="C1700" s="1">
        <v>2020</v>
      </c>
      <c r="G1700" s="1" t="s">
        <v>38</v>
      </c>
      <c r="H1700" s="2">
        <v>5.43</v>
      </c>
      <c r="I1700" s="1">
        <v>16</v>
      </c>
      <c r="U1700" s="1">
        <v>24</v>
      </c>
      <c r="X1700" s="1">
        <v>21</v>
      </c>
      <c r="AA1700" s="1">
        <v>3</v>
      </c>
      <c r="AB1700" s="1">
        <v>6</v>
      </c>
      <c r="AC1700" s="1">
        <v>954</v>
      </c>
      <c r="AF1700" s="3">
        <v>2.9465930018416207</v>
      </c>
      <c r="AG1700" s="3">
        <v>1.1092762830930452</v>
      </c>
      <c r="AH1700" s="1">
        <v>6300</v>
      </c>
      <c r="AI1700" s="1" t="b">
        <v>1</v>
      </c>
    </row>
    <row r="1701" spans="1:35" x14ac:dyDescent="0.25">
      <c r="A1701" s="1">
        <v>3</v>
      </c>
      <c r="B1701" s="1">
        <v>10</v>
      </c>
      <c r="C1701" s="1">
        <v>2020</v>
      </c>
      <c r="G1701" s="1" t="s">
        <v>38</v>
      </c>
      <c r="H1701" s="2">
        <v>6.92</v>
      </c>
      <c r="I1701" s="1">
        <v>18</v>
      </c>
      <c r="U1701" s="1">
        <v>31</v>
      </c>
      <c r="X1701" s="1">
        <v>22</v>
      </c>
      <c r="AA1701" s="1">
        <v>4</v>
      </c>
      <c r="AB1701" s="1">
        <v>3</v>
      </c>
      <c r="AC1701" s="1">
        <v>1013</v>
      </c>
      <c r="AF1701" s="3">
        <v>2.601156069364162</v>
      </c>
      <c r="AG1701" s="3">
        <v>1.4890451125772539</v>
      </c>
      <c r="AH1701" s="1">
        <v>6300</v>
      </c>
      <c r="AI1701" s="1" t="b">
        <v>1</v>
      </c>
    </row>
    <row r="1702" spans="1:35" x14ac:dyDescent="0.25">
      <c r="A1702" s="1">
        <v>3</v>
      </c>
      <c r="B1702" s="1">
        <v>10</v>
      </c>
      <c r="C1702" s="1">
        <v>2020</v>
      </c>
      <c r="G1702" s="1" t="s">
        <v>38</v>
      </c>
      <c r="H1702" s="2">
        <v>5.75</v>
      </c>
      <c r="I1702" s="1">
        <v>16</v>
      </c>
      <c r="V1702" s="1">
        <v>25</v>
      </c>
      <c r="X1702" s="1">
        <v>19</v>
      </c>
      <c r="AA1702" s="1">
        <v>3</v>
      </c>
      <c r="AB1702" s="1">
        <v>2</v>
      </c>
      <c r="AC1702" s="1">
        <v>706</v>
      </c>
      <c r="AF1702" s="3">
        <v>2.7826086956521738</v>
      </c>
      <c r="AG1702" s="3">
        <v>1.2226871651017401</v>
      </c>
      <c r="AH1702" s="1">
        <v>6300</v>
      </c>
      <c r="AI1702" s="1" t="b">
        <v>1</v>
      </c>
    </row>
    <row r="1703" spans="1:35" x14ac:dyDescent="0.25">
      <c r="A1703" s="1">
        <v>3</v>
      </c>
      <c r="B1703" s="1">
        <v>10</v>
      </c>
      <c r="C1703" s="1">
        <v>2020</v>
      </c>
      <c r="G1703" s="1" t="s">
        <v>38</v>
      </c>
      <c r="H1703" s="2">
        <v>5.46</v>
      </c>
      <c r="I1703" s="1">
        <v>20</v>
      </c>
      <c r="U1703" s="1">
        <v>24</v>
      </c>
      <c r="X1703" s="1">
        <v>22</v>
      </c>
      <c r="AA1703" s="1">
        <v>2</v>
      </c>
      <c r="AB1703" s="1">
        <v>2</v>
      </c>
      <c r="AC1703" s="1">
        <v>796</v>
      </c>
      <c r="AF1703" s="3">
        <v>3.6630036630036629</v>
      </c>
      <c r="AG1703" s="3">
        <v>0.89577202840228165</v>
      </c>
      <c r="AH1703" s="1">
        <v>6300</v>
      </c>
      <c r="AI1703" s="1" t="b">
        <v>1</v>
      </c>
    </row>
    <row r="1704" spans="1:35" x14ac:dyDescent="0.25">
      <c r="A1704" s="1">
        <v>3</v>
      </c>
      <c r="B1704" s="1">
        <v>10</v>
      </c>
      <c r="C1704" s="1">
        <v>2020</v>
      </c>
      <c r="G1704" s="1" t="s">
        <v>38</v>
      </c>
      <c r="H1704" s="2">
        <v>4.75</v>
      </c>
      <c r="I1704" s="1">
        <v>12</v>
      </c>
      <c r="V1704" s="1">
        <v>20</v>
      </c>
      <c r="X1704" s="1">
        <v>17</v>
      </c>
      <c r="AA1704" s="1">
        <v>3</v>
      </c>
      <c r="AB1704" s="1">
        <v>3</v>
      </c>
      <c r="AC1704" s="1">
        <v>676</v>
      </c>
      <c r="AF1704" s="3">
        <v>2.5263157894736841</v>
      </c>
      <c r="AG1704" s="3">
        <v>1.1781426828899209</v>
      </c>
      <c r="AH1704" s="1">
        <v>6300</v>
      </c>
      <c r="AI1704" s="1" t="b">
        <v>1</v>
      </c>
    </row>
    <row r="1705" spans="1:35" x14ac:dyDescent="0.25">
      <c r="A1705" s="1">
        <v>3</v>
      </c>
      <c r="B1705" s="1">
        <v>10</v>
      </c>
      <c r="C1705" s="1">
        <v>2020</v>
      </c>
      <c r="G1705" s="1" t="s">
        <v>38</v>
      </c>
      <c r="H1705" s="2">
        <v>2.48</v>
      </c>
      <c r="I1705" s="1">
        <v>6</v>
      </c>
      <c r="U1705" s="1">
        <v>10</v>
      </c>
      <c r="X1705" s="1">
        <v>8</v>
      </c>
      <c r="AA1705" s="1">
        <v>2</v>
      </c>
      <c r="AB1705" s="1">
        <v>2</v>
      </c>
      <c r="AC1705" s="1">
        <v>481</v>
      </c>
      <c r="AF1705" s="3">
        <v>2.4193548387096775</v>
      </c>
      <c r="AG1705" s="3">
        <v>0.78057853949984957</v>
      </c>
      <c r="AH1705" s="1">
        <v>6300</v>
      </c>
      <c r="AI1705" s="1" t="b">
        <v>1</v>
      </c>
    </row>
    <row r="1706" spans="1:35" x14ac:dyDescent="0.25">
      <c r="A1706" s="1">
        <v>3</v>
      </c>
      <c r="B1706" s="1">
        <v>10</v>
      </c>
      <c r="C1706" s="1">
        <v>2020</v>
      </c>
      <c r="G1706" s="1" t="s">
        <v>38</v>
      </c>
      <c r="H1706" s="2">
        <v>5.8</v>
      </c>
      <c r="I1706" s="1">
        <v>16</v>
      </c>
      <c r="V1706" s="1">
        <v>23</v>
      </c>
      <c r="X1706" s="1">
        <v>19</v>
      </c>
      <c r="AA1706" s="1">
        <v>2</v>
      </c>
      <c r="AB1706" s="1">
        <v>3</v>
      </c>
      <c r="AC1706" s="1">
        <v>861</v>
      </c>
      <c r="AF1706" s="3">
        <v>2.7586206896551726</v>
      </c>
      <c r="AG1706" s="3">
        <v>1.2408166326868899</v>
      </c>
      <c r="AH1706" s="1">
        <v>6300</v>
      </c>
      <c r="AI1706" s="1" t="b">
        <v>1</v>
      </c>
    </row>
    <row r="1707" spans="1:35" x14ac:dyDescent="0.25">
      <c r="A1707" s="1">
        <v>3</v>
      </c>
      <c r="B1707" s="1">
        <v>10</v>
      </c>
      <c r="C1707" s="1">
        <v>2020</v>
      </c>
      <c r="G1707" s="1" t="s">
        <v>38</v>
      </c>
      <c r="H1707" s="2">
        <v>5.26</v>
      </c>
      <c r="I1707" s="1">
        <v>14</v>
      </c>
      <c r="U1707" s="1">
        <v>24</v>
      </c>
      <c r="X1707" s="1">
        <v>20</v>
      </c>
      <c r="AA1707" s="1">
        <v>3</v>
      </c>
      <c r="AB1707" s="1">
        <v>3</v>
      </c>
      <c r="AC1707" s="1">
        <v>751</v>
      </c>
      <c r="AF1707" s="3">
        <v>2.661596958174905</v>
      </c>
      <c r="AG1707" s="3">
        <v>1.2010130582572462</v>
      </c>
      <c r="AH1707" s="1">
        <v>6300</v>
      </c>
      <c r="AI1707" s="1" t="b">
        <v>1</v>
      </c>
    </row>
    <row r="1708" spans="1:35" x14ac:dyDescent="0.25">
      <c r="A1708" s="1">
        <v>3</v>
      </c>
      <c r="B1708" s="1">
        <v>10</v>
      </c>
      <c r="C1708" s="1">
        <v>2020</v>
      </c>
      <c r="G1708" s="1" t="s">
        <v>38</v>
      </c>
      <c r="H1708" s="2">
        <v>3.83</v>
      </c>
      <c r="I1708" s="1">
        <v>13</v>
      </c>
      <c r="U1708" s="1">
        <v>19</v>
      </c>
      <c r="X1708" s="1">
        <v>16</v>
      </c>
      <c r="AA1708" s="1">
        <v>2</v>
      </c>
      <c r="AB1708" s="1">
        <v>3</v>
      </c>
      <c r="AC1708" s="1">
        <v>613</v>
      </c>
      <c r="AF1708" s="3">
        <v>3.3942558746736293</v>
      </c>
      <c r="AG1708" s="3">
        <v>0.75421395443077721</v>
      </c>
      <c r="AH1708" s="1">
        <v>6300</v>
      </c>
      <c r="AI1708" s="1" t="b">
        <v>1</v>
      </c>
    </row>
    <row r="1709" spans="1:35" x14ac:dyDescent="0.25">
      <c r="A1709" s="1">
        <v>3</v>
      </c>
      <c r="B1709" s="1">
        <v>10</v>
      </c>
      <c r="C1709" s="1">
        <v>2020</v>
      </c>
      <c r="G1709" s="1" t="s">
        <v>38</v>
      </c>
      <c r="H1709" s="2">
        <v>5.75</v>
      </c>
      <c r="I1709" s="1">
        <v>18</v>
      </c>
      <c r="V1709" s="1">
        <v>25</v>
      </c>
      <c r="X1709" s="1">
        <v>23</v>
      </c>
      <c r="AA1709" s="1">
        <v>1</v>
      </c>
      <c r="AB1709" s="1">
        <v>5</v>
      </c>
      <c r="AC1709" s="1">
        <v>843</v>
      </c>
      <c r="AF1709" s="3">
        <v>3.1304347826086958</v>
      </c>
      <c r="AG1709" s="3">
        <v>1.0868330356459912</v>
      </c>
      <c r="AH1709" s="1">
        <v>6300</v>
      </c>
      <c r="AI1709" s="1" t="b">
        <v>1</v>
      </c>
    </row>
    <row r="1710" spans="1:35" x14ac:dyDescent="0.25">
      <c r="A1710" s="1">
        <v>3</v>
      </c>
      <c r="B1710" s="1">
        <v>10</v>
      </c>
      <c r="C1710" s="1">
        <v>2020</v>
      </c>
      <c r="G1710" s="1" t="s">
        <v>38</v>
      </c>
      <c r="H1710" s="2">
        <v>9.56</v>
      </c>
      <c r="I1710" s="1">
        <v>29</v>
      </c>
      <c r="V1710" s="1">
        <v>40</v>
      </c>
      <c r="X1710" s="1">
        <v>30</v>
      </c>
      <c r="AA1710" s="1">
        <v>3</v>
      </c>
      <c r="AB1710" s="1">
        <v>4</v>
      </c>
      <c r="AC1710" s="1">
        <v>1320</v>
      </c>
      <c r="AF1710" s="3">
        <v>3.03347280334728</v>
      </c>
      <c r="AG1710" s="3">
        <v>1.6009597705879712</v>
      </c>
      <c r="AH1710" s="1">
        <v>6300</v>
      </c>
      <c r="AI1710" s="1" t="b">
        <v>1</v>
      </c>
    </row>
    <row r="1711" spans="1:35" x14ac:dyDescent="0.25">
      <c r="A1711" s="1">
        <v>3</v>
      </c>
      <c r="B1711" s="1">
        <v>10</v>
      </c>
      <c r="C1711" s="1">
        <v>2020</v>
      </c>
      <c r="G1711" s="1" t="s">
        <v>38</v>
      </c>
      <c r="H1711" s="2">
        <v>5.65</v>
      </c>
      <c r="I1711" s="1">
        <v>13</v>
      </c>
      <c r="V1711" s="1">
        <v>22</v>
      </c>
      <c r="X1711" s="1">
        <v>17</v>
      </c>
      <c r="AA1711" s="1">
        <v>3</v>
      </c>
      <c r="AB1711" s="1">
        <v>5</v>
      </c>
      <c r="AC1711" s="1">
        <v>750</v>
      </c>
      <c r="AF1711" s="3">
        <v>2.3008849557522124</v>
      </c>
      <c r="AG1711" s="3">
        <v>1.4606259391773162</v>
      </c>
      <c r="AH1711" s="1">
        <v>6300</v>
      </c>
      <c r="AI1711" s="1" t="b">
        <v>1</v>
      </c>
    </row>
    <row r="1712" spans="1:35" x14ac:dyDescent="0.25">
      <c r="A1712" s="1">
        <v>3</v>
      </c>
      <c r="B1712" s="1">
        <v>10</v>
      </c>
      <c r="C1712" s="1">
        <v>2020</v>
      </c>
      <c r="G1712" s="1" t="s">
        <v>38</v>
      </c>
      <c r="H1712" s="2">
        <v>4.41</v>
      </c>
      <c r="I1712" s="1">
        <v>12</v>
      </c>
      <c r="V1712" s="1">
        <v>15</v>
      </c>
      <c r="X1712" s="1">
        <v>14</v>
      </c>
      <c r="AA1712" s="1">
        <v>2</v>
      </c>
      <c r="AB1712" s="1">
        <v>2</v>
      </c>
      <c r="AC1712" s="1">
        <v>587</v>
      </c>
      <c r="AF1712" s="3">
        <v>2.7210884353741496</v>
      </c>
      <c r="AG1712" s="3">
        <v>1.038399226728931</v>
      </c>
      <c r="AH1712" s="1">
        <v>6300</v>
      </c>
      <c r="AI1712" s="1" t="b">
        <v>1</v>
      </c>
    </row>
    <row r="1713" spans="1:35" x14ac:dyDescent="0.25">
      <c r="A1713" s="1">
        <v>3</v>
      </c>
      <c r="B1713" s="1">
        <v>10</v>
      </c>
      <c r="C1713" s="1">
        <v>2020</v>
      </c>
      <c r="G1713" s="1" t="s">
        <v>38</v>
      </c>
      <c r="H1713" s="2">
        <v>4.51</v>
      </c>
      <c r="I1713" s="1">
        <v>20</v>
      </c>
      <c r="V1713" s="1">
        <v>21</v>
      </c>
      <c r="X1713" s="1">
        <v>18</v>
      </c>
      <c r="AA1713" s="1">
        <v>1</v>
      </c>
      <c r="AB1713" s="1">
        <v>2</v>
      </c>
      <c r="AC1713" s="1">
        <v>652</v>
      </c>
      <c r="AF1713" s="3">
        <v>4.434589800443459</v>
      </c>
      <c r="AG1713" s="3">
        <v>0.64724711830138681</v>
      </c>
      <c r="AH1713" s="1">
        <v>6300</v>
      </c>
      <c r="AI1713" s="1" t="b">
        <v>1</v>
      </c>
    </row>
    <row r="1714" spans="1:35" x14ac:dyDescent="0.25">
      <c r="A1714" s="1">
        <v>3</v>
      </c>
      <c r="B1714" s="1">
        <v>10</v>
      </c>
      <c r="C1714" s="1">
        <v>2020</v>
      </c>
      <c r="G1714" s="1" t="s">
        <v>38</v>
      </c>
      <c r="H1714" s="2">
        <v>5.04</v>
      </c>
      <c r="I1714" s="1">
        <v>12</v>
      </c>
      <c r="V1714" s="1">
        <v>22</v>
      </c>
      <c r="X1714" s="1">
        <v>17</v>
      </c>
      <c r="AA1714" s="1">
        <v>3</v>
      </c>
      <c r="AB1714" s="1">
        <v>3</v>
      </c>
      <c r="AC1714" s="1">
        <v>577</v>
      </c>
      <c r="AF1714" s="3">
        <v>2.3809523809523809</v>
      </c>
      <c r="AG1714" s="3">
        <v>1.3030187524038925</v>
      </c>
      <c r="AH1714" s="1">
        <v>6300</v>
      </c>
      <c r="AI1714" s="1" t="b">
        <v>1</v>
      </c>
    </row>
    <row r="1715" spans="1:35" x14ac:dyDescent="0.25">
      <c r="A1715" s="1">
        <v>3</v>
      </c>
      <c r="B1715" s="1">
        <v>10</v>
      </c>
      <c r="C1715" s="1">
        <v>2020</v>
      </c>
      <c r="G1715" s="1" t="s">
        <v>38</v>
      </c>
      <c r="H1715" s="2">
        <v>4.51</v>
      </c>
      <c r="I1715" s="1">
        <v>11</v>
      </c>
      <c r="V1715" s="1">
        <v>18</v>
      </c>
      <c r="X1715" s="1">
        <v>15</v>
      </c>
      <c r="AA1715" s="1">
        <v>2</v>
      </c>
      <c r="AB1715" s="1">
        <v>2</v>
      </c>
      <c r="AC1715" s="1">
        <v>604</v>
      </c>
      <c r="AF1715" s="3">
        <v>2.4390243902439024</v>
      </c>
      <c r="AG1715" s="3">
        <v>1.176812942366158</v>
      </c>
      <c r="AH1715" s="1">
        <v>6300</v>
      </c>
      <c r="AI1715" s="1" t="b">
        <v>1</v>
      </c>
    </row>
    <row r="1716" spans="1:35" x14ac:dyDescent="0.25">
      <c r="A1716" s="1">
        <v>3</v>
      </c>
      <c r="B1716" s="1">
        <v>10</v>
      </c>
      <c r="C1716" s="1">
        <v>2020</v>
      </c>
      <c r="G1716" s="1" t="s">
        <v>38</v>
      </c>
      <c r="H1716" s="2">
        <v>4.5</v>
      </c>
      <c r="I1716" s="1">
        <v>10</v>
      </c>
      <c r="U1716" s="1">
        <v>16</v>
      </c>
      <c r="X1716" s="1">
        <v>13</v>
      </c>
      <c r="AA1716" s="1">
        <v>2</v>
      </c>
      <c r="AB1716" s="1">
        <v>3</v>
      </c>
      <c r="AC1716" s="1">
        <v>617</v>
      </c>
      <c r="AF1716" s="3">
        <v>2.2222222222222223</v>
      </c>
      <c r="AG1716" s="3">
        <v>1.2896185558724529</v>
      </c>
      <c r="AH1716" s="1">
        <v>6300</v>
      </c>
      <c r="AI1716" s="1" t="b">
        <v>1</v>
      </c>
    </row>
    <row r="1717" spans="1:35" x14ac:dyDescent="0.25">
      <c r="A1717" s="1">
        <v>3</v>
      </c>
      <c r="B1717" s="1">
        <v>10</v>
      </c>
      <c r="C1717" s="1">
        <v>2020</v>
      </c>
      <c r="G1717" s="1" t="s">
        <v>38</v>
      </c>
      <c r="H1717" s="2">
        <v>5.99</v>
      </c>
      <c r="I1717" s="1">
        <v>13</v>
      </c>
      <c r="U1717" s="1">
        <v>28</v>
      </c>
      <c r="X1717" s="1">
        <v>23</v>
      </c>
      <c r="AA1717" s="1">
        <v>5</v>
      </c>
      <c r="AB1717" s="1">
        <v>3</v>
      </c>
      <c r="AC1717" s="1">
        <v>993</v>
      </c>
      <c r="AF1717" s="3">
        <v>2.1702838063439063</v>
      </c>
      <c r="AG1717" s="3">
        <v>1.6131778333935478</v>
      </c>
      <c r="AH1717" s="1">
        <v>6300</v>
      </c>
      <c r="AI1717" s="1" t="b">
        <v>1</v>
      </c>
    </row>
    <row r="1718" spans="1:35" x14ac:dyDescent="0.25">
      <c r="A1718" s="1">
        <v>3</v>
      </c>
      <c r="B1718" s="1">
        <v>10</v>
      </c>
      <c r="C1718" s="1">
        <v>2020</v>
      </c>
      <c r="G1718" s="1" t="s">
        <v>38</v>
      </c>
      <c r="H1718" s="2">
        <v>9.19</v>
      </c>
      <c r="I1718" s="1">
        <v>33</v>
      </c>
      <c r="V1718" s="1">
        <v>39</v>
      </c>
      <c r="X1718" s="1">
        <v>32</v>
      </c>
      <c r="AA1718" s="1">
        <v>2</v>
      </c>
      <c r="AB1718" s="1">
        <v>2</v>
      </c>
      <c r="AC1718" s="1">
        <v>1144</v>
      </c>
      <c r="AF1718" s="3">
        <v>3.5908596300326443</v>
      </c>
      <c r="AG1718" s="3">
        <v>1.315595651982953</v>
      </c>
      <c r="AH1718" s="1">
        <v>6300</v>
      </c>
      <c r="AI1718" s="1" t="b">
        <v>1</v>
      </c>
    </row>
    <row r="1719" spans="1:35" x14ac:dyDescent="0.25">
      <c r="A1719" s="1">
        <v>3</v>
      </c>
      <c r="B1719" s="1">
        <v>10</v>
      </c>
      <c r="C1719" s="1">
        <v>2020</v>
      </c>
      <c r="G1719" s="1" t="s">
        <v>38</v>
      </c>
      <c r="H1719" s="2">
        <v>9.75</v>
      </c>
      <c r="I1719" s="1">
        <v>34</v>
      </c>
      <c r="V1719" s="1">
        <v>42</v>
      </c>
      <c r="X1719" s="1">
        <v>36</v>
      </c>
      <c r="AA1719" s="1">
        <v>2</v>
      </c>
      <c r="AB1719" s="1">
        <v>1</v>
      </c>
      <c r="AC1719" s="1">
        <v>1318</v>
      </c>
      <c r="AF1719" s="3">
        <v>3.4871794871794872</v>
      </c>
      <c r="AG1719" s="3">
        <v>1.4119812499355677</v>
      </c>
      <c r="AH1719" s="1">
        <v>6300</v>
      </c>
      <c r="AI1719" s="1" t="b">
        <v>1</v>
      </c>
    </row>
    <row r="1720" spans="1:35" x14ac:dyDescent="0.25">
      <c r="A1720" s="1">
        <v>3</v>
      </c>
      <c r="B1720" s="1">
        <v>10</v>
      </c>
      <c r="C1720" s="1">
        <v>2020</v>
      </c>
      <c r="G1720" s="1" t="s">
        <v>38</v>
      </c>
      <c r="H1720" s="2">
        <v>4.5599999999999996</v>
      </c>
      <c r="I1720" s="1">
        <v>15</v>
      </c>
      <c r="U1720" s="1">
        <v>17</v>
      </c>
      <c r="X1720" s="1">
        <v>16</v>
      </c>
      <c r="AA1720" s="1">
        <v>1</v>
      </c>
      <c r="AB1720" s="1">
        <v>4</v>
      </c>
      <c r="AC1720" s="1">
        <v>728</v>
      </c>
      <c r="AF1720" s="3">
        <v>3.2894736842105265</v>
      </c>
      <c r="AG1720" s="3">
        <v>0.8793240944599785</v>
      </c>
      <c r="AH1720" s="1">
        <v>6300</v>
      </c>
      <c r="AI1720" s="1" t="b">
        <v>1</v>
      </c>
    </row>
    <row r="1721" spans="1:35" x14ac:dyDescent="0.25">
      <c r="A1721" s="1">
        <v>3</v>
      </c>
      <c r="B1721" s="1">
        <v>10</v>
      </c>
      <c r="C1721" s="1">
        <v>2020</v>
      </c>
      <c r="G1721" s="1" t="s">
        <v>38</v>
      </c>
      <c r="H1721" s="2">
        <v>6.65</v>
      </c>
      <c r="I1721" s="1">
        <v>23</v>
      </c>
      <c r="V1721" s="1">
        <v>30</v>
      </c>
      <c r="X1721" s="1">
        <v>24</v>
      </c>
      <c r="AA1721" s="1">
        <v>3</v>
      </c>
      <c r="AB1721" s="1">
        <v>4</v>
      </c>
      <c r="AC1721" s="1">
        <v>992</v>
      </c>
      <c r="AF1721" s="3">
        <v>3.4586466165413534</v>
      </c>
      <c r="AG1721" s="3">
        <v>1.0891030167093942</v>
      </c>
      <c r="AH1721" s="1">
        <v>6300</v>
      </c>
      <c r="AI1721" s="1" t="b">
        <v>1</v>
      </c>
    </row>
    <row r="1722" spans="1:35" x14ac:dyDescent="0.25">
      <c r="A1722" s="1">
        <v>3</v>
      </c>
      <c r="B1722" s="1">
        <v>10</v>
      </c>
      <c r="C1722" s="1">
        <v>2020</v>
      </c>
      <c r="G1722" s="1" t="s">
        <v>38</v>
      </c>
      <c r="H1722" s="2">
        <v>4.97</v>
      </c>
      <c r="I1722" s="1">
        <v>12</v>
      </c>
      <c r="V1722" s="1">
        <v>16</v>
      </c>
      <c r="X1722" s="1">
        <v>14</v>
      </c>
      <c r="AA1722" s="1">
        <v>2</v>
      </c>
      <c r="AB1722" s="1">
        <v>2</v>
      </c>
      <c r="AC1722" s="1">
        <v>710</v>
      </c>
      <c r="AF1722" s="3">
        <v>2.4144869215291753</v>
      </c>
      <c r="AG1722" s="3">
        <v>1.2724027961067306</v>
      </c>
      <c r="AH1722" s="1">
        <v>6300</v>
      </c>
      <c r="AI1722" s="1" t="b">
        <v>1</v>
      </c>
    </row>
    <row r="1723" spans="1:35" x14ac:dyDescent="0.25">
      <c r="A1723" s="1">
        <v>3</v>
      </c>
      <c r="B1723" s="1">
        <v>10</v>
      </c>
      <c r="C1723" s="1">
        <v>2020</v>
      </c>
      <c r="G1723" s="1" t="s">
        <v>38</v>
      </c>
      <c r="H1723" s="2">
        <v>5.35</v>
      </c>
      <c r="I1723" s="1">
        <v>15</v>
      </c>
      <c r="U1723" s="1">
        <v>29</v>
      </c>
      <c r="X1723" s="1">
        <v>24</v>
      </c>
      <c r="AA1723" s="1">
        <v>5</v>
      </c>
      <c r="AB1723" s="1">
        <v>4</v>
      </c>
      <c r="AC1723" s="1">
        <v>886</v>
      </c>
      <c r="AF1723" s="3">
        <v>2.8037383177570097</v>
      </c>
      <c r="AG1723" s="3">
        <v>1.1537458991255807</v>
      </c>
      <c r="AH1723" s="1">
        <v>6300</v>
      </c>
      <c r="AI1723" s="1" t="b">
        <v>1</v>
      </c>
    </row>
    <row r="1724" spans="1:35" x14ac:dyDescent="0.25">
      <c r="A1724" s="1">
        <v>3</v>
      </c>
      <c r="B1724" s="1">
        <v>10</v>
      </c>
      <c r="C1724" s="1">
        <v>2020</v>
      </c>
      <c r="G1724" s="1" t="s">
        <v>38</v>
      </c>
      <c r="H1724" s="2">
        <v>3.57</v>
      </c>
      <c r="I1724" s="1">
        <v>7</v>
      </c>
      <c r="U1724" s="1">
        <v>17</v>
      </c>
      <c r="X1724" s="1">
        <v>12</v>
      </c>
      <c r="AA1724" s="1">
        <v>2</v>
      </c>
      <c r="AB1724" s="1">
        <v>3</v>
      </c>
      <c r="AC1724" s="1">
        <v>704</v>
      </c>
      <c r="AF1724" s="3">
        <v>1.9607843137254903</v>
      </c>
      <c r="AG1724" s="3">
        <v>1.2429049778505552</v>
      </c>
      <c r="AH1724" s="1">
        <v>6300</v>
      </c>
      <c r="AI1724" s="1" t="b">
        <v>1</v>
      </c>
    </row>
    <row r="1725" spans="1:35" x14ac:dyDescent="0.25">
      <c r="A1725" s="1">
        <v>3</v>
      </c>
      <c r="B1725" s="1">
        <v>10</v>
      </c>
      <c r="C1725" s="1">
        <v>2020</v>
      </c>
      <c r="G1725" s="1" t="s">
        <v>38</v>
      </c>
      <c r="H1725" s="2">
        <v>6.09</v>
      </c>
      <c r="I1725" s="1">
        <v>14</v>
      </c>
      <c r="V1725" s="1">
        <v>23</v>
      </c>
      <c r="X1725" s="1">
        <v>19</v>
      </c>
      <c r="AA1725" s="1">
        <v>3</v>
      </c>
      <c r="AB1725" s="1">
        <v>4</v>
      </c>
      <c r="AC1725" s="1">
        <v>780</v>
      </c>
      <c r="AF1725" s="3">
        <v>2.2988505747126435</v>
      </c>
      <c r="AG1725" s="3">
        <v>1.5407116334169912</v>
      </c>
      <c r="AH1725" s="1">
        <v>6300</v>
      </c>
      <c r="AI1725" s="1" t="b">
        <v>1</v>
      </c>
    </row>
    <row r="1726" spans="1:35" x14ac:dyDescent="0.25">
      <c r="A1726" s="1">
        <v>3</v>
      </c>
      <c r="B1726" s="1">
        <v>10</v>
      </c>
      <c r="C1726" s="1">
        <v>2020</v>
      </c>
      <c r="G1726" s="1" t="s">
        <v>38</v>
      </c>
      <c r="H1726" s="2">
        <v>4.29</v>
      </c>
      <c r="I1726" s="1">
        <v>14</v>
      </c>
      <c r="U1726" s="1">
        <v>24</v>
      </c>
      <c r="X1726" s="1">
        <v>21</v>
      </c>
      <c r="AA1726" s="1">
        <v>3</v>
      </c>
      <c r="AB1726" s="1">
        <v>4</v>
      </c>
      <c r="AC1726" s="1">
        <v>823</v>
      </c>
      <c r="AF1726" s="3">
        <v>3.2634032634032635</v>
      </c>
      <c r="AG1726" s="3">
        <v>0.84927699666329382</v>
      </c>
      <c r="AH1726" s="1">
        <v>6300</v>
      </c>
      <c r="AI1726" s="1" t="b">
        <v>1</v>
      </c>
    </row>
    <row r="1727" spans="1:35" x14ac:dyDescent="0.25">
      <c r="A1727" s="1">
        <v>3</v>
      </c>
      <c r="B1727" s="1">
        <v>10</v>
      </c>
      <c r="C1727" s="1">
        <v>2020</v>
      </c>
      <c r="G1727" s="1" t="s">
        <v>38</v>
      </c>
      <c r="H1727" s="2">
        <v>5.64</v>
      </c>
      <c r="I1727" s="1">
        <v>16</v>
      </c>
      <c r="V1727" s="1">
        <v>24</v>
      </c>
      <c r="X1727" s="1">
        <v>19</v>
      </c>
      <c r="AA1727" s="1">
        <v>3</v>
      </c>
      <c r="AB1727" s="1">
        <v>2</v>
      </c>
      <c r="AC1727" s="1">
        <v>800</v>
      </c>
      <c r="AF1727" s="3">
        <v>2.8368794326241136</v>
      </c>
      <c r="AG1727" s="3">
        <v>1.1831900099446535</v>
      </c>
      <c r="AH1727" s="1">
        <v>6300</v>
      </c>
      <c r="AI1727" s="1" t="b">
        <v>1</v>
      </c>
    </row>
    <row r="1728" spans="1:35" x14ac:dyDescent="0.25">
      <c r="A1728" s="1">
        <v>3</v>
      </c>
      <c r="B1728" s="1">
        <v>10</v>
      </c>
      <c r="C1728" s="1">
        <v>2020</v>
      </c>
      <c r="G1728" s="1" t="s">
        <v>38</v>
      </c>
      <c r="H1728" s="2">
        <v>4.2</v>
      </c>
      <c r="I1728" s="1">
        <v>15</v>
      </c>
      <c r="U1728" s="1">
        <v>18</v>
      </c>
      <c r="X1728" s="1">
        <v>17</v>
      </c>
      <c r="AA1728" s="1">
        <v>2</v>
      </c>
      <c r="AB1728" s="1">
        <v>5</v>
      </c>
      <c r="AC1728" s="1">
        <v>615</v>
      </c>
      <c r="AF1728" s="3">
        <v>3.5714285714285712</v>
      </c>
      <c r="AG1728" s="3">
        <v>0.76459690307766726</v>
      </c>
      <c r="AH1728" s="1">
        <v>6300</v>
      </c>
      <c r="AI1728" s="1" t="b">
        <v>1</v>
      </c>
    </row>
    <row r="1729" spans="1:35" x14ac:dyDescent="0.25">
      <c r="A1729" s="1">
        <v>3</v>
      </c>
      <c r="B1729" s="1">
        <v>10</v>
      </c>
      <c r="C1729" s="1">
        <v>2020</v>
      </c>
      <c r="G1729" s="1" t="s">
        <v>38</v>
      </c>
      <c r="H1729" s="2">
        <v>5.53</v>
      </c>
      <c r="I1729" s="1">
        <v>13</v>
      </c>
      <c r="V1729" s="1">
        <v>20</v>
      </c>
      <c r="X1729" s="1">
        <v>17</v>
      </c>
      <c r="AA1729" s="1">
        <v>3</v>
      </c>
      <c r="AB1729" s="1">
        <v>4</v>
      </c>
      <c r="AC1729" s="1">
        <v>827</v>
      </c>
      <c r="AF1729" s="3">
        <v>2.3508137432188065</v>
      </c>
      <c r="AG1729" s="3">
        <v>1.4082811651342009</v>
      </c>
      <c r="AH1729" s="1">
        <v>6300</v>
      </c>
      <c r="AI1729" s="1" t="b">
        <v>1</v>
      </c>
    </row>
    <row r="1730" spans="1:35" x14ac:dyDescent="0.25">
      <c r="A1730" s="1">
        <v>3</v>
      </c>
      <c r="B1730" s="1">
        <v>10</v>
      </c>
      <c r="C1730" s="1">
        <v>2020</v>
      </c>
      <c r="G1730" s="1" t="s">
        <v>38</v>
      </c>
      <c r="H1730" s="2">
        <v>5.0999999999999996</v>
      </c>
      <c r="I1730" s="1">
        <v>12</v>
      </c>
      <c r="V1730" s="1">
        <v>20</v>
      </c>
      <c r="X1730" s="1">
        <v>19</v>
      </c>
      <c r="AA1730" s="1">
        <v>4</v>
      </c>
      <c r="AB1730" s="1">
        <v>6</v>
      </c>
      <c r="AC1730" s="1">
        <v>751</v>
      </c>
      <c r="AF1730" s="3">
        <v>2.3529411764705883</v>
      </c>
      <c r="AG1730" s="3">
        <v>1.3294991172821427</v>
      </c>
      <c r="AH1730" s="1">
        <v>6300</v>
      </c>
      <c r="AI1730" s="1" t="b">
        <v>1</v>
      </c>
    </row>
    <row r="1731" spans="1:35" x14ac:dyDescent="0.25">
      <c r="A1731" s="1">
        <v>3</v>
      </c>
      <c r="B1731" s="1">
        <v>10</v>
      </c>
      <c r="C1731" s="1">
        <v>2020</v>
      </c>
      <c r="G1731" s="1" t="s">
        <v>38</v>
      </c>
      <c r="H1731" s="2">
        <v>6.26</v>
      </c>
      <c r="I1731" s="1">
        <v>17</v>
      </c>
      <c r="V1731" s="1">
        <v>23</v>
      </c>
      <c r="X1731" s="1">
        <v>22</v>
      </c>
      <c r="AA1731" s="1">
        <v>4</v>
      </c>
      <c r="AB1731" s="1">
        <v>4</v>
      </c>
      <c r="AC1731" s="1">
        <v>769</v>
      </c>
      <c r="AF1731" s="3">
        <v>2.7156549520766773</v>
      </c>
      <c r="AG1731" s="3">
        <v>1.3296197121510633</v>
      </c>
      <c r="AH1731" s="1">
        <v>6300</v>
      </c>
      <c r="AI1731" s="1" t="b">
        <v>1</v>
      </c>
    </row>
    <row r="1732" spans="1:35" x14ac:dyDescent="0.25">
      <c r="A1732" s="1">
        <v>3</v>
      </c>
      <c r="B1732" s="1">
        <v>10</v>
      </c>
      <c r="C1732" s="1">
        <v>2020</v>
      </c>
      <c r="G1732" s="1" t="s">
        <v>38</v>
      </c>
      <c r="H1732" s="2">
        <v>5.05</v>
      </c>
      <c r="I1732" s="1">
        <v>15</v>
      </c>
      <c r="U1732" s="1">
        <v>21</v>
      </c>
      <c r="X1732" s="1">
        <v>20</v>
      </c>
      <c r="AA1732" s="1">
        <v>3</v>
      </c>
      <c r="AB1732" s="1">
        <v>3</v>
      </c>
      <c r="AC1732" s="1">
        <v>708</v>
      </c>
      <c r="AF1732" s="3">
        <v>2.9702970297029703</v>
      </c>
      <c r="AG1732" s="3">
        <v>1.0459335255105662</v>
      </c>
      <c r="AH1732" s="1">
        <v>6300</v>
      </c>
      <c r="AI1732" s="1" t="b">
        <v>1</v>
      </c>
    </row>
    <row r="1733" spans="1:35" x14ac:dyDescent="0.25">
      <c r="A1733" s="1">
        <v>3</v>
      </c>
      <c r="B1733" s="1">
        <v>10</v>
      </c>
      <c r="C1733" s="1">
        <v>2020</v>
      </c>
      <c r="G1733" s="1" t="s">
        <v>38</v>
      </c>
      <c r="H1733" s="2">
        <v>7.33</v>
      </c>
      <c r="I1733" s="1">
        <v>21</v>
      </c>
      <c r="U1733" s="1">
        <v>36</v>
      </c>
      <c r="X1733" s="1">
        <v>29</v>
      </c>
      <c r="AA1733" s="1">
        <v>4</v>
      </c>
      <c r="AB1733" s="1">
        <v>2</v>
      </c>
      <c r="AC1733" s="1">
        <v>1013</v>
      </c>
      <c r="AF1733" s="3">
        <v>2.8649386084583903</v>
      </c>
      <c r="AG1733" s="3">
        <v>1.4075293583246131</v>
      </c>
      <c r="AH1733" s="1">
        <v>6300</v>
      </c>
      <c r="AI1733" s="1" t="b">
        <v>1</v>
      </c>
    </row>
    <row r="1734" spans="1:35" x14ac:dyDescent="0.25">
      <c r="A1734" s="1">
        <v>9</v>
      </c>
      <c r="B1734" s="1">
        <v>10</v>
      </c>
      <c r="C1734" s="1">
        <v>2020</v>
      </c>
      <c r="G1734" s="1" t="s">
        <v>38</v>
      </c>
      <c r="H1734" s="2">
        <v>7.73</v>
      </c>
      <c r="I1734" s="1">
        <v>3</v>
      </c>
      <c r="V1734" s="1">
        <v>17</v>
      </c>
      <c r="X1734" s="1">
        <v>17</v>
      </c>
      <c r="AA1734" s="1">
        <v>1</v>
      </c>
      <c r="AB1734" s="1">
        <v>1</v>
      </c>
      <c r="AC1734" s="1">
        <v>380</v>
      </c>
      <c r="AF1734" s="3">
        <v>0.38809831824062091</v>
      </c>
      <c r="AG1734" s="3">
        <v>10.78409946755408</v>
      </c>
      <c r="AH1734" s="1">
        <v>6301</v>
      </c>
      <c r="AI1734" s="1" t="b">
        <v>1</v>
      </c>
    </row>
    <row r="1735" spans="1:35" x14ac:dyDescent="0.25">
      <c r="A1735" s="1">
        <v>9</v>
      </c>
      <c r="B1735" s="1">
        <v>10</v>
      </c>
      <c r="C1735" s="1">
        <v>2020</v>
      </c>
      <c r="G1735" s="1" t="s">
        <v>38</v>
      </c>
      <c r="H1735" s="2">
        <v>11.84</v>
      </c>
      <c r="I1735" s="1">
        <v>23</v>
      </c>
      <c r="V1735" s="1">
        <v>29</v>
      </c>
      <c r="X1735" s="1">
        <v>21</v>
      </c>
      <c r="AA1735" s="1">
        <v>2</v>
      </c>
      <c r="AB1735" s="1">
        <v>1</v>
      </c>
      <c r="AC1735" s="1">
        <v>564</v>
      </c>
      <c r="AF1735" s="3">
        <v>1.9425675675675675</v>
      </c>
      <c r="AG1735" s="3">
        <v>2.9038224466883027</v>
      </c>
      <c r="AH1735" s="1">
        <v>6301</v>
      </c>
      <c r="AI1735" s="1" t="b">
        <v>1</v>
      </c>
    </row>
    <row r="1736" spans="1:35" x14ac:dyDescent="0.25">
      <c r="A1736" s="1">
        <v>10</v>
      </c>
      <c r="B1736" s="1">
        <v>10</v>
      </c>
      <c r="C1736" s="1">
        <v>2020</v>
      </c>
      <c r="G1736" s="1" t="s">
        <v>38</v>
      </c>
      <c r="H1736" s="2">
        <v>5.58</v>
      </c>
      <c r="I1736" s="1">
        <v>12</v>
      </c>
      <c r="V1736" s="1">
        <v>21</v>
      </c>
      <c r="X1736" s="1">
        <v>15</v>
      </c>
      <c r="AA1736" s="1">
        <v>3</v>
      </c>
      <c r="AB1736" s="1">
        <v>4</v>
      </c>
      <c r="AC1736" s="1">
        <v>704</v>
      </c>
      <c r="AF1736" s="3">
        <v>2.150537634408602</v>
      </c>
      <c r="AG1736" s="3">
        <v>1.5491622021840907</v>
      </c>
      <c r="AH1736" s="1">
        <v>6301</v>
      </c>
      <c r="AI1736" s="1" t="b">
        <v>1</v>
      </c>
    </row>
    <row r="1737" spans="1:35" x14ac:dyDescent="0.25">
      <c r="A1737" s="1">
        <v>10</v>
      </c>
      <c r="B1737" s="1">
        <v>10</v>
      </c>
      <c r="C1737" s="1">
        <v>2020</v>
      </c>
      <c r="G1737" s="1" t="s">
        <v>38</v>
      </c>
      <c r="H1737" s="2">
        <v>7.29</v>
      </c>
      <c r="I1737" s="1">
        <v>22</v>
      </c>
      <c r="V1737" s="1">
        <v>26</v>
      </c>
      <c r="X1737" s="1">
        <v>24</v>
      </c>
      <c r="AA1737" s="1">
        <v>3</v>
      </c>
      <c r="AB1737" s="1">
        <v>2</v>
      </c>
      <c r="AC1737" s="1">
        <v>986</v>
      </c>
      <c r="AF1737" s="3">
        <v>3.017832647462277</v>
      </c>
      <c r="AG1737" s="3">
        <v>1.3311105247908239</v>
      </c>
      <c r="AH1737" s="1">
        <v>6301</v>
      </c>
      <c r="AI1737" s="1" t="b">
        <v>1</v>
      </c>
    </row>
    <row r="1738" spans="1:35" x14ac:dyDescent="0.25">
      <c r="A1738" s="1">
        <v>10</v>
      </c>
      <c r="B1738" s="1">
        <v>10</v>
      </c>
      <c r="C1738" s="1">
        <v>2020</v>
      </c>
      <c r="G1738" s="1" t="s">
        <v>38</v>
      </c>
      <c r="H1738" s="2">
        <v>7.19</v>
      </c>
      <c r="I1738" s="1">
        <v>20</v>
      </c>
      <c r="V1738" s="1">
        <v>22</v>
      </c>
      <c r="X1738" s="1">
        <v>19</v>
      </c>
      <c r="AA1738" s="1">
        <v>3</v>
      </c>
      <c r="AB1738" s="1">
        <v>2</v>
      </c>
      <c r="AC1738" s="1">
        <v>907</v>
      </c>
      <c r="AF1738" s="3">
        <v>2.7816411682892905</v>
      </c>
      <c r="AG1738" s="3">
        <v>1.4302406522391145</v>
      </c>
      <c r="AH1738" s="1">
        <v>6301</v>
      </c>
      <c r="AI1738" s="1" t="b">
        <v>1</v>
      </c>
    </row>
    <row r="1739" spans="1:35" x14ac:dyDescent="0.25">
      <c r="A1739" s="1">
        <v>10</v>
      </c>
      <c r="B1739" s="1">
        <v>10</v>
      </c>
      <c r="C1739" s="1">
        <v>2020</v>
      </c>
      <c r="G1739" s="1" t="s">
        <v>38</v>
      </c>
      <c r="H1739" s="2">
        <v>6.47</v>
      </c>
      <c r="I1739" s="1">
        <v>21</v>
      </c>
      <c r="V1739" s="1">
        <v>24</v>
      </c>
      <c r="X1739" s="1">
        <v>21</v>
      </c>
      <c r="AA1739" s="1">
        <v>2</v>
      </c>
      <c r="AB1739" s="1">
        <v>3</v>
      </c>
      <c r="AC1739" s="1">
        <v>796</v>
      </c>
      <c r="AF1739" s="3">
        <v>3.2457496136012365</v>
      </c>
      <c r="AG1739" s="3">
        <v>1.1384605405319246</v>
      </c>
      <c r="AH1739" s="1">
        <v>6301</v>
      </c>
      <c r="AI1739" s="1" t="b">
        <v>1</v>
      </c>
    </row>
    <row r="1740" spans="1:35" x14ac:dyDescent="0.25">
      <c r="A1740" s="1">
        <v>10</v>
      </c>
      <c r="B1740" s="1">
        <v>10</v>
      </c>
      <c r="C1740" s="1">
        <v>2020</v>
      </c>
      <c r="G1740" s="1" t="s">
        <v>38</v>
      </c>
      <c r="H1740" s="2">
        <v>3.59</v>
      </c>
      <c r="I1740" s="1">
        <v>10</v>
      </c>
      <c r="V1740" s="1">
        <v>14</v>
      </c>
      <c r="X1740" s="1">
        <v>13</v>
      </c>
      <c r="AA1740" s="1">
        <v>1</v>
      </c>
      <c r="AB1740" s="1">
        <v>5</v>
      </c>
      <c r="AC1740" s="1">
        <v>623</v>
      </c>
      <c r="AF1740" s="3">
        <v>2.785515320334262</v>
      </c>
      <c r="AG1740" s="3">
        <v>0.87833575571945199</v>
      </c>
      <c r="AH1740" s="1">
        <v>6301</v>
      </c>
      <c r="AI1740" s="1" t="b">
        <v>1</v>
      </c>
    </row>
    <row r="1741" spans="1:35" x14ac:dyDescent="0.25">
      <c r="A1741" s="1">
        <v>10</v>
      </c>
      <c r="B1741" s="1">
        <v>10</v>
      </c>
      <c r="C1741" s="1">
        <v>2020</v>
      </c>
      <c r="G1741" s="1" t="s">
        <v>38</v>
      </c>
      <c r="H1741" s="2">
        <v>9.0399999999999991</v>
      </c>
      <c r="I1741" s="1">
        <v>17</v>
      </c>
      <c r="V1741" s="1">
        <v>32</v>
      </c>
      <c r="X1741" s="1">
        <v>26</v>
      </c>
      <c r="AA1741" s="1">
        <v>5</v>
      </c>
      <c r="AB1741" s="1">
        <v>2</v>
      </c>
      <c r="AC1741" s="1">
        <v>1317</v>
      </c>
      <c r="AF1741" s="3">
        <v>1.8805309734513276</v>
      </c>
      <c r="AG1741" s="3">
        <v>2.4833470133276485</v>
      </c>
      <c r="AH1741" s="1">
        <v>6301</v>
      </c>
      <c r="AI1741" s="1" t="b">
        <v>1</v>
      </c>
    </row>
    <row r="1742" spans="1:35" x14ac:dyDescent="0.25">
      <c r="A1742" s="1">
        <v>10</v>
      </c>
      <c r="B1742" s="1">
        <v>10</v>
      </c>
      <c r="C1742" s="1">
        <v>2020</v>
      </c>
      <c r="G1742" s="1" t="s">
        <v>38</v>
      </c>
      <c r="H1742" s="2">
        <v>6.07</v>
      </c>
      <c r="I1742" s="1">
        <v>15</v>
      </c>
      <c r="V1742" s="1">
        <v>23</v>
      </c>
      <c r="X1742" s="1">
        <v>19</v>
      </c>
      <c r="AA1742" s="1">
        <v>2</v>
      </c>
      <c r="AB1742" s="1">
        <v>3</v>
      </c>
      <c r="AC1742" s="1">
        <v>726</v>
      </c>
      <c r="AF1742" s="3">
        <v>2.4711696869851729</v>
      </c>
      <c r="AG1742" s="3">
        <v>1.4299785262049667</v>
      </c>
      <c r="AH1742" s="1">
        <v>6301</v>
      </c>
      <c r="AI1742" s="1" t="b">
        <v>1</v>
      </c>
    </row>
    <row r="1743" spans="1:35" x14ac:dyDescent="0.25">
      <c r="A1743" s="1">
        <v>10</v>
      </c>
      <c r="B1743" s="1">
        <v>10</v>
      </c>
      <c r="C1743" s="1">
        <v>2020</v>
      </c>
      <c r="G1743" s="1" t="s">
        <v>38</v>
      </c>
      <c r="H1743" s="2">
        <v>3.37</v>
      </c>
      <c r="I1743" s="1">
        <v>9</v>
      </c>
      <c r="U1743" s="1">
        <v>15</v>
      </c>
      <c r="X1743" s="1">
        <v>13</v>
      </c>
      <c r="AA1743" s="1">
        <v>3</v>
      </c>
      <c r="AB1743" s="1">
        <v>3</v>
      </c>
      <c r="AC1743" s="1">
        <v>434</v>
      </c>
      <c r="AF1743" s="3">
        <v>2.6706231454005933</v>
      </c>
      <c r="AG1743" s="3">
        <v>0.87645237465388581</v>
      </c>
      <c r="AH1743" s="1">
        <v>6301</v>
      </c>
      <c r="AI1743" s="1" t="b">
        <v>1</v>
      </c>
    </row>
    <row r="1744" spans="1:35" x14ac:dyDescent="0.25">
      <c r="A1744" s="1">
        <v>10</v>
      </c>
      <c r="B1744" s="1">
        <v>10</v>
      </c>
      <c r="C1744" s="1">
        <v>2020</v>
      </c>
      <c r="G1744" s="1" t="s">
        <v>38</v>
      </c>
      <c r="H1744" s="2">
        <v>7.74</v>
      </c>
      <c r="I1744" s="1">
        <v>27</v>
      </c>
      <c r="V1744" s="1">
        <v>33</v>
      </c>
      <c r="X1744" s="1">
        <v>25</v>
      </c>
      <c r="AA1744" s="1">
        <v>2</v>
      </c>
      <c r="AB1744" s="1">
        <v>1</v>
      </c>
      <c r="AC1744" s="1">
        <v>864</v>
      </c>
      <c r="AF1744" s="3">
        <v>3.4883720930232558</v>
      </c>
      <c r="AG1744" s="3">
        <v>1.2008696503187637</v>
      </c>
      <c r="AH1744" s="1">
        <v>6301</v>
      </c>
      <c r="AI1744" s="1" t="b">
        <v>1</v>
      </c>
    </row>
    <row r="1745" spans="1:35" x14ac:dyDescent="0.25">
      <c r="A1745" s="1">
        <v>10</v>
      </c>
      <c r="B1745" s="1">
        <v>10</v>
      </c>
      <c r="C1745" s="1">
        <v>2020</v>
      </c>
      <c r="G1745" s="1" t="s">
        <v>38</v>
      </c>
      <c r="H1745" s="2">
        <v>9.51</v>
      </c>
      <c r="I1745" s="1">
        <v>32</v>
      </c>
      <c r="V1745" s="1">
        <v>39</v>
      </c>
      <c r="X1745" s="1">
        <v>34</v>
      </c>
      <c r="AA1745" s="1">
        <v>2</v>
      </c>
      <c r="AB1745" s="1">
        <v>1</v>
      </c>
      <c r="AC1745" s="1">
        <v>1162</v>
      </c>
      <c r="AF1745" s="3">
        <v>3.3648790746582544</v>
      </c>
      <c r="AG1745" s="3">
        <v>1.4379934255492417</v>
      </c>
      <c r="AH1745" s="1">
        <v>6301</v>
      </c>
      <c r="AI1745" s="1" t="b">
        <v>1</v>
      </c>
    </row>
    <row r="1746" spans="1:35" x14ac:dyDescent="0.25">
      <c r="A1746" s="1">
        <v>10</v>
      </c>
      <c r="B1746" s="1">
        <v>10</v>
      </c>
      <c r="C1746" s="1">
        <v>2020</v>
      </c>
      <c r="G1746" s="1" t="s">
        <v>38</v>
      </c>
      <c r="H1746" s="2">
        <v>3.44</v>
      </c>
      <c r="I1746" s="1">
        <v>10</v>
      </c>
      <c r="V1746" s="1">
        <v>16</v>
      </c>
      <c r="X1746" s="1">
        <v>11</v>
      </c>
      <c r="AA1746" s="1">
        <v>1</v>
      </c>
      <c r="AB1746" s="1">
        <v>3</v>
      </c>
      <c r="AC1746" s="1">
        <v>456</v>
      </c>
      <c r="AF1746" s="3">
        <v>2.9069767441860463</v>
      </c>
      <c r="AG1746" s="3">
        <v>0.81686323950638773</v>
      </c>
      <c r="AH1746" s="1">
        <v>6301</v>
      </c>
      <c r="AI1746" s="1" t="b">
        <v>1</v>
      </c>
    </row>
    <row r="1747" spans="1:35" x14ac:dyDescent="0.25">
      <c r="A1747" s="1">
        <v>10</v>
      </c>
      <c r="B1747" s="1">
        <v>10</v>
      </c>
      <c r="C1747" s="1">
        <v>2020</v>
      </c>
      <c r="G1747" s="1" t="s">
        <v>38</v>
      </c>
      <c r="H1747" s="2">
        <v>5.33</v>
      </c>
      <c r="I1747" s="1">
        <v>15</v>
      </c>
      <c r="V1747" s="1">
        <v>24</v>
      </c>
      <c r="X1747" s="1">
        <v>20</v>
      </c>
      <c r="AA1747" s="1">
        <v>3</v>
      </c>
      <c r="AB1747" s="1">
        <v>2</v>
      </c>
      <c r="AC1747" s="1">
        <v>765</v>
      </c>
      <c r="AF1747" s="3">
        <v>2.8142589118198873</v>
      </c>
      <c r="AG1747" s="3">
        <v>1.1464232793421592</v>
      </c>
      <c r="AH1747" s="1">
        <v>6301</v>
      </c>
      <c r="AI1747" s="1" t="b">
        <v>1</v>
      </c>
    </row>
    <row r="1748" spans="1:35" x14ac:dyDescent="0.25">
      <c r="A1748" s="1">
        <v>10</v>
      </c>
      <c r="B1748" s="1">
        <v>10</v>
      </c>
      <c r="C1748" s="1">
        <v>2020</v>
      </c>
      <c r="G1748" s="1" t="s">
        <v>38</v>
      </c>
      <c r="H1748" s="2">
        <v>4.3499999999999996</v>
      </c>
      <c r="I1748" s="1">
        <v>12</v>
      </c>
      <c r="U1748" s="1">
        <v>21</v>
      </c>
      <c r="X1748" s="1">
        <v>17</v>
      </c>
      <c r="AA1748" s="1">
        <v>3</v>
      </c>
      <c r="AB1748" s="1">
        <v>3</v>
      </c>
      <c r="AC1748" s="1">
        <v>701</v>
      </c>
      <c r="AF1748" s="3">
        <v>2.7586206896551726</v>
      </c>
      <c r="AG1748" s="3">
        <v>1.014496354501514</v>
      </c>
      <c r="AH1748" s="1">
        <v>6301</v>
      </c>
      <c r="AI1748" s="1" t="b">
        <v>1</v>
      </c>
    </row>
    <row r="1749" spans="1:35" x14ac:dyDescent="0.25">
      <c r="A1749" s="1">
        <v>10</v>
      </c>
      <c r="B1749" s="1">
        <v>10</v>
      </c>
      <c r="C1749" s="1">
        <v>2020</v>
      </c>
      <c r="G1749" s="1" t="s">
        <v>38</v>
      </c>
      <c r="H1749" s="2">
        <v>3.52</v>
      </c>
      <c r="I1749" s="1">
        <v>8</v>
      </c>
      <c r="U1749" s="1">
        <v>15</v>
      </c>
      <c r="X1749" s="1">
        <v>12</v>
      </c>
      <c r="AA1749" s="1">
        <v>2</v>
      </c>
      <c r="AB1749" s="1">
        <v>2</v>
      </c>
      <c r="AC1749" s="1">
        <v>445</v>
      </c>
      <c r="AF1749" s="3">
        <v>2.2727272727272729</v>
      </c>
      <c r="AG1749" s="3">
        <v>1.0617751111579103</v>
      </c>
      <c r="AH1749" s="1">
        <v>6301</v>
      </c>
      <c r="AI1749" s="1" t="b">
        <v>1</v>
      </c>
    </row>
    <row r="1750" spans="1:35" x14ac:dyDescent="0.25">
      <c r="A1750" s="1">
        <v>10</v>
      </c>
      <c r="B1750" s="1">
        <v>10</v>
      </c>
      <c r="C1750" s="1">
        <v>2020</v>
      </c>
      <c r="G1750" s="1" t="s">
        <v>38</v>
      </c>
      <c r="H1750" s="2">
        <v>5.58</v>
      </c>
      <c r="I1750" s="1">
        <v>21</v>
      </c>
      <c r="V1750" s="1">
        <v>28</v>
      </c>
      <c r="X1750" s="1">
        <v>22</v>
      </c>
      <c r="AA1750" s="1">
        <v>3</v>
      </c>
      <c r="AB1750" s="1">
        <v>3</v>
      </c>
      <c r="AC1750" s="1">
        <v>892</v>
      </c>
      <c r="AF1750" s="3">
        <v>3.7634408602150535</v>
      </c>
      <c r="AG1750" s="3">
        <v>0.88523554410519467</v>
      </c>
      <c r="AH1750" s="1">
        <v>6301</v>
      </c>
      <c r="AI1750" s="1" t="b">
        <v>1</v>
      </c>
    </row>
    <row r="1751" spans="1:35" x14ac:dyDescent="0.25">
      <c r="A1751" s="1">
        <v>10</v>
      </c>
      <c r="B1751" s="1">
        <v>10</v>
      </c>
      <c r="C1751" s="1">
        <v>2020</v>
      </c>
      <c r="G1751" s="1" t="s">
        <v>38</v>
      </c>
      <c r="H1751" s="2">
        <v>7.22</v>
      </c>
      <c r="I1751" s="1">
        <v>17</v>
      </c>
      <c r="V1751" s="1">
        <v>21</v>
      </c>
      <c r="X1751" s="1">
        <v>19</v>
      </c>
      <c r="AA1751" s="1">
        <v>4</v>
      </c>
      <c r="AB1751" s="1">
        <v>3</v>
      </c>
      <c r="AC1751" s="1">
        <v>716</v>
      </c>
      <c r="AF1751" s="3">
        <v>2.3545706371191137</v>
      </c>
      <c r="AG1751" s="3">
        <v>1.6945887328108502</v>
      </c>
      <c r="AH1751" s="1">
        <v>6301</v>
      </c>
      <c r="AI1751" s="1" t="b">
        <v>1</v>
      </c>
    </row>
    <row r="1752" spans="1:35" x14ac:dyDescent="0.25">
      <c r="A1752" s="1">
        <v>13</v>
      </c>
      <c r="B1752" s="1">
        <v>10</v>
      </c>
      <c r="C1752" s="1">
        <v>2020</v>
      </c>
      <c r="G1752" s="1" t="s">
        <v>38</v>
      </c>
      <c r="H1752" s="2">
        <v>4.45</v>
      </c>
      <c r="I1752" s="1">
        <v>9</v>
      </c>
      <c r="V1752" s="1">
        <v>19</v>
      </c>
      <c r="X1752" s="1">
        <v>14</v>
      </c>
      <c r="AA1752" s="1">
        <v>4</v>
      </c>
      <c r="AB1752" s="1">
        <v>4</v>
      </c>
      <c r="AC1752" s="1">
        <v>632</v>
      </c>
      <c r="AF1752" s="3">
        <v>2.0224719101123596</v>
      </c>
      <c r="AG1752" s="3">
        <v>1.4059488123778989</v>
      </c>
      <c r="AH1752" s="1">
        <v>6302</v>
      </c>
      <c r="AI1752" s="1" t="b">
        <v>1</v>
      </c>
    </row>
    <row r="1753" spans="1:35" x14ac:dyDescent="0.25">
      <c r="A1753" s="1">
        <v>13</v>
      </c>
      <c r="B1753" s="1">
        <v>10</v>
      </c>
      <c r="C1753" s="1">
        <v>2020</v>
      </c>
      <c r="G1753" s="1" t="s">
        <v>38</v>
      </c>
      <c r="H1753" s="2">
        <v>7.04</v>
      </c>
      <c r="I1753" s="1">
        <v>19</v>
      </c>
      <c r="V1753" s="1">
        <v>24</v>
      </c>
      <c r="X1753" s="1">
        <v>23</v>
      </c>
      <c r="AA1753" s="1">
        <v>4</v>
      </c>
      <c r="AB1753" s="1">
        <v>3</v>
      </c>
      <c r="AC1753" s="1">
        <v>1025</v>
      </c>
      <c r="AF1753" s="3">
        <v>2.6988636363636362</v>
      </c>
      <c r="AG1753" s="3">
        <v>1.4525126373548143</v>
      </c>
      <c r="AH1753" s="1">
        <v>6302</v>
      </c>
      <c r="AI1753" s="1" t="b">
        <v>1</v>
      </c>
    </row>
    <row r="1754" spans="1:35" x14ac:dyDescent="0.25">
      <c r="A1754" s="1">
        <v>13</v>
      </c>
      <c r="B1754" s="1">
        <v>10</v>
      </c>
      <c r="C1754" s="1">
        <v>2020</v>
      </c>
      <c r="G1754" s="1" t="s">
        <v>38</v>
      </c>
      <c r="H1754" s="2">
        <v>6.94</v>
      </c>
      <c r="I1754" s="1">
        <v>18</v>
      </c>
      <c r="V1754" s="1">
        <v>28</v>
      </c>
      <c r="X1754" s="1">
        <v>23</v>
      </c>
      <c r="AA1754" s="1">
        <v>2</v>
      </c>
      <c r="AB1754" s="1">
        <v>3</v>
      </c>
      <c r="AC1754" s="1">
        <v>943</v>
      </c>
      <c r="AF1754" s="3">
        <v>2.5936599423631121</v>
      </c>
      <c r="AG1754" s="3">
        <v>1.4963686287424784</v>
      </c>
      <c r="AH1754" s="1">
        <v>6302</v>
      </c>
      <c r="AI1754" s="1" t="b">
        <v>1</v>
      </c>
    </row>
    <row r="1755" spans="1:35" x14ac:dyDescent="0.25">
      <c r="A1755" s="1">
        <v>13</v>
      </c>
      <c r="B1755" s="1">
        <v>10</v>
      </c>
      <c r="C1755" s="1">
        <v>2020</v>
      </c>
      <c r="G1755" s="1" t="s">
        <v>38</v>
      </c>
      <c r="H1755" s="2">
        <v>5.9</v>
      </c>
      <c r="I1755" s="1">
        <v>16</v>
      </c>
      <c r="V1755" s="1">
        <v>20</v>
      </c>
      <c r="X1755" s="1">
        <v>18</v>
      </c>
      <c r="AA1755" s="1">
        <v>3</v>
      </c>
      <c r="AB1755" s="1">
        <v>3</v>
      </c>
      <c r="AC1755" s="1">
        <v>733</v>
      </c>
      <c r="AF1755" s="3">
        <v>2.7118644067796609</v>
      </c>
      <c r="AG1755" s="3">
        <v>1.2774044864470822</v>
      </c>
      <c r="AH1755" s="1">
        <v>6302</v>
      </c>
      <c r="AI1755" s="1" t="b">
        <v>1</v>
      </c>
    </row>
    <row r="1756" spans="1:35" x14ac:dyDescent="0.25">
      <c r="A1756" s="1">
        <v>13</v>
      </c>
      <c r="B1756" s="1">
        <v>10</v>
      </c>
      <c r="C1756" s="1">
        <v>2020</v>
      </c>
      <c r="G1756" s="1" t="s">
        <v>38</v>
      </c>
      <c r="H1756" s="2">
        <v>6.31</v>
      </c>
      <c r="I1756" s="1">
        <v>15</v>
      </c>
      <c r="V1756" s="1">
        <v>27</v>
      </c>
      <c r="X1756" s="1">
        <v>18</v>
      </c>
      <c r="AA1756" s="1">
        <v>3</v>
      </c>
      <c r="AB1756" s="1">
        <v>4</v>
      </c>
      <c r="AC1756" s="1">
        <v>752</v>
      </c>
      <c r="AF1756" s="3">
        <v>2.3771790808240887</v>
      </c>
      <c r="AG1756" s="3">
        <v>1.5274206285407319</v>
      </c>
      <c r="AH1756" s="1">
        <v>6302</v>
      </c>
      <c r="AI1756" s="1" t="b">
        <v>1</v>
      </c>
    </row>
    <row r="1757" spans="1:35" x14ac:dyDescent="0.25">
      <c r="A1757" s="1">
        <v>13</v>
      </c>
      <c r="B1757" s="1">
        <v>10</v>
      </c>
      <c r="C1757" s="1">
        <v>2020</v>
      </c>
      <c r="G1757" s="1" t="s">
        <v>38</v>
      </c>
      <c r="H1757" s="2">
        <v>7.8</v>
      </c>
      <c r="I1757" s="1">
        <v>22</v>
      </c>
      <c r="V1757" s="1">
        <v>31</v>
      </c>
      <c r="X1757" s="1">
        <v>26</v>
      </c>
      <c r="AA1757" s="1">
        <v>2</v>
      </c>
      <c r="AB1757" s="1">
        <v>4</v>
      </c>
      <c r="AC1757" s="1">
        <v>972</v>
      </c>
      <c r="AF1757" s="3">
        <v>2.8205128205128207</v>
      </c>
      <c r="AG1757" s="3">
        <v>1.4932693247120605</v>
      </c>
      <c r="AH1757" s="1">
        <v>6302</v>
      </c>
      <c r="AI1757" s="1" t="b">
        <v>1</v>
      </c>
    </row>
    <row r="1758" spans="1:35" x14ac:dyDescent="0.25">
      <c r="A1758" s="1">
        <v>13</v>
      </c>
      <c r="B1758" s="1">
        <v>10</v>
      </c>
      <c r="C1758" s="1">
        <v>2020</v>
      </c>
      <c r="G1758" s="1" t="s">
        <v>38</v>
      </c>
      <c r="H1758" s="2">
        <v>5.35</v>
      </c>
      <c r="I1758" s="1">
        <v>14</v>
      </c>
      <c r="U1758" s="1">
        <v>20</v>
      </c>
      <c r="X1758" s="1">
        <v>19</v>
      </c>
      <c r="AA1758" s="1">
        <v>2</v>
      </c>
      <c r="AB1758" s="1">
        <v>2</v>
      </c>
      <c r="AC1758" s="1">
        <v>788</v>
      </c>
      <c r="AF1758" s="3">
        <v>2.6168224299065423</v>
      </c>
      <c r="AG1758" s="3">
        <v>1.2361563204916934</v>
      </c>
      <c r="AH1758" s="1">
        <v>6302</v>
      </c>
      <c r="AI1758" s="1" t="b">
        <v>1</v>
      </c>
    </row>
    <row r="1759" spans="1:35" x14ac:dyDescent="0.25">
      <c r="A1759" s="1">
        <v>13</v>
      </c>
      <c r="B1759" s="1">
        <v>10</v>
      </c>
      <c r="C1759" s="1">
        <v>2020</v>
      </c>
      <c r="G1759" s="1" t="s">
        <v>38</v>
      </c>
      <c r="H1759" s="2">
        <v>5.84</v>
      </c>
      <c r="I1759" s="1">
        <v>12</v>
      </c>
      <c r="V1759" s="1">
        <v>21</v>
      </c>
      <c r="X1759" s="1">
        <v>17</v>
      </c>
      <c r="AA1759" s="1">
        <v>4</v>
      </c>
      <c r="AB1759" s="1">
        <v>4</v>
      </c>
      <c r="AC1759" s="1">
        <v>690</v>
      </c>
      <c r="AF1759" s="3">
        <v>2.0547945205479454</v>
      </c>
      <c r="AG1759" s="3">
        <v>1.6738656380544155</v>
      </c>
      <c r="AH1759" s="1">
        <v>6302</v>
      </c>
      <c r="AI1759" s="1" t="b">
        <v>1</v>
      </c>
    </row>
    <row r="1760" spans="1:35" x14ac:dyDescent="0.25">
      <c r="A1760" s="1">
        <v>13</v>
      </c>
      <c r="B1760" s="1">
        <v>10</v>
      </c>
      <c r="C1760" s="1">
        <v>2020</v>
      </c>
      <c r="G1760" s="1" t="s">
        <v>38</v>
      </c>
      <c r="H1760" s="2">
        <v>4.54</v>
      </c>
      <c r="I1760" s="1">
        <v>8</v>
      </c>
      <c r="V1760" s="1">
        <v>15</v>
      </c>
      <c r="X1760" s="1">
        <v>13</v>
      </c>
      <c r="AA1760" s="1">
        <v>3</v>
      </c>
      <c r="AB1760" s="1">
        <v>4</v>
      </c>
      <c r="AC1760" s="1">
        <v>731</v>
      </c>
      <c r="AF1760" s="3">
        <v>1.7621145374449338</v>
      </c>
      <c r="AG1760" s="3">
        <v>1.6364583742725483</v>
      </c>
      <c r="AH1760" s="1">
        <v>6302</v>
      </c>
      <c r="AI1760" s="1" t="b">
        <v>1</v>
      </c>
    </row>
    <row r="1761" spans="1:35" x14ac:dyDescent="0.25">
      <c r="A1761" s="1">
        <v>29</v>
      </c>
      <c r="B1761" s="1">
        <v>10</v>
      </c>
      <c r="C1761" s="1">
        <v>2020</v>
      </c>
      <c r="G1761" s="1" t="s">
        <v>38</v>
      </c>
      <c r="H1761" s="2">
        <v>6.74</v>
      </c>
      <c r="I1761" s="1">
        <v>21</v>
      </c>
      <c r="V1761" s="1">
        <v>32</v>
      </c>
      <c r="X1761" s="1">
        <v>28</v>
      </c>
      <c r="AA1761" s="1">
        <v>4</v>
      </c>
      <c r="AB1761" s="1">
        <v>3</v>
      </c>
      <c r="AC1761" s="1">
        <v>967</v>
      </c>
      <c r="AF1761" s="3">
        <v>3.1157270029673589</v>
      </c>
      <c r="AG1761" s="3">
        <v>1.2204009284652546</v>
      </c>
      <c r="AH1761" s="1">
        <v>6304</v>
      </c>
      <c r="AI1761" s="1" t="b">
        <v>1</v>
      </c>
    </row>
    <row r="1762" spans="1:35" x14ac:dyDescent="0.25">
      <c r="A1762" s="1">
        <v>29</v>
      </c>
      <c r="B1762" s="1">
        <v>10</v>
      </c>
      <c r="C1762" s="1">
        <v>2020</v>
      </c>
      <c r="G1762" s="1" t="s">
        <v>38</v>
      </c>
      <c r="H1762" s="2">
        <v>8.51</v>
      </c>
      <c r="I1762" s="1">
        <v>17</v>
      </c>
      <c r="V1762" s="1">
        <v>32</v>
      </c>
      <c r="X1762" s="1">
        <v>23</v>
      </c>
      <c r="AA1762" s="1">
        <v>3</v>
      </c>
      <c r="AB1762" s="1">
        <v>6</v>
      </c>
      <c r="AC1762" s="1">
        <v>1015</v>
      </c>
      <c r="AF1762" s="3">
        <v>1.9976498237367804</v>
      </c>
      <c r="AG1762" s="3">
        <v>2.2409456867064472</v>
      </c>
      <c r="AH1762" s="1">
        <v>6304</v>
      </c>
      <c r="AI1762" s="1" t="b">
        <v>1</v>
      </c>
    </row>
    <row r="1763" spans="1:35" x14ac:dyDescent="0.25">
      <c r="A1763" s="1">
        <v>29</v>
      </c>
      <c r="B1763" s="1">
        <v>10</v>
      </c>
      <c r="C1763" s="1">
        <v>2020</v>
      </c>
      <c r="G1763" s="1" t="s">
        <v>38</v>
      </c>
      <c r="H1763" s="2">
        <v>9.9499999999999993</v>
      </c>
      <c r="I1763" s="1">
        <v>38</v>
      </c>
      <c r="V1763" s="1">
        <v>44</v>
      </c>
      <c r="X1763" s="1">
        <v>33</v>
      </c>
      <c r="AA1763" s="1">
        <v>2</v>
      </c>
      <c r="AB1763" s="1">
        <v>1</v>
      </c>
      <c r="AC1763" s="1">
        <v>1203</v>
      </c>
      <c r="AF1763" s="3">
        <v>3.8190954773869348</v>
      </c>
      <c r="AG1763" s="3">
        <v>1.3077226343031367</v>
      </c>
      <c r="AH1763" s="1">
        <v>6304</v>
      </c>
      <c r="AI1763" s="1" t="b">
        <v>1</v>
      </c>
    </row>
    <row r="1764" spans="1:35" x14ac:dyDescent="0.25">
      <c r="A1764" s="1">
        <v>29</v>
      </c>
      <c r="B1764" s="1">
        <v>10</v>
      </c>
      <c r="C1764" s="1">
        <v>2020</v>
      </c>
      <c r="G1764" s="1" t="s">
        <v>38</v>
      </c>
      <c r="H1764" s="2">
        <v>6.69</v>
      </c>
      <c r="I1764" s="1">
        <v>18</v>
      </c>
      <c r="V1764" s="1">
        <v>27</v>
      </c>
      <c r="X1764" s="1">
        <v>23</v>
      </c>
      <c r="AA1764" s="1">
        <v>3</v>
      </c>
      <c r="AB1764" s="1">
        <v>4</v>
      </c>
      <c r="AC1764" s="1">
        <v>976</v>
      </c>
      <c r="AF1764" s="3">
        <v>2.6905829596412554</v>
      </c>
      <c r="AG1764" s="3">
        <v>1.4058917910277733</v>
      </c>
      <c r="AH1764" s="1">
        <v>6304</v>
      </c>
      <c r="AI1764" s="1" t="b">
        <v>1</v>
      </c>
    </row>
    <row r="1765" spans="1:35" x14ac:dyDescent="0.25">
      <c r="A1765" s="1">
        <v>29</v>
      </c>
      <c r="B1765" s="1">
        <v>10</v>
      </c>
      <c r="C1765" s="1">
        <v>2020</v>
      </c>
      <c r="G1765" s="1" t="s">
        <v>38</v>
      </c>
      <c r="H1765" s="2">
        <v>6.49</v>
      </c>
      <c r="I1765" s="1">
        <v>20</v>
      </c>
      <c r="U1765" s="1">
        <v>27</v>
      </c>
      <c r="X1765" s="1">
        <v>23</v>
      </c>
      <c r="AA1765" s="1">
        <v>2</v>
      </c>
      <c r="AB1765" s="1">
        <v>2</v>
      </c>
      <c r="AC1765" s="1">
        <v>1006</v>
      </c>
      <c r="AF1765" s="3">
        <v>3.0816640986132509</v>
      </c>
      <c r="AG1765" s="3">
        <v>1.2016721301700288</v>
      </c>
      <c r="AH1765" s="1">
        <v>6304</v>
      </c>
      <c r="AI1765" s="1" t="b">
        <v>1</v>
      </c>
    </row>
    <row r="1766" spans="1:35" x14ac:dyDescent="0.25">
      <c r="A1766" s="1">
        <v>29</v>
      </c>
      <c r="B1766" s="1">
        <v>10</v>
      </c>
      <c r="C1766" s="1">
        <v>2020</v>
      </c>
      <c r="G1766" s="1" t="s">
        <v>38</v>
      </c>
      <c r="H1766" s="2">
        <v>6.14</v>
      </c>
      <c r="I1766" s="1">
        <v>13</v>
      </c>
      <c r="V1766" s="1">
        <v>26</v>
      </c>
      <c r="X1766" s="1">
        <v>22</v>
      </c>
      <c r="AA1766" s="1">
        <v>4</v>
      </c>
      <c r="AB1766" s="1">
        <v>3</v>
      </c>
      <c r="AC1766" s="1">
        <v>719</v>
      </c>
      <c r="AF1766" s="3">
        <v>2.1172638436482085</v>
      </c>
      <c r="AG1766" s="3">
        <v>1.6824527588765443</v>
      </c>
      <c r="AH1766" s="1">
        <v>6304</v>
      </c>
      <c r="AI1766" s="1" t="b">
        <v>1</v>
      </c>
    </row>
    <row r="1767" spans="1:35" x14ac:dyDescent="0.25">
      <c r="A1767" s="1">
        <v>29</v>
      </c>
      <c r="B1767" s="1">
        <v>10</v>
      </c>
      <c r="C1767" s="1">
        <v>2020</v>
      </c>
      <c r="G1767" s="1" t="s">
        <v>38</v>
      </c>
      <c r="H1767" s="2">
        <v>7.88</v>
      </c>
      <c r="I1767" s="1">
        <v>22</v>
      </c>
      <c r="V1767" s="1">
        <v>31</v>
      </c>
      <c r="X1767" s="1">
        <v>25</v>
      </c>
      <c r="AA1767" s="1">
        <v>3</v>
      </c>
      <c r="AB1767" s="1">
        <v>1</v>
      </c>
      <c r="AC1767" s="1">
        <v>985</v>
      </c>
      <c r="AF1767" s="3">
        <v>2.7918781725888326</v>
      </c>
      <c r="AG1767" s="3">
        <v>1.5193991842850141</v>
      </c>
      <c r="AH1767" s="1">
        <v>6304</v>
      </c>
      <c r="AI1767" s="1" t="b">
        <v>1</v>
      </c>
    </row>
    <row r="1768" spans="1:35" x14ac:dyDescent="0.25">
      <c r="A1768" s="1">
        <v>31</v>
      </c>
      <c r="B1768" s="1">
        <v>10</v>
      </c>
      <c r="C1768" s="1">
        <v>2020</v>
      </c>
      <c r="G1768" s="1" t="s">
        <v>38</v>
      </c>
      <c r="H1768" s="2">
        <v>5.01</v>
      </c>
      <c r="I1768" s="1">
        <v>17</v>
      </c>
      <c r="V1768" s="1">
        <v>24</v>
      </c>
      <c r="X1768" s="1">
        <v>19</v>
      </c>
      <c r="AA1768" s="1">
        <v>2</v>
      </c>
      <c r="AB1768" s="1">
        <v>4</v>
      </c>
      <c r="AC1768" s="1">
        <v>747</v>
      </c>
      <c r="AF1768" s="3">
        <v>3.3932135728542914</v>
      </c>
      <c r="AG1768" s="3">
        <v>0.91049006779460806</v>
      </c>
      <c r="AH1768" s="1">
        <v>6304</v>
      </c>
      <c r="AI1768" s="1" t="b">
        <v>1</v>
      </c>
    </row>
    <row r="1769" spans="1:35" x14ac:dyDescent="0.25">
      <c r="A1769" s="1">
        <v>31</v>
      </c>
      <c r="B1769" s="1">
        <v>10</v>
      </c>
      <c r="C1769" s="1">
        <v>2020</v>
      </c>
      <c r="G1769" s="1" t="s">
        <v>38</v>
      </c>
      <c r="H1769" s="2">
        <v>6.27</v>
      </c>
      <c r="I1769" s="1">
        <v>18</v>
      </c>
      <c r="U1769" s="1">
        <v>34</v>
      </c>
      <c r="X1769" s="1">
        <v>27</v>
      </c>
      <c r="AA1769" s="1">
        <v>3</v>
      </c>
      <c r="AB1769" s="1">
        <v>4</v>
      </c>
      <c r="AC1769" s="1">
        <v>983</v>
      </c>
      <c r="AF1769" s="3">
        <v>2.8708133971291869</v>
      </c>
      <c r="AG1769" s="3">
        <v>1.2591640457182551</v>
      </c>
      <c r="AH1769" s="1">
        <v>6304</v>
      </c>
      <c r="AI1769" s="1" t="b">
        <v>1</v>
      </c>
    </row>
    <row r="1770" spans="1:35" x14ac:dyDescent="0.25">
      <c r="A1770" s="1">
        <v>31</v>
      </c>
      <c r="B1770" s="1">
        <v>10</v>
      </c>
      <c r="C1770" s="1">
        <v>2020</v>
      </c>
      <c r="G1770" s="1" t="s">
        <v>38</v>
      </c>
      <c r="H1770" s="2">
        <v>6.64</v>
      </c>
      <c r="I1770" s="1">
        <v>18</v>
      </c>
      <c r="V1770" s="1">
        <v>28</v>
      </c>
      <c r="X1770" s="1">
        <v>20</v>
      </c>
      <c r="AA1770" s="1">
        <v>3</v>
      </c>
      <c r="AB1770" s="1">
        <v>3</v>
      </c>
      <c r="AC1770" s="1">
        <v>841</v>
      </c>
      <c r="AF1770" s="3">
        <v>2.7108433734939759</v>
      </c>
      <c r="AG1770" s="3">
        <v>1.3880759505916851</v>
      </c>
      <c r="AH1770" s="1">
        <v>6304</v>
      </c>
      <c r="AI1770" s="1" t="b">
        <v>1</v>
      </c>
    </row>
    <row r="1771" spans="1:35" x14ac:dyDescent="0.25">
      <c r="A1771" s="1">
        <v>31</v>
      </c>
      <c r="B1771" s="1">
        <v>10</v>
      </c>
      <c r="C1771" s="1">
        <v>2020</v>
      </c>
      <c r="G1771" s="1" t="s">
        <v>38</v>
      </c>
      <c r="H1771" s="2">
        <v>6.7</v>
      </c>
      <c r="I1771" s="1">
        <v>12</v>
      </c>
      <c r="V1771" s="1">
        <v>25</v>
      </c>
      <c r="X1771" s="1">
        <v>21</v>
      </c>
      <c r="AA1771" s="1">
        <v>3</v>
      </c>
      <c r="AB1771" s="1">
        <v>2</v>
      </c>
      <c r="AC1771" s="1">
        <v>836</v>
      </c>
      <c r="AF1771" s="3">
        <v>1.791044776119403</v>
      </c>
      <c r="AG1771" s="3">
        <v>2.1141992700394647</v>
      </c>
      <c r="AH1771" s="1">
        <v>6304</v>
      </c>
      <c r="AI1771" s="1" t="b">
        <v>1</v>
      </c>
    </row>
    <row r="1772" spans="1:35" x14ac:dyDescent="0.25">
      <c r="A1772" s="1">
        <v>12</v>
      </c>
      <c r="B1772" s="1">
        <v>11</v>
      </c>
      <c r="C1772" s="1">
        <v>2020</v>
      </c>
      <c r="G1772" s="1" t="s">
        <v>38</v>
      </c>
      <c r="H1772" s="2">
        <v>7.05</v>
      </c>
      <c r="I1772" s="1">
        <v>20</v>
      </c>
      <c r="V1772" s="1">
        <v>24</v>
      </c>
      <c r="X1772" s="1">
        <v>21</v>
      </c>
      <c r="AA1772" s="1">
        <v>3</v>
      </c>
      <c r="AB1772" s="1">
        <v>3</v>
      </c>
      <c r="AC1772" s="1">
        <v>802</v>
      </c>
      <c r="AF1772" s="3">
        <v>2.8368794326241136</v>
      </c>
      <c r="AG1772" s="3">
        <v>1.3832207753499612</v>
      </c>
      <c r="AH1772" s="1">
        <v>6306</v>
      </c>
      <c r="AI1772" s="1" t="b">
        <v>1</v>
      </c>
    </row>
    <row r="1773" spans="1:35" x14ac:dyDescent="0.25">
      <c r="A1773" s="1">
        <v>24</v>
      </c>
      <c r="B1773" s="1">
        <v>11</v>
      </c>
      <c r="C1773" s="1">
        <v>2020</v>
      </c>
      <c r="G1773" s="1" t="s">
        <v>38</v>
      </c>
      <c r="H1773" s="2">
        <v>7.03</v>
      </c>
      <c r="I1773" s="1">
        <v>12</v>
      </c>
      <c r="V1773" s="1">
        <v>18</v>
      </c>
      <c r="X1773" s="1">
        <v>17</v>
      </c>
      <c r="AA1773" s="1">
        <v>2</v>
      </c>
      <c r="AB1773" s="1">
        <v>2</v>
      </c>
      <c r="AC1773" s="1">
        <v>714</v>
      </c>
      <c r="AF1773" s="3">
        <v>1.7069701280227596</v>
      </c>
      <c r="AG1773" s="3">
        <v>2.2942609146757458</v>
      </c>
      <c r="AH1773" s="1">
        <v>6308</v>
      </c>
      <c r="AI1773" s="1" t="b">
        <v>1</v>
      </c>
    </row>
    <row r="1774" spans="1:35" x14ac:dyDescent="0.25">
      <c r="A1774" s="1">
        <v>2</v>
      </c>
      <c r="B1774" s="1">
        <v>12</v>
      </c>
      <c r="C1774" s="1">
        <v>2020</v>
      </c>
      <c r="G1774" s="1" t="s">
        <v>38</v>
      </c>
      <c r="H1774" s="2">
        <v>7.29</v>
      </c>
      <c r="I1774" s="1">
        <v>15</v>
      </c>
      <c r="V1774" s="1">
        <v>29</v>
      </c>
      <c r="X1774" s="1">
        <v>26</v>
      </c>
      <c r="AA1774" s="1">
        <v>4</v>
      </c>
      <c r="AB1774" s="1">
        <v>4</v>
      </c>
      <c r="AC1774" s="1">
        <v>1074</v>
      </c>
      <c r="AF1774" s="3">
        <v>2.0576131687242798</v>
      </c>
      <c r="AG1774" s="3">
        <v>1.952295436359875</v>
      </c>
      <c r="AH1774" s="1">
        <v>6309</v>
      </c>
      <c r="AI1774" s="1" t="b">
        <v>1</v>
      </c>
    </row>
    <row r="1775" spans="1:35" x14ac:dyDescent="0.25">
      <c r="A1775" s="1">
        <v>2</v>
      </c>
      <c r="B1775" s="1">
        <v>12</v>
      </c>
      <c r="C1775" s="1">
        <v>2020</v>
      </c>
      <c r="G1775" s="1" t="s">
        <v>38</v>
      </c>
      <c r="H1775" s="2">
        <v>9.82</v>
      </c>
      <c r="I1775" s="1">
        <v>20</v>
      </c>
      <c r="V1775" s="1">
        <v>27</v>
      </c>
      <c r="X1775" s="1">
        <v>27</v>
      </c>
      <c r="AA1775" s="1">
        <v>4</v>
      </c>
      <c r="AB1775" s="1">
        <v>5</v>
      </c>
      <c r="AC1775" s="1">
        <v>747</v>
      </c>
      <c r="AF1775" s="3">
        <v>2.0366598778004072</v>
      </c>
      <c r="AG1775" s="3">
        <v>2.4297384904652817</v>
      </c>
      <c r="AH1775" s="1">
        <v>6309</v>
      </c>
      <c r="AI1775" s="1" t="b">
        <v>1</v>
      </c>
    </row>
    <row r="1776" spans="1:35" x14ac:dyDescent="0.25">
      <c r="A1776" s="1">
        <v>2</v>
      </c>
      <c r="B1776" s="1">
        <v>12</v>
      </c>
      <c r="C1776" s="1">
        <v>2020</v>
      </c>
      <c r="G1776" s="1" t="s">
        <v>38</v>
      </c>
      <c r="H1776" s="2">
        <v>6.63</v>
      </c>
      <c r="I1776" s="1">
        <v>9</v>
      </c>
      <c r="U1776" s="1">
        <v>14</v>
      </c>
      <c r="X1776" s="1">
        <v>14</v>
      </c>
      <c r="AA1776" s="1">
        <v>3</v>
      </c>
      <c r="AB1776" s="1">
        <v>3</v>
      </c>
      <c r="AC1776" s="1">
        <v>563</v>
      </c>
      <c r="AF1776" s="3">
        <v>1.3574660633484164</v>
      </c>
      <c r="AG1776" s="3">
        <v>2.7690480304138778</v>
      </c>
      <c r="AH1776" s="1">
        <v>6309</v>
      </c>
      <c r="AI1776" s="1" t="b">
        <v>1</v>
      </c>
    </row>
    <row r="1777" spans="1:35" x14ac:dyDescent="0.25">
      <c r="A1777" s="1">
        <v>2</v>
      </c>
      <c r="B1777" s="1">
        <v>12</v>
      </c>
      <c r="C1777" s="1">
        <v>2020</v>
      </c>
      <c r="G1777" s="1" t="s">
        <v>38</v>
      </c>
      <c r="H1777" s="2">
        <v>3.23</v>
      </c>
      <c r="I1777" s="1">
        <v>14</v>
      </c>
      <c r="U1777" s="1">
        <v>16</v>
      </c>
      <c r="X1777" s="1">
        <v>14</v>
      </c>
      <c r="AA1777" s="1">
        <v>1</v>
      </c>
      <c r="AB1777" s="1">
        <v>4</v>
      </c>
      <c r="AC1777" s="1">
        <v>642</v>
      </c>
      <c r="AF1777" s="3">
        <v>4.3343653250773997</v>
      </c>
      <c r="AG1777" s="3">
        <v>0.52422321826333917</v>
      </c>
      <c r="AH1777" s="1">
        <v>6309</v>
      </c>
      <c r="AI1777" s="1" t="b">
        <v>1</v>
      </c>
    </row>
    <row r="1778" spans="1:35" x14ac:dyDescent="0.25">
      <c r="A1778" s="1">
        <v>2</v>
      </c>
      <c r="B1778" s="1">
        <v>12</v>
      </c>
      <c r="C1778" s="1">
        <v>2020</v>
      </c>
      <c r="G1778" s="1" t="s">
        <v>38</v>
      </c>
      <c r="H1778" s="2">
        <v>6.57</v>
      </c>
      <c r="I1778" s="1">
        <v>20</v>
      </c>
      <c r="V1778" s="1">
        <v>26</v>
      </c>
      <c r="X1778" s="1">
        <v>23</v>
      </c>
      <c r="AA1778" s="1">
        <v>3</v>
      </c>
      <c r="AB1778" s="1">
        <v>4</v>
      </c>
      <c r="AC1778" s="1">
        <v>1012</v>
      </c>
      <c r="AF1778" s="3">
        <v>3.0441400304414001</v>
      </c>
      <c r="AG1778" s="3">
        <v>1.2269620567912178</v>
      </c>
      <c r="AH1778" s="1">
        <v>6309</v>
      </c>
      <c r="AI1778" s="1" t="b">
        <v>1</v>
      </c>
    </row>
    <row r="1779" spans="1:35" x14ac:dyDescent="0.25">
      <c r="A1779" s="1">
        <v>2</v>
      </c>
      <c r="B1779" s="1">
        <v>12</v>
      </c>
      <c r="C1779" s="1">
        <v>2020</v>
      </c>
      <c r="G1779" s="1" t="s">
        <v>38</v>
      </c>
      <c r="H1779" s="2">
        <v>6.87</v>
      </c>
      <c r="I1779" s="1">
        <v>15</v>
      </c>
      <c r="V1779" s="1">
        <v>21</v>
      </c>
      <c r="X1779" s="1">
        <v>18</v>
      </c>
      <c r="AA1779" s="1">
        <v>3</v>
      </c>
      <c r="AB1779" s="1">
        <v>3</v>
      </c>
      <c r="AC1779" s="1">
        <v>954</v>
      </c>
      <c r="AF1779" s="3">
        <v>2.1834061135371177</v>
      </c>
      <c r="AG1779" s="3">
        <v>1.76496132770418</v>
      </c>
      <c r="AH1779" s="1">
        <v>6309</v>
      </c>
      <c r="AI1779" s="1" t="b">
        <v>1</v>
      </c>
    </row>
    <row r="1780" spans="1:35" x14ac:dyDescent="0.25">
      <c r="A1780" s="1">
        <v>2</v>
      </c>
      <c r="B1780" s="1">
        <v>12</v>
      </c>
      <c r="C1780" s="1">
        <v>2020</v>
      </c>
      <c r="G1780" s="1" t="s">
        <v>38</v>
      </c>
      <c r="H1780" s="2">
        <v>5.0599999999999996</v>
      </c>
      <c r="I1780" s="1">
        <v>14</v>
      </c>
      <c r="V1780" s="1">
        <v>20</v>
      </c>
      <c r="X1780" s="1">
        <v>18</v>
      </c>
      <c r="AA1780" s="1">
        <v>3</v>
      </c>
      <c r="AB1780" s="1">
        <v>2</v>
      </c>
      <c r="AC1780" s="1">
        <v>719</v>
      </c>
      <c r="AF1780" s="3">
        <v>2.766798418972332</v>
      </c>
      <c r="AG1780" s="3">
        <v>1.1244181389035086</v>
      </c>
      <c r="AH1780" s="1">
        <v>6309</v>
      </c>
      <c r="AI1780" s="1" t="b">
        <v>1</v>
      </c>
    </row>
    <row r="1781" spans="1:35" x14ac:dyDescent="0.25">
      <c r="A1781" s="1">
        <v>2</v>
      </c>
      <c r="B1781" s="1">
        <v>12</v>
      </c>
      <c r="C1781" s="1">
        <v>2020</v>
      </c>
      <c r="G1781" s="1" t="s">
        <v>38</v>
      </c>
      <c r="H1781" s="2">
        <v>4.9800000000000004</v>
      </c>
      <c r="I1781" s="1">
        <v>13</v>
      </c>
      <c r="V1781" s="1">
        <v>19</v>
      </c>
      <c r="X1781" s="1">
        <v>16</v>
      </c>
      <c r="AA1781" s="1">
        <v>2</v>
      </c>
      <c r="AB1781" s="1">
        <v>3</v>
      </c>
      <c r="AC1781" s="1">
        <v>677</v>
      </c>
      <c r="AF1781" s="3">
        <v>2.6104417670682727</v>
      </c>
      <c r="AG1781" s="3">
        <v>1.1785459787857919</v>
      </c>
      <c r="AH1781" s="1">
        <v>6309</v>
      </c>
      <c r="AI1781" s="1" t="b">
        <v>1</v>
      </c>
    </row>
    <row r="1782" spans="1:35" x14ac:dyDescent="0.25">
      <c r="A1782" s="1">
        <v>2</v>
      </c>
      <c r="B1782" s="1">
        <v>12</v>
      </c>
      <c r="C1782" s="1">
        <v>2020</v>
      </c>
      <c r="G1782" s="1" t="s">
        <v>38</v>
      </c>
      <c r="H1782" s="2">
        <v>8.64</v>
      </c>
      <c r="I1782" s="1">
        <v>27</v>
      </c>
      <c r="U1782" s="1">
        <v>36</v>
      </c>
      <c r="X1782" s="1">
        <v>33</v>
      </c>
      <c r="AA1782" s="1">
        <v>3</v>
      </c>
      <c r="AB1782" s="1">
        <v>1</v>
      </c>
      <c r="AC1782" s="1">
        <v>1122</v>
      </c>
      <c r="AF1782" s="3">
        <v>3.125</v>
      </c>
      <c r="AG1782" s="3">
        <v>1.4478034195714091</v>
      </c>
      <c r="AH1782" s="1">
        <v>6309</v>
      </c>
      <c r="AI1782" s="1" t="b">
        <v>1</v>
      </c>
    </row>
    <row r="1783" spans="1:35" x14ac:dyDescent="0.25">
      <c r="A1783" s="1">
        <v>3</v>
      </c>
      <c r="B1783" s="1">
        <v>12</v>
      </c>
      <c r="C1783" s="1">
        <v>2020</v>
      </c>
      <c r="G1783" s="1" t="s">
        <v>38</v>
      </c>
      <c r="H1783" s="2">
        <v>5.88</v>
      </c>
      <c r="I1783" s="1">
        <v>16</v>
      </c>
      <c r="V1783" s="1">
        <v>22</v>
      </c>
      <c r="X1783" s="1">
        <v>20</v>
      </c>
      <c r="AA1783" s="1">
        <v>3</v>
      </c>
      <c r="AB1783" s="1">
        <v>5</v>
      </c>
      <c r="AC1783" s="1">
        <v>886</v>
      </c>
      <c r="AF1783" s="3">
        <v>2.7210884353741496</v>
      </c>
      <c r="AG1783" s="3">
        <v>1.2700519091836118</v>
      </c>
      <c r="AH1783" s="1">
        <v>6309</v>
      </c>
      <c r="AI1783" s="1" t="b">
        <v>1</v>
      </c>
    </row>
    <row r="1784" spans="1:35" x14ac:dyDescent="0.25">
      <c r="A1784" s="1">
        <v>3</v>
      </c>
      <c r="B1784" s="1">
        <v>12</v>
      </c>
      <c r="C1784" s="1">
        <v>2020</v>
      </c>
      <c r="G1784" s="1" t="s">
        <v>38</v>
      </c>
      <c r="H1784" s="2">
        <v>5.87</v>
      </c>
      <c r="I1784" s="1">
        <v>17</v>
      </c>
      <c r="V1784" s="1">
        <v>23</v>
      </c>
      <c r="X1784" s="1">
        <v>20</v>
      </c>
      <c r="AA1784" s="1">
        <v>2</v>
      </c>
      <c r="AB1784" s="1">
        <v>3</v>
      </c>
      <c r="AC1784" s="1">
        <v>1246</v>
      </c>
      <c r="AF1784" s="3">
        <v>2.8960817717206133</v>
      </c>
      <c r="AG1784" s="3">
        <v>1.1918891072342761</v>
      </c>
      <c r="AH1784" s="1">
        <v>6309</v>
      </c>
      <c r="AI1784" s="1" t="b">
        <v>1</v>
      </c>
    </row>
    <row r="1785" spans="1:35" x14ac:dyDescent="0.25">
      <c r="A1785" s="1">
        <v>3</v>
      </c>
      <c r="B1785" s="1">
        <v>12</v>
      </c>
      <c r="C1785" s="1">
        <v>2020</v>
      </c>
      <c r="G1785" s="1" t="s">
        <v>38</v>
      </c>
      <c r="H1785" s="2">
        <v>4.03</v>
      </c>
      <c r="I1785" s="1">
        <v>15</v>
      </c>
      <c r="V1785" s="1">
        <v>18</v>
      </c>
      <c r="X1785" s="1">
        <v>15</v>
      </c>
      <c r="AA1785" s="1">
        <v>2</v>
      </c>
      <c r="AB1785" s="1">
        <v>2</v>
      </c>
      <c r="AC1785" s="1">
        <v>750</v>
      </c>
      <c r="AF1785" s="3">
        <v>3.7220843672456572</v>
      </c>
      <c r="AG1785" s="3">
        <v>0.71273374179967131</v>
      </c>
      <c r="AH1785" s="1">
        <v>6309</v>
      </c>
      <c r="AI1785" s="1" t="b">
        <v>1</v>
      </c>
    </row>
    <row r="1786" spans="1:35" x14ac:dyDescent="0.25">
      <c r="A1786" s="1">
        <v>3</v>
      </c>
      <c r="B1786" s="1">
        <v>12</v>
      </c>
      <c r="C1786" s="1">
        <v>2020</v>
      </c>
      <c r="G1786" s="1" t="s">
        <v>38</v>
      </c>
      <c r="H1786" s="2">
        <v>2.71</v>
      </c>
      <c r="I1786" s="1">
        <v>8</v>
      </c>
      <c r="V1786" s="1">
        <v>10</v>
      </c>
      <c r="X1786" s="1">
        <v>10</v>
      </c>
      <c r="AA1786" s="1">
        <v>2</v>
      </c>
      <c r="AB1786" s="1">
        <v>4</v>
      </c>
      <c r="AC1786" s="1">
        <v>445</v>
      </c>
      <c r="AF1786" s="3">
        <v>2.9520295202952029</v>
      </c>
      <c r="AG1786" s="3">
        <v>0.68070322391455884</v>
      </c>
      <c r="AH1786" s="1">
        <v>6309</v>
      </c>
      <c r="AI1786" s="1" t="b">
        <v>1</v>
      </c>
    </row>
    <row r="1787" spans="1:35" x14ac:dyDescent="0.25">
      <c r="A1787" s="1">
        <v>3</v>
      </c>
      <c r="B1787" s="1">
        <v>12</v>
      </c>
      <c r="C1787" s="1">
        <v>2020</v>
      </c>
      <c r="G1787" s="1" t="s">
        <v>38</v>
      </c>
      <c r="H1787" s="2">
        <v>5.7</v>
      </c>
      <c r="I1787" s="1">
        <v>16</v>
      </c>
      <c r="U1787" s="1">
        <v>19</v>
      </c>
      <c r="X1787" s="1">
        <v>16</v>
      </c>
      <c r="AA1787" s="1">
        <v>2</v>
      </c>
      <c r="AB1787" s="1">
        <v>2</v>
      </c>
      <c r="AC1787" s="1">
        <v>893</v>
      </c>
      <c r="AF1787" s="3">
        <v>2.807017543859649</v>
      </c>
      <c r="AG1787" s="3">
        <v>1.2046677165186432</v>
      </c>
      <c r="AH1787" s="1">
        <v>6309</v>
      </c>
      <c r="AI1787" s="1" t="b">
        <v>1</v>
      </c>
    </row>
    <row r="1788" spans="1:35" x14ac:dyDescent="0.25">
      <c r="A1788" s="1">
        <v>3</v>
      </c>
      <c r="B1788" s="1">
        <v>12</v>
      </c>
      <c r="C1788" s="1">
        <v>2020</v>
      </c>
      <c r="G1788" s="1" t="s">
        <v>38</v>
      </c>
      <c r="H1788" s="2">
        <v>6.78</v>
      </c>
      <c r="I1788" s="1">
        <v>24</v>
      </c>
      <c r="V1788" s="1">
        <v>31</v>
      </c>
      <c r="X1788" s="1">
        <v>27</v>
      </c>
      <c r="AA1788" s="1">
        <v>3</v>
      </c>
      <c r="AB1788" s="1">
        <v>4</v>
      </c>
      <c r="AC1788" s="1">
        <v>1010</v>
      </c>
      <c r="AF1788" s="3">
        <v>3.5398230088495573</v>
      </c>
      <c r="AG1788" s="3">
        <v>1.078646746512278</v>
      </c>
      <c r="AH1788" s="1">
        <v>6309</v>
      </c>
      <c r="AI1788" s="1" t="b">
        <v>1</v>
      </c>
    </row>
    <row r="1789" spans="1:35" x14ac:dyDescent="0.25">
      <c r="A1789" s="1">
        <v>3</v>
      </c>
      <c r="B1789" s="1">
        <v>12</v>
      </c>
      <c r="C1789" s="1">
        <v>2020</v>
      </c>
      <c r="G1789" s="1" t="s">
        <v>38</v>
      </c>
      <c r="H1789" s="2">
        <v>5.49</v>
      </c>
      <c r="I1789" s="1">
        <v>13</v>
      </c>
      <c r="V1789" s="1">
        <v>23</v>
      </c>
      <c r="X1789" s="1">
        <v>18</v>
      </c>
      <c r="AA1789" s="1">
        <v>3</v>
      </c>
      <c r="AB1789" s="1">
        <v>4</v>
      </c>
      <c r="AC1789" s="1">
        <v>700</v>
      </c>
      <c r="AF1789" s="3">
        <v>2.3679417122040074</v>
      </c>
      <c r="AG1789" s="3">
        <v>1.3910080177243005</v>
      </c>
      <c r="AH1789" s="1">
        <v>6309</v>
      </c>
      <c r="AI1789" s="1" t="b">
        <v>1</v>
      </c>
    </row>
    <row r="1790" spans="1:35" x14ac:dyDescent="0.25">
      <c r="A1790" s="1">
        <v>3</v>
      </c>
      <c r="B1790" s="1">
        <v>12</v>
      </c>
      <c r="C1790" s="1">
        <v>2020</v>
      </c>
      <c r="G1790" s="1" t="s">
        <v>38</v>
      </c>
      <c r="H1790" s="2">
        <v>6.21</v>
      </c>
      <c r="I1790" s="1">
        <v>15</v>
      </c>
      <c r="V1790" s="1">
        <v>28</v>
      </c>
      <c r="X1790" s="1">
        <v>22</v>
      </c>
      <c r="AA1790" s="1">
        <v>2</v>
      </c>
      <c r="AB1790" s="1">
        <v>2</v>
      </c>
      <c r="AC1790" s="1">
        <v>845</v>
      </c>
      <c r="AF1790" s="3">
        <v>2.4154589371980677</v>
      </c>
      <c r="AG1790" s="3">
        <v>1.4864984518837951</v>
      </c>
      <c r="AH1790" s="1">
        <v>6309</v>
      </c>
      <c r="AI1790" s="1" t="b">
        <v>1</v>
      </c>
    </row>
    <row r="1791" spans="1:35" x14ac:dyDescent="0.25">
      <c r="A1791" s="1">
        <v>3</v>
      </c>
      <c r="B1791" s="1">
        <v>12</v>
      </c>
      <c r="C1791" s="1">
        <v>2020</v>
      </c>
      <c r="G1791" s="1" t="s">
        <v>38</v>
      </c>
      <c r="H1791" s="2">
        <v>8.77</v>
      </c>
      <c r="I1791" s="1">
        <v>34</v>
      </c>
      <c r="V1791" s="1">
        <v>36</v>
      </c>
      <c r="X1791" s="1">
        <v>31</v>
      </c>
      <c r="AA1791" s="1">
        <v>3</v>
      </c>
      <c r="AB1791" s="1">
        <v>2</v>
      </c>
      <c r="AC1791" s="1">
        <v>1098</v>
      </c>
      <c r="AF1791" s="3">
        <v>3.8768529076396807</v>
      </c>
      <c r="AG1791" s="3">
        <v>1.1792893912099798</v>
      </c>
      <c r="AH1791" s="1">
        <v>6309</v>
      </c>
      <c r="AI1791" s="1" t="b">
        <v>1</v>
      </c>
    </row>
    <row r="1792" spans="1:35" x14ac:dyDescent="0.25">
      <c r="A1792" s="1">
        <v>3</v>
      </c>
      <c r="B1792" s="1">
        <v>12</v>
      </c>
      <c r="C1792" s="1">
        <v>2020</v>
      </c>
      <c r="G1792" s="1" t="s">
        <v>38</v>
      </c>
      <c r="H1792" s="2">
        <v>8.2899999999999991</v>
      </c>
      <c r="I1792" s="1">
        <v>15</v>
      </c>
      <c r="V1792" s="1">
        <v>35</v>
      </c>
      <c r="X1792" s="1">
        <v>23</v>
      </c>
      <c r="AA1792" s="1">
        <v>3</v>
      </c>
      <c r="AB1792" s="1">
        <v>2</v>
      </c>
      <c r="AC1792" s="1">
        <v>1259</v>
      </c>
      <c r="AF1792" s="3">
        <v>1.8094089264173705</v>
      </c>
      <c r="AG1792" s="3">
        <v>2.4291338329104368</v>
      </c>
      <c r="AH1792" s="1">
        <v>6309</v>
      </c>
      <c r="AI1792" s="1" t="b">
        <v>1</v>
      </c>
    </row>
    <row r="1793" spans="1:35" x14ac:dyDescent="0.25">
      <c r="A1793" s="1">
        <v>3</v>
      </c>
      <c r="B1793" s="1">
        <v>12</v>
      </c>
      <c r="C1793" s="1">
        <v>2020</v>
      </c>
      <c r="G1793" s="1" t="s">
        <v>38</v>
      </c>
      <c r="H1793" s="2">
        <v>3.19</v>
      </c>
      <c r="I1793" s="1">
        <v>9</v>
      </c>
      <c r="U1793" s="1">
        <v>13</v>
      </c>
      <c r="X1793" s="1">
        <v>11</v>
      </c>
      <c r="AA1793" s="1">
        <v>2</v>
      </c>
      <c r="AB1793" s="1">
        <v>1</v>
      </c>
      <c r="AC1793" s="1">
        <v>399</v>
      </c>
      <c r="AF1793" s="3">
        <v>2.8213166144200628</v>
      </c>
      <c r="AG1793" s="3">
        <v>0.79836529846034321</v>
      </c>
      <c r="AH1793" s="1">
        <v>6309</v>
      </c>
      <c r="AI1793" s="1" t="b">
        <v>1</v>
      </c>
    </row>
    <row r="1794" spans="1:35" x14ac:dyDescent="0.25">
      <c r="A1794" s="1">
        <v>3</v>
      </c>
      <c r="B1794" s="1">
        <v>12</v>
      </c>
      <c r="C1794" s="1">
        <v>2020</v>
      </c>
      <c r="G1794" s="1" t="s">
        <v>38</v>
      </c>
      <c r="H1794" s="2">
        <v>6.09</v>
      </c>
      <c r="I1794" s="1">
        <v>15</v>
      </c>
      <c r="V1794" s="1">
        <v>28</v>
      </c>
      <c r="X1794" s="1">
        <v>24</v>
      </c>
      <c r="AA1794" s="1">
        <v>3</v>
      </c>
      <c r="AB1794" s="1">
        <v>4</v>
      </c>
      <c r="AC1794" s="1">
        <v>887</v>
      </c>
      <c r="AF1794" s="3">
        <v>2.4630541871921183</v>
      </c>
      <c r="AG1794" s="3">
        <v>1.4379975245225252</v>
      </c>
      <c r="AH1794" s="1">
        <v>6309</v>
      </c>
      <c r="AI1794" s="1" t="b">
        <v>1</v>
      </c>
    </row>
    <row r="1795" spans="1:35" x14ac:dyDescent="0.25">
      <c r="A1795" s="1">
        <v>3</v>
      </c>
      <c r="B1795" s="1">
        <v>12</v>
      </c>
      <c r="C1795" s="1">
        <v>2020</v>
      </c>
      <c r="G1795" s="1" t="s">
        <v>38</v>
      </c>
      <c r="H1795" s="2">
        <v>6.39</v>
      </c>
      <c r="I1795" s="1">
        <v>20</v>
      </c>
      <c r="V1795" s="1">
        <v>24</v>
      </c>
      <c r="X1795" s="1">
        <v>21</v>
      </c>
      <c r="AA1795" s="1">
        <v>3</v>
      </c>
      <c r="AB1795" s="1">
        <v>2</v>
      </c>
      <c r="AC1795" s="1">
        <v>815</v>
      </c>
      <c r="AF1795" s="3">
        <v>3.1298904538341161</v>
      </c>
      <c r="AG1795" s="3">
        <v>1.170365370698716</v>
      </c>
      <c r="AH1795" s="1">
        <v>6309</v>
      </c>
      <c r="AI1795" s="1" t="b">
        <v>1</v>
      </c>
    </row>
    <row r="1796" spans="1:35" x14ac:dyDescent="0.25">
      <c r="A1796" s="1">
        <v>3</v>
      </c>
      <c r="B1796" s="1">
        <v>12</v>
      </c>
      <c r="C1796" s="1">
        <v>2020</v>
      </c>
      <c r="G1796" s="1" t="s">
        <v>38</v>
      </c>
      <c r="H1796" s="2">
        <v>4.62</v>
      </c>
      <c r="I1796" s="1">
        <v>15</v>
      </c>
      <c r="V1796" s="1">
        <v>18</v>
      </c>
      <c r="X1796" s="1">
        <v>16</v>
      </c>
      <c r="AA1796" s="1">
        <v>2</v>
      </c>
      <c r="AB1796" s="1">
        <v>4</v>
      </c>
      <c r="AC1796" s="1">
        <v>721</v>
      </c>
      <c r="AF1796" s="3">
        <v>3.2467532467532467</v>
      </c>
      <c r="AG1796" s="3">
        <v>0.89908364871005331</v>
      </c>
      <c r="AH1796" s="1">
        <v>6309</v>
      </c>
      <c r="AI1796" s="1" t="b">
        <v>1</v>
      </c>
    </row>
    <row r="1797" spans="1:35" x14ac:dyDescent="0.25">
      <c r="A1797" s="1">
        <v>3</v>
      </c>
      <c r="B1797" s="1">
        <v>12</v>
      </c>
      <c r="C1797" s="1">
        <v>2020</v>
      </c>
      <c r="G1797" s="1" t="s">
        <v>38</v>
      </c>
      <c r="H1797" s="2">
        <v>4.71</v>
      </c>
      <c r="I1797" s="1">
        <v>18</v>
      </c>
      <c r="V1797" s="1">
        <v>16</v>
      </c>
      <c r="X1797" s="1">
        <v>16</v>
      </c>
      <c r="AA1797" s="1">
        <v>1</v>
      </c>
      <c r="AB1797" s="1">
        <v>3</v>
      </c>
      <c r="AC1797" s="1">
        <v>607</v>
      </c>
      <c r="AF1797" s="3">
        <v>3.8216560509554141</v>
      </c>
      <c r="AG1797" s="3">
        <v>0.77421759512636446</v>
      </c>
      <c r="AH1797" s="1">
        <v>6309</v>
      </c>
      <c r="AI1797" s="1" t="b">
        <v>1</v>
      </c>
    </row>
    <row r="1798" spans="1:35" x14ac:dyDescent="0.25">
      <c r="A1798" s="1">
        <v>3</v>
      </c>
      <c r="B1798" s="1">
        <v>12</v>
      </c>
      <c r="C1798" s="1">
        <v>2020</v>
      </c>
      <c r="G1798" s="1" t="s">
        <v>38</v>
      </c>
      <c r="H1798" s="2">
        <v>5.75</v>
      </c>
      <c r="I1798" s="1">
        <v>15</v>
      </c>
      <c r="V1798" s="1">
        <v>22</v>
      </c>
      <c r="X1798" s="1">
        <v>19</v>
      </c>
      <c r="AA1798" s="1">
        <v>4</v>
      </c>
      <c r="AB1798" s="1">
        <v>4</v>
      </c>
      <c r="AC1798" s="1">
        <v>714</v>
      </c>
      <c r="AF1798" s="3">
        <v>2.6086956521739131</v>
      </c>
      <c r="AG1798" s="3">
        <v>1.3041996427751894</v>
      </c>
      <c r="AH1798" s="1">
        <v>6309</v>
      </c>
      <c r="AI1798" s="1" t="b">
        <v>1</v>
      </c>
    </row>
    <row r="1799" spans="1:35" x14ac:dyDescent="0.25">
      <c r="A1799" s="1">
        <v>3</v>
      </c>
      <c r="B1799" s="1">
        <v>12</v>
      </c>
      <c r="C1799" s="1">
        <v>2020</v>
      </c>
      <c r="G1799" s="1" t="s">
        <v>38</v>
      </c>
      <c r="H1799" s="2">
        <v>3.45</v>
      </c>
      <c r="I1799" s="1">
        <v>10</v>
      </c>
      <c r="U1799" s="1">
        <v>14</v>
      </c>
      <c r="X1799" s="1">
        <v>11</v>
      </c>
      <c r="AA1799" s="1">
        <v>1</v>
      </c>
      <c r="AB1799" s="1">
        <v>2</v>
      </c>
      <c r="AC1799" s="1">
        <v>751</v>
      </c>
      <c r="AF1799" s="3">
        <v>2.8985507246376812</v>
      </c>
      <c r="AG1799" s="3">
        <v>0.82090416969614677</v>
      </c>
      <c r="AH1799" s="1">
        <v>6309</v>
      </c>
      <c r="AI1799" s="1" t="b">
        <v>1</v>
      </c>
    </row>
    <row r="1800" spans="1:35" x14ac:dyDescent="0.25">
      <c r="A1800" s="1">
        <v>3</v>
      </c>
      <c r="B1800" s="1">
        <v>12</v>
      </c>
      <c r="C1800" s="1">
        <v>2020</v>
      </c>
      <c r="G1800" s="1" t="s">
        <v>38</v>
      </c>
      <c r="H1800" s="2">
        <v>4.62</v>
      </c>
      <c r="I1800" s="1">
        <v>15</v>
      </c>
      <c r="U1800" s="1">
        <v>20</v>
      </c>
      <c r="X1800" s="1">
        <v>18</v>
      </c>
      <c r="AA1800" s="1">
        <v>2</v>
      </c>
      <c r="AB1800" s="1">
        <v>2</v>
      </c>
      <c r="AC1800" s="1">
        <v>698</v>
      </c>
      <c r="AF1800" s="3">
        <v>3.2467532467532467</v>
      </c>
      <c r="AG1800" s="3">
        <v>0.89908364871005331</v>
      </c>
      <c r="AH1800" s="1">
        <v>6309</v>
      </c>
      <c r="AI1800" s="1" t="b">
        <v>1</v>
      </c>
    </row>
    <row r="1801" spans="1:35" x14ac:dyDescent="0.25">
      <c r="A1801" s="1">
        <v>3</v>
      </c>
      <c r="B1801" s="1">
        <v>12</v>
      </c>
      <c r="C1801" s="1">
        <v>2020</v>
      </c>
      <c r="G1801" s="1" t="s">
        <v>38</v>
      </c>
      <c r="H1801" s="2">
        <v>5.91</v>
      </c>
      <c r="I1801" s="1">
        <v>18</v>
      </c>
      <c r="V1801" s="1">
        <v>24</v>
      </c>
      <c r="X1801" s="1">
        <v>19</v>
      </c>
      <c r="AA1801" s="1">
        <v>2</v>
      </c>
      <c r="AB1801" s="1">
        <v>4</v>
      </c>
      <c r="AC1801" s="1">
        <v>902</v>
      </c>
      <c r="AF1801" s="3">
        <v>3.0456852791878171</v>
      </c>
      <c r="AG1801" s="3">
        <v>1.1387442902334657</v>
      </c>
      <c r="AH1801" s="1">
        <v>6309</v>
      </c>
      <c r="AI1801" s="1" t="b">
        <v>1</v>
      </c>
    </row>
    <row r="1802" spans="1:35" x14ac:dyDescent="0.25">
      <c r="A1802" s="1">
        <v>3</v>
      </c>
      <c r="B1802" s="1">
        <v>12</v>
      </c>
      <c r="C1802" s="1">
        <v>2020</v>
      </c>
      <c r="G1802" s="1" t="s">
        <v>38</v>
      </c>
      <c r="H1802" s="2">
        <v>3.56</v>
      </c>
      <c r="I1802" s="1">
        <v>10</v>
      </c>
      <c r="V1802" s="1">
        <v>12</v>
      </c>
      <c r="X1802" s="1">
        <v>11</v>
      </c>
      <c r="AA1802" s="1">
        <v>2</v>
      </c>
      <c r="AB1802" s="1">
        <v>3</v>
      </c>
      <c r="AC1802" s="1">
        <v>597</v>
      </c>
      <c r="AF1802" s="3">
        <v>2.8089887640449436</v>
      </c>
      <c r="AG1802" s="3">
        <v>0.86589453082231782</v>
      </c>
      <c r="AH1802" s="1">
        <v>6309</v>
      </c>
      <c r="AI1802" s="1" t="b">
        <v>1</v>
      </c>
    </row>
    <row r="1803" spans="1:35" x14ac:dyDescent="0.25">
      <c r="A1803" s="1">
        <v>3</v>
      </c>
      <c r="B1803" s="1">
        <v>12</v>
      </c>
      <c r="C1803" s="1">
        <v>2020</v>
      </c>
      <c r="G1803" s="1" t="s">
        <v>38</v>
      </c>
      <c r="H1803" s="2">
        <v>4.79</v>
      </c>
      <c r="I1803" s="1">
        <v>14</v>
      </c>
      <c r="U1803" s="1">
        <v>22</v>
      </c>
      <c r="X1803" s="1">
        <v>17</v>
      </c>
      <c r="AA1803" s="1">
        <v>2</v>
      </c>
      <c r="AB1803" s="1">
        <v>5</v>
      </c>
      <c r="AC1803" s="1">
        <v>879</v>
      </c>
      <c r="AF1803" s="3">
        <v>2.9227557411273488</v>
      </c>
      <c r="AG1803" s="3">
        <v>1.0243357664590609</v>
      </c>
      <c r="AH1803" s="1">
        <v>6309</v>
      </c>
      <c r="AI1803" s="1" t="b">
        <v>1</v>
      </c>
    </row>
    <row r="1804" spans="1:35" x14ac:dyDescent="0.25">
      <c r="A1804" s="1">
        <v>3</v>
      </c>
      <c r="B1804" s="1">
        <v>12</v>
      </c>
      <c r="C1804" s="1">
        <v>2020</v>
      </c>
      <c r="G1804" s="1" t="s">
        <v>38</v>
      </c>
      <c r="H1804" s="2">
        <v>4.58</v>
      </c>
      <c r="I1804" s="1">
        <v>9</v>
      </c>
      <c r="V1804" s="1">
        <v>17</v>
      </c>
      <c r="X1804" s="1">
        <v>14</v>
      </c>
      <c r="AA1804" s="1">
        <v>3</v>
      </c>
      <c r="AB1804" s="1">
        <v>5</v>
      </c>
      <c r="AC1804" s="1">
        <v>685</v>
      </c>
      <c r="AF1804" s="3">
        <v>1.965065502183406</v>
      </c>
      <c r="AG1804" s="3">
        <v>1.4764841975130212</v>
      </c>
      <c r="AH1804" s="1">
        <v>6309</v>
      </c>
      <c r="AI1804" s="1" t="b">
        <v>1</v>
      </c>
    </row>
    <row r="1805" spans="1:35" x14ac:dyDescent="0.25">
      <c r="A1805" s="1">
        <v>3</v>
      </c>
      <c r="B1805" s="1">
        <v>12</v>
      </c>
      <c r="C1805" s="1">
        <v>2020</v>
      </c>
      <c r="G1805" s="1" t="s">
        <v>38</v>
      </c>
      <c r="H1805" s="2">
        <v>5.78</v>
      </c>
      <c r="I1805" s="1">
        <v>13</v>
      </c>
      <c r="V1805" s="1">
        <v>27</v>
      </c>
      <c r="X1805" s="1">
        <v>19</v>
      </c>
      <c r="AA1805" s="1">
        <v>3</v>
      </c>
      <c r="AB1805" s="1">
        <v>5</v>
      </c>
      <c r="AC1805" s="1">
        <v>947</v>
      </c>
      <c r="AF1805" s="3">
        <v>2.2491349480968856</v>
      </c>
      <c r="AG1805" s="3">
        <v>1.5182174297970017</v>
      </c>
      <c r="AH1805" s="1">
        <v>6309</v>
      </c>
      <c r="AI1805" s="1" t="b">
        <v>1</v>
      </c>
    </row>
    <row r="1806" spans="1:35" x14ac:dyDescent="0.25">
      <c r="A1806" s="1">
        <v>3</v>
      </c>
      <c r="B1806" s="1">
        <v>12</v>
      </c>
      <c r="C1806" s="1">
        <v>2020</v>
      </c>
      <c r="G1806" s="1" t="s">
        <v>38</v>
      </c>
      <c r="H1806" s="2">
        <v>4.07</v>
      </c>
      <c r="I1806" s="1">
        <v>10</v>
      </c>
      <c r="V1806" s="1">
        <v>16</v>
      </c>
      <c r="X1806" s="1">
        <v>13</v>
      </c>
      <c r="AA1806" s="1">
        <v>3</v>
      </c>
      <c r="AB1806" s="1">
        <v>5</v>
      </c>
      <c r="AC1806" s="1">
        <v>601</v>
      </c>
      <c r="AF1806" s="3">
        <v>2.4570024570024569</v>
      </c>
      <c r="AG1806" s="3">
        <v>1.0872026334449196</v>
      </c>
      <c r="AH1806" s="1">
        <v>6309</v>
      </c>
      <c r="AI1806" s="1" t="b">
        <v>1</v>
      </c>
    </row>
    <row r="1807" spans="1:35" x14ac:dyDescent="0.25">
      <c r="A1807" s="1">
        <v>3</v>
      </c>
      <c r="B1807" s="1">
        <v>12</v>
      </c>
      <c r="C1807" s="1">
        <v>2020</v>
      </c>
      <c r="G1807" s="1" t="s">
        <v>38</v>
      </c>
      <c r="H1807" s="2">
        <v>8.18</v>
      </c>
      <c r="I1807" s="1">
        <v>25</v>
      </c>
      <c r="V1807" s="1">
        <v>31</v>
      </c>
      <c r="X1807" s="1">
        <v>23</v>
      </c>
      <c r="AA1807" s="1">
        <v>2</v>
      </c>
      <c r="AB1807" s="1">
        <v>1</v>
      </c>
      <c r="AC1807" s="1">
        <v>1222</v>
      </c>
      <c r="AF1807" s="3">
        <v>3.0562347188264058</v>
      </c>
      <c r="AG1807" s="3">
        <v>1.4247563707037145</v>
      </c>
      <c r="AH1807" s="1">
        <v>6309</v>
      </c>
      <c r="AI1807" s="1" t="b">
        <v>1</v>
      </c>
    </row>
    <row r="1808" spans="1:35" x14ac:dyDescent="0.25">
      <c r="A1808" s="1">
        <v>3</v>
      </c>
      <c r="B1808" s="1">
        <v>12</v>
      </c>
      <c r="C1808" s="1">
        <v>2020</v>
      </c>
      <c r="G1808" s="1" t="s">
        <v>38</v>
      </c>
      <c r="H1808" s="2">
        <v>5.73</v>
      </c>
      <c r="I1808" s="1">
        <v>21</v>
      </c>
      <c r="V1808" s="1">
        <v>28</v>
      </c>
      <c r="X1808" s="1">
        <v>25</v>
      </c>
      <c r="AA1808" s="1">
        <v>3</v>
      </c>
      <c r="AB1808" s="1">
        <v>3</v>
      </c>
      <c r="AC1808" s="1">
        <v>936</v>
      </c>
      <c r="AF1808" s="3">
        <v>3.664921465968586</v>
      </c>
      <c r="AG1808" s="3">
        <v>0.92606946079815144</v>
      </c>
      <c r="AH1808" s="1">
        <v>6309</v>
      </c>
      <c r="AI1808" s="1" t="b">
        <v>1</v>
      </c>
    </row>
    <row r="1809" spans="1:35" x14ac:dyDescent="0.25">
      <c r="A1809" s="1">
        <v>3</v>
      </c>
      <c r="B1809" s="1">
        <v>12</v>
      </c>
      <c r="C1809" s="1">
        <v>2020</v>
      </c>
      <c r="G1809" s="1" t="s">
        <v>38</v>
      </c>
      <c r="H1809" s="2">
        <v>4.3</v>
      </c>
      <c r="I1809" s="1">
        <v>15</v>
      </c>
      <c r="V1809" s="1">
        <v>16</v>
      </c>
      <c r="X1809" s="1">
        <v>15</v>
      </c>
      <c r="AA1809" s="1">
        <v>1</v>
      </c>
      <c r="AB1809" s="1">
        <v>4</v>
      </c>
      <c r="AC1809" s="1">
        <v>714</v>
      </c>
      <c r="AF1809" s="3">
        <v>3.4883720930232558</v>
      </c>
      <c r="AG1809" s="3">
        <v>0.79580216336636178</v>
      </c>
      <c r="AH1809" s="1">
        <v>6309</v>
      </c>
      <c r="AI1809" s="1" t="b">
        <v>1</v>
      </c>
    </row>
    <row r="1810" spans="1:35" x14ac:dyDescent="0.25">
      <c r="A1810" s="1">
        <v>3</v>
      </c>
      <c r="B1810" s="1">
        <v>12</v>
      </c>
      <c r="C1810" s="1">
        <v>2020</v>
      </c>
      <c r="G1810" s="1" t="s">
        <v>38</v>
      </c>
      <c r="H1810" s="2">
        <v>7.18</v>
      </c>
      <c r="I1810" s="1">
        <v>19</v>
      </c>
      <c r="V1810" s="1">
        <v>26</v>
      </c>
      <c r="X1810" s="1">
        <v>23</v>
      </c>
      <c r="AA1810" s="1">
        <v>3</v>
      </c>
      <c r="AB1810" s="1">
        <v>3</v>
      </c>
      <c r="AC1810" s="1">
        <v>926</v>
      </c>
      <c r="AF1810" s="3">
        <v>2.6462395543175488</v>
      </c>
      <c r="AG1810" s="3">
        <v>1.5019585734494527</v>
      </c>
      <c r="AH1810" s="1">
        <v>6309</v>
      </c>
      <c r="AI1810" s="1" t="b">
        <v>1</v>
      </c>
    </row>
    <row r="1811" spans="1:35" x14ac:dyDescent="0.25">
      <c r="A1811" s="1">
        <v>3</v>
      </c>
      <c r="B1811" s="1">
        <v>12</v>
      </c>
      <c r="C1811" s="1">
        <v>2020</v>
      </c>
      <c r="G1811" s="1" t="s">
        <v>38</v>
      </c>
      <c r="H1811" s="2">
        <v>4.6399999999999997</v>
      </c>
      <c r="I1811" s="1">
        <v>13</v>
      </c>
      <c r="V1811" s="1">
        <v>19</v>
      </c>
      <c r="X1811" s="1">
        <v>15</v>
      </c>
      <c r="AA1811" s="1">
        <v>2</v>
      </c>
      <c r="AB1811" s="1">
        <v>4</v>
      </c>
      <c r="AC1811" s="1">
        <v>672</v>
      </c>
      <c r="AF1811" s="3">
        <v>2.8017241379310347</v>
      </c>
      <c r="AG1811" s="3">
        <v>1.0450503490271543</v>
      </c>
      <c r="AH1811" s="1">
        <v>6309</v>
      </c>
      <c r="AI1811" s="1" t="b">
        <v>1</v>
      </c>
    </row>
    <row r="1812" spans="1:35" x14ac:dyDescent="0.25">
      <c r="A1812" s="1">
        <v>3</v>
      </c>
      <c r="B1812" s="1">
        <v>12</v>
      </c>
      <c r="C1812" s="1">
        <v>2020</v>
      </c>
      <c r="G1812" s="1" t="s">
        <v>38</v>
      </c>
      <c r="H1812" s="2">
        <v>6.47</v>
      </c>
      <c r="I1812" s="1">
        <v>19</v>
      </c>
      <c r="V1812" s="1">
        <v>28</v>
      </c>
      <c r="X1812" s="1">
        <v>23</v>
      </c>
      <c r="AA1812" s="1">
        <v>4</v>
      </c>
      <c r="AB1812" s="1">
        <v>3</v>
      </c>
      <c r="AC1812" s="1">
        <v>815</v>
      </c>
      <c r="AF1812" s="3">
        <v>2.936630602782071</v>
      </c>
      <c r="AG1812" s="3">
        <v>1.2582984921668641</v>
      </c>
      <c r="AH1812" s="1">
        <v>6309</v>
      </c>
      <c r="AI1812" s="1" t="b">
        <v>1</v>
      </c>
    </row>
    <row r="1813" spans="1:35" x14ac:dyDescent="0.25">
      <c r="A1813" s="1">
        <v>3</v>
      </c>
      <c r="B1813" s="1">
        <v>12</v>
      </c>
      <c r="C1813" s="1">
        <v>2020</v>
      </c>
      <c r="G1813" s="1" t="s">
        <v>38</v>
      </c>
      <c r="H1813" s="2">
        <v>5.71</v>
      </c>
      <c r="I1813" s="1">
        <v>12</v>
      </c>
      <c r="U1813" s="1">
        <v>23</v>
      </c>
      <c r="X1813" s="1">
        <v>21</v>
      </c>
      <c r="AA1813" s="1">
        <v>4</v>
      </c>
      <c r="AB1813" s="1">
        <v>4</v>
      </c>
      <c r="AC1813" s="1">
        <v>910</v>
      </c>
      <c r="AF1813" s="3">
        <v>2.1015761821366024</v>
      </c>
      <c r="AG1813" s="3">
        <v>1.6110170545432494</v>
      </c>
      <c r="AH1813" s="1">
        <v>6309</v>
      </c>
      <c r="AI1813" s="1" t="b">
        <v>1</v>
      </c>
    </row>
    <row r="1814" spans="1:35" x14ac:dyDescent="0.25">
      <c r="A1814" s="1">
        <v>3</v>
      </c>
      <c r="B1814" s="1">
        <v>12</v>
      </c>
      <c r="C1814" s="1">
        <v>2020</v>
      </c>
      <c r="G1814" s="1" t="s">
        <v>38</v>
      </c>
      <c r="H1814" s="2">
        <v>8.5399999999999991</v>
      </c>
      <c r="I1814" s="1">
        <v>22</v>
      </c>
      <c r="V1814" s="1">
        <v>34</v>
      </c>
      <c r="X1814" s="1">
        <v>27</v>
      </c>
      <c r="AA1814" s="1">
        <v>4</v>
      </c>
      <c r="AB1814" s="1">
        <v>6</v>
      </c>
      <c r="AC1814" s="1">
        <v>1268</v>
      </c>
      <c r="AF1814" s="3">
        <v>2.5761124121779861</v>
      </c>
      <c r="AG1814" s="3">
        <v>1.7420302787876927</v>
      </c>
      <c r="AH1814" s="1">
        <v>6309</v>
      </c>
      <c r="AI1814" s="1" t="b">
        <v>1</v>
      </c>
    </row>
    <row r="1815" spans="1:35" x14ac:dyDescent="0.25">
      <c r="A1815" s="1">
        <v>3</v>
      </c>
      <c r="B1815" s="1">
        <v>12</v>
      </c>
      <c r="C1815" s="1">
        <v>2020</v>
      </c>
      <c r="G1815" s="1" t="s">
        <v>38</v>
      </c>
      <c r="H1815" s="2">
        <v>3.66</v>
      </c>
      <c r="I1815" s="1">
        <v>11</v>
      </c>
      <c r="V1815" s="1">
        <v>13</v>
      </c>
      <c r="X1815" s="1">
        <v>12</v>
      </c>
      <c r="AA1815" s="1">
        <v>2</v>
      </c>
      <c r="AB1815" s="1">
        <v>4</v>
      </c>
      <c r="AC1815" s="1">
        <v>522</v>
      </c>
      <c r="AF1815" s="3">
        <v>3.0054644808743167</v>
      </c>
      <c r="AG1815" s="3">
        <v>0.8251352867138223</v>
      </c>
      <c r="AH1815" s="1">
        <v>6309</v>
      </c>
      <c r="AI1815" s="1" t="b">
        <v>1</v>
      </c>
    </row>
    <row r="1816" spans="1:35" x14ac:dyDescent="0.25">
      <c r="A1816" s="1">
        <v>3</v>
      </c>
      <c r="B1816" s="1">
        <v>12</v>
      </c>
      <c r="C1816" s="1">
        <v>2020</v>
      </c>
      <c r="G1816" s="1" t="s">
        <v>38</v>
      </c>
      <c r="H1816" s="2">
        <v>7.02</v>
      </c>
      <c r="I1816" s="1">
        <v>21</v>
      </c>
      <c r="U1816" s="1">
        <v>30</v>
      </c>
      <c r="X1816" s="1">
        <v>27</v>
      </c>
      <c r="AA1816" s="1">
        <v>3</v>
      </c>
      <c r="AB1816" s="1">
        <v>3</v>
      </c>
      <c r="AC1816" s="1">
        <v>1091</v>
      </c>
      <c r="AF1816" s="3">
        <v>2.9914529914529915</v>
      </c>
      <c r="AG1816" s="3">
        <v>1.3078375302078622</v>
      </c>
      <c r="AH1816" s="1">
        <v>6309</v>
      </c>
      <c r="AI1816" s="1" t="b">
        <v>1</v>
      </c>
    </row>
    <row r="1817" spans="1:35" x14ac:dyDescent="0.25">
      <c r="A1817" s="1">
        <v>3</v>
      </c>
      <c r="B1817" s="1">
        <v>12</v>
      </c>
      <c r="C1817" s="1">
        <v>2020</v>
      </c>
      <c r="G1817" s="1" t="s">
        <v>38</v>
      </c>
      <c r="H1817" s="2">
        <v>5.73</v>
      </c>
      <c r="I1817" s="1">
        <v>16</v>
      </c>
      <c r="V1817" s="1">
        <v>20</v>
      </c>
      <c r="X1817" s="1">
        <v>19</v>
      </c>
      <c r="AA1817" s="1">
        <v>2</v>
      </c>
      <c r="AB1817" s="1">
        <v>3</v>
      </c>
      <c r="AC1817" s="1">
        <v>707</v>
      </c>
      <c r="AF1817" s="3">
        <v>2.7923211169284468</v>
      </c>
      <c r="AG1817" s="3">
        <v>1.2154661672975737</v>
      </c>
      <c r="AH1817" s="1">
        <v>6309</v>
      </c>
      <c r="AI1817" s="1" t="b">
        <v>1</v>
      </c>
    </row>
    <row r="1818" spans="1:35" x14ac:dyDescent="0.25">
      <c r="A1818" s="1">
        <v>3</v>
      </c>
      <c r="B1818" s="1">
        <v>12</v>
      </c>
      <c r="C1818" s="1">
        <v>2020</v>
      </c>
      <c r="G1818" s="1" t="s">
        <v>38</v>
      </c>
      <c r="H1818" s="2">
        <v>5.58</v>
      </c>
      <c r="I1818" s="1">
        <v>20</v>
      </c>
      <c r="V1818" s="1">
        <v>19</v>
      </c>
      <c r="X1818" s="1">
        <v>17</v>
      </c>
      <c r="AA1818" s="1">
        <v>1</v>
      </c>
      <c r="AB1818" s="1">
        <v>3</v>
      </c>
      <c r="AC1818" s="1">
        <v>698</v>
      </c>
      <c r="AF1818" s="3">
        <v>3.5842293906810037</v>
      </c>
      <c r="AG1818" s="3">
        <v>0.92949732131045448</v>
      </c>
      <c r="AH1818" s="1">
        <v>6309</v>
      </c>
      <c r="AI1818" s="1" t="b">
        <v>1</v>
      </c>
    </row>
    <row r="1819" spans="1:35" x14ac:dyDescent="0.25">
      <c r="A1819" s="1">
        <v>3</v>
      </c>
      <c r="B1819" s="1">
        <v>12</v>
      </c>
      <c r="C1819" s="1">
        <v>2020</v>
      </c>
      <c r="G1819" s="1" t="s">
        <v>38</v>
      </c>
      <c r="H1819" s="2">
        <v>7.34</v>
      </c>
      <c r="I1819" s="1">
        <v>28</v>
      </c>
      <c r="V1819" s="1">
        <v>26</v>
      </c>
      <c r="X1819" s="1">
        <v>24</v>
      </c>
      <c r="AA1819" s="1">
        <v>1</v>
      </c>
      <c r="AB1819" s="1">
        <v>4</v>
      </c>
      <c r="AC1819" s="1">
        <v>1005</v>
      </c>
      <c r="AF1819" s="3">
        <v>3.8147138964577656</v>
      </c>
      <c r="AG1819" s="3">
        <v>1.058096482206103</v>
      </c>
      <c r="AH1819" s="1">
        <v>6309</v>
      </c>
      <c r="AI1819" s="1" t="b">
        <v>1</v>
      </c>
    </row>
    <row r="1820" spans="1:35" x14ac:dyDescent="0.25">
      <c r="A1820" s="1">
        <v>3</v>
      </c>
      <c r="B1820" s="1">
        <v>12</v>
      </c>
      <c r="C1820" s="1">
        <v>2020</v>
      </c>
      <c r="G1820" s="1" t="s">
        <v>38</v>
      </c>
      <c r="H1820" s="2">
        <v>4.1900000000000004</v>
      </c>
      <c r="I1820" s="1">
        <v>11</v>
      </c>
      <c r="V1820" s="1">
        <v>15</v>
      </c>
      <c r="X1820" s="1">
        <v>13</v>
      </c>
      <c r="AA1820" s="1">
        <v>1</v>
      </c>
      <c r="AB1820" s="1">
        <v>3</v>
      </c>
      <c r="AC1820" s="1">
        <v>467</v>
      </c>
      <c r="AF1820" s="3">
        <v>2.6252983293556085</v>
      </c>
      <c r="AG1820" s="3">
        <v>1.0384154805014085</v>
      </c>
      <c r="AH1820" s="1">
        <v>6309</v>
      </c>
      <c r="AI1820" s="1" t="b">
        <v>1</v>
      </c>
    </row>
    <row r="1821" spans="1:35" x14ac:dyDescent="0.25">
      <c r="A1821" s="1">
        <v>3</v>
      </c>
      <c r="B1821" s="1">
        <v>12</v>
      </c>
      <c r="C1821" s="1">
        <v>2020</v>
      </c>
      <c r="G1821" s="1" t="s">
        <v>38</v>
      </c>
      <c r="H1821" s="2">
        <v>2.85</v>
      </c>
      <c r="I1821" s="1">
        <v>9</v>
      </c>
      <c r="V1821" s="1">
        <v>10</v>
      </c>
      <c r="X1821" s="1">
        <v>9</v>
      </c>
      <c r="AA1821" s="1">
        <v>1</v>
      </c>
      <c r="AB1821" s="1">
        <v>2</v>
      </c>
      <c r="AC1821" s="1">
        <v>474</v>
      </c>
      <c r="AF1821" s="3">
        <v>3.1578947368421053</v>
      </c>
      <c r="AG1821" s="3">
        <v>0.65916441294618</v>
      </c>
      <c r="AH1821" s="1">
        <v>6309</v>
      </c>
      <c r="AI1821" s="1" t="b">
        <v>1</v>
      </c>
    </row>
    <row r="1822" spans="1:35" x14ac:dyDescent="0.25">
      <c r="A1822" s="1">
        <v>3</v>
      </c>
      <c r="B1822" s="1">
        <v>12</v>
      </c>
      <c r="C1822" s="1">
        <v>2020</v>
      </c>
      <c r="G1822" s="1" t="s">
        <v>38</v>
      </c>
      <c r="H1822" s="2">
        <v>4.2300000000000004</v>
      </c>
      <c r="I1822" s="1">
        <v>8</v>
      </c>
      <c r="V1822" s="1">
        <v>14</v>
      </c>
      <c r="X1822" s="1">
        <v>11</v>
      </c>
      <c r="AA1822" s="1">
        <v>3</v>
      </c>
      <c r="AB1822" s="1">
        <v>4</v>
      </c>
      <c r="AC1822" s="1">
        <v>643</v>
      </c>
      <c r="AF1822" s="3">
        <v>1.8912529550827422</v>
      </c>
      <c r="AG1822" s="3">
        <v>1.4510709159002202</v>
      </c>
      <c r="AH1822" s="1">
        <v>6309</v>
      </c>
      <c r="AI1822" s="1" t="b">
        <v>1</v>
      </c>
    </row>
    <row r="1823" spans="1:35" x14ac:dyDescent="0.25">
      <c r="A1823" s="1">
        <v>3</v>
      </c>
      <c r="B1823" s="1">
        <v>12</v>
      </c>
      <c r="C1823" s="1">
        <v>2020</v>
      </c>
      <c r="G1823" s="1" t="s">
        <v>38</v>
      </c>
      <c r="H1823" s="2">
        <v>3.06</v>
      </c>
      <c r="I1823" s="1">
        <v>8</v>
      </c>
      <c r="U1823" s="1">
        <v>11</v>
      </c>
      <c r="X1823" s="1">
        <v>8</v>
      </c>
      <c r="AA1823" s="1">
        <v>1</v>
      </c>
      <c r="AB1823" s="1">
        <v>3</v>
      </c>
      <c r="AC1823" s="1">
        <v>458</v>
      </c>
      <c r="AF1823" s="3">
        <v>2.6143790849673203</v>
      </c>
      <c r="AG1823" s="3">
        <v>0.83682845263007422</v>
      </c>
      <c r="AH1823" s="1">
        <v>6309</v>
      </c>
      <c r="AI1823" s="1" t="b">
        <v>1</v>
      </c>
    </row>
    <row r="1824" spans="1:35" x14ac:dyDescent="0.25">
      <c r="A1824" s="1">
        <v>3</v>
      </c>
      <c r="B1824" s="1">
        <v>12</v>
      </c>
      <c r="C1824" s="1">
        <v>2020</v>
      </c>
      <c r="G1824" s="1" t="s">
        <v>38</v>
      </c>
      <c r="H1824" s="2">
        <v>6.81</v>
      </c>
      <c r="I1824" s="1">
        <v>23</v>
      </c>
      <c r="V1824" s="1">
        <v>31</v>
      </c>
      <c r="X1824" s="1">
        <v>25</v>
      </c>
      <c r="AA1824" s="1">
        <v>2</v>
      </c>
      <c r="AB1824" s="1">
        <v>1</v>
      </c>
      <c r="AC1824" s="1">
        <v>829</v>
      </c>
      <c r="AF1824" s="3">
        <v>3.3773861967694567</v>
      </c>
      <c r="AG1824" s="3">
        <v>1.1340240218214528</v>
      </c>
      <c r="AH1824" s="1">
        <v>6309</v>
      </c>
      <c r="AI1824" s="1" t="b">
        <v>1</v>
      </c>
    </row>
    <row r="1825" spans="1:35" x14ac:dyDescent="0.25">
      <c r="A1825" s="1">
        <v>3</v>
      </c>
      <c r="B1825" s="1">
        <v>12</v>
      </c>
      <c r="C1825" s="1">
        <v>2020</v>
      </c>
      <c r="G1825" s="1" t="s">
        <v>38</v>
      </c>
      <c r="H1825" s="2">
        <v>4.08</v>
      </c>
      <c r="I1825" s="1">
        <v>10</v>
      </c>
      <c r="U1825" s="1">
        <v>16</v>
      </c>
      <c r="X1825" s="1">
        <v>14</v>
      </c>
      <c r="AA1825" s="1">
        <v>2</v>
      </c>
      <c r="AB1825" s="1">
        <v>3</v>
      </c>
      <c r="AC1825" s="1">
        <v>614</v>
      </c>
      <c r="AF1825" s="3">
        <v>2.4509803921568629</v>
      </c>
      <c r="AG1825" s="3">
        <v>1.0917476788652618</v>
      </c>
      <c r="AH1825" s="1">
        <v>6309</v>
      </c>
      <c r="AI1825" s="1" t="b">
        <v>1</v>
      </c>
    </row>
    <row r="1826" spans="1:35" x14ac:dyDescent="0.25">
      <c r="A1826" s="1">
        <v>3</v>
      </c>
      <c r="B1826" s="1">
        <v>12</v>
      </c>
      <c r="C1826" s="1">
        <v>2020</v>
      </c>
      <c r="G1826" s="1" t="s">
        <v>38</v>
      </c>
      <c r="H1826" s="2">
        <v>6.2</v>
      </c>
      <c r="I1826" s="1">
        <v>17</v>
      </c>
      <c r="U1826" s="1">
        <v>24</v>
      </c>
      <c r="X1826" s="1">
        <v>22</v>
      </c>
      <c r="AA1826" s="1">
        <v>3</v>
      </c>
      <c r="AB1826" s="1">
        <v>4</v>
      </c>
      <c r="AC1826" s="1">
        <v>892</v>
      </c>
      <c r="AF1826" s="3">
        <v>2.7419354838709675</v>
      </c>
      <c r="AG1826" s="3">
        <v>1.3080277291033049</v>
      </c>
      <c r="AH1826" s="1">
        <v>6309</v>
      </c>
      <c r="AI1826" s="1" t="b">
        <v>1</v>
      </c>
    </row>
    <row r="1827" spans="1:35" x14ac:dyDescent="0.25">
      <c r="A1827" s="1">
        <v>3</v>
      </c>
      <c r="B1827" s="1">
        <v>12</v>
      </c>
      <c r="C1827" s="1">
        <v>2020</v>
      </c>
      <c r="G1827" s="1" t="s">
        <v>38</v>
      </c>
      <c r="H1827" s="2">
        <v>3.67</v>
      </c>
      <c r="I1827" s="1">
        <v>8</v>
      </c>
      <c r="U1827" s="1">
        <v>14</v>
      </c>
      <c r="X1827" s="1">
        <v>12</v>
      </c>
      <c r="AA1827" s="1">
        <v>3</v>
      </c>
      <c r="AB1827" s="1">
        <v>4</v>
      </c>
      <c r="AC1827" s="1">
        <v>549</v>
      </c>
      <c r="AF1827" s="3">
        <v>2.1798365122615806</v>
      </c>
      <c r="AG1827" s="3">
        <v>1.1398358762419583</v>
      </c>
      <c r="AH1827" s="1">
        <v>6309</v>
      </c>
      <c r="AI1827" s="1" t="b">
        <v>1</v>
      </c>
    </row>
    <row r="1828" spans="1:35" x14ac:dyDescent="0.25">
      <c r="A1828" s="1">
        <v>3</v>
      </c>
      <c r="B1828" s="1">
        <v>12</v>
      </c>
      <c r="C1828" s="1">
        <v>2020</v>
      </c>
      <c r="G1828" s="1" t="s">
        <v>38</v>
      </c>
      <c r="H1828" s="2">
        <v>3.8</v>
      </c>
      <c r="I1828" s="1">
        <v>11</v>
      </c>
      <c r="U1828" s="1">
        <v>16</v>
      </c>
      <c r="X1828" s="1">
        <v>15</v>
      </c>
      <c r="AA1828" s="1">
        <v>2</v>
      </c>
      <c r="AB1828" s="1">
        <v>4</v>
      </c>
      <c r="AC1828" s="1">
        <v>646</v>
      </c>
      <c r="AF1828" s="3">
        <v>2.8947368421052633</v>
      </c>
      <c r="AG1828" s="3">
        <v>0.87950726069924035</v>
      </c>
      <c r="AH1828" s="1">
        <v>6309</v>
      </c>
      <c r="AI1828" s="1" t="b">
        <v>1</v>
      </c>
    </row>
    <row r="1829" spans="1:35" x14ac:dyDescent="0.25">
      <c r="A1829" s="1">
        <v>3</v>
      </c>
      <c r="B1829" s="1">
        <v>12</v>
      </c>
      <c r="C1829" s="1">
        <v>2020</v>
      </c>
      <c r="G1829" s="1" t="s">
        <v>38</v>
      </c>
      <c r="H1829" s="2">
        <v>6.94</v>
      </c>
      <c r="I1829" s="1">
        <v>23</v>
      </c>
      <c r="V1829" s="1">
        <v>29</v>
      </c>
      <c r="X1829" s="1">
        <v>26</v>
      </c>
      <c r="AA1829" s="1">
        <v>3</v>
      </c>
      <c r="AB1829" s="1">
        <v>3</v>
      </c>
      <c r="AC1829" s="1">
        <v>961</v>
      </c>
      <c r="AF1829" s="3">
        <v>3.3141210374639769</v>
      </c>
      <c r="AG1829" s="3">
        <v>1.1710711007549832</v>
      </c>
      <c r="AH1829" s="1">
        <v>6309</v>
      </c>
      <c r="AI1829" s="1" t="b">
        <v>1</v>
      </c>
    </row>
    <row r="1830" spans="1:35" x14ac:dyDescent="0.25">
      <c r="A1830" s="1">
        <v>3</v>
      </c>
      <c r="B1830" s="1">
        <v>12</v>
      </c>
      <c r="C1830" s="1">
        <v>2020</v>
      </c>
      <c r="G1830" s="1" t="s">
        <v>38</v>
      </c>
      <c r="H1830" s="2">
        <v>7.1</v>
      </c>
      <c r="I1830" s="1">
        <v>21</v>
      </c>
      <c r="V1830" s="1">
        <v>33</v>
      </c>
      <c r="X1830" s="1">
        <v>25</v>
      </c>
      <c r="AA1830" s="1">
        <v>3</v>
      </c>
      <c r="AB1830" s="1">
        <v>1</v>
      </c>
      <c r="AC1830" s="1">
        <v>940</v>
      </c>
      <c r="AF1830" s="3">
        <v>2.9577464788732395</v>
      </c>
      <c r="AG1830" s="3">
        <v>1.3332754981945809</v>
      </c>
      <c r="AH1830" s="1">
        <v>6309</v>
      </c>
      <c r="AI1830" s="1" t="b">
        <v>1</v>
      </c>
    </row>
    <row r="1831" spans="1:35" x14ac:dyDescent="0.25">
      <c r="A1831" s="1">
        <v>3</v>
      </c>
      <c r="B1831" s="1">
        <v>12</v>
      </c>
      <c r="C1831" s="1">
        <v>2020</v>
      </c>
      <c r="G1831" s="1" t="s">
        <v>38</v>
      </c>
      <c r="H1831" s="2">
        <v>4.97</v>
      </c>
      <c r="I1831" s="1">
        <v>15</v>
      </c>
      <c r="V1831" s="1">
        <v>18</v>
      </c>
      <c r="X1831" s="1">
        <v>16</v>
      </c>
      <c r="AA1831" s="1">
        <v>2</v>
      </c>
      <c r="AB1831" s="1">
        <v>2</v>
      </c>
      <c r="AC1831" s="1">
        <v>640</v>
      </c>
      <c r="AF1831" s="3">
        <v>3.018108651911469</v>
      </c>
      <c r="AG1831" s="3">
        <v>1.0179222368853844</v>
      </c>
      <c r="AH1831" s="1">
        <v>6309</v>
      </c>
      <c r="AI1831" s="1" t="b">
        <v>1</v>
      </c>
    </row>
    <row r="1832" spans="1:35" x14ac:dyDescent="0.25">
      <c r="A1832" s="1">
        <v>3</v>
      </c>
      <c r="B1832" s="1">
        <v>12</v>
      </c>
      <c r="C1832" s="1">
        <v>2020</v>
      </c>
      <c r="G1832" s="1" t="s">
        <v>38</v>
      </c>
      <c r="H1832" s="2">
        <v>4.6900000000000004</v>
      </c>
      <c r="I1832" s="1">
        <v>11</v>
      </c>
      <c r="V1832" s="1">
        <v>15</v>
      </c>
      <c r="X1832" s="1">
        <v>13</v>
      </c>
      <c r="AA1832" s="1">
        <v>3</v>
      </c>
      <c r="AB1832" s="1">
        <v>4</v>
      </c>
      <c r="AC1832" s="1">
        <v>707</v>
      </c>
      <c r="AF1832" s="3">
        <v>2.3454157782515987</v>
      </c>
      <c r="AG1832" s="3">
        <v>1.2577697556234053</v>
      </c>
      <c r="AH1832" s="1">
        <v>6309</v>
      </c>
      <c r="AI1832" s="1" t="b">
        <v>1</v>
      </c>
    </row>
    <row r="1833" spans="1:35" x14ac:dyDescent="0.25">
      <c r="A1833" s="1">
        <v>3</v>
      </c>
      <c r="B1833" s="1">
        <v>12</v>
      </c>
      <c r="C1833" s="1">
        <v>2020</v>
      </c>
      <c r="G1833" s="1" t="s">
        <v>38</v>
      </c>
      <c r="H1833" s="2">
        <v>4.72</v>
      </c>
      <c r="I1833" s="1">
        <v>13</v>
      </c>
      <c r="V1833" s="1">
        <v>19</v>
      </c>
      <c r="X1833" s="1">
        <v>17</v>
      </c>
      <c r="AA1833" s="1">
        <v>3</v>
      </c>
      <c r="AB1833" s="1">
        <v>2</v>
      </c>
      <c r="AC1833" s="1">
        <v>695</v>
      </c>
      <c r="AF1833" s="3">
        <v>2.7542372881355934</v>
      </c>
      <c r="AG1833" s="3">
        <v>1.0758656591503319</v>
      </c>
      <c r="AH1833" s="1">
        <v>6309</v>
      </c>
      <c r="AI1833" s="1" t="b">
        <v>1</v>
      </c>
    </row>
    <row r="1834" spans="1:35" x14ac:dyDescent="0.25">
      <c r="A1834" s="1">
        <v>3</v>
      </c>
      <c r="B1834" s="1">
        <v>12</v>
      </c>
      <c r="C1834" s="1">
        <v>2020</v>
      </c>
      <c r="G1834" s="1" t="s">
        <v>38</v>
      </c>
      <c r="H1834" s="2">
        <v>5.01</v>
      </c>
      <c r="I1834" s="1">
        <v>15</v>
      </c>
      <c r="V1834" s="1">
        <v>19</v>
      </c>
      <c r="X1834" s="1">
        <v>15</v>
      </c>
      <c r="AA1834" s="1">
        <v>3</v>
      </c>
      <c r="AB1834" s="1">
        <v>3</v>
      </c>
      <c r="AC1834" s="1">
        <v>808</v>
      </c>
      <c r="AF1834" s="3">
        <v>2.9940119760479043</v>
      </c>
      <c r="AG1834" s="3">
        <v>1.0318887435005559</v>
      </c>
      <c r="AH1834" s="1">
        <v>6309</v>
      </c>
      <c r="AI1834" s="1" t="b">
        <v>1</v>
      </c>
    </row>
    <row r="1835" spans="1:35" x14ac:dyDescent="0.25">
      <c r="A1835" s="1">
        <v>3</v>
      </c>
      <c r="B1835" s="1">
        <v>12</v>
      </c>
      <c r="C1835" s="1">
        <v>2020</v>
      </c>
      <c r="G1835" s="1" t="s">
        <v>38</v>
      </c>
      <c r="H1835" s="2">
        <v>5.67</v>
      </c>
      <c r="I1835" s="1">
        <v>15</v>
      </c>
      <c r="U1835" s="1">
        <v>24</v>
      </c>
      <c r="X1835" s="1">
        <v>21</v>
      </c>
      <c r="AA1835" s="1">
        <v>3</v>
      </c>
      <c r="AB1835" s="1">
        <v>5</v>
      </c>
      <c r="AC1835" s="1">
        <v>726</v>
      </c>
      <c r="AF1835" s="3">
        <v>2.6455026455026456</v>
      </c>
      <c r="AG1835" s="3">
        <v>1.2735029081906377</v>
      </c>
      <c r="AH1835" s="1">
        <v>6309</v>
      </c>
      <c r="AI1835" s="1" t="b">
        <v>1</v>
      </c>
    </row>
    <row r="1836" spans="1:35" x14ac:dyDescent="0.25">
      <c r="A1836" s="1">
        <v>3</v>
      </c>
      <c r="B1836" s="1">
        <v>12</v>
      </c>
      <c r="C1836" s="1">
        <v>2020</v>
      </c>
      <c r="G1836" s="1" t="s">
        <v>38</v>
      </c>
      <c r="H1836" s="2">
        <v>4.51</v>
      </c>
      <c r="I1836" s="1">
        <v>16</v>
      </c>
      <c r="U1836" s="1">
        <v>21</v>
      </c>
      <c r="X1836" s="1">
        <v>18</v>
      </c>
      <c r="AA1836" s="1">
        <v>2</v>
      </c>
      <c r="AB1836" s="1">
        <v>1</v>
      </c>
      <c r="AC1836" s="1">
        <v>599</v>
      </c>
      <c r="AF1836" s="3">
        <v>3.5476718403547673</v>
      </c>
      <c r="AG1836" s="3">
        <v>0.80905889787673357</v>
      </c>
      <c r="AH1836" s="1">
        <v>6309</v>
      </c>
      <c r="AI1836" s="1" t="b">
        <v>1</v>
      </c>
    </row>
    <row r="1837" spans="1:35" x14ac:dyDescent="0.25">
      <c r="A1837" s="1">
        <v>3</v>
      </c>
      <c r="B1837" s="1">
        <v>12</v>
      </c>
      <c r="C1837" s="1">
        <v>2020</v>
      </c>
      <c r="G1837" s="1" t="s">
        <v>38</v>
      </c>
      <c r="H1837" s="2">
        <v>5.69</v>
      </c>
      <c r="I1837" s="1">
        <v>16</v>
      </c>
      <c r="U1837" s="1">
        <v>21</v>
      </c>
      <c r="X1837" s="1">
        <v>19</v>
      </c>
      <c r="AA1837" s="1">
        <v>2</v>
      </c>
      <c r="AB1837" s="1">
        <v>4</v>
      </c>
      <c r="AC1837" s="1">
        <v>867</v>
      </c>
      <c r="AF1837" s="3">
        <v>2.8119507908611596</v>
      </c>
      <c r="AG1837" s="3">
        <v>1.2010770544250975</v>
      </c>
      <c r="AH1837" s="1">
        <v>6309</v>
      </c>
      <c r="AI1837" s="1" t="b">
        <v>1</v>
      </c>
    </row>
    <row r="1838" spans="1:35" x14ac:dyDescent="0.25">
      <c r="A1838" s="1">
        <v>3</v>
      </c>
      <c r="B1838" s="1">
        <v>12</v>
      </c>
      <c r="C1838" s="1">
        <v>2020</v>
      </c>
      <c r="G1838" s="1" t="s">
        <v>38</v>
      </c>
      <c r="H1838" s="2">
        <v>7</v>
      </c>
      <c r="I1838" s="1">
        <v>17</v>
      </c>
      <c r="V1838" s="1">
        <v>23</v>
      </c>
      <c r="X1838" s="1">
        <v>21</v>
      </c>
      <c r="AA1838" s="1">
        <v>4</v>
      </c>
      <c r="AB1838" s="1">
        <v>5</v>
      </c>
      <c r="AC1838" s="1">
        <v>845</v>
      </c>
      <c r="AF1838" s="3">
        <v>2.4285714285714284</v>
      </c>
      <c r="AG1838" s="3">
        <v>1.6077471435211208</v>
      </c>
      <c r="AH1838" s="1">
        <v>6309</v>
      </c>
      <c r="AI1838" s="1" t="b">
        <v>1</v>
      </c>
    </row>
    <row r="1839" spans="1:35" x14ac:dyDescent="0.25">
      <c r="A1839" s="1">
        <v>3</v>
      </c>
      <c r="B1839" s="1">
        <v>12</v>
      </c>
      <c r="C1839" s="1">
        <v>2020</v>
      </c>
      <c r="G1839" s="1" t="s">
        <v>38</v>
      </c>
      <c r="H1839" s="2">
        <v>9.73</v>
      </c>
      <c r="I1839" s="1">
        <v>29</v>
      </c>
      <c r="V1839" s="1">
        <v>40</v>
      </c>
      <c r="X1839" s="1">
        <v>33</v>
      </c>
      <c r="AA1839" s="1">
        <v>3</v>
      </c>
      <c r="AB1839" s="1">
        <v>3</v>
      </c>
      <c r="AC1839" s="1">
        <v>1343</v>
      </c>
      <c r="AF1839" s="3">
        <v>2.9804727646454263</v>
      </c>
      <c r="AG1839" s="3">
        <v>1.6496576698188781</v>
      </c>
      <c r="AH1839" s="1">
        <v>6309</v>
      </c>
      <c r="AI1839" s="1" t="b">
        <v>1</v>
      </c>
    </row>
    <row r="1840" spans="1:35" x14ac:dyDescent="0.25">
      <c r="A1840" s="1">
        <v>3</v>
      </c>
      <c r="B1840" s="1">
        <v>12</v>
      </c>
      <c r="C1840" s="1">
        <v>2020</v>
      </c>
      <c r="G1840" s="1" t="s">
        <v>38</v>
      </c>
      <c r="H1840" s="2">
        <v>6.87</v>
      </c>
      <c r="I1840" s="1">
        <v>25</v>
      </c>
      <c r="U1840" s="1">
        <v>32</v>
      </c>
      <c r="X1840" s="1">
        <v>28</v>
      </c>
      <c r="AA1840" s="1">
        <v>2</v>
      </c>
      <c r="AB1840" s="1">
        <v>3</v>
      </c>
      <c r="AC1840" s="1">
        <v>964</v>
      </c>
      <c r="AF1840" s="3">
        <v>3.6390101892285296</v>
      </c>
      <c r="AG1840" s="3">
        <v>1.0589767966225079</v>
      </c>
      <c r="AH1840" s="1">
        <v>6309</v>
      </c>
      <c r="AI1840" s="1" t="b">
        <v>1</v>
      </c>
    </row>
    <row r="1841" spans="1:35" x14ac:dyDescent="0.25">
      <c r="A1841" s="1">
        <v>3</v>
      </c>
      <c r="B1841" s="1">
        <v>12</v>
      </c>
      <c r="C1841" s="1">
        <v>2020</v>
      </c>
      <c r="G1841" s="1" t="s">
        <v>38</v>
      </c>
      <c r="H1841" s="2">
        <v>4.91</v>
      </c>
      <c r="I1841" s="1">
        <v>16</v>
      </c>
      <c r="V1841" s="1">
        <v>23</v>
      </c>
      <c r="X1841" s="1">
        <v>17</v>
      </c>
      <c r="AA1841" s="1">
        <v>3</v>
      </c>
      <c r="AB1841" s="1">
        <v>4</v>
      </c>
      <c r="AC1841" s="1">
        <v>690</v>
      </c>
      <c r="AF1841" s="3">
        <v>3.2586558044806515</v>
      </c>
      <c r="AG1841" s="3">
        <v>0.93479967763295058</v>
      </c>
      <c r="AH1841" s="1">
        <v>6309</v>
      </c>
      <c r="AI1841" s="1" t="b">
        <v>1</v>
      </c>
    </row>
    <row r="1842" spans="1:35" x14ac:dyDescent="0.25">
      <c r="A1842" s="1">
        <v>3</v>
      </c>
      <c r="B1842" s="1">
        <v>12</v>
      </c>
      <c r="C1842" s="1">
        <v>2020</v>
      </c>
      <c r="G1842" s="1" t="s">
        <v>38</v>
      </c>
      <c r="H1842" s="2">
        <v>3.68</v>
      </c>
      <c r="I1842" s="1">
        <v>9</v>
      </c>
      <c r="V1842" s="1">
        <v>14</v>
      </c>
      <c r="X1842" s="1">
        <v>11</v>
      </c>
      <c r="AA1842" s="1">
        <v>4</v>
      </c>
      <c r="AB1842" s="1">
        <v>2</v>
      </c>
      <c r="AC1842" s="1">
        <v>567</v>
      </c>
      <c r="AF1842" s="3">
        <v>2.4456521739130435</v>
      </c>
      <c r="AG1842" s="3">
        <v>1.0178851590193638</v>
      </c>
      <c r="AH1842" s="1">
        <v>6309</v>
      </c>
      <c r="AI1842" s="1" t="b">
        <v>1</v>
      </c>
    </row>
    <row r="1843" spans="1:35" x14ac:dyDescent="0.25">
      <c r="A1843" s="1">
        <v>3</v>
      </c>
      <c r="B1843" s="1">
        <v>12</v>
      </c>
      <c r="C1843" s="1">
        <v>2020</v>
      </c>
      <c r="G1843" s="1" t="s">
        <v>38</v>
      </c>
      <c r="H1843" s="2">
        <v>6.18</v>
      </c>
      <c r="I1843" s="1">
        <v>16</v>
      </c>
      <c r="U1843" s="1">
        <v>28</v>
      </c>
      <c r="X1843" s="1">
        <v>23</v>
      </c>
      <c r="AA1843" s="1">
        <v>3</v>
      </c>
      <c r="AB1843" s="1">
        <v>3</v>
      </c>
      <c r="AC1843" s="1">
        <v>972</v>
      </c>
      <c r="AF1843" s="3">
        <v>2.5889967637540456</v>
      </c>
      <c r="AG1843" s="3">
        <v>1.3821666984807242</v>
      </c>
      <c r="AH1843" s="1">
        <v>6309</v>
      </c>
      <c r="AI1843" s="1" t="b">
        <v>1</v>
      </c>
    </row>
    <row r="1844" spans="1:35" x14ac:dyDescent="0.25">
      <c r="A1844" s="1">
        <v>3</v>
      </c>
      <c r="B1844" s="1">
        <v>12</v>
      </c>
      <c r="C1844" s="1">
        <v>2020</v>
      </c>
      <c r="G1844" s="1" t="s">
        <v>38</v>
      </c>
      <c r="H1844" s="2">
        <v>6.66</v>
      </c>
      <c r="I1844" s="1">
        <v>13</v>
      </c>
      <c r="V1844" s="1">
        <v>25</v>
      </c>
      <c r="X1844" s="1">
        <v>23</v>
      </c>
      <c r="AA1844" s="1">
        <v>6</v>
      </c>
      <c r="AB1844" s="1">
        <v>4</v>
      </c>
      <c r="AC1844" s="1">
        <v>1143</v>
      </c>
      <c r="AF1844" s="3">
        <v>1.9519519519519519</v>
      </c>
      <c r="AG1844" s="3">
        <v>1.9318030049448831</v>
      </c>
      <c r="AH1844" s="1">
        <v>6309</v>
      </c>
      <c r="AI1844" s="1" t="b">
        <v>1</v>
      </c>
    </row>
    <row r="1845" spans="1:35" x14ac:dyDescent="0.25">
      <c r="A1845" s="1">
        <v>3</v>
      </c>
      <c r="B1845" s="1">
        <v>12</v>
      </c>
      <c r="C1845" s="1">
        <v>2020</v>
      </c>
      <c r="G1845" s="1" t="s">
        <v>38</v>
      </c>
      <c r="H1845" s="2">
        <v>5.78</v>
      </c>
      <c r="I1845" s="1">
        <v>11</v>
      </c>
      <c r="V1845" s="1">
        <v>21</v>
      </c>
      <c r="X1845" s="1">
        <v>19</v>
      </c>
      <c r="AA1845" s="1">
        <v>4</v>
      </c>
      <c r="AB1845" s="1">
        <v>6</v>
      </c>
      <c r="AC1845" s="1">
        <v>856</v>
      </c>
      <c r="AF1845" s="3">
        <v>1.9031141868512109</v>
      </c>
      <c r="AG1845" s="3">
        <v>1.7942569624873657</v>
      </c>
      <c r="AH1845" s="1">
        <v>6309</v>
      </c>
      <c r="AI1845" s="1" t="b">
        <v>1</v>
      </c>
    </row>
    <row r="1846" spans="1:35" x14ac:dyDescent="0.25">
      <c r="A1846" s="1">
        <v>3</v>
      </c>
      <c r="B1846" s="1">
        <v>12</v>
      </c>
      <c r="C1846" s="1">
        <v>2020</v>
      </c>
      <c r="G1846" s="1" t="s">
        <v>38</v>
      </c>
      <c r="H1846" s="2">
        <v>6.1</v>
      </c>
      <c r="I1846" s="1">
        <v>18</v>
      </c>
      <c r="V1846" s="1">
        <v>23</v>
      </c>
      <c r="X1846" s="1">
        <v>22</v>
      </c>
      <c r="AA1846" s="1">
        <v>3</v>
      </c>
      <c r="AB1846" s="1">
        <v>3</v>
      </c>
      <c r="AC1846" s="1">
        <v>827</v>
      </c>
      <c r="AF1846" s="3">
        <v>2.9508196721311477</v>
      </c>
      <c r="AG1846" s="3">
        <v>1.2016782880890025</v>
      </c>
      <c r="AH1846" s="1">
        <v>6309</v>
      </c>
      <c r="AI1846" s="1" t="b">
        <v>1</v>
      </c>
    </row>
    <row r="1847" spans="1:35" x14ac:dyDescent="0.25">
      <c r="A1847" s="1">
        <v>3</v>
      </c>
      <c r="B1847" s="1">
        <v>12</v>
      </c>
      <c r="C1847" s="1">
        <v>2020</v>
      </c>
      <c r="G1847" s="1" t="s">
        <v>38</v>
      </c>
      <c r="H1847" s="2">
        <v>7.13</v>
      </c>
      <c r="I1847" s="1">
        <v>27</v>
      </c>
      <c r="V1847" s="1">
        <v>25</v>
      </c>
      <c r="X1847" s="1">
        <v>22</v>
      </c>
      <c r="AA1847" s="1">
        <v>2</v>
      </c>
      <c r="AB1847" s="1">
        <v>1</v>
      </c>
      <c r="AC1847" s="1">
        <v>887</v>
      </c>
      <c r="AF1847" s="3">
        <v>3.7868162692847127</v>
      </c>
      <c r="AG1847" s="3">
        <v>1.0444518815216459</v>
      </c>
      <c r="AH1847" s="1">
        <v>6309</v>
      </c>
      <c r="AI1847" s="1" t="b">
        <v>1</v>
      </c>
    </row>
    <row r="1848" spans="1:35" x14ac:dyDescent="0.25">
      <c r="A1848" s="1">
        <v>3</v>
      </c>
      <c r="B1848" s="1">
        <v>12</v>
      </c>
      <c r="C1848" s="1">
        <v>2020</v>
      </c>
      <c r="G1848" s="1" t="s">
        <v>38</v>
      </c>
      <c r="H1848" s="2">
        <v>7.02</v>
      </c>
      <c r="I1848" s="1">
        <v>16</v>
      </c>
      <c r="V1848" s="1">
        <v>28</v>
      </c>
      <c r="X1848" s="1">
        <v>22</v>
      </c>
      <c r="AA1848" s="1">
        <v>4</v>
      </c>
      <c r="AB1848" s="1">
        <v>2</v>
      </c>
      <c r="AC1848" s="1">
        <v>968</v>
      </c>
      <c r="AF1848" s="3">
        <v>2.2792022792022792</v>
      </c>
      <c r="AG1848" s="3">
        <v>1.7165367583978193</v>
      </c>
      <c r="AH1848" s="1">
        <v>6309</v>
      </c>
      <c r="AI1848" s="1" t="b">
        <v>1</v>
      </c>
    </row>
    <row r="1849" spans="1:35" x14ac:dyDescent="0.25">
      <c r="A1849" s="1">
        <v>3</v>
      </c>
      <c r="B1849" s="1">
        <v>12</v>
      </c>
      <c r="C1849" s="1">
        <v>2020</v>
      </c>
      <c r="G1849" s="1" t="s">
        <v>38</v>
      </c>
      <c r="H1849" s="2">
        <v>5.03</v>
      </c>
      <c r="I1849" s="1">
        <v>16</v>
      </c>
      <c r="V1849" s="1">
        <v>18</v>
      </c>
      <c r="X1849" s="1">
        <v>17</v>
      </c>
      <c r="AA1849" s="1">
        <v>2</v>
      </c>
      <c r="AB1849" s="1">
        <v>2</v>
      </c>
      <c r="AC1849" s="1">
        <v>825</v>
      </c>
      <c r="AF1849" s="3">
        <v>3.180914512922465</v>
      </c>
      <c r="AG1849" s="3">
        <v>0.97397002667249244</v>
      </c>
      <c r="AH1849" s="1">
        <v>6309</v>
      </c>
      <c r="AI1849" s="1" t="b">
        <v>1</v>
      </c>
    </row>
    <row r="1850" spans="1:35" x14ac:dyDescent="0.25">
      <c r="A1850" s="1">
        <v>3</v>
      </c>
      <c r="B1850" s="1">
        <v>12</v>
      </c>
      <c r="C1850" s="1">
        <v>2020</v>
      </c>
      <c r="G1850" s="1" t="s">
        <v>38</v>
      </c>
      <c r="H1850" s="2">
        <v>5.2</v>
      </c>
      <c r="I1850" s="1">
        <v>12</v>
      </c>
      <c r="V1850" s="1">
        <v>23</v>
      </c>
      <c r="X1850" s="1">
        <v>19</v>
      </c>
      <c r="AA1850" s="1">
        <v>4</v>
      </c>
      <c r="AB1850" s="1">
        <v>4</v>
      </c>
      <c r="AC1850" s="1">
        <v>688</v>
      </c>
      <c r="AF1850" s="3">
        <v>2.3076923076923075</v>
      </c>
      <c r="AG1850" s="3">
        <v>1.3741192957354247</v>
      </c>
      <c r="AH1850" s="1">
        <v>6309</v>
      </c>
      <c r="AI1850" s="1" t="b">
        <v>1</v>
      </c>
    </row>
    <row r="1851" spans="1:35" x14ac:dyDescent="0.25">
      <c r="A1851" s="1">
        <v>3</v>
      </c>
      <c r="B1851" s="1">
        <v>12</v>
      </c>
      <c r="C1851" s="1">
        <v>2020</v>
      </c>
      <c r="G1851" s="1" t="s">
        <v>38</v>
      </c>
      <c r="H1851" s="2">
        <v>5.88</v>
      </c>
      <c r="I1851" s="1">
        <v>17</v>
      </c>
      <c r="V1851" s="1">
        <v>22</v>
      </c>
      <c r="X1851" s="1">
        <v>20</v>
      </c>
      <c r="AA1851" s="1">
        <v>2</v>
      </c>
      <c r="AB1851" s="1">
        <v>3</v>
      </c>
      <c r="AC1851" s="1">
        <v>873</v>
      </c>
      <c r="AF1851" s="3">
        <v>2.8911564625850339</v>
      </c>
      <c r="AG1851" s="3">
        <v>1.1953429733492817</v>
      </c>
      <c r="AH1851" s="1">
        <v>6309</v>
      </c>
      <c r="AI1851" s="1" t="b">
        <v>1</v>
      </c>
    </row>
    <row r="1852" spans="1:35" x14ac:dyDescent="0.25">
      <c r="A1852" s="1">
        <v>3</v>
      </c>
      <c r="B1852" s="1">
        <v>12</v>
      </c>
      <c r="C1852" s="1">
        <v>2020</v>
      </c>
      <c r="G1852" s="1" t="s">
        <v>38</v>
      </c>
      <c r="H1852" s="2">
        <v>5.42</v>
      </c>
      <c r="I1852" s="1">
        <v>14</v>
      </c>
      <c r="U1852" s="1">
        <v>20</v>
      </c>
      <c r="X1852" s="1">
        <v>18</v>
      </c>
      <c r="AA1852" s="1">
        <v>2</v>
      </c>
      <c r="AB1852" s="1">
        <v>5</v>
      </c>
      <c r="AC1852" s="1">
        <v>800</v>
      </c>
      <c r="AF1852" s="3">
        <v>2.5830258302583027</v>
      </c>
      <c r="AG1852" s="3">
        <v>1.2637778853303214</v>
      </c>
      <c r="AH1852" s="1">
        <v>6309</v>
      </c>
      <c r="AI1852" s="1" t="b">
        <v>1</v>
      </c>
    </row>
    <row r="1853" spans="1:35" x14ac:dyDescent="0.25">
      <c r="A1853" s="1">
        <v>3</v>
      </c>
      <c r="B1853" s="1">
        <v>12</v>
      </c>
      <c r="C1853" s="1">
        <v>2020</v>
      </c>
      <c r="G1853" s="1" t="s">
        <v>38</v>
      </c>
      <c r="H1853" s="2">
        <v>4.9800000000000004</v>
      </c>
      <c r="I1853" s="1">
        <v>16</v>
      </c>
      <c r="U1853" s="1">
        <v>20</v>
      </c>
      <c r="X1853" s="1">
        <v>18</v>
      </c>
      <c r="AA1853" s="1">
        <v>1</v>
      </c>
      <c r="AB1853" s="1">
        <v>2</v>
      </c>
      <c r="AC1853" s="1">
        <v>808</v>
      </c>
      <c r="AF1853" s="3">
        <v>3.2128514056224895</v>
      </c>
      <c r="AG1853" s="3">
        <v>0.95756860776345598</v>
      </c>
      <c r="AH1853" s="1">
        <v>6309</v>
      </c>
      <c r="AI1853" s="1" t="b">
        <v>1</v>
      </c>
    </row>
    <row r="1854" spans="1:35" x14ac:dyDescent="0.25">
      <c r="A1854" s="1">
        <v>3</v>
      </c>
      <c r="B1854" s="1">
        <v>12</v>
      </c>
      <c r="C1854" s="1">
        <v>2020</v>
      </c>
      <c r="G1854" s="1" t="s">
        <v>38</v>
      </c>
      <c r="H1854" s="2">
        <v>5.89</v>
      </c>
      <c r="I1854" s="1">
        <v>17</v>
      </c>
      <c r="V1854" s="1">
        <v>23</v>
      </c>
      <c r="X1854" s="1">
        <v>19</v>
      </c>
      <c r="AA1854" s="1">
        <v>2</v>
      </c>
      <c r="AB1854" s="1">
        <v>2</v>
      </c>
      <c r="AC1854" s="1">
        <v>723</v>
      </c>
      <c r="AF1854" s="3">
        <v>2.8862478777589136</v>
      </c>
      <c r="AG1854" s="3">
        <v>1.1988009536593915</v>
      </c>
      <c r="AH1854" s="1">
        <v>6309</v>
      </c>
      <c r="AI1854" s="1" t="b">
        <v>1</v>
      </c>
    </row>
    <row r="1855" spans="1:35" x14ac:dyDescent="0.25">
      <c r="A1855" s="1">
        <v>3</v>
      </c>
      <c r="B1855" s="1">
        <v>12</v>
      </c>
      <c r="C1855" s="1">
        <v>2020</v>
      </c>
      <c r="G1855" s="1" t="s">
        <v>38</v>
      </c>
      <c r="H1855" s="2">
        <v>7.48</v>
      </c>
      <c r="I1855" s="1">
        <v>19</v>
      </c>
      <c r="V1855" s="1">
        <v>28</v>
      </c>
      <c r="X1855" s="1">
        <v>24</v>
      </c>
      <c r="AA1855" s="1">
        <v>3</v>
      </c>
      <c r="AB1855" s="1">
        <v>3</v>
      </c>
      <c r="AC1855" s="1">
        <v>962</v>
      </c>
      <c r="AF1855" s="3">
        <v>2.5401069518716577</v>
      </c>
      <c r="AG1855" s="3">
        <v>1.6101973791225406</v>
      </c>
      <c r="AH1855" s="1">
        <v>6309</v>
      </c>
      <c r="AI1855" s="1" t="b">
        <v>1</v>
      </c>
    </row>
    <row r="1856" spans="1:35" x14ac:dyDescent="0.25">
      <c r="A1856" s="1">
        <v>3</v>
      </c>
      <c r="B1856" s="1">
        <v>12</v>
      </c>
      <c r="C1856" s="1">
        <v>2020</v>
      </c>
      <c r="G1856" s="1" t="s">
        <v>38</v>
      </c>
      <c r="H1856" s="2">
        <v>5.26</v>
      </c>
      <c r="I1856" s="1">
        <v>13</v>
      </c>
      <c r="V1856" s="1">
        <v>21</v>
      </c>
      <c r="X1856" s="1">
        <v>17</v>
      </c>
      <c r="AA1856" s="1">
        <v>3</v>
      </c>
      <c r="AB1856" s="1">
        <v>6</v>
      </c>
      <c r="AC1856" s="1">
        <v>897</v>
      </c>
      <c r="AF1856" s="3">
        <v>2.4714828897338403</v>
      </c>
      <c r="AG1856" s="3">
        <v>1.2933986781231883</v>
      </c>
      <c r="AH1856" s="1">
        <v>6309</v>
      </c>
      <c r="AI1856" s="1" t="b">
        <v>1</v>
      </c>
    </row>
    <row r="1857" spans="1:35" x14ac:dyDescent="0.25">
      <c r="A1857" s="1">
        <v>3</v>
      </c>
      <c r="B1857" s="1">
        <v>12</v>
      </c>
      <c r="C1857" s="1">
        <v>2020</v>
      </c>
      <c r="G1857" s="1" t="s">
        <v>38</v>
      </c>
      <c r="H1857" s="2">
        <v>3.59</v>
      </c>
      <c r="I1857" s="1">
        <v>11</v>
      </c>
      <c r="V1857" s="1">
        <v>16</v>
      </c>
      <c r="X1857" s="1">
        <v>13</v>
      </c>
      <c r="AA1857" s="1">
        <v>2</v>
      </c>
      <c r="AB1857" s="1">
        <v>2</v>
      </c>
      <c r="AC1857" s="1">
        <v>476</v>
      </c>
      <c r="AF1857" s="3">
        <v>3.0640668523676879</v>
      </c>
      <c r="AG1857" s="3">
        <v>0.79848705065404735</v>
      </c>
      <c r="AH1857" s="1">
        <v>6309</v>
      </c>
      <c r="AI1857" s="1" t="b">
        <v>1</v>
      </c>
    </row>
    <row r="1858" spans="1:35" x14ac:dyDescent="0.25">
      <c r="A1858" s="1">
        <v>3</v>
      </c>
      <c r="B1858" s="1">
        <v>12</v>
      </c>
      <c r="C1858" s="1">
        <v>2020</v>
      </c>
      <c r="G1858" s="1" t="s">
        <v>38</v>
      </c>
      <c r="H1858" s="2">
        <v>3.67</v>
      </c>
      <c r="I1858" s="1">
        <v>11</v>
      </c>
      <c r="U1858" s="1">
        <v>12</v>
      </c>
      <c r="X1858" s="1">
        <v>11</v>
      </c>
      <c r="AA1858" s="1">
        <v>1</v>
      </c>
      <c r="AB1858" s="1">
        <v>5</v>
      </c>
      <c r="AC1858" s="1">
        <v>603</v>
      </c>
      <c r="AF1858" s="3">
        <v>2.9972752043596729</v>
      </c>
      <c r="AG1858" s="3">
        <v>0.8289715463577878</v>
      </c>
      <c r="AH1858" s="1">
        <v>6309</v>
      </c>
      <c r="AI1858" s="1" t="b">
        <v>1</v>
      </c>
    </row>
    <row r="1859" spans="1:35" x14ac:dyDescent="0.25">
      <c r="A1859" s="1">
        <v>3</v>
      </c>
      <c r="B1859" s="1">
        <v>12</v>
      </c>
      <c r="C1859" s="1">
        <v>2020</v>
      </c>
      <c r="G1859" s="1" t="s">
        <v>38</v>
      </c>
      <c r="H1859" s="2">
        <v>2.29</v>
      </c>
      <c r="I1859" s="1">
        <v>9</v>
      </c>
      <c r="U1859" s="1">
        <v>10</v>
      </c>
      <c r="X1859" s="1">
        <v>9</v>
      </c>
      <c r="AA1859" s="1">
        <v>1</v>
      </c>
      <c r="AB1859" s="1">
        <v>3</v>
      </c>
      <c r="AC1859" s="1">
        <v>292</v>
      </c>
      <c r="AF1859" s="3">
        <v>3.9301310043668121</v>
      </c>
      <c r="AG1859" s="3">
        <v>0.45444131779005192</v>
      </c>
      <c r="AH1859" s="1">
        <v>6309</v>
      </c>
      <c r="AI1859" s="1" t="b">
        <v>1</v>
      </c>
    </row>
    <row r="1860" spans="1:35" x14ac:dyDescent="0.25">
      <c r="A1860" s="1">
        <v>3</v>
      </c>
      <c r="B1860" s="1">
        <v>12</v>
      </c>
      <c r="C1860" s="1">
        <v>2020</v>
      </c>
      <c r="G1860" s="1" t="s">
        <v>38</v>
      </c>
      <c r="H1860" s="2">
        <v>2.92</v>
      </c>
      <c r="I1860" s="1">
        <v>7</v>
      </c>
      <c r="U1860" s="1">
        <v>11</v>
      </c>
      <c r="X1860" s="1">
        <v>9</v>
      </c>
      <c r="AA1860" s="1">
        <v>2</v>
      </c>
      <c r="AB1860" s="1">
        <v>2</v>
      </c>
      <c r="AC1860" s="1">
        <v>414</v>
      </c>
      <c r="AF1860" s="3">
        <v>2.397260273972603</v>
      </c>
      <c r="AG1860" s="3">
        <v>0.88318728384887879</v>
      </c>
      <c r="AH1860" s="1">
        <v>6309</v>
      </c>
      <c r="AI1860" s="1" t="b">
        <v>1</v>
      </c>
    </row>
    <row r="1861" spans="1:35" x14ac:dyDescent="0.25">
      <c r="A1861" s="1">
        <v>3</v>
      </c>
      <c r="B1861" s="1">
        <v>12</v>
      </c>
      <c r="C1861" s="1">
        <v>2020</v>
      </c>
      <c r="G1861" s="1" t="s">
        <v>38</v>
      </c>
      <c r="H1861" s="2">
        <v>3.38</v>
      </c>
      <c r="I1861" s="1">
        <v>14</v>
      </c>
      <c r="U1861" s="1">
        <v>17</v>
      </c>
      <c r="X1861" s="1">
        <v>15</v>
      </c>
      <c r="AA1861" s="1">
        <v>1</v>
      </c>
      <c r="AB1861" s="1">
        <v>1</v>
      </c>
      <c r="AC1861" s="1">
        <v>515</v>
      </c>
      <c r="AF1861" s="3">
        <v>4.1420118343195265</v>
      </c>
      <c r="AG1861" s="3">
        <v>0.56627886743091604</v>
      </c>
      <c r="AH1861" s="1">
        <v>6309</v>
      </c>
      <c r="AI1861" s="1" t="b">
        <v>1</v>
      </c>
    </row>
    <row r="1862" spans="1:35" x14ac:dyDescent="0.25">
      <c r="A1862" s="1">
        <v>3</v>
      </c>
      <c r="B1862" s="1">
        <v>12</v>
      </c>
      <c r="C1862" s="1">
        <v>2020</v>
      </c>
      <c r="G1862" s="1" t="s">
        <v>38</v>
      </c>
      <c r="H1862" s="2">
        <v>6.59</v>
      </c>
      <c r="I1862" s="1">
        <v>14</v>
      </c>
      <c r="U1862" s="1">
        <v>33</v>
      </c>
      <c r="X1862" s="1">
        <v>26</v>
      </c>
      <c r="AA1862" s="1">
        <v>4</v>
      </c>
      <c r="AB1862" s="1">
        <v>4</v>
      </c>
      <c r="AC1862" s="1">
        <v>972</v>
      </c>
      <c r="AF1862" s="3">
        <v>2.1244309559939301</v>
      </c>
      <c r="AG1862" s="3">
        <v>1.7618834217350716</v>
      </c>
      <c r="AH1862" s="1">
        <v>6309</v>
      </c>
      <c r="AI1862" s="1" t="b">
        <v>1</v>
      </c>
    </row>
    <row r="1863" spans="1:35" x14ac:dyDescent="0.25">
      <c r="A1863" s="1">
        <v>3</v>
      </c>
      <c r="B1863" s="1">
        <v>12</v>
      </c>
      <c r="C1863" s="1">
        <v>2020</v>
      </c>
      <c r="G1863" s="1" t="s">
        <v>38</v>
      </c>
      <c r="H1863" s="2">
        <v>6.23</v>
      </c>
      <c r="I1863" s="1">
        <v>19</v>
      </c>
      <c r="U1863" s="1">
        <v>29</v>
      </c>
      <c r="X1863" s="1">
        <v>27</v>
      </c>
      <c r="AA1863" s="1">
        <v>4</v>
      </c>
      <c r="AB1863" s="1">
        <v>4</v>
      </c>
      <c r="AC1863" s="1">
        <v>839</v>
      </c>
      <c r="AF1863" s="3">
        <v>3.0497592295345104</v>
      </c>
      <c r="AG1863" s="3">
        <v>1.1799838908855436</v>
      </c>
      <c r="AH1863" s="1">
        <v>6309</v>
      </c>
      <c r="AI1863" s="1" t="b">
        <v>1</v>
      </c>
    </row>
    <row r="1864" spans="1:35" x14ac:dyDescent="0.25">
      <c r="A1864" s="1">
        <v>3</v>
      </c>
      <c r="B1864" s="1">
        <v>12</v>
      </c>
      <c r="C1864" s="1">
        <v>2020</v>
      </c>
      <c r="G1864" s="1" t="s">
        <v>38</v>
      </c>
      <c r="H1864" s="2">
        <v>7.05</v>
      </c>
      <c r="I1864" s="1">
        <v>22</v>
      </c>
      <c r="V1864" s="1">
        <v>29</v>
      </c>
      <c r="X1864" s="1">
        <v>26</v>
      </c>
      <c r="AA1864" s="1">
        <v>3</v>
      </c>
      <c r="AB1864" s="1">
        <v>4</v>
      </c>
      <c r="AC1864" s="1">
        <v>1034</v>
      </c>
      <c r="AF1864" s="3">
        <v>3.1205673758865249</v>
      </c>
      <c r="AG1864" s="3">
        <v>1.2574734321363286</v>
      </c>
      <c r="AH1864" s="1">
        <v>6309</v>
      </c>
      <c r="AI1864" s="1" t="b">
        <v>1</v>
      </c>
    </row>
    <row r="1865" spans="1:35" x14ac:dyDescent="0.25">
      <c r="A1865" s="1">
        <v>3</v>
      </c>
      <c r="B1865" s="1">
        <v>12</v>
      </c>
      <c r="C1865" s="1">
        <v>2020</v>
      </c>
      <c r="G1865" s="1" t="s">
        <v>38</v>
      </c>
      <c r="H1865" s="2">
        <v>7.22</v>
      </c>
      <c r="I1865" s="1">
        <v>23</v>
      </c>
      <c r="V1865" s="1">
        <v>31</v>
      </c>
      <c r="X1865" s="1">
        <v>24</v>
      </c>
      <c r="AA1865" s="1">
        <v>3</v>
      </c>
      <c r="AB1865" s="1">
        <v>3</v>
      </c>
      <c r="AC1865" s="1">
        <v>887</v>
      </c>
      <c r="AF1865" s="3">
        <v>3.1855955678670362</v>
      </c>
      <c r="AG1865" s="3">
        <v>1.2525221068601937</v>
      </c>
      <c r="AH1865" s="1">
        <v>6309</v>
      </c>
      <c r="AI1865" s="1" t="b">
        <v>1</v>
      </c>
    </row>
    <row r="1866" spans="1:35" x14ac:dyDescent="0.25">
      <c r="A1866" s="1">
        <v>3</v>
      </c>
      <c r="B1866" s="1">
        <v>12</v>
      </c>
      <c r="C1866" s="1">
        <v>2020</v>
      </c>
      <c r="G1866" s="1" t="s">
        <v>38</v>
      </c>
      <c r="H1866" s="2">
        <v>6.4</v>
      </c>
      <c r="I1866" s="1">
        <v>19</v>
      </c>
      <c r="V1866" s="1">
        <v>27</v>
      </c>
      <c r="X1866" s="1">
        <v>23</v>
      </c>
      <c r="AA1866" s="1">
        <v>3</v>
      </c>
      <c r="AB1866" s="1">
        <v>5</v>
      </c>
      <c r="AC1866" s="1">
        <v>792</v>
      </c>
      <c r="AF1866" s="3">
        <v>2.96875</v>
      </c>
      <c r="AG1866" s="3">
        <v>1.2352428673306022</v>
      </c>
      <c r="AH1866" s="1">
        <v>6309</v>
      </c>
      <c r="AI1866" s="1" t="b">
        <v>1</v>
      </c>
    </row>
    <row r="1867" spans="1:35" x14ac:dyDescent="0.25">
      <c r="A1867" s="1">
        <v>3</v>
      </c>
      <c r="B1867" s="1">
        <v>12</v>
      </c>
      <c r="C1867" s="1">
        <v>2020</v>
      </c>
      <c r="G1867" s="1" t="s">
        <v>38</v>
      </c>
      <c r="H1867" s="2">
        <v>5.07</v>
      </c>
      <c r="I1867" s="1">
        <v>14</v>
      </c>
      <c r="V1867" s="1">
        <v>20</v>
      </c>
      <c r="X1867" s="1">
        <v>17</v>
      </c>
      <c r="AA1867" s="1">
        <v>3</v>
      </c>
      <c r="AB1867" s="1">
        <v>5</v>
      </c>
      <c r="AC1867" s="1">
        <v>723</v>
      </c>
      <c r="AF1867" s="3">
        <v>2.7613412228796843</v>
      </c>
      <c r="AG1867" s="3">
        <v>1.1281984408131744</v>
      </c>
      <c r="AH1867" s="1">
        <v>6309</v>
      </c>
      <c r="AI1867" s="1" t="b">
        <v>1</v>
      </c>
    </row>
    <row r="1868" spans="1:35" x14ac:dyDescent="0.25">
      <c r="A1868" s="1">
        <v>3</v>
      </c>
      <c r="B1868" s="1">
        <v>12</v>
      </c>
      <c r="C1868" s="1">
        <v>2020</v>
      </c>
      <c r="G1868" s="1" t="s">
        <v>38</v>
      </c>
      <c r="H1868" s="2">
        <v>5.69</v>
      </c>
      <c r="I1868" s="1">
        <v>18</v>
      </c>
      <c r="V1868" s="1">
        <v>23</v>
      </c>
      <c r="X1868" s="1">
        <v>21</v>
      </c>
      <c r="AA1868" s="1">
        <v>2</v>
      </c>
      <c r="AB1868" s="1">
        <v>5</v>
      </c>
      <c r="AC1868" s="1">
        <v>1039</v>
      </c>
      <c r="AF1868" s="3">
        <v>3.1634446397188047</v>
      </c>
      <c r="AG1868" s="3">
        <v>1.0676240483778645</v>
      </c>
      <c r="AH1868" s="1">
        <v>6309</v>
      </c>
      <c r="AI1868" s="1" t="b">
        <v>1</v>
      </c>
    </row>
    <row r="1869" spans="1:35" x14ac:dyDescent="0.25">
      <c r="A1869" s="1">
        <v>3</v>
      </c>
      <c r="B1869" s="1">
        <v>12</v>
      </c>
      <c r="C1869" s="1">
        <v>2020</v>
      </c>
      <c r="G1869" s="1" t="s">
        <v>38</v>
      </c>
      <c r="H1869" s="2">
        <v>6.48</v>
      </c>
      <c r="I1869" s="1">
        <v>23</v>
      </c>
      <c r="V1869" s="1">
        <v>26</v>
      </c>
      <c r="X1869" s="1">
        <v>24</v>
      </c>
      <c r="AA1869" s="1">
        <v>3</v>
      </c>
      <c r="AB1869" s="1">
        <v>2</v>
      </c>
      <c r="AC1869" s="1">
        <v>863</v>
      </c>
      <c r="AF1869" s="3">
        <v>3.5493827160493825</v>
      </c>
      <c r="AG1869" s="3">
        <v>1.0421966526642732</v>
      </c>
      <c r="AH1869" s="1">
        <v>6309</v>
      </c>
      <c r="AI1869" s="1" t="b">
        <v>1</v>
      </c>
    </row>
    <row r="1870" spans="1:35" x14ac:dyDescent="0.25">
      <c r="A1870" s="1">
        <v>3</v>
      </c>
      <c r="B1870" s="1">
        <v>12</v>
      </c>
      <c r="C1870" s="1">
        <v>2020</v>
      </c>
      <c r="G1870" s="1" t="s">
        <v>38</v>
      </c>
      <c r="H1870" s="2">
        <v>3.51</v>
      </c>
      <c r="I1870" s="1">
        <v>10</v>
      </c>
      <c r="V1870" s="1">
        <v>17</v>
      </c>
      <c r="X1870" s="1">
        <v>14</v>
      </c>
      <c r="AA1870" s="1">
        <v>2</v>
      </c>
      <c r="AB1870" s="1">
        <v>3</v>
      </c>
      <c r="AC1870" s="1">
        <v>580</v>
      </c>
      <c r="AF1870" s="3">
        <v>2.8490028490028494</v>
      </c>
      <c r="AG1870" s="3">
        <v>0.84532185616106703</v>
      </c>
      <c r="AH1870" s="1">
        <v>6309</v>
      </c>
      <c r="AI1870" s="1" t="b">
        <v>1</v>
      </c>
    </row>
    <row r="1871" spans="1:35" x14ac:dyDescent="0.25">
      <c r="A1871" s="1">
        <v>3</v>
      </c>
      <c r="B1871" s="1">
        <v>12</v>
      </c>
      <c r="C1871" s="1">
        <v>2020</v>
      </c>
      <c r="G1871" s="1" t="s">
        <v>38</v>
      </c>
      <c r="H1871" s="2">
        <v>5.52</v>
      </c>
      <c r="I1871" s="1">
        <v>18</v>
      </c>
      <c r="U1871" s="1">
        <v>28</v>
      </c>
      <c r="X1871" s="1">
        <v>24</v>
      </c>
      <c r="AA1871" s="1">
        <v>3</v>
      </c>
      <c r="AB1871" s="1">
        <v>3</v>
      </c>
      <c r="AC1871" s="1">
        <v>1053</v>
      </c>
      <c r="AF1871" s="3">
        <v>3.2608695652173916</v>
      </c>
      <c r="AG1871" s="3">
        <v>1.0139672477470776</v>
      </c>
      <c r="AH1871" s="1">
        <v>6309</v>
      </c>
      <c r="AI1871" s="1" t="b">
        <v>1</v>
      </c>
    </row>
    <row r="1872" spans="1:35" x14ac:dyDescent="0.25">
      <c r="A1872" s="1">
        <v>3</v>
      </c>
      <c r="B1872" s="1">
        <v>12</v>
      </c>
      <c r="C1872" s="1">
        <v>2020</v>
      </c>
      <c r="G1872" s="1" t="s">
        <v>38</v>
      </c>
      <c r="H1872" s="2">
        <v>6.66</v>
      </c>
      <c r="I1872" s="1">
        <v>21</v>
      </c>
      <c r="V1872" s="1">
        <v>26</v>
      </c>
      <c r="X1872" s="1">
        <v>23</v>
      </c>
      <c r="AA1872" s="1">
        <v>2</v>
      </c>
      <c r="AB1872" s="1">
        <v>5</v>
      </c>
      <c r="AC1872" s="1">
        <v>928</v>
      </c>
      <c r="AF1872" s="3">
        <v>3.1531531531531529</v>
      </c>
      <c r="AG1872" s="3">
        <v>1.1958780506801656</v>
      </c>
      <c r="AH1872" s="1">
        <v>6309</v>
      </c>
      <c r="AI1872" s="1" t="b">
        <v>1</v>
      </c>
    </row>
    <row r="1873" spans="1:35" x14ac:dyDescent="0.25">
      <c r="A1873" s="1">
        <v>3</v>
      </c>
      <c r="B1873" s="1">
        <v>12</v>
      </c>
      <c r="C1873" s="1">
        <v>2020</v>
      </c>
      <c r="G1873" s="1" t="s">
        <v>38</v>
      </c>
      <c r="H1873" s="2">
        <v>8.2100000000000009</v>
      </c>
      <c r="I1873" s="1">
        <v>25</v>
      </c>
      <c r="V1873" s="1">
        <v>33</v>
      </c>
      <c r="X1873" s="1">
        <v>27</v>
      </c>
      <c r="AA1873" s="1">
        <v>2</v>
      </c>
      <c r="AB1873" s="1">
        <v>2</v>
      </c>
      <c r="AC1873" s="1">
        <v>1107</v>
      </c>
      <c r="AF1873" s="3">
        <v>3.0450669914738122</v>
      </c>
      <c r="AG1873" s="3">
        <v>1.4336507242209484</v>
      </c>
      <c r="AH1873" s="1">
        <v>6309</v>
      </c>
      <c r="AI1873" s="1" t="b">
        <v>1</v>
      </c>
    </row>
    <row r="1874" spans="1:35" x14ac:dyDescent="0.25">
      <c r="A1874" s="1">
        <v>3</v>
      </c>
      <c r="B1874" s="1">
        <v>12</v>
      </c>
      <c r="C1874" s="1">
        <v>2020</v>
      </c>
      <c r="G1874" s="1" t="s">
        <v>38</v>
      </c>
      <c r="H1874" s="2">
        <v>6.52</v>
      </c>
      <c r="I1874" s="1">
        <v>24</v>
      </c>
      <c r="V1874" s="1">
        <v>30</v>
      </c>
      <c r="X1874" s="1">
        <v>27</v>
      </c>
      <c r="AA1874" s="1">
        <v>2</v>
      </c>
      <c r="AB1874" s="1">
        <v>2</v>
      </c>
      <c r="AC1874" s="1">
        <v>841</v>
      </c>
      <c r="AF1874" s="3">
        <v>3.6809815950920246</v>
      </c>
      <c r="AG1874" s="3">
        <v>1.0092753607492961</v>
      </c>
      <c r="AH1874" s="1">
        <v>6309</v>
      </c>
      <c r="AI1874" s="1" t="b">
        <v>1</v>
      </c>
    </row>
    <row r="1875" spans="1:35" x14ac:dyDescent="0.25">
      <c r="A1875" s="1">
        <v>3</v>
      </c>
      <c r="B1875" s="1">
        <v>12</v>
      </c>
      <c r="C1875" s="1">
        <v>2020</v>
      </c>
      <c r="G1875" s="1" t="s">
        <v>38</v>
      </c>
      <c r="H1875" s="2">
        <v>4.76</v>
      </c>
      <c r="I1875" s="1">
        <v>12</v>
      </c>
      <c r="U1875" s="1">
        <v>21</v>
      </c>
      <c r="X1875" s="1">
        <v>18</v>
      </c>
      <c r="AA1875" s="1">
        <v>4</v>
      </c>
      <c r="AB1875" s="1">
        <v>2</v>
      </c>
      <c r="AC1875" s="1">
        <v>745</v>
      </c>
      <c r="AF1875" s="3">
        <v>2.5210084033613445</v>
      </c>
      <c r="AG1875" s="3">
        <v>1.182362299793424</v>
      </c>
      <c r="AH1875" s="1">
        <v>6309</v>
      </c>
      <c r="AI1875" s="1" t="b">
        <v>1</v>
      </c>
    </row>
    <row r="1876" spans="1:35" x14ac:dyDescent="0.25">
      <c r="A1876" s="1">
        <v>3</v>
      </c>
      <c r="B1876" s="1">
        <v>12</v>
      </c>
      <c r="C1876" s="1">
        <v>2020</v>
      </c>
      <c r="G1876" s="1" t="s">
        <v>38</v>
      </c>
      <c r="H1876" s="2">
        <v>8.99</v>
      </c>
      <c r="I1876" s="1">
        <v>31</v>
      </c>
      <c r="V1876" s="1">
        <v>32</v>
      </c>
      <c r="X1876" s="1">
        <v>29</v>
      </c>
      <c r="AA1876" s="1">
        <v>3</v>
      </c>
      <c r="AB1876" s="1">
        <v>2</v>
      </c>
      <c r="AC1876" s="1">
        <v>1178</v>
      </c>
      <c r="AF1876" s="3">
        <v>3.4482758620689653</v>
      </c>
      <c r="AG1876" s="3">
        <v>1.3490553920366652</v>
      </c>
      <c r="AH1876" s="1">
        <v>6309</v>
      </c>
      <c r="AI1876" s="1" t="b">
        <v>1</v>
      </c>
    </row>
    <row r="1877" spans="1:35" x14ac:dyDescent="0.25">
      <c r="A1877" s="1">
        <v>3</v>
      </c>
      <c r="B1877" s="1">
        <v>12</v>
      </c>
      <c r="C1877" s="1">
        <v>2020</v>
      </c>
      <c r="G1877" s="1" t="s">
        <v>38</v>
      </c>
      <c r="H1877" s="2">
        <v>6.46</v>
      </c>
      <c r="I1877" s="1">
        <v>20</v>
      </c>
      <c r="V1877" s="1">
        <v>25</v>
      </c>
      <c r="X1877" s="1">
        <v>23</v>
      </c>
      <c r="AA1877" s="1">
        <v>2</v>
      </c>
      <c r="AB1877" s="1">
        <v>2</v>
      </c>
      <c r="AC1877" s="1">
        <v>958</v>
      </c>
      <c r="AF1877" s="3">
        <v>3.0959752321981426</v>
      </c>
      <c r="AG1877" s="3">
        <v>1.1922443827279303</v>
      </c>
      <c r="AH1877" s="1">
        <v>6309</v>
      </c>
      <c r="AI1877" s="1" t="b">
        <v>1</v>
      </c>
    </row>
    <row r="1878" spans="1:35" x14ac:dyDescent="0.25">
      <c r="A1878" s="1">
        <v>3</v>
      </c>
      <c r="B1878" s="1">
        <v>12</v>
      </c>
      <c r="C1878" s="1">
        <v>2020</v>
      </c>
      <c r="G1878" s="1" t="s">
        <v>38</v>
      </c>
      <c r="H1878" s="2">
        <v>4.13</v>
      </c>
      <c r="I1878" s="1">
        <v>11</v>
      </c>
      <c r="V1878" s="1">
        <v>14</v>
      </c>
      <c r="X1878" s="1">
        <v>12</v>
      </c>
      <c r="AA1878" s="1">
        <v>2</v>
      </c>
      <c r="AB1878" s="1">
        <v>3</v>
      </c>
      <c r="AC1878" s="1">
        <v>600</v>
      </c>
      <c r="AF1878" s="3">
        <v>2.6634382566585959</v>
      </c>
      <c r="AG1878" s="3">
        <v>1.0132635092754188</v>
      </c>
      <c r="AH1878" s="1">
        <v>6309</v>
      </c>
      <c r="AI1878" s="1" t="b">
        <v>1</v>
      </c>
    </row>
    <row r="1879" spans="1:35" x14ac:dyDescent="0.25">
      <c r="A1879" s="1">
        <v>3</v>
      </c>
      <c r="B1879" s="1">
        <v>12</v>
      </c>
      <c r="C1879" s="1">
        <v>2020</v>
      </c>
      <c r="G1879" s="1" t="s">
        <v>38</v>
      </c>
      <c r="H1879" s="2">
        <v>4.93</v>
      </c>
      <c r="I1879" s="1">
        <v>12</v>
      </c>
      <c r="U1879" s="1">
        <v>19</v>
      </c>
      <c r="X1879" s="1">
        <v>16</v>
      </c>
      <c r="AA1879" s="1">
        <v>2</v>
      </c>
      <c r="AB1879" s="1">
        <v>5</v>
      </c>
      <c r="AC1879" s="1">
        <v>800</v>
      </c>
      <c r="AF1879" s="3">
        <v>2.4340770791075053</v>
      </c>
      <c r="AG1879" s="3">
        <v>1.2550427426657893</v>
      </c>
      <c r="AH1879" s="1">
        <v>6309</v>
      </c>
      <c r="AI1879" s="1" t="b">
        <v>1</v>
      </c>
    </row>
    <row r="1880" spans="1:35" x14ac:dyDescent="0.25">
      <c r="A1880" s="1">
        <v>3</v>
      </c>
      <c r="B1880" s="1">
        <v>12</v>
      </c>
      <c r="C1880" s="1">
        <v>2020</v>
      </c>
      <c r="G1880" s="1" t="s">
        <v>38</v>
      </c>
      <c r="H1880" s="2">
        <v>4.1399999999999997</v>
      </c>
      <c r="I1880" s="1">
        <v>9</v>
      </c>
      <c r="U1880" s="1">
        <v>16</v>
      </c>
      <c r="X1880" s="1">
        <v>14</v>
      </c>
      <c r="AA1880" s="1">
        <v>4</v>
      </c>
      <c r="AB1880" s="1">
        <v>3</v>
      </c>
      <c r="AC1880" s="1">
        <v>569</v>
      </c>
      <c r="AF1880" s="3">
        <v>2.1739130434782612</v>
      </c>
      <c r="AG1880" s="3">
        <v>1.2435351638491288</v>
      </c>
      <c r="AH1880" s="1">
        <v>6309</v>
      </c>
      <c r="AI1880" s="1" t="b">
        <v>1</v>
      </c>
    </row>
    <row r="1881" spans="1:35" x14ac:dyDescent="0.25">
      <c r="A1881" s="1">
        <v>3</v>
      </c>
      <c r="B1881" s="1">
        <v>12</v>
      </c>
      <c r="C1881" s="1">
        <v>2020</v>
      </c>
      <c r="G1881" s="1" t="s">
        <v>38</v>
      </c>
      <c r="H1881" s="2">
        <v>4.82</v>
      </c>
      <c r="I1881" s="1">
        <v>19</v>
      </c>
      <c r="U1881" s="1">
        <v>21</v>
      </c>
      <c r="X1881" s="1">
        <v>19</v>
      </c>
      <c r="AA1881" s="1">
        <v>1</v>
      </c>
      <c r="AB1881" s="1">
        <v>2</v>
      </c>
      <c r="AC1881" s="1">
        <v>648</v>
      </c>
      <c r="AF1881" s="3">
        <v>3.9419087136929458</v>
      </c>
      <c r="AG1881" s="3">
        <v>0.76282754047251311</v>
      </c>
      <c r="AH1881" s="1">
        <v>6309</v>
      </c>
      <c r="AI1881" s="1" t="b">
        <v>1</v>
      </c>
    </row>
    <row r="1882" spans="1:35" x14ac:dyDescent="0.25">
      <c r="A1882" s="1">
        <v>3</v>
      </c>
      <c r="B1882" s="1">
        <v>12</v>
      </c>
      <c r="C1882" s="1">
        <v>2020</v>
      </c>
      <c r="G1882" s="1" t="s">
        <v>38</v>
      </c>
      <c r="H1882" s="2">
        <v>7.01</v>
      </c>
      <c r="I1882" s="1">
        <v>14</v>
      </c>
      <c r="V1882" s="1">
        <v>26</v>
      </c>
      <c r="X1882" s="1">
        <v>24</v>
      </c>
      <c r="AA1882" s="1">
        <v>5</v>
      </c>
      <c r="AB1882" s="1">
        <v>6</v>
      </c>
      <c r="AC1882" s="1">
        <v>1056</v>
      </c>
      <c r="AF1882" s="3">
        <v>1.9971469329529246</v>
      </c>
      <c r="AG1882" s="3">
        <v>1.9570079723446949</v>
      </c>
      <c r="AH1882" s="1">
        <v>6309</v>
      </c>
      <c r="AI1882" s="1" t="b">
        <v>1</v>
      </c>
    </row>
    <row r="1883" spans="1:35" x14ac:dyDescent="0.25">
      <c r="A1883" s="1">
        <v>26</v>
      </c>
      <c r="B1883" s="1">
        <v>10</v>
      </c>
      <c r="C1883" s="1">
        <v>2019</v>
      </c>
      <c r="G1883" s="1" t="s">
        <v>39</v>
      </c>
      <c r="H1883" s="2">
        <v>28.68</v>
      </c>
      <c r="I1883" s="1">
        <v>77</v>
      </c>
      <c r="U1883" s="1">
        <v>104</v>
      </c>
      <c r="X1883" s="1">
        <v>94</v>
      </c>
      <c r="AA1883" s="1">
        <v>7</v>
      </c>
      <c r="AB1883" s="1">
        <v>9</v>
      </c>
      <c r="AC1883" s="1">
        <v>3679</v>
      </c>
      <c r="AF1883" s="3">
        <v>2.6847977684797768</v>
      </c>
      <c r="AG1883" s="3">
        <v>3.9029575226771014</v>
      </c>
      <c r="AH1883" s="1">
        <v>6251</v>
      </c>
      <c r="AI1883" s="1" t="b">
        <v>1</v>
      </c>
    </row>
    <row r="1884" spans="1:35" x14ac:dyDescent="0.25">
      <c r="A1884" s="1">
        <v>26</v>
      </c>
      <c r="B1884" s="1">
        <v>10</v>
      </c>
      <c r="C1884" s="1">
        <v>2019</v>
      </c>
      <c r="G1884" s="1" t="s">
        <v>39</v>
      </c>
      <c r="H1884" s="2">
        <v>29.92</v>
      </c>
      <c r="I1884" s="1">
        <v>70</v>
      </c>
      <c r="U1884" s="1">
        <v>106</v>
      </c>
      <c r="X1884" s="1">
        <v>93</v>
      </c>
      <c r="AA1884" s="1">
        <v>8</v>
      </c>
      <c r="AB1884" s="1">
        <v>7</v>
      </c>
      <c r="AC1884" s="1">
        <v>3907</v>
      </c>
      <c r="AF1884" s="3">
        <v>2.3395721925133688</v>
      </c>
      <c r="AG1884" s="3">
        <v>4.6135651901144561</v>
      </c>
      <c r="AH1884" s="1">
        <v>6251</v>
      </c>
      <c r="AI1884" s="1" t="b">
        <v>1</v>
      </c>
    </row>
    <row r="1885" spans="1:35" x14ac:dyDescent="0.25">
      <c r="A1885" s="1">
        <v>26</v>
      </c>
      <c r="B1885" s="1">
        <v>10</v>
      </c>
      <c r="C1885" s="1">
        <v>2019</v>
      </c>
      <c r="G1885" s="1" t="s">
        <v>39</v>
      </c>
      <c r="H1885" s="2">
        <v>27.62</v>
      </c>
      <c r="I1885" s="1">
        <v>67</v>
      </c>
      <c r="U1885" s="1">
        <v>88</v>
      </c>
      <c r="X1885" s="1">
        <v>79</v>
      </c>
      <c r="AA1885" s="1">
        <v>6</v>
      </c>
      <c r="AB1885" s="1">
        <v>7</v>
      </c>
      <c r="AC1885" s="1">
        <v>3460</v>
      </c>
      <c r="AF1885" s="3">
        <v>2.4257784214337437</v>
      </c>
      <c r="AG1885" s="3">
        <v>4.2073190186761451</v>
      </c>
      <c r="AH1885" s="1">
        <v>6251</v>
      </c>
      <c r="AI1885" s="1" t="b">
        <v>1</v>
      </c>
    </row>
    <row r="1886" spans="1:35" x14ac:dyDescent="0.25">
      <c r="A1886" s="1">
        <v>26</v>
      </c>
      <c r="B1886" s="1">
        <v>10</v>
      </c>
      <c r="C1886" s="1">
        <v>2019</v>
      </c>
      <c r="G1886" s="1" t="s">
        <v>39</v>
      </c>
      <c r="H1886" s="2">
        <v>25.61</v>
      </c>
      <c r="I1886" s="1">
        <v>51</v>
      </c>
      <c r="U1886" s="1">
        <v>81</v>
      </c>
      <c r="X1886" s="1">
        <v>74</v>
      </c>
      <c r="AA1886" s="1">
        <v>8</v>
      </c>
      <c r="AB1886" s="1">
        <v>7</v>
      </c>
      <c r="AC1886" s="1">
        <v>3282</v>
      </c>
      <c r="AF1886" s="3">
        <v>1.9914096056228037</v>
      </c>
      <c r="AG1886" s="3">
        <v>4.8610054422415327</v>
      </c>
      <c r="AH1886" s="1">
        <v>6251</v>
      </c>
      <c r="AI1886" s="1" t="b">
        <v>1</v>
      </c>
    </row>
    <row r="1887" spans="1:35" x14ac:dyDescent="0.25">
      <c r="A1887" s="1">
        <v>26</v>
      </c>
      <c r="B1887" s="1">
        <v>10</v>
      </c>
      <c r="C1887" s="1">
        <v>2019</v>
      </c>
      <c r="G1887" s="1" t="s">
        <v>39</v>
      </c>
      <c r="H1887" s="2">
        <v>32.409999999999997</v>
      </c>
      <c r="I1887" s="1">
        <v>63</v>
      </c>
      <c r="U1887" s="1">
        <v>114</v>
      </c>
      <c r="X1887" s="1">
        <v>90</v>
      </c>
      <c r="AA1887" s="1">
        <v>12</v>
      </c>
      <c r="AB1887" s="1">
        <v>11</v>
      </c>
      <c r="AC1887" s="1">
        <v>4231</v>
      </c>
      <c r="AF1887" s="3">
        <v>1.9438444924406049</v>
      </c>
      <c r="AG1887" s="3">
        <v>5.8723753000691135</v>
      </c>
      <c r="AH1887" s="1">
        <v>6251</v>
      </c>
      <c r="AI1887" s="1" t="b">
        <v>1</v>
      </c>
    </row>
    <row r="1888" spans="1:35" x14ac:dyDescent="0.25">
      <c r="A1888" s="1">
        <v>26</v>
      </c>
      <c r="B1888" s="1">
        <v>10</v>
      </c>
      <c r="C1888" s="1">
        <v>2019</v>
      </c>
      <c r="G1888" s="1" t="s">
        <v>39</v>
      </c>
      <c r="H1888" s="2">
        <v>20.58</v>
      </c>
      <c r="I1888" s="1">
        <v>51</v>
      </c>
      <c r="U1888" s="1">
        <v>68</v>
      </c>
      <c r="X1888" s="1">
        <v>60</v>
      </c>
      <c r="AA1888" s="1">
        <v>4</v>
      </c>
      <c r="AB1888" s="1">
        <v>6</v>
      </c>
      <c r="AC1888" s="1">
        <v>2675</v>
      </c>
      <c r="AF1888" s="3">
        <v>2.4781341107871722</v>
      </c>
      <c r="AG1888" s="3">
        <v>3.3518683572964298</v>
      </c>
      <c r="AH1888" s="1">
        <v>6251</v>
      </c>
      <c r="AI1888" s="1" t="b">
        <v>1</v>
      </c>
    </row>
    <row r="1889" spans="1:35" x14ac:dyDescent="0.25">
      <c r="A1889" s="1">
        <v>26</v>
      </c>
      <c r="B1889" s="1">
        <v>10</v>
      </c>
      <c r="C1889" s="1">
        <v>2019</v>
      </c>
      <c r="G1889" s="1" t="s">
        <v>39</v>
      </c>
      <c r="H1889" s="2">
        <v>23.04</v>
      </c>
      <c r="I1889" s="1">
        <v>60</v>
      </c>
      <c r="U1889" s="1">
        <v>86</v>
      </c>
      <c r="X1889" s="1">
        <v>78</v>
      </c>
      <c r="AA1889" s="1">
        <v>8</v>
      </c>
      <c r="AB1889" s="1">
        <v>8</v>
      </c>
      <c r="AC1889" s="1">
        <v>3210</v>
      </c>
      <c r="AF1889" s="3">
        <v>2.604166666666667</v>
      </c>
      <c r="AG1889" s="3">
        <v>3.4519854514516655</v>
      </c>
      <c r="AH1889" s="1">
        <v>6251</v>
      </c>
      <c r="AI1889" s="1" t="b">
        <v>1</v>
      </c>
    </row>
    <row r="1890" spans="1:35" x14ac:dyDescent="0.25">
      <c r="A1890" s="1">
        <v>26</v>
      </c>
      <c r="B1890" s="1">
        <v>10</v>
      </c>
      <c r="C1890" s="1">
        <v>2019</v>
      </c>
      <c r="G1890" s="1" t="s">
        <v>39</v>
      </c>
      <c r="H1890" s="2">
        <v>28.7</v>
      </c>
      <c r="I1890" s="1">
        <v>81</v>
      </c>
      <c r="U1890" s="1">
        <v>108</v>
      </c>
      <c r="X1890" s="1">
        <v>96</v>
      </c>
      <c r="AA1890" s="1">
        <v>9</v>
      </c>
      <c r="AB1890" s="1">
        <v>7</v>
      </c>
      <c r="AC1890" s="1">
        <v>3776</v>
      </c>
      <c r="AF1890" s="3">
        <v>2.8222996515679442</v>
      </c>
      <c r="AG1890" s="3">
        <v>3.7146183994174931</v>
      </c>
      <c r="AH1890" s="1">
        <v>6251</v>
      </c>
      <c r="AI1890" s="1" t="b">
        <v>1</v>
      </c>
    </row>
    <row r="1891" spans="1:35" x14ac:dyDescent="0.25">
      <c r="A1891" s="1">
        <v>26</v>
      </c>
      <c r="B1891" s="1">
        <v>10</v>
      </c>
      <c r="C1891" s="1">
        <v>2019</v>
      </c>
      <c r="G1891" s="1" t="s">
        <v>39</v>
      </c>
      <c r="H1891" s="2">
        <v>27.65</v>
      </c>
      <c r="I1891" s="1">
        <v>68</v>
      </c>
      <c r="U1891" s="1">
        <v>106</v>
      </c>
      <c r="X1891" s="1">
        <v>92</v>
      </c>
      <c r="AA1891" s="1">
        <v>10</v>
      </c>
      <c r="AB1891" s="1">
        <v>6</v>
      </c>
      <c r="AC1891" s="1">
        <v>3970</v>
      </c>
      <c r="AF1891" s="3">
        <v>2.4593128390596748</v>
      </c>
      <c r="AG1891" s="3">
        <v>4.1531041075520916</v>
      </c>
      <c r="AH1891" s="1">
        <v>6251</v>
      </c>
      <c r="AI1891" s="1" t="b">
        <v>1</v>
      </c>
    </row>
    <row r="1892" spans="1:35" x14ac:dyDescent="0.25">
      <c r="A1892" s="1">
        <v>26</v>
      </c>
      <c r="B1892" s="1">
        <v>10</v>
      </c>
      <c r="C1892" s="1">
        <v>2019</v>
      </c>
      <c r="G1892" s="1" t="s">
        <v>39</v>
      </c>
      <c r="H1892" s="2">
        <v>23.36</v>
      </c>
      <c r="I1892" s="1">
        <v>47</v>
      </c>
      <c r="U1892" s="1">
        <v>87</v>
      </c>
      <c r="X1892" s="1">
        <v>72</v>
      </c>
      <c r="AA1892" s="1">
        <v>8</v>
      </c>
      <c r="AB1892" s="1">
        <v>14</v>
      </c>
      <c r="AC1892" s="1">
        <v>3348</v>
      </c>
      <c r="AF1892" s="3">
        <v>2.0119863013698631</v>
      </c>
      <c r="AG1892" s="3">
        <v>4.5113442403071708</v>
      </c>
      <c r="AH1892" s="1">
        <v>6251</v>
      </c>
      <c r="AI1892" s="1" t="b">
        <v>1</v>
      </c>
    </row>
    <row r="1893" spans="1:35" x14ac:dyDescent="0.25">
      <c r="A1893" s="1">
        <v>26</v>
      </c>
      <c r="B1893" s="1">
        <v>10</v>
      </c>
      <c r="C1893" s="1">
        <v>2019</v>
      </c>
      <c r="G1893" s="1" t="s">
        <v>39</v>
      </c>
      <c r="H1893" s="2">
        <v>20.48</v>
      </c>
      <c r="I1893" s="1">
        <v>58</v>
      </c>
      <c r="U1893" s="1">
        <v>68</v>
      </c>
      <c r="X1893" s="1">
        <v>64</v>
      </c>
      <c r="AA1893" s="1">
        <v>4</v>
      </c>
      <c r="AB1893" s="1">
        <v>7</v>
      </c>
      <c r="AC1893" s="1">
        <v>2611</v>
      </c>
      <c r="AF1893" s="3">
        <v>2.83203125</v>
      </c>
      <c r="AG1893" s="3">
        <v>2.9230276622795648</v>
      </c>
      <c r="AH1893" s="1">
        <v>6251</v>
      </c>
      <c r="AI1893" s="1" t="b">
        <v>1</v>
      </c>
    </row>
    <row r="1894" spans="1:35" x14ac:dyDescent="0.25">
      <c r="A1894" s="1">
        <v>26</v>
      </c>
      <c r="B1894" s="1">
        <v>10</v>
      </c>
      <c r="C1894" s="1">
        <v>2019</v>
      </c>
      <c r="G1894" s="1" t="s">
        <v>39</v>
      </c>
      <c r="H1894" s="2">
        <v>20.09</v>
      </c>
      <c r="I1894" s="1">
        <v>47</v>
      </c>
      <c r="U1894" s="1">
        <v>76</v>
      </c>
      <c r="X1894" s="1">
        <v>65</v>
      </c>
      <c r="AA1894" s="1">
        <v>8</v>
      </c>
      <c r="AB1894" s="1">
        <v>4</v>
      </c>
      <c r="AC1894" s="1">
        <v>2695</v>
      </c>
      <c r="AF1894" s="3">
        <v>2.3394723743155801</v>
      </c>
      <c r="AG1894" s="3">
        <v>3.491146185797493</v>
      </c>
      <c r="AH1894" s="1">
        <v>6251</v>
      </c>
      <c r="AI1894" s="1" t="b">
        <v>1</v>
      </c>
    </row>
    <row r="1895" spans="1:35" x14ac:dyDescent="0.25">
      <c r="A1895" s="1">
        <v>26</v>
      </c>
      <c r="B1895" s="1">
        <v>10</v>
      </c>
      <c r="C1895" s="1">
        <v>2019</v>
      </c>
      <c r="G1895" s="1" t="s">
        <v>39</v>
      </c>
      <c r="H1895" s="2">
        <v>25.13</v>
      </c>
      <c r="I1895" s="1">
        <v>65</v>
      </c>
      <c r="U1895" s="1">
        <v>74</v>
      </c>
      <c r="X1895" s="1">
        <v>72</v>
      </c>
      <c r="AA1895" s="1">
        <v>3</v>
      </c>
      <c r="AB1895" s="1">
        <v>5</v>
      </c>
      <c r="AC1895" s="1">
        <v>3193</v>
      </c>
      <c r="AF1895" s="3">
        <v>2.5865499403103862</v>
      </c>
      <c r="AG1895" s="3">
        <v>3.6932939445041599</v>
      </c>
      <c r="AH1895" s="1">
        <v>6251</v>
      </c>
      <c r="AI1895" s="1" t="b">
        <v>1</v>
      </c>
    </row>
    <row r="1896" spans="1:35" x14ac:dyDescent="0.25">
      <c r="A1896" s="1">
        <v>27</v>
      </c>
      <c r="B1896" s="1">
        <v>10</v>
      </c>
      <c r="C1896" s="1">
        <v>2019</v>
      </c>
      <c r="G1896" s="1" t="s">
        <v>39</v>
      </c>
      <c r="H1896" s="2">
        <v>33.119999999999997</v>
      </c>
      <c r="I1896" s="1">
        <v>91</v>
      </c>
      <c r="U1896" s="1">
        <v>125</v>
      </c>
      <c r="X1896" s="1">
        <v>111</v>
      </c>
      <c r="AA1896" s="1">
        <v>7</v>
      </c>
      <c r="AB1896" s="1">
        <v>6</v>
      </c>
      <c r="AC1896" s="1">
        <v>3939</v>
      </c>
      <c r="AF1896" s="3">
        <v>2.7475845410628024</v>
      </c>
      <c r="AG1896" s="3">
        <v>4.2180542927816989</v>
      </c>
      <c r="AH1896" s="1">
        <v>6251</v>
      </c>
      <c r="AI1896" s="1" t="b">
        <v>1</v>
      </c>
    </row>
    <row r="1897" spans="1:35" x14ac:dyDescent="0.25">
      <c r="A1897" s="1">
        <v>27</v>
      </c>
      <c r="B1897" s="1">
        <v>10</v>
      </c>
      <c r="C1897" s="1">
        <v>2019</v>
      </c>
      <c r="G1897" s="1" t="s">
        <v>39</v>
      </c>
      <c r="H1897" s="2">
        <v>24.13</v>
      </c>
      <c r="I1897" s="1">
        <v>46</v>
      </c>
      <c r="U1897" s="1">
        <v>83</v>
      </c>
      <c r="X1897" s="1">
        <v>64</v>
      </c>
      <c r="AA1897" s="1">
        <v>10</v>
      </c>
      <c r="AB1897" s="1">
        <v>11</v>
      </c>
      <c r="AC1897" s="1">
        <v>3356</v>
      </c>
      <c r="AF1897" s="3">
        <v>1.9063406547865729</v>
      </c>
      <c r="AG1897" s="3">
        <v>4.8706802004600327</v>
      </c>
      <c r="AH1897" s="1">
        <v>6251</v>
      </c>
      <c r="AI1897" s="1" t="b">
        <v>1</v>
      </c>
    </row>
    <row r="1898" spans="1:35" x14ac:dyDescent="0.25">
      <c r="A1898" s="1">
        <v>27</v>
      </c>
      <c r="B1898" s="1">
        <v>10</v>
      </c>
      <c r="C1898" s="1">
        <v>2019</v>
      </c>
      <c r="G1898" s="1" t="s">
        <v>39</v>
      </c>
      <c r="H1898" s="2">
        <v>18.940000000000001</v>
      </c>
      <c r="I1898" s="1">
        <v>40</v>
      </c>
      <c r="U1898" s="1">
        <v>61</v>
      </c>
      <c r="X1898" s="1">
        <v>53</v>
      </c>
      <c r="AA1898" s="1">
        <v>7</v>
      </c>
      <c r="AB1898" s="1">
        <v>16</v>
      </c>
      <c r="AC1898" s="1">
        <v>2730</v>
      </c>
      <c r="AF1898" s="3">
        <v>2.1119324181626187</v>
      </c>
      <c r="AG1898" s="3">
        <v>3.7109573719733171</v>
      </c>
      <c r="AH1898" s="1">
        <v>6251</v>
      </c>
      <c r="AI1898" s="1" t="b">
        <v>1</v>
      </c>
    </row>
    <row r="1899" spans="1:35" x14ac:dyDescent="0.25">
      <c r="A1899" s="1">
        <v>27</v>
      </c>
      <c r="B1899" s="1">
        <v>10</v>
      </c>
      <c r="C1899" s="1">
        <v>2019</v>
      </c>
      <c r="G1899" s="1" t="s">
        <v>39</v>
      </c>
      <c r="H1899" s="2">
        <v>26.43</v>
      </c>
      <c r="I1899" s="1">
        <v>73</v>
      </c>
      <c r="U1899" s="1">
        <v>108</v>
      </c>
      <c r="X1899" s="1">
        <v>94</v>
      </c>
      <c r="AA1899" s="1">
        <v>7</v>
      </c>
      <c r="AB1899" s="1">
        <v>10</v>
      </c>
      <c r="AC1899" s="1">
        <v>3627</v>
      </c>
      <c r="AF1899" s="3">
        <v>2.7620128641695043</v>
      </c>
      <c r="AG1899" s="3">
        <v>3.5829629490203532</v>
      </c>
      <c r="AH1899" s="1">
        <v>6251</v>
      </c>
      <c r="AI1899" s="1" t="b">
        <v>1</v>
      </c>
    </row>
    <row r="1900" spans="1:35" x14ac:dyDescent="0.25">
      <c r="A1900" s="1">
        <v>27</v>
      </c>
      <c r="B1900" s="1">
        <v>10</v>
      </c>
      <c r="C1900" s="1">
        <v>2019</v>
      </c>
      <c r="G1900" s="1" t="s">
        <v>39</v>
      </c>
      <c r="H1900" s="2">
        <v>25.76</v>
      </c>
      <c r="I1900" s="1">
        <v>57</v>
      </c>
      <c r="U1900" s="1">
        <v>86</v>
      </c>
      <c r="X1900" s="1">
        <v>76</v>
      </c>
      <c r="AA1900" s="1">
        <v>6</v>
      </c>
      <c r="AB1900" s="1">
        <v>9</v>
      </c>
      <c r="AC1900" s="1">
        <v>3557</v>
      </c>
      <c r="AF1900" s="3">
        <v>2.2127329192546581</v>
      </c>
      <c r="AG1900" s="3">
        <v>4.3927157789022173</v>
      </c>
      <c r="AH1900" s="1">
        <v>6251</v>
      </c>
      <c r="AI1900" s="1" t="b">
        <v>1</v>
      </c>
    </row>
    <row r="1901" spans="1:35" x14ac:dyDescent="0.25">
      <c r="A1901" s="1">
        <v>27</v>
      </c>
      <c r="B1901" s="1">
        <v>10</v>
      </c>
      <c r="C1901" s="1">
        <v>2019</v>
      </c>
      <c r="G1901" s="1" t="s">
        <v>39</v>
      </c>
      <c r="H1901" s="2">
        <v>26.69</v>
      </c>
      <c r="I1901" s="1">
        <v>63</v>
      </c>
      <c r="U1901" s="1">
        <v>96</v>
      </c>
      <c r="X1901" s="1">
        <v>83</v>
      </c>
      <c r="AA1901" s="1">
        <v>7</v>
      </c>
      <c r="AB1901" s="1">
        <v>6</v>
      </c>
      <c r="AC1901" s="1">
        <v>3413</v>
      </c>
      <c r="AF1901" s="3">
        <v>2.3604346197077555</v>
      </c>
      <c r="AG1901" s="3">
        <v>4.221356455774484</v>
      </c>
      <c r="AH1901" s="1">
        <v>6251</v>
      </c>
      <c r="AI1901" s="1" t="b">
        <v>1</v>
      </c>
    </row>
    <row r="1902" spans="1:35" x14ac:dyDescent="0.25">
      <c r="A1902" s="1">
        <v>27</v>
      </c>
      <c r="B1902" s="1">
        <v>10</v>
      </c>
      <c r="C1902" s="1">
        <v>2019</v>
      </c>
      <c r="G1902" s="1" t="s">
        <v>39</v>
      </c>
      <c r="H1902" s="2">
        <v>26.39</v>
      </c>
      <c r="I1902" s="1">
        <v>67</v>
      </c>
      <c r="U1902" s="1">
        <v>96</v>
      </c>
      <c r="X1902" s="1">
        <v>83</v>
      </c>
      <c r="AA1902" s="1">
        <v>8</v>
      </c>
      <c r="AB1902" s="1">
        <v>9</v>
      </c>
      <c r="AC1902" s="1">
        <v>3141</v>
      </c>
      <c r="AF1902" s="3">
        <v>2.5388404698749527</v>
      </c>
      <c r="AG1902" s="3">
        <v>3.8937867296494959</v>
      </c>
      <c r="AH1902" s="1">
        <v>6251</v>
      </c>
      <c r="AI1902" s="1" t="b">
        <v>1</v>
      </c>
    </row>
    <row r="1903" spans="1:35" x14ac:dyDescent="0.25">
      <c r="A1903" s="1">
        <v>27</v>
      </c>
      <c r="B1903" s="1">
        <v>10</v>
      </c>
      <c r="C1903" s="1">
        <v>2019</v>
      </c>
      <c r="G1903" s="1" t="s">
        <v>39</v>
      </c>
      <c r="H1903" s="2">
        <v>23.83</v>
      </c>
      <c r="I1903" s="1">
        <v>52</v>
      </c>
      <c r="U1903" s="1">
        <v>78</v>
      </c>
      <c r="X1903" s="1">
        <v>69</v>
      </c>
      <c r="AA1903" s="1">
        <v>8</v>
      </c>
      <c r="AB1903" s="1">
        <v>10</v>
      </c>
      <c r="AC1903" s="1">
        <v>3455</v>
      </c>
      <c r="AF1903" s="3">
        <v>2.1821233738984476</v>
      </c>
      <c r="AG1903" s="3">
        <v>4.2180092553570585</v>
      </c>
      <c r="AH1903" s="1">
        <v>6251</v>
      </c>
      <c r="AI1903" s="1" t="b">
        <v>1</v>
      </c>
    </row>
    <row r="1904" spans="1:35" x14ac:dyDescent="0.25">
      <c r="A1904" s="1">
        <v>27</v>
      </c>
      <c r="B1904" s="1">
        <v>10</v>
      </c>
      <c r="C1904" s="1">
        <v>2019</v>
      </c>
      <c r="G1904" s="1" t="s">
        <v>39</v>
      </c>
      <c r="H1904" s="2">
        <v>21.47</v>
      </c>
      <c r="I1904" s="1">
        <v>54</v>
      </c>
      <c r="U1904" s="1">
        <v>77</v>
      </c>
      <c r="X1904" s="1">
        <v>65</v>
      </c>
      <c r="AA1904" s="1">
        <v>6</v>
      </c>
      <c r="AB1904" s="1">
        <v>7</v>
      </c>
      <c r="AC1904" s="1">
        <v>2914</v>
      </c>
      <c r="AF1904" s="3">
        <v>2.5151374010246856</v>
      </c>
      <c r="AG1904" s="3">
        <v>3.4018935179649965</v>
      </c>
      <c r="AH1904" s="1">
        <v>6251</v>
      </c>
      <c r="AI1904" s="1" t="b">
        <v>1</v>
      </c>
    </row>
    <row r="1905" spans="1:35" x14ac:dyDescent="0.25">
      <c r="A1905" s="1">
        <v>27</v>
      </c>
      <c r="B1905" s="1">
        <v>10</v>
      </c>
      <c r="C1905" s="1">
        <v>2019</v>
      </c>
      <c r="G1905" s="1" t="s">
        <v>39</v>
      </c>
      <c r="H1905" s="2">
        <v>29.09</v>
      </c>
      <c r="I1905" s="1">
        <v>79</v>
      </c>
      <c r="U1905" s="1">
        <v>112</v>
      </c>
      <c r="X1905" s="1">
        <v>96</v>
      </c>
      <c r="AA1905" s="1">
        <v>7</v>
      </c>
      <c r="AB1905" s="1">
        <v>6</v>
      </c>
      <c r="AC1905" s="1">
        <v>3634</v>
      </c>
      <c r="AF1905" s="3">
        <v>2.7157098659333103</v>
      </c>
      <c r="AG1905" s="3">
        <v>3.8970612786185947</v>
      </c>
      <c r="AH1905" s="1">
        <v>6251</v>
      </c>
      <c r="AI1905" s="1" t="b">
        <v>1</v>
      </c>
    </row>
    <row r="1906" spans="1:35" x14ac:dyDescent="0.25">
      <c r="A1906" s="1">
        <v>27</v>
      </c>
      <c r="B1906" s="1">
        <v>10</v>
      </c>
      <c r="C1906" s="1">
        <v>2019</v>
      </c>
      <c r="G1906" s="1" t="s">
        <v>39</v>
      </c>
      <c r="H1906" s="2">
        <v>27.31</v>
      </c>
      <c r="I1906" s="1">
        <v>68</v>
      </c>
      <c r="U1906" s="1">
        <v>105</v>
      </c>
      <c r="X1906" s="1">
        <v>93</v>
      </c>
      <c r="AA1906" s="1">
        <v>9</v>
      </c>
      <c r="AB1906" s="1">
        <v>10</v>
      </c>
      <c r="AC1906" s="1">
        <v>4072</v>
      </c>
      <c r="AF1906" s="3">
        <v>2.4899304284145005</v>
      </c>
      <c r="AG1906" s="3">
        <v>4.0666610631224236</v>
      </c>
      <c r="AH1906" s="1">
        <v>6251</v>
      </c>
      <c r="AI1906" s="1" t="b">
        <v>1</v>
      </c>
    </row>
    <row r="1907" spans="1:35" x14ac:dyDescent="0.25">
      <c r="A1907" s="1">
        <v>27</v>
      </c>
      <c r="B1907" s="1">
        <v>10</v>
      </c>
      <c r="C1907" s="1">
        <v>2019</v>
      </c>
      <c r="G1907" s="1" t="s">
        <v>39</v>
      </c>
      <c r="H1907" s="2">
        <v>18.57</v>
      </c>
      <c r="I1907" s="1">
        <v>35</v>
      </c>
      <c r="U1907" s="1">
        <v>58</v>
      </c>
      <c r="X1907" s="1">
        <v>47</v>
      </c>
      <c r="AA1907" s="1">
        <v>7</v>
      </c>
      <c r="AB1907" s="1">
        <v>9</v>
      </c>
      <c r="AC1907" s="1">
        <v>2520</v>
      </c>
      <c r="AF1907" s="3">
        <v>1.884760366182014</v>
      </c>
      <c r="AG1907" s="3">
        <v>4.1012117410003759</v>
      </c>
      <c r="AH1907" s="1">
        <v>6251</v>
      </c>
      <c r="AI1907" s="1" t="b">
        <v>1</v>
      </c>
    </row>
    <row r="1908" spans="1:35" x14ac:dyDescent="0.25">
      <c r="A1908" s="1">
        <v>28</v>
      </c>
      <c r="B1908" s="1">
        <v>10</v>
      </c>
      <c r="C1908" s="1">
        <v>2019</v>
      </c>
      <c r="G1908" s="1" t="s">
        <v>39</v>
      </c>
      <c r="H1908" s="2">
        <v>29.18</v>
      </c>
      <c r="I1908" s="1">
        <v>78</v>
      </c>
      <c r="U1908" s="1">
        <v>105</v>
      </c>
      <c r="X1908" s="1">
        <v>91</v>
      </c>
      <c r="AA1908" s="1">
        <v>6</v>
      </c>
      <c r="AB1908" s="1">
        <v>5</v>
      </c>
      <c r="AC1908" s="1">
        <v>3663</v>
      </c>
      <c r="AF1908" s="3">
        <v>2.6730637422892394</v>
      </c>
      <c r="AG1908" s="3">
        <v>3.9678056011280352</v>
      </c>
      <c r="AH1908" s="1">
        <v>6252</v>
      </c>
      <c r="AI1908" s="1" t="b">
        <v>1</v>
      </c>
    </row>
    <row r="1909" spans="1:35" x14ac:dyDescent="0.25">
      <c r="A1909" s="1">
        <v>29</v>
      </c>
      <c r="B1909" s="1">
        <v>10</v>
      </c>
      <c r="C1909" s="1">
        <v>2019</v>
      </c>
      <c r="G1909" s="1" t="s">
        <v>39</v>
      </c>
      <c r="H1909" s="2">
        <v>24.87</v>
      </c>
      <c r="I1909" s="1">
        <v>72</v>
      </c>
      <c r="U1909" s="1">
        <v>94</v>
      </c>
      <c r="X1909" s="1">
        <v>83</v>
      </c>
      <c r="AA1909" s="1">
        <v>5</v>
      </c>
      <c r="AB1909" s="1">
        <v>5</v>
      </c>
      <c r="AC1909" s="1">
        <v>3220</v>
      </c>
      <c r="AF1909" s="3">
        <v>2.8950542822677923</v>
      </c>
      <c r="AG1909" s="3">
        <v>3.2757921551361164</v>
      </c>
      <c r="AH1909" s="1">
        <v>6252</v>
      </c>
      <c r="AI1909" s="1" t="b">
        <v>1</v>
      </c>
    </row>
    <row r="1910" spans="1:35" x14ac:dyDescent="0.25">
      <c r="A1910" s="1">
        <v>29</v>
      </c>
      <c r="B1910" s="1">
        <v>10</v>
      </c>
      <c r="C1910" s="1">
        <v>2019</v>
      </c>
      <c r="G1910" s="1" t="s">
        <v>39</v>
      </c>
      <c r="H1910" s="2">
        <v>25.61</v>
      </c>
      <c r="I1910" s="1">
        <v>58</v>
      </c>
      <c r="U1910" s="1">
        <v>95</v>
      </c>
      <c r="X1910" s="1">
        <v>80</v>
      </c>
      <c r="AA1910" s="1">
        <v>8</v>
      </c>
      <c r="AB1910" s="1">
        <v>10</v>
      </c>
      <c r="AC1910" s="1">
        <v>3428</v>
      </c>
      <c r="AF1910" s="3">
        <v>2.2647403358063256</v>
      </c>
      <c r="AG1910" s="3">
        <v>4.2743323716261754</v>
      </c>
      <c r="AH1910" s="1">
        <v>6252</v>
      </c>
      <c r="AI1910" s="1" t="b">
        <v>1</v>
      </c>
    </row>
    <row r="1911" spans="1:35" x14ac:dyDescent="0.25">
      <c r="A1911" s="1">
        <v>29</v>
      </c>
      <c r="B1911" s="1">
        <v>10</v>
      </c>
      <c r="C1911" s="1">
        <v>2019</v>
      </c>
      <c r="G1911" s="1" t="s">
        <v>39</v>
      </c>
      <c r="H1911" s="2">
        <v>27.39</v>
      </c>
      <c r="I1911" s="1">
        <v>55</v>
      </c>
      <c r="V1911" s="1">
        <v>93</v>
      </c>
      <c r="X1911" s="1">
        <v>70</v>
      </c>
      <c r="AA1911" s="1">
        <v>5</v>
      </c>
      <c r="AB1911" s="1">
        <v>8</v>
      </c>
      <c r="AC1911" s="1">
        <v>2979</v>
      </c>
      <c r="AF1911" s="3">
        <v>2.0080321285140563</v>
      </c>
      <c r="AG1911" s="3">
        <v>5.0529356253175788</v>
      </c>
      <c r="AH1911" s="1">
        <v>6252</v>
      </c>
      <c r="AI1911" s="1" t="b">
        <v>1</v>
      </c>
    </row>
    <row r="1912" spans="1:35" x14ac:dyDescent="0.25">
      <c r="A1912" s="1">
        <v>29</v>
      </c>
      <c r="B1912" s="1">
        <v>10</v>
      </c>
      <c r="C1912" s="1">
        <v>2019</v>
      </c>
      <c r="G1912" s="1" t="s">
        <v>39</v>
      </c>
      <c r="H1912" s="2">
        <v>29.25</v>
      </c>
      <c r="I1912" s="1">
        <v>59</v>
      </c>
      <c r="V1912" s="1">
        <v>94</v>
      </c>
      <c r="X1912" s="1">
        <v>74</v>
      </c>
      <c r="AA1912" s="1">
        <v>4</v>
      </c>
      <c r="AB1912" s="1">
        <v>5</v>
      </c>
      <c r="AC1912" s="1">
        <v>3436</v>
      </c>
      <c r="AF1912" s="3">
        <v>2.017094017094017</v>
      </c>
      <c r="AG1912" s="3">
        <v>5.2669836241081764</v>
      </c>
      <c r="AH1912" s="1">
        <v>6252</v>
      </c>
      <c r="AI1912" s="1" t="b">
        <v>1</v>
      </c>
    </row>
    <row r="1913" spans="1:35" x14ac:dyDescent="0.25">
      <c r="A1913" s="1">
        <v>29</v>
      </c>
      <c r="B1913" s="1">
        <v>10</v>
      </c>
      <c r="C1913" s="1">
        <v>2019</v>
      </c>
      <c r="G1913" s="1" t="s">
        <v>39</v>
      </c>
      <c r="H1913" s="2">
        <v>19.739999999999998</v>
      </c>
      <c r="I1913" s="1">
        <v>44</v>
      </c>
      <c r="U1913" s="1">
        <v>71</v>
      </c>
      <c r="X1913" s="1">
        <v>63</v>
      </c>
      <c r="AA1913" s="1">
        <v>9</v>
      </c>
      <c r="AB1913" s="1">
        <v>7</v>
      </c>
      <c r="AC1913" s="1">
        <v>2854</v>
      </c>
      <c r="AF1913" s="3">
        <v>2.2289766970618037</v>
      </c>
      <c r="AG1913" s="3">
        <v>3.619407447454654</v>
      </c>
      <c r="AH1913" s="1">
        <v>6252</v>
      </c>
      <c r="AI1913" s="1" t="b">
        <v>1</v>
      </c>
    </row>
    <row r="1914" spans="1:35" x14ac:dyDescent="0.25">
      <c r="A1914" s="1">
        <v>31</v>
      </c>
      <c r="B1914" s="1">
        <v>10</v>
      </c>
      <c r="C1914" s="1">
        <v>2019</v>
      </c>
      <c r="G1914" s="1" t="s">
        <v>39</v>
      </c>
      <c r="H1914" s="2">
        <v>28.73</v>
      </c>
      <c r="I1914" s="1">
        <v>75</v>
      </c>
      <c r="U1914" s="1">
        <v>91</v>
      </c>
      <c r="X1914" s="1">
        <v>83</v>
      </c>
      <c r="AA1914" s="1">
        <v>4</v>
      </c>
      <c r="AB1914" s="1">
        <v>5</v>
      </c>
      <c r="AC1914" s="1">
        <v>3240</v>
      </c>
      <c r="AF1914" s="3">
        <v>2.6105116602854159</v>
      </c>
      <c r="AG1914" s="3">
        <v>4.0189194402806097</v>
      </c>
      <c r="AH1914" s="1">
        <v>6252</v>
      </c>
      <c r="AI1914" s="1" t="b">
        <v>1</v>
      </c>
    </row>
    <row r="1915" spans="1:35" x14ac:dyDescent="0.25">
      <c r="A1915" s="1">
        <v>31</v>
      </c>
      <c r="B1915" s="1">
        <v>10</v>
      </c>
      <c r="C1915" s="1">
        <v>2019</v>
      </c>
      <c r="G1915" s="1" t="s">
        <v>39</v>
      </c>
      <c r="H1915" s="2">
        <v>28.89</v>
      </c>
      <c r="I1915" s="1">
        <v>70</v>
      </c>
      <c r="U1915" s="1">
        <v>99</v>
      </c>
      <c r="X1915" s="1">
        <v>87</v>
      </c>
      <c r="AA1915" s="1">
        <v>8</v>
      </c>
      <c r="AB1915" s="1">
        <v>5</v>
      </c>
      <c r="AC1915" s="1">
        <v>3522</v>
      </c>
      <c r="AF1915" s="3">
        <v>2.4229837313949463</v>
      </c>
      <c r="AG1915" s="3">
        <v>4.3468312551558537</v>
      </c>
      <c r="AH1915" s="1">
        <v>6252</v>
      </c>
      <c r="AI1915" s="1" t="b">
        <v>1</v>
      </c>
    </row>
    <row r="1916" spans="1:35" x14ac:dyDescent="0.25">
      <c r="A1916" s="1">
        <v>31</v>
      </c>
      <c r="B1916" s="1">
        <v>10</v>
      </c>
      <c r="C1916" s="1">
        <v>2019</v>
      </c>
      <c r="G1916" s="1" t="s">
        <v>39</v>
      </c>
      <c r="H1916" s="2">
        <v>26.57</v>
      </c>
      <c r="I1916" s="1">
        <v>71</v>
      </c>
      <c r="U1916" s="1">
        <v>90</v>
      </c>
      <c r="X1916" s="1">
        <v>82</v>
      </c>
      <c r="AA1916" s="1">
        <v>4</v>
      </c>
      <c r="AB1916" s="1">
        <v>5</v>
      </c>
      <c r="AC1916" s="1">
        <v>2997</v>
      </c>
      <c r="AF1916" s="3">
        <v>2.6721866767030487</v>
      </c>
      <c r="AG1916" s="3">
        <v>3.7171260948794442</v>
      </c>
      <c r="AH1916" s="1">
        <v>6252</v>
      </c>
      <c r="AI1916" s="1" t="b">
        <v>1</v>
      </c>
    </row>
    <row r="1917" spans="1:35" x14ac:dyDescent="0.25">
      <c r="A1917" s="1">
        <v>31</v>
      </c>
      <c r="B1917" s="1">
        <v>10</v>
      </c>
      <c r="C1917" s="1">
        <v>2019</v>
      </c>
      <c r="G1917" s="1" t="s">
        <v>39</v>
      </c>
      <c r="H1917" s="2">
        <v>25.26</v>
      </c>
      <c r="I1917" s="1">
        <v>73</v>
      </c>
      <c r="U1917" s="1">
        <v>100</v>
      </c>
      <c r="X1917" s="1">
        <v>87</v>
      </c>
      <c r="AA1917" s="1">
        <v>6</v>
      </c>
      <c r="AB1917" s="1">
        <v>5</v>
      </c>
      <c r="AC1917" s="1">
        <v>3313</v>
      </c>
      <c r="AF1917" s="3">
        <v>2.8899445764053837</v>
      </c>
      <c r="AG1917" s="3">
        <v>3.3175221291104449</v>
      </c>
      <c r="AH1917" s="1">
        <v>6252</v>
      </c>
      <c r="AI1917" s="1" t="b">
        <v>1</v>
      </c>
    </row>
    <row r="1918" spans="1:35" x14ac:dyDescent="0.25">
      <c r="A1918" s="1">
        <v>31</v>
      </c>
      <c r="B1918" s="1">
        <v>10</v>
      </c>
      <c r="C1918" s="1">
        <v>2019</v>
      </c>
      <c r="G1918" s="1" t="s">
        <v>39</v>
      </c>
      <c r="H1918" s="2">
        <v>31.82</v>
      </c>
      <c r="I1918" s="1">
        <v>77</v>
      </c>
      <c r="U1918" s="1">
        <v>127</v>
      </c>
      <c r="X1918" s="1">
        <v>109</v>
      </c>
      <c r="AA1918" s="1">
        <v>11</v>
      </c>
      <c r="AB1918" s="1">
        <v>7</v>
      </c>
      <c r="AC1918" s="1">
        <v>3924</v>
      </c>
      <c r="AF1918" s="3">
        <v>2.4198617221873038</v>
      </c>
      <c r="AG1918" s="3">
        <v>4.6569285300000338</v>
      </c>
      <c r="AH1918" s="1">
        <v>6252</v>
      </c>
      <c r="AI1918" s="1" t="b">
        <v>1</v>
      </c>
    </row>
    <row r="1919" spans="1:35" x14ac:dyDescent="0.25">
      <c r="A1919" s="1">
        <v>31</v>
      </c>
      <c r="B1919" s="1">
        <v>10</v>
      </c>
      <c r="C1919" s="1">
        <v>2019</v>
      </c>
      <c r="G1919" s="1" t="s">
        <v>39</v>
      </c>
      <c r="H1919" s="2">
        <v>22.69</v>
      </c>
      <c r="I1919" s="1">
        <v>58</v>
      </c>
      <c r="U1919" s="1">
        <v>86</v>
      </c>
      <c r="X1919" s="1">
        <v>74</v>
      </c>
      <c r="AA1919" s="1">
        <v>10</v>
      </c>
      <c r="AB1919" s="1">
        <v>12</v>
      </c>
      <c r="AC1919" s="1">
        <v>3108</v>
      </c>
      <c r="AF1919" s="3">
        <v>2.5561921551344202</v>
      </c>
      <c r="AG1919" s="3">
        <v>3.4792901649781944</v>
      </c>
      <c r="AH1919" s="1">
        <v>6252</v>
      </c>
      <c r="AI1919" s="1" t="b">
        <v>1</v>
      </c>
    </row>
    <row r="1920" spans="1:35" x14ac:dyDescent="0.25">
      <c r="A1920" s="1">
        <v>31</v>
      </c>
      <c r="B1920" s="1">
        <v>10</v>
      </c>
      <c r="C1920" s="1">
        <v>2019</v>
      </c>
      <c r="G1920" s="1" t="s">
        <v>39</v>
      </c>
      <c r="H1920" s="2">
        <v>25.51</v>
      </c>
      <c r="I1920" s="1">
        <v>62</v>
      </c>
      <c r="U1920" s="1">
        <v>83</v>
      </c>
      <c r="X1920" s="1">
        <v>75</v>
      </c>
      <c r="AA1920" s="1">
        <v>7</v>
      </c>
      <c r="AB1920" s="1">
        <v>12</v>
      </c>
      <c r="AC1920" s="1">
        <v>3185</v>
      </c>
      <c r="AF1920" s="3">
        <v>2.4304194433555466</v>
      </c>
      <c r="AG1920" s="3">
        <v>3.9720626525712142</v>
      </c>
      <c r="AH1920" s="1">
        <v>6252</v>
      </c>
      <c r="AI1920" s="1" t="b">
        <v>1</v>
      </c>
    </row>
    <row r="1921" spans="1:35" x14ac:dyDescent="0.25">
      <c r="A1921" s="1">
        <v>31</v>
      </c>
      <c r="B1921" s="1">
        <v>10</v>
      </c>
      <c r="C1921" s="1">
        <v>2019</v>
      </c>
      <c r="G1921" s="1" t="s">
        <v>39</v>
      </c>
      <c r="H1921" s="2">
        <v>24.43</v>
      </c>
      <c r="I1921" s="1">
        <v>57</v>
      </c>
      <c r="U1921" s="1">
        <v>91</v>
      </c>
      <c r="X1921" s="1">
        <v>80</v>
      </c>
      <c r="AA1921" s="1">
        <v>9</v>
      </c>
      <c r="AB1921" s="1">
        <v>8</v>
      </c>
      <c r="AC1921" s="1">
        <v>3241</v>
      </c>
      <c r="AF1921" s="3">
        <v>2.3331968890708148</v>
      </c>
      <c r="AG1921" s="3">
        <v>4.0141633199357791</v>
      </c>
      <c r="AH1921" s="1">
        <v>6252</v>
      </c>
      <c r="AI1921" s="1" t="b">
        <v>1</v>
      </c>
    </row>
    <row r="1922" spans="1:35" x14ac:dyDescent="0.25">
      <c r="A1922" s="1">
        <v>31</v>
      </c>
      <c r="B1922" s="1">
        <v>10</v>
      </c>
      <c r="C1922" s="1">
        <v>2019</v>
      </c>
      <c r="G1922" s="1" t="s">
        <v>39</v>
      </c>
      <c r="H1922" s="2">
        <v>27.8</v>
      </c>
      <c r="I1922" s="1">
        <v>71</v>
      </c>
      <c r="U1922" s="1">
        <v>95</v>
      </c>
      <c r="X1922" s="1">
        <v>85</v>
      </c>
      <c r="AA1922" s="1">
        <v>7</v>
      </c>
      <c r="AB1922" s="1">
        <v>5</v>
      </c>
      <c r="AC1922" s="1">
        <v>3477</v>
      </c>
      <c r="AF1922" s="3">
        <v>2.5539568345323742</v>
      </c>
      <c r="AG1922" s="3">
        <v>4.0143737519830722</v>
      </c>
      <c r="AH1922" s="1">
        <v>6252</v>
      </c>
      <c r="AI1922" s="1" t="b">
        <v>1</v>
      </c>
    </row>
    <row r="1923" spans="1:35" x14ac:dyDescent="0.25">
      <c r="A1923" s="1">
        <v>2</v>
      </c>
      <c r="B1923" s="1">
        <v>11</v>
      </c>
      <c r="C1923" s="1">
        <v>2019</v>
      </c>
      <c r="G1923" s="1" t="s">
        <v>39</v>
      </c>
      <c r="H1923" s="2">
        <v>24.78</v>
      </c>
      <c r="I1923" s="1">
        <v>58</v>
      </c>
      <c r="U1923" s="1">
        <v>84</v>
      </c>
      <c r="X1923" s="1">
        <v>76</v>
      </c>
      <c r="AA1923" s="1">
        <v>7</v>
      </c>
      <c r="AB1923" s="1">
        <v>7</v>
      </c>
      <c r="AC1923" s="1">
        <v>3225</v>
      </c>
      <c r="AF1923" s="3">
        <v>2.3405972558514931</v>
      </c>
      <c r="AG1923" s="3">
        <v>4.0415152316480984</v>
      </c>
      <c r="AH1923" s="1">
        <v>6252</v>
      </c>
      <c r="AI1923" s="1" t="b">
        <v>1</v>
      </c>
    </row>
    <row r="1924" spans="1:35" x14ac:dyDescent="0.25">
      <c r="A1924" s="1">
        <v>2</v>
      </c>
      <c r="B1924" s="1">
        <v>11</v>
      </c>
      <c r="C1924" s="1">
        <v>2019</v>
      </c>
      <c r="G1924" s="1" t="s">
        <v>39</v>
      </c>
      <c r="H1924" s="2">
        <v>31.74</v>
      </c>
      <c r="I1924" s="1">
        <v>89</v>
      </c>
      <c r="U1924" s="1">
        <v>124</v>
      </c>
      <c r="X1924" s="1">
        <v>108</v>
      </c>
      <c r="AA1924" s="1">
        <v>9</v>
      </c>
      <c r="AB1924" s="1">
        <v>7</v>
      </c>
      <c r="AC1924" s="1">
        <v>4607</v>
      </c>
      <c r="AF1924" s="3">
        <v>2.8040327662255828</v>
      </c>
      <c r="AG1924" s="3">
        <v>4.0118229777564025</v>
      </c>
      <c r="AH1924" s="1">
        <v>6252</v>
      </c>
      <c r="AI1924" s="1" t="b">
        <v>1</v>
      </c>
    </row>
    <row r="1925" spans="1:35" x14ac:dyDescent="0.25">
      <c r="A1925" s="1">
        <v>2</v>
      </c>
      <c r="B1925" s="1">
        <v>11</v>
      </c>
      <c r="C1925" s="1">
        <v>2019</v>
      </c>
      <c r="G1925" s="1" t="s">
        <v>39</v>
      </c>
      <c r="H1925" s="2">
        <v>21.49</v>
      </c>
      <c r="I1925" s="1">
        <v>41</v>
      </c>
      <c r="U1925" s="1">
        <v>67</v>
      </c>
      <c r="X1925" s="1">
        <v>59</v>
      </c>
      <c r="AA1925" s="1">
        <v>8</v>
      </c>
      <c r="AB1925" s="1">
        <v>9</v>
      </c>
      <c r="AC1925" s="1">
        <v>2661</v>
      </c>
      <c r="AF1925" s="3">
        <v>1.9078641228478364</v>
      </c>
      <c r="AG1925" s="3">
        <v>4.4876404052736696</v>
      </c>
      <c r="AH1925" s="1">
        <v>6252</v>
      </c>
      <c r="AI1925" s="1" t="b">
        <v>1</v>
      </c>
    </row>
    <row r="1926" spans="1:35" x14ac:dyDescent="0.25">
      <c r="A1926" s="1">
        <v>2</v>
      </c>
      <c r="B1926" s="1">
        <v>11</v>
      </c>
      <c r="C1926" s="1">
        <v>2019</v>
      </c>
      <c r="G1926" s="1" t="s">
        <v>39</v>
      </c>
      <c r="H1926" s="2">
        <v>28.89</v>
      </c>
      <c r="I1926" s="1">
        <v>70</v>
      </c>
      <c r="U1926" s="1">
        <v>102</v>
      </c>
      <c r="X1926" s="1">
        <v>90</v>
      </c>
      <c r="AA1926" s="1">
        <v>9</v>
      </c>
      <c r="AB1926" s="1">
        <v>9</v>
      </c>
      <c r="AC1926" s="1">
        <v>4082</v>
      </c>
      <c r="AF1926" s="3">
        <v>2.4229837313949463</v>
      </c>
      <c r="AG1926" s="3">
        <v>4.3468312551558537</v>
      </c>
      <c r="AH1926" s="1">
        <v>6252</v>
      </c>
      <c r="AI1926" s="1" t="b">
        <v>1</v>
      </c>
    </row>
    <row r="1927" spans="1:35" x14ac:dyDescent="0.25">
      <c r="A1927" s="1">
        <v>2</v>
      </c>
      <c r="B1927" s="1">
        <v>11</v>
      </c>
      <c r="C1927" s="1">
        <v>2019</v>
      </c>
      <c r="G1927" s="1" t="s">
        <v>39</v>
      </c>
      <c r="H1927" s="2">
        <v>28.94</v>
      </c>
      <c r="I1927" s="1">
        <v>64</v>
      </c>
      <c r="U1927" s="1">
        <v>87</v>
      </c>
      <c r="X1927" s="1">
        <v>77</v>
      </c>
      <c r="AA1927" s="1">
        <v>9</v>
      </c>
      <c r="AB1927" s="1">
        <v>8</v>
      </c>
      <c r="AC1927" s="1">
        <v>3324</v>
      </c>
      <c r="AF1927" s="3">
        <v>2.21147201105736</v>
      </c>
      <c r="AG1927" s="3">
        <v>4.7683433699800331</v>
      </c>
      <c r="AH1927" s="1">
        <v>6252</v>
      </c>
      <c r="AI1927" s="1" t="b">
        <v>1</v>
      </c>
    </row>
    <row r="1928" spans="1:35" x14ac:dyDescent="0.25">
      <c r="A1928" s="1">
        <v>2</v>
      </c>
      <c r="B1928" s="1">
        <v>11</v>
      </c>
      <c r="C1928" s="1">
        <v>2019</v>
      </c>
      <c r="G1928" s="1" t="s">
        <v>39</v>
      </c>
      <c r="H1928" s="2">
        <v>27.01</v>
      </c>
      <c r="I1928" s="1">
        <v>74</v>
      </c>
      <c r="U1928" s="1">
        <v>111</v>
      </c>
      <c r="X1928" s="1">
        <v>95</v>
      </c>
      <c r="AA1928" s="1">
        <v>8</v>
      </c>
      <c r="AB1928" s="1">
        <v>13</v>
      </c>
      <c r="AC1928" s="1">
        <v>3513</v>
      </c>
      <c r="AF1928" s="3">
        <v>2.7397260273972601</v>
      </c>
      <c r="AG1928" s="3">
        <v>3.6674151388039076</v>
      </c>
      <c r="AH1928" s="1">
        <v>6252</v>
      </c>
      <c r="AI1928" s="1" t="b">
        <v>1</v>
      </c>
    </row>
    <row r="1929" spans="1:35" x14ac:dyDescent="0.25">
      <c r="A1929" s="1">
        <v>2</v>
      </c>
      <c r="B1929" s="1">
        <v>11</v>
      </c>
      <c r="C1929" s="1">
        <v>2019</v>
      </c>
      <c r="G1929" s="1" t="s">
        <v>39</v>
      </c>
      <c r="H1929" s="2">
        <v>25.32</v>
      </c>
      <c r="I1929" s="1">
        <v>64</v>
      </c>
      <c r="U1929" s="1">
        <v>99</v>
      </c>
      <c r="X1929" s="1">
        <v>85</v>
      </c>
      <c r="AA1929" s="1">
        <v>9</v>
      </c>
      <c r="AB1929" s="1">
        <v>5</v>
      </c>
      <c r="AC1929" s="1">
        <v>3161</v>
      </c>
      <c r="AF1929" s="3">
        <v>2.5276461295418642</v>
      </c>
      <c r="AG1929" s="3">
        <v>3.7993413851352171</v>
      </c>
      <c r="AH1929" s="1">
        <v>6252</v>
      </c>
      <c r="AI1929" s="1" t="b">
        <v>1</v>
      </c>
    </row>
    <row r="1930" spans="1:35" x14ac:dyDescent="0.25">
      <c r="A1930" s="1">
        <v>2</v>
      </c>
      <c r="B1930" s="1">
        <v>11</v>
      </c>
      <c r="C1930" s="1">
        <v>2019</v>
      </c>
      <c r="G1930" s="1" t="s">
        <v>39</v>
      </c>
      <c r="H1930" s="2">
        <v>30.1</v>
      </c>
      <c r="I1930" s="1">
        <v>72</v>
      </c>
      <c r="U1930" s="1">
        <v>96</v>
      </c>
      <c r="X1930" s="1">
        <v>86</v>
      </c>
      <c r="AA1930" s="1">
        <v>6</v>
      </c>
      <c r="AB1930" s="1">
        <v>5</v>
      </c>
      <c r="AC1930" s="1">
        <v>3475</v>
      </c>
      <c r="AF1930" s="3">
        <v>2.3920265780730894</v>
      </c>
      <c r="AG1930" s="3">
        <v>4.5313806529840299</v>
      </c>
      <c r="AH1930" s="1">
        <v>6252</v>
      </c>
      <c r="AI1930" s="1" t="b">
        <v>1</v>
      </c>
    </row>
    <row r="1931" spans="1:35" x14ac:dyDescent="0.25">
      <c r="A1931" s="1">
        <v>2</v>
      </c>
      <c r="B1931" s="1">
        <v>11</v>
      </c>
      <c r="C1931" s="1">
        <v>2019</v>
      </c>
      <c r="G1931" s="1" t="s">
        <v>39</v>
      </c>
      <c r="H1931" s="2">
        <v>29.4</v>
      </c>
      <c r="I1931" s="1">
        <v>89</v>
      </c>
      <c r="U1931" s="1">
        <v>123</v>
      </c>
      <c r="X1931" s="1">
        <v>110</v>
      </c>
      <c r="AA1931" s="1">
        <v>7</v>
      </c>
      <c r="AB1931" s="1">
        <v>10</v>
      </c>
      <c r="AC1931" s="1">
        <v>3970</v>
      </c>
      <c r="AF1931" s="3">
        <v>3.0272108843537415</v>
      </c>
      <c r="AG1931" s="3">
        <v>3.5220900466448848</v>
      </c>
      <c r="AH1931" s="1">
        <v>6252</v>
      </c>
      <c r="AI1931" s="1" t="b">
        <v>1</v>
      </c>
    </row>
    <row r="1932" spans="1:35" x14ac:dyDescent="0.25">
      <c r="A1932" s="1">
        <v>2</v>
      </c>
      <c r="B1932" s="1">
        <v>11</v>
      </c>
      <c r="C1932" s="1">
        <v>2019</v>
      </c>
      <c r="G1932" s="1" t="s">
        <v>39</v>
      </c>
      <c r="H1932" s="2">
        <v>20.98</v>
      </c>
      <c r="I1932" s="1">
        <v>50</v>
      </c>
      <c r="U1932" s="1">
        <v>77</v>
      </c>
      <c r="X1932" s="1">
        <v>66</v>
      </c>
      <c r="AA1932" s="1">
        <v>5</v>
      </c>
      <c r="AB1932" s="1">
        <v>6</v>
      </c>
      <c r="AC1932" s="1">
        <v>2858</v>
      </c>
      <c r="AF1932" s="3">
        <v>2.3832221163012393</v>
      </c>
      <c r="AG1932" s="3">
        <v>3.532639480129018</v>
      </c>
      <c r="AH1932" s="1">
        <v>6252</v>
      </c>
      <c r="AI1932" s="1" t="b">
        <v>1</v>
      </c>
    </row>
    <row r="1933" spans="1:35" x14ac:dyDescent="0.25">
      <c r="A1933" s="1">
        <v>2</v>
      </c>
      <c r="B1933" s="1">
        <v>11</v>
      </c>
      <c r="C1933" s="1">
        <v>2019</v>
      </c>
      <c r="G1933" s="1" t="s">
        <v>39</v>
      </c>
      <c r="H1933" s="2">
        <v>31.81</v>
      </c>
      <c r="I1933" s="1">
        <v>62</v>
      </c>
      <c r="U1933" s="1">
        <v>100</v>
      </c>
      <c r="X1933" s="1">
        <v>84</v>
      </c>
      <c r="AA1933" s="1">
        <v>9</v>
      </c>
      <c r="AB1933" s="1">
        <v>10</v>
      </c>
      <c r="AC1933" s="1">
        <v>4489</v>
      </c>
      <c r="AF1933" s="3">
        <v>1.9490726186733733</v>
      </c>
      <c r="AG1933" s="3">
        <v>5.7805152062926588</v>
      </c>
      <c r="AH1933" s="1">
        <v>6252</v>
      </c>
      <c r="AI1933" s="1" t="b">
        <v>1</v>
      </c>
    </row>
    <row r="1934" spans="1:35" x14ac:dyDescent="0.25">
      <c r="A1934" s="1">
        <v>2</v>
      </c>
      <c r="B1934" s="1">
        <v>11</v>
      </c>
      <c r="C1934" s="1">
        <v>2019</v>
      </c>
      <c r="G1934" s="1" t="s">
        <v>39</v>
      </c>
      <c r="H1934" s="2">
        <v>25.55</v>
      </c>
      <c r="I1934" s="1">
        <v>59</v>
      </c>
      <c r="U1934" s="1">
        <v>89</v>
      </c>
      <c r="X1934" s="1">
        <v>79</v>
      </c>
      <c r="AA1934" s="1">
        <v>8</v>
      </c>
      <c r="AB1934" s="1">
        <v>8</v>
      </c>
      <c r="AC1934" s="1">
        <v>3293</v>
      </c>
      <c r="AF1934" s="3">
        <v>2.3091976516634052</v>
      </c>
      <c r="AG1934" s="3">
        <v>4.1851644337943474</v>
      </c>
      <c r="AH1934" s="1">
        <v>6252</v>
      </c>
      <c r="AI1934" s="1" t="b">
        <v>1</v>
      </c>
    </row>
    <row r="1935" spans="1:35" x14ac:dyDescent="0.25">
      <c r="A1935" s="1">
        <v>3</v>
      </c>
      <c r="B1935" s="1">
        <v>11</v>
      </c>
      <c r="C1935" s="1">
        <v>2019</v>
      </c>
      <c r="G1935" s="1" t="s">
        <v>39</v>
      </c>
      <c r="H1935" s="2">
        <v>28.17</v>
      </c>
      <c r="I1935" s="1">
        <v>68</v>
      </c>
      <c r="U1935" s="1">
        <v>99</v>
      </c>
      <c r="X1935" s="1">
        <v>85</v>
      </c>
      <c r="AA1935" s="1">
        <v>6</v>
      </c>
      <c r="AB1935" s="1">
        <v>5</v>
      </c>
      <c r="AC1935" s="1">
        <v>3528</v>
      </c>
      <c r="AF1935" s="3">
        <v>2.4139155129570464</v>
      </c>
      <c r="AG1935" s="3">
        <v>4.2867556326095038</v>
      </c>
      <c r="AH1935" s="1">
        <v>6252</v>
      </c>
      <c r="AI1935" s="1" t="b">
        <v>1</v>
      </c>
    </row>
    <row r="1936" spans="1:35" x14ac:dyDescent="0.25">
      <c r="A1936" s="1">
        <v>3</v>
      </c>
      <c r="B1936" s="1">
        <v>11</v>
      </c>
      <c r="C1936" s="1">
        <v>2019</v>
      </c>
      <c r="G1936" s="1" t="s">
        <v>39</v>
      </c>
      <c r="H1936" s="2">
        <v>23.46</v>
      </c>
      <c r="I1936" s="1">
        <v>51</v>
      </c>
      <c r="U1936" s="1">
        <v>82</v>
      </c>
      <c r="X1936" s="1">
        <v>71</v>
      </c>
      <c r="AA1936" s="1">
        <v>7</v>
      </c>
      <c r="AB1936" s="1">
        <v>11</v>
      </c>
      <c r="AC1936" s="1">
        <v>2949</v>
      </c>
      <c r="AF1936" s="3">
        <v>2.1739130434782608</v>
      </c>
      <c r="AG1936" s="3">
        <v>4.1878145081668139</v>
      </c>
      <c r="AH1936" s="1">
        <v>6252</v>
      </c>
      <c r="AI1936" s="1" t="b">
        <v>1</v>
      </c>
    </row>
    <row r="1937" spans="1:35" x14ac:dyDescent="0.25">
      <c r="A1937" s="1">
        <v>4</v>
      </c>
      <c r="B1937" s="1">
        <v>11</v>
      </c>
      <c r="C1937" s="1">
        <v>2019</v>
      </c>
      <c r="G1937" s="1" t="s">
        <v>39</v>
      </c>
      <c r="H1937" s="2">
        <v>27.78</v>
      </c>
      <c r="I1937" s="1">
        <v>56</v>
      </c>
      <c r="U1937" s="1">
        <v>80</v>
      </c>
      <c r="X1937" s="1">
        <v>69</v>
      </c>
      <c r="AA1937" s="1">
        <v>6</v>
      </c>
      <c r="AB1937" s="1">
        <v>6</v>
      </c>
      <c r="AC1937" s="1">
        <v>3241</v>
      </c>
      <c r="AF1937" s="3">
        <v>2.0158387329013676</v>
      </c>
      <c r="AG1937" s="3">
        <v>5.0834292482697601</v>
      </c>
      <c r="AH1937" s="1">
        <v>6253</v>
      </c>
      <c r="AI1937" s="1" t="b">
        <v>1</v>
      </c>
    </row>
    <row r="1938" spans="1:35" x14ac:dyDescent="0.25">
      <c r="A1938" s="1">
        <v>4</v>
      </c>
      <c r="B1938" s="1">
        <v>11</v>
      </c>
      <c r="C1938" s="1">
        <v>2019</v>
      </c>
      <c r="G1938" s="1" t="s">
        <v>39</v>
      </c>
      <c r="H1938" s="2">
        <v>32.75</v>
      </c>
      <c r="I1938" s="1">
        <v>77</v>
      </c>
      <c r="U1938" s="1">
        <v>114</v>
      </c>
      <c r="X1938" s="1">
        <v>94</v>
      </c>
      <c r="AA1938" s="1">
        <v>7</v>
      </c>
      <c r="AB1938" s="1">
        <v>8</v>
      </c>
      <c r="AC1938" s="1">
        <v>3854</v>
      </c>
      <c r="AF1938" s="3">
        <v>2.3511450381679388</v>
      </c>
      <c r="AG1938" s="3">
        <v>4.8906714929670114</v>
      </c>
      <c r="AH1938" s="1">
        <v>6253</v>
      </c>
      <c r="AI1938" s="1" t="b">
        <v>1</v>
      </c>
    </row>
    <row r="1939" spans="1:35" x14ac:dyDescent="0.25">
      <c r="A1939" s="1">
        <v>4</v>
      </c>
      <c r="B1939" s="1">
        <v>11</v>
      </c>
      <c r="C1939" s="1">
        <v>2019</v>
      </c>
      <c r="G1939" s="1" t="s">
        <v>39</v>
      </c>
      <c r="H1939" s="2">
        <v>28.8</v>
      </c>
      <c r="I1939" s="1">
        <v>64</v>
      </c>
      <c r="U1939" s="1">
        <v>101</v>
      </c>
      <c r="X1939" s="1">
        <v>84</v>
      </c>
      <c r="AA1939" s="1">
        <v>11</v>
      </c>
      <c r="AB1939" s="1">
        <v>11</v>
      </c>
      <c r="AC1939" s="1">
        <v>3447</v>
      </c>
      <c r="AF1939" s="3">
        <v>2.2222222222222223</v>
      </c>
      <c r="AG1939" s="3">
        <v>4.729195364320959</v>
      </c>
      <c r="AH1939" s="1">
        <v>6253</v>
      </c>
      <c r="AI1939" s="1" t="b">
        <v>1</v>
      </c>
    </row>
    <row r="1940" spans="1:35" x14ac:dyDescent="0.25">
      <c r="A1940" s="1">
        <v>4</v>
      </c>
      <c r="B1940" s="1">
        <v>11</v>
      </c>
      <c r="C1940" s="1">
        <v>2019</v>
      </c>
      <c r="G1940" s="1" t="s">
        <v>39</v>
      </c>
      <c r="H1940" s="2">
        <v>28.05</v>
      </c>
      <c r="I1940" s="1">
        <v>62</v>
      </c>
      <c r="U1940" s="1">
        <v>86</v>
      </c>
      <c r="X1940" s="1">
        <v>75</v>
      </c>
      <c r="AA1940" s="1">
        <v>6</v>
      </c>
      <c r="AB1940" s="1">
        <v>8</v>
      </c>
      <c r="AC1940" s="1">
        <v>3225</v>
      </c>
      <c r="AF1940" s="3">
        <v>2.2103386809269163</v>
      </c>
      <c r="AG1940" s="3">
        <v>4.6676059201630471</v>
      </c>
      <c r="AH1940" s="1">
        <v>6253</v>
      </c>
      <c r="AI1940" s="1" t="b">
        <v>1</v>
      </c>
    </row>
    <row r="1941" spans="1:35" x14ac:dyDescent="0.25">
      <c r="A1941" s="1">
        <v>4</v>
      </c>
      <c r="B1941" s="1">
        <v>11</v>
      </c>
      <c r="C1941" s="1">
        <v>2019</v>
      </c>
      <c r="G1941" s="1" t="s">
        <v>39</v>
      </c>
      <c r="H1941" s="2">
        <v>25.41</v>
      </c>
      <c r="I1941" s="1">
        <v>59</v>
      </c>
      <c r="U1941" s="1">
        <v>86</v>
      </c>
      <c r="X1941" s="1">
        <v>74</v>
      </c>
      <c r="AA1941" s="1">
        <v>7</v>
      </c>
      <c r="AB1941" s="1">
        <v>10</v>
      </c>
      <c r="AC1941" s="1">
        <v>3184</v>
      </c>
      <c r="AF1941" s="3">
        <v>2.3219205037386854</v>
      </c>
      <c r="AG1941" s="3">
        <v>4.1462541474116934</v>
      </c>
      <c r="AH1941" s="1">
        <v>6253</v>
      </c>
      <c r="AI1941" s="1" t="b">
        <v>1</v>
      </c>
    </row>
    <row r="1942" spans="1:35" x14ac:dyDescent="0.25">
      <c r="A1942" s="1">
        <v>4</v>
      </c>
      <c r="B1942" s="1">
        <v>11</v>
      </c>
      <c r="C1942" s="1">
        <v>2019</v>
      </c>
      <c r="G1942" s="1" t="s">
        <v>39</v>
      </c>
      <c r="H1942" s="2">
        <v>22.67</v>
      </c>
      <c r="I1942" s="1">
        <v>66</v>
      </c>
      <c r="U1942" s="1">
        <v>83</v>
      </c>
      <c r="X1942" s="1">
        <v>76</v>
      </c>
      <c r="AA1942" s="1">
        <v>4</v>
      </c>
      <c r="AB1942" s="1">
        <v>7</v>
      </c>
      <c r="AC1942" s="1">
        <v>2950</v>
      </c>
      <c r="AF1942" s="3">
        <v>2.911336568151742</v>
      </c>
      <c r="AG1942" s="3">
        <v>3.0529778166891313</v>
      </c>
      <c r="AH1942" s="1">
        <v>6253</v>
      </c>
      <c r="AI1942" s="1" t="b">
        <v>1</v>
      </c>
    </row>
    <row r="1943" spans="1:35" x14ac:dyDescent="0.25">
      <c r="A1943" s="1">
        <v>4</v>
      </c>
      <c r="B1943" s="1">
        <v>11</v>
      </c>
      <c r="C1943" s="1">
        <v>2019</v>
      </c>
      <c r="G1943" s="1" t="s">
        <v>39</v>
      </c>
      <c r="H1943" s="2">
        <v>29.53</v>
      </c>
      <c r="I1943" s="1">
        <v>72</v>
      </c>
      <c r="U1943" s="1">
        <v>103</v>
      </c>
      <c r="X1943" s="1">
        <v>88</v>
      </c>
      <c r="AA1943" s="1">
        <v>7</v>
      </c>
      <c r="AB1943" s="1">
        <v>6</v>
      </c>
      <c r="AC1943" s="1">
        <v>3450</v>
      </c>
      <c r="AF1943" s="3">
        <v>2.4381984422621064</v>
      </c>
      <c r="AG1943" s="3">
        <v>4.3864720194065248</v>
      </c>
      <c r="AH1943" s="1">
        <v>6253</v>
      </c>
      <c r="AI1943" s="1" t="b">
        <v>1</v>
      </c>
    </row>
    <row r="1944" spans="1:35" x14ac:dyDescent="0.25">
      <c r="A1944" s="1">
        <v>5</v>
      </c>
      <c r="B1944" s="1">
        <v>11</v>
      </c>
      <c r="C1944" s="1">
        <v>2019</v>
      </c>
      <c r="G1944" s="1" t="s">
        <v>39</v>
      </c>
      <c r="H1944" s="2">
        <v>25.01</v>
      </c>
      <c r="I1944" s="1">
        <v>63</v>
      </c>
      <c r="U1944" s="1">
        <v>98</v>
      </c>
      <c r="X1944" s="1">
        <v>82</v>
      </c>
      <c r="AA1944" s="1">
        <v>6</v>
      </c>
      <c r="AB1944" s="1">
        <v>9</v>
      </c>
      <c r="AC1944" s="1">
        <v>3290</v>
      </c>
      <c r="AF1944" s="3">
        <v>2.5189924030387845</v>
      </c>
      <c r="AG1944" s="3">
        <v>3.7796599297912938</v>
      </c>
      <c r="AH1944" s="1">
        <v>6253</v>
      </c>
      <c r="AI1944" s="1" t="b">
        <v>1</v>
      </c>
    </row>
    <row r="1945" spans="1:35" x14ac:dyDescent="0.25">
      <c r="A1945" s="1">
        <v>5</v>
      </c>
      <c r="B1945" s="1">
        <v>11</v>
      </c>
      <c r="C1945" s="1">
        <v>2019</v>
      </c>
      <c r="G1945" s="1" t="s">
        <v>39</v>
      </c>
      <c r="H1945" s="2">
        <v>29.64</v>
      </c>
      <c r="I1945" s="1">
        <v>65</v>
      </c>
      <c r="U1945" s="1">
        <v>99</v>
      </c>
      <c r="X1945" s="1">
        <v>85</v>
      </c>
      <c r="AA1945" s="1">
        <v>9</v>
      </c>
      <c r="AB1945" s="1">
        <v>9</v>
      </c>
      <c r="AC1945" s="1">
        <v>3368</v>
      </c>
      <c r="AF1945" s="3">
        <v>2.192982456140351</v>
      </c>
      <c r="AG1945" s="3">
        <v>4.8896703632279639</v>
      </c>
      <c r="AH1945" s="1">
        <v>6253</v>
      </c>
      <c r="AI1945" s="1" t="b">
        <v>1</v>
      </c>
    </row>
    <row r="1946" spans="1:35" x14ac:dyDescent="0.25">
      <c r="A1946" s="1">
        <v>5</v>
      </c>
      <c r="B1946" s="1">
        <v>11</v>
      </c>
      <c r="C1946" s="1">
        <v>2019</v>
      </c>
      <c r="G1946" s="1" t="s">
        <v>39</v>
      </c>
      <c r="H1946" s="2">
        <v>30.77</v>
      </c>
      <c r="I1946" s="1">
        <v>72</v>
      </c>
      <c r="U1946" s="1">
        <v>115</v>
      </c>
      <c r="X1946" s="1">
        <v>98</v>
      </c>
      <c r="AA1946" s="1">
        <v>10</v>
      </c>
      <c r="AB1946" s="1">
        <v>5</v>
      </c>
      <c r="AC1946" s="1">
        <v>3634</v>
      </c>
      <c r="AF1946" s="3">
        <v>2.3399415014624636</v>
      </c>
      <c r="AG1946" s="3">
        <v>4.7041834231451114</v>
      </c>
      <c r="AH1946" s="1">
        <v>6253</v>
      </c>
      <c r="AI1946" s="1" t="b">
        <v>1</v>
      </c>
    </row>
    <row r="1947" spans="1:35" x14ac:dyDescent="0.25">
      <c r="A1947" s="1">
        <v>6</v>
      </c>
      <c r="B1947" s="1">
        <v>11</v>
      </c>
      <c r="C1947" s="1">
        <v>2019</v>
      </c>
      <c r="G1947" s="1" t="s">
        <v>39</v>
      </c>
      <c r="H1947" s="2">
        <v>32.43</v>
      </c>
      <c r="I1947" s="1">
        <v>79</v>
      </c>
      <c r="U1947" s="1">
        <v>119</v>
      </c>
      <c r="X1947" s="1">
        <v>101</v>
      </c>
      <c r="AA1947" s="1">
        <v>8</v>
      </c>
      <c r="AB1947" s="1">
        <v>6</v>
      </c>
      <c r="AC1947" s="1">
        <v>4025</v>
      </c>
      <c r="AF1947" s="3">
        <v>2.4360160345359234</v>
      </c>
      <c r="AG1947" s="3">
        <v>4.6879473062430081</v>
      </c>
      <c r="AH1947" s="1">
        <v>6253</v>
      </c>
      <c r="AI1947" s="1" t="b">
        <v>1</v>
      </c>
    </row>
    <row r="1948" spans="1:35" x14ac:dyDescent="0.25">
      <c r="A1948" s="1">
        <v>6</v>
      </c>
      <c r="B1948" s="1">
        <v>11</v>
      </c>
      <c r="C1948" s="1">
        <v>2019</v>
      </c>
      <c r="G1948" s="1" t="s">
        <v>39</v>
      </c>
      <c r="H1948" s="2">
        <v>24.75</v>
      </c>
      <c r="I1948" s="1">
        <v>56</v>
      </c>
      <c r="U1948" s="1">
        <v>86</v>
      </c>
      <c r="X1948" s="1">
        <v>81</v>
      </c>
      <c r="AA1948" s="1">
        <v>8</v>
      </c>
      <c r="AB1948" s="1">
        <v>8</v>
      </c>
      <c r="AC1948" s="1">
        <v>3117</v>
      </c>
      <c r="AF1948" s="3">
        <v>2.2626262626262625</v>
      </c>
      <c r="AG1948" s="3">
        <v>4.1772437562595828</v>
      </c>
      <c r="AH1948" s="1">
        <v>6253</v>
      </c>
      <c r="AI1948" s="1" t="b">
        <v>1</v>
      </c>
    </row>
    <row r="1949" spans="1:35" x14ac:dyDescent="0.25">
      <c r="A1949" s="1">
        <v>7</v>
      </c>
      <c r="B1949" s="1">
        <v>11</v>
      </c>
      <c r="C1949" s="1">
        <v>2019</v>
      </c>
      <c r="G1949" s="1" t="s">
        <v>39</v>
      </c>
      <c r="H1949" s="2">
        <v>25.5</v>
      </c>
      <c r="I1949" s="1">
        <v>65</v>
      </c>
      <c r="U1949" s="1">
        <v>100</v>
      </c>
      <c r="X1949" s="1">
        <v>84</v>
      </c>
      <c r="AA1949" s="1">
        <v>8</v>
      </c>
      <c r="AB1949" s="1">
        <v>7</v>
      </c>
      <c r="AC1949" s="1">
        <v>3122</v>
      </c>
      <c r="AF1949" s="3">
        <v>2.5490196078431371</v>
      </c>
      <c r="AG1949" s="3">
        <v>3.7862121960897399</v>
      </c>
      <c r="AH1949" s="1">
        <v>6253</v>
      </c>
      <c r="AI1949" s="1" t="b">
        <v>1</v>
      </c>
    </row>
    <row r="1950" spans="1:35" x14ac:dyDescent="0.25">
      <c r="A1950" s="1">
        <v>7</v>
      </c>
      <c r="B1950" s="1">
        <v>11</v>
      </c>
      <c r="C1950" s="1">
        <v>2019</v>
      </c>
      <c r="G1950" s="1" t="s">
        <v>39</v>
      </c>
      <c r="H1950" s="2">
        <v>25.4</v>
      </c>
      <c r="I1950" s="1">
        <v>71</v>
      </c>
      <c r="U1950" s="1">
        <v>99</v>
      </c>
      <c r="X1950" s="1">
        <v>82</v>
      </c>
      <c r="AA1950" s="1">
        <v>6</v>
      </c>
      <c r="AB1950" s="1">
        <v>7</v>
      </c>
      <c r="AC1950" s="1">
        <v>3399</v>
      </c>
      <c r="AF1950" s="3">
        <v>2.7952755905511815</v>
      </c>
      <c r="AG1950" s="3">
        <v>3.4431739944867785</v>
      </c>
      <c r="AH1950" s="1">
        <v>6253</v>
      </c>
      <c r="AI1950" s="1" t="b">
        <v>1</v>
      </c>
    </row>
    <row r="1951" spans="1:35" x14ac:dyDescent="0.25">
      <c r="A1951" s="1">
        <v>7</v>
      </c>
      <c r="B1951" s="1">
        <v>11</v>
      </c>
      <c r="C1951" s="1">
        <v>2019</v>
      </c>
      <c r="G1951" s="1" t="s">
        <v>39</v>
      </c>
      <c r="H1951" s="2">
        <v>28.48</v>
      </c>
      <c r="I1951" s="1">
        <v>70</v>
      </c>
      <c r="U1951" s="1">
        <v>104</v>
      </c>
      <c r="X1951" s="1">
        <v>92</v>
      </c>
      <c r="AA1951" s="1">
        <v>8</v>
      </c>
      <c r="AB1951" s="1">
        <v>8</v>
      </c>
      <c r="AC1951" s="1">
        <v>3396</v>
      </c>
      <c r="AF1951" s="3">
        <v>2.457865168539326</v>
      </c>
      <c r="AG1951" s="3">
        <v>4.2424812776716552</v>
      </c>
      <c r="AH1951" s="1">
        <v>6253</v>
      </c>
      <c r="AI1951" s="1" t="b">
        <v>1</v>
      </c>
    </row>
    <row r="1952" spans="1:35" x14ac:dyDescent="0.25">
      <c r="A1952" s="1">
        <v>7</v>
      </c>
      <c r="B1952" s="1">
        <v>11</v>
      </c>
      <c r="C1952" s="1">
        <v>2019</v>
      </c>
      <c r="G1952" s="1" t="s">
        <v>39</v>
      </c>
      <c r="H1952" s="2">
        <v>32.21</v>
      </c>
      <c r="I1952" s="1">
        <v>73</v>
      </c>
      <c r="U1952" s="1">
        <v>114</v>
      </c>
      <c r="X1952" s="1">
        <v>100</v>
      </c>
      <c r="AA1952" s="1">
        <v>10</v>
      </c>
      <c r="AB1952" s="1">
        <v>9</v>
      </c>
      <c r="AC1952" s="1">
        <v>3984</v>
      </c>
      <c r="AF1952" s="3">
        <v>2.2663769015833592</v>
      </c>
      <c r="AG1952" s="3">
        <v>5.0148895464481447</v>
      </c>
      <c r="AH1952" s="1">
        <v>6253</v>
      </c>
      <c r="AI1952" s="1" t="b">
        <v>1</v>
      </c>
    </row>
    <row r="1953" spans="1:35" x14ac:dyDescent="0.25">
      <c r="A1953" s="1">
        <v>8</v>
      </c>
      <c r="B1953" s="1">
        <v>11</v>
      </c>
      <c r="C1953" s="1">
        <v>2019</v>
      </c>
      <c r="G1953" s="1" t="s">
        <v>39</v>
      </c>
      <c r="H1953" s="2">
        <v>22.7</v>
      </c>
      <c r="I1953" s="1">
        <v>45</v>
      </c>
      <c r="U1953" s="1">
        <v>64</v>
      </c>
      <c r="X1953" s="1">
        <v>55</v>
      </c>
      <c r="AA1953" s="1">
        <v>6</v>
      </c>
      <c r="AB1953" s="1">
        <v>7</v>
      </c>
      <c r="AC1953" s="1">
        <v>2942</v>
      </c>
      <c r="AF1953" s="3">
        <v>1.9823788546255507</v>
      </c>
      <c r="AG1953" s="3">
        <v>4.487778808257322</v>
      </c>
      <c r="AH1953" s="1">
        <v>6253</v>
      </c>
      <c r="AI1953" s="1" t="b">
        <v>1</v>
      </c>
    </row>
    <row r="1954" spans="1:35" x14ac:dyDescent="0.25">
      <c r="A1954" s="1">
        <v>8</v>
      </c>
      <c r="B1954" s="1">
        <v>11</v>
      </c>
      <c r="C1954" s="1">
        <v>2019</v>
      </c>
      <c r="G1954" s="1" t="s">
        <v>39</v>
      </c>
      <c r="H1954" s="2">
        <v>24.53</v>
      </c>
      <c r="I1954" s="1">
        <v>53</v>
      </c>
      <c r="U1954" s="1">
        <v>74</v>
      </c>
      <c r="X1954" s="1">
        <v>68</v>
      </c>
      <c r="AA1954" s="1">
        <v>7</v>
      </c>
      <c r="AB1954" s="1">
        <v>8</v>
      </c>
      <c r="AC1954" s="1">
        <v>2751</v>
      </c>
      <c r="AF1954" s="3">
        <v>2.1606196494088872</v>
      </c>
      <c r="AG1954" s="3">
        <v>4.3472034161076492</v>
      </c>
      <c r="AH1954" s="1">
        <v>6253</v>
      </c>
      <c r="AI1954" s="1" t="b">
        <v>1</v>
      </c>
    </row>
    <row r="1955" spans="1:35" x14ac:dyDescent="0.25">
      <c r="A1955" s="1">
        <v>8</v>
      </c>
      <c r="B1955" s="1">
        <v>11</v>
      </c>
      <c r="C1955" s="1">
        <v>2019</v>
      </c>
      <c r="G1955" s="1" t="s">
        <v>39</v>
      </c>
      <c r="H1955" s="2">
        <v>27.28</v>
      </c>
      <c r="I1955" s="1">
        <v>66</v>
      </c>
      <c r="U1955" s="1">
        <v>85</v>
      </c>
      <c r="X1955" s="1">
        <v>79</v>
      </c>
      <c r="AA1955" s="1">
        <v>4</v>
      </c>
      <c r="AB1955" s="1">
        <v>12</v>
      </c>
      <c r="AC1955" s="1">
        <v>3798</v>
      </c>
      <c r="AF1955" s="3">
        <v>2.4193548387096775</v>
      </c>
      <c r="AG1955" s="3">
        <v>4.1820718182075378</v>
      </c>
      <c r="AH1955" s="1">
        <v>6253</v>
      </c>
      <c r="AI1955" s="1" t="b">
        <v>1</v>
      </c>
    </row>
    <row r="1956" spans="1:35" x14ac:dyDescent="0.25">
      <c r="A1956" s="1">
        <v>9</v>
      </c>
      <c r="B1956" s="1">
        <v>11</v>
      </c>
      <c r="C1956" s="1">
        <v>2019</v>
      </c>
      <c r="G1956" s="1" t="s">
        <v>39</v>
      </c>
      <c r="H1956" s="2">
        <v>30.8</v>
      </c>
      <c r="I1956" s="1">
        <v>69</v>
      </c>
      <c r="U1956" s="1">
        <v>112</v>
      </c>
      <c r="X1956" s="1">
        <v>94</v>
      </c>
      <c r="AA1956" s="1">
        <v>10</v>
      </c>
      <c r="AB1956" s="1">
        <v>9</v>
      </c>
      <c r="AC1956" s="1">
        <v>3710</v>
      </c>
      <c r="AF1956" s="3">
        <v>2.2402597402597402</v>
      </c>
      <c r="AG1956" s="3">
        <v>4.9168519018861936</v>
      </c>
      <c r="AH1956" s="1">
        <v>6253</v>
      </c>
      <c r="AI1956" s="1" t="b">
        <v>1</v>
      </c>
    </row>
    <row r="1957" spans="1:35" x14ac:dyDescent="0.25">
      <c r="A1957" s="1">
        <v>9</v>
      </c>
      <c r="B1957" s="1">
        <v>11</v>
      </c>
      <c r="C1957" s="1">
        <v>2019</v>
      </c>
      <c r="G1957" s="1" t="s">
        <v>39</v>
      </c>
      <c r="H1957" s="2">
        <v>26.17</v>
      </c>
      <c r="I1957" s="1">
        <v>62</v>
      </c>
      <c r="U1957" s="1">
        <v>89</v>
      </c>
      <c r="X1957" s="1">
        <v>76</v>
      </c>
      <c r="AA1957" s="1">
        <v>8</v>
      </c>
      <c r="AB1957" s="1">
        <v>7</v>
      </c>
      <c r="AC1957" s="1">
        <v>3248</v>
      </c>
      <c r="AF1957" s="3">
        <v>2.3691249522353837</v>
      </c>
      <c r="AG1957" s="3">
        <v>4.1483428161228622</v>
      </c>
      <c r="AH1957" s="1">
        <v>6253</v>
      </c>
      <c r="AI1957" s="1" t="b">
        <v>1</v>
      </c>
    </row>
    <row r="1958" spans="1:35" x14ac:dyDescent="0.25">
      <c r="A1958" s="1">
        <v>10</v>
      </c>
      <c r="B1958" s="1">
        <v>11</v>
      </c>
      <c r="C1958" s="1">
        <v>2019</v>
      </c>
      <c r="G1958" s="1" t="s">
        <v>39</v>
      </c>
      <c r="H1958" s="2">
        <v>27.05</v>
      </c>
      <c r="I1958" s="1">
        <v>60</v>
      </c>
      <c r="U1958" s="1">
        <v>103</v>
      </c>
      <c r="X1958" s="1">
        <v>89</v>
      </c>
      <c r="AA1958" s="1">
        <v>10</v>
      </c>
      <c r="AB1958" s="1">
        <v>11</v>
      </c>
      <c r="AC1958" s="1">
        <v>3373</v>
      </c>
      <c r="AF1958" s="3">
        <v>2.2181146025878005</v>
      </c>
      <c r="AG1958" s="3">
        <v>4.5345386471171087</v>
      </c>
      <c r="AH1958" s="1">
        <v>6253</v>
      </c>
      <c r="AI1958" s="1" t="b">
        <v>1</v>
      </c>
    </row>
    <row r="1959" spans="1:35" x14ac:dyDescent="0.25">
      <c r="A1959" s="1">
        <v>10</v>
      </c>
      <c r="B1959" s="1">
        <v>11</v>
      </c>
      <c r="C1959" s="1">
        <v>2019</v>
      </c>
      <c r="G1959" s="1" t="s">
        <v>39</v>
      </c>
      <c r="H1959" s="2">
        <v>32.299999999999997</v>
      </c>
      <c r="I1959" s="1">
        <v>60</v>
      </c>
      <c r="V1959" s="1">
        <v>89</v>
      </c>
      <c r="X1959" s="1">
        <v>72</v>
      </c>
      <c r="AA1959" s="1">
        <v>6</v>
      </c>
      <c r="AB1959" s="1">
        <v>7</v>
      </c>
      <c r="AC1959" s="1">
        <v>3179</v>
      </c>
      <c r="AF1959" s="3">
        <v>1.8575851393188856</v>
      </c>
      <c r="AG1959" s="3">
        <v>6.1304596398404012</v>
      </c>
      <c r="AH1959" s="1">
        <v>6253</v>
      </c>
      <c r="AI1959" s="1" t="b">
        <v>1</v>
      </c>
    </row>
    <row r="1960" spans="1:35" x14ac:dyDescent="0.25">
      <c r="A1960" s="1">
        <v>10</v>
      </c>
      <c r="B1960" s="1">
        <v>11</v>
      </c>
      <c r="C1960" s="1">
        <v>2019</v>
      </c>
      <c r="G1960" s="1" t="s">
        <v>39</v>
      </c>
      <c r="H1960" s="2">
        <v>29.13</v>
      </c>
      <c r="I1960" s="1">
        <v>67</v>
      </c>
      <c r="V1960" s="1">
        <v>98</v>
      </c>
      <c r="X1960" s="1">
        <v>77</v>
      </c>
      <c r="AA1960" s="1">
        <v>7</v>
      </c>
      <c r="AB1960" s="1">
        <v>8</v>
      </c>
      <c r="AC1960" s="1">
        <v>2946</v>
      </c>
      <c r="AF1960" s="3">
        <v>2.3000343288705802</v>
      </c>
      <c r="AG1960" s="3">
        <v>4.6057888191049345</v>
      </c>
      <c r="AH1960" s="1">
        <v>6253</v>
      </c>
      <c r="AI1960" s="1" t="b">
        <v>1</v>
      </c>
    </row>
    <row r="1961" spans="1:35" x14ac:dyDescent="0.25">
      <c r="A1961" s="1">
        <v>10</v>
      </c>
      <c r="B1961" s="1">
        <v>11</v>
      </c>
      <c r="C1961" s="1">
        <v>2019</v>
      </c>
      <c r="G1961" s="1" t="s">
        <v>39</v>
      </c>
      <c r="H1961" s="2">
        <v>31.72</v>
      </c>
      <c r="I1961" s="1">
        <v>73</v>
      </c>
      <c r="V1961" s="1">
        <v>122</v>
      </c>
      <c r="X1961" s="1">
        <v>93</v>
      </c>
      <c r="AA1961" s="1">
        <v>9</v>
      </c>
      <c r="AB1961" s="1">
        <v>5</v>
      </c>
      <c r="AC1961" s="1">
        <v>2999</v>
      </c>
      <c r="AF1961" s="3">
        <v>2.3013871374527115</v>
      </c>
      <c r="AG1961" s="3">
        <v>4.8858884075719562</v>
      </c>
      <c r="AH1961" s="1">
        <v>6253</v>
      </c>
      <c r="AI1961" s="1" t="b">
        <v>1</v>
      </c>
    </row>
    <row r="1962" spans="1:35" x14ac:dyDescent="0.25">
      <c r="A1962" s="1">
        <v>10</v>
      </c>
      <c r="B1962" s="1">
        <v>11</v>
      </c>
      <c r="C1962" s="1">
        <v>2019</v>
      </c>
      <c r="G1962" s="1" t="s">
        <v>39</v>
      </c>
      <c r="H1962" s="2">
        <v>25.02</v>
      </c>
      <c r="I1962" s="1">
        <v>56</v>
      </c>
      <c r="V1962" s="1">
        <v>80</v>
      </c>
      <c r="X1962" s="1">
        <v>71</v>
      </c>
      <c r="AA1962" s="1">
        <v>8</v>
      </c>
      <c r="AB1962" s="1">
        <v>11</v>
      </c>
      <c r="AC1962" s="1">
        <v>3032</v>
      </c>
      <c r="AF1962" s="3">
        <v>2.2382094324540369</v>
      </c>
      <c r="AG1962" s="3">
        <v>4.2550081092097631</v>
      </c>
      <c r="AH1962" s="1">
        <v>6253</v>
      </c>
      <c r="AI1962" s="1" t="b">
        <v>1</v>
      </c>
    </row>
    <row r="1963" spans="1:35" x14ac:dyDescent="0.25">
      <c r="A1963" s="1">
        <v>10</v>
      </c>
      <c r="B1963" s="1">
        <v>11</v>
      </c>
      <c r="C1963" s="1">
        <v>2019</v>
      </c>
      <c r="G1963" s="1" t="s">
        <v>39</v>
      </c>
      <c r="H1963" s="2">
        <v>31.46</v>
      </c>
      <c r="I1963" s="1">
        <v>97</v>
      </c>
      <c r="U1963" s="1">
        <v>123</v>
      </c>
      <c r="X1963" s="1">
        <v>110</v>
      </c>
      <c r="AA1963" s="1">
        <v>5</v>
      </c>
      <c r="AB1963" s="1">
        <v>4</v>
      </c>
      <c r="AC1963" s="1">
        <v>3897</v>
      </c>
      <c r="AF1963" s="3">
        <v>3.0832803560076285</v>
      </c>
      <c r="AG1963" s="3">
        <v>3.6259189059070018</v>
      </c>
      <c r="AH1963" s="1">
        <v>6253</v>
      </c>
      <c r="AI1963" s="1" t="b">
        <v>1</v>
      </c>
    </row>
    <row r="1964" spans="1:35" x14ac:dyDescent="0.25">
      <c r="A1964" s="1">
        <v>10</v>
      </c>
      <c r="B1964" s="1">
        <v>11</v>
      </c>
      <c r="C1964" s="1">
        <v>2019</v>
      </c>
      <c r="G1964" s="1" t="s">
        <v>39</v>
      </c>
      <c r="H1964" s="2">
        <v>29.99</v>
      </c>
      <c r="I1964" s="1">
        <v>76</v>
      </c>
      <c r="U1964" s="1">
        <v>104</v>
      </c>
      <c r="X1964" s="1">
        <v>87</v>
      </c>
      <c r="AA1964" s="1">
        <v>6</v>
      </c>
      <c r="AB1964" s="1">
        <v>3</v>
      </c>
      <c r="AC1964" s="1">
        <v>3433</v>
      </c>
      <c r="AF1964" s="3">
        <v>2.5341780593531178</v>
      </c>
      <c r="AG1964" s="3">
        <v>4.2662509648912543</v>
      </c>
      <c r="AH1964" s="1">
        <v>6253</v>
      </c>
      <c r="AI1964" s="1" t="b">
        <v>1</v>
      </c>
    </row>
    <row r="1965" spans="1:35" x14ac:dyDescent="0.25">
      <c r="A1965" s="1">
        <v>10</v>
      </c>
      <c r="B1965" s="1">
        <v>11</v>
      </c>
      <c r="C1965" s="1">
        <v>2019</v>
      </c>
      <c r="G1965" s="1" t="s">
        <v>39</v>
      </c>
      <c r="H1965" s="2">
        <v>25.88</v>
      </c>
      <c r="I1965" s="1">
        <v>62</v>
      </c>
      <c r="V1965" s="1">
        <v>81</v>
      </c>
      <c r="X1965" s="1">
        <v>69</v>
      </c>
      <c r="AA1965" s="1">
        <v>8</v>
      </c>
      <c r="AB1965" s="1">
        <v>4</v>
      </c>
      <c r="AC1965" s="1">
        <v>2875</v>
      </c>
      <c r="AF1965" s="3">
        <v>2.3956723338485317</v>
      </c>
      <c r="AG1965" s="3">
        <v>4.0704982549713353</v>
      </c>
      <c r="AH1965" s="1">
        <v>6253</v>
      </c>
      <c r="AI1965" s="1" t="b">
        <v>1</v>
      </c>
    </row>
    <row r="1966" spans="1:35" x14ac:dyDescent="0.25">
      <c r="A1966" s="1">
        <v>10</v>
      </c>
      <c r="B1966" s="1">
        <v>11</v>
      </c>
      <c r="C1966" s="1">
        <v>2019</v>
      </c>
      <c r="G1966" s="1" t="s">
        <v>39</v>
      </c>
      <c r="H1966" s="2">
        <v>23.57</v>
      </c>
      <c r="I1966" s="1">
        <v>53</v>
      </c>
      <c r="U1966" s="1">
        <v>79</v>
      </c>
      <c r="X1966" s="1">
        <v>68</v>
      </c>
      <c r="AA1966" s="1">
        <v>7</v>
      </c>
      <c r="AB1966" s="1">
        <v>8</v>
      </c>
      <c r="AC1966" s="1">
        <v>2864</v>
      </c>
      <c r="AF1966" s="3">
        <v>2.2486211285532458</v>
      </c>
      <c r="AG1966" s="3">
        <v>4.0619579264335917</v>
      </c>
      <c r="AH1966" s="1">
        <v>6253</v>
      </c>
      <c r="AI1966" s="1" t="b">
        <v>1</v>
      </c>
    </row>
    <row r="1967" spans="1:35" x14ac:dyDescent="0.25">
      <c r="A1967" s="1">
        <v>10</v>
      </c>
      <c r="B1967" s="1">
        <v>11</v>
      </c>
      <c r="C1967" s="1">
        <v>2019</v>
      </c>
      <c r="G1967" s="1" t="s">
        <v>39</v>
      </c>
      <c r="H1967" s="2">
        <v>32.75</v>
      </c>
      <c r="I1967" s="1">
        <v>80</v>
      </c>
      <c r="V1967" s="1">
        <v>112</v>
      </c>
      <c r="X1967" s="1">
        <v>92</v>
      </c>
      <c r="AA1967" s="1">
        <v>9</v>
      </c>
      <c r="AB1967" s="1">
        <v>7</v>
      </c>
      <c r="AC1967" s="1">
        <v>3147</v>
      </c>
      <c r="AF1967" s="3">
        <v>2.4427480916030535</v>
      </c>
      <c r="AG1967" s="3">
        <v>4.7072713119807483</v>
      </c>
      <c r="AH1967" s="1">
        <v>6253</v>
      </c>
      <c r="AI1967" s="1" t="b">
        <v>1</v>
      </c>
    </row>
    <row r="1968" spans="1:35" x14ac:dyDescent="0.25">
      <c r="A1968" s="1">
        <v>10</v>
      </c>
      <c r="B1968" s="1">
        <v>11</v>
      </c>
      <c r="C1968" s="1">
        <v>2019</v>
      </c>
      <c r="G1968" s="1" t="s">
        <v>39</v>
      </c>
      <c r="H1968" s="2">
        <v>20.81</v>
      </c>
      <c r="I1968" s="1">
        <v>50</v>
      </c>
      <c r="U1968" s="1">
        <v>71</v>
      </c>
      <c r="X1968" s="1">
        <v>63</v>
      </c>
      <c r="AA1968" s="1">
        <v>6</v>
      </c>
      <c r="AB1968" s="1">
        <v>5</v>
      </c>
      <c r="AC1968" s="1">
        <v>2711</v>
      </c>
      <c r="AF1968" s="3">
        <v>2.4026910139356081</v>
      </c>
      <c r="AG1968" s="3">
        <v>3.4841154068716094</v>
      </c>
      <c r="AH1968" s="1">
        <v>6253</v>
      </c>
      <c r="AI1968" s="1" t="b">
        <v>1</v>
      </c>
    </row>
    <row r="1969" spans="1:35" x14ac:dyDescent="0.25">
      <c r="A1969" s="1">
        <v>10</v>
      </c>
      <c r="B1969" s="1">
        <v>11</v>
      </c>
      <c r="C1969" s="1">
        <v>2019</v>
      </c>
      <c r="G1969" s="1" t="s">
        <v>39</v>
      </c>
      <c r="H1969" s="2">
        <v>32.75</v>
      </c>
      <c r="I1969" s="1">
        <v>83</v>
      </c>
      <c r="U1969" s="1">
        <v>125</v>
      </c>
      <c r="X1969" s="1">
        <v>111</v>
      </c>
      <c r="AA1969" s="1">
        <v>9</v>
      </c>
      <c r="AB1969" s="1">
        <v>4</v>
      </c>
      <c r="AC1969" s="1">
        <v>3977</v>
      </c>
      <c r="AF1969" s="3">
        <v>2.5343511450381677</v>
      </c>
      <c r="AG1969" s="3">
        <v>4.5371289754031308</v>
      </c>
      <c r="AH1969" s="1">
        <v>6253</v>
      </c>
      <c r="AI1969" s="1" t="b">
        <v>1</v>
      </c>
    </row>
    <row r="1970" spans="1:35" x14ac:dyDescent="0.25">
      <c r="A1970" s="1">
        <v>10</v>
      </c>
      <c r="B1970" s="1">
        <v>11</v>
      </c>
      <c r="C1970" s="1">
        <v>2019</v>
      </c>
      <c r="G1970" s="1" t="s">
        <v>39</v>
      </c>
      <c r="H1970" s="2">
        <v>23.58</v>
      </c>
      <c r="I1970" s="1">
        <v>57</v>
      </c>
      <c r="U1970" s="1">
        <v>86</v>
      </c>
      <c r="X1970" s="1">
        <v>73</v>
      </c>
      <c r="AA1970" s="1">
        <v>7</v>
      </c>
      <c r="AB1970" s="1">
        <v>12</v>
      </c>
      <c r="AC1970" s="1">
        <v>3147</v>
      </c>
      <c r="AF1970" s="3">
        <v>2.4173027989821882</v>
      </c>
      <c r="AG1970" s="3">
        <v>3.7796327689898188</v>
      </c>
      <c r="AH1970" s="1">
        <v>6253</v>
      </c>
      <c r="AI1970" s="1" t="b">
        <v>1</v>
      </c>
    </row>
    <row r="1971" spans="1:35" x14ac:dyDescent="0.25">
      <c r="A1971" s="1">
        <v>10</v>
      </c>
      <c r="B1971" s="1">
        <v>11</v>
      </c>
      <c r="C1971" s="1">
        <v>2019</v>
      </c>
      <c r="G1971" s="1" t="s">
        <v>39</v>
      </c>
      <c r="H1971" s="2">
        <v>29.14</v>
      </c>
      <c r="I1971" s="1">
        <v>73</v>
      </c>
      <c r="U1971" s="1">
        <v>106</v>
      </c>
      <c r="X1971" s="1">
        <v>94</v>
      </c>
      <c r="AA1971" s="1">
        <v>8</v>
      </c>
      <c r="AB1971" s="1">
        <v>6</v>
      </c>
      <c r="AC1971" s="1">
        <v>4164</v>
      </c>
      <c r="AF1971" s="3">
        <v>2.5051475634866165</v>
      </c>
      <c r="AG1971" s="3">
        <v>4.2296981033958421</v>
      </c>
      <c r="AH1971" s="1">
        <v>6253</v>
      </c>
      <c r="AI1971" s="1" t="b">
        <v>1</v>
      </c>
    </row>
    <row r="1972" spans="1:35" x14ac:dyDescent="0.25">
      <c r="A1972" s="1">
        <v>10</v>
      </c>
      <c r="B1972" s="1">
        <v>11</v>
      </c>
      <c r="C1972" s="1">
        <v>2019</v>
      </c>
      <c r="G1972" s="1" t="s">
        <v>39</v>
      </c>
      <c r="H1972" s="2">
        <v>30.78</v>
      </c>
      <c r="I1972" s="1">
        <v>67</v>
      </c>
      <c r="U1972" s="1">
        <v>107</v>
      </c>
      <c r="X1972" s="1">
        <v>98</v>
      </c>
      <c r="AA1972" s="1">
        <v>11</v>
      </c>
      <c r="AB1972" s="1">
        <v>8</v>
      </c>
      <c r="AC1972" s="1">
        <v>3887</v>
      </c>
      <c r="AF1972" s="3">
        <v>2.1767381416504223</v>
      </c>
      <c r="AG1972" s="3">
        <v>5.058035156557966</v>
      </c>
      <c r="AH1972" s="1">
        <v>6253</v>
      </c>
      <c r="AI1972" s="1" t="b">
        <v>1</v>
      </c>
    </row>
    <row r="1973" spans="1:35" x14ac:dyDescent="0.25">
      <c r="A1973" s="1">
        <v>10</v>
      </c>
      <c r="B1973" s="1">
        <v>11</v>
      </c>
      <c r="C1973" s="1">
        <v>2019</v>
      </c>
      <c r="G1973" s="1" t="s">
        <v>39</v>
      </c>
      <c r="H1973" s="2">
        <v>23.93</v>
      </c>
      <c r="I1973" s="1">
        <v>54</v>
      </c>
      <c r="U1973" s="1">
        <v>85</v>
      </c>
      <c r="X1973" s="1">
        <v>72</v>
      </c>
      <c r="AA1973" s="1">
        <v>10</v>
      </c>
      <c r="AB1973" s="1">
        <v>11</v>
      </c>
      <c r="AC1973" s="1">
        <v>2854</v>
      </c>
      <c r="AF1973" s="3">
        <v>2.2565816966151275</v>
      </c>
      <c r="AG1973" s="3">
        <v>4.090805468382535</v>
      </c>
      <c r="AH1973" s="1">
        <v>6253</v>
      </c>
      <c r="AI1973" s="1" t="b">
        <v>1</v>
      </c>
    </row>
    <row r="1974" spans="1:35" x14ac:dyDescent="0.25">
      <c r="A1974" s="1">
        <v>10</v>
      </c>
      <c r="B1974" s="1">
        <v>11</v>
      </c>
      <c r="C1974" s="1">
        <v>2019</v>
      </c>
      <c r="G1974" s="1" t="s">
        <v>39</v>
      </c>
      <c r="H1974" s="2">
        <v>24.26</v>
      </c>
      <c r="I1974" s="1">
        <v>64</v>
      </c>
      <c r="U1974" s="1">
        <v>83</v>
      </c>
      <c r="X1974" s="1">
        <v>79</v>
      </c>
      <c r="AA1974" s="1">
        <v>7</v>
      </c>
      <c r="AB1974" s="1">
        <v>7</v>
      </c>
      <c r="AC1974" s="1">
        <v>3070</v>
      </c>
      <c r="AF1974" s="3">
        <v>2.6380873866446826</v>
      </c>
      <c r="AG1974" s="3">
        <v>3.5329246922238049</v>
      </c>
      <c r="AH1974" s="1">
        <v>6253</v>
      </c>
      <c r="AI1974" s="1" t="b">
        <v>1</v>
      </c>
    </row>
    <row r="1975" spans="1:35" x14ac:dyDescent="0.25">
      <c r="A1975" s="1">
        <v>10</v>
      </c>
      <c r="B1975" s="1">
        <v>11</v>
      </c>
      <c r="C1975" s="1">
        <v>2019</v>
      </c>
      <c r="G1975" s="1" t="s">
        <v>39</v>
      </c>
      <c r="H1975" s="2">
        <v>29.1</v>
      </c>
      <c r="I1975" s="1">
        <v>72</v>
      </c>
      <c r="V1975" s="1">
        <v>91</v>
      </c>
      <c r="X1975" s="1">
        <v>79</v>
      </c>
      <c r="AA1975" s="1">
        <v>6</v>
      </c>
      <c r="AB1975" s="1">
        <v>8</v>
      </c>
      <c r="AC1975" s="1">
        <v>2982</v>
      </c>
      <c r="AF1975" s="3">
        <v>2.4742268041237114</v>
      </c>
      <c r="AG1975" s="3">
        <v>4.2784413687346454</v>
      </c>
      <c r="AH1975" s="1">
        <v>6253</v>
      </c>
      <c r="AI1975" s="1" t="b">
        <v>1</v>
      </c>
    </row>
    <row r="1976" spans="1:35" x14ac:dyDescent="0.25">
      <c r="A1976" s="1">
        <v>12</v>
      </c>
      <c r="B1976" s="1">
        <v>11</v>
      </c>
      <c r="C1976" s="1">
        <v>2019</v>
      </c>
      <c r="G1976" s="1" t="s">
        <v>39</v>
      </c>
      <c r="H1976" s="2">
        <v>24.87</v>
      </c>
      <c r="I1976" s="1">
        <v>66</v>
      </c>
      <c r="U1976" s="1">
        <v>99</v>
      </c>
      <c r="X1976" s="1">
        <v>84</v>
      </c>
      <c r="AA1976" s="1">
        <v>8</v>
      </c>
      <c r="AB1976" s="1">
        <v>8</v>
      </c>
      <c r="AC1976" s="1">
        <v>3107</v>
      </c>
      <c r="AF1976" s="3">
        <v>2.6537997587454765</v>
      </c>
      <c r="AG1976" s="3">
        <v>3.5735914419666726</v>
      </c>
      <c r="AH1976" s="1">
        <v>6254</v>
      </c>
      <c r="AI1976" s="1" t="b">
        <v>1</v>
      </c>
    </row>
    <row r="1977" spans="1:35" x14ac:dyDescent="0.25">
      <c r="A1977" s="1">
        <v>12</v>
      </c>
      <c r="B1977" s="1">
        <v>11</v>
      </c>
      <c r="C1977" s="1">
        <v>2019</v>
      </c>
      <c r="G1977" s="1" t="s">
        <v>39</v>
      </c>
      <c r="H1977" s="2">
        <v>28.75</v>
      </c>
      <c r="I1977" s="1">
        <v>76</v>
      </c>
      <c r="U1977" s="1">
        <v>105</v>
      </c>
      <c r="X1977" s="1">
        <v>93</v>
      </c>
      <c r="AA1977" s="1">
        <v>6</v>
      </c>
      <c r="AB1977" s="1">
        <v>3</v>
      </c>
      <c r="AC1977" s="1">
        <v>3889</v>
      </c>
      <c r="AF1977" s="3">
        <v>2.6434782608695651</v>
      </c>
      <c r="AG1977" s="3">
        <v>3.9707336020047621</v>
      </c>
      <c r="AH1977" s="1">
        <v>6254</v>
      </c>
      <c r="AI1977" s="1" t="b">
        <v>1</v>
      </c>
    </row>
    <row r="1978" spans="1:35" x14ac:dyDescent="0.25">
      <c r="A1978" s="1">
        <v>12</v>
      </c>
      <c r="B1978" s="1">
        <v>11</v>
      </c>
      <c r="C1978" s="1">
        <v>2019</v>
      </c>
      <c r="G1978" s="1" t="s">
        <v>39</v>
      </c>
      <c r="H1978" s="2">
        <v>25.64</v>
      </c>
      <c r="I1978" s="1">
        <v>65</v>
      </c>
      <c r="U1978" s="1">
        <v>93</v>
      </c>
      <c r="X1978" s="1">
        <v>82</v>
      </c>
      <c r="AA1978" s="1">
        <v>8</v>
      </c>
      <c r="AB1978" s="1">
        <v>6</v>
      </c>
      <c r="AC1978" s="1">
        <v>3048</v>
      </c>
      <c r="AF1978" s="3">
        <v>2.5351014040561624</v>
      </c>
      <c r="AG1978" s="3">
        <v>3.8216180437267884</v>
      </c>
      <c r="AH1978" s="1">
        <v>6254</v>
      </c>
      <c r="AI1978" s="1" t="b">
        <v>1</v>
      </c>
    </row>
    <row r="1979" spans="1:35" x14ac:dyDescent="0.25">
      <c r="A1979" s="1">
        <v>12</v>
      </c>
      <c r="B1979" s="1">
        <v>11</v>
      </c>
      <c r="C1979" s="1">
        <v>2019</v>
      </c>
      <c r="G1979" s="1" t="s">
        <v>39</v>
      </c>
      <c r="H1979" s="2">
        <v>37.42</v>
      </c>
      <c r="I1979" s="1">
        <v>95</v>
      </c>
      <c r="U1979" s="1">
        <v>128</v>
      </c>
      <c r="X1979" s="1">
        <v>113</v>
      </c>
      <c r="AA1979" s="1">
        <v>7</v>
      </c>
      <c r="AB1979" s="1">
        <v>8</v>
      </c>
      <c r="AC1979" s="1">
        <v>4710</v>
      </c>
      <c r="AF1979" s="3">
        <v>2.5387493319080705</v>
      </c>
      <c r="AG1979" s="3">
        <v>4.9722485077103773</v>
      </c>
      <c r="AH1979" s="1">
        <v>6254</v>
      </c>
      <c r="AI1979" s="1" t="b">
        <v>1</v>
      </c>
    </row>
    <row r="1980" spans="1:35" x14ac:dyDescent="0.25">
      <c r="A1980" s="1">
        <v>13</v>
      </c>
      <c r="B1980" s="1">
        <v>11</v>
      </c>
      <c r="C1980" s="1">
        <v>2019</v>
      </c>
      <c r="G1980" s="1" t="s">
        <v>39</v>
      </c>
      <c r="H1980" s="2">
        <v>26.45</v>
      </c>
      <c r="I1980" s="1">
        <v>55</v>
      </c>
      <c r="U1980" s="1">
        <v>73</v>
      </c>
      <c r="X1980" s="1">
        <v>65</v>
      </c>
      <c r="AA1980" s="1">
        <v>5</v>
      </c>
      <c r="AB1980" s="1">
        <v>5</v>
      </c>
      <c r="AC1980" s="1">
        <v>3406</v>
      </c>
      <c r="AF1980" s="3">
        <v>2.0793950850661624</v>
      </c>
      <c r="AG1980" s="3">
        <v>4.7616882697794001</v>
      </c>
      <c r="AH1980" s="1">
        <v>6254</v>
      </c>
      <c r="AI1980" s="1" t="b">
        <v>1</v>
      </c>
    </row>
    <row r="1981" spans="1:35" x14ac:dyDescent="0.25">
      <c r="A1981" s="1">
        <v>13</v>
      </c>
      <c r="B1981" s="1">
        <v>11</v>
      </c>
      <c r="C1981" s="1">
        <v>2019</v>
      </c>
      <c r="G1981" s="1" t="s">
        <v>39</v>
      </c>
      <c r="H1981" s="2">
        <v>28.15</v>
      </c>
      <c r="I1981" s="1">
        <v>73</v>
      </c>
      <c r="U1981" s="1">
        <v>106</v>
      </c>
      <c r="X1981" s="1">
        <v>95</v>
      </c>
      <c r="AA1981" s="1">
        <v>8</v>
      </c>
      <c r="AB1981" s="1">
        <v>4</v>
      </c>
      <c r="AC1981" s="1">
        <v>3801</v>
      </c>
      <c r="AF1981" s="3">
        <v>2.5932504440497337</v>
      </c>
      <c r="AG1981" s="3">
        <v>3.9883238768270179</v>
      </c>
      <c r="AH1981" s="1">
        <v>6254</v>
      </c>
      <c r="AI1981" s="1" t="b">
        <v>1</v>
      </c>
    </row>
    <row r="1982" spans="1:35" x14ac:dyDescent="0.25">
      <c r="A1982" s="1">
        <v>13</v>
      </c>
      <c r="B1982" s="1">
        <v>11</v>
      </c>
      <c r="C1982" s="1">
        <v>2019</v>
      </c>
      <c r="G1982" s="1" t="s">
        <v>39</v>
      </c>
      <c r="H1982" s="2">
        <v>28.37</v>
      </c>
      <c r="I1982" s="1">
        <v>81</v>
      </c>
      <c r="U1982" s="1">
        <v>103</v>
      </c>
      <c r="X1982" s="1">
        <v>92</v>
      </c>
      <c r="AA1982" s="1">
        <v>5</v>
      </c>
      <c r="AB1982" s="1">
        <v>5</v>
      </c>
      <c r="AC1982" s="1">
        <v>3913</v>
      </c>
      <c r="AF1982" s="3">
        <v>2.855128657032076</v>
      </c>
      <c r="AG1982" s="3">
        <v>3.6423011585682854</v>
      </c>
      <c r="AH1982" s="1">
        <v>6254</v>
      </c>
      <c r="AI1982" s="1" t="b">
        <v>1</v>
      </c>
    </row>
    <row r="1983" spans="1:35" x14ac:dyDescent="0.25">
      <c r="A1983" s="1">
        <v>13</v>
      </c>
      <c r="B1983" s="1">
        <v>11</v>
      </c>
      <c r="C1983" s="1">
        <v>2019</v>
      </c>
      <c r="G1983" s="1" t="s">
        <v>39</v>
      </c>
      <c r="H1983" s="2">
        <v>24.59</v>
      </c>
      <c r="I1983" s="1">
        <v>52</v>
      </c>
      <c r="V1983" s="1">
        <v>86</v>
      </c>
      <c r="X1983" s="1">
        <v>73</v>
      </c>
      <c r="AA1983" s="1">
        <v>8</v>
      </c>
      <c r="AB1983" s="1">
        <v>9</v>
      </c>
      <c r="AC1983" s="1">
        <v>3000</v>
      </c>
      <c r="AF1983" s="3">
        <v>2.1146807645384302</v>
      </c>
      <c r="AG1983" s="3">
        <v>4.4492433010290942</v>
      </c>
      <c r="AH1983" s="1">
        <v>6254</v>
      </c>
      <c r="AI1983" s="1" t="b">
        <v>1</v>
      </c>
    </row>
    <row r="1984" spans="1:35" x14ac:dyDescent="0.25">
      <c r="A1984" s="1">
        <v>13</v>
      </c>
      <c r="B1984" s="1">
        <v>11</v>
      </c>
      <c r="C1984" s="1">
        <v>2019</v>
      </c>
      <c r="G1984" s="1" t="s">
        <v>39</v>
      </c>
      <c r="H1984" s="2">
        <v>27.09</v>
      </c>
      <c r="I1984" s="1">
        <v>65</v>
      </c>
      <c r="V1984" s="1">
        <v>89</v>
      </c>
      <c r="X1984" s="1">
        <v>78</v>
      </c>
      <c r="AA1984" s="1">
        <v>7</v>
      </c>
      <c r="AB1984" s="1">
        <v>8</v>
      </c>
      <c r="AC1984" s="1">
        <v>3167</v>
      </c>
      <c r="AF1984" s="3">
        <v>2.3994093761535624</v>
      </c>
      <c r="AG1984" s="3">
        <v>4.1962557747034621</v>
      </c>
      <c r="AH1984" s="1">
        <v>6254</v>
      </c>
      <c r="AI1984" s="1" t="b">
        <v>1</v>
      </c>
    </row>
    <row r="1985" spans="1:35" x14ac:dyDescent="0.25">
      <c r="A1985" s="1">
        <v>13</v>
      </c>
      <c r="B1985" s="1">
        <v>11</v>
      </c>
      <c r="C1985" s="1">
        <v>2019</v>
      </c>
      <c r="G1985" s="1" t="s">
        <v>39</v>
      </c>
      <c r="H1985" s="2">
        <v>28.37</v>
      </c>
      <c r="I1985" s="1">
        <v>55</v>
      </c>
      <c r="V1985" s="1">
        <v>91</v>
      </c>
      <c r="X1985" s="1">
        <v>77</v>
      </c>
      <c r="AA1985" s="1">
        <v>10</v>
      </c>
      <c r="AB1985" s="1">
        <v>9</v>
      </c>
      <c r="AC1985" s="1">
        <v>3508</v>
      </c>
      <c r="AF1985" s="3">
        <v>1.9386676066267183</v>
      </c>
      <c r="AG1985" s="3">
        <v>5.3641162517096568</v>
      </c>
      <c r="AH1985" s="1">
        <v>6254</v>
      </c>
      <c r="AI1985" s="1" t="b">
        <v>1</v>
      </c>
    </row>
    <row r="1986" spans="1:35" x14ac:dyDescent="0.25">
      <c r="A1986" s="1">
        <v>13</v>
      </c>
      <c r="B1986" s="1">
        <v>11</v>
      </c>
      <c r="C1986" s="1">
        <v>2019</v>
      </c>
      <c r="G1986" s="1" t="s">
        <v>39</v>
      </c>
      <c r="H1986" s="2">
        <v>34.18</v>
      </c>
      <c r="I1986" s="1">
        <v>82</v>
      </c>
      <c r="V1986" s="1">
        <v>114</v>
      </c>
      <c r="X1986" s="1">
        <v>83</v>
      </c>
      <c r="AA1986" s="1">
        <v>8</v>
      </c>
      <c r="AB1986" s="1">
        <v>7</v>
      </c>
      <c r="AC1986" s="1">
        <v>3312</v>
      </c>
      <c r="AF1986" s="3">
        <v>2.3990637799882975</v>
      </c>
      <c r="AG1986" s="3">
        <v>4.9385408091589431</v>
      </c>
      <c r="AH1986" s="1">
        <v>6254</v>
      </c>
      <c r="AI1986" s="1" t="b">
        <v>1</v>
      </c>
    </row>
    <row r="1987" spans="1:35" x14ac:dyDescent="0.25">
      <c r="A1987" s="1">
        <v>15</v>
      </c>
      <c r="B1987" s="1">
        <v>11</v>
      </c>
      <c r="C1987" s="1">
        <v>2019</v>
      </c>
      <c r="G1987" s="1" t="s">
        <v>39</v>
      </c>
      <c r="H1987" s="2">
        <v>24</v>
      </c>
      <c r="I1987" s="1">
        <v>60</v>
      </c>
      <c r="U1987" s="1">
        <v>94</v>
      </c>
      <c r="X1987" s="1">
        <v>76</v>
      </c>
      <c r="AA1987" s="1">
        <v>8</v>
      </c>
      <c r="AB1987" s="1">
        <v>10</v>
      </c>
      <c r="AC1987" s="1">
        <v>3083</v>
      </c>
      <c r="AF1987" s="3">
        <v>2.5</v>
      </c>
      <c r="AG1987" s="3">
        <v>3.7000522803304956</v>
      </c>
      <c r="AH1987" s="1">
        <v>6254</v>
      </c>
      <c r="AI1987" s="1" t="b">
        <v>1</v>
      </c>
    </row>
    <row r="1988" spans="1:35" x14ac:dyDescent="0.25">
      <c r="A1988" s="1">
        <v>15</v>
      </c>
      <c r="B1988" s="1">
        <v>11</v>
      </c>
      <c r="C1988" s="1">
        <v>2019</v>
      </c>
      <c r="G1988" s="1" t="s">
        <v>39</v>
      </c>
      <c r="H1988" s="2">
        <v>23.62</v>
      </c>
      <c r="I1988" s="1">
        <v>64</v>
      </c>
      <c r="U1988" s="1">
        <v>84</v>
      </c>
      <c r="X1988" s="1">
        <v>76</v>
      </c>
      <c r="AA1988" s="1">
        <v>4</v>
      </c>
      <c r="AB1988" s="1">
        <v>6</v>
      </c>
      <c r="AC1988" s="1">
        <v>2885</v>
      </c>
      <c r="AF1988" s="3">
        <v>2.7095681625740897</v>
      </c>
      <c r="AG1988" s="3">
        <v>3.3759487466804856</v>
      </c>
      <c r="AH1988" s="1">
        <v>6254</v>
      </c>
      <c r="AI1988" s="1" t="b">
        <v>1</v>
      </c>
    </row>
    <row r="1989" spans="1:35" x14ac:dyDescent="0.25">
      <c r="A1989" s="1">
        <v>15</v>
      </c>
      <c r="B1989" s="1">
        <v>11</v>
      </c>
      <c r="C1989" s="1">
        <v>2019</v>
      </c>
      <c r="G1989" s="1" t="s">
        <v>39</v>
      </c>
      <c r="H1989" s="2">
        <v>24.69</v>
      </c>
      <c r="I1989" s="1">
        <v>60</v>
      </c>
      <c r="U1989" s="1">
        <v>89</v>
      </c>
      <c r="X1989" s="1">
        <v>80</v>
      </c>
      <c r="AA1989" s="1">
        <v>9</v>
      </c>
      <c r="AB1989" s="1">
        <v>10</v>
      </c>
      <c r="AC1989" s="1">
        <v>3283</v>
      </c>
      <c r="AF1989" s="3">
        <v>2.4301336573511541</v>
      </c>
      <c r="AG1989" s="3">
        <v>3.8827068551875863</v>
      </c>
      <c r="AH1989" s="1">
        <v>6254</v>
      </c>
      <c r="AI1989" s="1" t="b">
        <v>1</v>
      </c>
    </row>
    <row r="1990" spans="1:35" x14ac:dyDescent="0.25">
      <c r="A1990" s="1">
        <v>15</v>
      </c>
      <c r="B1990" s="1">
        <v>11</v>
      </c>
      <c r="C1990" s="1">
        <v>2019</v>
      </c>
      <c r="G1990" s="1" t="s">
        <v>39</v>
      </c>
      <c r="H1990" s="2">
        <v>28.37</v>
      </c>
      <c r="I1990" s="1">
        <v>80</v>
      </c>
      <c r="U1990" s="1">
        <v>119</v>
      </c>
      <c r="X1990" s="1">
        <v>105</v>
      </c>
      <c r="AA1990" s="1">
        <v>9</v>
      </c>
      <c r="AB1990" s="1">
        <v>9</v>
      </c>
      <c r="AC1990" s="1">
        <v>4256</v>
      </c>
      <c r="AF1990" s="3">
        <v>2.8198801550934083</v>
      </c>
      <c r="AG1990" s="3">
        <v>3.6878299230503893</v>
      </c>
      <c r="AH1990" s="1">
        <v>6254</v>
      </c>
      <c r="AI1990" s="1" t="b">
        <v>1</v>
      </c>
    </row>
    <row r="1991" spans="1:35" x14ac:dyDescent="0.25">
      <c r="A1991" s="1">
        <v>15</v>
      </c>
      <c r="B1991" s="1">
        <v>11</v>
      </c>
      <c r="C1991" s="1">
        <v>2019</v>
      </c>
      <c r="G1991" s="1" t="s">
        <v>39</v>
      </c>
      <c r="H1991" s="2">
        <v>26.91</v>
      </c>
      <c r="I1991" s="1">
        <v>70</v>
      </c>
      <c r="U1991" s="1">
        <v>82</v>
      </c>
      <c r="X1991" s="1">
        <v>73</v>
      </c>
      <c r="AA1991" s="1">
        <v>4</v>
      </c>
      <c r="AB1991" s="1">
        <v>5</v>
      </c>
      <c r="AC1991" s="1">
        <v>3143</v>
      </c>
      <c r="AF1991" s="3">
        <v>2.6012634708286884</v>
      </c>
      <c r="AG1991" s="3">
        <v>3.8526117618543649</v>
      </c>
      <c r="AH1991" s="1">
        <v>6254</v>
      </c>
      <c r="AI1991" s="1" t="b">
        <v>1</v>
      </c>
    </row>
    <row r="1992" spans="1:35" x14ac:dyDescent="0.25">
      <c r="A1992" s="1">
        <v>15</v>
      </c>
      <c r="B1992" s="1">
        <v>11</v>
      </c>
      <c r="C1992" s="1">
        <v>2019</v>
      </c>
      <c r="G1992" s="1" t="s">
        <v>39</v>
      </c>
      <c r="H1992" s="2">
        <v>23.66</v>
      </c>
      <c r="I1992" s="1">
        <v>56</v>
      </c>
      <c r="U1992" s="1">
        <v>75</v>
      </c>
      <c r="X1992" s="1">
        <v>70</v>
      </c>
      <c r="AA1992" s="1">
        <v>6</v>
      </c>
      <c r="AB1992" s="1">
        <v>6</v>
      </c>
      <c r="AC1992" s="1">
        <v>3646</v>
      </c>
      <c r="AF1992" s="3">
        <v>2.3668639053254439</v>
      </c>
      <c r="AG1992" s="3">
        <v>3.8693412340808306</v>
      </c>
      <c r="AH1992" s="1">
        <v>6254</v>
      </c>
      <c r="AI1992" s="1" t="b">
        <v>1</v>
      </c>
    </row>
    <row r="1993" spans="1:35" x14ac:dyDescent="0.25">
      <c r="A1993" s="1">
        <v>15</v>
      </c>
      <c r="B1993" s="1">
        <v>11</v>
      </c>
      <c r="C1993" s="1">
        <v>2019</v>
      </c>
      <c r="G1993" s="1" t="s">
        <v>39</v>
      </c>
      <c r="H1993" s="2">
        <v>17.809999999999999</v>
      </c>
      <c r="I1993" s="1">
        <v>42</v>
      </c>
      <c r="U1993" s="1">
        <v>63</v>
      </c>
      <c r="X1993" s="1">
        <v>53</v>
      </c>
      <c r="AA1993" s="1">
        <v>5</v>
      </c>
      <c r="AB1993" s="1">
        <v>7</v>
      </c>
      <c r="AC1993" s="1">
        <v>2362</v>
      </c>
      <c r="AF1993" s="3">
        <v>2.3582257158899496</v>
      </c>
      <c r="AG1993" s="3">
        <v>3.1833132188837387</v>
      </c>
      <c r="AH1993" s="1">
        <v>6254</v>
      </c>
      <c r="AI1993" s="1" t="b">
        <v>1</v>
      </c>
    </row>
    <row r="1994" spans="1:35" x14ac:dyDescent="0.25">
      <c r="A1994" s="1">
        <v>16</v>
      </c>
      <c r="B1994" s="1">
        <v>11</v>
      </c>
      <c r="C1994" s="1">
        <v>2019</v>
      </c>
      <c r="G1994" s="1" t="s">
        <v>39</v>
      </c>
      <c r="H1994" s="2">
        <v>24.08</v>
      </c>
      <c r="I1994" s="1">
        <v>51</v>
      </c>
      <c r="U1994" s="1">
        <v>80</v>
      </c>
      <c r="X1994" s="1">
        <v>68</v>
      </c>
      <c r="AA1994" s="1">
        <v>9</v>
      </c>
      <c r="AB1994" s="1">
        <v>12</v>
      </c>
      <c r="AC1994" s="1">
        <v>3246</v>
      </c>
      <c r="AF1994" s="3">
        <v>2.1179401993355484</v>
      </c>
      <c r="AG1994" s="3">
        <v>4.377698466546013</v>
      </c>
      <c r="AH1994" s="1">
        <v>6254</v>
      </c>
      <c r="AI1994" s="1" t="b">
        <v>1</v>
      </c>
    </row>
    <row r="1995" spans="1:35" x14ac:dyDescent="0.25">
      <c r="A1995" s="1">
        <v>16</v>
      </c>
      <c r="B1995" s="1">
        <v>11</v>
      </c>
      <c r="C1995" s="1">
        <v>2019</v>
      </c>
      <c r="G1995" s="1" t="s">
        <v>39</v>
      </c>
      <c r="H1995" s="2">
        <v>32.950000000000003</v>
      </c>
      <c r="I1995" s="1">
        <v>99</v>
      </c>
      <c r="U1995" s="1">
        <v>120</v>
      </c>
      <c r="X1995" s="1">
        <v>109</v>
      </c>
      <c r="AA1995" s="1">
        <v>5</v>
      </c>
      <c r="AB1995" s="1">
        <v>4</v>
      </c>
      <c r="AC1995" s="1">
        <v>4257</v>
      </c>
      <c r="AF1995" s="3">
        <v>3.0045523520485582</v>
      </c>
      <c r="AG1995" s="3">
        <v>3.8434303705195827</v>
      </c>
      <c r="AH1995" s="1">
        <v>6254</v>
      </c>
      <c r="AI1995" s="1" t="b">
        <v>1</v>
      </c>
    </row>
    <row r="1996" spans="1:35" x14ac:dyDescent="0.25">
      <c r="A1996" s="1">
        <v>16</v>
      </c>
      <c r="B1996" s="1">
        <v>11</v>
      </c>
      <c r="C1996" s="1">
        <v>2019</v>
      </c>
      <c r="G1996" s="1" t="s">
        <v>39</v>
      </c>
      <c r="H1996" s="2">
        <v>28.87</v>
      </c>
      <c r="I1996" s="1">
        <v>59</v>
      </c>
      <c r="U1996" s="1">
        <v>96</v>
      </c>
      <c r="X1996" s="1">
        <v>83</v>
      </c>
      <c r="AA1996" s="1">
        <v>10</v>
      </c>
      <c r="AB1996" s="1">
        <v>10</v>
      </c>
      <c r="AC1996" s="1">
        <v>3656</v>
      </c>
      <c r="AF1996" s="3">
        <v>2.0436439210252857</v>
      </c>
      <c r="AG1996" s="3">
        <v>5.1511894302619066</v>
      </c>
      <c r="AH1996" s="1">
        <v>6254</v>
      </c>
      <c r="AI1996" s="1" t="b">
        <v>1</v>
      </c>
    </row>
    <row r="1997" spans="1:35" x14ac:dyDescent="0.25">
      <c r="A1997" s="1">
        <v>16</v>
      </c>
      <c r="B1997" s="1">
        <v>11</v>
      </c>
      <c r="C1997" s="1">
        <v>2019</v>
      </c>
      <c r="G1997" s="1" t="s">
        <v>39</v>
      </c>
      <c r="H1997" s="2">
        <v>32.130000000000003</v>
      </c>
      <c r="I1997" s="1">
        <v>76</v>
      </c>
      <c r="U1997" s="1">
        <v>108</v>
      </c>
      <c r="X1997" s="1">
        <v>94</v>
      </c>
      <c r="AA1997" s="1">
        <v>8</v>
      </c>
      <c r="AB1997" s="1">
        <v>8</v>
      </c>
      <c r="AC1997" s="1">
        <v>3725</v>
      </c>
      <c r="AF1997" s="3">
        <v>2.3653906006847181</v>
      </c>
      <c r="AG1997" s="3">
        <v>4.7966125692043189</v>
      </c>
      <c r="AH1997" s="1">
        <v>6254</v>
      </c>
      <c r="AI1997" s="1" t="b">
        <v>1</v>
      </c>
    </row>
    <row r="1998" spans="1:35" x14ac:dyDescent="0.25">
      <c r="A1998" s="1">
        <v>16</v>
      </c>
      <c r="B1998" s="1">
        <v>11</v>
      </c>
      <c r="C1998" s="1">
        <v>2019</v>
      </c>
      <c r="G1998" s="1" t="s">
        <v>39</v>
      </c>
      <c r="H1998" s="2">
        <v>27.87</v>
      </c>
      <c r="I1998" s="1">
        <v>64</v>
      </c>
      <c r="U1998" s="1">
        <v>95</v>
      </c>
      <c r="X1998" s="1">
        <v>84</v>
      </c>
      <c r="AA1998" s="1">
        <v>8</v>
      </c>
      <c r="AB1998" s="1">
        <v>9</v>
      </c>
      <c r="AC1998" s="1">
        <v>3692</v>
      </c>
      <c r="AF1998" s="3">
        <v>2.2963760315751705</v>
      </c>
      <c r="AG1998" s="3">
        <v>4.4725259887852449</v>
      </c>
      <c r="AH1998" s="1">
        <v>6254</v>
      </c>
      <c r="AI1998" s="1" t="b">
        <v>1</v>
      </c>
    </row>
    <row r="1999" spans="1:35" x14ac:dyDescent="0.25">
      <c r="A1999" s="1">
        <v>17</v>
      </c>
      <c r="B1999" s="1">
        <v>11</v>
      </c>
      <c r="C1999" s="1">
        <v>2019</v>
      </c>
      <c r="G1999" s="1" t="s">
        <v>39</v>
      </c>
      <c r="H1999" s="2">
        <v>34.49</v>
      </c>
      <c r="I1999" s="1">
        <v>91</v>
      </c>
      <c r="U1999" s="1">
        <v>124</v>
      </c>
      <c r="X1999" s="1">
        <v>105</v>
      </c>
      <c r="AA1999" s="1">
        <v>5</v>
      </c>
      <c r="AB1999" s="1">
        <v>7</v>
      </c>
      <c r="AC1999" s="1">
        <v>3976</v>
      </c>
      <c r="AF1999" s="3">
        <v>2.6384459263554652</v>
      </c>
      <c r="AG1999" s="3">
        <v>4.5189448182263536</v>
      </c>
      <c r="AH1999" s="1">
        <v>6254</v>
      </c>
      <c r="AI1999" s="1" t="b">
        <v>1</v>
      </c>
    </row>
    <row r="2000" spans="1:35" x14ac:dyDescent="0.25">
      <c r="A2000" s="1">
        <v>17</v>
      </c>
      <c r="B2000" s="1">
        <v>11</v>
      </c>
      <c r="C2000" s="1">
        <v>2019</v>
      </c>
      <c r="G2000" s="1" t="s">
        <v>39</v>
      </c>
      <c r="H2000" s="2">
        <v>28.38</v>
      </c>
      <c r="I2000" s="1">
        <v>65</v>
      </c>
      <c r="U2000" s="1">
        <v>95</v>
      </c>
      <c r="X2000" s="1">
        <v>85</v>
      </c>
      <c r="AA2000" s="1">
        <v>7</v>
      </c>
      <c r="AB2000" s="1">
        <v>9</v>
      </c>
      <c r="AC2000" s="1">
        <v>3462</v>
      </c>
      <c r="AF2000" s="3">
        <v>2.2903453136011276</v>
      </c>
      <c r="AG2000" s="3">
        <v>4.5415877339461455</v>
      </c>
      <c r="AH2000" s="1">
        <v>6254</v>
      </c>
      <c r="AI2000" s="1" t="b">
        <v>1</v>
      </c>
    </row>
    <row r="2001" spans="1:35" x14ac:dyDescent="0.25">
      <c r="A2001" s="1">
        <v>17</v>
      </c>
      <c r="B2001" s="1">
        <v>11</v>
      </c>
      <c r="C2001" s="1">
        <v>2019</v>
      </c>
      <c r="G2001" s="1" t="s">
        <v>39</v>
      </c>
      <c r="H2001" s="2">
        <v>26.63</v>
      </c>
      <c r="I2001" s="1">
        <v>55</v>
      </c>
      <c r="U2001" s="1">
        <v>90</v>
      </c>
      <c r="X2001" s="1">
        <v>79</v>
      </c>
      <c r="AA2001" s="1">
        <v>9</v>
      </c>
      <c r="AB2001" s="1">
        <v>10</v>
      </c>
      <c r="AC2001" s="1">
        <v>3051</v>
      </c>
      <c r="AF2001" s="3">
        <v>2.0653398422831395</v>
      </c>
      <c r="AG2001" s="3">
        <v>4.8169073546791301</v>
      </c>
      <c r="AH2001" s="1">
        <v>6254</v>
      </c>
      <c r="AI2001" s="1" t="b">
        <v>1</v>
      </c>
    </row>
    <row r="2002" spans="1:35" x14ac:dyDescent="0.25">
      <c r="A2002" s="1">
        <v>17</v>
      </c>
      <c r="B2002" s="1">
        <v>11</v>
      </c>
      <c r="C2002" s="1">
        <v>2019</v>
      </c>
      <c r="G2002" s="1" t="s">
        <v>39</v>
      </c>
      <c r="H2002" s="2">
        <v>30.75</v>
      </c>
      <c r="I2002" s="1">
        <v>72</v>
      </c>
      <c r="U2002" s="1">
        <v>111</v>
      </c>
      <c r="X2002" s="1">
        <v>94</v>
      </c>
      <c r="AA2002" s="1">
        <v>10</v>
      </c>
      <c r="AB2002" s="1">
        <v>9</v>
      </c>
      <c r="AC2002" s="1">
        <v>4076</v>
      </c>
      <c r="AF2002" s="3">
        <v>2.3414634146341462</v>
      </c>
      <c r="AG2002" s="3">
        <v>4.698986613003016</v>
      </c>
      <c r="AH2002" s="1">
        <v>6254</v>
      </c>
      <c r="AI2002" s="1" t="b">
        <v>1</v>
      </c>
    </row>
    <row r="2003" spans="1:35" x14ac:dyDescent="0.25">
      <c r="A2003" s="1">
        <v>17</v>
      </c>
      <c r="B2003" s="1">
        <v>11</v>
      </c>
      <c r="C2003" s="1">
        <v>2019</v>
      </c>
      <c r="G2003" s="1" t="s">
        <v>39</v>
      </c>
      <c r="H2003" s="2">
        <v>30.76</v>
      </c>
      <c r="I2003" s="1">
        <v>77</v>
      </c>
      <c r="U2003" s="1">
        <v>98</v>
      </c>
      <c r="X2003" s="1">
        <v>88</v>
      </c>
      <c r="AA2003" s="1">
        <v>6</v>
      </c>
      <c r="AB2003" s="1">
        <v>6</v>
      </c>
      <c r="AC2003" s="1">
        <v>4438</v>
      </c>
      <c r="AF2003" s="3">
        <v>2.5032509752925876</v>
      </c>
      <c r="AG2003" s="3">
        <v>4.3962870131689442</v>
      </c>
      <c r="AH2003" s="1">
        <v>6254</v>
      </c>
      <c r="AI2003" s="1" t="b">
        <v>1</v>
      </c>
    </row>
    <row r="2004" spans="1:35" x14ac:dyDescent="0.25">
      <c r="A2004" s="1">
        <v>17</v>
      </c>
      <c r="B2004" s="1">
        <v>11</v>
      </c>
      <c r="C2004" s="1">
        <v>2019</v>
      </c>
      <c r="G2004" s="1" t="s">
        <v>39</v>
      </c>
      <c r="H2004" s="2">
        <v>31.62</v>
      </c>
      <c r="I2004" s="1">
        <v>70</v>
      </c>
      <c r="V2004" s="1">
        <v>95</v>
      </c>
      <c r="X2004" s="1">
        <v>70</v>
      </c>
      <c r="AA2004" s="1">
        <v>6</v>
      </c>
      <c r="AB2004" s="1">
        <v>9</v>
      </c>
      <c r="AC2004" s="1">
        <v>3100</v>
      </c>
      <c r="AF2004" s="3">
        <v>2.2137887413029729</v>
      </c>
      <c r="AG2004" s="3">
        <v>5.0680061298510797</v>
      </c>
      <c r="AH2004" s="1">
        <v>6254</v>
      </c>
      <c r="AI2004" s="1" t="b">
        <v>1</v>
      </c>
    </row>
    <row r="2005" spans="1:35" x14ac:dyDescent="0.25">
      <c r="A2005" s="1">
        <v>17</v>
      </c>
      <c r="B2005" s="1">
        <v>11</v>
      </c>
      <c r="C2005" s="1">
        <v>2019</v>
      </c>
      <c r="G2005" s="1" t="s">
        <v>39</v>
      </c>
      <c r="H2005" s="2">
        <v>32.51</v>
      </c>
      <c r="I2005" s="1">
        <v>70</v>
      </c>
      <c r="V2005" s="1">
        <v>110</v>
      </c>
      <c r="X2005" s="1">
        <v>86</v>
      </c>
      <c r="AA2005" s="1">
        <v>9</v>
      </c>
      <c r="AB2005" s="1">
        <v>7</v>
      </c>
      <c r="AC2005" s="1">
        <v>3467</v>
      </c>
      <c r="AF2005" s="3">
        <v>2.1531836358043681</v>
      </c>
      <c r="AG2005" s="3">
        <v>5.3128898032466596</v>
      </c>
      <c r="AH2005" s="1">
        <v>6254</v>
      </c>
      <c r="AI2005" s="1" t="b">
        <v>1</v>
      </c>
    </row>
    <row r="2006" spans="1:35" x14ac:dyDescent="0.25">
      <c r="A2006" s="1">
        <v>17</v>
      </c>
      <c r="B2006" s="1">
        <v>11</v>
      </c>
      <c r="C2006" s="1">
        <v>2019</v>
      </c>
      <c r="G2006" s="1" t="s">
        <v>39</v>
      </c>
      <c r="H2006" s="2">
        <v>36.15</v>
      </c>
      <c r="I2006" s="1">
        <v>75</v>
      </c>
      <c r="V2006" s="1">
        <v>129</v>
      </c>
      <c r="X2006" s="1">
        <v>86</v>
      </c>
      <c r="AA2006" s="1">
        <v>7</v>
      </c>
      <c r="AB2006" s="1">
        <v>6</v>
      </c>
      <c r="AC2006" s="1">
        <v>3603</v>
      </c>
      <c r="AF2006" s="3">
        <v>2.0746887966804981</v>
      </c>
      <c r="AG2006" s="3">
        <v>5.9391302440430707</v>
      </c>
      <c r="AH2006" s="1">
        <v>6254</v>
      </c>
      <c r="AI2006" s="1" t="b">
        <v>1</v>
      </c>
    </row>
    <row r="2007" spans="1:35" x14ac:dyDescent="0.25">
      <c r="A2007" s="1">
        <v>17</v>
      </c>
      <c r="B2007" s="1">
        <v>11</v>
      </c>
      <c r="C2007" s="1">
        <v>2019</v>
      </c>
      <c r="G2007" s="1" t="s">
        <v>39</v>
      </c>
      <c r="H2007" s="2">
        <v>26.4</v>
      </c>
      <c r="I2007" s="1">
        <v>73</v>
      </c>
      <c r="U2007" s="1">
        <v>105</v>
      </c>
      <c r="X2007" s="1">
        <v>88</v>
      </c>
      <c r="AA2007" s="1">
        <v>6</v>
      </c>
      <c r="AB2007" s="1">
        <v>7</v>
      </c>
      <c r="AC2007" s="1">
        <v>3586</v>
      </c>
      <c r="AF2007" s="3">
        <v>2.7651515151515151</v>
      </c>
      <c r="AG2007" s="3">
        <v>3.576051919602846</v>
      </c>
      <c r="AH2007" s="1">
        <v>6254</v>
      </c>
      <c r="AI2007" s="1" t="b">
        <v>1</v>
      </c>
    </row>
    <row r="2008" spans="1:35" x14ac:dyDescent="0.25">
      <c r="A2008" s="1">
        <v>17</v>
      </c>
      <c r="B2008" s="1">
        <v>11</v>
      </c>
      <c r="C2008" s="1">
        <v>2019</v>
      </c>
      <c r="G2008" s="1" t="s">
        <v>39</v>
      </c>
      <c r="H2008" s="2">
        <v>32.21</v>
      </c>
      <c r="I2008" s="1">
        <v>84</v>
      </c>
      <c r="U2008" s="1">
        <v>114</v>
      </c>
      <c r="X2008" s="1">
        <v>96</v>
      </c>
      <c r="AA2008" s="1">
        <v>6</v>
      </c>
      <c r="AB2008" s="1">
        <v>6</v>
      </c>
      <c r="AC2008" s="1">
        <v>3888</v>
      </c>
      <c r="AF2008" s="3">
        <v>2.6078857497671528</v>
      </c>
      <c r="AG2008" s="3">
        <v>4.3581778201275547</v>
      </c>
      <c r="AH2008" s="1">
        <v>6254</v>
      </c>
      <c r="AI2008" s="1" t="b">
        <v>1</v>
      </c>
    </row>
    <row r="2009" spans="1:35" x14ac:dyDescent="0.25">
      <c r="A2009" s="1">
        <v>17</v>
      </c>
      <c r="B2009" s="1">
        <v>11</v>
      </c>
      <c r="C2009" s="1">
        <v>2019</v>
      </c>
      <c r="G2009" s="1" t="s">
        <v>39</v>
      </c>
      <c r="H2009" s="2">
        <v>29.27</v>
      </c>
      <c r="I2009" s="1">
        <v>74</v>
      </c>
      <c r="U2009" s="1">
        <v>108</v>
      </c>
      <c r="X2009" s="1">
        <v>94</v>
      </c>
      <c r="AA2009" s="1">
        <v>8</v>
      </c>
      <c r="AB2009" s="1">
        <v>4</v>
      </c>
      <c r="AC2009" s="1">
        <v>3645</v>
      </c>
      <c r="AF2009" s="3">
        <v>2.5281858558250767</v>
      </c>
      <c r="AG2009" s="3">
        <v>4.2042342743331345</v>
      </c>
      <c r="AH2009" s="1">
        <v>6254</v>
      </c>
      <c r="AI2009" s="1" t="b">
        <v>1</v>
      </c>
    </row>
    <row r="2010" spans="1:35" x14ac:dyDescent="0.25">
      <c r="A2010" s="1">
        <v>17</v>
      </c>
      <c r="B2010" s="1">
        <v>11</v>
      </c>
      <c r="C2010" s="1">
        <v>2019</v>
      </c>
      <c r="G2010" s="1" t="s">
        <v>39</v>
      </c>
      <c r="H2010" s="2">
        <v>27.97</v>
      </c>
      <c r="I2010" s="1">
        <v>71</v>
      </c>
      <c r="U2010" s="1">
        <v>103</v>
      </c>
      <c r="X2010" s="1">
        <v>86</v>
      </c>
      <c r="AA2010" s="1">
        <v>8</v>
      </c>
      <c r="AB2010" s="1">
        <v>10</v>
      </c>
      <c r="AC2010" s="1">
        <v>3608</v>
      </c>
      <c r="AF2010" s="3">
        <v>2.5384340364676441</v>
      </c>
      <c r="AG2010" s="3">
        <v>4.0561951750895542</v>
      </c>
      <c r="AH2010" s="1">
        <v>6254</v>
      </c>
      <c r="AI2010" s="1" t="b">
        <v>1</v>
      </c>
    </row>
    <row r="2011" spans="1:35" x14ac:dyDescent="0.25">
      <c r="A2011" s="1">
        <v>17</v>
      </c>
      <c r="B2011" s="1">
        <v>11</v>
      </c>
      <c r="C2011" s="1">
        <v>2019</v>
      </c>
      <c r="G2011" s="1" t="s">
        <v>39</v>
      </c>
      <c r="H2011" s="2">
        <v>27.91</v>
      </c>
      <c r="I2011" s="1">
        <v>66</v>
      </c>
      <c r="V2011" s="1">
        <v>98</v>
      </c>
      <c r="X2011" s="1">
        <v>71</v>
      </c>
      <c r="AA2011" s="1">
        <v>4</v>
      </c>
      <c r="AB2011" s="1">
        <v>5</v>
      </c>
      <c r="AC2011" s="1">
        <v>3084</v>
      </c>
      <c r="AF2011" s="3">
        <v>2.3647438194195627</v>
      </c>
      <c r="AG2011" s="3">
        <v>4.3475820448780622</v>
      </c>
      <c r="AH2011" s="1">
        <v>6254</v>
      </c>
      <c r="AI2011" s="1" t="b">
        <v>1</v>
      </c>
    </row>
    <row r="2012" spans="1:35" x14ac:dyDescent="0.25">
      <c r="A2012" s="1">
        <v>19</v>
      </c>
      <c r="B2012" s="1">
        <v>11</v>
      </c>
      <c r="C2012" s="1">
        <v>2019</v>
      </c>
      <c r="G2012" s="1" t="s">
        <v>39</v>
      </c>
      <c r="H2012" s="2">
        <v>27.38</v>
      </c>
      <c r="I2012" s="1">
        <v>56</v>
      </c>
      <c r="U2012" s="1">
        <v>95</v>
      </c>
      <c r="X2012" s="1">
        <v>78</v>
      </c>
      <c r="AA2012" s="1">
        <v>10</v>
      </c>
      <c r="AB2012" s="1">
        <v>12</v>
      </c>
      <c r="AC2012" s="1">
        <v>3375</v>
      </c>
      <c r="AF2012" s="3">
        <v>2.0452885317750185</v>
      </c>
      <c r="AG2012" s="3">
        <v>4.9596248511489041</v>
      </c>
      <c r="AH2012" s="1">
        <v>6255</v>
      </c>
      <c r="AI2012" s="1" t="b">
        <v>1</v>
      </c>
    </row>
    <row r="2013" spans="1:35" x14ac:dyDescent="0.25">
      <c r="A2013" s="1">
        <v>19</v>
      </c>
      <c r="B2013" s="1">
        <v>11</v>
      </c>
      <c r="C2013" s="1">
        <v>2019</v>
      </c>
      <c r="G2013" s="1" t="s">
        <v>39</v>
      </c>
      <c r="H2013" s="2">
        <v>35.049999999999997</v>
      </c>
      <c r="I2013" s="1">
        <v>86</v>
      </c>
      <c r="U2013" s="1">
        <v>124</v>
      </c>
      <c r="X2013" s="1">
        <v>108</v>
      </c>
      <c r="AA2013" s="1">
        <v>8</v>
      </c>
      <c r="AB2013" s="1">
        <v>7</v>
      </c>
      <c r="AC2013" s="1">
        <v>3852</v>
      </c>
      <c r="AF2013" s="3">
        <v>2.4536376604850214</v>
      </c>
      <c r="AG2013" s="3">
        <v>4.9144077440976188</v>
      </c>
      <c r="AH2013" s="1">
        <v>6255</v>
      </c>
      <c r="AI2013" s="1" t="b">
        <v>1</v>
      </c>
    </row>
    <row r="2014" spans="1:35" x14ac:dyDescent="0.25">
      <c r="A2014" s="1">
        <v>19</v>
      </c>
      <c r="B2014" s="1">
        <v>11</v>
      </c>
      <c r="C2014" s="1">
        <v>2019</v>
      </c>
      <c r="G2014" s="1" t="s">
        <v>39</v>
      </c>
      <c r="H2014" s="2">
        <v>21.62</v>
      </c>
      <c r="I2014" s="1">
        <v>36</v>
      </c>
      <c r="U2014" s="1">
        <v>55</v>
      </c>
      <c r="X2014" s="1">
        <v>47</v>
      </c>
      <c r="AA2014" s="1">
        <v>5</v>
      </c>
      <c r="AB2014" s="1">
        <v>11</v>
      </c>
      <c r="AC2014" s="1">
        <v>2784</v>
      </c>
      <c r="AF2014" s="3">
        <v>1.6651248843663273</v>
      </c>
      <c r="AG2014" s="3">
        <v>5.1635949998421262</v>
      </c>
      <c r="AH2014" s="1">
        <v>6255</v>
      </c>
      <c r="AI2014" s="1" t="b">
        <v>1</v>
      </c>
    </row>
    <row r="2015" spans="1:35" x14ac:dyDescent="0.25">
      <c r="A2015" s="1">
        <v>19</v>
      </c>
      <c r="B2015" s="1">
        <v>11</v>
      </c>
      <c r="C2015" s="1">
        <v>2019</v>
      </c>
      <c r="G2015" s="1" t="s">
        <v>39</v>
      </c>
      <c r="H2015" s="2">
        <v>27.8</v>
      </c>
      <c r="I2015" s="1">
        <v>69</v>
      </c>
      <c r="U2015" s="1">
        <v>104</v>
      </c>
      <c r="X2015" s="1">
        <v>89</v>
      </c>
      <c r="AA2015" s="1">
        <v>9</v>
      </c>
      <c r="AB2015" s="1">
        <v>10</v>
      </c>
      <c r="AC2015" s="1">
        <v>3224</v>
      </c>
      <c r="AF2015" s="3">
        <v>2.4820143884892087</v>
      </c>
      <c r="AG2015" s="3">
        <v>4.1307324114608432</v>
      </c>
      <c r="AH2015" s="1">
        <v>6255</v>
      </c>
      <c r="AI2015" s="1" t="b">
        <v>1</v>
      </c>
    </row>
    <row r="2016" spans="1:35" x14ac:dyDescent="0.25">
      <c r="A2016" s="1">
        <v>19</v>
      </c>
      <c r="B2016" s="1">
        <v>11</v>
      </c>
      <c r="C2016" s="1">
        <v>2019</v>
      </c>
      <c r="G2016" s="1" t="s">
        <v>39</v>
      </c>
      <c r="H2016" s="2">
        <v>28.85</v>
      </c>
      <c r="I2016" s="1">
        <v>57</v>
      </c>
      <c r="U2016" s="1">
        <v>87</v>
      </c>
      <c r="X2016" s="1">
        <v>76</v>
      </c>
      <c r="AA2016" s="1">
        <v>7</v>
      </c>
      <c r="AB2016" s="1">
        <v>13</v>
      </c>
      <c r="AC2016" s="1">
        <v>3700</v>
      </c>
      <c r="AF2016" s="3">
        <v>1.975736568457539</v>
      </c>
      <c r="AG2016" s="3">
        <v>5.3256550610403526</v>
      </c>
      <c r="AH2016" s="1">
        <v>6255</v>
      </c>
      <c r="AI2016" s="1" t="b">
        <v>1</v>
      </c>
    </row>
    <row r="2017" spans="1:35" x14ac:dyDescent="0.25">
      <c r="A2017" s="1">
        <v>21</v>
      </c>
      <c r="B2017" s="1">
        <v>11</v>
      </c>
      <c r="C2017" s="1">
        <v>2019</v>
      </c>
      <c r="G2017" s="1" t="s">
        <v>39</v>
      </c>
      <c r="H2017" s="2">
        <v>34.72</v>
      </c>
      <c r="I2017" s="1">
        <v>86</v>
      </c>
      <c r="U2017" s="1">
        <v>129</v>
      </c>
      <c r="X2017" s="1">
        <v>112</v>
      </c>
      <c r="AA2017" s="1">
        <v>11</v>
      </c>
      <c r="AB2017" s="1">
        <v>10</v>
      </c>
      <c r="AC2017" s="1">
        <v>4279</v>
      </c>
      <c r="AF2017" s="3">
        <v>2.4769585253456223</v>
      </c>
      <c r="AG2017" s="3">
        <v>4.8360086256936334</v>
      </c>
      <c r="AH2017" s="1">
        <v>6255</v>
      </c>
      <c r="AI2017" s="1" t="b">
        <v>1</v>
      </c>
    </row>
    <row r="2018" spans="1:35" x14ac:dyDescent="0.25">
      <c r="A2018" s="1">
        <v>24</v>
      </c>
      <c r="B2018" s="1">
        <v>11</v>
      </c>
      <c r="C2018" s="1">
        <v>2019</v>
      </c>
      <c r="G2018" s="1" t="s">
        <v>39</v>
      </c>
      <c r="H2018" s="2">
        <v>25.04</v>
      </c>
      <c r="I2018" s="1">
        <v>62</v>
      </c>
      <c r="U2018" s="1">
        <v>89</v>
      </c>
      <c r="X2018" s="1">
        <v>78</v>
      </c>
      <c r="AA2018" s="1">
        <v>7</v>
      </c>
      <c r="AB2018" s="1">
        <v>10</v>
      </c>
      <c r="AC2018" s="1">
        <v>3499</v>
      </c>
      <c r="AF2018" s="3">
        <v>2.4760383386581473</v>
      </c>
      <c r="AG2018" s="3">
        <v>3.8484572109096016</v>
      </c>
      <c r="AH2018" s="1">
        <v>6255</v>
      </c>
      <c r="AI2018" s="1" t="b">
        <v>1</v>
      </c>
    </row>
    <row r="2019" spans="1:35" x14ac:dyDescent="0.25">
      <c r="A2019" s="1">
        <v>26</v>
      </c>
      <c r="B2019" s="1">
        <v>11</v>
      </c>
      <c r="C2019" s="1">
        <v>2019</v>
      </c>
      <c r="G2019" s="1" t="s">
        <v>39</v>
      </c>
      <c r="H2019" s="2">
        <v>22.7</v>
      </c>
      <c r="I2019" s="1">
        <v>58</v>
      </c>
      <c r="U2019" s="1">
        <v>78</v>
      </c>
      <c r="X2019" s="1">
        <v>72</v>
      </c>
      <c r="AA2019" s="1">
        <v>5</v>
      </c>
      <c r="AB2019" s="1">
        <v>9</v>
      </c>
      <c r="AC2019" s="1">
        <v>3076</v>
      </c>
      <c r="AF2019" s="3">
        <v>2.5550660792951541</v>
      </c>
      <c r="AG2019" s="3">
        <v>3.4818973512341294</v>
      </c>
      <c r="AH2019" s="1">
        <v>6256</v>
      </c>
      <c r="AI2019" s="1" t="b">
        <v>1</v>
      </c>
    </row>
    <row r="2020" spans="1:35" x14ac:dyDescent="0.25">
      <c r="A2020" s="1">
        <v>26</v>
      </c>
      <c r="B2020" s="1">
        <v>11</v>
      </c>
      <c r="C2020" s="1">
        <v>2019</v>
      </c>
      <c r="G2020" s="1" t="s">
        <v>39</v>
      </c>
      <c r="H2020" s="2">
        <v>26.24</v>
      </c>
      <c r="I2020" s="1">
        <v>66</v>
      </c>
      <c r="U2020" s="1">
        <v>97</v>
      </c>
      <c r="X2020" s="1">
        <v>83</v>
      </c>
      <c r="AA2020" s="1">
        <v>10</v>
      </c>
      <c r="AB2020" s="1">
        <v>7</v>
      </c>
      <c r="AC2020" s="1">
        <v>3526</v>
      </c>
      <c r="AF2020" s="3">
        <v>2.5152439024390247</v>
      </c>
      <c r="AG2020" s="3">
        <v>3.9146647629589917</v>
      </c>
      <c r="AH2020" s="1">
        <v>6256</v>
      </c>
      <c r="AI2020" s="1" t="b">
        <v>1</v>
      </c>
    </row>
    <row r="2021" spans="1:35" x14ac:dyDescent="0.25">
      <c r="A2021" s="1">
        <v>26</v>
      </c>
      <c r="B2021" s="1">
        <v>11</v>
      </c>
      <c r="C2021" s="1">
        <v>2019</v>
      </c>
      <c r="G2021" s="1" t="s">
        <v>39</v>
      </c>
      <c r="H2021" s="2">
        <v>31.05</v>
      </c>
      <c r="I2021" s="1">
        <v>88</v>
      </c>
      <c r="U2021" s="1">
        <v>125</v>
      </c>
      <c r="X2021" s="1">
        <v>108</v>
      </c>
      <c r="AA2021" s="1">
        <v>6</v>
      </c>
      <c r="AB2021" s="1">
        <v>4</v>
      </c>
      <c r="AC2021" s="1">
        <v>3972</v>
      </c>
      <c r="AF2021" s="3">
        <v>2.8341384863123995</v>
      </c>
      <c r="AG2021" s="3">
        <v>3.9086074503970423</v>
      </c>
      <c r="AH2021" s="1">
        <v>6256</v>
      </c>
      <c r="AI2021" s="1" t="b">
        <v>1</v>
      </c>
    </row>
    <row r="2022" spans="1:35" x14ac:dyDescent="0.25">
      <c r="A2022" s="1">
        <v>26</v>
      </c>
      <c r="B2022" s="1">
        <v>11</v>
      </c>
      <c r="C2022" s="1">
        <v>2019</v>
      </c>
      <c r="G2022" s="1" t="s">
        <v>39</v>
      </c>
      <c r="H2022" s="2">
        <v>21.35</v>
      </c>
      <c r="I2022" s="1">
        <v>44</v>
      </c>
      <c r="U2022" s="1">
        <v>62</v>
      </c>
      <c r="X2022" s="1">
        <v>54</v>
      </c>
      <c r="AA2022" s="1">
        <v>4</v>
      </c>
      <c r="AB2022" s="1">
        <v>7</v>
      </c>
      <c r="AC2022" s="1">
        <v>2570</v>
      </c>
      <c r="AF2022" s="3">
        <v>2.0608899297423888</v>
      </c>
      <c r="AG2022" s="3">
        <v>4.1354589900163337</v>
      </c>
      <c r="AH2022" s="1">
        <v>6256</v>
      </c>
      <c r="AI2022" s="1" t="b">
        <v>1</v>
      </c>
    </row>
    <row r="2023" spans="1:35" x14ac:dyDescent="0.25">
      <c r="A2023" s="1">
        <v>26</v>
      </c>
      <c r="B2023" s="1">
        <v>11</v>
      </c>
      <c r="C2023" s="1">
        <v>2019</v>
      </c>
      <c r="G2023" s="1" t="s">
        <v>39</v>
      </c>
      <c r="H2023" s="2">
        <v>33</v>
      </c>
      <c r="I2023" s="1">
        <v>71</v>
      </c>
      <c r="U2023" s="1">
        <v>120</v>
      </c>
      <c r="X2023" s="1">
        <v>104</v>
      </c>
      <c r="AA2023" s="1">
        <v>12</v>
      </c>
      <c r="AB2023" s="1">
        <v>12</v>
      </c>
      <c r="AC2023" s="1">
        <v>4274</v>
      </c>
      <c r="AF2023" s="3">
        <v>2.1515151515151514</v>
      </c>
      <c r="AG2023" s="3">
        <v>5.3729815475647387</v>
      </c>
      <c r="AH2023" s="1">
        <v>6256</v>
      </c>
      <c r="AI2023" s="1" t="b">
        <v>1</v>
      </c>
    </row>
    <row r="2024" spans="1:35" x14ac:dyDescent="0.25">
      <c r="A2024" s="1">
        <v>27</v>
      </c>
      <c r="B2024" s="1">
        <v>11</v>
      </c>
      <c r="C2024" s="1">
        <v>2019</v>
      </c>
      <c r="G2024" s="1" t="s">
        <v>39</v>
      </c>
      <c r="H2024" s="2">
        <v>30</v>
      </c>
      <c r="I2024" s="1">
        <v>68</v>
      </c>
      <c r="U2024" s="1">
        <v>94</v>
      </c>
      <c r="X2024" s="1">
        <v>83</v>
      </c>
      <c r="AA2024" s="1">
        <v>7</v>
      </c>
      <c r="AB2024" s="1">
        <v>6</v>
      </c>
      <c r="AC2024" s="1">
        <v>3714</v>
      </c>
      <c r="AF2024" s="3">
        <v>2.2666666666666666</v>
      </c>
      <c r="AG2024" s="3">
        <v>4.7708660184397695</v>
      </c>
      <c r="AH2024" s="1">
        <v>6256</v>
      </c>
      <c r="AI2024" s="1" t="b">
        <v>1</v>
      </c>
    </row>
    <row r="2025" spans="1:35" x14ac:dyDescent="0.25">
      <c r="A2025" s="1">
        <v>27</v>
      </c>
      <c r="B2025" s="1">
        <v>11</v>
      </c>
      <c r="C2025" s="1">
        <v>2019</v>
      </c>
      <c r="G2025" s="1" t="s">
        <v>39</v>
      </c>
      <c r="H2025" s="2">
        <v>31.66</v>
      </c>
      <c r="I2025" s="1">
        <v>76</v>
      </c>
      <c r="U2025" s="1">
        <v>112</v>
      </c>
      <c r="X2025" s="1">
        <v>94</v>
      </c>
      <c r="AA2025" s="1">
        <v>8</v>
      </c>
      <c r="AB2025" s="1">
        <v>7</v>
      </c>
      <c r="AC2025" s="1">
        <v>3868</v>
      </c>
      <c r="AF2025" s="3">
        <v>2.4005053695514844</v>
      </c>
      <c r="AG2025" s="3">
        <v>4.6779433222639799</v>
      </c>
      <c r="AH2025" s="1">
        <v>6256</v>
      </c>
      <c r="AI2025" s="1" t="b">
        <v>1</v>
      </c>
    </row>
    <row r="2026" spans="1:35" x14ac:dyDescent="0.25">
      <c r="A2026" s="1">
        <v>28</v>
      </c>
      <c r="B2026" s="1">
        <v>11</v>
      </c>
      <c r="C2026" s="1">
        <v>2019</v>
      </c>
      <c r="G2026" s="1" t="s">
        <v>39</v>
      </c>
      <c r="H2026" s="2">
        <v>32.090000000000003</v>
      </c>
      <c r="I2026" s="1">
        <v>75</v>
      </c>
      <c r="U2026" s="1">
        <v>106</v>
      </c>
      <c r="X2026" s="1">
        <v>92</v>
      </c>
      <c r="AA2026" s="1">
        <v>6</v>
      </c>
      <c r="AB2026" s="1">
        <v>4</v>
      </c>
      <c r="AC2026" s="1">
        <v>4528</v>
      </c>
      <c r="AF2026" s="3">
        <v>2.337176690557806</v>
      </c>
      <c r="AG2026" s="3">
        <v>4.8502849711949914</v>
      </c>
      <c r="AH2026" s="1">
        <v>6256</v>
      </c>
      <c r="AI2026" s="1" t="b">
        <v>1</v>
      </c>
    </row>
    <row r="2027" spans="1:35" x14ac:dyDescent="0.25">
      <c r="A2027" s="1">
        <v>28</v>
      </c>
      <c r="B2027" s="1">
        <v>11</v>
      </c>
      <c r="C2027" s="1">
        <v>2019</v>
      </c>
      <c r="G2027" s="1" t="s">
        <v>39</v>
      </c>
      <c r="H2027" s="2">
        <v>33.090000000000003</v>
      </c>
      <c r="I2027" s="1">
        <v>88</v>
      </c>
      <c r="U2027" s="1">
        <v>125</v>
      </c>
      <c r="X2027" s="1">
        <v>110</v>
      </c>
      <c r="AA2027" s="1">
        <v>9</v>
      </c>
      <c r="AB2027" s="1">
        <v>6</v>
      </c>
      <c r="AC2027" s="1">
        <v>4120</v>
      </c>
      <c r="AF2027" s="3">
        <v>2.6594137201571471</v>
      </c>
      <c r="AG2027" s="3">
        <v>4.3551371084645298</v>
      </c>
      <c r="AH2027" s="1">
        <v>6256</v>
      </c>
      <c r="AI2027" s="1" t="b">
        <v>1</v>
      </c>
    </row>
    <row r="2028" spans="1:35" x14ac:dyDescent="0.25">
      <c r="A2028" s="1">
        <v>28</v>
      </c>
      <c r="B2028" s="1">
        <v>11</v>
      </c>
      <c r="C2028" s="1">
        <v>2019</v>
      </c>
      <c r="G2028" s="1" t="s">
        <v>39</v>
      </c>
      <c r="H2028" s="2">
        <v>24.93</v>
      </c>
      <c r="I2028" s="1">
        <v>60</v>
      </c>
      <c r="U2028" s="1">
        <v>88</v>
      </c>
      <c r="X2028" s="1">
        <v>77</v>
      </c>
      <c r="AA2028" s="1">
        <v>6</v>
      </c>
      <c r="AB2028" s="1">
        <v>10</v>
      </c>
      <c r="AC2028" s="1">
        <v>3086</v>
      </c>
      <c r="AF2028" s="3">
        <v>2.4067388688327318</v>
      </c>
      <c r="AG2028" s="3">
        <v>3.9470863096274913</v>
      </c>
      <c r="AH2028" s="1">
        <v>6256</v>
      </c>
      <c r="AI2028" s="1" t="b">
        <v>1</v>
      </c>
    </row>
    <row r="2029" spans="1:35" x14ac:dyDescent="0.25">
      <c r="A2029" s="1">
        <v>28</v>
      </c>
      <c r="B2029" s="1">
        <v>11</v>
      </c>
      <c r="C2029" s="1">
        <v>2019</v>
      </c>
      <c r="G2029" s="1" t="s">
        <v>39</v>
      </c>
      <c r="H2029" s="2">
        <v>28.89</v>
      </c>
      <c r="I2029" s="1">
        <v>85</v>
      </c>
      <c r="U2029" s="1">
        <v>120</v>
      </c>
      <c r="X2029" s="1">
        <v>104</v>
      </c>
      <c r="AA2029" s="1">
        <v>8</v>
      </c>
      <c r="AB2029" s="1">
        <v>5</v>
      </c>
      <c r="AC2029" s="1">
        <v>3730</v>
      </c>
      <c r="AF2029" s="3">
        <v>2.9421945309795778</v>
      </c>
      <c r="AG2029" s="3">
        <v>3.5797433865989388</v>
      </c>
      <c r="AH2029" s="1">
        <v>6256</v>
      </c>
      <c r="AI2029" s="1" t="b">
        <v>1</v>
      </c>
    </row>
    <row r="2030" spans="1:35" x14ac:dyDescent="0.25">
      <c r="A2030" s="1">
        <v>28</v>
      </c>
      <c r="B2030" s="1">
        <v>11</v>
      </c>
      <c r="C2030" s="1">
        <v>2019</v>
      </c>
      <c r="G2030" s="1" t="s">
        <v>39</v>
      </c>
      <c r="H2030" s="2">
        <v>26.92</v>
      </c>
      <c r="I2030" s="1">
        <v>62</v>
      </c>
      <c r="U2030" s="1">
        <v>93</v>
      </c>
      <c r="X2030" s="1">
        <v>78</v>
      </c>
      <c r="AA2030" s="1">
        <v>7</v>
      </c>
      <c r="AB2030" s="1">
        <v>9</v>
      </c>
      <c r="AC2030" s="1">
        <v>3567</v>
      </c>
      <c r="AF2030" s="3">
        <v>2.3031203566121841</v>
      </c>
      <c r="AG2030" s="3">
        <v>4.3524711883507656</v>
      </c>
      <c r="AH2030" s="1">
        <v>6256</v>
      </c>
      <c r="AI2030" s="1" t="b">
        <v>1</v>
      </c>
    </row>
    <row r="2031" spans="1:35" x14ac:dyDescent="0.25">
      <c r="A2031" s="1">
        <v>28</v>
      </c>
      <c r="B2031" s="1">
        <v>11</v>
      </c>
      <c r="C2031" s="1">
        <v>2019</v>
      </c>
      <c r="G2031" s="1" t="s">
        <v>39</v>
      </c>
      <c r="H2031" s="2">
        <v>25.73</v>
      </c>
      <c r="I2031" s="1">
        <v>66</v>
      </c>
      <c r="U2031" s="1">
        <v>96</v>
      </c>
      <c r="X2031" s="1">
        <v>84</v>
      </c>
      <c r="AA2031" s="1">
        <v>8</v>
      </c>
      <c r="AB2031" s="1">
        <v>7</v>
      </c>
      <c r="AC2031" s="1">
        <v>3107</v>
      </c>
      <c r="AF2031" s="3">
        <v>2.5650991061018265</v>
      </c>
      <c r="AG2031" s="3">
        <v>3.7862013065387576</v>
      </c>
      <c r="AH2031" s="1">
        <v>6256</v>
      </c>
      <c r="AI2031" s="1" t="b">
        <v>1</v>
      </c>
    </row>
    <row r="2032" spans="1:35" x14ac:dyDescent="0.25">
      <c r="A2032" s="1">
        <v>28</v>
      </c>
      <c r="B2032" s="1">
        <v>11</v>
      </c>
      <c r="C2032" s="1">
        <v>2019</v>
      </c>
      <c r="G2032" s="1" t="s">
        <v>39</v>
      </c>
      <c r="H2032" s="2">
        <v>27.41</v>
      </c>
      <c r="I2032" s="1">
        <v>78</v>
      </c>
      <c r="U2032" s="1">
        <v>109</v>
      </c>
      <c r="X2032" s="1">
        <v>95</v>
      </c>
      <c r="AA2032" s="1">
        <v>7</v>
      </c>
      <c r="AB2032" s="1">
        <v>7</v>
      </c>
      <c r="AC2032" s="1">
        <v>3496</v>
      </c>
      <c r="AF2032" s="3">
        <v>2.8456767603064574</v>
      </c>
      <c r="AG2032" s="3">
        <v>3.5673913729788649</v>
      </c>
      <c r="AH2032" s="1">
        <v>6256</v>
      </c>
      <c r="AI2032" s="1" t="b">
        <v>1</v>
      </c>
    </row>
    <row r="2033" spans="1:35" x14ac:dyDescent="0.25">
      <c r="A2033" s="1">
        <v>28</v>
      </c>
      <c r="B2033" s="1">
        <v>11</v>
      </c>
      <c r="C2033" s="1">
        <v>2019</v>
      </c>
      <c r="G2033" s="1" t="s">
        <v>39</v>
      </c>
      <c r="H2033" s="2">
        <v>23.32</v>
      </c>
      <c r="I2033" s="1">
        <v>46</v>
      </c>
      <c r="U2033" s="1">
        <v>65</v>
      </c>
      <c r="X2033" s="1">
        <v>57</v>
      </c>
      <c r="AA2033" s="1">
        <v>7</v>
      </c>
      <c r="AB2033" s="1">
        <v>7</v>
      </c>
      <c r="AC2033" s="1">
        <v>2638</v>
      </c>
      <c r="AF2033" s="3">
        <v>1.9725557461406518</v>
      </c>
      <c r="AG2033" s="3">
        <v>4.5960071607771411</v>
      </c>
      <c r="AH2033" s="1">
        <v>6256</v>
      </c>
      <c r="AI2033" s="1" t="b">
        <v>1</v>
      </c>
    </row>
    <row r="2034" spans="1:35" x14ac:dyDescent="0.25">
      <c r="A2034" s="1">
        <v>28</v>
      </c>
      <c r="B2034" s="1">
        <v>11</v>
      </c>
      <c r="C2034" s="1">
        <v>2019</v>
      </c>
      <c r="G2034" s="1" t="s">
        <v>39</v>
      </c>
      <c r="H2034" s="2">
        <v>20.2</v>
      </c>
      <c r="I2034" s="1">
        <v>48</v>
      </c>
      <c r="U2034" s="1">
        <v>75</v>
      </c>
      <c r="X2034" s="1">
        <v>68</v>
      </c>
      <c r="AA2034" s="1">
        <v>8</v>
      </c>
      <c r="AB2034" s="1">
        <v>8</v>
      </c>
      <c r="AC2034" s="1">
        <v>3355</v>
      </c>
      <c r="AF2034" s="3">
        <v>2.3762376237623761</v>
      </c>
      <c r="AG2034" s="3">
        <v>3.4502939026344372</v>
      </c>
      <c r="AH2034" s="1">
        <v>6256</v>
      </c>
      <c r="AI2034" s="1" t="b">
        <v>1</v>
      </c>
    </row>
    <row r="2035" spans="1:35" x14ac:dyDescent="0.25">
      <c r="A2035" s="1">
        <v>28</v>
      </c>
      <c r="B2035" s="1">
        <v>11</v>
      </c>
      <c r="C2035" s="1">
        <v>2019</v>
      </c>
      <c r="G2035" s="1" t="s">
        <v>39</v>
      </c>
      <c r="H2035" s="2">
        <v>23.59</v>
      </c>
      <c r="I2035" s="1">
        <v>53</v>
      </c>
      <c r="U2035" s="1">
        <v>81</v>
      </c>
      <c r="X2035" s="1">
        <v>65</v>
      </c>
      <c r="AA2035" s="1">
        <v>6</v>
      </c>
      <c r="AB2035" s="1">
        <v>8</v>
      </c>
      <c r="AC2035" s="1">
        <v>3270</v>
      </c>
      <c r="AF2035" s="3">
        <v>2.2467147096227214</v>
      </c>
      <c r="AG2035" s="3">
        <v>4.067819088163386</v>
      </c>
      <c r="AH2035" s="1">
        <v>6256</v>
      </c>
      <c r="AI2035" s="1" t="b">
        <v>1</v>
      </c>
    </row>
    <row r="2036" spans="1:35" x14ac:dyDescent="0.25">
      <c r="A2036" s="1">
        <v>28</v>
      </c>
      <c r="B2036" s="1">
        <v>11</v>
      </c>
      <c r="C2036" s="1">
        <v>2019</v>
      </c>
      <c r="G2036" s="1" t="s">
        <v>39</v>
      </c>
      <c r="H2036" s="2">
        <v>27.23</v>
      </c>
      <c r="I2036" s="1">
        <v>67</v>
      </c>
      <c r="U2036" s="1">
        <v>92</v>
      </c>
      <c r="X2036" s="1">
        <v>79</v>
      </c>
      <c r="AA2036" s="1">
        <v>6</v>
      </c>
      <c r="AB2036" s="1">
        <v>6</v>
      </c>
      <c r="AC2036" s="1">
        <v>3491</v>
      </c>
      <c r="AF2036" s="3">
        <v>2.4605214836577303</v>
      </c>
      <c r="AG2036" s="3">
        <v>4.1068249100023522</v>
      </c>
      <c r="AH2036" s="1">
        <v>6256</v>
      </c>
      <c r="AI2036" s="1" t="b">
        <v>1</v>
      </c>
    </row>
    <row r="2037" spans="1:35" x14ac:dyDescent="0.25">
      <c r="A2037" s="1">
        <v>28</v>
      </c>
      <c r="B2037" s="1">
        <v>11</v>
      </c>
      <c r="C2037" s="1">
        <v>2019</v>
      </c>
      <c r="G2037" s="1" t="s">
        <v>39</v>
      </c>
      <c r="H2037" s="2">
        <v>22.16</v>
      </c>
      <c r="I2037" s="1">
        <v>59</v>
      </c>
      <c r="U2037" s="1">
        <v>81</v>
      </c>
      <c r="X2037" s="1">
        <v>71</v>
      </c>
      <c r="AA2037" s="1">
        <v>6</v>
      </c>
      <c r="AB2037" s="1">
        <v>7</v>
      </c>
      <c r="AC2037" s="1">
        <v>2637</v>
      </c>
      <c r="AF2037" s="3">
        <v>2.6624548736462095</v>
      </c>
      <c r="AG2037" s="3">
        <v>3.2856142517431413</v>
      </c>
      <c r="AH2037" s="1">
        <v>6256</v>
      </c>
      <c r="AI2037" s="1" t="b">
        <v>1</v>
      </c>
    </row>
    <row r="2038" spans="1:35" x14ac:dyDescent="0.25">
      <c r="A2038" s="1">
        <v>28</v>
      </c>
      <c r="B2038" s="1">
        <v>11</v>
      </c>
      <c r="C2038" s="1">
        <v>2019</v>
      </c>
      <c r="G2038" s="1" t="s">
        <v>39</v>
      </c>
      <c r="H2038" s="2">
        <v>27.81</v>
      </c>
      <c r="I2038" s="1">
        <v>80</v>
      </c>
      <c r="U2038" s="1">
        <v>109</v>
      </c>
      <c r="X2038" s="1">
        <v>98</v>
      </c>
      <c r="AA2038" s="1">
        <v>8</v>
      </c>
      <c r="AB2038" s="1">
        <v>6</v>
      </c>
      <c r="AC2038" s="1">
        <v>3823</v>
      </c>
      <c r="AF2038" s="3">
        <v>2.8766630708378282</v>
      </c>
      <c r="AG2038" s="3">
        <v>3.5649356433394148</v>
      </c>
      <c r="AH2038" s="1">
        <v>6256</v>
      </c>
      <c r="AI2038" s="1" t="b">
        <v>1</v>
      </c>
    </row>
    <row r="2039" spans="1:35" x14ac:dyDescent="0.25">
      <c r="A2039" s="1">
        <v>28</v>
      </c>
      <c r="B2039" s="1">
        <v>11</v>
      </c>
      <c r="C2039" s="1">
        <v>2019</v>
      </c>
      <c r="G2039" s="1" t="s">
        <v>39</v>
      </c>
      <c r="H2039" s="2">
        <v>24.6</v>
      </c>
      <c r="I2039" s="1">
        <v>60</v>
      </c>
      <c r="U2039" s="1">
        <v>87</v>
      </c>
      <c r="X2039" s="1">
        <v>73</v>
      </c>
      <c r="AA2039" s="1">
        <v>8</v>
      </c>
      <c r="AB2039" s="1">
        <v>7</v>
      </c>
      <c r="AC2039" s="1">
        <v>3399</v>
      </c>
      <c r="AF2039" s="3">
        <v>2.4390243902439024</v>
      </c>
      <c r="AG2039" s="3">
        <v>3.8586770469259988</v>
      </c>
      <c r="AH2039" s="1">
        <v>6256</v>
      </c>
      <c r="AI2039" s="1" t="b">
        <v>1</v>
      </c>
    </row>
    <row r="2040" spans="1:35" x14ac:dyDescent="0.25">
      <c r="A2040" s="1">
        <v>28</v>
      </c>
      <c r="B2040" s="1">
        <v>11</v>
      </c>
      <c r="C2040" s="1">
        <v>2019</v>
      </c>
      <c r="G2040" s="1" t="s">
        <v>39</v>
      </c>
      <c r="H2040" s="2">
        <v>25.83</v>
      </c>
      <c r="I2040" s="1">
        <v>84</v>
      </c>
      <c r="U2040" s="1">
        <v>93</v>
      </c>
      <c r="X2040" s="1">
        <v>88</v>
      </c>
      <c r="AA2040" s="1">
        <v>3</v>
      </c>
      <c r="AB2040" s="1">
        <v>4</v>
      </c>
      <c r="AC2040" s="1">
        <v>3221</v>
      </c>
      <c r="AF2040" s="3">
        <v>3.2520325203252036</v>
      </c>
      <c r="AG2040" s="3">
        <v>2.9945543821633955</v>
      </c>
      <c r="AH2040" s="1">
        <v>6256</v>
      </c>
      <c r="AI2040" s="1" t="b">
        <v>1</v>
      </c>
    </row>
    <row r="2041" spans="1:35" x14ac:dyDescent="0.25">
      <c r="A2041" s="1">
        <v>28</v>
      </c>
      <c r="B2041" s="1">
        <v>11</v>
      </c>
      <c r="C2041" s="1">
        <v>2019</v>
      </c>
      <c r="G2041" s="1" t="s">
        <v>39</v>
      </c>
      <c r="H2041" s="2">
        <v>26.14</v>
      </c>
      <c r="I2041" s="1">
        <v>60</v>
      </c>
      <c r="U2041" s="1">
        <v>93</v>
      </c>
      <c r="X2041" s="1">
        <v>81</v>
      </c>
      <c r="AA2041" s="1">
        <v>8</v>
      </c>
      <c r="AB2041" s="1">
        <v>10</v>
      </c>
      <c r="AC2041" s="1">
        <v>3454</v>
      </c>
      <c r="AF2041" s="3">
        <v>2.2953328232593724</v>
      </c>
      <c r="AG2041" s="3">
        <v>4.278270510988496</v>
      </c>
      <c r="AH2041" s="1">
        <v>6256</v>
      </c>
      <c r="AI2041" s="1" t="b">
        <v>1</v>
      </c>
    </row>
    <row r="2042" spans="1:35" x14ac:dyDescent="0.25">
      <c r="A2042" s="1">
        <v>28</v>
      </c>
      <c r="B2042" s="1">
        <v>11</v>
      </c>
      <c r="C2042" s="1">
        <v>2019</v>
      </c>
      <c r="G2042" s="1" t="s">
        <v>39</v>
      </c>
      <c r="H2042" s="2">
        <v>26.5</v>
      </c>
      <c r="I2042" s="1">
        <v>63</v>
      </c>
      <c r="U2042" s="1">
        <v>91</v>
      </c>
      <c r="X2042" s="1">
        <v>76</v>
      </c>
      <c r="AA2042" s="1">
        <v>5</v>
      </c>
      <c r="AB2042" s="1">
        <v>3</v>
      </c>
      <c r="AC2042" s="1">
        <v>3234</v>
      </c>
      <c r="AF2042" s="3">
        <v>2.3773584905660377</v>
      </c>
      <c r="AG2042" s="3">
        <v>4.170397352728541</v>
      </c>
      <c r="AH2042" s="1">
        <v>6256</v>
      </c>
      <c r="AI2042" s="1" t="b">
        <v>1</v>
      </c>
    </row>
    <row r="2043" spans="1:35" x14ac:dyDescent="0.25">
      <c r="A2043" s="1">
        <v>28</v>
      </c>
      <c r="B2043" s="1">
        <v>11</v>
      </c>
      <c r="C2043" s="1">
        <v>2019</v>
      </c>
      <c r="G2043" s="1" t="s">
        <v>39</v>
      </c>
      <c r="H2043" s="2">
        <v>27.42</v>
      </c>
      <c r="I2043" s="1">
        <v>59</v>
      </c>
      <c r="U2043" s="1">
        <v>96</v>
      </c>
      <c r="X2043" s="1">
        <v>77</v>
      </c>
      <c r="AA2043" s="1">
        <v>7</v>
      </c>
      <c r="AB2043" s="1">
        <v>8</v>
      </c>
      <c r="AC2043" s="1">
        <v>3521</v>
      </c>
      <c r="AF2043" s="3">
        <v>2.1517140773158276</v>
      </c>
      <c r="AG2043" s="3">
        <v>4.719137746685691</v>
      </c>
      <c r="AH2043" s="1">
        <v>6256</v>
      </c>
      <c r="AI2043" s="1" t="b">
        <v>1</v>
      </c>
    </row>
    <row r="2044" spans="1:35" x14ac:dyDescent="0.25">
      <c r="A2044" s="1">
        <v>28</v>
      </c>
      <c r="B2044" s="1">
        <v>11</v>
      </c>
      <c r="C2044" s="1">
        <v>2019</v>
      </c>
      <c r="G2044" s="1" t="s">
        <v>39</v>
      </c>
      <c r="H2044" s="2">
        <v>23.01</v>
      </c>
      <c r="I2044" s="1">
        <v>60</v>
      </c>
      <c r="U2044" s="1">
        <v>84</v>
      </c>
      <c r="X2044" s="1">
        <v>76</v>
      </c>
      <c r="AA2044" s="1">
        <v>7</v>
      </c>
      <c r="AB2044" s="1">
        <v>9</v>
      </c>
      <c r="AC2044" s="1">
        <v>3199</v>
      </c>
      <c r="AF2044" s="3">
        <v>2.6075619295958279</v>
      </c>
      <c r="AG2044" s="3">
        <v>3.4443478205541114</v>
      </c>
      <c r="AH2044" s="1">
        <v>6256</v>
      </c>
      <c r="AI2044" s="1" t="b">
        <v>1</v>
      </c>
    </row>
    <row r="2045" spans="1:35" x14ac:dyDescent="0.25">
      <c r="A2045" s="1">
        <v>28</v>
      </c>
      <c r="B2045" s="1">
        <v>11</v>
      </c>
      <c r="C2045" s="1">
        <v>2019</v>
      </c>
      <c r="G2045" s="1" t="s">
        <v>39</v>
      </c>
      <c r="H2045" s="2">
        <v>27.05</v>
      </c>
      <c r="I2045" s="1">
        <v>67</v>
      </c>
      <c r="U2045" s="1">
        <v>103</v>
      </c>
      <c r="X2045" s="1">
        <v>89</v>
      </c>
      <c r="AA2045" s="1">
        <v>7</v>
      </c>
      <c r="AB2045" s="1">
        <v>8</v>
      </c>
      <c r="AC2045" s="1">
        <v>3443</v>
      </c>
      <c r="AF2045" s="3">
        <v>2.4768946395563769</v>
      </c>
      <c r="AG2045" s="3">
        <v>4.0607808780153221</v>
      </c>
      <c r="AH2045" s="1">
        <v>6256</v>
      </c>
      <c r="AI2045" s="1" t="b">
        <v>1</v>
      </c>
    </row>
    <row r="2046" spans="1:35" x14ac:dyDescent="0.25">
      <c r="A2046" s="1">
        <v>29</v>
      </c>
      <c r="B2046" s="1">
        <v>11</v>
      </c>
      <c r="C2046" s="1">
        <v>2019</v>
      </c>
      <c r="G2046" s="1" t="s">
        <v>39</v>
      </c>
      <c r="H2046" s="2">
        <v>21.81</v>
      </c>
      <c r="I2046" s="1">
        <v>55</v>
      </c>
      <c r="U2046" s="1">
        <v>76</v>
      </c>
      <c r="X2046" s="1">
        <v>69</v>
      </c>
      <c r="AA2046" s="1">
        <v>5</v>
      </c>
      <c r="AB2046" s="1">
        <v>10</v>
      </c>
      <c r="AC2046" s="1">
        <v>2850</v>
      </c>
      <c r="AF2046" s="3">
        <v>2.5217790004585052</v>
      </c>
      <c r="AG2046" s="3">
        <v>3.4304567004396049</v>
      </c>
      <c r="AH2046" s="1">
        <v>6256</v>
      </c>
      <c r="AI2046" s="1" t="b">
        <v>1</v>
      </c>
    </row>
    <row r="2047" spans="1:35" x14ac:dyDescent="0.25">
      <c r="A2047" s="1">
        <v>29</v>
      </c>
      <c r="B2047" s="1">
        <v>11</v>
      </c>
      <c r="C2047" s="1">
        <v>2019</v>
      </c>
      <c r="G2047" s="1" t="s">
        <v>39</v>
      </c>
      <c r="H2047" s="2">
        <v>25.8</v>
      </c>
      <c r="I2047" s="1">
        <v>68</v>
      </c>
      <c r="U2047" s="1">
        <v>101</v>
      </c>
      <c r="X2047" s="1">
        <v>88</v>
      </c>
      <c r="AA2047" s="1">
        <v>8</v>
      </c>
      <c r="AB2047" s="1">
        <v>9</v>
      </c>
      <c r="AC2047" s="1">
        <v>3333</v>
      </c>
      <c r="AF2047" s="3">
        <v>2.635658914728682</v>
      </c>
      <c r="AG2047" s="3">
        <v>3.6918545914504248</v>
      </c>
      <c r="AH2047" s="1">
        <v>6256</v>
      </c>
      <c r="AI2047" s="1" t="b">
        <v>1</v>
      </c>
    </row>
    <row r="2048" spans="1:35" x14ac:dyDescent="0.25">
      <c r="A2048" s="1">
        <v>29</v>
      </c>
      <c r="B2048" s="1">
        <v>11</v>
      </c>
      <c r="C2048" s="1">
        <v>2019</v>
      </c>
      <c r="G2048" s="1" t="s">
        <v>39</v>
      </c>
      <c r="H2048" s="2">
        <v>29.07</v>
      </c>
      <c r="I2048" s="1">
        <v>80</v>
      </c>
      <c r="U2048" s="1">
        <v>112</v>
      </c>
      <c r="X2048" s="1">
        <v>96</v>
      </c>
      <c r="AA2048" s="1">
        <v>6</v>
      </c>
      <c r="AB2048" s="1">
        <v>3</v>
      </c>
      <c r="AC2048" s="1">
        <v>3731</v>
      </c>
      <c r="AF2048" s="3">
        <v>2.7519779841761265</v>
      </c>
      <c r="AG2048" s="3">
        <v>3.8438511977515937</v>
      </c>
      <c r="AH2048" s="1">
        <v>6256</v>
      </c>
      <c r="AI2048" s="1" t="b">
        <v>1</v>
      </c>
    </row>
    <row r="2049" spans="1:35" x14ac:dyDescent="0.25">
      <c r="A2049" s="1">
        <v>29</v>
      </c>
      <c r="B2049" s="1">
        <v>11</v>
      </c>
      <c r="C2049" s="1">
        <v>2019</v>
      </c>
      <c r="G2049" s="1" t="s">
        <v>39</v>
      </c>
      <c r="H2049" s="2">
        <v>21.21</v>
      </c>
      <c r="I2049" s="1">
        <v>48</v>
      </c>
      <c r="U2049" s="1">
        <v>78</v>
      </c>
      <c r="X2049" s="1">
        <v>67</v>
      </c>
      <c r="AA2049" s="1">
        <v>8</v>
      </c>
      <c r="AB2049" s="1">
        <v>10</v>
      </c>
      <c r="AC2049" s="1">
        <v>2648</v>
      </c>
      <c r="AF2049" s="3">
        <v>2.2630834512022631</v>
      </c>
      <c r="AG2049" s="3">
        <v>3.7486759426429006</v>
      </c>
      <c r="AH2049" s="1">
        <v>6256</v>
      </c>
      <c r="AI2049" s="1" t="b">
        <v>1</v>
      </c>
    </row>
    <row r="2050" spans="1:35" x14ac:dyDescent="0.25">
      <c r="A2050" s="1">
        <v>29</v>
      </c>
      <c r="B2050" s="1">
        <v>11</v>
      </c>
      <c r="C2050" s="1">
        <v>2019</v>
      </c>
      <c r="G2050" s="1" t="s">
        <v>39</v>
      </c>
      <c r="H2050" s="2">
        <v>23.75</v>
      </c>
      <c r="I2050" s="1">
        <v>64</v>
      </c>
      <c r="U2050" s="1">
        <v>98</v>
      </c>
      <c r="X2050" s="1">
        <v>85</v>
      </c>
      <c r="AA2050" s="1">
        <v>9</v>
      </c>
      <c r="AB2050" s="1">
        <v>6</v>
      </c>
      <c r="AC2050" s="1">
        <v>3285</v>
      </c>
      <c r="AF2050" s="3">
        <v>2.6947368421052631</v>
      </c>
      <c r="AG2050" s="3">
        <v>3.4075965490260152</v>
      </c>
      <c r="AH2050" s="1">
        <v>6256</v>
      </c>
      <c r="AI2050" s="1" t="b">
        <v>1</v>
      </c>
    </row>
    <row r="2051" spans="1:35" x14ac:dyDescent="0.25">
      <c r="A2051" s="1">
        <v>29</v>
      </c>
      <c r="B2051" s="1">
        <v>11</v>
      </c>
      <c r="C2051" s="1">
        <v>2019</v>
      </c>
      <c r="G2051" s="1" t="s">
        <v>39</v>
      </c>
      <c r="H2051" s="2">
        <v>29.2</v>
      </c>
      <c r="I2051" s="1">
        <v>61</v>
      </c>
      <c r="U2051" s="1">
        <v>99</v>
      </c>
      <c r="X2051" s="1">
        <v>84</v>
      </c>
      <c r="AA2051" s="1">
        <v>12</v>
      </c>
      <c r="AB2051" s="1">
        <v>10</v>
      </c>
      <c r="AC2051" s="1">
        <v>3794</v>
      </c>
      <c r="AF2051" s="3">
        <v>2.0890410958904111</v>
      </c>
      <c r="AG2051" s="3">
        <v>5.0795005589656199</v>
      </c>
      <c r="AH2051" s="1">
        <v>6256</v>
      </c>
      <c r="AI2051" s="1" t="b">
        <v>1</v>
      </c>
    </row>
    <row r="2052" spans="1:35" x14ac:dyDescent="0.25">
      <c r="A2052" s="1">
        <v>29</v>
      </c>
      <c r="B2052" s="1">
        <v>11</v>
      </c>
      <c r="C2052" s="1">
        <v>2019</v>
      </c>
      <c r="G2052" s="1" t="s">
        <v>39</v>
      </c>
      <c r="H2052" s="2">
        <v>31.42</v>
      </c>
      <c r="I2052" s="1">
        <v>73</v>
      </c>
      <c r="U2052" s="1">
        <v>109</v>
      </c>
      <c r="X2052" s="1">
        <v>91</v>
      </c>
      <c r="AA2052" s="1">
        <v>8</v>
      </c>
      <c r="AB2052" s="1">
        <v>9</v>
      </c>
      <c r="AC2052" s="1">
        <v>3346</v>
      </c>
      <c r="AF2052" s="3">
        <v>2.323360916613622</v>
      </c>
      <c r="AG2052" s="3">
        <v>4.8075924788128876</v>
      </c>
      <c r="AH2052" s="1">
        <v>6256</v>
      </c>
      <c r="AI2052" s="1" t="b">
        <v>1</v>
      </c>
    </row>
    <row r="2053" spans="1:35" x14ac:dyDescent="0.25">
      <c r="A2053" s="1">
        <v>29</v>
      </c>
      <c r="B2053" s="1">
        <v>11</v>
      </c>
      <c r="C2053" s="1">
        <v>2019</v>
      </c>
      <c r="G2053" s="1" t="s">
        <v>39</v>
      </c>
      <c r="H2053" s="2">
        <v>16.829999999999998</v>
      </c>
      <c r="I2053" s="1">
        <v>41</v>
      </c>
      <c r="U2053" s="1">
        <v>64</v>
      </c>
      <c r="X2053" s="1">
        <v>53</v>
      </c>
      <c r="AA2053" s="1">
        <v>7</v>
      </c>
      <c r="AB2053" s="1">
        <v>9</v>
      </c>
      <c r="AC2053" s="1">
        <v>2191</v>
      </c>
      <c r="AF2053" s="3">
        <v>2.4361259655377303</v>
      </c>
      <c r="AG2053" s="3">
        <v>2.9618232668638629</v>
      </c>
      <c r="AH2053" s="1">
        <v>6256</v>
      </c>
      <c r="AI2053" s="1" t="b">
        <v>1</v>
      </c>
    </row>
    <row r="2054" spans="1:35" x14ac:dyDescent="0.25">
      <c r="A2054" s="1">
        <v>1</v>
      </c>
      <c r="B2054" s="1">
        <v>12</v>
      </c>
      <c r="C2054" s="1">
        <v>2019</v>
      </c>
      <c r="G2054" s="1" t="s">
        <v>39</v>
      </c>
      <c r="H2054" s="2">
        <v>22.31</v>
      </c>
      <c r="I2054" s="1">
        <v>47</v>
      </c>
      <c r="U2054" s="1">
        <v>78</v>
      </c>
      <c r="X2054" s="1">
        <v>66</v>
      </c>
      <c r="AA2054" s="1">
        <v>8</v>
      </c>
      <c r="AB2054" s="1">
        <v>9</v>
      </c>
      <c r="AC2054" s="1">
        <v>2976</v>
      </c>
      <c r="AF2054" s="3">
        <v>2.1066786194531599</v>
      </c>
      <c r="AG2054" s="3">
        <v>4.1720683191744374</v>
      </c>
      <c r="AH2054" s="1">
        <v>6256</v>
      </c>
      <c r="AI2054" s="1" t="b">
        <v>1</v>
      </c>
    </row>
    <row r="2055" spans="1:35" x14ac:dyDescent="0.25">
      <c r="A2055" s="1">
        <v>1</v>
      </c>
      <c r="B2055" s="1">
        <v>12</v>
      </c>
      <c r="C2055" s="1">
        <v>2019</v>
      </c>
      <c r="G2055" s="1" t="s">
        <v>39</v>
      </c>
      <c r="H2055" s="2">
        <v>29.32</v>
      </c>
      <c r="I2055" s="1">
        <v>75</v>
      </c>
      <c r="U2055" s="1">
        <v>111</v>
      </c>
      <c r="X2055" s="1">
        <v>98</v>
      </c>
      <c r="AA2055" s="1">
        <v>9</v>
      </c>
      <c r="AB2055" s="1">
        <v>9</v>
      </c>
      <c r="AC2055" s="1">
        <v>3819</v>
      </c>
      <c r="AF2055" s="3">
        <v>2.5579809004092771</v>
      </c>
      <c r="AG2055" s="3">
        <v>4.1602313154179065</v>
      </c>
      <c r="AH2055" s="1">
        <v>6256</v>
      </c>
      <c r="AI2055" s="1" t="b">
        <v>1</v>
      </c>
    </row>
    <row r="2056" spans="1:35" x14ac:dyDescent="0.25">
      <c r="A2056" s="1">
        <v>1</v>
      </c>
      <c r="B2056" s="1">
        <v>12</v>
      </c>
      <c r="C2056" s="1">
        <v>2019</v>
      </c>
      <c r="G2056" s="1" t="s">
        <v>39</v>
      </c>
      <c r="H2056" s="2">
        <v>25.45</v>
      </c>
      <c r="I2056" s="1">
        <v>77</v>
      </c>
      <c r="U2056" s="1">
        <v>106</v>
      </c>
      <c r="X2056" s="1">
        <v>96</v>
      </c>
      <c r="AA2056" s="1">
        <v>8</v>
      </c>
      <c r="AB2056" s="1">
        <v>7</v>
      </c>
      <c r="AC2056" s="1">
        <v>3301</v>
      </c>
      <c r="AF2056" s="3">
        <v>3.0255402750491158</v>
      </c>
      <c r="AG2056" s="3">
        <v>3.1855066215974701</v>
      </c>
      <c r="AH2056" s="1">
        <v>6256</v>
      </c>
      <c r="AI2056" s="1" t="b">
        <v>1</v>
      </c>
    </row>
    <row r="2057" spans="1:35" x14ac:dyDescent="0.25">
      <c r="A2057" s="1">
        <v>1</v>
      </c>
      <c r="B2057" s="1">
        <v>12</v>
      </c>
      <c r="C2057" s="1">
        <v>2019</v>
      </c>
      <c r="G2057" s="1" t="s">
        <v>39</v>
      </c>
      <c r="H2057" s="2">
        <v>25.64</v>
      </c>
      <c r="I2057" s="1">
        <v>63</v>
      </c>
      <c r="U2057" s="1">
        <v>93</v>
      </c>
      <c r="X2057" s="1">
        <v>82</v>
      </c>
      <c r="AA2057" s="1">
        <v>8</v>
      </c>
      <c r="AB2057" s="1">
        <v>8</v>
      </c>
      <c r="AC2057" s="1">
        <v>3505</v>
      </c>
      <c r="AF2057" s="3">
        <v>2.4570982839313573</v>
      </c>
      <c r="AG2057" s="3">
        <v>3.9429392514641468</v>
      </c>
      <c r="AH2057" s="1">
        <v>6256</v>
      </c>
      <c r="AI2057" s="1" t="b">
        <v>1</v>
      </c>
    </row>
    <row r="2058" spans="1:35" x14ac:dyDescent="0.25">
      <c r="A2058" s="1">
        <v>1</v>
      </c>
      <c r="B2058" s="1">
        <v>12</v>
      </c>
      <c r="C2058" s="1">
        <v>2019</v>
      </c>
      <c r="G2058" s="1" t="s">
        <v>39</v>
      </c>
      <c r="H2058" s="2">
        <v>22.48</v>
      </c>
      <c r="I2058" s="1">
        <v>62</v>
      </c>
      <c r="U2058" s="1">
        <v>83</v>
      </c>
      <c r="X2058" s="1">
        <v>72</v>
      </c>
      <c r="AA2058" s="1">
        <v>5</v>
      </c>
      <c r="AB2058" s="1">
        <v>7</v>
      </c>
      <c r="AC2058" s="1">
        <v>2791</v>
      </c>
      <c r="AF2058" s="3">
        <v>2.7580071174377223</v>
      </c>
      <c r="AG2058" s="3">
        <v>3.2037751777361554</v>
      </c>
      <c r="AH2058" s="1">
        <v>6256</v>
      </c>
      <c r="AI2058" s="1" t="b">
        <v>1</v>
      </c>
    </row>
    <row r="2059" spans="1:35" x14ac:dyDescent="0.25">
      <c r="A2059" s="1">
        <v>1</v>
      </c>
      <c r="B2059" s="1">
        <v>12</v>
      </c>
      <c r="C2059" s="1">
        <v>2019</v>
      </c>
      <c r="G2059" s="1" t="s">
        <v>39</v>
      </c>
      <c r="H2059" s="2">
        <v>30.79</v>
      </c>
      <c r="I2059" s="1">
        <v>77</v>
      </c>
      <c r="U2059" s="1">
        <v>118</v>
      </c>
      <c r="X2059" s="1">
        <v>105</v>
      </c>
      <c r="AA2059" s="1">
        <v>11</v>
      </c>
      <c r="AB2059" s="1">
        <v>11</v>
      </c>
      <c r="AC2059" s="1">
        <v>3995</v>
      </c>
      <c r="AF2059" s="3">
        <v>2.5008119519324459</v>
      </c>
      <c r="AG2059" s="3">
        <v>4.4035785334891697</v>
      </c>
      <c r="AH2059" s="1">
        <v>6256</v>
      </c>
      <c r="AI2059" s="1" t="b">
        <v>1</v>
      </c>
    </row>
    <row r="2060" spans="1:35" x14ac:dyDescent="0.25">
      <c r="A2060" s="1">
        <v>1</v>
      </c>
      <c r="B2060" s="1">
        <v>12</v>
      </c>
      <c r="C2060" s="1">
        <v>2019</v>
      </c>
      <c r="G2060" s="1" t="s">
        <v>39</v>
      </c>
      <c r="H2060" s="2">
        <v>30.87</v>
      </c>
      <c r="I2060" s="1">
        <v>86</v>
      </c>
      <c r="U2060" s="1">
        <v>123</v>
      </c>
      <c r="X2060" s="1">
        <v>107</v>
      </c>
      <c r="AA2060" s="1">
        <v>7</v>
      </c>
      <c r="AB2060" s="1">
        <v>6</v>
      </c>
      <c r="AC2060" s="1">
        <v>3789</v>
      </c>
      <c r="AF2060" s="3">
        <v>2.7858762552640104</v>
      </c>
      <c r="AG2060" s="3">
        <v>3.9601699033026487</v>
      </c>
      <c r="AH2060" s="1">
        <v>6256</v>
      </c>
      <c r="AI2060" s="1" t="b">
        <v>1</v>
      </c>
    </row>
    <row r="2061" spans="1:35" x14ac:dyDescent="0.25">
      <c r="A2061" s="1">
        <v>1</v>
      </c>
      <c r="B2061" s="1">
        <v>12</v>
      </c>
      <c r="C2061" s="1">
        <v>2019</v>
      </c>
      <c r="G2061" s="1" t="s">
        <v>39</v>
      </c>
      <c r="H2061" s="2">
        <v>25.1</v>
      </c>
      <c r="I2061" s="1">
        <v>59</v>
      </c>
      <c r="U2061" s="1">
        <v>89</v>
      </c>
      <c r="X2061" s="1">
        <v>74</v>
      </c>
      <c r="AA2061" s="1">
        <v>7</v>
      </c>
      <c r="AB2061" s="1">
        <v>9</v>
      </c>
      <c r="AC2061" s="1">
        <v>3251</v>
      </c>
      <c r="AF2061" s="3">
        <v>2.3505976095617527</v>
      </c>
      <c r="AG2061" s="3">
        <v>4.0606290276375745</v>
      </c>
      <c r="AH2061" s="1">
        <v>6256</v>
      </c>
      <c r="AI2061" s="1" t="b">
        <v>1</v>
      </c>
    </row>
    <row r="2062" spans="1:35" x14ac:dyDescent="0.25">
      <c r="A2062" s="1">
        <v>1</v>
      </c>
      <c r="B2062" s="1">
        <v>12</v>
      </c>
      <c r="C2062" s="1">
        <v>2019</v>
      </c>
      <c r="G2062" s="1" t="s">
        <v>39</v>
      </c>
      <c r="H2062" s="2">
        <v>25.24</v>
      </c>
      <c r="I2062" s="1">
        <v>56</v>
      </c>
      <c r="U2062" s="1">
        <v>81</v>
      </c>
      <c r="X2062" s="1">
        <v>69</v>
      </c>
      <c r="AA2062" s="1">
        <v>6</v>
      </c>
      <c r="AB2062" s="1">
        <v>12</v>
      </c>
      <c r="AC2062" s="1">
        <v>3062</v>
      </c>
      <c r="AF2062" s="3">
        <v>2.2187004754358162</v>
      </c>
      <c r="AG2062" s="3">
        <v>4.3188077195082899</v>
      </c>
      <c r="AH2062" s="1">
        <v>6256</v>
      </c>
      <c r="AI2062" s="1" t="b">
        <v>1</v>
      </c>
    </row>
    <row r="2063" spans="1:35" x14ac:dyDescent="0.25">
      <c r="A2063" s="1">
        <v>1</v>
      </c>
      <c r="B2063" s="1">
        <v>12</v>
      </c>
      <c r="C2063" s="1">
        <v>2019</v>
      </c>
      <c r="G2063" s="1" t="s">
        <v>39</v>
      </c>
      <c r="H2063" s="2">
        <v>22.79</v>
      </c>
      <c r="I2063" s="1">
        <v>52</v>
      </c>
      <c r="U2063" s="1">
        <v>80</v>
      </c>
      <c r="X2063" s="1">
        <v>74</v>
      </c>
      <c r="AA2063" s="1">
        <v>9</v>
      </c>
      <c r="AB2063" s="1">
        <v>9</v>
      </c>
      <c r="AC2063" s="1">
        <v>3168</v>
      </c>
      <c r="AF2063" s="3">
        <v>2.2817025010969725</v>
      </c>
      <c r="AG2063" s="3">
        <v>3.9098672224050079</v>
      </c>
      <c r="AH2063" s="1">
        <v>6256</v>
      </c>
      <c r="AI2063" s="1" t="b">
        <v>1</v>
      </c>
    </row>
    <row r="2064" spans="1:35" x14ac:dyDescent="0.25">
      <c r="A2064" s="1">
        <v>1</v>
      </c>
      <c r="B2064" s="1">
        <v>12</v>
      </c>
      <c r="C2064" s="1">
        <v>2019</v>
      </c>
      <c r="G2064" s="1" t="s">
        <v>39</v>
      </c>
      <c r="H2064" s="2">
        <v>31.04</v>
      </c>
      <c r="I2064" s="1">
        <v>71</v>
      </c>
      <c r="U2064" s="1">
        <v>97</v>
      </c>
      <c r="X2064" s="1">
        <v>86</v>
      </c>
      <c r="AA2064" s="1">
        <v>6</v>
      </c>
      <c r="AB2064" s="1">
        <v>5</v>
      </c>
      <c r="AC2064" s="1">
        <v>4358</v>
      </c>
      <c r="AF2064" s="3">
        <v>2.2873711340206184</v>
      </c>
      <c r="AG2064" s="3">
        <v>4.8418191376261062</v>
      </c>
      <c r="AH2064" s="1">
        <v>6256</v>
      </c>
      <c r="AI2064" s="1" t="b">
        <v>1</v>
      </c>
    </row>
    <row r="2065" spans="1:35" x14ac:dyDescent="0.25">
      <c r="A2065" s="1">
        <v>1</v>
      </c>
      <c r="B2065" s="1">
        <v>12</v>
      </c>
      <c r="C2065" s="1">
        <v>2019</v>
      </c>
      <c r="G2065" s="1" t="s">
        <v>39</v>
      </c>
      <c r="H2065" s="2">
        <v>32.11</v>
      </c>
      <c r="I2065" s="1">
        <v>87</v>
      </c>
      <c r="U2065" s="1">
        <v>136</v>
      </c>
      <c r="X2065" s="1">
        <v>115</v>
      </c>
      <c r="AA2065" s="1">
        <v>11</v>
      </c>
      <c r="AB2065" s="1">
        <v>10</v>
      </c>
      <c r="AC2065" s="1">
        <v>4416</v>
      </c>
      <c r="AF2065" s="3">
        <v>2.7094363126751793</v>
      </c>
      <c r="AG2065" s="3">
        <v>4.185711264258047</v>
      </c>
      <c r="AH2065" s="1">
        <v>6256</v>
      </c>
      <c r="AI2065" s="1" t="b">
        <v>1</v>
      </c>
    </row>
    <row r="2066" spans="1:35" x14ac:dyDescent="0.25">
      <c r="A2066" s="1">
        <v>1</v>
      </c>
      <c r="B2066" s="1">
        <v>12</v>
      </c>
      <c r="C2066" s="1">
        <v>2019</v>
      </c>
      <c r="G2066" s="1" t="s">
        <v>39</v>
      </c>
      <c r="H2066" s="2">
        <v>27.83</v>
      </c>
      <c r="I2066" s="1">
        <v>68</v>
      </c>
      <c r="U2066" s="1">
        <v>104</v>
      </c>
      <c r="X2066" s="1">
        <v>92</v>
      </c>
      <c r="AA2066" s="1">
        <v>9</v>
      </c>
      <c r="AB2066" s="1">
        <v>8</v>
      </c>
      <c r="AC2066" s="1">
        <v>3352</v>
      </c>
      <c r="AF2066" s="3">
        <v>2.4434063959755661</v>
      </c>
      <c r="AG2066" s="3">
        <v>4.1991707832530514</v>
      </c>
      <c r="AH2066" s="1">
        <v>6256</v>
      </c>
      <c r="AI2066" s="1" t="b">
        <v>1</v>
      </c>
    </row>
    <row r="2067" spans="1:35" x14ac:dyDescent="0.25">
      <c r="A2067" s="1">
        <v>1</v>
      </c>
      <c r="B2067" s="1">
        <v>12</v>
      </c>
      <c r="C2067" s="1">
        <v>2019</v>
      </c>
      <c r="G2067" s="1" t="s">
        <v>39</v>
      </c>
      <c r="H2067" s="2">
        <v>23.87</v>
      </c>
      <c r="I2067" s="1">
        <v>61</v>
      </c>
      <c r="U2067" s="1">
        <v>86</v>
      </c>
      <c r="X2067" s="1">
        <v>78</v>
      </c>
      <c r="AA2067" s="1">
        <v>6</v>
      </c>
      <c r="AB2067" s="1">
        <v>4</v>
      </c>
      <c r="AC2067" s="1">
        <v>3136</v>
      </c>
      <c r="AF2067" s="3">
        <v>2.5555090071219104</v>
      </c>
      <c r="AG2067" s="3">
        <v>3.6059464860654833</v>
      </c>
      <c r="AH2067" s="1">
        <v>6256</v>
      </c>
      <c r="AI2067" s="1" t="b">
        <v>1</v>
      </c>
    </row>
    <row r="2068" spans="1:35" x14ac:dyDescent="0.25">
      <c r="A2068" s="1">
        <v>1</v>
      </c>
      <c r="B2068" s="1">
        <v>12</v>
      </c>
      <c r="C2068" s="1">
        <v>2019</v>
      </c>
      <c r="G2068" s="1" t="s">
        <v>39</v>
      </c>
      <c r="H2068" s="2">
        <v>24.04</v>
      </c>
      <c r="I2068" s="1">
        <v>60</v>
      </c>
      <c r="U2068" s="1">
        <v>91</v>
      </c>
      <c r="X2068" s="1">
        <v>77</v>
      </c>
      <c r="AA2068" s="1">
        <v>6</v>
      </c>
      <c r="AB2068" s="1">
        <v>8</v>
      </c>
      <c r="AC2068" s="1">
        <v>3170</v>
      </c>
      <c r="AF2068" s="3">
        <v>2.4958402662229617</v>
      </c>
      <c r="AG2068" s="3">
        <v>3.7105418761369418</v>
      </c>
      <c r="AH2068" s="1">
        <v>6256</v>
      </c>
      <c r="AI2068" s="1" t="b">
        <v>1</v>
      </c>
    </row>
    <row r="2069" spans="1:35" x14ac:dyDescent="0.25">
      <c r="A2069" s="1">
        <v>4</v>
      </c>
      <c r="B2069" s="1">
        <v>12</v>
      </c>
      <c r="C2069" s="1">
        <v>2019</v>
      </c>
      <c r="G2069" s="1" t="s">
        <v>39</v>
      </c>
      <c r="H2069" s="2">
        <v>21.66</v>
      </c>
      <c r="I2069" s="1">
        <v>50</v>
      </c>
      <c r="U2069" s="1">
        <v>80</v>
      </c>
      <c r="X2069" s="1">
        <v>65</v>
      </c>
      <c r="AA2069" s="1">
        <v>5</v>
      </c>
      <c r="AB2069" s="1">
        <v>13</v>
      </c>
      <c r="AC2069" s="1">
        <v>2794</v>
      </c>
      <c r="AF2069" s="3">
        <v>2.3084025854108958</v>
      </c>
      <c r="AG2069" s="3">
        <v>3.7294892919965861</v>
      </c>
      <c r="AH2069" s="1">
        <v>6257</v>
      </c>
      <c r="AI2069" s="1" t="b">
        <v>1</v>
      </c>
    </row>
    <row r="2070" spans="1:35" x14ac:dyDescent="0.25">
      <c r="A2070" s="1">
        <v>6</v>
      </c>
      <c r="B2070" s="1">
        <v>12</v>
      </c>
      <c r="C2070" s="1">
        <v>2019</v>
      </c>
      <c r="G2070" s="1" t="s">
        <v>39</v>
      </c>
      <c r="H2070" s="2">
        <v>25.15</v>
      </c>
      <c r="I2070" s="1">
        <v>52</v>
      </c>
      <c r="U2070" s="1">
        <v>77</v>
      </c>
      <c r="X2070" s="1">
        <v>66</v>
      </c>
      <c r="AA2070" s="1">
        <v>8</v>
      </c>
      <c r="AB2070" s="1">
        <v>8</v>
      </c>
      <c r="AC2070" s="1">
        <v>3010</v>
      </c>
      <c r="AF2070" s="3">
        <v>2.0675944333996026</v>
      </c>
      <c r="AG2070" s="3">
        <v>4.6228652902402976</v>
      </c>
      <c r="AH2070" s="1">
        <v>6257</v>
      </c>
      <c r="AI2070" s="1" t="b">
        <v>1</v>
      </c>
    </row>
    <row r="2071" spans="1:35" x14ac:dyDescent="0.25">
      <c r="A2071" s="1">
        <v>6</v>
      </c>
      <c r="B2071" s="1">
        <v>12</v>
      </c>
      <c r="C2071" s="1">
        <v>2019</v>
      </c>
      <c r="G2071" s="1" t="s">
        <v>39</v>
      </c>
      <c r="H2071" s="2">
        <v>22.48</v>
      </c>
      <c r="I2071" s="1">
        <v>49</v>
      </c>
      <c r="U2071" s="1">
        <v>67</v>
      </c>
      <c r="X2071" s="1">
        <v>61</v>
      </c>
      <c r="AA2071" s="1">
        <v>5</v>
      </c>
      <c r="AB2071" s="1">
        <v>6</v>
      </c>
      <c r="AC2071" s="1">
        <v>2486</v>
      </c>
      <c r="AF2071" s="3">
        <v>2.1797153024911031</v>
      </c>
      <c r="AG2071" s="3">
        <v>4.0537563473396245</v>
      </c>
      <c r="AH2071" s="1">
        <v>6257</v>
      </c>
      <c r="AI2071" s="1" t="b">
        <v>1</v>
      </c>
    </row>
    <row r="2072" spans="1:35" x14ac:dyDescent="0.25">
      <c r="A2072" s="1">
        <v>6</v>
      </c>
      <c r="B2072" s="1">
        <v>12</v>
      </c>
      <c r="C2072" s="1">
        <v>2019</v>
      </c>
      <c r="G2072" s="1" t="s">
        <v>39</v>
      </c>
      <c r="H2072" s="2">
        <v>30.54</v>
      </c>
      <c r="I2072" s="1">
        <v>61</v>
      </c>
      <c r="U2072" s="1">
        <v>86</v>
      </c>
      <c r="X2072" s="1">
        <v>73</v>
      </c>
      <c r="AA2072" s="1">
        <v>6</v>
      </c>
      <c r="AB2072" s="1">
        <v>5</v>
      </c>
      <c r="AC2072" s="1">
        <v>4730</v>
      </c>
      <c r="AF2072" s="3">
        <v>1.9973804846103471</v>
      </c>
      <c r="AG2072" s="3">
        <v>5.4821071609353149</v>
      </c>
      <c r="AH2072" s="1">
        <v>6257</v>
      </c>
      <c r="AI2072" s="1" t="b">
        <v>1</v>
      </c>
    </row>
    <row r="2073" spans="1:35" x14ac:dyDescent="0.25">
      <c r="A2073" s="1">
        <v>6</v>
      </c>
      <c r="B2073" s="1">
        <v>12</v>
      </c>
      <c r="C2073" s="1">
        <v>2019</v>
      </c>
      <c r="G2073" s="1" t="s">
        <v>39</v>
      </c>
      <c r="H2073" s="2">
        <v>22.44</v>
      </c>
      <c r="I2073" s="1">
        <v>47</v>
      </c>
      <c r="U2073" s="1">
        <v>72</v>
      </c>
      <c r="X2073" s="1">
        <v>62</v>
      </c>
      <c r="AA2073" s="1">
        <v>7</v>
      </c>
      <c r="AB2073" s="1">
        <v>10</v>
      </c>
      <c r="AC2073" s="1">
        <v>2763</v>
      </c>
      <c r="AF2073" s="3">
        <v>2.0944741532976825</v>
      </c>
      <c r="AG2073" s="3">
        <v>4.2134805301875238</v>
      </c>
      <c r="AH2073" s="1">
        <v>6257</v>
      </c>
      <c r="AI2073" s="1" t="b">
        <v>1</v>
      </c>
    </row>
    <row r="2074" spans="1:35" x14ac:dyDescent="0.25">
      <c r="A2074" s="1">
        <v>6</v>
      </c>
      <c r="B2074" s="1">
        <v>12</v>
      </c>
      <c r="C2074" s="1">
        <v>2019</v>
      </c>
      <c r="G2074" s="1" t="s">
        <v>39</v>
      </c>
      <c r="H2074" s="2">
        <v>26.54</v>
      </c>
      <c r="I2074" s="1">
        <v>60</v>
      </c>
      <c r="U2074" s="1">
        <v>83</v>
      </c>
      <c r="X2074" s="1">
        <v>73</v>
      </c>
      <c r="AA2074" s="1">
        <v>6</v>
      </c>
      <c r="AB2074" s="1">
        <v>5</v>
      </c>
      <c r="AC2074" s="1">
        <v>3357</v>
      </c>
      <c r="AF2074" s="3">
        <v>2.2607385079125848</v>
      </c>
      <c r="AG2074" s="3">
        <v>4.390159622545613</v>
      </c>
      <c r="AH2074" s="1">
        <v>6257</v>
      </c>
      <c r="AI2074" s="1" t="b">
        <v>1</v>
      </c>
    </row>
    <row r="2075" spans="1:35" x14ac:dyDescent="0.25">
      <c r="A2075" s="1">
        <v>6</v>
      </c>
      <c r="B2075" s="1">
        <v>12</v>
      </c>
      <c r="C2075" s="1">
        <v>2019</v>
      </c>
      <c r="G2075" s="1" t="s">
        <v>39</v>
      </c>
      <c r="H2075" s="2">
        <v>27.53</v>
      </c>
      <c r="I2075" s="1">
        <v>53</v>
      </c>
      <c r="V2075" s="1">
        <v>87</v>
      </c>
      <c r="X2075" s="1">
        <v>71</v>
      </c>
      <c r="AA2075" s="1">
        <v>11</v>
      </c>
      <c r="AB2075" s="1">
        <v>12</v>
      </c>
      <c r="AC2075" s="1">
        <v>2867</v>
      </c>
      <c r="AF2075" s="3">
        <v>1.9251725390483108</v>
      </c>
      <c r="AG2075" s="3">
        <v>5.2892572469611823</v>
      </c>
      <c r="AH2075" s="1">
        <v>6257</v>
      </c>
      <c r="AI2075" s="1" t="b">
        <v>1</v>
      </c>
    </row>
    <row r="2076" spans="1:35" x14ac:dyDescent="0.25">
      <c r="A2076" s="1">
        <v>6</v>
      </c>
      <c r="B2076" s="1">
        <v>12</v>
      </c>
      <c r="C2076" s="1">
        <v>2019</v>
      </c>
      <c r="G2076" s="1" t="s">
        <v>39</v>
      </c>
      <c r="H2076" s="2">
        <v>20.46</v>
      </c>
      <c r="I2076" s="1">
        <v>37</v>
      </c>
      <c r="U2076" s="1">
        <v>61</v>
      </c>
      <c r="X2076" s="1">
        <v>52</v>
      </c>
      <c r="AA2076" s="1">
        <v>7</v>
      </c>
      <c r="AB2076" s="1">
        <v>7</v>
      </c>
      <c r="AC2076" s="1">
        <v>2560</v>
      </c>
      <c r="AF2076" s="3">
        <v>1.8084066471163245</v>
      </c>
      <c r="AG2076" s="3">
        <v>4.5744390548376241</v>
      </c>
      <c r="AH2076" s="1">
        <v>6257</v>
      </c>
      <c r="AI2076" s="1" t="b">
        <v>1</v>
      </c>
    </row>
    <row r="2077" spans="1:35" x14ac:dyDescent="0.25">
      <c r="A2077" s="1">
        <v>6</v>
      </c>
      <c r="B2077" s="1">
        <v>12</v>
      </c>
      <c r="C2077" s="1">
        <v>2019</v>
      </c>
      <c r="G2077" s="1" t="s">
        <v>39</v>
      </c>
      <c r="H2077" s="2">
        <v>21.71</v>
      </c>
      <c r="I2077" s="1">
        <v>54</v>
      </c>
      <c r="U2077" s="1">
        <v>69</v>
      </c>
      <c r="X2077" s="1">
        <v>62</v>
      </c>
      <c r="AA2077" s="1">
        <v>6</v>
      </c>
      <c r="AB2077" s="1">
        <v>4</v>
      </c>
      <c r="AC2077" s="1">
        <v>2489</v>
      </c>
      <c r="AF2077" s="3">
        <v>2.487333026255182</v>
      </c>
      <c r="AG2077" s="3">
        <v>3.4667932320191563</v>
      </c>
      <c r="AH2077" s="1">
        <v>6257</v>
      </c>
      <c r="AI2077" s="1" t="b">
        <v>1</v>
      </c>
    </row>
    <row r="2078" spans="1:35" x14ac:dyDescent="0.25">
      <c r="A2078" s="1">
        <v>6</v>
      </c>
      <c r="B2078" s="1">
        <v>12</v>
      </c>
      <c r="C2078" s="1">
        <v>2019</v>
      </c>
      <c r="G2078" s="1" t="s">
        <v>39</v>
      </c>
      <c r="H2078" s="2">
        <v>21.08</v>
      </c>
      <c r="I2078" s="1">
        <v>45</v>
      </c>
      <c r="U2078" s="1">
        <v>67</v>
      </c>
      <c r="X2078" s="1">
        <v>59</v>
      </c>
      <c r="AA2078" s="1">
        <v>6</v>
      </c>
      <c r="AB2078" s="1">
        <v>9</v>
      </c>
      <c r="AC2078" s="1">
        <v>2701</v>
      </c>
      <c r="AF2078" s="3">
        <v>2.1347248576850095</v>
      </c>
      <c r="AG2078" s="3">
        <v>3.9570133670486043</v>
      </c>
      <c r="AH2078" s="1">
        <v>6257</v>
      </c>
      <c r="AI2078" s="1" t="b">
        <v>1</v>
      </c>
    </row>
    <row r="2079" spans="1:35" x14ac:dyDescent="0.25">
      <c r="A2079" s="1">
        <v>6</v>
      </c>
      <c r="B2079" s="1">
        <v>12</v>
      </c>
      <c r="C2079" s="1">
        <v>2019</v>
      </c>
      <c r="G2079" s="1" t="s">
        <v>39</v>
      </c>
      <c r="H2079" s="2">
        <v>26.02</v>
      </c>
      <c r="I2079" s="1">
        <v>61</v>
      </c>
      <c r="U2079" s="1">
        <v>82</v>
      </c>
      <c r="X2079" s="1">
        <v>75</v>
      </c>
      <c r="AA2079" s="1">
        <v>6</v>
      </c>
      <c r="AB2079" s="1">
        <v>6</v>
      </c>
      <c r="AC2079" s="1">
        <v>3253</v>
      </c>
      <c r="AF2079" s="3">
        <v>2.3443504996156803</v>
      </c>
      <c r="AG2079" s="3">
        <v>4.1753468807879308</v>
      </c>
      <c r="AH2079" s="1">
        <v>6257</v>
      </c>
      <c r="AI2079" s="1" t="b">
        <v>1</v>
      </c>
    </row>
    <row r="2080" spans="1:35" x14ac:dyDescent="0.25">
      <c r="A2080" s="1">
        <v>10</v>
      </c>
      <c r="B2080" s="1">
        <v>12</v>
      </c>
      <c r="C2080" s="1">
        <v>2019</v>
      </c>
      <c r="G2080" s="1" t="s">
        <v>39</v>
      </c>
      <c r="H2080" s="2">
        <v>29.22</v>
      </c>
      <c r="I2080" s="1">
        <v>64</v>
      </c>
      <c r="U2080" s="1">
        <v>96</v>
      </c>
      <c r="X2080" s="1">
        <v>82</v>
      </c>
      <c r="AA2080" s="1">
        <v>7</v>
      </c>
      <c r="AB2080" s="1">
        <v>7</v>
      </c>
      <c r="AC2080" s="1">
        <v>3683</v>
      </c>
      <c r="AF2080" s="3">
        <v>2.1902806297056809</v>
      </c>
      <c r="AG2080" s="3">
        <v>4.8470375669423396</v>
      </c>
      <c r="AH2080" s="1">
        <v>6258</v>
      </c>
      <c r="AI2080" s="1" t="b">
        <v>1</v>
      </c>
    </row>
    <row r="2081" spans="1:35" x14ac:dyDescent="0.25">
      <c r="A2081" s="1">
        <v>10</v>
      </c>
      <c r="B2081" s="1">
        <v>12</v>
      </c>
      <c r="C2081" s="1">
        <v>2019</v>
      </c>
      <c r="G2081" s="1" t="s">
        <v>39</v>
      </c>
      <c r="H2081" s="2">
        <v>25.52</v>
      </c>
      <c r="I2081" s="1">
        <v>52</v>
      </c>
      <c r="U2081" s="1">
        <v>85</v>
      </c>
      <c r="X2081" s="1">
        <v>72</v>
      </c>
      <c r="AA2081" s="1">
        <v>8</v>
      </c>
      <c r="AB2081" s="1">
        <v>11</v>
      </c>
      <c r="AC2081" s="1">
        <v>3318</v>
      </c>
      <c r="AF2081" s="3">
        <v>2.0376175548589344</v>
      </c>
      <c r="AG2081" s="3">
        <v>4.7390773308904413</v>
      </c>
      <c r="AH2081" s="1">
        <v>6258</v>
      </c>
      <c r="AI2081" s="1" t="b">
        <v>1</v>
      </c>
    </row>
    <row r="2082" spans="1:35" x14ac:dyDescent="0.25">
      <c r="A2082" s="1">
        <v>10</v>
      </c>
      <c r="B2082" s="1">
        <v>12</v>
      </c>
      <c r="C2082" s="1">
        <v>2019</v>
      </c>
      <c r="G2082" s="1" t="s">
        <v>39</v>
      </c>
      <c r="H2082" s="2">
        <v>27.67</v>
      </c>
      <c r="I2082" s="1">
        <v>60</v>
      </c>
      <c r="V2082" s="1">
        <v>84</v>
      </c>
      <c r="X2082" s="1">
        <v>76</v>
      </c>
      <c r="AA2082" s="1">
        <v>9</v>
      </c>
      <c r="AB2082" s="1">
        <v>11</v>
      </c>
      <c r="AC2082" s="1">
        <v>3371</v>
      </c>
      <c r="AF2082" s="3">
        <v>2.1684134441633538</v>
      </c>
      <c r="AG2082" s="3">
        <v>4.7126405969984875</v>
      </c>
      <c r="AH2082" s="1">
        <v>6258</v>
      </c>
      <c r="AI2082" s="1" t="b">
        <v>1</v>
      </c>
    </row>
    <row r="2083" spans="1:35" x14ac:dyDescent="0.25">
      <c r="A2083" s="1">
        <v>10</v>
      </c>
      <c r="B2083" s="1">
        <v>12</v>
      </c>
      <c r="C2083" s="1">
        <v>2019</v>
      </c>
      <c r="G2083" s="1" t="s">
        <v>39</v>
      </c>
      <c r="H2083" s="2">
        <v>23.93</v>
      </c>
      <c r="I2083" s="1">
        <v>55</v>
      </c>
      <c r="U2083" s="1">
        <v>85</v>
      </c>
      <c r="X2083" s="1">
        <v>72</v>
      </c>
      <c r="AA2083" s="1">
        <v>8</v>
      </c>
      <c r="AB2083" s="1">
        <v>7</v>
      </c>
      <c r="AC2083" s="1">
        <v>2835</v>
      </c>
      <c r="AF2083" s="3">
        <v>2.2983702465524445</v>
      </c>
      <c r="AG2083" s="3">
        <v>4.0164271871392163</v>
      </c>
      <c r="AH2083" s="1">
        <v>6258</v>
      </c>
      <c r="AI2083" s="1" t="b">
        <v>1</v>
      </c>
    </row>
    <row r="2084" spans="1:35" x14ac:dyDescent="0.25">
      <c r="A2084" s="1">
        <v>10</v>
      </c>
      <c r="B2084" s="1">
        <v>12</v>
      </c>
      <c r="C2084" s="1">
        <v>2019</v>
      </c>
      <c r="G2084" s="1" t="s">
        <v>39</v>
      </c>
      <c r="H2084" s="2">
        <v>26.78</v>
      </c>
      <c r="I2084" s="1">
        <v>64</v>
      </c>
      <c r="U2084" s="1">
        <v>98</v>
      </c>
      <c r="X2084" s="1">
        <v>81</v>
      </c>
      <c r="AA2084" s="1">
        <v>9</v>
      </c>
      <c r="AB2084" s="1">
        <v>8</v>
      </c>
      <c r="AC2084" s="1">
        <v>3063</v>
      </c>
      <c r="AF2084" s="3">
        <v>2.3898431665421955</v>
      </c>
      <c r="AG2084" s="3">
        <v>4.1792466168436206</v>
      </c>
      <c r="AH2084" s="1">
        <v>6258</v>
      </c>
      <c r="AI2084" s="1" t="b">
        <v>1</v>
      </c>
    </row>
    <row r="2085" spans="1:35" x14ac:dyDescent="0.25">
      <c r="A2085" s="1">
        <v>10</v>
      </c>
      <c r="B2085" s="1">
        <v>12</v>
      </c>
      <c r="C2085" s="1">
        <v>2019</v>
      </c>
      <c r="G2085" s="1" t="s">
        <v>39</v>
      </c>
      <c r="H2085" s="2">
        <v>27.37</v>
      </c>
      <c r="I2085" s="1">
        <v>70</v>
      </c>
      <c r="U2085" s="1">
        <v>106</v>
      </c>
      <c r="X2085" s="1">
        <v>93</v>
      </c>
      <c r="AA2085" s="1">
        <v>8</v>
      </c>
      <c r="AB2085" s="1">
        <v>8</v>
      </c>
      <c r="AC2085" s="1">
        <v>3404</v>
      </c>
      <c r="AF2085" s="3">
        <v>2.5575447570332481</v>
      </c>
      <c r="AG2085" s="3">
        <v>3.9652366860551198</v>
      </c>
      <c r="AH2085" s="1">
        <v>6258</v>
      </c>
      <c r="AI2085" s="1" t="b">
        <v>1</v>
      </c>
    </row>
    <row r="2086" spans="1:35" x14ac:dyDescent="0.25">
      <c r="A2086" s="1">
        <v>10</v>
      </c>
      <c r="B2086" s="1">
        <v>12</v>
      </c>
      <c r="C2086" s="1">
        <v>2019</v>
      </c>
      <c r="G2086" s="1" t="s">
        <v>39</v>
      </c>
      <c r="H2086" s="2">
        <v>22.34</v>
      </c>
      <c r="I2086" s="1">
        <v>50</v>
      </c>
      <c r="U2086" s="1">
        <v>70</v>
      </c>
      <c r="X2086" s="1">
        <v>61</v>
      </c>
      <c r="AA2086" s="1">
        <v>6</v>
      </c>
      <c r="AB2086" s="1">
        <v>7</v>
      </c>
      <c r="AC2086" s="1">
        <v>2966</v>
      </c>
      <c r="AF2086" s="3">
        <v>2.2381378692927485</v>
      </c>
      <c r="AG2086" s="3">
        <v>3.9307134300184674</v>
      </c>
      <c r="AH2086" s="1">
        <v>6258</v>
      </c>
      <c r="AI2086" s="1" t="b">
        <v>1</v>
      </c>
    </row>
    <row r="2087" spans="1:35" x14ac:dyDescent="0.25">
      <c r="A2087" s="1">
        <v>10</v>
      </c>
      <c r="B2087" s="1">
        <v>12</v>
      </c>
      <c r="C2087" s="1">
        <v>2019</v>
      </c>
      <c r="G2087" s="1" t="s">
        <v>39</v>
      </c>
      <c r="H2087" s="2">
        <v>23.5</v>
      </c>
      <c r="I2087" s="1">
        <v>58</v>
      </c>
      <c r="U2087" s="1">
        <v>89</v>
      </c>
      <c r="X2087" s="1">
        <v>75</v>
      </c>
      <c r="AA2087" s="1">
        <v>7</v>
      </c>
      <c r="AB2087" s="1">
        <v>9</v>
      </c>
      <c r="AC2087" s="1">
        <v>2873</v>
      </c>
      <c r="AF2087" s="3">
        <v>2.4680851063829787</v>
      </c>
      <c r="AG2087" s="3">
        <v>3.6930685779418435</v>
      </c>
      <c r="AH2087" s="1">
        <v>6258</v>
      </c>
      <c r="AI2087" s="1" t="b">
        <v>1</v>
      </c>
    </row>
    <row r="2088" spans="1:35" x14ac:dyDescent="0.25">
      <c r="A2088" s="1">
        <v>10</v>
      </c>
      <c r="B2088" s="1">
        <v>12</v>
      </c>
      <c r="C2088" s="1">
        <v>2019</v>
      </c>
      <c r="G2088" s="1" t="s">
        <v>39</v>
      </c>
      <c r="H2088" s="2">
        <v>29.84</v>
      </c>
      <c r="I2088" s="1">
        <v>75</v>
      </c>
      <c r="U2088" s="1">
        <v>110</v>
      </c>
      <c r="X2088" s="1">
        <v>98</v>
      </c>
      <c r="AA2088" s="1">
        <v>11</v>
      </c>
      <c r="AB2088" s="1">
        <v>5</v>
      </c>
      <c r="AC2088" s="1">
        <v>4140</v>
      </c>
      <c r="AF2088" s="3">
        <v>2.5134048257372656</v>
      </c>
      <c r="AG2088" s="3">
        <v>4.286439798234003</v>
      </c>
      <c r="AH2088" s="1">
        <v>6258</v>
      </c>
      <c r="AI2088" s="1" t="b">
        <v>1</v>
      </c>
    </row>
    <row r="2089" spans="1:35" x14ac:dyDescent="0.25">
      <c r="A2089" s="1">
        <v>10</v>
      </c>
      <c r="B2089" s="1">
        <v>12</v>
      </c>
      <c r="C2089" s="1">
        <v>2019</v>
      </c>
      <c r="G2089" s="1" t="s">
        <v>39</v>
      </c>
      <c r="H2089" s="2">
        <v>30.8</v>
      </c>
      <c r="I2089" s="1">
        <v>81</v>
      </c>
      <c r="U2089" s="1">
        <v>125</v>
      </c>
      <c r="X2089" s="1">
        <v>109</v>
      </c>
      <c r="AA2089" s="1">
        <v>10</v>
      </c>
      <c r="AB2089" s="1">
        <v>11</v>
      </c>
      <c r="AC2089" s="1">
        <v>4190</v>
      </c>
      <c r="AF2089" s="3">
        <v>2.6298701298701297</v>
      </c>
      <c r="AG2089" s="3">
        <v>4.1884293979030538</v>
      </c>
      <c r="AH2089" s="1">
        <v>6258</v>
      </c>
      <c r="AI2089" s="1" t="b">
        <v>1</v>
      </c>
    </row>
    <row r="2090" spans="1:35" x14ac:dyDescent="0.25">
      <c r="A2090" s="1">
        <v>10</v>
      </c>
      <c r="B2090" s="1">
        <v>12</v>
      </c>
      <c r="C2090" s="1">
        <v>2019</v>
      </c>
      <c r="G2090" s="1" t="s">
        <v>39</v>
      </c>
      <c r="H2090" s="2">
        <v>27.74</v>
      </c>
      <c r="I2090" s="1">
        <v>60</v>
      </c>
      <c r="U2090" s="1">
        <v>87</v>
      </c>
      <c r="X2090" s="1">
        <v>76</v>
      </c>
      <c r="AA2090" s="1">
        <v>8</v>
      </c>
      <c r="AB2090" s="1">
        <v>4</v>
      </c>
      <c r="AC2090" s="1">
        <v>3371</v>
      </c>
      <c r="AF2090" s="3">
        <v>2.1629416005767848</v>
      </c>
      <c r="AG2090" s="3">
        <v>4.7329261286752278</v>
      </c>
      <c r="AH2090" s="1">
        <v>6258</v>
      </c>
      <c r="AI2090" s="1" t="b">
        <v>1</v>
      </c>
    </row>
    <row r="2091" spans="1:35" x14ac:dyDescent="0.25">
      <c r="A2091" s="1">
        <v>10</v>
      </c>
      <c r="B2091" s="1">
        <v>12</v>
      </c>
      <c r="C2091" s="1">
        <v>2019</v>
      </c>
      <c r="G2091" s="1" t="s">
        <v>39</v>
      </c>
      <c r="H2091" s="2">
        <v>26</v>
      </c>
      <c r="I2091" s="1">
        <v>74</v>
      </c>
      <c r="U2091" s="1">
        <v>99</v>
      </c>
      <c r="X2091" s="1">
        <v>87</v>
      </c>
      <c r="AA2091" s="1">
        <v>6</v>
      </c>
      <c r="AB2091" s="1">
        <v>9</v>
      </c>
      <c r="AC2091" s="1">
        <v>3403</v>
      </c>
      <c r="AF2091" s="3">
        <v>2.8461538461538463</v>
      </c>
      <c r="AG2091" s="3">
        <v>3.4373437981853852</v>
      </c>
      <c r="AH2091" s="1">
        <v>6258</v>
      </c>
      <c r="AI2091" s="1" t="b">
        <v>1</v>
      </c>
    </row>
    <row r="2092" spans="1:35" x14ac:dyDescent="0.25">
      <c r="A2092" s="1">
        <v>10</v>
      </c>
      <c r="B2092" s="1">
        <v>12</v>
      </c>
      <c r="C2092" s="1">
        <v>2019</v>
      </c>
      <c r="G2092" s="1" t="s">
        <v>39</v>
      </c>
      <c r="H2092" s="2">
        <v>25.71</v>
      </c>
      <c r="I2092" s="1">
        <v>63</v>
      </c>
      <c r="U2092" s="1">
        <v>84</v>
      </c>
      <c r="X2092" s="1">
        <v>76</v>
      </c>
      <c r="AA2092" s="1">
        <v>7</v>
      </c>
      <c r="AB2092" s="1">
        <v>8</v>
      </c>
      <c r="AC2092" s="1">
        <v>3281</v>
      </c>
      <c r="AF2092" s="3">
        <v>2.4504084014002334</v>
      </c>
      <c r="AG2092" s="3">
        <v>3.9612566460233851</v>
      </c>
      <c r="AH2092" s="1">
        <v>6258</v>
      </c>
      <c r="AI2092" s="1" t="b">
        <v>1</v>
      </c>
    </row>
    <row r="2093" spans="1:35" x14ac:dyDescent="0.25">
      <c r="A2093" s="1">
        <v>10</v>
      </c>
      <c r="B2093" s="1">
        <v>12</v>
      </c>
      <c r="C2093" s="1">
        <v>2019</v>
      </c>
      <c r="G2093" s="1" t="s">
        <v>39</v>
      </c>
      <c r="H2093" s="2">
        <v>29.42</v>
      </c>
      <c r="I2093" s="1">
        <v>79</v>
      </c>
      <c r="U2093" s="1">
        <v>101</v>
      </c>
      <c r="X2093" s="1">
        <v>88</v>
      </c>
      <c r="AA2093" s="1">
        <v>5</v>
      </c>
      <c r="AB2093" s="1">
        <v>5</v>
      </c>
      <c r="AC2093" s="1">
        <v>4152</v>
      </c>
      <c r="AF2093" s="3">
        <v>2.6852481305234535</v>
      </c>
      <c r="AG2093" s="3">
        <v>3.9725140781630874</v>
      </c>
      <c r="AH2093" s="1">
        <v>6258</v>
      </c>
      <c r="AI2093" s="1" t="b">
        <v>1</v>
      </c>
    </row>
    <row r="2094" spans="1:35" x14ac:dyDescent="0.25">
      <c r="A2094" s="1">
        <v>10</v>
      </c>
      <c r="B2094" s="1">
        <v>12</v>
      </c>
      <c r="C2094" s="1">
        <v>2019</v>
      </c>
      <c r="G2094" s="1" t="s">
        <v>39</v>
      </c>
      <c r="H2094" s="2">
        <v>23.6</v>
      </c>
      <c r="I2094" s="1">
        <v>51</v>
      </c>
      <c r="U2094" s="1">
        <v>87</v>
      </c>
      <c r="X2094" s="1">
        <v>73</v>
      </c>
      <c r="AA2094" s="1">
        <v>9</v>
      </c>
      <c r="AB2094" s="1">
        <v>15</v>
      </c>
      <c r="AC2094" s="1">
        <v>3241</v>
      </c>
      <c r="AF2094" s="3">
        <v>2.1610169491525424</v>
      </c>
      <c r="AG2094" s="3">
        <v>4.2303882669771582</v>
      </c>
      <c r="AH2094" s="1">
        <v>6258</v>
      </c>
      <c r="AI2094" s="1" t="b">
        <v>1</v>
      </c>
    </row>
    <row r="2095" spans="1:35" x14ac:dyDescent="0.25">
      <c r="A2095" s="1">
        <v>10</v>
      </c>
      <c r="B2095" s="1">
        <v>12</v>
      </c>
      <c r="C2095" s="1">
        <v>2019</v>
      </c>
      <c r="G2095" s="1" t="s">
        <v>39</v>
      </c>
      <c r="H2095" s="2">
        <v>29.05</v>
      </c>
      <c r="I2095" s="1">
        <v>66</v>
      </c>
      <c r="U2095" s="1">
        <v>110</v>
      </c>
      <c r="X2095" s="1">
        <v>97</v>
      </c>
      <c r="AA2095" s="1">
        <v>10</v>
      </c>
      <c r="AB2095" s="1">
        <v>11</v>
      </c>
      <c r="AC2095" s="1">
        <v>3935</v>
      </c>
      <c r="AF2095" s="3">
        <v>2.2719449225473323</v>
      </c>
      <c r="AG2095" s="3">
        <v>4.6537655127209208</v>
      </c>
      <c r="AH2095" s="1">
        <v>6258</v>
      </c>
      <c r="AI2095" s="1" t="b">
        <v>1</v>
      </c>
    </row>
    <row r="2096" spans="1:35" x14ac:dyDescent="0.25">
      <c r="A2096" s="1">
        <v>10</v>
      </c>
      <c r="B2096" s="1">
        <v>12</v>
      </c>
      <c r="C2096" s="1">
        <v>2019</v>
      </c>
      <c r="G2096" s="1" t="s">
        <v>39</v>
      </c>
      <c r="H2096" s="2">
        <v>23.87</v>
      </c>
      <c r="I2096" s="1">
        <v>62</v>
      </c>
      <c r="U2096" s="1">
        <v>93</v>
      </c>
      <c r="X2096" s="1">
        <v>80</v>
      </c>
      <c r="AA2096" s="1">
        <v>6</v>
      </c>
      <c r="AB2096" s="1">
        <v>8</v>
      </c>
      <c r="AC2096" s="1">
        <v>3135</v>
      </c>
      <c r="AF2096" s="3">
        <v>2.5974025974025974</v>
      </c>
      <c r="AG2096" s="3">
        <v>3.5477860588708787</v>
      </c>
      <c r="AH2096" s="1">
        <v>6258</v>
      </c>
      <c r="AI2096" s="1" t="b">
        <v>1</v>
      </c>
    </row>
    <row r="2097" spans="1:35" x14ac:dyDescent="0.25">
      <c r="A2097" s="1">
        <v>11</v>
      </c>
      <c r="B2097" s="1">
        <v>12</v>
      </c>
      <c r="C2097" s="1">
        <v>2019</v>
      </c>
      <c r="G2097" s="1" t="s">
        <v>39</v>
      </c>
      <c r="H2097" s="2">
        <v>28.03</v>
      </c>
      <c r="I2097" s="1">
        <v>68</v>
      </c>
      <c r="U2097" s="1">
        <v>98</v>
      </c>
      <c r="X2097" s="1">
        <v>84</v>
      </c>
      <c r="AA2097" s="1">
        <v>8</v>
      </c>
      <c r="AB2097" s="1">
        <v>11</v>
      </c>
      <c r="AC2097" s="1">
        <v>3157</v>
      </c>
      <c r="AF2097" s="3">
        <v>2.4259721726721368</v>
      </c>
      <c r="AG2097" s="3">
        <v>4.2506011314326129</v>
      </c>
      <c r="AH2097" s="1">
        <v>6258</v>
      </c>
      <c r="AI2097" s="1" t="b">
        <v>1</v>
      </c>
    </row>
    <row r="2098" spans="1:35" x14ac:dyDescent="0.25">
      <c r="A2098" s="1">
        <v>11</v>
      </c>
      <c r="B2098" s="1">
        <v>12</v>
      </c>
      <c r="C2098" s="1">
        <v>2019</v>
      </c>
      <c r="G2098" s="1" t="s">
        <v>39</v>
      </c>
      <c r="H2098" s="2">
        <v>23.38</v>
      </c>
      <c r="I2098" s="1">
        <v>51</v>
      </c>
      <c r="U2098" s="1">
        <v>85</v>
      </c>
      <c r="X2098" s="1">
        <v>73</v>
      </c>
      <c r="AA2098" s="1">
        <v>10</v>
      </c>
      <c r="AB2098" s="1">
        <v>11</v>
      </c>
      <c r="AC2098" s="1">
        <v>2861</v>
      </c>
      <c r="AF2098" s="3">
        <v>2.1813515825491874</v>
      </c>
      <c r="AG2098" s="3">
        <v>4.163566307831978</v>
      </c>
      <c r="AH2098" s="1">
        <v>6258</v>
      </c>
      <c r="AI2098" s="1" t="b">
        <v>1</v>
      </c>
    </row>
    <row r="2099" spans="1:35" x14ac:dyDescent="0.25">
      <c r="A2099" s="1">
        <v>11</v>
      </c>
      <c r="B2099" s="1">
        <v>12</v>
      </c>
      <c r="C2099" s="1">
        <v>2019</v>
      </c>
      <c r="G2099" s="1" t="s">
        <v>39</v>
      </c>
      <c r="H2099" s="2">
        <v>25.3</v>
      </c>
      <c r="I2099" s="1">
        <v>62</v>
      </c>
      <c r="U2099" s="1">
        <v>105</v>
      </c>
      <c r="X2099" s="1">
        <v>89</v>
      </c>
      <c r="AA2099" s="1">
        <v>9</v>
      </c>
      <c r="AB2099" s="1">
        <v>10</v>
      </c>
      <c r="AC2099" s="1">
        <v>3483</v>
      </c>
      <c r="AF2099" s="3">
        <v>2.4505928853754941</v>
      </c>
      <c r="AG2099" s="3">
        <v>3.9166358652584958</v>
      </c>
      <c r="AH2099" s="1">
        <v>6258</v>
      </c>
      <c r="AI2099" s="1" t="b">
        <v>1</v>
      </c>
    </row>
    <row r="2100" spans="1:35" x14ac:dyDescent="0.25">
      <c r="A2100" s="1">
        <v>11</v>
      </c>
      <c r="B2100" s="1">
        <v>12</v>
      </c>
      <c r="C2100" s="1">
        <v>2019</v>
      </c>
      <c r="G2100" s="1" t="s">
        <v>39</v>
      </c>
      <c r="H2100" s="2">
        <v>24.85</v>
      </c>
      <c r="I2100" s="1">
        <v>64</v>
      </c>
      <c r="U2100" s="1">
        <v>98</v>
      </c>
      <c r="X2100" s="1">
        <v>86</v>
      </c>
      <c r="AA2100" s="1">
        <v>9</v>
      </c>
      <c r="AB2100" s="1">
        <v>7</v>
      </c>
      <c r="AC2100" s="1">
        <v>3445</v>
      </c>
      <c r="AF2100" s="3">
        <v>2.5754527162977867</v>
      </c>
      <c r="AG2100" s="3">
        <v>3.6802294322694227</v>
      </c>
      <c r="AH2100" s="1">
        <v>6258</v>
      </c>
      <c r="AI2100" s="1" t="b">
        <v>1</v>
      </c>
    </row>
    <row r="2101" spans="1:35" x14ac:dyDescent="0.25">
      <c r="A2101" s="1">
        <v>11</v>
      </c>
      <c r="B2101" s="1">
        <v>12</v>
      </c>
      <c r="C2101" s="1">
        <v>2019</v>
      </c>
      <c r="G2101" s="1" t="s">
        <v>39</v>
      </c>
      <c r="H2101" s="2">
        <v>20.07</v>
      </c>
      <c r="I2101" s="1">
        <v>52</v>
      </c>
      <c r="U2101" s="1">
        <v>75</v>
      </c>
      <c r="X2101" s="1">
        <v>67</v>
      </c>
      <c r="AA2101" s="1">
        <v>8</v>
      </c>
      <c r="AB2101" s="1">
        <v>10</v>
      </c>
      <c r="AC2101" s="1">
        <v>2601</v>
      </c>
      <c r="AF2101" s="3">
        <v>2.5909317389138016</v>
      </c>
      <c r="AG2101" s="3">
        <v>3.1501206641794357</v>
      </c>
      <c r="AH2101" s="1">
        <v>6258</v>
      </c>
      <c r="AI2101" s="1" t="b">
        <v>1</v>
      </c>
    </row>
    <row r="2102" spans="1:35" x14ac:dyDescent="0.25">
      <c r="A2102" s="1">
        <v>11</v>
      </c>
      <c r="B2102" s="1">
        <v>12</v>
      </c>
      <c r="C2102" s="1">
        <v>2019</v>
      </c>
      <c r="G2102" s="1" t="s">
        <v>39</v>
      </c>
      <c r="H2102" s="2">
        <v>26.51</v>
      </c>
      <c r="I2102" s="1">
        <v>73</v>
      </c>
      <c r="U2102" s="1">
        <v>104</v>
      </c>
      <c r="X2102" s="1">
        <v>90</v>
      </c>
      <c r="AA2102" s="1">
        <v>9</v>
      </c>
      <c r="AB2102" s="1">
        <v>7</v>
      </c>
      <c r="AC2102" s="1">
        <v>3509</v>
      </c>
      <c r="AF2102" s="3">
        <v>2.7536778574122969</v>
      </c>
      <c r="AG2102" s="3">
        <v>3.6014192121154429</v>
      </c>
      <c r="AH2102" s="1">
        <v>6258</v>
      </c>
      <c r="AI2102" s="1" t="b">
        <v>1</v>
      </c>
    </row>
    <row r="2103" spans="1:35" x14ac:dyDescent="0.25">
      <c r="A2103" s="1">
        <v>11</v>
      </c>
      <c r="B2103" s="1">
        <v>12</v>
      </c>
      <c r="C2103" s="1">
        <v>2019</v>
      </c>
      <c r="G2103" s="1" t="s">
        <v>39</v>
      </c>
      <c r="H2103" s="2">
        <v>26.07</v>
      </c>
      <c r="I2103" s="1">
        <v>55</v>
      </c>
      <c r="U2103" s="1">
        <v>80</v>
      </c>
      <c r="X2103" s="1">
        <v>74</v>
      </c>
      <c r="AA2103" s="1">
        <v>9</v>
      </c>
      <c r="AB2103" s="1">
        <v>7</v>
      </c>
      <c r="AC2103" s="1">
        <v>3937</v>
      </c>
      <c r="AF2103" s="3">
        <v>2.109704641350211</v>
      </c>
      <c r="AG2103" s="3">
        <v>4.6459770856430698</v>
      </c>
      <c r="AH2103" s="1">
        <v>6258</v>
      </c>
      <c r="AI2103" s="1" t="b">
        <v>1</v>
      </c>
    </row>
    <row r="2104" spans="1:35" x14ac:dyDescent="0.25">
      <c r="A2104" s="1">
        <v>11</v>
      </c>
      <c r="B2104" s="1">
        <v>12</v>
      </c>
      <c r="C2104" s="1">
        <v>2019</v>
      </c>
      <c r="G2104" s="1" t="s">
        <v>39</v>
      </c>
      <c r="H2104" s="2">
        <v>23.58</v>
      </c>
      <c r="I2104" s="1">
        <v>58</v>
      </c>
      <c r="U2104" s="1">
        <v>82</v>
      </c>
      <c r="X2104" s="1">
        <v>73</v>
      </c>
      <c r="AA2104" s="1">
        <v>7</v>
      </c>
      <c r="AB2104" s="1">
        <v>8</v>
      </c>
      <c r="AC2104" s="1">
        <v>3225</v>
      </c>
      <c r="AF2104" s="3">
        <v>2.4597116200169635</v>
      </c>
      <c r="AG2104" s="3">
        <v>3.7144666867658565</v>
      </c>
      <c r="AH2104" s="1">
        <v>6258</v>
      </c>
      <c r="AI2104" s="1" t="b">
        <v>1</v>
      </c>
    </row>
    <row r="2105" spans="1:35" x14ac:dyDescent="0.25">
      <c r="A2105" s="1">
        <v>12</v>
      </c>
      <c r="B2105" s="1">
        <v>12</v>
      </c>
      <c r="C2105" s="1">
        <v>2019</v>
      </c>
      <c r="G2105" s="1" t="s">
        <v>39</v>
      </c>
      <c r="H2105" s="2">
        <v>27.02</v>
      </c>
      <c r="I2105" s="1">
        <v>69</v>
      </c>
      <c r="U2105" s="1">
        <v>97</v>
      </c>
      <c r="X2105" s="1">
        <v>86</v>
      </c>
      <c r="AA2105" s="1">
        <v>7</v>
      </c>
      <c r="AB2105" s="1">
        <v>12</v>
      </c>
      <c r="AC2105" s="1">
        <v>3667</v>
      </c>
      <c r="AF2105" s="3">
        <v>2.5536639526276832</v>
      </c>
      <c r="AG2105" s="3">
        <v>3.9356457031986598</v>
      </c>
      <c r="AH2105" s="1">
        <v>6258</v>
      </c>
      <c r="AI2105" s="1" t="b">
        <v>1</v>
      </c>
    </row>
    <row r="2106" spans="1:35" x14ac:dyDescent="0.25">
      <c r="A2106" s="1">
        <v>12</v>
      </c>
      <c r="B2106" s="1">
        <v>12</v>
      </c>
      <c r="C2106" s="1">
        <v>2019</v>
      </c>
      <c r="G2106" s="1" t="s">
        <v>39</v>
      </c>
      <c r="H2106" s="2">
        <v>28.74</v>
      </c>
      <c r="I2106" s="1">
        <v>58</v>
      </c>
      <c r="U2106" s="1">
        <v>110</v>
      </c>
      <c r="X2106" s="1">
        <v>90</v>
      </c>
      <c r="AA2106" s="1">
        <v>10</v>
      </c>
      <c r="AB2106" s="1">
        <v>16</v>
      </c>
      <c r="AC2106" s="1">
        <v>3864</v>
      </c>
      <c r="AF2106" s="3">
        <v>2.0180932498260264</v>
      </c>
      <c r="AG2106" s="3">
        <v>5.1999540372611364</v>
      </c>
      <c r="AH2106" s="1">
        <v>6258</v>
      </c>
      <c r="AI2106" s="1" t="b">
        <v>1</v>
      </c>
    </row>
    <row r="2107" spans="1:35" x14ac:dyDescent="0.25">
      <c r="A2107" s="1">
        <v>12</v>
      </c>
      <c r="B2107" s="1">
        <v>12</v>
      </c>
      <c r="C2107" s="1">
        <v>2019</v>
      </c>
      <c r="G2107" s="1" t="s">
        <v>39</v>
      </c>
      <c r="H2107" s="2">
        <v>24.96</v>
      </c>
      <c r="I2107" s="1">
        <v>51</v>
      </c>
      <c r="U2107" s="1">
        <v>69</v>
      </c>
      <c r="X2107" s="1">
        <v>63</v>
      </c>
      <c r="AA2107" s="1">
        <v>6</v>
      </c>
      <c r="AB2107" s="1">
        <v>6</v>
      </c>
      <c r="AC2107" s="1">
        <v>3062</v>
      </c>
      <c r="AF2107" s="3">
        <v>2.0432692307692308</v>
      </c>
      <c r="AG2107" s="3">
        <v>4.6531345590991062</v>
      </c>
      <c r="AH2107" s="1">
        <v>6258</v>
      </c>
      <c r="AI2107" s="1" t="b">
        <v>1</v>
      </c>
    </row>
    <row r="2108" spans="1:35" x14ac:dyDescent="0.25">
      <c r="A2108" s="1">
        <v>12</v>
      </c>
      <c r="B2108" s="1">
        <v>12</v>
      </c>
      <c r="C2108" s="1">
        <v>2019</v>
      </c>
      <c r="G2108" s="1" t="s">
        <v>39</v>
      </c>
      <c r="H2108" s="2">
        <v>26.83</v>
      </c>
      <c r="I2108" s="1">
        <v>78</v>
      </c>
      <c r="U2108" s="1">
        <v>107</v>
      </c>
      <c r="X2108" s="1">
        <v>97</v>
      </c>
      <c r="AA2108" s="1">
        <v>8</v>
      </c>
      <c r="AB2108" s="1">
        <v>6</v>
      </c>
      <c r="AC2108" s="1">
        <v>3596</v>
      </c>
      <c r="AF2108" s="3">
        <v>2.9071934401789044</v>
      </c>
      <c r="AG2108" s="3">
        <v>3.4400166202931892</v>
      </c>
      <c r="AH2108" s="1">
        <v>6258</v>
      </c>
      <c r="AI2108" s="1" t="b">
        <v>1</v>
      </c>
    </row>
    <row r="2109" spans="1:35" x14ac:dyDescent="0.25">
      <c r="A2109" s="1">
        <v>12</v>
      </c>
      <c r="B2109" s="1">
        <v>12</v>
      </c>
      <c r="C2109" s="1">
        <v>2019</v>
      </c>
      <c r="G2109" s="1" t="s">
        <v>39</v>
      </c>
      <c r="H2109" s="2">
        <v>26.6</v>
      </c>
      <c r="I2109" s="1">
        <v>68</v>
      </c>
      <c r="U2109" s="1">
        <v>103</v>
      </c>
      <c r="X2109" s="1">
        <v>87</v>
      </c>
      <c r="AA2109" s="1">
        <v>8</v>
      </c>
      <c r="AB2109" s="1">
        <v>6</v>
      </c>
      <c r="AC2109" s="1">
        <v>3595</v>
      </c>
      <c r="AF2109" s="3">
        <v>2.5563909774436091</v>
      </c>
      <c r="AG2109" s="3">
        <v>3.8885695367620468</v>
      </c>
      <c r="AH2109" s="1">
        <v>6258</v>
      </c>
      <c r="AI2109" s="1" t="b">
        <v>1</v>
      </c>
    </row>
    <row r="2110" spans="1:35" x14ac:dyDescent="0.25">
      <c r="A2110" s="1">
        <v>12</v>
      </c>
      <c r="B2110" s="1">
        <v>12</v>
      </c>
      <c r="C2110" s="1">
        <v>2019</v>
      </c>
      <c r="G2110" s="1" t="s">
        <v>39</v>
      </c>
      <c r="H2110" s="2">
        <v>21.23</v>
      </c>
      <c r="I2110" s="1">
        <v>40</v>
      </c>
      <c r="U2110" s="1">
        <v>68</v>
      </c>
      <c r="X2110" s="1">
        <v>58</v>
      </c>
      <c r="AA2110" s="1">
        <v>7</v>
      </c>
      <c r="AB2110" s="1">
        <v>12</v>
      </c>
      <c r="AC2110" s="1">
        <v>2662</v>
      </c>
      <c r="AF2110" s="3">
        <v>1.8841262364578426</v>
      </c>
      <c r="AG2110" s="3">
        <v>4.505624542341784</v>
      </c>
      <c r="AH2110" s="1">
        <v>6258</v>
      </c>
      <c r="AI2110" s="1" t="b">
        <v>1</v>
      </c>
    </row>
    <row r="2111" spans="1:35" x14ac:dyDescent="0.25">
      <c r="A2111" s="1">
        <v>12</v>
      </c>
      <c r="B2111" s="1">
        <v>12</v>
      </c>
      <c r="C2111" s="1">
        <v>2019</v>
      </c>
      <c r="G2111" s="1" t="s">
        <v>39</v>
      </c>
      <c r="H2111" s="2">
        <v>25.44</v>
      </c>
      <c r="I2111" s="1">
        <v>64</v>
      </c>
      <c r="U2111" s="1">
        <v>87</v>
      </c>
      <c r="X2111" s="1">
        <v>79</v>
      </c>
      <c r="AA2111" s="1">
        <v>5</v>
      </c>
      <c r="AB2111" s="1">
        <v>7</v>
      </c>
      <c r="AC2111" s="1">
        <v>3728</v>
      </c>
      <c r="AF2111" s="3">
        <v>2.5157232704402515</v>
      </c>
      <c r="AG2111" s="3">
        <v>3.8300029446967847</v>
      </c>
      <c r="AH2111" s="1">
        <v>6258</v>
      </c>
      <c r="AI2111" s="1" t="b">
        <v>1</v>
      </c>
    </row>
    <row r="2112" spans="1:35" x14ac:dyDescent="0.25">
      <c r="A2112" s="1">
        <v>12</v>
      </c>
      <c r="B2112" s="1">
        <v>12</v>
      </c>
      <c r="C2112" s="1">
        <v>2019</v>
      </c>
      <c r="G2112" s="1" t="s">
        <v>39</v>
      </c>
      <c r="H2112" s="2">
        <v>25.19</v>
      </c>
      <c r="I2112" s="1">
        <v>72</v>
      </c>
      <c r="U2112" s="1">
        <v>86</v>
      </c>
      <c r="X2112" s="1">
        <v>80</v>
      </c>
      <c r="AA2112" s="1">
        <v>6</v>
      </c>
      <c r="AB2112" s="1">
        <v>7</v>
      </c>
      <c r="AC2112" s="1">
        <v>3681</v>
      </c>
      <c r="AF2112" s="3">
        <v>2.8582770940849542</v>
      </c>
      <c r="AG2112" s="3">
        <v>3.3477682660771544</v>
      </c>
      <c r="AH2112" s="1">
        <v>6258</v>
      </c>
      <c r="AI2112" s="1" t="b">
        <v>1</v>
      </c>
    </row>
    <row r="2113" spans="1:35" x14ac:dyDescent="0.25">
      <c r="A2113" s="1">
        <v>12</v>
      </c>
      <c r="B2113" s="1">
        <v>12</v>
      </c>
      <c r="C2113" s="1">
        <v>2019</v>
      </c>
      <c r="G2113" s="1" t="s">
        <v>39</v>
      </c>
      <c r="H2113" s="2">
        <v>17.829999999999998</v>
      </c>
      <c r="I2113" s="1">
        <v>48</v>
      </c>
      <c r="U2113" s="1">
        <v>67</v>
      </c>
      <c r="X2113" s="1">
        <v>59</v>
      </c>
      <c r="AA2113" s="1">
        <v>4</v>
      </c>
      <c r="AB2113" s="1">
        <v>6</v>
      </c>
      <c r="AC2113" s="1">
        <v>2397</v>
      </c>
      <c r="AF2113" s="3">
        <v>2.6920919798093106</v>
      </c>
      <c r="AG2113" s="3">
        <v>2.7907185941003863</v>
      </c>
      <c r="AH2113" s="1">
        <v>6258</v>
      </c>
      <c r="AI2113" s="1" t="b">
        <v>1</v>
      </c>
    </row>
    <row r="2114" spans="1:35" x14ac:dyDescent="0.25">
      <c r="A2114" s="1">
        <v>12</v>
      </c>
      <c r="B2114" s="1">
        <v>12</v>
      </c>
      <c r="C2114" s="1">
        <v>2019</v>
      </c>
      <c r="G2114" s="1" t="s">
        <v>39</v>
      </c>
      <c r="H2114" s="2">
        <v>23.09</v>
      </c>
      <c r="I2114" s="1">
        <v>59</v>
      </c>
      <c r="U2114" s="1">
        <v>88</v>
      </c>
      <c r="X2114" s="1">
        <v>74</v>
      </c>
      <c r="AA2114" s="1">
        <v>6</v>
      </c>
      <c r="AB2114" s="1">
        <v>9</v>
      </c>
      <c r="AC2114" s="1">
        <v>3592</v>
      </c>
      <c r="AF2114" s="3">
        <v>2.5552187093980079</v>
      </c>
      <c r="AG2114" s="3">
        <v>3.5234545543036311</v>
      </c>
      <c r="AH2114" s="1">
        <v>6258</v>
      </c>
      <c r="AI2114" s="1" t="b">
        <v>1</v>
      </c>
    </row>
    <row r="2115" spans="1:35" x14ac:dyDescent="0.25">
      <c r="A2115" s="1">
        <v>12</v>
      </c>
      <c r="B2115" s="1">
        <v>12</v>
      </c>
      <c r="C2115" s="1">
        <v>2019</v>
      </c>
      <c r="G2115" s="1" t="s">
        <v>39</v>
      </c>
      <c r="H2115" s="2">
        <v>18.7</v>
      </c>
      <c r="I2115" s="1">
        <v>55</v>
      </c>
      <c r="U2115" s="1">
        <v>68</v>
      </c>
      <c r="X2115" s="1">
        <v>64</v>
      </c>
      <c r="AA2115" s="1">
        <v>3</v>
      </c>
      <c r="AB2115" s="1">
        <v>7</v>
      </c>
      <c r="AC2115" s="1">
        <v>2471</v>
      </c>
      <c r="AF2115" s="3">
        <v>2.9411764705882355</v>
      </c>
      <c r="AG2115" s="3">
        <v>2.6409978132937173</v>
      </c>
      <c r="AH2115" s="1">
        <v>6258</v>
      </c>
      <c r="AI2115" s="1" t="b">
        <v>1</v>
      </c>
    </row>
    <row r="2116" spans="1:35" x14ac:dyDescent="0.25">
      <c r="A2116" s="1">
        <v>12</v>
      </c>
      <c r="B2116" s="1">
        <v>12</v>
      </c>
      <c r="C2116" s="1">
        <v>2019</v>
      </c>
      <c r="G2116" s="1" t="s">
        <v>39</v>
      </c>
      <c r="H2116" s="2">
        <v>24.02</v>
      </c>
      <c r="I2116" s="1">
        <v>64</v>
      </c>
      <c r="U2116" s="1">
        <v>94</v>
      </c>
      <c r="X2116" s="1">
        <v>84</v>
      </c>
      <c r="AA2116" s="1">
        <v>8</v>
      </c>
      <c r="AB2116" s="1">
        <v>8</v>
      </c>
      <c r="AC2116" s="1">
        <v>3218</v>
      </c>
      <c r="AF2116" s="3">
        <v>2.6644462947543714</v>
      </c>
      <c r="AG2116" s="3">
        <v>3.4737145779137264</v>
      </c>
      <c r="AH2116" s="1">
        <v>6258</v>
      </c>
      <c r="AI2116" s="1" t="b">
        <v>1</v>
      </c>
    </row>
    <row r="2117" spans="1:35" x14ac:dyDescent="0.25">
      <c r="A2117" s="1">
        <v>12</v>
      </c>
      <c r="B2117" s="1">
        <v>12</v>
      </c>
      <c r="C2117" s="1">
        <v>2019</v>
      </c>
      <c r="G2117" s="1" t="s">
        <v>39</v>
      </c>
      <c r="H2117" s="2">
        <v>23.3</v>
      </c>
      <c r="I2117" s="1">
        <v>48</v>
      </c>
      <c r="U2117" s="1">
        <v>82</v>
      </c>
      <c r="X2117" s="1">
        <v>68</v>
      </c>
      <c r="AA2117" s="1">
        <v>7</v>
      </c>
      <c r="AB2117" s="1">
        <v>9</v>
      </c>
      <c r="AC2117" s="1">
        <v>3161</v>
      </c>
      <c r="AF2117" s="3">
        <v>2.0600858369098711</v>
      </c>
      <c r="AG2117" s="3">
        <v>4.398087124941056</v>
      </c>
      <c r="AH2117" s="1">
        <v>6258</v>
      </c>
      <c r="AI2117" s="1" t="b">
        <v>1</v>
      </c>
    </row>
    <row r="2118" spans="1:35" x14ac:dyDescent="0.25">
      <c r="A2118" s="1">
        <v>12</v>
      </c>
      <c r="B2118" s="1">
        <v>12</v>
      </c>
      <c r="C2118" s="1">
        <v>2019</v>
      </c>
      <c r="G2118" s="1" t="s">
        <v>39</v>
      </c>
      <c r="H2118" s="2">
        <v>26.93</v>
      </c>
      <c r="I2118" s="1">
        <v>73</v>
      </c>
      <c r="U2118" s="1">
        <v>104</v>
      </c>
      <c r="X2118" s="1">
        <v>95</v>
      </c>
      <c r="AA2118" s="1">
        <v>9</v>
      </c>
      <c r="AB2118" s="1">
        <v>10</v>
      </c>
      <c r="AC2118" s="1">
        <v>3790</v>
      </c>
      <c r="AF2118" s="3">
        <v>2.7107315261789826</v>
      </c>
      <c r="AG2118" s="3">
        <v>3.6989540868219879</v>
      </c>
      <c r="AH2118" s="1">
        <v>6258</v>
      </c>
      <c r="AI2118" s="1" t="b">
        <v>1</v>
      </c>
    </row>
    <row r="2119" spans="1:35" x14ac:dyDescent="0.25">
      <c r="A2119" s="1">
        <v>12</v>
      </c>
      <c r="B2119" s="1">
        <v>12</v>
      </c>
      <c r="C2119" s="1">
        <v>2019</v>
      </c>
      <c r="G2119" s="1" t="s">
        <v>39</v>
      </c>
      <c r="H2119" s="2">
        <v>18.12</v>
      </c>
      <c r="I2119" s="1">
        <v>52</v>
      </c>
      <c r="U2119" s="1">
        <v>68</v>
      </c>
      <c r="X2119" s="1">
        <v>60</v>
      </c>
      <c r="AA2119" s="1">
        <v>4</v>
      </c>
      <c r="AB2119" s="1">
        <v>3</v>
      </c>
      <c r="AC2119" s="1">
        <v>2356</v>
      </c>
      <c r="AF2119" s="3">
        <v>2.869757174392936</v>
      </c>
      <c r="AG2119" s="3">
        <v>2.6476805496926707</v>
      </c>
      <c r="AH2119" s="1">
        <v>6258</v>
      </c>
      <c r="AI2119" s="1" t="b">
        <v>1</v>
      </c>
    </row>
    <row r="2120" spans="1:35" x14ac:dyDescent="0.25">
      <c r="A2120" s="1">
        <v>12</v>
      </c>
      <c r="B2120" s="1">
        <v>12</v>
      </c>
      <c r="C2120" s="1">
        <v>2019</v>
      </c>
      <c r="G2120" s="1" t="s">
        <v>39</v>
      </c>
      <c r="H2120" s="2">
        <v>29.29</v>
      </c>
      <c r="I2120" s="1">
        <v>74</v>
      </c>
      <c r="U2120" s="1">
        <v>117</v>
      </c>
      <c r="X2120" s="1">
        <v>99</v>
      </c>
      <c r="AA2120" s="1">
        <v>8</v>
      </c>
      <c r="AB2120" s="1">
        <v>9</v>
      </c>
      <c r="AC2120" s="1">
        <v>3884</v>
      </c>
      <c r="AF2120" s="3">
        <v>2.5264595425059748</v>
      </c>
      <c r="AG2120" s="3">
        <v>4.209119076124372</v>
      </c>
      <c r="AH2120" s="1">
        <v>6258</v>
      </c>
      <c r="AI2120" s="1" t="b">
        <v>1</v>
      </c>
    </row>
    <row r="2121" spans="1:35" x14ac:dyDescent="0.25">
      <c r="A2121" s="1">
        <v>12</v>
      </c>
      <c r="B2121" s="1">
        <v>12</v>
      </c>
      <c r="C2121" s="1">
        <v>2019</v>
      </c>
      <c r="G2121" s="1" t="s">
        <v>39</v>
      </c>
      <c r="H2121" s="2">
        <v>24.93</v>
      </c>
      <c r="I2121" s="1">
        <v>73</v>
      </c>
      <c r="U2121" s="1">
        <v>98</v>
      </c>
      <c r="X2121" s="1">
        <v>84</v>
      </c>
      <c r="AA2121" s="1">
        <v>6</v>
      </c>
      <c r="AB2121" s="1">
        <v>8</v>
      </c>
      <c r="AC2121" s="1">
        <v>3526</v>
      </c>
      <c r="AF2121" s="3">
        <v>2.9281989570798235</v>
      </c>
      <c r="AG2121" s="3">
        <v>3.2441805284609515</v>
      </c>
      <c r="AH2121" s="1">
        <v>6258</v>
      </c>
      <c r="AI2121" s="1" t="b">
        <v>1</v>
      </c>
    </row>
    <row r="2122" spans="1:35" x14ac:dyDescent="0.25">
      <c r="A2122" s="1">
        <v>12</v>
      </c>
      <c r="B2122" s="1">
        <v>12</v>
      </c>
      <c r="C2122" s="1">
        <v>2019</v>
      </c>
      <c r="G2122" s="1" t="s">
        <v>39</v>
      </c>
      <c r="H2122" s="2">
        <v>26.62</v>
      </c>
      <c r="I2122" s="1">
        <v>61</v>
      </c>
      <c r="U2122" s="1">
        <v>105</v>
      </c>
      <c r="X2122" s="1">
        <v>85</v>
      </c>
      <c r="AA2122" s="1">
        <v>9</v>
      </c>
      <c r="AB2122" s="1">
        <v>13</v>
      </c>
      <c r="AC2122" s="1">
        <v>3542</v>
      </c>
      <c r="AF2122" s="3">
        <v>2.2915101427498121</v>
      </c>
      <c r="AG2122" s="3">
        <v>4.3403410061468701</v>
      </c>
      <c r="AH2122" s="1">
        <v>6258</v>
      </c>
      <c r="AI2122" s="1" t="b">
        <v>1</v>
      </c>
    </row>
    <row r="2123" spans="1:35" x14ac:dyDescent="0.25">
      <c r="A2123" s="1">
        <v>12</v>
      </c>
      <c r="B2123" s="1">
        <v>12</v>
      </c>
      <c r="C2123" s="1">
        <v>2019</v>
      </c>
      <c r="G2123" s="1" t="s">
        <v>39</v>
      </c>
      <c r="H2123" s="2">
        <v>22.74</v>
      </c>
      <c r="I2123" s="1">
        <v>51</v>
      </c>
      <c r="U2123" s="1">
        <v>69</v>
      </c>
      <c r="X2123" s="1">
        <v>61</v>
      </c>
      <c r="AA2123" s="1">
        <v>5</v>
      </c>
      <c r="AB2123" s="1">
        <v>10</v>
      </c>
      <c r="AC2123" s="1">
        <v>2867</v>
      </c>
      <c r="AF2123" s="3">
        <v>2.2427440633245386</v>
      </c>
      <c r="AG2123" s="3">
        <v>3.9716741156978843</v>
      </c>
      <c r="AH2123" s="1">
        <v>6258</v>
      </c>
      <c r="AI2123" s="1" t="b">
        <v>1</v>
      </c>
    </row>
    <row r="2124" spans="1:35" x14ac:dyDescent="0.25">
      <c r="A2124" s="1">
        <v>12</v>
      </c>
      <c r="B2124" s="1">
        <v>12</v>
      </c>
      <c r="C2124" s="1">
        <v>2019</v>
      </c>
      <c r="G2124" s="1" t="s">
        <v>39</v>
      </c>
      <c r="H2124" s="2">
        <v>23.7</v>
      </c>
      <c r="I2124" s="1">
        <v>74</v>
      </c>
      <c r="U2124" s="1">
        <v>93</v>
      </c>
      <c r="X2124" s="1">
        <v>85</v>
      </c>
      <c r="AA2124" s="1">
        <v>5</v>
      </c>
      <c r="AB2124" s="1">
        <v>4</v>
      </c>
      <c r="AC2124" s="1">
        <v>3122</v>
      </c>
      <c r="AF2124" s="3">
        <v>3.1223628691983123</v>
      </c>
      <c r="AG2124" s="3">
        <v>2.9365707489343684</v>
      </c>
      <c r="AH2124" s="1">
        <v>6258</v>
      </c>
      <c r="AI2124" s="1" t="b">
        <v>1</v>
      </c>
    </row>
    <row r="2125" spans="1:35" x14ac:dyDescent="0.25">
      <c r="A2125" s="1">
        <v>12</v>
      </c>
      <c r="B2125" s="1">
        <v>12</v>
      </c>
      <c r="C2125" s="1">
        <v>2019</v>
      </c>
      <c r="G2125" s="1" t="s">
        <v>39</v>
      </c>
      <c r="H2125" s="2">
        <v>27.22</v>
      </c>
      <c r="I2125" s="1">
        <v>74</v>
      </c>
      <c r="U2125" s="1">
        <v>97</v>
      </c>
      <c r="X2125" s="1">
        <v>85</v>
      </c>
      <c r="AA2125" s="1">
        <v>5</v>
      </c>
      <c r="AB2125" s="1">
        <v>7</v>
      </c>
      <c r="AC2125" s="1">
        <v>3553</v>
      </c>
      <c r="AF2125" s="3">
        <v>2.7185892725936811</v>
      </c>
      <c r="AG2125" s="3">
        <v>3.7160203679121651</v>
      </c>
      <c r="AH2125" s="1">
        <v>6258</v>
      </c>
      <c r="AI2125" s="1" t="b">
        <v>1</v>
      </c>
    </row>
    <row r="2126" spans="1:35" x14ac:dyDescent="0.25">
      <c r="A2126" s="1">
        <v>12</v>
      </c>
      <c r="B2126" s="1">
        <v>12</v>
      </c>
      <c r="C2126" s="1">
        <v>2019</v>
      </c>
      <c r="G2126" s="1" t="s">
        <v>39</v>
      </c>
      <c r="H2126" s="2">
        <v>26.66</v>
      </c>
      <c r="I2126" s="1">
        <v>61</v>
      </c>
      <c r="U2126" s="1">
        <v>95</v>
      </c>
      <c r="X2126" s="1">
        <v>84</v>
      </c>
      <c r="AA2126" s="1">
        <v>7</v>
      </c>
      <c r="AB2126" s="1">
        <v>9</v>
      </c>
      <c r="AC2126" s="1">
        <v>3399</v>
      </c>
      <c r="AF2126" s="3">
        <v>2.2880720180045011</v>
      </c>
      <c r="AG2126" s="3">
        <v>4.351434108585539</v>
      </c>
      <c r="AH2126" s="1">
        <v>6258</v>
      </c>
      <c r="AI2126" s="1" t="b">
        <v>1</v>
      </c>
    </row>
    <row r="2127" spans="1:35" x14ac:dyDescent="0.25">
      <c r="A2127" s="1">
        <v>12</v>
      </c>
      <c r="B2127" s="1">
        <v>12</v>
      </c>
      <c r="C2127" s="1">
        <v>2019</v>
      </c>
      <c r="G2127" s="1" t="s">
        <v>39</v>
      </c>
      <c r="H2127" s="2">
        <v>28.77</v>
      </c>
      <c r="I2127" s="1">
        <v>70</v>
      </c>
      <c r="U2127" s="1">
        <v>114</v>
      </c>
      <c r="X2127" s="1">
        <v>98</v>
      </c>
      <c r="AA2127" s="1">
        <v>10</v>
      </c>
      <c r="AB2127" s="1">
        <v>7</v>
      </c>
      <c r="AC2127" s="1">
        <v>3922</v>
      </c>
      <c r="AF2127" s="3">
        <v>2.4330900243309004</v>
      </c>
      <c r="AG2127" s="3">
        <v>4.3161817610000766</v>
      </c>
      <c r="AH2127" s="1">
        <v>6258</v>
      </c>
      <c r="AI2127" s="1" t="b">
        <v>1</v>
      </c>
    </row>
    <row r="2128" spans="1:35" x14ac:dyDescent="0.25">
      <c r="A2128" s="1">
        <v>12</v>
      </c>
      <c r="B2128" s="1">
        <v>12</v>
      </c>
      <c r="C2128" s="1">
        <v>2019</v>
      </c>
      <c r="G2128" s="1" t="s">
        <v>39</v>
      </c>
      <c r="H2128" s="2">
        <v>18.059999999999999</v>
      </c>
      <c r="I2128" s="1">
        <v>42</v>
      </c>
      <c r="U2128" s="1">
        <v>63</v>
      </c>
      <c r="X2128" s="1">
        <v>52</v>
      </c>
      <c r="AA2128" s="1">
        <v>5</v>
      </c>
      <c r="AB2128" s="1">
        <v>10</v>
      </c>
      <c r="AC2128" s="1">
        <v>2449</v>
      </c>
      <c r="AF2128" s="3">
        <v>2.3255813953488373</v>
      </c>
      <c r="AG2128" s="3">
        <v>3.2596493012808643</v>
      </c>
      <c r="AH2128" s="1">
        <v>6258</v>
      </c>
      <c r="AI2128" s="1" t="b">
        <v>1</v>
      </c>
    </row>
    <row r="2129" spans="1:35" x14ac:dyDescent="0.25">
      <c r="A2129" s="1">
        <v>12</v>
      </c>
      <c r="B2129" s="1">
        <v>12</v>
      </c>
      <c r="C2129" s="1">
        <v>2019</v>
      </c>
      <c r="G2129" s="1" t="s">
        <v>39</v>
      </c>
      <c r="H2129" s="2">
        <v>28.54</v>
      </c>
      <c r="I2129" s="1">
        <v>72</v>
      </c>
      <c r="U2129" s="1">
        <v>100</v>
      </c>
      <c r="X2129" s="1">
        <v>87</v>
      </c>
      <c r="AA2129" s="1">
        <v>8</v>
      </c>
      <c r="AB2129" s="1">
        <v>7</v>
      </c>
      <c r="AC2129" s="1">
        <v>3813</v>
      </c>
      <c r="AF2129" s="3">
        <v>2.5227750525578139</v>
      </c>
      <c r="AG2129" s="3">
        <v>4.1394176821833373</v>
      </c>
      <c r="AH2129" s="1">
        <v>6258</v>
      </c>
      <c r="AI2129" s="1" t="b">
        <v>1</v>
      </c>
    </row>
    <row r="2130" spans="1:35" x14ac:dyDescent="0.25">
      <c r="A2130" s="1">
        <v>12</v>
      </c>
      <c r="B2130" s="1">
        <v>12</v>
      </c>
      <c r="C2130" s="1">
        <v>2019</v>
      </c>
      <c r="G2130" s="1" t="s">
        <v>39</v>
      </c>
      <c r="H2130" s="2">
        <v>23.16</v>
      </c>
      <c r="I2130" s="1">
        <v>66</v>
      </c>
      <c r="U2130" s="1">
        <v>90</v>
      </c>
      <c r="X2130" s="1">
        <v>81</v>
      </c>
      <c r="AA2130" s="1">
        <v>5</v>
      </c>
      <c r="AB2130" s="1">
        <v>8</v>
      </c>
      <c r="AC2130" s="1">
        <v>3141</v>
      </c>
      <c r="AF2130" s="3">
        <v>2.849740932642487</v>
      </c>
      <c r="AG2130" s="3">
        <v>3.1660050849575394</v>
      </c>
      <c r="AH2130" s="1">
        <v>6258</v>
      </c>
      <c r="AI2130" s="1" t="b">
        <v>1</v>
      </c>
    </row>
    <row r="2131" spans="1:35" x14ac:dyDescent="0.25">
      <c r="A2131" s="1">
        <v>14</v>
      </c>
      <c r="B2131" s="1">
        <v>12</v>
      </c>
      <c r="C2131" s="1">
        <v>2019</v>
      </c>
      <c r="G2131" s="1" t="s">
        <v>39</v>
      </c>
      <c r="H2131" s="2">
        <v>23.59</v>
      </c>
      <c r="I2131" s="1">
        <v>58</v>
      </c>
      <c r="U2131" s="1">
        <v>77</v>
      </c>
      <c r="X2131" s="1">
        <v>68</v>
      </c>
      <c r="AA2131" s="1">
        <v>8</v>
      </c>
      <c r="AB2131" s="1">
        <v>5</v>
      </c>
      <c r="AC2131" s="1">
        <v>2864</v>
      </c>
      <c r="AF2131" s="3">
        <v>2.4586689275116576</v>
      </c>
      <c r="AG2131" s="3">
        <v>3.7171450288389565</v>
      </c>
      <c r="AH2131" s="1">
        <v>6258</v>
      </c>
      <c r="AI2131" s="1" t="b">
        <v>1</v>
      </c>
    </row>
    <row r="2132" spans="1:35" x14ac:dyDescent="0.25">
      <c r="A2132" s="1">
        <v>14</v>
      </c>
      <c r="B2132" s="1">
        <v>12</v>
      </c>
      <c r="C2132" s="1">
        <v>2019</v>
      </c>
      <c r="G2132" s="1" t="s">
        <v>39</v>
      </c>
      <c r="H2132" s="2">
        <v>32.01</v>
      </c>
      <c r="I2132" s="1">
        <v>83</v>
      </c>
      <c r="U2132" s="1">
        <v>111</v>
      </c>
      <c r="X2132" s="1">
        <v>97</v>
      </c>
      <c r="AA2132" s="1">
        <v>5</v>
      </c>
      <c r="AB2132" s="1">
        <v>5</v>
      </c>
      <c r="AC2132" s="1">
        <v>3908</v>
      </c>
      <c r="AF2132" s="3">
        <v>2.5929397063417685</v>
      </c>
      <c r="AG2132" s="3">
        <v>4.3642292294911371</v>
      </c>
      <c r="AH2132" s="1">
        <v>6258</v>
      </c>
      <c r="AI2132" s="1" t="b">
        <v>1</v>
      </c>
    </row>
    <row r="2133" spans="1:35" x14ac:dyDescent="0.25">
      <c r="A2133" s="1">
        <v>16</v>
      </c>
      <c r="B2133" s="1">
        <v>12</v>
      </c>
      <c r="C2133" s="1">
        <v>2019</v>
      </c>
      <c r="G2133" s="1" t="s">
        <v>39</v>
      </c>
      <c r="H2133" s="2">
        <v>19.989999999999998</v>
      </c>
      <c r="I2133" s="1">
        <v>54</v>
      </c>
      <c r="U2133" s="1">
        <v>59</v>
      </c>
      <c r="X2133" s="1">
        <v>57</v>
      </c>
      <c r="AA2133" s="1">
        <v>6</v>
      </c>
      <c r="AB2133" s="1">
        <v>9</v>
      </c>
      <c r="AC2133" s="1">
        <v>3023</v>
      </c>
      <c r="AF2133" s="3">
        <v>2.701350675337669</v>
      </c>
      <c r="AG2133" s="3">
        <v>3.0129227047617979</v>
      </c>
      <c r="AH2133" s="1">
        <v>6259</v>
      </c>
      <c r="AI2133" s="1" t="b">
        <v>1</v>
      </c>
    </row>
    <row r="2134" spans="1:35" x14ac:dyDescent="0.25">
      <c r="A2134" s="1">
        <v>16</v>
      </c>
      <c r="B2134" s="1">
        <v>12</v>
      </c>
      <c r="C2134" s="1">
        <v>2019</v>
      </c>
      <c r="G2134" s="1" t="s">
        <v>39</v>
      </c>
      <c r="H2134" s="2">
        <v>23.39</v>
      </c>
      <c r="I2134" s="1">
        <v>60</v>
      </c>
      <c r="U2134" s="1">
        <v>93</v>
      </c>
      <c r="X2134" s="1">
        <v>80</v>
      </c>
      <c r="AA2134" s="1">
        <v>8</v>
      </c>
      <c r="AB2134" s="1">
        <v>13</v>
      </c>
      <c r="AC2134" s="1">
        <v>3357</v>
      </c>
      <c r="AF2134" s="3">
        <v>2.5651988029072252</v>
      </c>
      <c r="AG2134" s="3">
        <v>3.5416050374176584</v>
      </c>
      <c r="AH2134" s="1">
        <v>6259</v>
      </c>
      <c r="AI2134" s="1" t="b">
        <v>1</v>
      </c>
    </row>
    <row r="2135" spans="1:35" x14ac:dyDescent="0.25">
      <c r="A2135" s="1">
        <v>18</v>
      </c>
      <c r="B2135" s="1">
        <v>12</v>
      </c>
      <c r="C2135" s="1">
        <v>2019</v>
      </c>
      <c r="G2135" s="1" t="s">
        <v>39</v>
      </c>
      <c r="H2135" s="2">
        <v>25.05</v>
      </c>
      <c r="I2135" s="1">
        <v>64</v>
      </c>
      <c r="U2135" s="1">
        <v>97</v>
      </c>
      <c r="X2135" s="1">
        <v>82</v>
      </c>
      <c r="AA2135" s="1">
        <v>7</v>
      </c>
      <c r="AB2135" s="1">
        <v>6</v>
      </c>
      <c r="AC2135" s="1">
        <v>3279</v>
      </c>
      <c r="AF2135" s="3">
        <v>2.5548902195608783</v>
      </c>
      <c r="AG2135" s="3">
        <v>3.7307243982389369</v>
      </c>
      <c r="AH2135" s="1">
        <v>6259</v>
      </c>
      <c r="AI2135" s="1" t="b">
        <v>1</v>
      </c>
    </row>
    <row r="2136" spans="1:35" x14ac:dyDescent="0.25">
      <c r="A2136" s="1">
        <v>18</v>
      </c>
      <c r="B2136" s="1">
        <v>12</v>
      </c>
      <c r="C2136" s="1">
        <v>2019</v>
      </c>
      <c r="G2136" s="1" t="s">
        <v>39</v>
      </c>
      <c r="H2136" s="2">
        <v>28.54</v>
      </c>
      <c r="I2136" s="1">
        <v>71</v>
      </c>
      <c r="U2136" s="1">
        <v>115</v>
      </c>
      <c r="X2136" s="1">
        <v>97</v>
      </c>
      <c r="AA2136" s="1">
        <v>9</v>
      </c>
      <c r="AB2136" s="1">
        <v>10</v>
      </c>
      <c r="AC2136" s="1">
        <v>3519</v>
      </c>
      <c r="AF2136" s="3">
        <v>2.4877365101611773</v>
      </c>
      <c r="AG2136" s="3">
        <v>4.1977193396788772</v>
      </c>
      <c r="AH2136" s="1">
        <v>6259</v>
      </c>
      <c r="AI2136" s="1" t="b">
        <v>1</v>
      </c>
    </row>
    <row r="2137" spans="1:35" x14ac:dyDescent="0.25">
      <c r="A2137" s="1">
        <v>18</v>
      </c>
      <c r="B2137" s="1">
        <v>12</v>
      </c>
      <c r="C2137" s="1">
        <v>2019</v>
      </c>
      <c r="G2137" s="1" t="s">
        <v>39</v>
      </c>
      <c r="H2137" s="2">
        <v>27.34</v>
      </c>
      <c r="I2137" s="1">
        <v>83</v>
      </c>
      <c r="U2137" s="1">
        <v>109</v>
      </c>
      <c r="X2137" s="1">
        <v>98</v>
      </c>
      <c r="AA2137" s="1">
        <v>6</v>
      </c>
      <c r="AB2137" s="1">
        <v>6</v>
      </c>
      <c r="AC2137" s="1">
        <v>4008</v>
      </c>
      <c r="AF2137" s="3">
        <v>3.0358449158741769</v>
      </c>
      <c r="AG2137" s="3">
        <v>3.3379465262245147</v>
      </c>
      <c r="AH2137" s="1">
        <v>6259</v>
      </c>
      <c r="AI2137" s="1" t="b">
        <v>1</v>
      </c>
    </row>
    <row r="2138" spans="1:35" x14ac:dyDescent="0.25">
      <c r="A2138" s="1">
        <v>18</v>
      </c>
      <c r="B2138" s="1">
        <v>12</v>
      </c>
      <c r="C2138" s="1">
        <v>2019</v>
      </c>
      <c r="G2138" s="1" t="s">
        <v>39</v>
      </c>
      <c r="H2138" s="2">
        <v>24.63</v>
      </c>
      <c r="I2138" s="1">
        <v>72</v>
      </c>
      <c r="U2138" s="1">
        <v>100</v>
      </c>
      <c r="X2138" s="1">
        <v>89</v>
      </c>
      <c r="AA2138" s="1">
        <v>7</v>
      </c>
      <c r="AB2138" s="1">
        <v>8</v>
      </c>
      <c r="AC2138" s="1">
        <v>3188</v>
      </c>
      <c r="AF2138" s="3">
        <v>2.9232643118148602</v>
      </c>
      <c r="AG2138" s="3">
        <v>3.2222334644425694</v>
      </c>
      <c r="AH2138" s="1">
        <v>6259</v>
      </c>
      <c r="AI2138" s="1" t="b">
        <v>1</v>
      </c>
    </row>
    <row r="2139" spans="1:35" x14ac:dyDescent="0.25">
      <c r="A2139" s="1">
        <v>18</v>
      </c>
      <c r="B2139" s="1">
        <v>12</v>
      </c>
      <c r="C2139" s="1">
        <v>2019</v>
      </c>
      <c r="G2139" s="1" t="s">
        <v>39</v>
      </c>
      <c r="H2139" s="2">
        <v>30.3</v>
      </c>
      <c r="I2139" s="1">
        <v>93</v>
      </c>
      <c r="U2139" s="1">
        <v>135</v>
      </c>
      <c r="X2139" s="1">
        <v>117</v>
      </c>
      <c r="AA2139" s="1">
        <v>11</v>
      </c>
      <c r="AB2139" s="1">
        <v>6</v>
      </c>
      <c r="AC2139" s="1">
        <v>4208</v>
      </c>
      <c r="AF2139" s="3">
        <v>3.0693069306930694</v>
      </c>
      <c r="AG2139" s="3">
        <v>3.5478848823081179</v>
      </c>
      <c r="AH2139" s="1">
        <v>6259</v>
      </c>
      <c r="AI2139" s="1" t="b">
        <v>1</v>
      </c>
    </row>
    <row r="2140" spans="1:35" x14ac:dyDescent="0.25">
      <c r="A2140" s="1">
        <v>18</v>
      </c>
      <c r="B2140" s="1">
        <v>12</v>
      </c>
      <c r="C2140" s="1">
        <v>2019</v>
      </c>
      <c r="G2140" s="1" t="s">
        <v>39</v>
      </c>
      <c r="H2140" s="2">
        <v>22.85</v>
      </c>
      <c r="I2140" s="1">
        <v>71</v>
      </c>
      <c r="U2140" s="1">
        <v>98</v>
      </c>
      <c r="X2140" s="1">
        <v>86</v>
      </c>
      <c r="AA2140" s="1">
        <v>7</v>
      </c>
      <c r="AB2140" s="1">
        <v>10</v>
      </c>
      <c r="AC2140" s="1">
        <v>2747</v>
      </c>
      <c r="AF2140" s="3">
        <v>3.1072210065645511</v>
      </c>
      <c r="AG2140" s="3">
        <v>2.8763928383218649</v>
      </c>
      <c r="AH2140" s="1">
        <v>6259</v>
      </c>
      <c r="AI2140" s="1" t="b">
        <v>1</v>
      </c>
    </row>
    <row r="2141" spans="1:35" x14ac:dyDescent="0.25">
      <c r="A2141" s="1">
        <v>18</v>
      </c>
      <c r="B2141" s="1">
        <v>12</v>
      </c>
      <c r="C2141" s="1">
        <v>2019</v>
      </c>
      <c r="G2141" s="1" t="s">
        <v>39</v>
      </c>
      <c r="H2141" s="2">
        <v>23.69</v>
      </c>
      <c r="I2141" s="1">
        <v>52</v>
      </c>
      <c r="U2141" s="1">
        <v>82</v>
      </c>
      <c r="X2141" s="1">
        <v>66</v>
      </c>
      <c r="AA2141" s="1">
        <v>8</v>
      </c>
      <c r="AB2141" s="1">
        <v>10</v>
      </c>
      <c r="AC2141" s="1">
        <v>3275</v>
      </c>
      <c r="AF2141" s="3">
        <v>2.1950189953566905</v>
      </c>
      <c r="AG2141" s="3">
        <v>4.1759689378933853</v>
      </c>
      <c r="AH2141" s="1">
        <v>6259</v>
      </c>
      <c r="AI2141" s="1" t="b">
        <v>1</v>
      </c>
    </row>
    <row r="2142" spans="1:35" x14ac:dyDescent="0.25">
      <c r="A2142" s="1">
        <v>18</v>
      </c>
      <c r="B2142" s="1">
        <v>12</v>
      </c>
      <c r="C2142" s="1">
        <v>2019</v>
      </c>
      <c r="G2142" s="1" t="s">
        <v>39</v>
      </c>
      <c r="H2142" s="2">
        <v>28.38</v>
      </c>
      <c r="I2142" s="1">
        <v>77</v>
      </c>
      <c r="U2142" s="1">
        <v>98</v>
      </c>
      <c r="X2142" s="1">
        <v>87</v>
      </c>
      <c r="AA2142" s="1">
        <v>5</v>
      </c>
      <c r="AB2142" s="1">
        <v>3</v>
      </c>
      <c r="AC2142" s="1">
        <v>3498</v>
      </c>
      <c r="AF2142" s="3">
        <v>2.7131782945736433</v>
      </c>
      <c r="AG2142" s="3">
        <v>3.8338078273571354</v>
      </c>
      <c r="AH2142" s="1">
        <v>6259</v>
      </c>
      <c r="AI2142" s="1" t="b">
        <v>1</v>
      </c>
    </row>
    <row r="2143" spans="1:35" x14ac:dyDescent="0.25">
      <c r="A2143" s="1">
        <v>18</v>
      </c>
      <c r="B2143" s="1">
        <v>12</v>
      </c>
      <c r="C2143" s="1">
        <v>2019</v>
      </c>
      <c r="G2143" s="1" t="s">
        <v>39</v>
      </c>
      <c r="H2143" s="2">
        <v>21.36</v>
      </c>
      <c r="I2143" s="1">
        <v>59</v>
      </c>
      <c r="U2143" s="1">
        <v>74</v>
      </c>
      <c r="X2143" s="1">
        <v>65</v>
      </c>
      <c r="AA2143" s="1">
        <v>4</v>
      </c>
      <c r="AB2143" s="1">
        <v>6</v>
      </c>
      <c r="AC2143" s="1">
        <v>2775</v>
      </c>
      <c r="AF2143" s="3">
        <v>2.762172284644195</v>
      </c>
      <c r="AG2143" s="3">
        <v>3.0865272144042488</v>
      </c>
      <c r="AH2143" s="1">
        <v>6259</v>
      </c>
      <c r="AI2143" s="1" t="b">
        <v>1</v>
      </c>
    </row>
    <row r="2144" spans="1:35" x14ac:dyDescent="0.25">
      <c r="A2144" s="1">
        <v>18</v>
      </c>
      <c r="B2144" s="1">
        <v>12</v>
      </c>
      <c r="C2144" s="1">
        <v>2019</v>
      </c>
      <c r="G2144" s="1" t="s">
        <v>39</v>
      </c>
      <c r="H2144" s="2">
        <v>17.37</v>
      </c>
      <c r="I2144" s="1">
        <v>45</v>
      </c>
      <c r="U2144" s="1">
        <v>65</v>
      </c>
      <c r="X2144" s="1">
        <v>56</v>
      </c>
      <c r="AA2144" s="1">
        <v>6</v>
      </c>
      <c r="AB2144" s="1">
        <v>8</v>
      </c>
      <c r="AC2144" s="1">
        <v>2243</v>
      </c>
      <c r="AF2144" s="3">
        <v>2.5906735751295336</v>
      </c>
      <c r="AG2144" s="3">
        <v>2.8473914562817564</v>
      </c>
      <c r="AH2144" s="1">
        <v>6259</v>
      </c>
      <c r="AI2144" s="1" t="b">
        <v>1</v>
      </c>
    </row>
    <row r="2145" spans="1:35" x14ac:dyDescent="0.25">
      <c r="A2145" s="1">
        <v>19</v>
      </c>
      <c r="B2145" s="1">
        <v>12</v>
      </c>
      <c r="C2145" s="1">
        <v>2019</v>
      </c>
      <c r="G2145" s="1" t="s">
        <v>39</v>
      </c>
      <c r="H2145" s="2">
        <v>31.45</v>
      </c>
      <c r="I2145" s="1">
        <v>84</v>
      </c>
      <c r="U2145" s="1">
        <v>122</v>
      </c>
      <c r="X2145" s="1">
        <v>103</v>
      </c>
      <c r="AA2145" s="1">
        <v>9</v>
      </c>
      <c r="AB2145" s="1">
        <v>10</v>
      </c>
      <c r="AC2145" s="1">
        <v>3740</v>
      </c>
      <c r="AF2145" s="3">
        <v>2.6709062003179649</v>
      </c>
      <c r="AG2145" s="3">
        <v>4.1848107107221715</v>
      </c>
      <c r="AH2145" s="1">
        <v>6259</v>
      </c>
      <c r="AI2145" s="1" t="b">
        <v>1</v>
      </c>
    </row>
    <row r="2146" spans="1:35" x14ac:dyDescent="0.25">
      <c r="A2146" s="1">
        <v>19</v>
      </c>
      <c r="B2146" s="1">
        <v>12</v>
      </c>
      <c r="C2146" s="1">
        <v>2019</v>
      </c>
      <c r="G2146" s="1" t="s">
        <v>39</v>
      </c>
      <c r="H2146" s="2">
        <v>25.75</v>
      </c>
      <c r="I2146" s="1">
        <v>50</v>
      </c>
      <c r="U2146" s="1">
        <v>88</v>
      </c>
      <c r="X2146" s="1">
        <v>75</v>
      </c>
      <c r="AA2146" s="1">
        <v>9</v>
      </c>
      <c r="AB2146" s="1">
        <v>10</v>
      </c>
      <c r="AC2146" s="1">
        <v>3090</v>
      </c>
      <c r="AF2146" s="3">
        <v>1.941747572815534</v>
      </c>
      <c r="AG2146" s="3">
        <v>5.0043916686683669</v>
      </c>
      <c r="AH2146" s="1">
        <v>6259</v>
      </c>
      <c r="AI2146" s="1" t="b">
        <v>1</v>
      </c>
    </row>
    <row r="2147" spans="1:35" x14ac:dyDescent="0.25">
      <c r="A2147" s="1">
        <v>19</v>
      </c>
      <c r="B2147" s="1">
        <v>12</v>
      </c>
      <c r="C2147" s="1">
        <v>2019</v>
      </c>
      <c r="G2147" s="1" t="s">
        <v>39</v>
      </c>
      <c r="H2147" s="2">
        <v>30.5</v>
      </c>
      <c r="I2147" s="1">
        <v>82</v>
      </c>
      <c r="U2147" s="1">
        <v>119</v>
      </c>
      <c r="X2147" s="1">
        <v>104</v>
      </c>
      <c r="AA2147" s="1">
        <v>9</v>
      </c>
      <c r="AB2147" s="1">
        <v>6</v>
      </c>
      <c r="AC2147" s="1">
        <v>3900</v>
      </c>
      <c r="AF2147" s="3">
        <v>2.6885245901639343</v>
      </c>
      <c r="AG2147" s="3">
        <v>4.0690766845225195</v>
      </c>
      <c r="AH2147" s="1">
        <v>6259</v>
      </c>
      <c r="AI2147" s="1" t="b">
        <v>1</v>
      </c>
    </row>
    <row r="2148" spans="1:35" x14ac:dyDescent="0.25">
      <c r="A2148" s="1">
        <v>19</v>
      </c>
      <c r="B2148" s="1">
        <v>12</v>
      </c>
      <c r="C2148" s="1">
        <v>2019</v>
      </c>
      <c r="G2148" s="1" t="s">
        <v>39</v>
      </c>
      <c r="H2148" s="2">
        <v>27.01</v>
      </c>
      <c r="I2148" s="1">
        <v>61</v>
      </c>
      <c r="U2148" s="1">
        <v>92</v>
      </c>
      <c r="X2148" s="1">
        <v>80</v>
      </c>
      <c r="AA2148" s="1">
        <v>8</v>
      </c>
      <c r="AB2148" s="1">
        <v>7</v>
      </c>
      <c r="AC2148" s="1">
        <v>3517</v>
      </c>
      <c r="AF2148" s="3">
        <v>2.2584228063680118</v>
      </c>
      <c r="AG2148" s="3">
        <v>4.4489954142867072</v>
      </c>
      <c r="AH2148" s="1">
        <v>6259</v>
      </c>
      <c r="AI2148" s="1" t="b">
        <v>1</v>
      </c>
    </row>
    <row r="2149" spans="1:35" x14ac:dyDescent="0.25">
      <c r="A2149" s="1">
        <v>19</v>
      </c>
      <c r="B2149" s="1">
        <v>12</v>
      </c>
      <c r="C2149" s="1">
        <v>2019</v>
      </c>
      <c r="G2149" s="1" t="s">
        <v>39</v>
      </c>
      <c r="H2149" s="2">
        <v>33.020000000000003</v>
      </c>
      <c r="I2149" s="1">
        <v>73</v>
      </c>
      <c r="V2149" s="1">
        <v>120</v>
      </c>
      <c r="X2149" s="1">
        <v>90</v>
      </c>
      <c r="AA2149" s="1">
        <v>7</v>
      </c>
      <c r="AB2149" s="1">
        <v>8</v>
      </c>
      <c r="AC2149" s="1">
        <v>3666</v>
      </c>
      <c r="AF2149" s="3">
        <v>2.2107813446396123</v>
      </c>
      <c r="AG2149" s="3">
        <v>5.2311618491180916</v>
      </c>
      <c r="AH2149" s="1">
        <v>6259</v>
      </c>
      <c r="AI2149" s="1" t="b">
        <v>1</v>
      </c>
    </row>
    <row r="2150" spans="1:35" x14ac:dyDescent="0.25">
      <c r="A2150" s="1">
        <v>22</v>
      </c>
      <c r="B2150" s="1">
        <v>12</v>
      </c>
      <c r="C2150" s="1">
        <v>2019</v>
      </c>
      <c r="G2150" s="1" t="s">
        <v>39</v>
      </c>
      <c r="H2150" s="2">
        <v>30.74</v>
      </c>
      <c r="I2150" s="1">
        <v>64</v>
      </c>
      <c r="U2150" s="1">
        <v>94</v>
      </c>
      <c r="X2150" s="1">
        <v>86</v>
      </c>
      <c r="AA2150" s="1">
        <v>8</v>
      </c>
      <c r="AB2150" s="1">
        <v>12</v>
      </c>
      <c r="AC2150" s="1">
        <v>3979</v>
      </c>
      <c r="AF2150" s="3">
        <v>2.0819778789850361</v>
      </c>
      <c r="AG2150" s="3">
        <v>5.2834377318316639</v>
      </c>
      <c r="AH2150" s="1">
        <v>6259</v>
      </c>
      <c r="AI2150" s="1" t="b">
        <v>1</v>
      </c>
    </row>
    <row r="2151" spans="1:35" x14ac:dyDescent="0.25">
      <c r="A2151" s="1">
        <v>22</v>
      </c>
      <c r="B2151" s="1">
        <v>12</v>
      </c>
      <c r="C2151" s="1">
        <v>2019</v>
      </c>
      <c r="G2151" s="1" t="s">
        <v>39</v>
      </c>
      <c r="H2151" s="2">
        <v>18.37</v>
      </c>
      <c r="I2151" s="1">
        <v>45</v>
      </c>
      <c r="U2151" s="1">
        <v>63</v>
      </c>
      <c r="X2151" s="1">
        <v>54</v>
      </c>
      <c r="AA2151" s="1">
        <v>4</v>
      </c>
      <c r="AB2151" s="1">
        <v>7</v>
      </c>
      <c r="AC2151" s="1">
        <v>2656</v>
      </c>
      <c r="AF2151" s="3">
        <v>2.4496461622210122</v>
      </c>
      <c r="AG2151" s="3">
        <v>3.1316487996771722</v>
      </c>
      <c r="AH2151" s="1">
        <v>6259</v>
      </c>
      <c r="AI2151" s="1" t="b">
        <v>1</v>
      </c>
    </row>
    <row r="2152" spans="1:35" x14ac:dyDescent="0.25">
      <c r="A2152" s="1">
        <v>22</v>
      </c>
      <c r="B2152" s="1">
        <v>12</v>
      </c>
      <c r="C2152" s="1">
        <v>2019</v>
      </c>
      <c r="G2152" s="1" t="s">
        <v>39</v>
      </c>
      <c r="H2152" s="2">
        <v>25.85</v>
      </c>
      <c r="I2152" s="1">
        <v>66</v>
      </c>
      <c r="U2152" s="1">
        <v>90</v>
      </c>
      <c r="X2152" s="1">
        <v>86</v>
      </c>
      <c r="AA2152" s="1">
        <v>9</v>
      </c>
      <c r="AB2152" s="1">
        <v>9</v>
      </c>
      <c r="AC2152" s="1">
        <v>3433</v>
      </c>
      <c r="AF2152" s="3">
        <v>2.5531914893617018</v>
      </c>
      <c r="AG2152" s="3">
        <v>3.8162691367449209</v>
      </c>
      <c r="AH2152" s="1">
        <v>6259</v>
      </c>
      <c r="AI2152" s="1" t="b">
        <v>1</v>
      </c>
    </row>
    <row r="2153" spans="1:35" x14ac:dyDescent="0.25">
      <c r="A2153" s="1">
        <v>22</v>
      </c>
      <c r="B2153" s="1">
        <v>12</v>
      </c>
      <c r="C2153" s="1">
        <v>2019</v>
      </c>
      <c r="G2153" s="1" t="s">
        <v>39</v>
      </c>
      <c r="H2153" s="2">
        <v>27.86</v>
      </c>
      <c r="I2153" s="1">
        <v>75</v>
      </c>
      <c r="U2153" s="1">
        <v>106</v>
      </c>
      <c r="X2153" s="1">
        <v>94</v>
      </c>
      <c r="AA2153" s="1">
        <v>9</v>
      </c>
      <c r="AB2153" s="1">
        <v>5</v>
      </c>
      <c r="AC2153" s="1">
        <v>3469</v>
      </c>
      <c r="AF2153" s="3">
        <v>2.6920315865039486</v>
      </c>
      <c r="AG2153" s="3">
        <v>3.8142277997959022</v>
      </c>
      <c r="AH2153" s="1">
        <v>6259</v>
      </c>
      <c r="AI2153" s="1" t="b">
        <v>1</v>
      </c>
    </row>
    <row r="2154" spans="1:35" x14ac:dyDescent="0.25">
      <c r="A2154" s="1">
        <v>22</v>
      </c>
      <c r="B2154" s="1">
        <v>12</v>
      </c>
      <c r="C2154" s="1">
        <v>2019</v>
      </c>
      <c r="G2154" s="1" t="s">
        <v>39</v>
      </c>
      <c r="H2154" s="2">
        <v>28.21</v>
      </c>
      <c r="I2154" s="1">
        <v>75</v>
      </c>
      <c r="U2154" s="1">
        <v>104</v>
      </c>
      <c r="X2154" s="1">
        <v>94</v>
      </c>
      <c r="AA2154" s="1">
        <v>10</v>
      </c>
      <c r="AB2154" s="1">
        <v>8</v>
      </c>
      <c r="AC2154" s="1">
        <v>3675</v>
      </c>
      <c r="AF2154" s="3">
        <v>2.6586316908897554</v>
      </c>
      <c r="AG2154" s="3">
        <v>3.8960451673964416</v>
      </c>
      <c r="AH2154" s="1">
        <v>6259</v>
      </c>
      <c r="AI2154" s="1" t="b">
        <v>1</v>
      </c>
    </row>
    <row r="2155" spans="1:35" x14ac:dyDescent="0.25">
      <c r="A2155" s="1">
        <v>23</v>
      </c>
      <c r="B2155" s="1">
        <v>12</v>
      </c>
      <c r="C2155" s="1">
        <v>2019</v>
      </c>
      <c r="G2155" s="1" t="s">
        <v>39</v>
      </c>
      <c r="H2155" s="2">
        <v>29.04</v>
      </c>
      <c r="I2155" s="1">
        <v>72</v>
      </c>
      <c r="U2155" s="1">
        <v>99</v>
      </c>
      <c r="X2155" s="1">
        <v>83</v>
      </c>
      <c r="AA2155" s="1">
        <v>6</v>
      </c>
      <c r="AB2155" s="1">
        <v>7</v>
      </c>
      <c r="AC2155" s="1">
        <v>3701</v>
      </c>
      <c r="AF2155" s="3">
        <v>2.4793388429752068</v>
      </c>
      <c r="AG2155" s="3">
        <v>4.2634555946431396</v>
      </c>
      <c r="AH2155" s="1">
        <v>6260</v>
      </c>
      <c r="AI2155" s="1" t="b">
        <v>1</v>
      </c>
    </row>
    <row r="2156" spans="1:35" x14ac:dyDescent="0.25">
      <c r="A2156" s="1">
        <v>23</v>
      </c>
      <c r="B2156" s="1">
        <v>12</v>
      </c>
      <c r="C2156" s="1">
        <v>2019</v>
      </c>
      <c r="G2156" s="1" t="s">
        <v>39</v>
      </c>
      <c r="H2156" s="2">
        <v>25.95</v>
      </c>
      <c r="I2156" s="1">
        <v>72</v>
      </c>
      <c r="U2156" s="1">
        <v>108</v>
      </c>
      <c r="X2156" s="1">
        <v>93</v>
      </c>
      <c r="AA2156" s="1">
        <v>8</v>
      </c>
      <c r="AB2156" s="1">
        <v>5</v>
      </c>
      <c r="AC2156" s="1">
        <v>3194</v>
      </c>
      <c r="AF2156" s="3">
        <v>2.7745664739884393</v>
      </c>
      <c r="AG2156" s="3">
        <v>3.5212837235802343</v>
      </c>
      <c r="AH2156" s="1">
        <v>6260</v>
      </c>
      <c r="AI2156" s="1" t="b">
        <v>1</v>
      </c>
    </row>
    <row r="2157" spans="1:35" x14ac:dyDescent="0.25">
      <c r="A2157" s="1">
        <v>23</v>
      </c>
      <c r="B2157" s="1">
        <v>12</v>
      </c>
      <c r="C2157" s="1">
        <v>2019</v>
      </c>
      <c r="G2157" s="1" t="s">
        <v>39</v>
      </c>
      <c r="H2157" s="2">
        <v>29.31</v>
      </c>
      <c r="I2157" s="1">
        <v>74</v>
      </c>
      <c r="U2157" s="1">
        <v>119</v>
      </c>
      <c r="X2157" s="1">
        <v>99</v>
      </c>
      <c r="AA2157" s="1">
        <v>11</v>
      </c>
      <c r="AB2157" s="1">
        <v>10</v>
      </c>
      <c r="AC2157" s="1">
        <v>3904</v>
      </c>
      <c r="AF2157" s="3">
        <v>2.5247355851245308</v>
      </c>
      <c r="AG2157" s="3">
        <v>4.2140062133056739</v>
      </c>
      <c r="AH2157" s="1">
        <v>6260</v>
      </c>
      <c r="AI2157" s="1" t="b">
        <v>1</v>
      </c>
    </row>
    <row r="2158" spans="1:35" x14ac:dyDescent="0.25">
      <c r="A2158" s="1">
        <v>23</v>
      </c>
      <c r="B2158" s="1">
        <v>12</v>
      </c>
      <c r="C2158" s="1">
        <v>2019</v>
      </c>
      <c r="G2158" s="1" t="s">
        <v>39</v>
      </c>
      <c r="H2158" s="2">
        <v>29.22</v>
      </c>
      <c r="I2158" s="1">
        <v>59</v>
      </c>
      <c r="U2158" s="1">
        <v>107</v>
      </c>
      <c r="X2158" s="1">
        <v>92</v>
      </c>
      <c r="AA2158" s="1">
        <v>11</v>
      </c>
      <c r="AB2158" s="1">
        <v>11</v>
      </c>
      <c r="AC2158" s="1">
        <v>4041</v>
      </c>
      <c r="AF2158" s="3">
        <v>2.0191649555099249</v>
      </c>
      <c r="AG2158" s="3">
        <v>5.2578034624459278</v>
      </c>
      <c r="AH2158" s="1">
        <v>6260</v>
      </c>
      <c r="AI2158" s="1" t="b">
        <v>1</v>
      </c>
    </row>
    <row r="2159" spans="1:35" x14ac:dyDescent="0.25">
      <c r="A2159" s="1">
        <v>23</v>
      </c>
      <c r="B2159" s="1">
        <v>12</v>
      </c>
      <c r="C2159" s="1">
        <v>2019</v>
      </c>
      <c r="G2159" s="1" t="s">
        <v>39</v>
      </c>
      <c r="H2159" s="2">
        <v>27.61</v>
      </c>
      <c r="I2159" s="1">
        <v>74</v>
      </c>
      <c r="U2159" s="1">
        <v>97</v>
      </c>
      <c r="X2159" s="1">
        <v>86</v>
      </c>
      <c r="AA2159" s="1">
        <v>6</v>
      </c>
      <c r="AB2159" s="1">
        <v>4</v>
      </c>
      <c r="AC2159" s="1">
        <v>3028</v>
      </c>
      <c r="AF2159" s="3">
        <v>2.6801883375588553</v>
      </c>
      <c r="AG2159" s="3">
        <v>3.8069850518323385</v>
      </c>
      <c r="AH2159" s="1">
        <v>6260</v>
      </c>
      <c r="AI2159" s="1" t="b">
        <v>1</v>
      </c>
    </row>
    <row r="2160" spans="1:35" x14ac:dyDescent="0.25">
      <c r="A2160" s="1">
        <v>23</v>
      </c>
      <c r="B2160" s="1">
        <v>12</v>
      </c>
      <c r="C2160" s="1">
        <v>2019</v>
      </c>
      <c r="G2160" s="1" t="s">
        <v>39</v>
      </c>
      <c r="H2160" s="2">
        <v>29.49</v>
      </c>
      <c r="I2160" s="1">
        <v>68</v>
      </c>
      <c r="U2160" s="1">
        <v>119</v>
      </c>
      <c r="X2160" s="1">
        <v>99</v>
      </c>
      <c r="AA2160" s="1">
        <v>10</v>
      </c>
      <c r="AB2160" s="1">
        <v>12</v>
      </c>
      <c r="AC2160" s="1">
        <v>3539</v>
      </c>
      <c r="AF2160" s="3">
        <v>2.3058663953882674</v>
      </c>
      <c r="AG2160" s="3">
        <v>4.6338097671755047</v>
      </c>
      <c r="AH2160" s="1">
        <v>6260</v>
      </c>
      <c r="AI2160" s="1" t="b">
        <v>1</v>
      </c>
    </row>
    <row r="2161" spans="1:35" x14ac:dyDescent="0.25">
      <c r="A2161" s="1">
        <v>24</v>
      </c>
      <c r="B2161" s="1">
        <v>12</v>
      </c>
      <c r="C2161" s="1">
        <v>2019</v>
      </c>
      <c r="G2161" s="1" t="s">
        <v>39</v>
      </c>
      <c r="H2161" s="2">
        <v>27.71</v>
      </c>
      <c r="I2161" s="1">
        <v>70</v>
      </c>
      <c r="U2161" s="1">
        <v>89</v>
      </c>
      <c r="X2161" s="1">
        <v>87</v>
      </c>
      <c r="AA2161" s="1">
        <v>7</v>
      </c>
      <c r="AB2161" s="1">
        <v>8</v>
      </c>
      <c r="AC2161" s="1">
        <v>3350</v>
      </c>
      <c r="AF2161" s="3">
        <v>2.5261638397690365</v>
      </c>
      <c r="AG2161" s="3">
        <v>4.0493382310963</v>
      </c>
      <c r="AH2161" s="1">
        <v>6260</v>
      </c>
      <c r="AI2161" s="1" t="b">
        <v>1</v>
      </c>
    </row>
    <row r="2162" spans="1:35" x14ac:dyDescent="0.25">
      <c r="A2162" s="1">
        <v>24</v>
      </c>
      <c r="B2162" s="1">
        <v>12</v>
      </c>
      <c r="C2162" s="1">
        <v>2019</v>
      </c>
      <c r="G2162" s="1" t="s">
        <v>39</v>
      </c>
      <c r="H2162" s="2">
        <v>21.49</v>
      </c>
      <c r="I2162" s="1">
        <v>51</v>
      </c>
      <c r="U2162" s="1">
        <v>73</v>
      </c>
      <c r="X2162" s="1">
        <v>65</v>
      </c>
      <c r="AA2162" s="1">
        <v>7</v>
      </c>
      <c r="AB2162" s="1">
        <v>8</v>
      </c>
      <c r="AC2162" s="1">
        <v>2665</v>
      </c>
      <c r="AF2162" s="3">
        <v>2.3731968357375526</v>
      </c>
      <c r="AG2162" s="3">
        <v>3.6077109140435386</v>
      </c>
      <c r="AH2162" s="1">
        <v>6260</v>
      </c>
      <c r="AI2162" s="1" t="b">
        <v>1</v>
      </c>
    </row>
    <row r="2163" spans="1:35" x14ac:dyDescent="0.25">
      <c r="A2163" s="1">
        <v>24</v>
      </c>
      <c r="B2163" s="1">
        <v>12</v>
      </c>
      <c r="C2163" s="1">
        <v>2019</v>
      </c>
      <c r="G2163" s="1" t="s">
        <v>39</v>
      </c>
      <c r="H2163" s="2">
        <v>26.81</v>
      </c>
      <c r="I2163" s="1">
        <v>65</v>
      </c>
      <c r="U2163" s="1">
        <v>91</v>
      </c>
      <c r="X2163" s="1">
        <v>84</v>
      </c>
      <c r="AA2163" s="1">
        <v>7</v>
      </c>
      <c r="AB2163" s="1">
        <v>13</v>
      </c>
      <c r="AC2163" s="1">
        <v>3642</v>
      </c>
      <c r="AF2163" s="3">
        <v>2.4244684819097353</v>
      </c>
      <c r="AG2163" s="3">
        <v>4.1227901248554923</v>
      </c>
      <c r="AH2163" s="1">
        <v>6260</v>
      </c>
      <c r="AI2163" s="1" t="b">
        <v>1</v>
      </c>
    </row>
    <row r="2164" spans="1:35" x14ac:dyDescent="0.25">
      <c r="A2164" s="1">
        <v>24</v>
      </c>
      <c r="B2164" s="1">
        <v>12</v>
      </c>
      <c r="C2164" s="1">
        <v>2019</v>
      </c>
      <c r="G2164" s="1" t="s">
        <v>39</v>
      </c>
      <c r="H2164" s="2">
        <v>21.26</v>
      </c>
      <c r="I2164" s="1">
        <v>51</v>
      </c>
      <c r="U2164" s="1">
        <v>71</v>
      </c>
      <c r="X2164" s="1">
        <v>61</v>
      </c>
      <c r="AA2164" s="1">
        <v>5</v>
      </c>
      <c r="AB2164" s="1">
        <v>8</v>
      </c>
      <c r="AC2164" s="1">
        <v>2611</v>
      </c>
      <c r="AF2164" s="3">
        <v>2.3988711194731889</v>
      </c>
      <c r="AG2164" s="3">
        <v>3.5423165338810305</v>
      </c>
      <c r="AH2164" s="1">
        <v>6260</v>
      </c>
      <c r="AI2164" s="1" t="b">
        <v>1</v>
      </c>
    </row>
    <row r="2165" spans="1:35" x14ac:dyDescent="0.25">
      <c r="A2165" s="1">
        <v>24</v>
      </c>
      <c r="B2165" s="1">
        <v>12</v>
      </c>
      <c r="C2165" s="1">
        <v>2019</v>
      </c>
      <c r="G2165" s="1" t="s">
        <v>39</v>
      </c>
      <c r="H2165" s="2">
        <v>24.63</v>
      </c>
      <c r="I2165" s="1">
        <v>69</v>
      </c>
      <c r="U2165" s="1">
        <v>97</v>
      </c>
      <c r="X2165" s="1">
        <v>86</v>
      </c>
      <c r="AA2165" s="1">
        <v>6</v>
      </c>
      <c r="AB2165" s="1">
        <v>7</v>
      </c>
      <c r="AC2165" s="1">
        <v>3212</v>
      </c>
      <c r="AF2165" s="3">
        <v>2.8014616321559074</v>
      </c>
      <c r="AG2165" s="3">
        <v>3.3623305715922465</v>
      </c>
      <c r="AH2165" s="1">
        <v>6260</v>
      </c>
      <c r="AI2165" s="1" t="b">
        <v>1</v>
      </c>
    </row>
    <row r="2166" spans="1:35" x14ac:dyDescent="0.25">
      <c r="A2166" s="1">
        <v>24</v>
      </c>
      <c r="B2166" s="1">
        <v>12</v>
      </c>
      <c r="C2166" s="1">
        <v>2019</v>
      </c>
      <c r="G2166" s="1" t="s">
        <v>39</v>
      </c>
      <c r="H2166" s="2">
        <v>23.19</v>
      </c>
      <c r="I2166" s="1">
        <v>51</v>
      </c>
      <c r="U2166" s="1">
        <v>76</v>
      </c>
      <c r="X2166" s="1">
        <v>65</v>
      </c>
      <c r="AA2166" s="1">
        <v>6</v>
      </c>
      <c r="AB2166" s="1">
        <v>9</v>
      </c>
      <c r="AC2166" s="1">
        <v>2995</v>
      </c>
      <c r="AF2166" s="3">
        <v>2.1992238033635187</v>
      </c>
      <c r="AG2166" s="3">
        <v>4.1062094352938487</v>
      </c>
      <c r="AH2166" s="1">
        <v>6260</v>
      </c>
      <c r="AI2166" s="1" t="b">
        <v>1</v>
      </c>
    </row>
    <row r="2167" spans="1:35" x14ac:dyDescent="0.25">
      <c r="A2167" s="1">
        <v>2</v>
      </c>
      <c r="B2167" s="1">
        <v>1</v>
      </c>
      <c r="C2167" s="1">
        <v>2020</v>
      </c>
      <c r="G2167" s="1" t="s">
        <v>39</v>
      </c>
      <c r="H2167" s="2">
        <v>25.16</v>
      </c>
      <c r="I2167" s="1">
        <v>51</v>
      </c>
      <c r="U2167" s="1">
        <v>88</v>
      </c>
      <c r="X2167" s="1">
        <v>73</v>
      </c>
      <c r="AA2167" s="1">
        <v>9</v>
      </c>
      <c r="AB2167" s="1">
        <v>11</v>
      </c>
      <c r="AC2167" s="1">
        <v>3526</v>
      </c>
      <c r="AF2167" s="3">
        <v>2.0270270270270272</v>
      </c>
      <c r="AG2167" s="3">
        <v>4.7166962212480028</v>
      </c>
      <c r="AH2167" s="1">
        <v>6261</v>
      </c>
      <c r="AI2167" s="1" t="b">
        <v>1</v>
      </c>
    </row>
    <row r="2168" spans="1:35" x14ac:dyDescent="0.25">
      <c r="A2168" s="1">
        <v>2</v>
      </c>
      <c r="B2168" s="1">
        <v>1</v>
      </c>
      <c r="C2168" s="1">
        <v>2020</v>
      </c>
      <c r="G2168" s="1" t="s">
        <v>39</v>
      </c>
      <c r="H2168" s="2">
        <v>34.74</v>
      </c>
      <c r="I2168" s="1">
        <v>56</v>
      </c>
      <c r="V2168" s="1">
        <v>103</v>
      </c>
      <c r="X2168" s="1">
        <v>82</v>
      </c>
      <c r="AA2168" s="1">
        <v>7</v>
      </c>
      <c r="AB2168" s="1">
        <v>14</v>
      </c>
      <c r="AC2168" s="1">
        <v>3959</v>
      </c>
      <c r="AF2168" s="3">
        <v>1.6119746689694876</v>
      </c>
      <c r="AG2168" s="3">
        <v>7.434001715557911</v>
      </c>
      <c r="AH2168" s="1">
        <v>6261</v>
      </c>
      <c r="AI2168" s="1" t="b">
        <v>1</v>
      </c>
    </row>
    <row r="2169" spans="1:35" x14ac:dyDescent="0.25">
      <c r="A2169" s="1">
        <v>8</v>
      </c>
      <c r="B2169" s="1">
        <v>1</v>
      </c>
      <c r="C2169" s="1">
        <v>2020</v>
      </c>
      <c r="G2169" s="1" t="s">
        <v>39</v>
      </c>
      <c r="H2169" s="2">
        <v>24.64</v>
      </c>
      <c r="I2169" s="1">
        <v>48</v>
      </c>
      <c r="U2169" s="1">
        <v>78</v>
      </c>
      <c r="X2169" s="1">
        <v>67</v>
      </c>
      <c r="AA2169" s="1">
        <v>7</v>
      </c>
      <c r="AB2169" s="1">
        <v>9</v>
      </c>
      <c r="AC2169" s="1">
        <v>3026</v>
      </c>
      <c r="AF2169" s="3">
        <v>1.948051948051948</v>
      </c>
      <c r="AG2169" s="3">
        <v>4.8366867224068608</v>
      </c>
      <c r="AH2169" s="1">
        <v>6262</v>
      </c>
      <c r="AI2169" s="1" t="b">
        <v>1</v>
      </c>
    </row>
    <row r="2170" spans="1:35" x14ac:dyDescent="0.25">
      <c r="A2170" s="1">
        <v>8</v>
      </c>
      <c r="B2170" s="1">
        <v>1</v>
      </c>
      <c r="C2170" s="1">
        <v>2020</v>
      </c>
      <c r="G2170" s="1" t="s">
        <v>39</v>
      </c>
      <c r="H2170" s="2">
        <v>27.74</v>
      </c>
      <c r="I2170" s="1">
        <v>64</v>
      </c>
      <c r="U2170" s="1">
        <v>92</v>
      </c>
      <c r="X2170" s="1">
        <v>80</v>
      </c>
      <c r="AA2170" s="1">
        <v>7</v>
      </c>
      <c r="AB2170" s="1">
        <v>7</v>
      </c>
      <c r="AC2170" s="1">
        <v>3495</v>
      </c>
      <c r="AF2170" s="3">
        <v>2.3071377072819037</v>
      </c>
      <c r="AG2170" s="3">
        <v>4.4371182456330258</v>
      </c>
      <c r="AH2170" s="1">
        <v>6262</v>
      </c>
      <c r="AI2170" s="1" t="b">
        <v>1</v>
      </c>
    </row>
    <row r="2171" spans="1:35" x14ac:dyDescent="0.25">
      <c r="A2171" s="1">
        <v>8</v>
      </c>
      <c r="B2171" s="1">
        <v>1</v>
      </c>
      <c r="C2171" s="1">
        <v>2020</v>
      </c>
      <c r="G2171" s="1" t="s">
        <v>39</v>
      </c>
      <c r="H2171" s="2">
        <v>23.9</v>
      </c>
      <c r="I2171" s="1">
        <v>47</v>
      </c>
      <c r="U2171" s="1">
        <v>73</v>
      </c>
      <c r="X2171" s="1">
        <v>62</v>
      </c>
      <c r="AA2171" s="1">
        <v>6</v>
      </c>
      <c r="AB2171" s="1">
        <v>9</v>
      </c>
      <c r="AC2171" s="1">
        <v>2807</v>
      </c>
      <c r="AF2171" s="3">
        <v>1.9665271966527198</v>
      </c>
      <c r="AG2171" s="3">
        <v>4.6900618897676791</v>
      </c>
      <c r="AH2171" s="1">
        <v>6262</v>
      </c>
      <c r="AI2171" s="1" t="b">
        <v>1</v>
      </c>
    </row>
    <row r="2172" spans="1:35" x14ac:dyDescent="0.25">
      <c r="A2172" s="1">
        <v>9</v>
      </c>
      <c r="B2172" s="1">
        <v>1</v>
      </c>
      <c r="C2172" s="1">
        <v>2020</v>
      </c>
      <c r="G2172" s="1" t="s">
        <v>39</v>
      </c>
      <c r="H2172" s="2">
        <v>24.57</v>
      </c>
      <c r="I2172" s="1">
        <v>53</v>
      </c>
      <c r="U2172" s="1">
        <v>87</v>
      </c>
      <c r="X2172" s="1">
        <v>73</v>
      </c>
      <c r="AA2172" s="1">
        <v>10</v>
      </c>
      <c r="AB2172" s="1">
        <v>8</v>
      </c>
      <c r="AC2172" s="1">
        <v>3188</v>
      </c>
      <c r="AF2172" s="3">
        <v>2.1571021571021571</v>
      </c>
      <c r="AG2172" s="3">
        <v>4.3592612439965599</v>
      </c>
      <c r="AH2172" s="1">
        <v>6262</v>
      </c>
      <c r="AI2172" s="1" t="b">
        <v>1</v>
      </c>
    </row>
    <row r="2173" spans="1:35" x14ac:dyDescent="0.25">
      <c r="A2173" s="1">
        <v>10</v>
      </c>
      <c r="B2173" s="1">
        <v>1</v>
      </c>
      <c r="C2173" s="1">
        <v>2020</v>
      </c>
      <c r="G2173" s="1" t="s">
        <v>39</v>
      </c>
      <c r="H2173" s="2">
        <v>25.99</v>
      </c>
      <c r="I2173" s="1">
        <v>54</v>
      </c>
      <c r="U2173" s="1">
        <v>88</v>
      </c>
      <c r="X2173" s="1">
        <v>77</v>
      </c>
      <c r="AA2173" s="1">
        <v>9</v>
      </c>
      <c r="AB2173" s="1">
        <v>13</v>
      </c>
      <c r="AC2173" s="1">
        <v>3011</v>
      </c>
      <c r="AF2173" s="3">
        <v>2.0777222008464795</v>
      </c>
      <c r="AG2173" s="3">
        <v>4.7073546092121834</v>
      </c>
      <c r="AH2173" s="1">
        <v>6262</v>
      </c>
      <c r="AI2173" s="1" t="b">
        <v>1</v>
      </c>
    </row>
    <row r="2174" spans="1:35" x14ac:dyDescent="0.25">
      <c r="A2174" s="1">
        <v>10</v>
      </c>
      <c r="B2174" s="1">
        <v>1</v>
      </c>
      <c r="C2174" s="1">
        <v>2020</v>
      </c>
      <c r="G2174" s="1" t="s">
        <v>39</v>
      </c>
      <c r="H2174" s="2">
        <v>25.64</v>
      </c>
      <c r="I2174" s="1">
        <v>55</v>
      </c>
      <c r="U2174" s="1">
        <v>94</v>
      </c>
      <c r="X2174" s="1">
        <v>77</v>
      </c>
      <c r="AA2174" s="1">
        <v>11</v>
      </c>
      <c r="AB2174" s="1">
        <v>8</v>
      </c>
      <c r="AC2174" s="1">
        <v>3276</v>
      </c>
      <c r="AF2174" s="3">
        <v>2.1450858034321372</v>
      </c>
      <c r="AG2174" s="3">
        <v>4.5164576880407505</v>
      </c>
      <c r="AH2174" s="1">
        <v>6262</v>
      </c>
      <c r="AI2174" s="1" t="b">
        <v>1</v>
      </c>
    </row>
    <row r="2175" spans="1:35" x14ac:dyDescent="0.25">
      <c r="A2175" s="1">
        <v>10</v>
      </c>
      <c r="B2175" s="1">
        <v>1</v>
      </c>
      <c r="C2175" s="1">
        <v>2020</v>
      </c>
      <c r="G2175" s="1" t="s">
        <v>39</v>
      </c>
      <c r="H2175" s="2">
        <v>21.46</v>
      </c>
      <c r="I2175" s="1">
        <v>50</v>
      </c>
      <c r="U2175" s="1">
        <v>83</v>
      </c>
      <c r="X2175" s="1">
        <v>68</v>
      </c>
      <c r="AA2175" s="1">
        <v>9</v>
      </c>
      <c r="AB2175" s="1">
        <v>11</v>
      </c>
      <c r="AC2175" s="1">
        <v>2779</v>
      </c>
      <c r="AF2175" s="3">
        <v>2.3299161230195713</v>
      </c>
      <c r="AG2175" s="3">
        <v>3.6711363555921235</v>
      </c>
      <c r="AH2175" s="1">
        <v>6262</v>
      </c>
      <c r="AI2175" s="1" t="b">
        <v>1</v>
      </c>
    </row>
    <row r="2176" spans="1:35" x14ac:dyDescent="0.25">
      <c r="A2176" s="1">
        <v>10</v>
      </c>
      <c r="B2176" s="1">
        <v>1</v>
      </c>
      <c r="C2176" s="1">
        <v>2020</v>
      </c>
      <c r="G2176" s="1" t="s">
        <v>39</v>
      </c>
      <c r="H2176" s="2">
        <v>23.91</v>
      </c>
      <c r="I2176" s="1">
        <v>60</v>
      </c>
      <c r="U2176" s="1">
        <v>85</v>
      </c>
      <c r="X2176" s="1">
        <v>79</v>
      </c>
      <c r="AA2176" s="1">
        <v>8</v>
      </c>
      <c r="AB2176" s="1">
        <v>10</v>
      </c>
      <c r="AC2176" s="1">
        <v>3116</v>
      </c>
      <c r="AF2176" s="3">
        <v>2.509410288582183</v>
      </c>
      <c r="AG2176" s="3">
        <v>3.6764954176983888</v>
      </c>
      <c r="AH2176" s="1">
        <v>6262</v>
      </c>
      <c r="AI2176" s="1" t="b">
        <v>1</v>
      </c>
    </row>
    <row r="2177" spans="1:35" x14ac:dyDescent="0.25">
      <c r="A2177" s="1">
        <v>10</v>
      </c>
      <c r="B2177" s="1">
        <v>1</v>
      </c>
      <c r="C2177" s="1">
        <v>2020</v>
      </c>
      <c r="G2177" s="1" t="s">
        <v>39</v>
      </c>
      <c r="H2177" s="2">
        <v>16.77</v>
      </c>
      <c r="I2177" s="1">
        <v>35</v>
      </c>
      <c r="U2177" s="1">
        <v>44</v>
      </c>
      <c r="X2177" s="1">
        <v>42</v>
      </c>
      <c r="AA2177" s="1">
        <v>4</v>
      </c>
      <c r="AB2177" s="1">
        <v>6</v>
      </c>
      <c r="AC2177" s="1">
        <v>2303</v>
      </c>
      <c r="AF2177" s="3">
        <v>2.0870602265951104</v>
      </c>
      <c r="AG2177" s="3">
        <v>3.4485629823965431</v>
      </c>
      <c r="AH2177" s="1">
        <v>6262</v>
      </c>
      <c r="AI2177" s="1" t="b">
        <v>1</v>
      </c>
    </row>
    <row r="2178" spans="1:35" x14ac:dyDescent="0.25">
      <c r="A2178" s="1">
        <v>10</v>
      </c>
      <c r="B2178" s="1">
        <v>1</v>
      </c>
      <c r="C2178" s="1">
        <v>2020</v>
      </c>
      <c r="G2178" s="1" t="s">
        <v>39</v>
      </c>
      <c r="H2178" s="2">
        <v>25.49</v>
      </c>
      <c r="I2178" s="1">
        <v>71</v>
      </c>
      <c r="U2178" s="1">
        <v>88</v>
      </c>
      <c r="X2178" s="1">
        <v>81</v>
      </c>
      <c r="AA2178" s="1">
        <v>6</v>
      </c>
      <c r="AB2178" s="1">
        <v>8</v>
      </c>
      <c r="AC2178" s="1">
        <v>3354</v>
      </c>
      <c r="AF2178" s="3">
        <v>2.7854060415849355</v>
      </c>
      <c r="AG2178" s="3">
        <v>3.4639400855049813</v>
      </c>
      <c r="AH2178" s="1">
        <v>6262</v>
      </c>
      <c r="AI2178" s="1" t="b">
        <v>1</v>
      </c>
    </row>
    <row r="2179" spans="1:35" x14ac:dyDescent="0.25">
      <c r="A2179" s="1">
        <v>10</v>
      </c>
      <c r="B2179" s="1">
        <v>1</v>
      </c>
      <c r="C2179" s="1">
        <v>2020</v>
      </c>
      <c r="G2179" s="1" t="s">
        <v>39</v>
      </c>
      <c r="H2179" s="2">
        <v>27.95</v>
      </c>
      <c r="I2179" s="1">
        <v>63</v>
      </c>
      <c r="U2179" s="1">
        <v>85</v>
      </c>
      <c r="X2179" s="1">
        <v>77</v>
      </c>
      <c r="AA2179" s="1">
        <v>5</v>
      </c>
      <c r="AB2179" s="1">
        <v>9</v>
      </c>
      <c r="AC2179" s="1">
        <v>3129</v>
      </c>
      <c r="AF2179" s="3">
        <v>2.2540250447227193</v>
      </c>
      <c r="AG2179" s="3">
        <v>4.5657121904518227</v>
      </c>
      <c r="AH2179" s="1">
        <v>6262</v>
      </c>
      <c r="AI2179" s="1" t="b">
        <v>1</v>
      </c>
    </row>
    <row r="2180" spans="1:35" x14ac:dyDescent="0.25">
      <c r="A2180" s="1">
        <v>10</v>
      </c>
      <c r="B2180" s="1">
        <v>1</v>
      </c>
      <c r="C2180" s="1">
        <v>2020</v>
      </c>
      <c r="G2180" s="1" t="s">
        <v>39</v>
      </c>
      <c r="H2180" s="2">
        <v>26.91</v>
      </c>
      <c r="I2180" s="1">
        <v>61</v>
      </c>
      <c r="U2180" s="1">
        <v>90</v>
      </c>
      <c r="X2180" s="1">
        <v>79</v>
      </c>
      <c r="AA2180" s="1">
        <v>9</v>
      </c>
      <c r="AB2180" s="1">
        <v>8</v>
      </c>
      <c r="AC2180" s="1">
        <v>2951</v>
      </c>
      <c r="AF2180" s="3">
        <v>2.2668153102935711</v>
      </c>
      <c r="AG2180" s="3">
        <v>4.4210298906525498</v>
      </c>
      <c r="AH2180" s="1">
        <v>6262</v>
      </c>
      <c r="AI2180" s="1" t="b">
        <v>1</v>
      </c>
    </row>
    <row r="2181" spans="1:35" x14ac:dyDescent="0.25">
      <c r="A2181" s="1">
        <v>10</v>
      </c>
      <c r="B2181" s="1">
        <v>1</v>
      </c>
      <c r="C2181" s="1">
        <v>2020</v>
      </c>
      <c r="G2181" s="1" t="s">
        <v>39</v>
      </c>
      <c r="H2181" s="2">
        <v>28.66</v>
      </c>
      <c r="I2181" s="1">
        <v>60</v>
      </c>
      <c r="U2181" s="1">
        <v>102</v>
      </c>
      <c r="X2181" s="1">
        <v>83</v>
      </c>
      <c r="AA2181" s="1">
        <v>11</v>
      </c>
      <c r="AB2181" s="1">
        <v>6</v>
      </c>
      <c r="AC2181" s="1">
        <v>3521</v>
      </c>
      <c r="AF2181" s="3">
        <v>2.0935101186322402</v>
      </c>
      <c r="AG2181" s="3">
        <v>5.0028590342154109</v>
      </c>
      <c r="AH2181" s="1">
        <v>6262</v>
      </c>
      <c r="AI2181" s="1" t="b">
        <v>1</v>
      </c>
    </row>
    <row r="2182" spans="1:35" x14ac:dyDescent="0.25">
      <c r="A2182" s="1">
        <v>10</v>
      </c>
      <c r="B2182" s="1">
        <v>1</v>
      </c>
      <c r="C2182" s="1">
        <v>2020</v>
      </c>
      <c r="G2182" s="1" t="s">
        <v>39</v>
      </c>
      <c r="H2182" s="2">
        <v>34.68</v>
      </c>
      <c r="I2182" s="1">
        <v>90</v>
      </c>
      <c r="U2182" s="1">
        <v>124</v>
      </c>
      <c r="X2182" s="1">
        <v>108</v>
      </c>
      <c r="AA2182" s="1">
        <v>7</v>
      </c>
      <c r="AB2182" s="1">
        <v>4</v>
      </c>
      <c r="AC2182" s="1">
        <v>3880</v>
      </c>
      <c r="AF2182" s="3">
        <v>2.5951557093425608</v>
      </c>
      <c r="AG2182" s="3">
        <v>4.6120280664755162</v>
      </c>
      <c r="AH2182" s="1">
        <v>6262</v>
      </c>
      <c r="AI2182" s="1" t="b">
        <v>1</v>
      </c>
    </row>
    <row r="2183" spans="1:35" x14ac:dyDescent="0.25">
      <c r="A2183" s="1">
        <v>10</v>
      </c>
      <c r="B2183" s="1">
        <v>1</v>
      </c>
      <c r="C2183" s="1">
        <v>2020</v>
      </c>
      <c r="G2183" s="1" t="s">
        <v>39</v>
      </c>
      <c r="H2183" s="2">
        <v>22.08</v>
      </c>
      <c r="I2183" s="1">
        <v>51</v>
      </c>
      <c r="U2183" s="1">
        <v>72</v>
      </c>
      <c r="X2183" s="1">
        <v>59</v>
      </c>
      <c r="AA2183" s="1">
        <v>6</v>
      </c>
      <c r="AB2183" s="1">
        <v>4</v>
      </c>
      <c r="AC2183" s="1">
        <v>2653</v>
      </c>
      <c r="AF2183" s="3">
        <v>2.3097826086956523</v>
      </c>
      <c r="AG2183" s="3">
        <v>3.77770674258886</v>
      </c>
      <c r="AH2183" s="1">
        <v>6262</v>
      </c>
      <c r="AI2183" s="1" t="b">
        <v>1</v>
      </c>
    </row>
    <row r="2184" spans="1:35" x14ac:dyDescent="0.25">
      <c r="A2184" s="1">
        <v>10</v>
      </c>
      <c r="B2184" s="1">
        <v>1</v>
      </c>
      <c r="C2184" s="1">
        <v>2020</v>
      </c>
      <c r="G2184" s="1" t="s">
        <v>39</v>
      </c>
      <c r="H2184" s="2">
        <v>22.6</v>
      </c>
      <c r="I2184" s="1">
        <v>50</v>
      </c>
      <c r="U2184" s="1">
        <v>90</v>
      </c>
      <c r="X2184" s="1">
        <v>74</v>
      </c>
      <c r="AA2184" s="1">
        <v>8</v>
      </c>
      <c r="AB2184" s="1">
        <v>12</v>
      </c>
      <c r="AC2184" s="1">
        <v>3054</v>
      </c>
      <c r="AF2184" s="3">
        <v>2.2123893805309733</v>
      </c>
      <c r="AG2184" s="3">
        <v>4.0087995613630785</v>
      </c>
      <c r="AH2184" s="1">
        <v>6262</v>
      </c>
      <c r="AI2184" s="1" t="b">
        <v>1</v>
      </c>
    </row>
    <row r="2185" spans="1:35" x14ac:dyDescent="0.25">
      <c r="A2185" s="1">
        <v>10</v>
      </c>
      <c r="B2185" s="1">
        <v>1</v>
      </c>
      <c r="C2185" s="1">
        <v>2020</v>
      </c>
      <c r="G2185" s="1" t="s">
        <v>39</v>
      </c>
      <c r="H2185" s="2">
        <v>22.74</v>
      </c>
      <c r="I2185" s="1">
        <v>59</v>
      </c>
      <c r="U2185" s="1">
        <v>69</v>
      </c>
      <c r="X2185" s="1">
        <v>65</v>
      </c>
      <c r="AA2185" s="1">
        <v>4</v>
      </c>
      <c r="AB2185" s="1">
        <v>9</v>
      </c>
      <c r="AC2185" s="1">
        <v>2986</v>
      </c>
      <c r="AF2185" s="3">
        <v>2.5945470536499564</v>
      </c>
      <c r="AG2185" s="3">
        <v>3.4331420322134254</v>
      </c>
      <c r="AH2185" s="1">
        <v>6262</v>
      </c>
      <c r="AI2185" s="1" t="b">
        <v>1</v>
      </c>
    </row>
    <row r="2186" spans="1:35" x14ac:dyDescent="0.25">
      <c r="A2186" s="1">
        <v>10</v>
      </c>
      <c r="B2186" s="1">
        <v>1</v>
      </c>
      <c r="C2186" s="1">
        <v>2020</v>
      </c>
      <c r="G2186" s="1" t="s">
        <v>39</v>
      </c>
      <c r="H2186" s="2">
        <v>25.93</v>
      </c>
      <c r="I2186" s="1">
        <v>69</v>
      </c>
      <c r="U2186" s="1">
        <v>99</v>
      </c>
      <c r="X2186" s="1">
        <v>86</v>
      </c>
      <c r="AA2186" s="1">
        <v>7</v>
      </c>
      <c r="AB2186" s="1">
        <v>9</v>
      </c>
      <c r="AC2186" s="1">
        <v>3272</v>
      </c>
      <c r="AF2186" s="3">
        <v>2.6610104126494409</v>
      </c>
      <c r="AG2186" s="3">
        <v>3.6695700941217804</v>
      </c>
      <c r="AH2186" s="1">
        <v>6262</v>
      </c>
      <c r="AI2186" s="1" t="b">
        <v>1</v>
      </c>
    </row>
    <row r="2187" spans="1:35" x14ac:dyDescent="0.25">
      <c r="A2187" s="1">
        <v>10</v>
      </c>
      <c r="B2187" s="1">
        <v>1</v>
      </c>
      <c r="C2187" s="1">
        <v>2020</v>
      </c>
      <c r="G2187" s="1" t="s">
        <v>39</v>
      </c>
      <c r="H2187" s="2">
        <v>27.85</v>
      </c>
      <c r="I2187" s="1">
        <v>78</v>
      </c>
      <c r="U2187" s="1">
        <v>109</v>
      </c>
      <c r="X2187" s="1">
        <v>96</v>
      </c>
      <c r="AA2187" s="1">
        <v>8</v>
      </c>
      <c r="AB2187" s="1">
        <v>7</v>
      </c>
      <c r="AC2187" s="1">
        <v>3428</v>
      </c>
      <c r="AF2187" s="3">
        <v>2.8007181328545778</v>
      </c>
      <c r="AG2187" s="3">
        <v>3.6652891095578721</v>
      </c>
      <c r="AH2187" s="1">
        <v>6262</v>
      </c>
      <c r="AI2187" s="1" t="b">
        <v>1</v>
      </c>
    </row>
    <row r="2188" spans="1:35" x14ac:dyDescent="0.25">
      <c r="A2188" s="1">
        <v>10</v>
      </c>
      <c r="B2188" s="1">
        <v>1</v>
      </c>
      <c r="C2188" s="1">
        <v>2020</v>
      </c>
      <c r="G2188" s="1" t="s">
        <v>39</v>
      </c>
      <c r="H2188" s="2">
        <v>24.05</v>
      </c>
      <c r="I2188" s="1">
        <v>55</v>
      </c>
      <c r="U2188" s="1">
        <v>67</v>
      </c>
      <c r="X2188" s="1">
        <v>61</v>
      </c>
      <c r="AA2188" s="1">
        <v>4</v>
      </c>
      <c r="AB2188" s="1">
        <v>6</v>
      </c>
      <c r="AC2188" s="1">
        <v>2751</v>
      </c>
      <c r="AF2188" s="3">
        <v>2.2869022869022868</v>
      </c>
      <c r="AG2188" s="3">
        <v>4.0507267477351352</v>
      </c>
      <c r="AH2188" s="1">
        <v>6262</v>
      </c>
      <c r="AI2188" s="1" t="b">
        <v>1</v>
      </c>
    </row>
    <row r="2189" spans="1:35" x14ac:dyDescent="0.25">
      <c r="A2189" s="1">
        <v>10</v>
      </c>
      <c r="B2189" s="1">
        <v>1</v>
      </c>
      <c r="C2189" s="1">
        <v>2020</v>
      </c>
      <c r="G2189" s="1" t="s">
        <v>39</v>
      </c>
      <c r="H2189" s="2">
        <v>25.26</v>
      </c>
      <c r="I2189" s="1">
        <v>62</v>
      </c>
      <c r="U2189" s="1">
        <v>86</v>
      </c>
      <c r="X2189" s="1">
        <v>75</v>
      </c>
      <c r="AA2189" s="1">
        <v>9</v>
      </c>
      <c r="AB2189" s="1">
        <v>7</v>
      </c>
      <c r="AC2189" s="1">
        <v>3170</v>
      </c>
      <c r="AF2189" s="3">
        <v>2.4544734758511479</v>
      </c>
      <c r="AG2189" s="3">
        <v>3.9061147649203622</v>
      </c>
      <c r="AH2189" s="1">
        <v>6262</v>
      </c>
      <c r="AI2189" s="1" t="b">
        <v>1</v>
      </c>
    </row>
    <row r="2190" spans="1:35" x14ac:dyDescent="0.25">
      <c r="A2190" s="1">
        <v>10</v>
      </c>
      <c r="B2190" s="1">
        <v>1</v>
      </c>
      <c r="C2190" s="1">
        <v>2020</v>
      </c>
      <c r="G2190" s="1" t="s">
        <v>39</v>
      </c>
      <c r="H2190" s="2">
        <v>21.43</v>
      </c>
      <c r="I2190" s="1">
        <v>41</v>
      </c>
      <c r="U2190" s="1">
        <v>75</v>
      </c>
      <c r="X2190" s="1">
        <v>59</v>
      </c>
      <c r="AA2190" s="1">
        <v>9</v>
      </c>
      <c r="AB2190" s="1">
        <v>12</v>
      </c>
      <c r="AC2190" s="1">
        <v>2883</v>
      </c>
      <c r="AF2190" s="3">
        <v>1.9132057862809146</v>
      </c>
      <c r="AG2190" s="3">
        <v>4.4663611175086908</v>
      </c>
      <c r="AH2190" s="1">
        <v>6262</v>
      </c>
      <c r="AI2190" s="1" t="b">
        <v>1</v>
      </c>
    </row>
    <row r="2191" spans="1:35" x14ac:dyDescent="0.25">
      <c r="A2191" s="1">
        <v>22</v>
      </c>
      <c r="B2191" s="1">
        <v>1</v>
      </c>
      <c r="C2191" s="1">
        <v>2020</v>
      </c>
      <c r="G2191" s="1" t="s">
        <v>39</v>
      </c>
      <c r="H2191" s="2">
        <v>21.38</v>
      </c>
      <c r="I2191" s="1">
        <v>46</v>
      </c>
      <c r="U2191" s="1">
        <v>77</v>
      </c>
      <c r="X2191" s="1">
        <v>66</v>
      </c>
      <c r="AA2191" s="1">
        <v>8</v>
      </c>
      <c r="AB2191" s="1">
        <v>9</v>
      </c>
      <c r="AC2191" s="1">
        <v>2627</v>
      </c>
      <c r="AF2191" s="3">
        <v>2.1515434985968196</v>
      </c>
      <c r="AG2191" s="3">
        <v>3.9651101807082698</v>
      </c>
      <c r="AH2191" s="1">
        <v>6264</v>
      </c>
      <c r="AI2191" s="1" t="b">
        <v>1</v>
      </c>
    </row>
    <row r="2192" spans="1:35" x14ac:dyDescent="0.25">
      <c r="A2192" s="1">
        <v>22</v>
      </c>
      <c r="B2192" s="1">
        <v>1</v>
      </c>
      <c r="C2192" s="1">
        <v>2020</v>
      </c>
      <c r="G2192" s="1" t="s">
        <v>39</v>
      </c>
      <c r="H2192" s="2">
        <v>28.7</v>
      </c>
      <c r="I2192" s="1">
        <v>80</v>
      </c>
      <c r="U2192" s="1">
        <v>111</v>
      </c>
      <c r="X2192" s="1">
        <v>97</v>
      </c>
      <c r="AA2192" s="1">
        <v>7</v>
      </c>
      <c r="AB2192" s="1">
        <v>8</v>
      </c>
      <c r="AC2192" s="1">
        <v>3998</v>
      </c>
      <c r="AF2192" s="3">
        <v>2.7874564459930316</v>
      </c>
      <c r="AG2192" s="3">
        <v>3.7610511294102116</v>
      </c>
      <c r="AH2192" s="1">
        <v>6264</v>
      </c>
      <c r="AI2192" s="1" t="b">
        <v>1</v>
      </c>
    </row>
    <row r="2193" spans="1:35" x14ac:dyDescent="0.25">
      <c r="A2193" s="1">
        <v>22</v>
      </c>
      <c r="B2193" s="1">
        <v>1</v>
      </c>
      <c r="C2193" s="1">
        <v>2020</v>
      </c>
      <c r="G2193" s="1" t="s">
        <v>39</v>
      </c>
      <c r="H2193" s="2">
        <v>26.02</v>
      </c>
      <c r="I2193" s="1">
        <v>68</v>
      </c>
      <c r="U2193" s="1">
        <v>97</v>
      </c>
      <c r="X2193" s="1">
        <v>84</v>
      </c>
      <c r="AA2193" s="1">
        <v>7</v>
      </c>
      <c r="AB2193" s="1">
        <v>8</v>
      </c>
      <c r="AC2193" s="1">
        <v>3762</v>
      </c>
      <c r="AF2193" s="3">
        <v>2.6133743274404306</v>
      </c>
      <c r="AG2193" s="3">
        <v>3.7455317607068204</v>
      </c>
      <c r="AH2193" s="1">
        <v>6264</v>
      </c>
      <c r="AI2193" s="1" t="b">
        <v>1</v>
      </c>
    </row>
    <row r="2194" spans="1:35" x14ac:dyDescent="0.25">
      <c r="A2194" s="1">
        <v>22</v>
      </c>
      <c r="B2194" s="1">
        <v>1</v>
      </c>
      <c r="C2194" s="1">
        <v>2020</v>
      </c>
      <c r="G2194" s="1" t="s">
        <v>39</v>
      </c>
      <c r="H2194" s="2">
        <v>20.7</v>
      </c>
      <c r="I2194" s="1">
        <v>48</v>
      </c>
      <c r="U2194" s="1">
        <v>70</v>
      </c>
      <c r="X2194" s="1">
        <v>58</v>
      </c>
      <c r="AA2194" s="1">
        <v>7</v>
      </c>
      <c r="AB2194" s="1">
        <v>11</v>
      </c>
      <c r="AC2194" s="1">
        <v>2915</v>
      </c>
      <c r="AF2194" s="3">
        <v>2.318840579710145</v>
      </c>
      <c r="AG2194" s="3">
        <v>3.5967342448968189</v>
      </c>
      <c r="AH2194" s="1">
        <v>6264</v>
      </c>
      <c r="AI2194" s="1" t="b">
        <v>1</v>
      </c>
    </row>
    <row r="2195" spans="1:35" x14ac:dyDescent="0.25">
      <c r="A2195" s="1">
        <v>22</v>
      </c>
      <c r="B2195" s="1">
        <v>1</v>
      </c>
      <c r="C2195" s="1">
        <v>2020</v>
      </c>
      <c r="G2195" s="1" t="s">
        <v>39</v>
      </c>
      <c r="H2195" s="2">
        <v>24.44</v>
      </c>
      <c r="I2195" s="1">
        <v>55</v>
      </c>
      <c r="U2195" s="1">
        <v>78</v>
      </c>
      <c r="X2195" s="1">
        <v>70</v>
      </c>
      <c r="AA2195" s="1">
        <v>8</v>
      </c>
      <c r="AB2195" s="1">
        <v>6</v>
      </c>
      <c r="AC2195" s="1">
        <v>3006</v>
      </c>
      <c r="AF2195" s="3">
        <v>2.250409165302782</v>
      </c>
      <c r="AG2195" s="3">
        <v>4.1630282038812698</v>
      </c>
      <c r="AH2195" s="1">
        <v>6264</v>
      </c>
      <c r="AI2195" s="1" t="b">
        <v>1</v>
      </c>
    </row>
    <row r="2196" spans="1:35" x14ac:dyDescent="0.25">
      <c r="A2196" s="1">
        <v>22</v>
      </c>
      <c r="B2196" s="1">
        <v>1</v>
      </c>
      <c r="C2196" s="1">
        <v>2020</v>
      </c>
      <c r="G2196" s="1" t="s">
        <v>39</v>
      </c>
      <c r="H2196" s="2">
        <v>22.33</v>
      </c>
      <c r="I2196" s="1">
        <v>57</v>
      </c>
      <c r="U2196" s="1">
        <v>74</v>
      </c>
      <c r="X2196" s="1">
        <v>64</v>
      </c>
      <c r="AA2196" s="1">
        <v>4</v>
      </c>
      <c r="AB2196" s="1">
        <v>7</v>
      </c>
      <c r="AC2196" s="1">
        <v>2950</v>
      </c>
      <c r="AF2196" s="3">
        <v>2.5526197939991047</v>
      </c>
      <c r="AG2196" s="3">
        <v>3.4453708385466411</v>
      </c>
      <c r="AH2196" s="1">
        <v>6264</v>
      </c>
      <c r="AI2196" s="1" t="b">
        <v>1</v>
      </c>
    </row>
    <row r="2197" spans="1:35" x14ac:dyDescent="0.25">
      <c r="A2197" s="1">
        <v>24</v>
      </c>
      <c r="B2197" s="1">
        <v>1</v>
      </c>
      <c r="C2197" s="1">
        <v>2020</v>
      </c>
      <c r="G2197" s="1" t="s">
        <v>39</v>
      </c>
      <c r="H2197" s="2">
        <v>27.72</v>
      </c>
      <c r="I2197" s="1">
        <v>63</v>
      </c>
      <c r="U2197" s="1">
        <v>91</v>
      </c>
      <c r="X2197" s="1">
        <v>82</v>
      </c>
      <c r="AA2197" s="1">
        <v>6</v>
      </c>
      <c r="AB2197" s="1">
        <v>8</v>
      </c>
      <c r="AC2197" s="1">
        <v>4082</v>
      </c>
      <c r="AF2197" s="3">
        <v>2.2727272727272729</v>
      </c>
      <c r="AG2197" s="3">
        <v>4.5020253349449204</v>
      </c>
      <c r="AH2197" s="1">
        <v>6264</v>
      </c>
      <c r="AI2197" s="1" t="b">
        <v>1</v>
      </c>
    </row>
    <row r="2198" spans="1:35" x14ac:dyDescent="0.25">
      <c r="A2198" s="1">
        <v>24</v>
      </c>
      <c r="B2198" s="1">
        <v>1</v>
      </c>
      <c r="C2198" s="1">
        <v>2020</v>
      </c>
      <c r="G2198" s="1" t="s">
        <v>39</v>
      </c>
      <c r="H2198" s="2">
        <v>18.68</v>
      </c>
      <c r="I2198" s="1">
        <v>36</v>
      </c>
      <c r="U2198" s="1">
        <v>72</v>
      </c>
      <c r="X2198" s="1">
        <v>60</v>
      </c>
      <c r="AA2198" s="1">
        <v>8</v>
      </c>
      <c r="AB2198" s="1">
        <v>8</v>
      </c>
      <c r="AC2198" s="1">
        <v>3335</v>
      </c>
      <c r="AF2198" s="3">
        <v>1.9271948608137046</v>
      </c>
      <c r="AG2198" s="3">
        <v>4.0275244117023012</v>
      </c>
      <c r="AH2198" s="1">
        <v>6264</v>
      </c>
      <c r="AI2198" s="1" t="b">
        <v>1</v>
      </c>
    </row>
    <row r="2199" spans="1:35" x14ac:dyDescent="0.25">
      <c r="A2199" s="1">
        <v>24</v>
      </c>
      <c r="B2199" s="1">
        <v>1</v>
      </c>
      <c r="C2199" s="1">
        <v>2020</v>
      </c>
      <c r="G2199" s="1" t="s">
        <v>39</v>
      </c>
      <c r="H2199" s="2">
        <v>19.670000000000002</v>
      </c>
      <c r="I2199" s="1">
        <v>45</v>
      </c>
      <c r="U2199" s="1">
        <v>63</v>
      </c>
      <c r="X2199" s="1">
        <v>55</v>
      </c>
      <c r="AA2199" s="1">
        <v>5</v>
      </c>
      <c r="AB2199" s="1">
        <v>8</v>
      </c>
      <c r="AC2199" s="1">
        <v>2943</v>
      </c>
      <c r="AF2199" s="3">
        <v>2.2877478393492625</v>
      </c>
      <c r="AG2199" s="3">
        <v>3.5176684054162486</v>
      </c>
      <c r="AH2199" s="1">
        <v>6264</v>
      </c>
      <c r="AI2199" s="1" t="b">
        <v>1</v>
      </c>
    </row>
    <row r="2200" spans="1:35" x14ac:dyDescent="0.25">
      <c r="A2200" s="1">
        <v>24</v>
      </c>
      <c r="B2200" s="1">
        <v>1</v>
      </c>
      <c r="C2200" s="1">
        <v>2020</v>
      </c>
      <c r="G2200" s="1" t="s">
        <v>39</v>
      </c>
      <c r="H2200" s="2">
        <v>25.67</v>
      </c>
      <c r="I2200" s="1">
        <v>57</v>
      </c>
      <c r="U2200" s="1">
        <v>80</v>
      </c>
      <c r="X2200" s="1">
        <v>73</v>
      </c>
      <c r="AA2200" s="1">
        <v>6</v>
      </c>
      <c r="AB2200" s="1">
        <v>7</v>
      </c>
      <c r="AC2200" s="1">
        <v>3476</v>
      </c>
      <c r="AF2200" s="3">
        <v>2.2204908453447603</v>
      </c>
      <c r="AG2200" s="3">
        <v>4.3666574177604769</v>
      </c>
      <c r="AH2200" s="1">
        <v>6264</v>
      </c>
      <c r="AI2200" s="1" t="b">
        <v>1</v>
      </c>
    </row>
    <row r="2201" spans="1:35" x14ac:dyDescent="0.25">
      <c r="A2201" s="1">
        <v>24</v>
      </c>
      <c r="B2201" s="1">
        <v>1</v>
      </c>
      <c r="C2201" s="1">
        <v>2020</v>
      </c>
      <c r="G2201" s="1" t="s">
        <v>39</v>
      </c>
      <c r="H2201" s="2">
        <v>25.56</v>
      </c>
      <c r="I2201" s="1">
        <v>58</v>
      </c>
      <c r="U2201" s="1">
        <v>88</v>
      </c>
      <c r="X2201" s="1">
        <v>73</v>
      </c>
      <c r="AA2201" s="1">
        <v>8</v>
      </c>
      <c r="AB2201" s="1">
        <v>13</v>
      </c>
      <c r="AC2201" s="1">
        <v>3399</v>
      </c>
      <c r="AF2201" s="3">
        <v>2.2691705790297343</v>
      </c>
      <c r="AG2201" s="3">
        <v>4.2601554900182252</v>
      </c>
      <c r="AH2201" s="1">
        <v>6264</v>
      </c>
      <c r="AI2201" s="1" t="b">
        <v>1</v>
      </c>
    </row>
    <row r="2202" spans="1:35" x14ac:dyDescent="0.25">
      <c r="A2202" s="1">
        <v>24</v>
      </c>
      <c r="B2202" s="1">
        <v>1</v>
      </c>
      <c r="C2202" s="1">
        <v>2020</v>
      </c>
      <c r="G2202" s="1" t="s">
        <v>39</v>
      </c>
      <c r="H2202" s="2">
        <v>22.43</v>
      </c>
      <c r="I2202" s="1">
        <v>54</v>
      </c>
      <c r="U2202" s="1">
        <v>73</v>
      </c>
      <c r="X2202" s="1">
        <v>62</v>
      </c>
      <c r="AA2202" s="1">
        <v>6</v>
      </c>
      <c r="AB2202" s="1">
        <v>9</v>
      </c>
      <c r="AC2202" s="1">
        <v>3177</v>
      </c>
      <c r="AF2202" s="3">
        <v>2.4074899687917966</v>
      </c>
      <c r="AG2202" s="3">
        <v>3.6645107940078985</v>
      </c>
      <c r="AH2202" s="1">
        <v>6264</v>
      </c>
      <c r="AI2202" s="1" t="b">
        <v>1</v>
      </c>
    </row>
    <row r="2203" spans="1:35" x14ac:dyDescent="0.25">
      <c r="A2203" s="1">
        <v>8</v>
      </c>
      <c r="B2203" s="1">
        <v>2</v>
      </c>
      <c r="C2203" s="1">
        <v>2020</v>
      </c>
      <c r="G2203" s="1" t="s">
        <v>39</v>
      </c>
      <c r="H2203" s="2">
        <v>25.93</v>
      </c>
      <c r="I2203" s="1">
        <v>76</v>
      </c>
      <c r="U2203" s="1">
        <v>85</v>
      </c>
      <c r="X2203" s="1">
        <v>83</v>
      </c>
      <c r="AA2203" s="1">
        <v>5</v>
      </c>
      <c r="AB2203" s="1">
        <v>8</v>
      </c>
      <c r="AC2203" s="1">
        <v>3585</v>
      </c>
      <c r="AF2203" s="3">
        <v>2.9309679907443118</v>
      </c>
      <c r="AG2203" s="3">
        <v>3.3315833749263533</v>
      </c>
      <c r="AH2203" s="1">
        <v>6266</v>
      </c>
      <c r="AI2203" s="1" t="b">
        <v>1</v>
      </c>
    </row>
    <row r="2204" spans="1:35" x14ac:dyDescent="0.25">
      <c r="A2204" s="1">
        <v>8</v>
      </c>
      <c r="B2204" s="1">
        <v>2</v>
      </c>
      <c r="C2204" s="1">
        <v>2020</v>
      </c>
      <c r="G2204" s="1" t="s">
        <v>39</v>
      </c>
      <c r="H2204" s="2">
        <v>25.98</v>
      </c>
      <c r="I2204" s="1">
        <v>65</v>
      </c>
      <c r="U2204" s="1">
        <v>92</v>
      </c>
      <c r="X2204" s="1">
        <v>85</v>
      </c>
      <c r="AA2204" s="1">
        <v>7</v>
      </c>
      <c r="AB2204" s="1">
        <v>9</v>
      </c>
      <c r="AC2204" s="1">
        <v>3420</v>
      </c>
      <c r="AF2204" s="3">
        <v>2.501924557351809</v>
      </c>
      <c r="AG2204" s="3">
        <v>3.9081677155594114</v>
      </c>
      <c r="AH2204" s="1">
        <v>6266</v>
      </c>
      <c r="AI2204" s="1" t="b">
        <v>1</v>
      </c>
    </row>
    <row r="2205" spans="1:35" x14ac:dyDescent="0.25">
      <c r="A2205" s="1">
        <v>8</v>
      </c>
      <c r="B2205" s="1">
        <v>2</v>
      </c>
      <c r="C2205" s="1">
        <v>2020</v>
      </c>
      <c r="G2205" s="1" t="s">
        <v>39</v>
      </c>
      <c r="H2205" s="2">
        <v>24.47</v>
      </c>
      <c r="I2205" s="1">
        <v>61</v>
      </c>
      <c r="U2205" s="1">
        <v>79</v>
      </c>
      <c r="X2205" s="1">
        <v>73</v>
      </c>
      <c r="AA2205" s="1">
        <v>6</v>
      </c>
      <c r="AB2205" s="1">
        <v>9</v>
      </c>
      <c r="AC2205" s="1">
        <v>3251</v>
      </c>
      <c r="AF2205" s="3">
        <v>2.4928483857785042</v>
      </c>
      <c r="AG2205" s="3">
        <v>3.761386078985189</v>
      </c>
      <c r="AH2205" s="1">
        <v>6266</v>
      </c>
      <c r="AI2205" s="1" t="b">
        <v>1</v>
      </c>
    </row>
    <row r="2206" spans="1:35" x14ac:dyDescent="0.25">
      <c r="A2206" s="1">
        <v>8</v>
      </c>
      <c r="B2206" s="1">
        <v>2</v>
      </c>
      <c r="C2206" s="1">
        <v>2020</v>
      </c>
      <c r="G2206" s="1" t="s">
        <v>39</v>
      </c>
      <c r="H2206" s="2">
        <v>26.74</v>
      </c>
      <c r="I2206" s="1">
        <v>60</v>
      </c>
      <c r="U2206" s="1">
        <v>97</v>
      </c>
      <c r="X2206" s="1">
        <v>80</v>
      </c>
      <c r="AA2206" s="1">
        <v>10</v>
      </c>
      <c r="AB2206" s="1">
        <v>10</v>
      </c>
      <c r="AC2206" s="1">
        <v>3352</v>
      </c>
      <c r="AF2206" s="3">
        <v>2.2438294689603593</v>
      </c>
      <c r="AG2206" s="3">
        <v>4.4465495332445082</v>
      </c>
      <c r="AH2206" s="1">
        <v>6266</v>
      </c>
      <c r="AI2206" s="1" t="b">
        <v>1</v>
      </c>
    </row>
    <row r="2207" spans="1:35" x14ac:dyDescent="0.25">
      <c r="A2207" s="1">
        <v>8</v>
      </c>
      <c r="B2207" s="1">
        <v>2</v>
      </c>
      <c r="C2207" s="1">
        <v>2020</v>
      </c>
      <c r="G2207" s="1" t="s">
        <v>39</v>
      </c>
      <c r="H2207" s="2">
        <v>23.88</v>
      </c>
      <c r="I2207" s="1">
        <v>54</v>
      </c>
      <c r="U2207" s="1">
        <v>81</v>
      </c>
      <c r="X2207" s="1">
        <v>72</v>
      </c>
      <c r="AA2207" s="1">
        <v>6</v>
      </c>
      <c r="AB2207" s="1">
        <v>14</v>
      </c>
      <c r="AC2207" s="1">
        <v>2831</v>
      </c>
      <c r="AF2207" s="3">
        <v>2.2613065326633168</v>
      </c>
      <c r="AG2207" s="3">
        <v>4.076285446432574</v>
      </c>
      <c r="AH2207" s="1">
        <v>6266</v>
      </c>
      <c r="AI2207" s="1" t="b">
        <v>1</v>
      </c>
    </row>
    <row r="2208" spans="1:35" x14ac:dyDescent="0.25">
      <c r="A2208" s="1">
        <v>8</v>
      </c>
      <c r="B2208" s="1">
        <v>2</v>
      </c>
      <c r="C2208" s="1">
        <v>2020</v>
      </c>
      <c r="G2208" s="1" t="s">
        <v>39</v>
      </c>
      <c r="H2208" s="2">
        <v>27.3</v>
      </c>
      <c r="I2208" s="1">
        <v>78</v>
      </c>
      <c r="U2208" s="1">
        <v>102</v>
      </c>
      <c r="X2208" s="1">
        <v>93</v>
      </c>
      <c r="AA2208" s="1">
        <v>5</v>
      </c>
      <c r="AB2208" s="1">
        <v>7</v>
      </c>
      <c r="AC2208" s="1">
        <v>3825</v>
      </c>
      <c r="AF2208" s="3">
        <v>2.8571428571428572</v>
      </c>
      <c r="AG2208" s="3">
        <v>3.5430876589846023</v>
      </c>
      <c r="AH2208" s="1">
        <v>6266</v>
      </c>
      <c r="AI2208" s="1" t="b">
        <v>1</v>
      </c>
    </row>
    <row r="2209" spans="1:35" x14ac:dyDescent="0.25">
      <c r="A2209" s="1">
        <v>8</v>
      </c>
      <c r="B2209" s="1">
        <v>2</v>
      </c>
      <c r="C2209" s="1">
        <v>2020</v>
      </c>
      <c r="G2209" s="1" t="s">
        <v>39</v>
      </c>
      <c r="H2209" s="2">
        <v>26.57</v>
      </c>
      <c r="I2209" s="1">
        <v>61</v>
      </c>
      <c r="U2209" s="1">
        <v>88</v>
      </c>
      <c r="X2209" s="1">
        <v>74</v>
      </c>
      <c r="AA2209" s="1">
        <v>8</v>
      </c>
      <c r="AB2209" s="1">
        <v>10</v>
      </c>
      <c r="AC2209" s="1">
        <v>3162</v>
      </c>
      <c r="AF2209" s="3">
        <v>2.2958223560406474</v>
      </c>
      <c r="AG2209" s="3">
        <v>4.3264910284662381</v>
      </c>
      <c r="AH2209" s="1">
        <v>6266</v>
      </c>
      <c r="AI2209" s="1" t="b">
        <v>1</v>
      </c>
    </row>
    <row r="2210" spans="1:35" x14ac:dyDescent="0.25">
      <c r="A2210" s="1">
        <v>8</v>
      </c>
      <c r="B2210" s="1">
        <v>2</v>
      </c>
      <c r="C2210" s="1">
        <v>2020</v>
      </c>
      <c r="G2210" s="1" t="s">
        <v>39</v>
      </c>
      <c r="H2210" s="2">
        <v>28.36</v>
      </c>
      <c r="I2210" s="1">
        <v>69</v>
      </c>
      <c r="U2210" s="1">
        <v>99</v>
      </c>
      <c r="X2210" s="1">
        <v>87</v>
      </c>
      <c r="AA2210" s="1">
        <v>7</v>
      </c>
      <c r="AB2210" s="1">
        <v>8</v>
      </c>
      <c r="AC2210" s="1">
        <v>3698</v>
      </c>
      <c r="AF2210" s="3">
        <v>2.4330042313117066</v>
      </c>
      <c r="AG2210" s="3">
        <v>4.2731830232161512</v>
      </c>
      <c r="AH2210" s="1">
        <v>6266</v>
      </c>
      <c r="AI2210" s="1" t="b">
        <v>1</v>
      </c>
    </row>
    <row r="2211" spans="1:35" x14ac:dyDescent="0.25">
      <c r="A2211" s="1">
        <v>8</v>
      </c>
      <c r="B2211" s="1">
        <v>2</v>
      </c>
      <c r="C2211" s="1">
        <v>2020</v>
      </c>
      <c r="G2211" s="1" t="s">
        <v>39</v>
      </c>
      <c r="H2211" s="2">
        <v>26.69</v>
      </c>
      <c r="I2211" s="1">
        <v>75</v>
      </c>
      <c r="U2211" s="1">
        <v>106</v>
      </c>
      <c r="X2211" s="1">
        <v>89</v>
      </c>
      <c r="AA2211" s="1">
        <v>7</v>
      </c>
      <c r="AB2211" s="1">
        <v>5</v>
      </c>
      <c r="AC2211" s="1">
        <v>3717</v>
      </c>
      <c r="AF2211" s="3">
        <v>2.8100412139378044</v>
      </c>
      <c r="AG2211" s="3">
        <v>3.5459394228505667</v>
      </c>
      <c r="AH2211" s="1">
        <v>6266</v>
      </c>
      <c r="AI2211" s="1" t="b">
        <v>1</v>
      </c>
    </row>
    <row r="2212" spans="1:35" x14ac:dyDescent="0.25">
      <c r="A2212" s="1">
        <v>8</v>
      </c>
      <c r="B2212" s="1">
        <v>2</v>
      </c>
      <c r="C2212" s="1">
        <v>2020</v>
      </c>
      <c r="G2212" s="1" t="s">
        <v>39</v>
      </c>
      <c r="H2212" s="2">
        <v>26.88</v>
      </c>
      <c r="I2212" s="1">
        <v>71</v>
      </c>
      <c r="U2212" s="1">
        <v>94</v>
      </c>
      <c r="X2212" s="1">
        <v>84</v>
      </c>
      <c r="AA2212" s="1">
        <v>6</v>
      </c>
      <c r="AB2212" s="1">
        <v>6</v>
      </c>
      <c r="AC2212" s="1">
        <v>3482</v>
      </c>
      <c r="AF2212" s="3">
        <v>2.6413690476190479</v>
      </c>
      <c r="AG2212" s="3">
        <v>3.7911537775954991</v>
      </c>
      <c r="AH2212" s="1">
        <v>6266</v>
      </c>
      <c r="AI2212" s="1" t="b">
        <v>1</v>
      </c>
    </row>
    <row r="2213" spans="1:35" x14ac:dyDescent="0.25">
      <c r="A2213" s="1">
        <v>8</v>
      </c>
      <c r="B2213" s="1">
        <v>2</v>
      </c>
      <c r="C2213" s="1">
        <v>2020</v>
      </c>
      <c r="G2213" s="1" t="s">
        <v>39</v>
      </c>
      <c r="H2213" s="2">
        <v>19.59</v>
      </c>
      <c r="I2213" s="1">
        <v>52</v>
      </c>
      <c r="U2213" s="1">
        <v>71</v>
      </c>
      <c r="X2213" s="1">
        <v>60</v>
      </c>
      <c r="AA2213" s="1">
        <v>5</v>
      </c>
      <c r="AB2213" s="1">
        <v>8</v>
      </c>
      <c r="AC2213" s="1">
        <v>2584</v>
      </c>
      <c r="AF2213" s="3">
        <v>2.6544155181214908</v>
      </c>
      <c r="AG2213" s="3">
        <v>3.0231186851502034</v>
      </c>
      <c r="AH2213" s="1">
        <v>6266</v>
      </c>
      <c r="AI2213" s="1" t="b">
        <v>1</v>
      </c>
    </row>
    <row r="2214" spans="1:35" x14ac:dyDescent="0.25">
      <c r="A2214" s="1">
        <v>8</v>
      </c>
      <c r="B2214" s="1">
        <v>2</v>
      </c>
      <c r="C2214" s="1">
        <v>2020</v>
      </c>
      <c r="G2214" s="1" t="s">
        <v>39</v>
      </c>
      <c r="H2214" s="2">
        <v>20.14</v>
      </c>
      <c r="I2214" s="1">
        <v>55</v>
      </c>
      <c r="U2214" s="1">
        <v>71</v>
      </c>
      <c r="X2214" s="1">
        <v>64</v>
      </c>
      <c r="AA2214" s="1">
        <v>6</v>
      </c>
      <c r="AB2214" s="1">
        <v>5</v>
      </c>
      <c r="AC2214" s="1">
        <v>2665</v>
      </c>
      <c r="AF2214" s="3">
        <v>2.730883813306852</v>
      </c>
      <c r="AG2214" s="3">
        <v>2.9959765039808994</v>
      </c>
      <c r="AH2214" s="1">
        <v>6266</v>
      </c>
      <c r="AI2214" s="1" t="b">
        <v>1</v>
      </c>
    </row>
    <row r="2215" spans="1:35" x14ac:dyDescent="0.25">
      <c r="A2215" s="1">
        <v>9</v>
      </c>
      <c r="B2215" s="1">
        <v>2</v>
      </c>
      <c r="C2215" s="1">
        <v>2020</v>
      </c>
      <c r="G2215" s="1" t="s">
        <v>39</v>
      </c>
      <c r="H2215" s="2">
        <v>23.11</v>
      </c>
      <c r="I2215" s="1">
        <v>52</v>
      </c>
      <c r="U2215" s="1">
        <v>88</v>
      </c>
      <c r="X2215" s="1">
        <v>74</v>
      </c>
      <c r="AA2215" s="1">
        <v>11</v>
      </c>
      <c r="AB2215" s="1">
        <v>12</v>
      </c>
      <c r="AC2215" s="1">
        <v>3348</v>
      </c>
      <c r="AF2215" s="3">
        <v>2.2501081782778019</v>
      </c>
      <c r="AG2215" s="3">
        <v>4.0036542345043227</v>
      </c>
      <c r="AH2215" s="1">
        <v>6266</v>
      </c>
      <c r="AI2215" s="1" t="b">
        <v>1</v>
      </c>
    </row>
    <row r="2216" spans="1:35" x14ac:dyDescent="0.25">
      <c r="A2216" s="1">
        <v>9</v>
      </c>
      <c r="B2216" s="1">
        <v>2</v>
      </c>
      <c r="C2216" s="1">
        <v>2020</v>
      </c>
      <c r="G2216" s="1" t="s">
        <v>39</v>
      </c>
      <c r="H2216" s="2">
        <v>20.09</v>
      </c>
      <c r="I2216" s="1">
        <v>54</v>
      </c>
      <c r="U2216" s="1">
        <v>75</v>
      </c>
      <c r="X2216" s="1">
        <v>68</v>
      </c>
      <c r="AA2216" s="1">
        <v>7</v>
      </c>
      <c r="AB2216" s="1">
        <v>8</v>
      </c>
      <c r="AC2216" s="1">
        <v>2862</v>
      </c>
      <c r="AF2216" s="3">
        <v>2.6879044300647088</v>
      </c>
      <c r="AG2216" s="3">
        <v>3.0385901987496702</v>
      </c>
      <c r="AH2216" s="1">
        <v>6266</v>
      </c>
      <c r="AI2216" s="1" t="b">
        <v>1</v>
      </c>
    </row>
    <row r="2217" spans="1:35" x14ac:dyDescent="0.25">
      <c r="A2217" s="1">
        <v>9</v>
      </c>
      <c r="B2217" s="1">
        <v>2</v>
      </c>
      <c r="C2217" s="1">
        <v>2020</v>
      </c>
      <c r="G2217" s="1" t="s">
        <v>39</v>
      </c>
      <c r="H2217" s="2">
        <v>23.07</v>
      </c>
      <c r="I2217" s="1">
        <v>54</v>
      </c>
      <c r="U2217" s="1">
        <v>80</v>
      </c>
      <c r="X2217" s="1">
        <v>69</v>
      </c>
      <c r="AA2217" s="1">
        <v>8</v>
      </c>
      <c r="AB2217" s="1">
        <v>8</v>
      </c>
      <c r="AC2217" s="1">
        <v>2699</v>
      </c>
      <c r="AF2217" s="3">
        <v>2.3407022106631987</v>
      </c>
      <c r="AG2217" s="3">
        <v>3.8440333854514424</v>
      </c>
      <c r="AH2217" s="1">
        <v>6266</v>
      </c>
      <c r="AI2217" s="1" t="b">
        <v>1</v>
      </c>
    </row>
    <row r="2218" spans="1:35" x14ac:dyDescent="0.25">
      <c r="A2218" s="1">
        <v>9</v>
      </c>
      <c r="B2218" s="1">
        <v>2</v>
      </c>
      <c r="C2218" s="1">
        <v>2020</v>
      </c>
      <c r="G2218" s="1" t="s">
        <v>39</v>
      </c>
      <c r="H2218" s="2">
        <v>28.72</v>
      </c>
      <c r="I2218" s="1">
        <v>75</v>
      </c>
      <c r="U2218" s="1">
        <v>106</v>
      </c>
      <c r="X2218" s="1">
        <v>95</v>
      </c>
      <c r="AA2218" s="1">
        <v>7</v>
      </c>
      <c r="AB2218" s="1">
        <v>12</v>
      </c>
      <c r="AC2218" s="1">
        <v>3719</v>
      </c>
      <c r="AF2218" s="3">
        <v>2.6114206128133706</v>
      </c>
      <c r="AG2218" s="3">
        <v>4.0165416711546404</v>
      </c>
      <c r="AH2218" s="1">
        <v>6266</v>
      </c>
      <c r="AI2218" s="1" t="b">
        <v>1</v>
      </c>
    </row>
    <row r="2219" spans="1:35" x14ac:dyDescent="0.25">
      <c r="A2219" s="1">
        <v>9</v>
      </c>
      <c r="B2219" s="1">
        <v>2</v>
      </c>
      <c r="C2219" s="1">
        <v>2020</v>
      </c>
      <c r="G2219" s="1" t="s">
        <v>39</v>
      </c>
      <c r="H2219" s="2">
        <v>25.45</v>
      </c>
      <c r="I2219" s="1">
        <v>66</v>
      </c>
      <c r="U2219" s="1">
        <v>92</v>
      </c>
      <c r="X2219" s="1">
        <v>82</v>
      </c>
      <c r="AA2219" s="1">
        <v>6</v>
      </c>
      <c r="AB2219" s="1">
        <v>7</v>
      </c>
      <c r="AC2219" s="1">
        <v>3303</v>
      </c>
      <c r="AF2219" s="3">
        <v>2.5933202357563849</v>
      </c>
      <c r="AG2219" s="3">
        <v>3.7164243918637152</v>
      </c>
      <c r="AH2219" s="1">
        <v>6266</v>
      </c>
      <c r="AI2219" s="1" t="b">
        <v>1</v>
      </c>
    </row>
    <row r="2220" spans="1:35" x14ac:dyDescent="0.25">
      <c r="A2220" s="1">
        <v>9</v>
      </c>
      <c r="B2220" s="1">
        <v>2</v>
      </c>
      <c r="C2220" s="1">
        <v>2020</v>
      </c>
      <c r="G2220" s="1" t="s">
        <v>39</v>
      </c>
      <c r="H2220" s="2">
        <v>22.76</v>
      </c>
      <c r="I2220" s="1">
        <v>46</v>
      </c>
      <c r="U2220" s="1">
        <v>72</v>
      </c>
      <c r="X2220" s="1">
        <v>64</v>
      </c>
      <c r="AA2220" s="1">
        <v>8</v>
      </c>
      <c r="AB2220" s="1">
        <v>7</v>
      </c>
      <c r="AC2220" s="1">
        <v>2692</v>
      </c>
      <c r="AF2220" s="3">
        <v>2.0210896309314585</v>
      </c>
      <c r="AG2220" s="3">
        <v>4.4099636167282696</v>
      </c>
      <c r="AH2220" s="1">
        <v>6266</v>
      </c>
      <c r="AI2220" s="1" t="b">
        <v>1</v>
      </c>
    </row>
    <row r="2221" spans="1:35" x14ac:dyDescent="0.25">
      <c r="A2221" s="1">
        <v>9</v>
      </c>
      <c r="B2221" s="1">
        <v>2</v>
      </c>
      <c r="C2221" s="1">
        <v>2020</v>
      </c>
      <c r="G2221" s="1" t="s">
        <v>39</v>
      </c>
      <c r="H2221" s="2">
        <v>25.27</v>
      </c>
      <c r="I2221" s="1">
        <v>63</v>
      </c>
      <c r="U2221" s="1">
        <v>91</v>
      </c>
      <c r="X2221" s="1">
        <v>77</v>
      </c>
      <c r="AA2221" s="1">
        <v>7</v>
      </c>
      <c r="AB2221" s="1">
        <v>8</v>
      </c>
      <c r="AC2221" s="1">
        <v>3479</v>
      </c>
      <c r="AF2221" s="3">
        <v>2.4930747922437675</v>
      </c>
      <c r="AG2221" s="3">
        <v>3.8467003927599315</v>
      </c>
      <c r="AH2221" s="1">
        <v>6266</v>
      </c>
      <c r="AI2221" s="1" t="b">
        <v>1</v>
      </c>
    </row>
    <row r="2222" spans="1:35" x14ac:dyDescent="0.25">
      <c r="A2222" s="1">
        <v>9</v>
      </c>
      <c r="B2222" s="1">
        <v>2</v>
      </c>
      <c r="C2222" s="1">
        <v>2020</v>
      </c>
      <c r="G2222" s="1" t="s">
        <v>39</v>
      </c>
      <c r="H2222" s="2">
        <v>19.75</v>
      </c>
      <c r="I2222" s="1">
        <v>38</v>
      </c>
      <c r="U2222" s="1">
        <v>57</v>
      </c>
      <c r="X2222" s="1">
        <v>49</v>
      </c>
      <c r="AA2222" s="1">
        <v>6</v>
      </c>
      <c r="AB2222" s="1">
        <v>13</v>
      </c>
      <c r="AC2222" s="1">
        <v>2286</v>
      </c>
      <c r="AF2222" s="3">
        <v>1.9240506329113924</v>
      </c>
      <c r="AG2222" s="3">
        <v>4.1945026520134139</v>
      </c>
      <c r="AH2222" s="1">
        <v>6266</v>
      </c>
      <c r="AI2222" s="1" t="b">
        <v>1</v>
      </c>
    </row>
    <row r="2223" spans="1:35" x14ac:dyDescent="0.25">
      <c r="A2223" s="1">
        <v>9</v>
      </c>
      <c r="B2223" s="1">
        <v>2</v>
      </c>
      <c r="C2223" s="1">
        <v>2020</v>
      </c>
      <c r="G2223" s="1" t="s">
        <v>39</v>
      </c>
      <c r="H2223" s="2">
        <v>30.37</v>
      </c>
      <c r="I2223" s="1">
        <v>66</v>
      </c>
      <c r="U2223" s="1">
        <v>104</v>
      </c>
      <c r="X2223" s="1">
        <v>89</v>
      </c>
      <c r="AA2223" s="1">
        <v>10</v>
      </c>
      <c r="AB2223" s="1">
        <v>8</v>
      </c>
      <c r="AC2223" s="1">
        <v>4143</v>
      </c>
      <c r="AF2223" s="3">
        <v>2.1731972341126111</v>
      </c>
      <c r="AG2223" s="3">
        <v>5.018942390736882</v>
      </c>
      <c r="AH2223" s="1">
        <v>6266</v>
      </c>
      <c r="AI2223" s="1" t="b">
        <v>1</v>
      </c>
    </row>
    <row r="2224" spans="1:35" x14ac:dyDescent="0.25">
      <c r="A2224" s="1">
        <v>9</v>
      </c>
      <c r="B2224" s="1">
        <v>2</v>
      </c>
      <c r="C2224" s="1">
        <v>2020</v>
      </c>
      <c r="G2224" s="1" t="s">
        <v>39</v>
      </c>
      <c r="H2224" s="2">
        <v>23.87</v>
      </c>
      <c r="I2224" s="1">
        <v>67</v>
      </c>
      <c r="U2224" s="1">
        <v>91</v>
      </c>
      <c r="X2224" s="1">
        <v>79</v>
      </c>
      <c r="AA2224" s="1">
        <v>5</v>
      </c>
      <c r="AB2224" s="1">
        <v>7</v>
      </c>
      <c r="AC2224" s="1">
        <v>2968</v>
      </c>
      <c r="AF2224" s="3">
        <v>2.8068705488060326</v>
      </c>
      <c r="AG2224" s="3">
        <v>3.283025905223798</v>
      </c>
      <c r="AH2224" s="1">
        <v>6266</v>
      </c>
      <c r="AI2224" s="1" t="b">
        <v>1</v>
      </c>
    </row>
    <row r="2225" spans="1:35" x14ac:dyDescent="0.25">
      <c r="A2225" s="1">
        <v>9</v>
      </c>
      <c r="B2225" s="1">
        <v>2</v>
      </c>
      <c r="C2225" s="1">
        <v>2020</v>
      </c>
      <c r="G2225" s="1" t="s">
        <v>39</v>
      </c>
      <c r="H2225" s="2">
        <v>28.21</v>
      </c>
      <c r="I2225" s="1">
        <v>80</v>
      </c>
      <c r="U2225" s="1">
        <v>118</v>
      </c>
      <c r="X2225" s="1">
        <v>101</v>
      </c>
      <c r="AA2225" s="1">
        <v>8</v>
      </c>
      <c r="AB2225" s="1">
        <v>4</v>
      </c>
      <c r="AC2225" s="1">
        <v>3593</v>
      </c>
      <c r="AF2225" s="3">
        <v>2.8358738036157392</v>
      </c>
      <c r="AG2225" s="3">
        <v>3.6525423444341643</v>
      </c>
      <c r="AH2225" s="1">
        <v>6266</v>
      </c>
      <c r="AI2225" s="1" t="b">
        <v>1</v>
      </c>
    </row>
    <row r="2226" spans="1:35" x14ac:dyDescent="0.25">
      <c r="A2226" s="1">
        <v>9</v>
      </c>
      <c r="B2226" s="1">
        <v>2</v>
      </c>
      <c r="C2226" s="1">
        <v>2020</v>
      </c>
      <c r="G2226" s="1" t="s">
        <v>39</v>
      </c>
      <c r="H2226" s="2">
        <v>30.26</v>
      </c>
      <c r="I2226" s="1">
        <v>76</v>
      </c>
      <c r="U2226" s="1">
        <v>121</v>
      </c>
      <c r="X2226" s="1">
        <v>103</v>
      </c>
      <c r="AA2226" s="1">
        <v>11</v>
      </c>
      <c r="AB2226" s="1">
        <v>13</v>
      </c>
      <c r="AC2226" s="1">
        <v>3993</v>
      </c>
      <c r="AF2226" s="3">
        <v>2.5115664243225377</v>
      </c>
      <c r="AG2226" s="3">
        <v>4.3317519342013417</v>
      </c>
      <c r="AH2226" s="1">
        <v>6266</v>
      </c>
      <c r="AI2226" s="1" t="b">
        <v>1</v>
      </c>
    </row>
    <row r="2227" spans="1:35" x14ac:dyDescent="0.25">
      <c r="A2227" s="1">
        <v>17</v>
      </c>
      <c r="B2227" s="1">
        <v>2</v>
      </c>
      <c r="C2227" s="1">
        <v>2020</v>
      </c>
      <c r="G2227" s="1" t="s">
        <v>39</v>
      </c>
      <c r="H2227" s="2">
        <v>44.25</v>
      </c>
      <c r="I2227" s="1">
        <v>72</v>
      </c>
      <c r="V2227" s="1">
        <v>133</v>
      </c>
      <c r="X2227" s="1">
        <v>94</v>
      </c>
      <c r="AA2227" s="1">
        <v>8</v>
      </c>
      <c r="AB2227" s="1">
        <v>5</v>
      </c>
      <c r="AC2227" s="1">
        <v>3913</v>
      </c>
      <c r="AF2227" s="3">
        <v>1.6271186440677967</v>
      </c>
      <c r="AG2227" s="3">
        <v>8.7240886722008657</v>
      </c>
      <c r="AH2227" s="1">
        <v>6268</v>
      </c>
      <c r="AI2227" s="1" t="b">
        <v>1</v>
      </c>
    </row>
    <row r="2228" spans="1:35" x14ac:dyDescent="0.25">
      <c r="A2228" s="1">
        <v>24</v>
      </c>
      <c r="B2228" s="1">
        <v>2</v>
      </c>
      <c r="C2228" s="1">
        <v>2020</v>
      </c>
      <c r="G2228" s="1" t="s">
        <v>39</v>
      </c>
      <c r="H2228" s="2">
        <v>28.3</v>
      </c>
      <c r="I2228" s="1">
        <v>77</v>
      </c>
      <c r="U2228" s="1">
        <v>101</v>
      </c>
      <c r="X2228" s="1">
        <v>93</v>
      </c>
      <c r="AA2228" s="1">
        <v>7</v>
      </c>
      <c r="AB2228" s="1">
        <v>5</v>
      </c>
      <c r="AC2228" s="1">
        <v>3421</v>
      </c>
      <c r="AF2228" s="3">
        <v>2.7208480565371023</v>
      </c>
      <c r="AG2228" s="3">
        <v>3.8154539407157824</v>
      </c>
      <c r="AH2228" s="1">
        <v>6269</v>
      </c>
      <c r="AI2228" s="1" t="b">
        <v>1</v>
      </c>
    </row>
    <row r="2229" spans="1:35" x14ac:dyDescent="0.25">
      <c r="A2229" s="1">
        <v>24</v>
      </c>
      <c r="B2229" s="1">
        <v>2</v>
      </c>
      <c r="C2229" s="1">
        <v>2020</v>
      </c>
      <c r="G2229" s="1" t="s">
        <v>39</v>
      </c>
      <c r="H2229" s="2">
        <v>29.28</v>
      </c>
      <c r="I2229" s="1">
        <v>63</v>
      </c>
      <c r="U2229" s="1">
        <v>106</v>
      </c>
      <c r="X2229" s="1">
        <v>92</v>
      </c>
      <c r="AA2229" s="1">
        <v>9</v>
      </c>
      <c r="AB2229" s="1">
        <v>10</v>
      </c>
      <c r="AC2229" s="1">
        <v>3935</v>
      </c>
      <c r="AF2229" s="3">
        <v>2.151639344262295</v>
      </c>
      <c r="AG2229" s="3">
        <v>4.9411754343231244</v>
      </c>
      <c r="AH2229" s="1">
        <v>6269</v>
      </c>
      <c r="AI2229" s="1" t="b">
        <v>1</v>
      </c>
    </row>
    <row r="2230" spans="1:35" x14ac:dyDescent="0.25">
      <c r="A2230" s="1">
        <v>24</v>
      </c>
      <c r="B2230" s="1">
        <v>2</v>
      </c>
      <c r="C2230" s="1">
        <v>2020</v>
      </c>
      <c r="G2230" s="1" t="s">
        <v>39</v>
      </c>
      <c r="H2230" s="2">
        <v>27.65</v>
      </c>
      <c r="I2230" s="1">
        <v>73</v>
      </c>
      <c r="U2230" s="1">
        <v>102</v>
      </c>
      <c r="X2230" s="1">
        <v>86</v>
      </c>
      <c r="AA2230" s="1">
        <v>6</v>
      </c>
      <c r="AB2230" s="1">
        <v>7</v>
      </c>
      <c r="AC2230" s="1">
        <v>3588</v>
      </c>
      <c r="AF2230" s="3">
        <v>2.6401446654611211</v>
      </c>
      <c r="AG2230" s="3">
        <v>3.8686449221033183</v>
      </c>
      <c r="AH2230" s="1">
        <v>6269</v>
      </c>
      <c r="AI2230" s="1" t="b">
        <v>1</v>
      </c>
    </row>
    <row r="2231" spans="1:35" x14ac:dyDescent="0.25">
      <c r="A2231" s="1">
        <v>24</v>
      </c>
      <c r="B2231" s="1">
        <v>2</v>
      </c>
      <c r="C2231" s="1">
        <v>2020</v>
      </c>
      <c r="G2231" s="1" t="s">
        <v>39</v>
      </c>
      <c r="H2231" s="2">
        <v>23.87</v>
      </c>
      <c r="I2231" s="1">
        <v>51</v>
      </c>
      <c r="U2231" s="1">
        <v>65</v>
      </c>
      <c r="X2231" s="1">
        <v>62</v>
      </c>
      <c r="AA2231" s="1">
        <v>6</v>
      </c>
      <c r="AB2231" s="1">
        <v>10</v>
      </c>
      <c r="AC2231" s="1">
        <v>3372</v>
      </c>
      <c r="AF2231" s="3">
        <v>2.1365731043150396</v>
      </c>
      <c r="AG2231" s="3">
        <v>4.3129948166665582</v>
      </c>
      <c r="AH2231" s="1">
        <v>6269</v>
      </c>
      <c r="AI2231" s="1" t="b">
        <v>1</v>
      </c>
    </row>
    <row r="2232" spans="1:35" x14ac:dyDescent="0.25">
      <c r="A2232" s="1">
        <v>24</v>
      </c>
      <c r="B2232" s="1">
        <v>2</v>
      </c>
      <c r="C2232" s="1">
        <v>2020</v>
      </c>
      <c r="G2232" s="1" t="s">
        <v>39</v>
      </c>
      <c r="H2232" s="2">
        <v>21.32</v>
      </c>
      <c r="I2232" s="1">
        <v>46</v>
      </c>
      <c r="U2232" s="1">
        <v>69</v>
      </c>
      <c r="X2232" s="1">
        <v>63</v>
      </c>
      <c r="AA2232" s="1">
        <v>7</v>
      </c>
      <c r="AB2232" s="1">
        <v>8</v>
      </c>
      <c r="AC2232" s="1">
        <v>3138</v>
      </c>
      <c r="AF2232" s="3">
        <v>2.1575984990619137</v>
      </c>
      <c r="AG2232" s="3">
        <v>3.9462119639639544</v>
      </c>
      <c r="AH2232" s="1">
        <v>6269</v>
      </c>
      <c r="AI2232" s="1" t="b">
        <v>1</v>
      </c>
    </row>
    <row r="2233" spans="1:35" x14ac:dyDescent="0.25">
      <c r="A2233" s="1">
        <v>24</v>
      </c>
      <c r="B2233" s="1">
        <v>2</v>
      </c>
      <c r="C2233" s="1">
        <v>2020</v>
      </c>
      <c r="G2233" s="1" t="s">
        <v>39</v>
      </c>
      <c r="H2233" s="2">
        <v>20.149999999999999</v>
      </c>
      <c r="I2233" s="1">
        <v>41</v>
      </c>
      <c r="U2233" s="1">
        <v>62</v>
      </c>
      <c r="X2233" s="1">
        <v>54</v>
      </c>
      <c r="AA2233" s="1">
        <v>6</v>
      </c>
      <c r="AB2233" s="1">
        <v>12</v>
      </c>
      <c r="AC2233" s="1">
        <v>3123</v>
      </c>
      <c r="AF2233" s="3">
        <v>2.0347394540942929</v>
      </c>
      <c r="AG2233" s="3">
        <v>4.0223858578677181</v>
      </c>
      <c r="AH2233" s="1">
        <v>6269</v>
      </c>
      <c r="AI2233" s="1" t="b">
        <v>1</v>
      </c>
    </row>
    <row r="2234" spans="1:35" x14ac:dyDescent="0.25">
      <c r="A2234" s="1">
        <v>24</v>
      </c>
      <c r="B2234" s="1">
        <v>2</v>
      </c>
      <c r="C2234" s="1">
        <v>2020</v>
      </c>
      <c r="G2234" s="1" t="s">
        <v>39</v>
      </c>
      <c r="H2234" s="2">
        <v>21.34</v>
      </c>
      <c r="I2234" s="1">
        <v>55</v>
      </c>
      <c r="U2234" s="1">
        <v>85</v>
      </c>
      <c r="X2234" s="1">
        <v>73</v>
      </c>
      <c r="AA2234" s="1">
        <v>8</v>
      </c>
      <c r="AB2234" s="1">
        <v>12</v>
      </c>
      <c r="AC2234" s="1">
        <v>2870</v>
      </c>
      <c r="AF2234" s="3">
        <v>2.5773195876288661</v>
      </c>
      <c r="AG2234" s="3">
        <v>3.3057333268237183</v>
      </c>
      <c r="AH2234" s="1">
        <v>6269</v>
      </c>
      <c r="AI2234" s="1" t="b">
        <v>1</v>
      </c>
    </row>
    <row r="2235" spans="1:35" x14ac:dyDescent="0.25">
      <c r="A2235" s="1">
        <v>29</v>
      </c>
      <c r="B2235" s="1">
        <v>2</v>
      </c>
      <c r="C2235" s="1">
        <v>2020</v>
      </c>
      <c r="G2235" s="1" t="s">
        <v>39</v>
      </c>
      <c r="H2235" s="2">
        <v>25.97</v>
      </c>
      <c r="I2235" s="1">
        <v>54</v>
      </c>
      <c r="U2235" s="1">
        <v>82</v>
      </c>
      <c r="X2235" s="1">
        <v>71</v>
      </c>
      <c r="AA2235" s="1">
        <v>7</v>
      </c>
      <c r="AB2235" s="1">
        <v>11</v>
      </c>
      <c r="AC2235" s="1">
        <v>3102</v>
      </c>
      <c r="AF2235" s="3">
        <v>2.0793222949557184</v>
      </c>
      <c r="AG2235" s="3">
        <v>4.7011981280111179</v>
      </c>
      <c r="AH2235" s="1">
        <v>6269</v>
      </c>
      <c r="AI2235" s="1" t="b">
        <v>1</v>
      </c>
    </row>
    <row r="2236" spans="1:35" x14ac:dyDescent="0.25">
      <c r="A2236" s="1">
        <v>29</v>
      </c>
      <c r="B2236" s="1">
        <v>2</v>
      </c>
      <c r="C2236" s="1">
        <v>2020</v>
      </c>
      <c r="G2236" s="1" t="s">
        <v>39</v>
      </c>
      <c r="H2236" s="2">
        <v>23.25</v>
      </c>
      <c r="I2236" s="1">
        <v>68</v>
      </c>
      <c r="U2236" s="1">
        <v>90</v>
      </c>
      <c r="X2236" s="1">
        <v>82</v>
      </c>
      <c r="AA2236" s="1">
        <v>5</v>
      </c>
      <c r="AB2236" s="1">
        <v>6</v>
      </c>
      <c r="AC2236" s="1">
        <v>3229</v>
      </c>
      <c r="AF2236" s="3">
        <v>2.924731182795699</v>
      </c>
      <c r="AG2236" s="3">
        <v>3.0932150500874234</v>
      </c>
      <c r="AH2236" s="1">
        <v>6269</v>
      </c>
      <c r="AI2236" s="1" t="b">
        <v>1</v>
      </c>
    </row>
    <row r="2237" spans="1:35" x14ac:dyDescent="0.25">
      <c r="A2237" s="1">
        <v>29</v>
      </c>
      <c r="B2237" s="1">
        <v>2</v>
      </c>
      <c r="C2237" s="1">
        <v>2020</v>
      </c>
      <c r="G2237" s="1" t="s">
        <v>39</v>
      </c>
      <c r="H2237" s="2">
        <v>21.93</v>
      </c>
      <c r="I2237" s="1">
        <v>48</v>
      </c>
      <c r="U2237" s="1">
        <v>77</v>
      </c>
      <c r="X2237" s="1">
        <v>67</v>
      </c>
      <c r="AA2237" s="1">
        <v>8</v>
      </c>
      <c r="AB2237" s="1">
        <v>9</v>
      </c>
      <c r="AC2237" s="1">
        <v>2711</v>
      </c>
      <c r="AF2237" s="3">
        <v>2.188782489740082</v>
      </c>
      <c r="AG2237" s="3">
        <v>3.9675685264754907</v>
      </c>
      <c r="AH2237" s="1">
        <v>6269</v>
      </c>
      <c r="AI2237" s="1" t="b">
        <v>1</v>
      </c>
    </row>
    <row r="2238" spans="1:35" x14ac:dyDescent="0.25">
      <c r="A2238" s="1">
        <v>29</v>
      </c>
      <c r="B2238" s="1">
        <v>2</v>
      </c>
      <c r="C2238" s="1">
        <v>2020</v>
      </c>
      <c r="G2238" s="1" t="s">
        <v>39</v>
      </c>
      <c r="H2238" s="2">
        <v>21.57</v>
      </c>
      <c r="I2238" s="1">
        <v>57</v>
      </c>
      <c r="U2238" s="1">
        <v>73</v>
      </c>
      <c r="X2238" s="1">
        <v>68</v>
      </c>
      <c r="AA2238" s="1">
        <v>6</v>
      </c>
      <c r="AB2238" s="1">
        <v>8</v>
      </c>
      <c r="AC2238" s="1">
        <v>3308</v>
      </c>
      <c r="AF2238" s="3">
        <v>2.642559109874826</v>
      </c>
      <c r="AG2238" s="3">
        <v>3.2484066508496445</v>
      </c>
      <c r="AH2238" s="1">
        <v>6269</v>
      </c>
      <c r="AI2238" s="1" t="b">
        <v>1</v>
      </c>
    </row>
    <row r="2239" spans="1:35" x14ac:dyDescent="0.25">
      <c r="A2239" s="1">
        <v>29</v>
      </c>
      <c r="B2239" s="1">
        <v>2</v>
      </c>
      <c r="C2239" s="1">
        <v>2020</v>
      </c>
      <c r="G2239" s="1" t="s">
        <v>39</v>
      </c>
      <c r="H2239" s="2">
        <v>25.1</v>
      </c>
      <c r="I2239" s="1">
        <v>56</v>
      </c>
      <c r="U2239" s="1">
        <v>93</v>
      </c>
      <c r="X2239" s="1">
        <v>80</v>
      </c>
      <c r="AA2239" s="1">
        <v>9</v>
      </c>
      <c r="AB2239" s="1">
        <v>10</v>
      </c>
      <c r="AC2239" s="1">
        <v>3963</v>
      </c>
      <c r="AF2239" s="3">
        <v>2.2310756972111552</v>
      </c>
      <c r="AG2239" s="3">
        <v>4.2781627255467303</v>
      </c>
      <c r="AH2239" s="1">
        <v>6269</v>
      </c>
      <c r="AI2239" s="1" t="b">
        <v>1</v>
      </c>
    </row>
    <row r="2240" spans="1:35" x14ac:dyDescent="0.25">
      <c r="A2240" s="1">
        <v>29</v>
      </c>
      <c r="B2240" s="1">
        <v>2</v>
      </c>
      <c r="C2240" s="1">
        <v>2020</v>
      </c>
      <c r="G2240" s="1" t="s">
        <v>39</v>
      </c>
      <c r="H2240" s="2">
        <v>18.12</v>
      </c>
      <c r="I2240" s="1">
        <v>39</v>
      </c>
      <c r="U2240" s="1">
        <v>52</v>
      </c>
      <c r="X2240" s="1">
        <v>47</v>
      </c>
      <c r="AA2240" s="1">
        <v>8</v>
      </c>
      <c r="AB2240" s="1">
        <v>8</v>
      </c>
      <c r="AC2240" s="1">
        <v>2384</v>
      </c>
      <c r="AF2240" s="3">
        <v>2.1523178807947017</v>
      </c>
      <c r="AG2240" s="3">
        <v>3.530240732923561</v>
      </c>
      <c r="AH2240" s="1">
        <v>6269</v>
      </c>
      <c r="AI2240" s="1" t="b">
        <v>1</v>
      </c>
    </row>
    <row r="2241" spans="1:35" x14ac:dyDescent="0.25">
      <c r="A2241" s="1">
        <v>29</v>
      </c>
      <c r="B2241" s="1">
        <v>2</v>
      </c>
      <c r="C2241" s="1">
        <v>2020</v>
      </c>
      <c r="G2241" s="1" t="s">
        <v>39</v>
      </c>
      <c r="H2241" s="2">
        <v>22.03</v>
      </c>
      <c r="I2241" s="1">
        <v>62</v>
      </c>
      <c r="U2241" s="1">
        <v>76</v>
      </c>
      <c r="X2241" s="1">
        <v>69</v>
      </c>
      <c r="AA2241" s="1">
        <v>5</v>
      </c>
      <c r="AB2241" s="1">
        <v>8</v>
      </c>
      <c r="AC2241" s="1">
        <v>2919</v>
      </c>
      <c r="AF2241" s="3">
        <v>2.8143440762596459</v>
      </c>
      <c r="AG2241" s="3">
        <v>3.095515305310367</v>
      </c>
      <c r="AH2241" s="1">
        <v>6269</v>
      </c>
      <c r="AI2241" s="1" t="b">
        <v>1</v>
      </c>
    </row>
    <row r="2242" spans="1:35" x14ac:dyDescent="0.25">
      <c r="A2242" s="1">
        <v>29</v>
      </c>
      <c r="B2242" s="1">
        <v>2</v>
      </c>
      <c r="C2242" s="1">
        <v>2020</v>
      </c>
      <c r="G2242" s="1" t="s">
        <v>39</v>
      </c>
      <c r="H2242" s="2">
        <v>25.26</v>
      </c>
      <c r="I2242" s="1">
        <v>68</v>
      </c>
      <c r="U2242" s="1">
        <v>80</v>
      </c>
      <c r="X2242" s="1">
        <v>73</v>
      </c>
      <c r="AA2242" s="1">
        <v>5</v>
      </c>
      <c r="AB2242" s="1">
        <v>6</v>
      </c>
      <c r="AC2242" s="1">
        <v>3960</v>
      </c>
      <c r="AF2242" s="3">
        <v>2.6920031670625493</v>
      </c>
      <c r="AG2242" s="3">
        <v>3.5614575797803303</v>
      </c>
      <c r="AH2242" s="1">
        <v>6269</v>
      </c>
      <c r="AI2242" s="1" t="b">
        <v>1</v>
      </c>
    </row>
    <row r="2243" spans="1:35" x14ac:dyDescent="0.25">
      <c r="A2243" s="1">
        <v>2</v>
      </c>
      <c r="B2243" s="1">
        <v>3</v>
      </c>
      <c r="C2243" s="1">
        <v>2020</v>
      </c>
      <c r="G2243" s="1" t="s">
        <v>39</v>
      </c>
      <c r="H2243" s="2">
        <v>27.48</v>
      </c>
      <c r="I2243" s="1">
        <v>68</v>
      </c>
      <c r="U2243" s="1">
        <v>100</v>
      </c>
      <c r="X2243" s="1">
        <v>87</v>
      </c>
      <c r="AA2243" s="1">
        <v>9</v>
      </c>
      <c r="AB2243" s="1">
        <v>9</v>
      </c>
      <c r="AC2243" s="1">
        <v>4034</v>
      </c>
      <c r="AF2243" s="3">
        <v>2.4745269286754001</v>
      </c>
      <c r="AG2243" s="3">
        <v>4.1097890013774627</v>
      </c>
      <c r="AH2243" s="1">
        <v>6270</v>
      </c>
      <c r="AI2243" s="1" t="b">
        <v>1</v>
      </c>
    </row>
    <row r="2244" spans="1:35" x14ac:dyDescent="0.25">
      <c r="A2244" s="1">
        <v>2</v>
      </c>
      <c r="B2244" s="1">
        <v>3</v>
      </c>
      <c r="C2244" s="1">
        <v>2020</v>
      </c>
      <c r="G2244" s="1" t="s">
        <v>39</v>
      </c>
      <c r="H2244" s="2">
        <v>25.79</v>
      </c>
      <c r="I2244" s="1">
        <v>77</v>
      </c>
      <c r="U2244" s="1">
        <v>96</v>
      </c>
      <c r="X2244" s="1">
        <v>86</v>
      </c>
      <c r="AA2244" s="1">
        <v>5</v>
      </c>
      <c r="AB2244" s="1">
        <v>8</v>
      </c>
      <c r="AC2244" s="1">
        <v>3339</v>
      </c>
      <c r="AF2244" s="3">
        <v>2.9856533540131833</v>
      </c>
      <c r="AG2244" s="3">
        <v>3.258191125701341</v>
      </c>
      <c r="AH2244" s="1">
        <v>6270</v>
      </c>
      <c r="AI2244" s="1" t="b">
        <v>1</v>
      </c>
    </row>
    <row r="2245" spans="1:35" x14ac:dyDescent="0.25">
      <c r="A2245" s="1">
        <v>2</v>
      </c>
      <c r="B2245" s="1">
        <v>3</v>
      </c>
      <c r="C2245" s="1">
        <v>2020</v>
      </c>
      <c r="G2245" s="1" t="s">
        <v>39</v>
      </c>
      <c r="H2245" s="2">
        <v>25.19</v>
      </c>
      <c r="I2245" s="1">
        <v>70</v>
      </c>
      <c r="U2245" s="1">
        <v>91</v>
      </c>
      <c r="X2245" s="1">
        <v>82</v>
      </c>
      <c r="AA2245" s="1">
        <v>5</v>
      </c>
      <c r="AB2245" s="1">
        <v>6</v>
      </c>
      <c r="AC2245" s="1">
        <v>3099</v>
      </c>
      <c r="AF2245" s="3">
        <v>2.7788805081381498</v>
      </c>
      <c r="AG2245" s="3">
        <v>3.4434187879650731</v>
      </c>
      <c r="AH2245" s="1">
        <v>6270</v>
      </c>
      <c r="AI2245" s="1" t="b">
        <v>1</v>
      </c>
    </row>
    <row r="2246" spans="1:35" x14ac:dyDescent="0.25">
      <c r="A2246" s="1">
        <v>2</v>
      </c>
      <c r="B2246" s="1">
        <v>3</v>
      </c>
      <c r="C2246" s="1">
        <v>2020</v>
      </c>
      <c r="G2246" s="1" t="s">
        <v>39</v>
      </c>
      <c r="H2246" s="2">
        <v>23.56</v>
      </c>
      <c r="I2246" s="1">
        <v>59</v>
      </c>
      <c r="U2246" s="1">
        <v>83</v>
      </c>
      <c r="X2246" s="1">
        <v>77</v>
      </c>
      <c r="AA2246" s="1">
        <v>8</v>
      </c>
      <c r="AB2246" s="1">
        <v>8</v>
      </c>
      <c r="AC2246" s="1">
        <v>2743</v>
      </c>
      <c r="AF2246" s="3">
        <v>2.5042444821731751</v>
      </c>
      <c r="AG2246" s="3">
        <v>3.6462460760035476</v>
      </c>
      <c r="AH2246" s="1">
        <v>6270</v>
      </c>
      <c r="AI2246" s="1" t="b">
        <v>1</v>
      </c>
    </row>
    <row r="2247" spans="1:35" x14ac:dyDescent="0.25">
      <c r="A2247" s="1">
        <v>2</v>
      </c>
      <c r="B2247" s="1">
        <v>3</v>
      </c>
      <c r="C2247" s="1">
        <v>2020</v>
      </c>
      <c r="G2247" s="1" t="s">
        <v>39</v>
      </c>
      <c r="H2247" s="2">
        <v>22.67</v>
      </c>
      <c r="I2247" s="1">
        <v>51</v>
      </c>
      <c r="U2247" s="1">
        <v>79</v>
      </c>
      <c r="X2247" s="1">
        <v>69</v>
      </c>
      <c r="AA2247" s="1">
        <v>9</v>
      </c>
      <c r="AB2247" s="1">
        <v>13</v>
      </c>
      <c r="AC2247" s="1">
        <v>2967</v>
      </c>
      <c r="AF2247" s="3">
        <v>2.2496691662990735</v>
      </c>
      <c r="AG2247" s="3">
        <v>3.9509124686565231</v>
      </c>
      <c r="AH2247" s="1">
        <v>6270</v>
      </c>
      <c r="AI2247" s="1" t="b">
        <v>1</v>
      </c>
    </row>
    <row r="2248" spans="1:35" x14ac:dyDescent="0.25">
      <c r="A2248" s="1">
        <v>2</v>
      </c>
      <c r="B2248" s="1">
        <v>3</v>
      </c>
      <c r="C2248" s="1">
        <v>2020</v>
      </c>
      <c r="G2248" s="1" t="s">
        <v>39</v>
      </c>
      <c r="H2248" s="2">
        <v>27.97</v>
      </c>
      <c r="I2248" s="1">
        <v>97</v>
      </c>
      <c r="U2248" s="1">
        <v>115</v>
      </c>
      <c r="X2248" s="1">
        <v>107</v>
      </c>
      <c r="AA2248" s="1">
        <v>5</v>
      </c>
      <c r="AB2248" s="1">
        <v>2</v>
      </c>
      <c r="AC2248" s="1">
        <v>3446</v>
      </c>
      <c r="AF2248" s="3">
        <v>3.4680014301036826</v>
      </c>
      <c r="AG2248" s="3">
        <v>2.9689676023851379</v>
      </c>
      <c r="AH2248" s="1">
        <v>6270</v>
      </c>
      <c r="AI2248" s="1" t="b">
        <v>1</v>
      </c>
    </row>
    <row r="2249" spans="1:35" x14ac:dyDescent="0.25">
      <c r="A2249" s="1">
        <v>4</v>
      </c>
      <c r="B2249" s="1">
        <v>3</v>
      </c>
      <c r="C2249" s="1">
        <v>2020</v>
      </c>
      <c r="G2249" s="1" t="s">
        <v>39</v>
      </c>
      <c r="H2249" s="2">
        <v>28.07</v>
      </c>
      <c r="I2249" s="1">
        <v>72</v>
      </c>
      <c r="U2249" s="1">
        <v>119</v>
      </c>
      <c r="X2249" s="1">
        <v>104</v>
      </c>
      <c r="AA2249" s="1">
        <v>11</v>
      </c>
      <c r="AB2249" s="1">
        <v>12</v>
      </c>
      <c r="AC2249" s="1">
        <v>3753</v>
      </c>
      <c r="AF2249" s="3">
        <v>2.5650160313501957</v>
      </c>
      <c r="AG2249" s="3">
        <v>4.0242004477638256</v>
      </c>
      <c r="AH2249" s="1">
        <v>6270</v>
      </c>
      <c r="AI2249" s="1" t="b">
        <v>1</v>
      </c>
    </row>
    <row r="2250" spans="1:35" x14ac:dyDescent="0.25">
      <c r="A2250" s="1">
        <v>4</v>
      </c>
      <c r="B2250" s="1">
        <v>3</v>
      </c>
      <c r="C2250" s="1">
        <v>2020</v>
      </c>
      <c r="G2250" s="1" t="s">
        <v>39</v>
      </c>
      <c r="H2250" s="2">
        <v>28.95</v>
      </c>
      <c r="I2250" s="1">
        <v>79</v>
      </c>
      <c r="U2250" s="1">
        <v>109</v>
      </c>
      <c r="X2250" s="1">
        <v>100</v>
      </c>
      <c r="AA2250" s="1">
        <v>7</v>
      </c>
      <c r="AB2250" s="1">
        <v>8</v>
      </c>
      <c r="AC2250" s="1">
        <v>3681</v>
      </c>
      <c r="AF2250" s="3">
        <v>2.7288428324697755</v>
      </c>
      <c r="AG2250" s="3">
        <v>3.8652311815532885</v>
      </c>
      <c r="AH2250" s="1">
        <v>6270</v>
      </c>
      <c r="AI2250" s="1" t="b">
        <v>1</v>
      </c>
    </row>
    <row r="2251" spans="1:35" x14ac:dyDescent="0.25">
      <c r="A2251" s="1">
        <v>4</v>
      </c>
      <c r="B2251" s="1">
        <v>3</v>
      </c>
      <c r="C2251" s="1">
        <v>2020</v>
      </c>
      <c r="G2251" s="1" t="s">
        <v>39</v>
      </c>
      <c r="H2251" s="2">
        <v>20.43</v>
      </c>
      <c r="I2251" s="1">
        <v>58</v>
      </c>
      <c r="U2251" s="1">
        <v>75</v>
      </c>
      <c r="X2251" s="1">
        <v>71</v>
      </c>
      <c r="AA2251" s="1">
        <v>6</v>
      </c>
      <c r="AB2251" s="1">
        <v>9</v>
      </c>
      <c r="AC2251" s="1">
        <v>2721</v>
      </c>
      <c r="AF2251" s="3">
        <v>2.8389623103279491</v>
      </c>
      <c r="AG2251" s="3">
        <v>2.9109063246548215</v>
      </c>
      <c r="AH2251" s="1">
        <v>6270</v>
      </c>
      <c r="AI2251" s="1" t="b">
        <v>1</v>
      </c>
    </row>
    <row r="2252" spans="1:35" x14ac:dyDescent="0.25">
      <c r="A2252" s="1">
        <v>8</v>
      </c>
      <c r="B2252" s="1">
        <v>3</v>
      </c>
      <c r="C2252" s="1">
        <v>2020</v>
      </c>
      <c r="G2252" s="1" t="s">
        <v>39</v>
      </c>
      <c r="H2252" s="2">
        <v>25.43</v>
      </c>
      <c r="I2252" s="1">
        <v>58</v>
      </c>
      <c r="U2252" s="1">
        <v>93</v>
      </c>
      <c r="X2252" s="1">
        <v>81</v>
      </c>
      <c r="AA2252" s="1">
        <v>8</v>
      </c>
      <c r="AB2252" s="1">
        <v>9</v>
      </c>
      <c r="AC2252" s="1">
        <v>3437</v>
      </c>
      <c r="AF2252" s="3">
        <v>2.2807707432166731</v>
      </c>
      <c r="AG2252" s="3">
        <v>4.2233864160108041</v>
      </c>
      <c r="AH2252" s="1">
        <v>6270</v>
      </c>
      <c r="AI2252" s="1" t="b">
        <v>1</v>
      </c>
    </row>
    <row r="2253" spans="1:35" x14ac:dyDescent="0.25">
      <c r="A2253" s="1">
        <v>11</v>
      </c>
      <c r="B2253" s="1">
        <v>3</v>
      </c>
      <c r="C2253" s="1">
        <v>2020</v>
      </c>
      <c r="G2253" s="1" t="s">
        <v>39</v>
      </c>
      <c r="H2253" s="2">
        <v>23.3</v>
      </c>
      <c r="I2253" s="1">
        <v>63</v>
      </c>
      <c r="U2253" s="1">
        <v>86</v>
      </c>
      <c r="X2253" s="1">
        <v>77</v>
      </c>
      <c r="AA2253" s="1">
        <v>6</v>
      </c>
      <c r="AB2253" s="1">
        <v>6</v>
      </c>
      <c r="AC2253" s="1">
        <v>3014</v>
      </c>
      <c r="AF2253" s="3">
        <v>2.703862660944206</v>
      </c>
      <c r="AG2253" s="3">
        <v>3.3509235237646142</v>
      </c>
      <c r="AH2253" s="1">
        <v>6271</v>
      </c>
      <c r="AI2253" s="1" t="b">
        <v>1</v>
      </c>
    </row>
    <row r="2254" spans="1:35" x14ac:dyDescent="0.25">
      <c r="A2254" s="1">
        <v>11</v>
      </c>
      <c r="B2254" s="1">
        <v>3</v>
      </c>
      <c r="C2254" s="1">
        <v>2020</v>
      </c>
      <c r="G2254" s="1" t="s">
        <v>39</v>
      </c>
      <c r="H2254" s="2">
        <v>29.55</v>
      </c>
      <c r="I2254" s="1">
        <v>85</v>
      </c>
      <c r="U2254" s="1">
        <v>114</v>
      </c>
      <c r="X2254" s="1">
        <v>101</v>
      </c>
      <c r="AA2254" s="1">
        <v>8</v>
      </c>
      <c r="AB2254" s="1">
        <v>6</v>
      </c>
      <c r="AC2254" s="1">
        <v>3824</v>
      </c>
      <c r="AF2254" s="3">
        <v>2.8764805414551606</v>
      </c>
      <c r="AG2254" s="3">
        <v>3.7198788779282346</v>
      </c>
      <c r="AH2254" s="1">
        <v>6271</v>
      </c>
      <c r="AI2254" s="1" t="b">
        <v>1</v>
      </c>
    </row>
    <row r="2255" spans="1:35" x14ac:dyDescent="0.25">
      <c r="A2255" s="1">
        <v>11</v>
      </c>
      <c r="B2255" s="1">
        <v>3</v>
      </c>
      <c r="C2255" s="1">
        <v>2020</v>
      </c>
      <c r="G2255" s="1" t="s">
        <v>39</v>
      </c>
      <c r="H2255" s="2">
        <v>24.74</v>
      </c>
      <c r="I2255" s="1">
        <v>73</v>
      </c>
      <c r="U2255" s="1">
        <v>89</v>
      </c>
      <c r="X2255" s="1">
        <v>83</v>
      </c>
      <c r="AA2255" s="1">
        <v>5</v>
      </c>
      <c r="AB2255" s="1">
        <v>7</v>
      </c>
      <c r="AC2255" s="1">
        <v>2644</v>
      </c>
      <c r="AF2255" s="3">
        <v>2.9506871463217466</v>
      </c>
      <c r="AG2255" s="3">
        <v>3.2022602310830282</v>
      </c>
      <c r="AH2255" s="1">
        <v>6271</v>
      </c>
      <c r="AI2255" s="1" t="b">
        <v>1</v>
      </c>
    </row>
    <row r="2256" spans="1:35" x14ac:dyDescent="0.25">
      <c r="A2256" s="1">
        <v>11</v>
      </c>
      <c r="B2256" s="1">
        <v>3</v>
      </c>
      <c r="C2256" s="1">
        <v>2020</v>
      </c>
      <c r="G2256" s="1" t="s">
        <v>39</v>
      </c>
      <c r="H2256" s="2">
        <v>30.83</v>
      </c>
      <c r="I2256" s="1">
        <v>77</v>
      </c>
      <c r="U2256" s="1">
        <v>104</v>
      </c>
      <c r="X2256" s="1">
        <v>95</v>
      </c>
      <c r="AA2256" s="1">
        <v>7</v>
      </c>
      <c r="AB2256" s="1">
        <v>5</v>
      </c>
      <c r="AC2256" s="1">
        <v>3886</v>
      </c>
      <c r="AF2256" s="3">
        <v>2.4975673045734674</v>
      </c>
      <c r="AG2256" s="3">
        <v>4.4133082989133943</v>
      </c>
      <c r="AH2256" s="1">
        <v>6271</v>
      </c>
      <c r="AI2256" s="1" t="b">
        <v>1</v>
      </c>
    </row>
    <row r="2257" spans="1:35" x14ac:dyDescent="0.25">
      <c r="A2257" s="1">
        <v>11</v>
      </c>
      <c r="B2257" s="1">
        <v>3</v>
      </c>
      <c r="C2257" s="1">
        <v>2020</v>
      </c>
      <c r="G2257" s="1" t="s">
        <v>39</v>
      </c>
      <c r="H2257" s="2">
        <v>21.6</v>
      </c>
      <c r="I2257" s="1">
        <v>53</v>
      </c>
      <c r="U2257" s="1">
        <v>79</v>
      </c>
      <c r="X2257" s="1">
        <v>66</v>
      </c>
      <c r="AA2257" s="1">
        <v>6</v>
      </c>
      <c r="AB2257" s="1">
        <v>7</v>
      </c>
      <c r="AC2257" s="1">
        <v>2831</v>
      </c>
      <c r="AF2257" s="3">
        <v>2.4537037037037037</v>
      </c>
      <c r="AG2257" s="3">
        <v>3.5018336153787888</v>
      </c>
      <c r="AH2257" s="1">
        <v>6271</v>
      </c>
      <c r="AI2257" s="1" t="b">
        <v>1</v>
      </c>
    </row>
    <row r="2258" spans="1:35" x14ac:dyDescent="0.25">
      <c r="A2258" s="1">
        <v>11</v>
      </c>
      <c r="B2258" s="1">
        <v>3</v>
      </c>
      <c r="C2258" s="1">
        <v>2020</v>
      </c>
      <c r="G2258" s="1" t="s">
        <v>39</v>
      </c>
      <c r="H2258" s="2">
        <v>24.45</v>
      </c>
      <c r="I2258" s="1">
        <v>61</v>
      </c>
      <c r="U2258" s="1">
        <v>89</v>
      </c>
      <c r="X2258" s="1">
        <v>76</v>
      </c>
      <c r="AA2258" s="1">
        <v>6</v>
      </c>
      <c r="AB2258" s="1">
        <v>9</v>
      </c>
      <c r="AC2258" s="1">
        <v>3484</v>
      </c>
      <c r="AF2258" s="3">
        <v>2.4948875255623721</v>
      </c>
      <c r="AG2258" s="3">
        <v>3.7561612919104514</v>
      </c>
      <c r="AH2258" s="1">
        <v>6271</v>
      </c>
      <c r="AI2258" s="1" t="b">
        <v>1</v>
      </c>
    </row>
    <row r="2259" spans="1:35" x14ac:dyDescent="0.25">
      <c r="A2259" s="1">
        <v>11</v>
      </c>
      <c r="B2259" s="1">
        <v>3</v>
      </c>
      <c r="C2259" s="1">
        <v>2020</v>
      </c>
      <c r="G2259" s="1" t="s">
        <v>39</v>
      </c>
      <c r="H2259" s="2">
        <v>29.09</v>
      </c>
      <c r="I2259" s="1">
        <v>67</v>
      </c>
      <c r="U2259" s="1">
        <v>92</v>
      </c>
      <c r="X2259" s="1">
        <v>83</v>
      </c>
      <c r="AA2259" s="1">
        <v>7</v>
      </c>
      <c r="AB2259" s="1">
        <v>6</v>
      </c>
      <c r="AC2259" s="1">
        <v>3747</v>
      </c>
      <c r="AF2259" s="3">
        <v>2.3031969749054659</v>
      </c>
      <c r="AG2259" s="3">
        <v>4.5950424031472981</v>
      </c>
      <c r="AH2259" s="1">
        <v>6271</v>
      </c>
      <c r="AI2259" s="1" t="b">
        <v>1</v>
      </c>
    </row>
    <row r="2260" spans="1:35" x14ac:dyDescent="0.25">
      <c r="A2260" s="1">
        <v>11</v>
      </c>
      <c r="B2260" s="1">
        <v>3</v>
      </c>
      <c r="C2260" s="1">
        <v>2020</v>
      </c>
      <c r="G2260" s="1" t="s">
        <v>39</v>
      </c>
      <c r="H2260" s="2">
        <v>23.62</v>
      </c>
      <c r="I2260" s="1">
        <v>55</v>
      </c>
      <c r="U2260" s="1">
        <v>87</v>
      </c>
      <c r="X2260" s="1">
        <v>75</v>
      </c>
      <c r="AA2260" s="1">
        <v>9</v>
      </c>
      <c r="AB2260" s="1">
        <v>12</v>
      </c>
      <c r="AC2260" s="1">
        <v>3010</v>
      </c>
      <c r="AF2260" s="3">
        <v>2.3285351397121081</v>
      </c>
      <c r="AG2260" s="3">
        <v>3.9283767234100195</v>
      </c>
      <c r="AH2260" s="1">
        <v>6271</v>
      </c>
      <c r="AI2260" s="1" t="b">
        <v>1</v>
      </c>
    </row>
    <row r="2261" spans="1:35" x14ac:dyDescent="0.25">
      <c r="A2261" s="1">
        <v>11</v>
      </c>
      <c r="B2261" s="1">
        <v>3</v>
      </c>
      <c r="C2261" s="1">
        <v>2020</v>
      </c>
      <c r="G2261" s="1" t="s">
        <v>39</v>
      </c>
      <c r="H2261" s="2">
        <v>28.61</v>
      </c>
      <c r="I2261" s="1">
        <v>67</v>
      </c>
      <c r="U2261" s="1">
        <v>108</v>
      </c>
      <c r="X2261" s="1">
        <v>94</v>
      </c>
      <c r="AA2261" s="1">
        <v>10</v>
      </c>
      <c r="AB2261" s="1">
        <v>11</v>
      </c>
      <c r="AC2261" s="1">
        <v>3756</v>
      </c>
      <c r="AF2261" s="3">
        <v>2.3418385180006993</v>
      </c>
      <c r="AG2261" s="3">
        <v>4.4668930623921463</v>
      </c>
      <c r="AH2261" s="1">
        <v>6271</v>
      </c>
      <c r="AI2261" s="1" t="b">
        <v>1</v>
      </c>
    </row>
    <row r="2262" spans="1:35" x14ac:dyDescent="0.25">
      <c r="A2262" s="1">
        <v>11</v>
      </c>
      <c r="B2262" s="1">
        <v>3</v>
      </c>
      <c r="C2262" s="1">
        <v>2020</v>
      </c>
      <c r="G2262" s="1" t="s">
        <v>39</v>
      </c>
      <c r="H2262" s="2">
        <v>23.75</v>
      </c>
      <c r="I2262" s="1">
        <v>57</v>
      </c>
      <c r="U2262" s="1">
        <v>86</v>
      </c>
      <c r="X2262" s="1">
        <v>77</v>
      </c>
      <c r="AA2262" s="1">
        <v>8</v>
      </c>
      <c r="AB2262" s="1">
        <v>9</v>
      </c>
      <c r="AC2262" s="1">
        <v>2926</v>
      </c>
      <c r="AF2262" s="3">
        <v>2.4</v>
      </c>
      <c r="AG2262" s="3">
        <v>3.8260733182046485</v>
      </c>
      <c r="AH2262" s="1">
        <v>6271</v>
      </c>
      <c r="AI2262" s="1" t="b">
        <v>1</v>
      </c>
    </row>
    <row r="2263" spans="1:35" x14ac:dyDescent="0.25">
      <c r="A2263" s="1">
        <v>15</v>
      </c>
      <c r="B2263" s="1">
        <v>3</v>
      </c>
      <c r="C2263" s="1">
        <v>2020</v>
      </c>
      <c r="G2263" s="1" t="s">
        <v>39</v>
      </c>
      <c r="H2263" s="2">
        <v>22.45</v>
      </c>
      <c r="I2263" s="1">
        <v>55</v>
      </c>
      <c r="U2263" s="1">
        <v>79</v>
      </c>
      <c r="X2263" s="1">
        <v>69</v>
      </c>
      <c r="AA2263" s="1">
        <v>6</v>
      </c>
      <c r="AB2263" s="1">
        <v>10</v>
      </c>
      <c r="AC2263" s="1">
        <v>3066</v>
      </c>
      <c r="AF2263" s="3">
        <v>2.4498886414253898</v>
      </c>
      <c r="AG2263" s="3">
        <v>3.603338795646938</v>
      </c>
      <c r="AH2263" s="1">
        <v>6271</v>
      </c>
      <c r="AI2263" s="1" t="b">
        <v>1</v>
      </c>
    </row>
    <row r="2264" spans="1:35" x14ac:dyDescent="0.25">
      <c r="A2264" s="1">
        <v>16</v>
      </c>
      <c r="B2264" s="1">
        <v>3</v>
      </c>
      <c r="C2264" s="1">
        <v>2020</v>
      </c>
      <c r="G2264" s="1" t="s">
        <v>39</v>
      </c>
      <c r="H2264" s="2">
        <v>21.14</v>
      </c>
      <c r="I2264" s="1">
        <v>47</v>
      </c>
      <c r="U2264" s="1">
        <v>70</v>
      </c>
      <c r="X2264" s="1">
        <v>62</v>
      </c>
      <c r="AA2264" s="1">
        <v>7</v>
      </c>
      <c r="AB2264" s="1">
        <v>13</v>
      </c>
      <c r="AC2264" s="1">
        <v>2725</v>
      </c>
      <c r="AF2264" s="3">
        <v>2.2232734153263953</v>
      </c>
      <c r="AG2264" s="3">
        <v>3.8069801566015227</v>
      </c>
      <c r="AH2264" s="1">
        <v>6272</v>
      </c>
      <c r="AI2264" s="1" t="b">
        <v>1</v>
      </c>
    </row>
    <row r="2265" spans="1:35" x14ac:dyDescent="0.25">
      <c r="A2265" s="1">
        <v>16</v>
      </c>
      <c r="B2265" s="1">
        <v>3</v>
      </c>
      <c r="C2265" s="1">
        <v>2020</v>
      </c>
      <c r="G2265" s="1" t="s">
        <v>39</v>
      </c>
      <c r="H2265" s="2">
        <v>25.73</v>
      </c>
      <c r="I2265" s="1">
        <v>61</v>
      </c>
      <c r="U2265" s="1">
        <v>95</v>
      </c>
      <c r="X2265" s="1">
        <v>84</v>
      </c>
      <c r="AA2265" s="1">
        <v>8</v>
      </c>
      <c r="AB2265" s="1">
        <v>5</v>
      </c>
      <c r="AC2265" s="1">
        <v>3727</v>
      </c>
      <c r="AF2265" s="3">
        <v>2.3707734162456275</v>
      </c>
      <c r="AG2265" s="3">
        <v>4.0965456759271808</v>
      </c>
      <c r="AH2265" s="1">
        <v>6272</v>
      </c>
      <c r="AI2265" s="1" t="b">
        <v>1</v>
      </c>
    </row>
    <row r="2266" spans="1:35" x14ac:dyDescent="0.25">
      <c r="A2266" s="1">
        <v>16</v>
      </c>
      <c r="B2266" s="1">
        <v>3</v>
      </c>
      <c r="C2266" s="1">
        <v>2020</v>
      </c>
      <c r="G2266" s="1" t="s">
        <v>39</v>
      </c>
      <c r="H2266" s="2">
        <v>30.15</v>
      </c>
      <c r="I2266" s="1">
        <v>93</v>
      </c>
      <c r="U2266" s="1">
        <v>119</v>
      </c>
      <c r="X2266" s="1">
        <v>108</v>
      </c>
      <c r="AA2266" s="1">
        <v>5</v>
      </c>
      <c r="AB2266" s="1">
        <v>3</v>
      </c>
      <c r="AC2266" s="1">
        <v>3830</v>
      </c>
      <c r="AF2266" s="3">
        <v>3.0845771144278609</v>
      </c>
      <c r="AG2266" s="3">
        <v>3.5180782057482429</v>
      </c>
      <c r="AH2266" s="1">
        <v>6272</v>
      </c>
      <c r="AI2266" s="1" t="b">
        <v>1</v>
      </c>
    </row>
    <row r="2267" spans="1:35" x14ac:dyDescent="0.25">
      <c r="A2267" s="1">
        <v>16</v>
      </c>
      <c r="B2267" s="1">
        <v>3</v>
      </c>
      <c r="C2267" s="1">
        <v>2020</v>
      </c>
      <c r="G2267" s="1" t="s">
        <v>39</v>
      </c>
      <c r="H2267" s="2">
        <v>29.52</v>
      </c>
      <c r="I2267" s="1">
        <v>62</v>
      </c>
      <c r="U2267" s="1">
        <v>99</v>
      </c>
      <c r="X2267" s="1">
        <v>84</v>
      </c>
      <c r="AA2267" s="1">
        <v>8</v>
      </c>
      <c r="AB2267" s="1">
        <v>6</v>
      </c>
      <c r="AC2267" s="1">
        <v>3854</v>
      </c>
      <c r="AF2267" s="3">
        <v>2.1002710027100271</v>
      </c>
      <c r="AG2267" s="3">
        <v>5.0910353295221835</v>
      </c>
      <c r="AH2267" s="1">
        <v>6272</v>
      </c>
      <c r="AI2267" s="1" t="b">
        <v>1</v>
      </c>
    </row>
    <row r="2268" spans="1:35" x14ac:dyDescent="0.25">
      <c r="A2268" s="1">
        <v>16</v>
      </c>
      <c r="B2268" s="1">
        <v>3</v>
      </c>
      <c r="C2268" s="1">
        <v>2020</v>
      </c>
      <c r="G2268" s="1" t="s">
        <v>39</v>
      </c>
      <c r="H2268" s="2">
        <v>27.7</v>
      </c>
      <c r="I2268" s="1">
        <v>60</v>
      </c>
      <c r="U2268" s="1">
        <v>98</v>
      </c>
      <c r="X2268" s="1">
        <v>83</v>
      </c>
      <c r="AA2268" s="1">
        <v>8</v>
      </c>
      <c r="AB2268" s="1">
        <v>7</v>
      </c>
      <c r="AC2268" s="1">
        <v>3254</v>
      </c>
      <c r="AF2268" s="3">
        <v>2.1660649819494586</v>
      </c>
      <c r="AG2268" s="3">
        <v>4.7213300030237688</v>
      </c>
      <c r="AH2268" s="1">
        <v>6272</v>
      </c>
      <c r="AI2268" s="1" t="b">
        <v>1</v>
      </c>
    </row>
    <row r="2269" spans="1:35" x14ac:dyDescent="0.25">
      <c r="A2269" s="1">
        <v>22</v>
      </c>
      <c r="B2269" s="1">
        <v>3</v>
      </c>
      <c r="C2269" s="1">
        <v>2020</v>
      </c>
      <c r="G2269" s="1" t="s">
        <v>39</v>
      </c>
      <c r="H2269" s="2">
        <v>23.42</v>
      </c>
      <c r="I2269" s="1">
        <v>63</v>
      </c>
      <c r="U2269" s="1">
        <v>95</v>
      </c>
      <c r="X2269" s="1">
        <v>83</v>
      </c>
      <c r="AA2269" s="1">
        <v>7</v>
      </c>
      <c r="AB2269" s="1">
        <v>8</v>
      </c>
      <c r="AC2269" s="1">
        <v>3194</v>
      </c>
      <c r="AF2269" s="3">
        <v>2.6900085397096496</v>
      </c>
      <c r="AG2269" s="3">
        <v>3.3803149394178189</v>
      </c>
      <c r="AH2269" s="1">
        <v>6272</v>
      </c>
      <c r="AI2269" s="1" t="b">
        <v>1</v>
      </c>
    </row>
    <row r="2270" spans="1:35" x14ac:dyDescent="0.25">
      <c r="A2270" s="1">
        <v>22</v>
      </c>
      <c r="B2270" s="1">
        <v>3</v>
      </c>
      <c r="C2270" s="1">
        <v>2020</v>
      </c>
      <c r="G2270" s="1" t="s">
        <v>39</v>
      </c>
      <c r="H2270" s="2">
        <v>24.5</v>
      </c>
      <c r="I2270" s="1">
        <v>60</v>
      </c>
      <c r="U2270" s="1">
        <v>88</v>
      </c>
      <c r="X2270" s="1">
        <v>75</v>
      </c>
      <c r="AA2270" s="1">
        <v>7</v>
      </c>
      <c r="AB2270" s="1">
        <v>11</v>
      </c>
      <c r="AC2270" s="1">
        <v>3458</v>
      </c>
      <c r="AF2270" s="3">
        <v>2.4489795918367347</v>
      </c>
      <c r="AG2270" s="3">
        <v>3.8320493469185903</v>
      </c>
      <c r="AH2270" s="1">
        <v>6272</v>
      </c>
      <c r="AI2270" s="1" t="b">
        <v>1</v>
      </c>
    </row>
    <row r="2271" spans="1:35" x14ac:dyDescent="0.25">
      <c r="A2271" s="1">
        <v>13</v>
      </c>
      <c r="B2271" s="1">
        <v>4</v>
      </c>
      <c r="C2271" s="1">
        <v>2020</v>
      </c>
      <c r="G2271" s="1" t="s">
        <v>39</v>
      </c>
      <c r="H2271" s="2">
        <v>24.32</v>
      </c>
      <c r="I2271" s="1">
        <v>63</v>
      </c>
      <c r="U2271" s="1">
        <v>80</v>
      </c>
      <c r="X2271" s="1">
        <v>72</v>
      </c>
      <c r="AA2271" s="1">
        <v>6</v>
      </c>
      <c r="AB2271" s="1">
        <v>8</v>
      </c>
      <c r="AC2271" s="1">
        <v>2871</v>
      </c>
      <c r="AF2271" s="3">
        <v>2.5904605263157894</v>
      </c>
      <c r="AG2271" s="3">
        <v>3.6041057102181036</v>
      </c>
      <c r="AH2271" s="1">
        <v>6276</v>
      </c>
      <c r="AI2271" s="1" t="b">
        <v>1</v>
      </c>
    </row>
    <row r="2272" spans="1:35" x14ac:dyDescent="0.25">
      <c r="A2272" s="1">
        <v>13</v>
      </c>
      <c r="B2272" s="1">
        <v>4</v>
      </c>
      <c r="C2272" s="1">
        <v>2020</v>
      </c>
      <c r="G2272" s="1" t="s">
        <v>39</v>
      </c>
      <c r="H2272" s="2">
        <v>30.42</v>
      </c>
      <c r="I2272" s="1">
        <v>81</v>
      </c>
      <c r="U2272" s="1">
        <v>110</v>
      </c>
      <c r="X2272" s="1">
        <v>97</v>
      </c>
      <c r="AA2272" s="1">
        <v>8</v>
      </c>
      <c r="AB2272" s="1">
        <v>6</v>
      </c>
      <c r="AC2272" s="1">
        <v>3723</v>
      </c>
      <c r="AF2272" s="3">
        <v>2.6627218934911241</v>
      </c>
      <c r="AG2272" s="3">
        <v>4.1009609854475251</v>
      </c>
      <c r="AH2272" s="1">
        <v>6276</v>
      </c>
      <c r="AI2272" s="1" t="b">
        <v>1</v>
      </c>
    </row>
    <row r="2273" spans="1:35" x14ac:dyDescent="0.25">
      <c r="A2273" s="1">
        <v>13</v>
      </c>
      <c r="B2273" s="1">
        <v>4</v>
      </c>
      <c r="C2273" s="1">
        <v>2020</v>
      </c>
      <c r="G2273" s="1" t="s">
        <v>39</v>
      </c>
      <c r="H2273" s="2">
        <v>21.67</v>
      </c>
      <c r="I2273" s="1">
        <v>59</v>
      </c>
      <c r="U2273" s="1">
        <v>72</v>
      </c>
      <c r="X2273" s="1">
        <v>66</v>
      </c>
      <c r="AA2273" s="1">
        <v>4</v>
      </c>
      <c r="AB2273" s="1">
        <v>5</v>
      </c>
      <c r="AC2273" s="1">
        <v>2861</v>
      </c>
      <c r="AF2273" s="3">
        <v>2.722658052607291</v>
      </c>
      <c r="AG2273" s="3">
        <v>3.1630651527865443</v>
      </c>
      <c r="AH2273" s="1">
        <v>6276</v>
      </c>
      <c r="AI2273" s="1" t="b">
        <v>1</v>
      </c>
    </row>
    <row r="2274" spans="1:35" x14ac:dyDescent="0.25">
      <c r="A2274" s="1">
        <v>13</v>
      </c>
      <c r="B2274" s="1">
        <v>4</v>
      </c>
      <c r="C2274" s="1">
        <v>2020</v>
      </c>
      <c r="G2274" s="1" t="s">
        <v>39</v>
      </c>
      <c r="H2274" s="2">
        <v>26.36</v>
      </c>
      <c r="I2274" s="1">
        <v>67</v>
      </c>
      <c r="U2274" s="1">
        <v>106</v>
      </c>
      <c r="X2274" s="1">
        <v>90</v>
      </c>
      <c r="AA2274" s="1">
        <v>10</v>
      </c>
      <c r="AB2274" s="1">
        <v>5</v>
      </c>
      <c r="AC2274" s="1">
        <v>3156</v>
      </c>
      <c r="AF2274" s="3">
        <v>2.5417298937784523</v>
      </c>
      <c r="AG2274" s="3">
        <v>3.8862647856413846</v>
      </c>
      <c r="AH2274" s="1">
        <v>6276</v>
      </c>
      <c r="AI2274" s="1" t="b">
        <v>1</v>
      </c>
    </row>
    <row r="2275" spans="1:35" x14ac:dyDescent="0.25">
      <c r="A2275" s="1">
        <v>13</v>
      </c>
      <c r="B2275" s="1">
        <v>4</v>
      </c>
      <c r="C2275" s="1">
        <v>2020</v>
      </c>
      <c r="G2275" s="1" t="s">
        <v>39</v>
      </c>
      <c r="H2275" s="2">
        <v>21.37</v>
      </c>
      <c r="I2275" s="1">
        <v>52</v>
      </c>
      <c r="U2275" s="1">
        <v>84</v>
      </c>
      <c r="X2275" s="1">
        <v>73</v>
      </c>
      <c r="AA2275" s="1">
        <v>7</v>
      </c>
      <c r="AB2275" s="1">
        <v>10</v>
      </c>
      <c r="AC2275" s="1">
        <v>3199</v>
      </c>
      <c r="AF2275" s="3">
        <v>2.4333177351427233</v>
      </c>
      <c r="AG2275" s="3">
        <v>3.5048089083851459</v>
      </c>
      <c r="AH2275" s="1">
        <v>6276</v>
      </c>
      <c r="AI2275" s="1" t="b">
        <v>1</v>
      </c>
    </row>
    <row r="2276" spans="1:35" x14ac:dyDescent="0.25">
      <c r="A2276" s="1">
        <v>13</v>
      </c>
      <c r="B2276" s="1">
        <v>4</v>
      </c>
      <c r="C2276" s="1">
        <v>2020</v>
      </c>
      <c r="G2276" s="1" t="s">
        <v>39</v>
      </c>
      <c r="H2276" s="2">
        <v>28.03</v>
      </c>
      <c r="I2276" s="1">
        <v>85</v>
      </c>
      <c r="U2276" s="1">
        <v>115</v>
      </c>
      <c r="X2276" s="1">
        <v>103</v>
      </c>
      <c r="AA2276" s="1">
        <v>6</v>
      </c>
      <c r="AB2276" s="1">
        <v>4</v>
      </c>
      <c r="AC2276" s="1">
        <v>3324</v>
      </c>
      <c r="AF2276" s="3">
        <v>3.0324652158401713</v>
      </c>
      <c r="AG2276" s="3">
        <v>3.4004809051460905</v>
      </c>
      <c r="AH2276" s="1">
        <v>6276</v>
      </c>
      <c r="AI2276" s="1" t="b">
        <v>1</v>
      </c>
    </row>
    <row r="2277" spans="1:35" x14ac:dyDescent="0.25">
      <c r="A2277" s="1">
        <v>14</v>
      </c>
      <c r="B2277" s="1">
        <v>4</v>
      </c>
      <c r="C2277" s="1">
        <v>2020</v>
      </c>
      <c r="G2277" s="1" t="s">
        <v>39</v>
      </c>
      <c r="H2277" s="2">
        <v>21.64</v>
      </c>
      <c r="I2277" s="1">
        <v>51</v>
      </c>
      <c r="U2277" s="1">
        <v>69</v>
      </c>
      <c r="X2277" s="1">
        <v>60</v>
      </c>
      <c r="AA2277" s="1">
        <v>5</v>
      </c>
      <c r="AB2277" s="1">
        <v>9</v>
      </c>
      <c r="AC2277" s="1">
        <v>2620</v>
      </c>
      <c r="AF2277" s="3">
        <v>2.3567467652495377</v>
      </c>
      <c r="AG2277" s="3">
        <v>3.6506244641843546</v>
      </c>
      <c r="AH2277" s="1">
        <v>6276</v>
      </c>
      <c r="AI2277" s="1" t="b">
        <v>1</v>
      </c>
    </row>
    <row r="2278" spans="1:35" x14ac:dyDescent="0.25">
      <c r="A2278" s="1">
        <v>14</v>
      </c>
      <c r="B2278" s="1">
        <v>4</v>
      </c>
      <c r="C2278" s="1">
        <v>2020</v>
      </c>
      <c r="G2278" s="1" t="s">
        <v>39</v>
      </c>
      <c r="H2278" s="2">
        <v>27.34</v>
      </c>
      <c r="I2278" s="1">
        <v>64</v>
      </c>
      <c r="U2278" s="1">
        <v>95</v>
      </c>
      <c r="X2278" s="1">
        <v>85</v>
      </c>
      <c r="AA2278" s="1">
        <v>9</v>
      </c>
      <c r="AB2278" s="1">
        <v>8</v>
      </c>
      <c r="AC2278" s="1">
        <v>3506</v>
      </c>
      <c r="AF2278" s="3">
        <v>2.3408924652523773</v>
      </c>
      <c r="AG2278" s="3">
        <v>4.3288994011974173</v>
      </c>
      <c r="AH2278" s="1">
        <v>6276</v>
      </c>
      <c r="AI2278" s="1" t="b">
        <v>1</v>
      </c>
    </row>
    <row r="2279" spans="1:35" x14ac:dyDescent="0.25">
      <c r="A2279" s="1">
        <v>14</v>
      </c>
      <c r="B2279" s="1">
        <v>4</v>
      </c>
      <c r="C2279" s="1">
        <v>2020</v>
      </c>
      <c r="G2279" s="1" t="s">
        <v>39</v>
      </c>
      <c r="H2279" s="2">
        <v>26.47</v>
      </c>
      <c r="I2279" s="1">
        <v>60</v>
      </c>
      <c r="U2279" s="1">
        <v>97</v>
      </c>
      <c r="X2279" s="1">
        <v>81</v>
      </c>
      <c r="AA2279" s="1">
        <v>9</v>
      </c>
      <c r="AB2279" s="1">
        <v>13</v>
      </c>
      <c r="AC2279" s="1">
        <v>3027</v>
      </c>
      <c r="AF2279" s="3">
        <v>2.2667170381564037</v>
      </c>
      <c r="AG2279" s="3">
        <v>4.3704932097596396</v>
      </c>
      <c r="AH2279" s="1">
        <v>6276</v>
      </c>
      <c r="AI2279" s="1" t="b">
        <v>1</v>
      </c>
    </row>
    <row r="2280" spans="1:35" x14ac:dyDescent="0.25">
      <c r="A2280" s="1">
        <v>14</v>
      </c>
      <c r="B2280" s="1">
        <v>4</v>
      </c>
      <c r="C2280" s="1">
        <v>2020</v>
      </c>
      <c r="G2280" s="1" t="s">
        <v>39</v>
      </c>
      <c r="H2280" s="2">
        <v>21.04</v>
      </c>
      <c r="I2280" s="1">
        <v>50</v>
      </c>
      <c r="U2280" s="1">
        <v>70</v>
      </c>
      <c r="X2280" s="1">
        <v>63</v>
      </c>
      <c r="AA2280" s="1">
        <v>8</v>
      </c>
      <c r="AB2280" s="1">
        <v>12</v>
      </c>
      <c r="AC2280" s="1">
        <v>2612</v>
      </c>
      <c r="AF2280" s="3">
        <v>2.376425855513308</v>
      </c>
      <c r="AG2280" s="3">
        <v>3.5498315581388424</v>
      </c>
      <c r="AH2280" s="1">
        <v>6276</v>
      </c>
      <c r="AI2280" s="1" t="b">
        <v>1</v>
      </c>
    </row>
    <row r="2281" spans="1:35" x14ac:dyDescent="0.25">
      <c r="A2281" s="1">
        <v>14</v>
      </c>
      <c r="B2281" s="1">
        <v>4</v>
      </c>
      <c r="C2281" s="1">
        <v>2020</v>
      </c>
      <c r="G2281" s="1" t="s">
        <v>39</v>
      </c>
      <c r="H2281" s="2">
        <v>28.11</v>
      </c>
      <c r="I2281" s="1">
        <v>81</v>
      </c>
      <c r="U2281" s="1">
        <v>112</v>
      </c>
      <c r="X2281" s="1">
        <v>101</v>
      </c>
      <c r="AA2281" s="1">
        <v>7</v>
      </c>
      <c r="AB2281" s="1">
        <v>6</v>
      </c>
      <c r="AC2281" s="1">
        <v>3491</v>
      </c>
      <c r="AF2281" s="3">
        <v>2.88153681963714</v>
      </c>
      <c r="AG2281" s="3">
        <v>3.5857368851316136</v>
      </c>
      <c r="AH2281" s="1">
        <v>6276</v>
      </c>
      <c r="AI2281" s="1" t="b">
        <v>1</v>
      </c>
    </row>
    <row r="2282" spans="1:35" x14ac:dyDescent="0.25">
      <c r="A2282" s="1">
        <v>14</v>
      </c>
      <c r="B2282" s="1">
        <v>4</v>
      </c>
      <c r="C2282" s="1">
        <v>2020</v>
      </c>
      <c r="G2282" s="1" t="s">
        <v>39</v>
      </c>
      <c r="H2282" s="2">
        <v>26.65</v>
      </c>
      <c r="I2282" s="1">
        <v>57</v>
      </c>
      <c r="U2282" s="1">
        <v>87</v>
      </c>
      <c r="X2282" s="1">
        <v>77</v>
      </c>
      <c r="AA2282" s="1">
        <v>8</v>
      </c>
      <c r="AB2282" s="1">
        <v>7</v>
      </c>
      <c r="AC2282" s="1">
        <v>3104</v>
      </c>
      <c r="AF2282" s="3">
        <v>2.1388367729831144</v>
      </c>
      <c r="AG2282" s="3">
        <v>4.6538288445041642</v>
      </c>
      <c r="AH2282" s="1">
        <v>6276</v>
      </c>
      <c r="AI2282" s="1" t="b">
        <v>1</v>
      </c>
    </row>
    <row r="2283" spans="1:35" x14ac:dyDescent="0.25">
      <c r="A2283" s="1">
        <v>14</v>
      </c>
      <c r="B2283" s="1">
        <v>4</v>
      </c>
      <c r="C2283" s="1">
        <v>2020</v>
      </c>
      <c r="G2283" s="1" t="s">
        <v>39</v>
      </c>
      <c r="H2283" s="2">
        <v>26.79</v>
      </c>
      <c r="I2283" s="1">
        <v>59</v>
      </c>
      <c r="U2283" s="1">
        <v>106</v>
      </c>
      <c r="X2283" s="1">
        <v>91</v>
      </c>
      <c r="AA2283" s="1">
        <v>11</v>
      </c>
      <c r="AB2283" s="1">
        <v>10</v>
      </c>
      <c r="AC2283" s="1">
        <v>3407</v>
      </c>
      <c r="AF2283" s="3">
        <v>2.2023142963792459</v>
      </c>
      <c r="AG2283" s="3">
        <v>4.5362982595842594</v>
      </c>
      <c r="AH2283" s="1">
        <v>6276</v>
      </c>
      <c r="AI2283" s="1" t="b">
        <v>1</v>
      </c>
    </row>
    <row r="2284" spans="1:35" x14ac:dyDescent="0.25">
      <c r="A2284" s="1">
        <v>14</v>
      </c>
      <c r="B2284" s="1">
        <v>4</v>
      </c>
      <c r="C2284" s="1">
        <v>2020</v>
      </c>
      <c r="G2284" s="1" t="s">
        <v>39</v>
      </c>
      <c r="H2284" s="2">
        <v>22.1</v>
      </c>
      <c r="I2284" s="1">
        <v>57</v>
      </c>
      <c r="U2284" s="1">
        <v>88</v>
      </c>
      <c r="X2284" s="1">
        <v>78</v>
      </c>
      <c r="AA2284" s="1">
        <v>9</v>
      </c>
      <c r="AB2284" s="1">
        <v>11</v>
      </c>
      <c r="AC2284" s="1">
        <v>3109</v>
      </c>
      <c r="AF2284" s="3">
        <v>2.5791855203619907</v>
      </c>
      <c r="AG2284" s="3">
        <v>3.3852598435594801</v>
      </c>
      <c r="AH2284" s="1">
        <v>6276</v>
      </c>
      <c r="AI2284" s="1" t="b">
        <v>1</v>
      </c>
    </row>
    <row r="2285" spans="1:35" x14ac:dyDescent="0.25">
      <c r="A2285" s="1">
        <v>14</v>
      </c>
      <c r="B2285" s="1">
        <v>4</v>
      </c>
      <c r="C2285" s="1">
        <v>2020</v>
      </c>
      <c r="G2285" s="1" t="s">
        <v>39</v>
      </c>
      <c r="H2285" s="2">
        <v>21.09</v>
      </c>
      <c r="I2285" s="1">
        <v>53</v>
      </c>
      <c r="U2285" s="1">
        <v>75</v>
      </c>
      <c r="X2285" s="1">
        <v>65</v>
      </c>
      <c r="AA2285" s="1">
        <v>6</v>
      </c>
      <c r="AB2285" s="1">
        <v>8</v>
      </c>
      <c r="AC2285" s="1">
        <v>3014</v>
      </c>
      <c r="AF2285" s="3">
        <v>2.5130393551446182</v>
      </c>
      <c r="AG2285" s="3">
        <v>3.3624382386853138</v>
      </c>
      <c r="AH2285" s="1">
        <v>6276</v>
      </c>
      <c r="AI2285" s="1" t="b">
        <v>1</v>
      </c>
    </row>
    <row r="2286" spans="1:35" x14ac:dyDescent="0.25">
      <c r="A2286" s="1">
        <v>14</v>
      </c>
      <c r="B2286" s="1">
        <v>4</v>
      </c>
      <c r="C2286" s="1">
        <v>2020</v>
      </c>
      <c r="G2286" s="1" t="s">
        <v>39</v>
      </c>
      <c r="H2286" s="2">
        <v>22.23</v>
      </c>
      <c r="I2286" s="1">
        <v>59</v>
      </c>
      <c r="U2286" s="1">
        <v>78</v>
      </c>
      <c r="X2286" s="1">
        <v>71</v>
      </c>
      <c r="AA2286" s="1">
        <v>5</v>
      </c>
      <c r="AB2286" s="1">
        <v>10</v>
      </c>
      <c r="AC2286" s="1">
        <v>2888</v>
      </c>
      <c r="AF2286" s="3">
        <v>2.6540710751237064</v>
      </c>
      <c r="AG2286" s="3">
        <v>3.3032776197166798</v>
      </c>
      <c r="AH2286" s="1">
        <v>6276</v>
      </c>
      <c r="AI2286" s="1" t="b">
        <v>1</v>
      </c>
    </row>
    <row r="2287" spans="1:35" x14ac:dyDescent="0.25">
      <c r="A2287" s="1">
        <v>14</v>
      </c>
      <c r="B2287" s="1">
        <v>4</v>
      </c>
      <c r="C2287" s="1">
        <v>2020</v>
      </c>
      <c r="G2287" s="1" t="s">
        <v>39</v>
      </c>
      <c r="H2287" s="2">
        <v>28.63</v>
      </c>
      <c r="I2287" s="1">
        <v>76</v>
      </c>
      <c r="U2287" s="1">
        <v>117</v>
      </c>
      <c r="X2287" s="1">
        <v>103</v>
      </c>
      <c r="AA2287" s="1">
        <v>7</v>
      </c>
      <c r="AB2287" s="1">
        <v>6</v>
      </c>
      <c r="AC2287" s="1">
        <v>4029</v>
      </c>
      <c r="AF2287" s="3">
        <v>2.6545581557806499</v>
      </c>
      <c r="AG2287" s="3">
        <v>3.942599834611753</v>
      </c>
      <c r="AH2287" s="1">
        <v>6276</v>
      </c>
      <c r="AI2287" s="1" t="b">
        <v>1</v>
      </c>
    </row>
    <row r="2288" spans="1:35" x14ac:dyDescent="0.25">
      <c r="A2288" s="1">
        <v>14</v>
      </c>
      <c r="B2288" s="1">
        <v>4</v>
      </c>
      <c r="C2288" s="1">
        <v>2020</v>
      </c>
      <c r="G2288" s="1" t="s">
        <v>39</v>
      </c>
      <c r="H2288" s="2">
        <v>23.98</v>
      </c>
      <c r="I2288" s="1">
        <v>54</v>
      </c>
      <c r="U2288" s="1">
        <v>94</v>
      </c>
      <c r="X2288" s="1">
        <v>78</v>
      </c>
      <c r="AA2288" s="1">
        <v>9</v>
      </c>
      <c r="AB2288" s="1">
        <v>7</v>
      </c>
      <c r="AC2288" s="1">
        <v>3734</v>
      </c>
      <c r="AF2288" s="3">
        <v>2.2518765638031693</v>
      </c>
      <c r="AG2288" s="3">
        <v>4.1053467428539028</v>
      </c>
      <c r="AH2288" s="1">
        <v>6276</v>
      </c>
      <c r="AI2288" s="1" t="b">
        <v>1</v>
      </c>
    </row>
    <row r="2289" spans="1:35" x14ac:dyDescent="0.25">
      <c r="A2289" s="1">
        <v>16</v>
      </c>
      <c r="B2289" s="1">
        <v>4</v>
      </c>
      <c r="C2289" s="1">
        <v>2020</v>
      </c>
      <c r="G2289" s="1" t="s">
        <v>39</v>
      </c>
      <c r="H2289" s="2">
        <v>21.38</v>
      </c>
      <c r="I2289" s="1">
        <v>54</v>
      </c>
      <c r="U2289" s="1">
        <v>86</v>
      </c>
      <c r="X2289" s="1">
        <v>72</v>
      </c>
      <c r="AA2289" s="1">
        <v>7</v>
      </c>
      <c r="AB2289" s="1">
        <v>9</v>
      </c>
      <c r="AC2289" s="1">
        <v>2862</v>
      </c>
      <c r="AF2289" s="3">
        <v>2.5257249766136578</v>
      </c>
      <c r="AG2289" s="3">
        <v>3.3776864502329706</v>
      </c>
      <c r="AH2289" s="1">
        <v>6276</v>
      </c>
      <c r="AI2289" s="1" t="b">
        <v>1</v>
      </c>
    </row>
    <row r="2290" spans="1:35" x14ac:dyDescent="0.25">
      <c r="A2290" s="1">
        <v>16</v>
      </c>
      <c r="B2290" s="1">
        <v>4</v>
      </c>
      <c r="C2290" s="1">
        <v>2020</v>
      </c>
      <c r="G2290" s="1" t="s">
        <v>39</v>
      </c>
      <c r="H2290" s="2">
        <v>22.94</v>
      </c>
      <c r="I2290" s="1">
        <v>58</v>
      </c>
      <c r="U2290" s="1">
        <v>87</v>
      </c>
      <c r="X2290" s="1">
        <v>78</v>
      </c>
      <c r="AA2290" s="1">
        <v>7</v>
      </c>
      <c r="AB2290" s="1">
        <v>7</v>
      </c>
      <c r="AC2290" s="1">
        <v>3251</v>
      </c>
      <c r="AF2290" s="3">
        <v>2.5283347863993022</v>
      </c>
      <c r="AG2290" s="3">
        <v>3.5447108084331482</v>
      </c>
      <c r="AH2290" s="1">
        <v>6276</v>
      </c>
      <c r="AI2290" s="1" t="b">
        <v>1</v>
      </c>
    </row>
    <row r="2291" spans="1:35" x14ac:dyDescent="0.25">
      <c r="A2291" s="1">
        <v>16</v>
      </c>
      <c r="B2291" s="1">
        <v>4</v>
      </c>
      <c r="C2291" s="1">
        <v>2020</v>
      </c>
      <c r="G2291" s="1" t="s">
        <v>39</v>
      </c>
      <c r="H2291" s="2">
        <v>22.68</v>
      </c>
      <c r="I2291" s="1">
        <v>44</v>
      </c>
      <c r="U2291" s="1">
        <v>66</v>
      </c>
      <c r="X2291" s="1">
        <v>59</v>
      </c>
      <c r="AA2291" s="1">
        <v>7</v>
      </c>
      <c r="AB2291" s="1">
        <v>9</v>
      </c>
      <c r="AC2291" s="1">
        <v>3062</v>
      </c>
      <c r="AF2291" s="3">
        <v>1.9400352733686068</v>
      </c>
      <c r="AG2291" s="3">
        <v>4.5829013502268188</v>
      </c>
      <c r="AH2291" s="1">
        <v>6276</v>
      </c>
      <c r="AI2291" s="1" t="b">
        <v>1</v>
      </c>
    </row>
    <row r="2292" spans="1:35" x14ac:dyDescent="0.25">
      <c r="A2292" s="1">
        <v>16</v>
      </c>
      <c r="B2292" s="1">
        <v>4</v>
      </c>
      <c r="C2292" s="1">
        <v>2020</v>
      </c>
      <c r="G2292" s="1" t="s">
        <v>39</v>
      </c>
      <c r="H2292" s="2">
        <v>24.77</v>
      </c>
      <c r="I2292" s="1">
        <v>67</v>
      </c>
      <c r="U2292" s="1">
        <v>102</v>
      </c>
      <c r="X2292" s="1">
        <v>91</v>
      </c>
      <c r="AA2292" s="1">
        <v>10</v>
      </c>
      <c r="AB2292" s="1">
        <v>7</v>
      </c>
      <c r="AC2292" s="1">
        <v>3092</v>
      </c>
      <c r="AF2292" s="3">
        <v>2.7048849414614455</v>
      </c>
      <c r="AG2292" s="3">
        <v>3.4962252781986023</v>
      </c>
      <c r="AH2292" s="1">
        <v>6276</v>
      </c>
      <c r="AI2292" s="1" t="b">
        <v>1</v>
      </c>
    </row>
    <row r="2293" spans="1:35" x14ac:dyDescent="0.25">
      <c r="A2293" s="1">
        <v>16</v>
      </c>
      <c r="B2293" s="1">
        <v>4</v>
      </c>
      <c r="C2293" s="1">
        <v>2020</v>
      </c>
      <c r="G2293" s="1" t="s">
        <v>39</v>
      </c>
      <c r="H2293" s="2">
        <v>25.56</v>
      </c>
      <c r="I2293" s="1">
        <v>59</v>
      </c>
      <c r="U2293" s="1">
        <v>86</v>
      </c>
      <c r="X2293" s="1">
        <v>80</v>
      </c>
      <c r="AA2293" s="1">
        <v>7</v>
      </c>
      <c r="AB2293" s="1">
        <v>7</v>
      </c>
      <c r="AC2293" s="1">
        <v>3491</v>
      </c>
      <c r="AF2293" s="3">
        <v>2.3082942097026606</v>
      </c>
      <c r="AG2293" s="3">
        <v>4.1879494647636788</v>
      </c>
      <c r="AH2293" s="1">
        <v>6276</v>
      </c>
      <c r="AI2293" s="1" t="b">
        <v>1</v>
      </c>
    </row>
    <row r="2294" spans="1:35" x14ac:dyDescent="0.25">
      <c r="A2294" s="1">
        <v>16</v>
      </c>
      <c r="B2294" s="1">
        <v>4</v>
      </c>
      <c r="C2294" s="1">
        <v>2020</v>
      </c>
      <c r="G2294" s="1" t="s">
        <v>39</v>
      </c>
      <c r="H2294" s="2">
        <v>29.69</v>
      </c>
      <c r="I2294" s="1">
        <v>83</v>
      </c>
      <c r="U2294" s="1">
        <v>112</v>
      </c>
      <c r="X2294" s="1">
        <v>98</v>
      </c>
      <c r="AA2294" s="1">
        <v>6</v>
      </c>
      <c r="AB2294" s="1">
        <v>5</v>
      </c>
      <c r="AC2294" s="1">
        <v>4030</v>
      </c>
      <c r="AF2294" s="3">
        <v>2.7955540586055911</v>
      </c>
      <c r="AG2294" s="3">
        <v>3.840247751437972</v>
      </c>
      <c r="AH2294" s="1">
        <v>6276</v>
      </c>
      <c r="AI2294" s="1" t="b">
        <v>1</v>
      </c>
    </row>
    <row r="2295" spans="1:35" x14ac:dyDescent="0.25">
      <c r="A2295" s="1">
        <v>16</v>
      </c>
      <c r="B2295" s="1">
        <v>4</v>
      </c>
      <c r="C2295" s="1">
        <v>2020</v>
      </c>
      <c r="G2295" s="1" t="s">
        <v>39</v>
      </c>
      <c r="H2295" s="2">
        <v>24.43</v>
      </c>
      <c r="I2295" s="1">
        <v>51</v>
      </c>
      <c r="U2295" s="1">
        <v>81</v>
      </c>
      <c r="X2295" s="1">
        <v>71</v>
      </c>
      <c r="AA2295" s="1">
        <v>8</v>
      </c>
      <c r="AB2295" s="1">
        <v>6</v>
      </c>
      <c r="AC2295" s="1">
        <v>3079</v>
      </c>
      <c r="AF2295" s="3">
        <v>2.0875972165370444</v>
      </c>
      <c r="AG2295" s="3">
        <v>4.4864178281635176</v>
      </c>
      <c r="AH2295" s="1">
        <v>6276</v>
      </c>
      <c r="AI2295" s="1" t="b">
        <v>1</v>
      </c>
    </row>
    <row r="2296" spans="1:35" x14ac:dyDescent="0.25">
      <c r="A2296" s="1">
        <v>16</v>
      </c>
      <c r="B2296" s="1">
        <v>4</v>
      </c>
      <c r="C2296" s="1">
        <v>2020</v>
      </c>
      <c r="G2296" s="1" t="s">
        <v>39</v>
      </c>
      <c r="H2296" s="2">
        <v>21.22</v>
      </c>
      <c r="I2296" s="1">
        <v>50</v>
      </c>
      <c r="U2296" s="1">
        <v>83</v>
      </c>
      <c r="X2296" s="1">
        <v>65</v>
      </c>
      <c r="AA2296" s="1">
        <v>9</v>
      </c>
      <c r="AB2296" s="1">
        <v>6</v>
      </c>
      <c r="AC2296" s="1">
        <v>2585</v>
      </c>
      <c r="AF2296" s="3">
        <v>2.3562676720075402</v>
      </c>
      <c r="AG2296" s="3">
        <v>3.6016137934969263</v>
      </c>
      <c r="AH2296" s="1">
        <v>6276</v>
      </c>
      <c r="AI2296" s="1" t="b">
        <v>1</v>
      </c>
    </row>
    <row r="2297" spans="1:35" x14ac:dyDescent="0.25">
      <c r="A2297" s="1">
        <v>16</v>
      </c>
      <c r="B2297" s="1">
        <v>4</v>
      </c>
      <c r="C2297" s="1">
        <v>2020</v>
      </c>
      <c r="G2297" s="1" t="s">
        <v>39</v>
      </c>
      <c r="H2297" s="2">
        <v>28.13</v>
      </c>
      <c r="I2297" s="1">
        <v>85</v>
      </c>
      <c r="U2297" s="1">
        <v>124</v>
      </c>
      <c r="X2297" s="1">
        <v>112</v>
      </c>
      <c r="AA2297" s="1">
        <v>10</v>
      </c>
      <c r="AB2297" s="1">
        <v>7</v>
      </c>
      <c r="AC2297" s="1">
        <v>3919</v>
      </c>
      <c r="AF2297" s="3">
        <v>3.021685033771774</v>
      </c>
      <c r="AG2297" s="3">
        <v>3.4211303281021079</v>
      </c>
      <c r="AH2297" s="1">
        <v>6276</v>
      </c>
      <c r="AI2297" s="1" t="b">
        <v>1</v>
      </c>
    </row>
    <row r="2298" spans="1:35" x14ac:dyDescent="0.25">
      <c r="A2298" s="1">
        <v>16</v>
      </c>
      <c r="B2298" s="1">
        <v>4</v>
      </c>
      <c r="C2298" s="1">
        <v>2020</v>
      </c>
      <c r="G2298" s="1" t="s">
        <v>39</v>
      </c>
      <c r="H2298" s="2">
        <v>20.7</v>
      </c>
      <c r="I2298" s="1">
        <v>53</v>
      </c>
      <c r="U2298" s="1">
        <v>76</v>
      </c>
      <c r="X2298" s="1">
        <v>68</v>
      </c>
      <c r="AA2298" s="1">
        <v>6</v>
      </c>
      <c r="AB2298" s="1">
        <v>14</v>
      </c>
      <c r="AC2298" s="1">
        <v>3074</v>
      </c>
      <c r="AF2298" s="3">
        <v>2.560386473429952</v>
      </c>
      <c r="AG2298" s="3">
        <v>3.2574196934914585</v>
      </c>
      <c r="AH2298" s="1">
        <v>6276</v>
      </c>
      <c r="AI2298" s="1" t="b">
        <v>1</v>
      </c>
    </row>
    <row r="2299" spans="1:35" x14ac:dyDescent="0.25">
      <c r="A2299" s="1">
        <v>16</v>
      </c>
      <c r="B2299" s="1">
        <v>4</v>
      </c>
      <c r="C2299" s="1">
        <v>2020</v>
      </c>
      <c r="G2299" s="1" t="s">
        <v>39</v>
      </c>
      <c r="H2299" s="2">
        <v>14.12</v>
      </c>
      <c r="I2299" s="1">
        <v>37</v>
      </c>
      <c r="U2299" s="1">
        <v>52</v>
      </c>
      <c r="X2299" s="1">
        <v>47</v>
      </c>
      <c r="AA2299" s="1">
        <v>4</v>
      </c>
      <c r="AB2299" s="1">
        <v>9</v>
      </c>
      <c r="AC2299" s="1">
        <v>1935</v>
      </c>
      <c r="AF2299" s="3">
        <v>2.6203966005665724</v>
      </c>
      <c r="AG2299" s="3">
        <v>2.4351025773436783</v>
      </c>
      <c r="AH2299" s="1">
        <v>6276</v>
      </c>
      <c r="AI2299" s="1" t="b">
        <v>1</v>
      </c>
    </row>
    <row r="2300" spans="1:35" x14ac:dyDescent="0.25">
      <c r="A2300" s="1">
        <v>20</v>
      </c>
      <c r="B2300" s="1">
        <v>4</v>
      </c>
      <c r="C2300" s="1">
        <v>2020</v>
      </c>
      <c r="G2300" s="1" t="s">
        <v>39</v>
      </c>
      <c r="H2300" s="2">
        <v>21.24</v>
      </c>
      <c r="I2300" s="1">
        <v>51</v>
      </c>
      <c r="U2300" s="1">
        <v>77</v>
      </c>
      <c r="X2300" s="1">
        <v>67</v>
      </c>
      <c r="AA2300" s="1">
        <v>8</v>
      </c>
      <c r="AB2300" s="1">
        <v>7</v>
      </c>
      <c r="AC2300" s="1">
        <v>2630</v>
      </c>
      <c r="AF2300" s="3">
        <v>2.4011299435028248</v>
      </c>
      <c r="AG2300" s="3">
        <v>3.5366533587570204</v>
      </c>
      <c r="AH2300" s="1">
        <v>6277</v>
      </c>
      <c r="AI2300" s="1" t="b">
        <v>1</v>
      </c>
    </row>
    <row r="2301" spans="1:35" x14ac:dyDescent="0.25">
      <c r="A2301" s="1">
        <v>20</v>
      </c>
      <c r="B2301" s="1">
        <v>4</v>
      </c>
      <c r="C2301" s="1">
        <v>2020</v>
      </c>
      <c r="G2301" s="1" t="s">
        <v>39</v>
      </c>
      <c r="H2301" s="2">
        <v>24.31</v>
      </c>
      <c r="I2301" s="1">
        <v>67</v>
      </c>
      <c r="U2301" s="1">
        <v>97</v>
      </c>
      <c r="X2301" s="1">
        <v>81</v>
      </c>
      <c r="AA2301" s="1">
        <v>7</v>
      </c>
      <c r="AB2301" s="1">
        <v>6</v>
      </c>
      <c r="AC2301" s="1">
        <v>3650</v>
      </c>
      <c r="AF2301" s="3">
        <v>2.7560674619498151</v>
      </c>
      <c r="AG2301" s="3">
        <v>3.386566650680257</v>
      </c>
      <c r="AH2301" s="1">
        <v>6277</v>
      </c>
      <c r="AI2301" s="1" t="b">
        <v>1</v>
      </c>
    </row>
    <row r="2302" spans="1:35" x14ac:dyDescent="0.25">
      <c r="A2302" s="1">
        <v>28</v>
      </c>
      <c r="B2302" s="1">
        <v>4</v>
      </c>
      <c r="C2302" s="1">
        <v>2020</v>
      </c>
      <c r="G2302" s="1" t="s">
        <v>39</v>
      </c>
      <c r="H2302" s="2">
        <v>96.01</v>
      </c>
      <c r="I2302" s="1">
        <v>73</v>
      </c>
      <c r="U2302" s="1">
        <v>79</v>
      </c>
      <c r="X2302" s="1">
        <v>78</v>
      </c>
      <c r="AA2302" s="1">
        <v>5</v>
      </c>
      <c r="AB2302" s="1">
        <v>4</v>
      </c>
      <c r="AC2302" s="1">
        <v>4083</v>
      </c>
      <c r="AF2302" s="3">
        <v>0.76033746484741171</v>
      </c>
      <c r="AG2302" s="3">
        <v>32.108139290857963</v>
      </c>
      <c r="AH2302" s="1">
        <v>6278</v>
      </c>
      <c r="AI2302" s="1" t="b">
        <v>1</v>
      </c>
    </row>
    <row r="2303" spans="1:35" x14ac:dyDescent="0.25">
      <c r="A2303" s="1">
        <v>28</v>
      </c>
      <c r="B2303" s="1">
        <v>4</v>
      </c>
      <c r="C2303" s="1">
        <v>2020</v>
      </c>
      <c r="G2303" s="1" t="s">
        <v>39</v>
      </c>
      <c r="H2303" s="2">
        <v>85.1</v>
      </c>
      <c r="I2303" s="1">
        <v>58</v>
      </c>
      <c r="U2303" s="1">
        <v>64</v>
      </c>
      <c r="X2303" s="1">
        <v>64</v>
      </c>
      <c r="AA2303" s="1">
        <v>8</v>
      </c>
      <c r="AB2303" s="1">
        <v>5</v>
      </c>
      <c r="AC2303" s="1">
        <v>3160</v>
      </c>
      <c r="AF2303" s="3">
        <v>0.68155111633372512</v>
      </c>
      <c r="AG2303" s="3">
        <v>32.919426345343659</v>
      </c>
      <c r="AH2303" s="1">
        <v>6278</v>
      </c>
      <c r="AI2303" s="1" t="b">
        <v>1</v>
      </c>
    </row>
    <row r="2304" spans="1:35" x14ac:dyDescent="0.25">
      <c r="A2304" s="1">
        <v>28</v>
      </c>
      <c r="B2304" s="1">
        <v>4</v>
      </c>
      <c r="C2304" s="1">
        <v>2020</v>
      </c>
      <c r="G2304" s="1" t="s">
        <v>39</v>
      </c>
      <c r="H2304" s="2">
        <v>88.08</v>
      </c>
      <c r="I2304" s="1">
        <v>60</v>
      </c>
      <c r="U2304" s="1">
        <v>68</v>
      </c>
      <c r="X2304" s="1">
        <v>68</v>
      </c>
      <c r="AA2304" s="1">
        <v>12</v>
      </c>
      <c r="AB2304" s="1">
        <v>4</v>
      </c>
      <c r="AC2304" s="1">
        <v>3501</v>
      </c>
      <c r="AF2304" s="3">
        <v>0.68119891008174394</v>
      </c>
      <c r="AG2304" s="3">
        <v>33.739618664732532</v>
      </c>
      <c r="AH2304" s="1">
        <v>6278</v>
      </c>
      <c r="AI2304" s="1" t="b">
        <v>1</v>
      </c>
    </row>
    <row r="2305" spans="1:35" x14ac:dyDescent="0.25">
      <c r="A2305" s="1">
        <v>28</v>
      </c>
      <c r="B2305" s="1">
        <v>4</v>
      </c>
      <c r="C2305" s="1">
        <v>2020</v>
      </c>
      <c r="G2305" s="1" t="s">
        <v>39</v>
      </c>
      <c r="H2305" s="2">
        <v>56.48</v>
      </c>
      <c r="I2305" s="1">
        <v>66</v>
      </c>
      <c r="V2305" s="1">
        <v>65</v>
      </c>
      <c r="X2305" s="1">
        <v>62</v>
      </c>
      <c r="AA2305" s="1">
        <v>9</v>
      </c>
      <c r="AB2305" s="1">
        <v>12</v>
      </c>
      <c r="AC2305" s="1">
        <v>3084</v>
      </c>
      <c r="AF2305" s="3">
        <v>1.1685552407932012</v>
      </c>
      <c r="AG2305" s="3">
        <v>14.410433118896066</v>
      </c>
      <c r="AH2305" s="1">
        <v>6278</v>
      </c>
      <c r="AI2305" s="1" t="b">
        <v>1</v>
      </c>
    </row>
    <row r="2306" spans="1:35" x14ac:dyDescent="0.25">
      <c r="A2306" s="1">
        <v>28</v>
      </c>
      <c r="B2306" s="1">
        <v>4</v>
      </c>
      <c r="C2306" s="1">
        <v>2020</v>
      </c>
      <c r="G2306" s="1" t="s">
        <v>39</v>
      </c>
      <c r="H2306" s="2">
        <v>55.37</v>
      </c>
      <c r="I2306" s="1">
        <v>55</v>
      </c>
      <c r="V2306" s="1">
        <v>62</v>
      </c>
      <c r="X2306" s="1">
        <v>62</v>
      </c>
      <c r="AA2306" s="1">
        <v>10</v>
      </c>
      <c r="AB2306" s="1">
        <v>16</v>
      </c>
      <c r="AC2306" s="1">
        <v>3283</v>
      </c>
      <c r="AF2306" s="3">
        <v>0.99331768105472285</v>
      </c>
      <c r="AG2306" s="3">
        <v>16.718757575109144</v>
      </c>
      <c r="AH2306" s="1">
        <v>6278</v>
      </c>
      <c r="AI2306" s="1" t="b">
        <v>1</v>
      </c>
    </row>
    <row r="2307" spans="1:35" x14ac:dyDescent="0.25">
      <c r="A2307" s="1">
        <v>29</v>
      </c>
      <c r="B2307" s="1">
        <v>4</v>
      </c>
      <c r="C2307" s="1">
        <v>2020</v>
      </c>
      <c r="G2307" s="1" t="s">
        <v>39</v>
      </c>
      <c r="H2307" s="2">
        <v>22.52</v>
      </c>
      <c r="I2307" s="1">
        <v>64</v>
      </c>
      <c r="U2307" s="1">
        <v>85</v>
      </c>
      <c r="X2307" s="1">
        <v>76</v>
      </c>
      <c r="AA2307" s="1">
        <v>5</v>
      </c>
      <c r="AB2307" s="1">
        <v>7</v>
      </c>
      <c r="AC2307" s="1">
        <v>3208</v>
      </c>
      <c r="AF2307" s="3">
        <v>2.8419182948490231</v>
      </c>
      <c r="AG2307" s="3">
        <v>3.1130513361043417</v>
      </c>
      <c r="AH2307" s="1">
        <v>6278</v>
      </c>
      <c r="AI2307" s="1" t="b">
        <v>1</v>
      </c>
    </row>
    <row r="2308" spans="1:35" x14ac:dyDescent="0.25">
      <c r="A2308" s="1">
        <v>29</v>
      </c>
      <c r="B2308" s="1">
        <v>4</v>
      </c>
      <c r="C2308" s="1">
        <v>2020</v>
      </c>
      <c r="G2308" s="1" t="s">
        <v>39</v>
      </c>
      <c r="H2308" s="2">
        <v>21.74</v>
      </c>
      <c r="I2308" s="1">
        <v>54</v>
      </c>
      <c r="U2308" s="1">
        <v>76</v>
      </c>
      <c r="X2308" s="1">
        <v>72</v>
      </c>
      <c r="AA2308" s="1">
        <v>8</v>
      </c>
      <c r="AB2308" s="1">
        <v>11</v>
      </c>
      <c r="AC2308" s="1">
        <v>3102</v>
      </c>
      <c r="AF2308" s="3">
        <v>2.4839006439742413</v>
      </c>
      <c r="AG2308" s="3">
        <v>3.4749411802055068</v>
      </c>
      <c r="AH2308" s="1">
        <v>6278</v>
      </c>
      <c r="AI2308" s="1" t="b">
        <v>1</v>
      </c>
    </row>
    <row r="2309" spans="1:35" x14ac:dyDescent="0.25">
      <c r="A2309" s="1">
        <v>29</v>
      </c>
      <c r="B2309" s="1">
        <v>4</v>
      </c>
      <c r="C2309" s="1">
        <v>2020</v>
      </c>
      <c r="G2309" s="1" t="s">
        <v>39</v>
      </c>
      <c r="H2309" s="2">
        <v>24.89</v>
      </c>
      <c r="I2309" s="1">
        <v>60</v>
      </c>
      <c r="U2309" s="1">
        <v>85</v>
      </c>
      <c r="X2309" s="1">
        <v>80</v>
      </c>
      <c r="AA2309" s="1">
        <v>8</v>
      </c>
      <c r="AB2309" s="1">
        <v>7</v>
      </c>
      <c r="AC2309" s="1">
        <v>3180</v>
      </c>
      <c r="AF2309" s="3">
        <v>2.4106066693451185</v>
      </c>
      <c r="AG2309" s="3">
        <v>3.9363261364315227</v>
      </c>
      <c r="AH2309" s="1">
        <v>6278</v>
      </c>
      <c r="AI2309" s="1" t="b">
        <v>1</v>
      </c>
    </row>
    <row r="2310" spans="1:35" x14ac:dyDescent="0.25">
      <c r="A2310" s="1">
        <v>29</v>
      </c>
      <c r="B2310" s="1">
        <v>4</v>
      </c>
      <c r="C2310" s="1">
        <v>2020</v>
      </c>
      <c r="G2310" s="1" t="s">
        <v>39</v>
      </c>
      <c r="H2310" s="2">
        <v>21.34</v>
      </c>
      <c r="I2310" s="1">
        <v>38</v>
      </c>
      <c r="U2310" s="1">
        <v>59</v>
      </c>
      <c r="X2310" s="1">
        <v>50</v>
      </c>
      <c r="AA2310" s="1">
        <v>9</v>
      </c>
      <c r="AB2310" s="1">
        <v>13</v>
      </c>
      <c r="AC2310" s="1">
        <v>2487</v>
      </c>
      <c r="AF2310" s="3">
        <v>1.7806935332708529</v>
      </c>
      <c r="AG2310" s="3">
        <v>4.784614025665908</v>
      </c>
      <c r="AH2310" s="1">
        <v>6278</v>
      </c>
      <c r="AI2310" s="1" t="b">
        <v>1</v>
      </c>
    </row>
    <row r="2311" spans="1:35" x14ac:dyDescent="0.25">
      <c r="A2311" s="1">
        <v>29</v>
      </c>
      <c r="B2311" s="1">
        <v>4</v>
      </c>
      <c r="C2311" s="1">
        <v>2020</v>
      </c>
      <c r="G2311" s="1" t="s">
        <v>39</v>
      </c>
      <c r="H2311" s="2">
        <v>22.77</v>
      </c>
      <c r="I2311" s="1">
        <v>52</v>
      </c>
      <c r="U2311" s="1">
        <v>76</v>
      </c>
      <c r="X2311" s="1">
        <v>68</v>
      </c>
      <c r="AA2311" s="1">
        <v>8</v>
      </c>
      <c r="AB2311" s="1">
        <v>13</v>
      </c>
      <c r="AC2311" s="1">
        <v>3385</v>
      </c>
      <c r="AF2311" s="3">
        <v>2.2837066315327186</v>
      </c>
      <c r="AG2311" s="3">
        <v>3.9040359520872077</v>
      </c>
      <c r="AH2311" s="1">
        <v>6278</v>
      </c>
      <c r="AI2311" s="1" t="b">
        <v>1</v>
      </c>
    </row>
    <row r="2312" spans="1:35" x14ac:dyDescent="0.25">
      <c r="A2312" s="1">
        <v>1</v>
      </c>
      <c r="B2312" s="1">
        <v>5</v>
      </c>
      <c r="C2312" s="1">
        <v>2020</v>
      </c>
      <c r="G2312" s="1" t="s">
        <v>39</v>
      </c>
      <c r="H2312" s="2">
        <v>16.059999999999999</v>
      </c>
      <c r="I2312" s="1">
        <v>35</v>
      </c>
      <c r="U2312" s="1">
        <v>57</v>
      </c>
      <c r="X2312" s="1">
        <v>50</v>
      </c>
      <c r="AA2312" s="1">
        <v>8</v>
      </c>
      <c r="AB2312" s="1">
        <v>8</v>
      </c>
      <c r="AC2312" s="1">
        <v>3137</v>
      </c>
      <c r="AF2312" s="3">
        <v>2.1793275217932755</v>
      </c>
      <c r="AG2312" s="3">
        <v>3.2040506677713516</v>
      </c>
      <c r="AH2312" s="1">
        <v>6278</v>
      </c>
      <c r="AI2312" s="1" t="b">
        <v>1</v>
      </c>
    </row>
    <row r="2313" spans="1:35" x14ac:dyDescent="0.25">
      <c r="A2313" s="1">
        <v>1</v>
      </c>
      <c r="B2313" s="1">
        <v>5</v>
      </c>
      <c r="C2313" s="1">
        <v>2020</v>
      </c>
      <c r="G2313" s="1" t="s">
        <v>39</v>
      </c>
      <c r="H2313" s="2">
        <v>22.5</v>
      </c>
      <c r="I2313" s="1">
        <v>58</v>
      </c>
      <c r="U2313" s="1">
        <v>76</v>
      </c>
      <c r="X2313" s="1">
        <v>67</v>
      </c>
      <c r="AA2313" s="1">
        <v>6</v>
      </c>
      <c r="AB2313" s="1">
        <v>4</v>
      </c>
      <c r="AC2313" s="1">
        <v>3274</v>
      </c>
      <c r="AF2313" s="3">
        <v>2.5777777777777779</v>
      </c>
      <c r="AG2313" s="3">
        <v>3.4299065472645696</v>
      </c>
      <c r="AH2313" s="1">
        <v>6278</v>
      </c>
      <c r="AI2313" s="1" t="b">
        <v>1</v>
      </c>
    </row>
    <row r="2314" spans="1:35" x14ac:dyDescent="0.25">
      <c r="A2314" s="1">
        <v>1</v>
      </c>
      <c r="B2314" s="1">
        <v>5</v>
      </c>
      <c r="C2314" s="1">
        <v>2020</v>
      </c>
      <c r="G2314" s="1" t="s">
        <v>39</v>
      </c>
      <c r="H2314" s="2">
        <v>24.88</v>
      </c>
      <c r="I2314" s="1">
        <v>67</v>
      </c>
      <c r="U2314" s="1">
        <v>91</v>
      </c>
      <c r="X2314" s="1">
        <v>80</v>
      </c>
      <c r="AA2314" s="1">
        <v>6</v>
      </c>
      <c r="AB2314" s="1">
        <v>6</v>
      </c>
      <c r="AC2314" s="1">
        <v>3599</v>
      </c>
      <c r="AF2314" s="3">
        <v>2.6929260450160775</v>
      </c>
      <c r="AG2314" s="3">
        <v>3.5226608804722495</v>
      </c>
      <c r="AH2314" s="1">
        <v>6278</v>
      </c>
      <c r="AI2314" s="1" t="b">
        <v>1</v>
      </c>
    </row>
    <row r="2315" spans="1:35" x14ac:dyDescent="0.25">
      <c r="A2315" s="1">
        <v>1</v>
      </c>
      <c r="B2315" s="1">
        <v>5</v>
      </c>
      <c r="C2315" s="1">
        <v>2020</v>
      </c>
      <c r="G2315" s="1" t="s">
        <v>39</v>
      </c>
      <c r="H2315" s="2">
        <v>22.8</v>
      </c>
      <c r="I2315" s="1">
        <v>69</v>
      </c>
      <c r="U2315" s="1">
        <v>88</v>
      </c>
      <c r="X2315" s="1">
        <v>78</v>
      </c>
      <c r="AA2315" s="1">
        <v>5</v>
      </c>
      <c r="AB2315" s="1">
        <v>6</v>
      </c>
      <c r="AC2315" s="1">
        <v>2802</v>
      </c>
      <c r="AF2315" s="3">
        <v>3.0263157894736841</v>
      </c>
      <c r="AG2315" s="3">
        <v>2.9487649053663874</v>
      </c>
      <c r="AH2315" s="1">
        <v>6278</v>
      </c>
      <c r="AI2315" s="1" t="b">
        <v>1</v>
      </c>
    </row>
    <row r="2316" spans="1:35" x14ac:dyDescent="0.25">
      <c r="A2316" s="1">
        <v>1</v>
      </c>
      <c r="B2316" s="1">
        <v>5</v>
      </c>
      <c r="C2316" s="1">
        <v>2020</v>
      </c>
      <c r="G2316" s="1" t="s">
        <v>39</v>
      </c>
      <c r="H2316" s="2">
        <v>21.09</v>
      </c>
      <c r="I2316" s="1">
        <v>53</v>
      </c>
      <c r="U2316" s="1">
        <v>77</v>
      </c>
      <c r="X2316" s="1">
        <v>66</v>
      </c>
      <c r="AA2316" s="1">
        <v>8</v>
      </c>
      <c r="AB2316" s="1">
        <v>10</v>
      </c>
      <c r="AC2316" s="1">
        <v>3023</v>
      </c>
      <c r="AF2316" s="3">
        <v>2.5130393551446182</v>
      </c>
      <c r="AG2316" s="3">
        <v>3.3624382386853138</v>
      </c>
      <c r="AH2316" s="1">
        <v>6278</v>
      </c>
      <c r="AI2316" s="1" t="b">
        <v>1</v>
      </c>
    </row>
    <row r="2317" spans="1:35" x14ac:dyDescent="0.25">
      <c r="A2317" s="1">
        <v>16</v>
      </c>
      <c r="B2317" s="1">
        <v>5</v>
      </c>
      <c r="C2317" s="1">
        <v>2020</v>
      </c>
      <c r="G2317" s="1" t="s">
        <v>39</v>
      </c>
      <c r="H2317" s="2">
        <v>22.6</v>
      </c>
      <c r="I2317" s="1">
        <v>67</v>
      </c>
      <c r="U2317" s="1">
        <v>87</v>
      </c>
      <c r="X2317" s="1">
        <v>78</v>
      </c>
      <c r="AA2317" s="1">
        <v>5</v>
      </c>
      <c r="AB2317" s="1">
        <v>5</v>
      </c>
      <c r="AC2317" s="1">
        <v>3234</v>
      </c>
      <c r="AF2317" s="3">
        <v>2.9646017699115044</v>
      </c>
      <c r="AG2317" s="3">
        <v>2.99164146370379</v>
      </c>
      <c r="AH2317" s="1">
        <v>6280</v>
      </c>
      <c r="AI2317" s="1" t="b">
        <v>1</v>
      </c>
    </row>
    <row r="2318" spans="1:35" x14ac:dyDescent="0.25">
      <c r="A2318" s="1">
        <v>16</v>
      </c>
      <c r="B2318" s="1">
        <v>5</v>
      </c>
      <c r="C2318" s="1">
        <v>2020</v>
      </c>
      <c r="G2318" s="1" t="s">
        <v>39</v>
      </c>
      <c r="H2318" s="2">
        <v>33.53</v>
      </c>
      <c r="I2318" s="1">
        <v>84</v>
      </c>
      <c r="U2318" s="1">
        <v>125</v>
      </c>
      <c r="X2318" s="1">
        <v>111</v>
      </c>
      <c r="AA2318" s="1">
        <v>11</v>
      </c>
      <c r="AB2318" s="1">
        <v>9</v>
      </c>
      <c r="AC2318" s="1">
        <v>4347</v>
      </c>
      <c r="AF2318" s="3">
        <v>2.5052192066805845</v>
      </c>
      <c r="AG2318" s="3">
        <v>4.6661398905047067</v>
      </c>
      <c r="AH2318" s="1">
        <v>6280</v>
      </c>
      <c r="AI2318" s="1" t="b">
        <v>1</v>
      </c>
    </row>
    <row r="2319" spans="1:35" x14ac:dyDescent="0.25">
      <c r="A2319" s="1">
        <v>16</v>
      </c>
      <c r="B2319" s="1">
        <v>5</v>
      </c>
      <c r="C2319" s="1">
        <v>2020</v>
      </c>
      <c r="G2319" s="1" t="s">
        <v>39</v>
      </c>
      <c r="H2319" s="2">
        <v>21.75</v>
      </c>
      <c r="I2319" s="1">
        <v>58</v>
      </c>
      <c r="U2319" s="1">
        <v>81</v>
      </c>
      <c r="X2319" s="1">
        <v>69</v>
      </c>
      <c r="AA2319" s="1">
        <v>7</v>
      </c>
      <c r="AB2319" s="1">
        <v>9</v>
      </c>
      <c r="AC2319" s="1">
        <v>3543</v>
      </c>
      <c r="AF2319" s="3">
        <v>2.6666666666666665</v>
      </c>
      <c r="AG2319" s="3">
        <v>3.2378203672419184</v>
      </c>
      <c r="AH2319" s="1">
        <v>6280</v>
      </c>
      <c r="AI2319" s="1" t="b">
        <v>1</v>
      </c>
    </row>
    <row r="2320" spans="1:35" x14ac:dyDescent="0.25">
      <c r="A2320" s="1">
        <v>2</v>
      </c>
      <c r="B2320" s="1">
        <v>6</v>
      </c>
      <c r="C2320" s="1">
        <v>2020</v>
      </c>
      <c r="G2320" s="1" t="s">
        <v>39</v>
      </c>
      <c r="H2320" s="2">
        <v>20.93</v>
      </c>
      <c r="I2320" s="1">
        <v>42</v>
      </c>
      <c r="U2320" s="1">
        <v>71</v>
      </c>
      <c r="X2320" s="1">
        <v>61</v>
      </c>
      <c r="AA2320" s="1">
        <v>8</v>
      </c>
      <c r="AB2320" s="1">
        <v>10</v>
      </c>
      <c r="AC2320" s="1">
        <v>3130</v>
      </c>
      <c r="AF2320" s="3">
        <v>2.0066889632107023</v>
      </c>
      <c r="AG2320" s="3">
        <v>4.1884988233807707</v>
      </c>
      <c r="AH2320" s="1">
        <v>6283</v>
      </c>
      <c r="AI2320" s="1" t="b">
        <v>1</v>
      </c>
    </row>
    <row r="2321" spans="1:35" x14ac:dyDescent="0.25">
      <c r="A2321" s="1">
        <v>2</v>
      </c>
      <c r="B2321" s="1">
        <v>6</v>
      </c>
      <c r="C2321" s="1">
        <v>2020</v>
      </c>
      <c r="G2321" s="1" t="s">
        <v>39</v>
      </c>
      <c r="H2321" s="2">
        <v>20.010000000000002</v>
      </c>
      <c r="I2321" s="1">
        <v>48</v>
      </c>
      <c r="U2321" s="1">
        <v>78</v>
      </c>
      <c r="X2321" s="1">
        <v>66</v>
      </c>
      <c r="AA2321" s="1">
        <v>7</v>
      </c>
      <c r="AB2321" s="1">
        <v>8</v>
      </c>
      <c r="AC2321" s="1">
        <v>2733</v>
      </c>
      <c r="AF2321" s="3">
        <v>2.3988005997001496</v>
      </c>
      <c r="AG2321" s="3">
        <v>3.3953051586700007</v>
      </c>
      <c r="AH2321" s="1">
        <v>6283</v>
      </c>
      <c r="AI2321" s="1" t="b">
        <v>1</v>
      </c>
    </row>
    <row r="2322" spans="1:35" x14ac:dyDescent="0.25">
      <c r="A2322" s="1">
        <v>6</v>
      </c>
      <c r="B2322" s="1">
        <v>6</v>
      </c>
      <c r="C2322" s="1">
        <v>2020</v>
      </c>
      <c r="G2322" s="1" t="s">
        <v>39</v>
      </c>
      <c r="H2322" s="2">
        <v>28.54</v>
      </c>
      <c r="I2322" s="1">
        <v>63</v>
      </c>
      <c r="U2322" s="1">
        <v>105</v>
      </c>
      <c r="X2322" s="1">
        <v>83</v>
      </c>
      <c r="AA2322" s="1">
        <v>8</v>
      </c>
      <c r="AB2322" s="1">
        <v>9</v>
      </c>
      <c r="AC2322" s="1">
        <v>3492</v>
      </c>
      <c r="AF2322" s="3">
        <v>2.207428170988087</v>
      </c>
      <c r="AG2322" s="3">
        <v>4.7307630653523853</v>
      </c>
      <c r="AH2322" s="1">
        <v>6283</v>
      </c>
      <c r="AI2322" s="1" t="b">
        <v>1</v>
      </c>
    </row>
    <row r="2323" spans="1:35" x14ac:dyDescent="0.25">
      <c r="A2323" s="1">
        <v>8</v>
      </c>
      <c r="B2323" s="1">
        <v>6</v>
      </c>
      <c r="C2323" s="1">
        <v>2020</v>
      </c>
      <c r="G2323" s="1" t="s">
        <v>39</v>
      </c>
      <c r="H2323" s="2">
        <v>27.89</v>
      </c>
      <c r="I2323" s="1">
        <v>82</v>
      </c>
      <c r="U2323" s="1">
        <v>130</v>
      </c>
      <c r="X2323" s="1">
        <v>106</v>
      </c>
      <c r="AA2323" s="1">
        <v>9</v>
      </c>
      <c r="AB2323" s="1">
        <v>8</v>
      </c>
      <c r="AC2323" s="1">
        <v>3783</v>
      </c>
      <c r="AF2323" s="3">
        <v>2.9401219074937255</v>
      </c>
      <c r="AG2323" s="3">
        <v>3.4950116028493969</v>
      </c>
      <c r="AH2323" s="1">
        <v>6284</v>
      </c>
      <c r="AI2323" s="1" t="b">
        <v>1</v>
      </c>
    </row>
    <row r="2324" spans="1:35" x14ac:dyDescent="0.25">
      <c r="A2324" s="1">
        <v>20</v>
      </c>
      <c r="B2324" s="1">
        <v>6</v>
      </c>
      <c r="C2324" s="1">
        <v>2020</v>
      </c>
      <c r="G2324" s="1" t="s">
        <v>39</v>
      </c>
      <c r="H2324" s="2">
        <v>20.39</v>
      </c>
      <c r="I2324" s="1">
        <v>48</v>
      </c>
      <c r="U2324" s="1">
        <v>78</v>
      </c>
      <c r="X2324" s="1">
        <v>68</v>
      </c>
      <c r="AA2324" s="1">
        <v>8</v>
      </c>
      <c r="AB2324" s="1">
        <v>11</v>
      </c>
      <c r="AC2324" s="1">
        <v>3121</v>
      </c>
      <c r="AF2324" s="3">
        <v>2.3540951446787641</v>
      </c>
      <c r="AG2324" s="3">
        <v>3.5056458992259647</v>
      </c>
      <c r="AH2324" s="1">
        <v>6285</v>
      </c>
      <c r="AI2324" s="1" t="b">
        <v>1</v>
      </c>
    </row>
    <row r="2325" spans="1:35" x14ac:dyDescent="0.25">
      <c r="A2325" s="1">
        <v>20</v>
      </c>
      <c r="B2325" s="1">
        <v>6</v>
      </c>
      <c r="C2325" s="1">
        <v>2020</v>
      </c>
      <c r="G2325" s="1" t="s">
        <v>39</v>
      </c>
      <c r="H2325" s="2">
        <v>24.73</v>
      </c>
      <c r="I2325" s="1">
        <v>52</v>
      </c>
      <c r="U2325" s="1">
        <v>85</v>
      </c>
      <c r="X2325" s="1">
        <v>76</v>
      </c>
      <c r="AA2325" s="1">
        <v>9</v>
      </c>
      <c r="AB2325" s="1">
        <v>9</v>
      </c>
      <c r="AC2325" s="1">
        <v>3320</v>
      </c>
      <c r="AF2325" s="3">
        <v>2.1027092600080874</v>
      </c>
      <c r="AG2325" s="3">
        <v>4.4923920930167416</v>
      </c>
      <c r="AH2325" s="1">
        <v>6285</v>
      </c>
      <c r="AI2325" s="1" t="b">
        <v>1</v>
      </c>
    </row>
    <row r="2326" spans="1:35" x14ac:dyDescent="0.25">
      <c r="A2326" s="1">
        <v>21</v>
      </c>
      <c r="B2326" s="1">
        <v>6</v>
      </c>
      <c r="C2326" s="1">
        <v>2020</v>
      </c>
      <c r="G2326" s="1" t="s">
        <v>39</v>
      </c>
      <c r="H2326" s="2">
        <v>23.72</v>
      </c>
      <c r="I2326" s="1">
        <v>57</v>
      </c>
      <c r="U2326" s="1">
        <v>84</v>
      </c>
      <c r="X2326" s="1">
        <v>74</v>
      </c>
      <c r="AA2326" s="1">
        <v>6</v>
      </c>
      <c r="AB2326" s="1">
        <v>9</v>
      </c>
      <c r="AC2326" s="1">
        <v>3250</v>
      </c>
      <c r="AF2326" s="3">
        <v>2.4030354131534573</v>
      </c>
      <c r="AG2326" s="3">
        <v>3.8178609619755011</v>
      </c>
      <c r="AH2326" s="1">
        <v>6285</v>
      </c>
      <c r="AI2326" s="1" t="b">
        <v>1</v>
      </c>
    </row>
    <row r="2327" spans="1:35" x14ac:dyDescent="0.25">
      <c r="A2327" s="1">
        <v>21</v>
      </c>
      <c r="B2327" s="1">
        <v>6</v>
      </c>
      <c r="C2327" s="1">
        <v>2020</v>
      </c>
      <c r="G2327" s="1" t="s">
        <v>39</v>
      </c>
      <c r="H2327" s="2">
        <v>27.43</v>
      </c>
      <c r="I2327" s="1">
        <v>69</v>
      </c>
      <c r="U2327" s="1">
        <v>103</v>
      </c>
      <c r="X2327" s="1">
        <v>92</v>
      </c>
      <c r="AA2327" s="1">
        <v>9</v>
      </c>
      <c r="AB2327" s="1">
        <v>10</v>
      </c>
      <c r="AC2327" s="1">
        <v>3687</v>
      </c>
      <c r="AF2327" s="3">
        <v>2.5154939846882973</v>
      </c>
      <c r="AG2327" s="3">
        <v>4.0377068273174448</v>
      </c>
      <c r="AH2327" s="1">
        <v>6285</v>
      </c>
      <c r="AI2327" s="1" t="b">
        <v>1</v>
      </c>
    </row>
    <row r="2328" spans="1:35" x14ac:dyDescent="0.25">
      <c r="A2328" s="1">
        <v>15</v>
      </c>
      <c r="B2328" s="1">
        <v>9</v>
      </c>
      <c r="C2328" s="1">
        <v>2020</v>
      </c>
      <c r="G2328" s="1" t="s">
        <v>39</v>
      </c>
      <c r="H2328" s="2">
        <v>26.89</v>
      </c>
      <c r="I2328" s="1">
        <v>73</v>
      </c>
      <c r="U2328" s="1">
        <v>106</v>
      </c>
      <c r="X2328" s="1">
        <v>94</v>
      </c>
      <c r="AA2328" s="1">
        <v>8</v>
      </c>
      <c r="AB2328" s="1">
        <v>6</v>
      </c>
      <c r="AC2328" s="1">
        <v>3871</v>
      </c>
      <c r="AF2328" s="3">
        <v>2.7147638527333582</v>
      </c>
      <c r="AG2328" s="3">
        <v>3.6896188437072479</v>
      </c>
      <c r="AH2328" s="1">
        <v>6298</v>
      </c>
      <c r="AI2328" s="1" t="b">
        <v>1</v>
      </c>
    </row>
    <row r="2329" spans="1:35" x14ac:dyDescent="0.25">
      <c r="A2329" s="1">
        <v>16</v>
      </c>
      <c r="B2329" s="1">
        <v>9</v>
      </c>
      <c r="C2329" s="1">
        <v>2020</v>
      </c>
      <c r="G2329" s="1" t="s">
        <v>39</v>
      </c>
      <c r="H2329" s="2">
        <v>27.1</v>
      </c>
      <c r="I2329" s="1">
        <v>70</v>
      </c>
      <c r="U2329" s="1">
        <v>112</v>
      </c>
      <c r="X2329" s="1">
        <v>93</v>
      </c>
      <c r="AA2329" s="1">
        <v>8</v>
      </c>
      <c r="AB2329" s="1">
        <v>8</v>
      </c>
      <c r="AC2329" s="1">
        <v>3945</v>
      </c>
      <c r="AF2329" s="3">
        <v>2.5830258302583022</v>
      </c>
      <c r="AG2329" s="3">
        <v>3.8989687510274678</v>
      </c>
      <c r="AH2329" s="1">
        <v>6298</v>
      </c>
      <c r="AI2329" s="1" t="b">
        <v>1</v>
      </c>
    </row>
    <row r="2330" spans="1:35" x14ac:dyDescent="0.25">
      <c r="A2330" s="1">
        <v>16</v>
      </c>
      <c r="B2330" s="1">
        <v>9</v>
      </c>
      <c r="C2330" s="1">
        <v>2020</v>
      </c>
      <c r="G2330" s="1" t="s">
        <v>39</v>
      </c>
      <c r="H2330" s="2">
        <v>21.75</v>
      </c>
      <c r="I2330" s="1">
        <v>62</v>
      </c>
      <c r="U2330" s="1">
        <v>86</v>
      </c>
      <c r="X2330" s="1">
        <v>73</v>
      </c>
      <c r="AA2330" s="1">
        <v>5</v>
      </c>
      <c r="AB2330" s="1">
        <v>9</v>
      </c>
      <c r="AC2330" s="1">
        <v>3498</v>
      </c>
      <c r="AF2330" s="3">
        <v>2.8505747126436782</v>
      </c>
      <c r="AG2330" s="3">
        <v>3.0289287306456654</v>
      </c>
      <c r="AH2330" s="1">
        <v>6298</v>
      </c>
      <c r="AI2330" s="1" t="b">
        <v>1</v>
      </c>
    </row>
    <row r="2331" spans="1:35" x14ac:dyDescent="0.25">
      <c r="A2331" s="1">
        <v>19</v>
      </c>
      <c r="B2331" s="1">
        <v>9</v>
      </c>
      <c r="C2331" s="1">
        <v>2020</v>
      </c>
      <c r="G2331" s="1" t="s">
        <v>39</v>
      </c>
      <c r="H2331" s="2">
        <v>17.940000000000001</v>
      </c>
      <c r="I2331" s="1">
        <v>48</v>
      </c>
      <c r="U2331" s="1">
        <v>74</v>
      </c>
      <c r="X2331" s="1">
        <v>62</v>
      </c>
      <c r="AA2331" s="1">
        <v>6</v>
      </c>
      <c r="AB2331" s="1">
        <v>5</v>
      </c>
      <c r="AC2331" s="1">
        <v>2683</v>
      </c>
      <c r="AF2331" s="3">
        <v>2.6755852842809364</v>
      </c>
      <c r="AG2331" s="3">
        <v>2.8200506488228569</v>
      </c>
      <c r="AH2331" s="1">
        <v>6298</v>
      </c>
      <c r="AI2331" s="1" t="b">
        <v>1</v>
      </c>
    </row>
    <row r="2332" spans="1:35" x14ac:dyDescent="0.25">
      <c r="A2332" s="1">
        <v>19</v>
      </c>
      <c r="B2332" s="1">
        <v>9</v>
      </c>
      <c r="C2332" s="1">
        <v>2020</v>
      </c>
      <c r="G2332" s="1" t="s">
        <v>39</v>
      </c>
      <c r="H2332" s="2">
        <v>26.8</v>
      </c>
      <c r="I2332" s="1">
        <v>80</v>
      </c>
      <c r="U2332" s="1">
        <v>112</v>
      </c>
      <c r="X2332" s="1">
        <v>99</v>
      </c>
      <c r="AA2332" s="1">
        <v>7</v>
      </c>
      <c r="AB2332" s="1">
        <v>6</v>
      </c>
      <c r="AC2332" s="1">
        <v>3517</v>
      </c>
      <c r="AF2332" s="3">
        <v>2.9850746268656714</v>
      </c>
      <c r="AG2332" s="3">
        <v>3.3476431941208227</v>
      </c>
      <c r="AH2332" s="1">
        <v>6298</v>
      </c>
      <c r="AI2332" s="1" t="b">
        <v>1</v>
      </c>
    </row>
    <row r="2333" spans="1:35" x14ac:dyDescent="0.25">
      <c r="A2333" s="1">
        <v>19</v>
      </c>
      <c r="B2333" s="1">
        <v>9</v>
      </c>
      <c r="C2333" s="1">
        <v>2020</v>
      </c>
      <c r="G2333" s="1" t="s">
        <v>39</v>
      </c>
      <c r="H2333" s="2">
        <v>20.72</v>
      </c>
      <c r="I2333" s="1">
        <v>48</v>
      </c>
      <c r="U2333" s="1">
        <v>69</v>
      </c>
      <c r="X2333" s="1">
        <v>59</v>
      </c>
      <c r="AA2333" s="1">
        <v>5</v>
      </c>
      <c r="AB2333" s="1">
        <v>10</v>
      </c>
      <c r="AC2333" s="1">
        <v>3056</v>
      </c>
      <c r="AF2333" s="3">
        <v>2.3166023166023169</v>
      </c>
      <c r="AG2333" s="3">
        <v>3.6026439219059139</v>
      </c>
      <c r="AH2333" s="1">
        <v>6298</v>
      </c>
      <c r="AI2333" s="1" t="b">
        <v>1</v>
      </c>
    </row>
    <row r="2334" spans="1:35" x14ac:dyDescent="0.25">
      <c r="A2334" s="1">
        <v>19</v>
      </c>
      <c r="B2334" s="1">
        <v>9</v>
      </c>
      <c r="C2334" s="1">
        <v>2020</v>
      </c>
      <c r="G2334" s="1" t="s">
        <v>39</v>
      </c>
      <c r="H2334" s="2">
        <v>27.75</v>
      </c>
      <c r="I2334" s="1">
        <v>46</v>
      </c>
      <c r="U2334" s="1">
        <v>79</v>
      </c>
      <c r="X2334" s="1">
        <v>67</v>
      </c>
      <c r="AA2334" s="1">
        <v>10</v>
      </c>
      <c r="AB2334" s="1">
        <v>9</v>
      </c>
      <c r="AC2334" s="1">
        <v>4017</v>
      </c>
      <c r="AF2334" s="3">
        <v>1.6576576576576576</v>
      </c>
      <c r="AG2334" s="3">
        <v>6.1771656392435892</v>
      </c>
      <c r="AH2334" s="1">
        <v>6298</v>
      </c>
      <c r="AI2334" s="1" t="b">
        <v>1</v>
      </c>
    </row>
    <row r="2335" spans="1:35" x14ac:dyDescent="0.25">
      <c r="A2335" s="1">
        <v>19</v>
      </c>
      <c r="B2335" s="1">
        <v>9</v>
      </c>
      <c r="C2335" s="1">
        <v>2020</v>
      </c>
      <c r="G2335" s="1" t="s">
        <v>39</v>
      </c>
      <c r="H2335" s="2">
        <v>21.85</v>
      </c>
      <c r="I2335" s="1">
        <v>64</v>
      </c>
      <c r="U2335" s="1">
        <v>89</v>
      </c>
      <c r="X2335" s="1">
        <v>82</v>
      </c>
      <c r="AA2335" s="1">
        <v>8</v>
      </c>
      <c r="AB2335" s="1">
        <v>12</v>
      </c>
      <c r="AC2335" s="1">
        <v>3119</v>
      </c>
      <c r="AF2335" s="3">
        <v>2.9290617848970251</v>
      </c>
      <c r="AG2335" s="3">
        <v>2.9572461579945668</v>
      </c>
      <c r="AH2335" s="1">
        <v>6298</v>
      </c>
      <c r="AI2335" s="1" t="b">
        <v>1</v>
      </c>
    </row>
    <row r="2336" spans="1:35" x14ac:dyDescent="0.25">
      <c r="A2336" s="1">
        <v>19</v>
      </c>
      <c r="B2336" s="1">
        <v>9</v>
      </c>
      <c r="C2336" s="1">
        <v>2020</v>
      </c>
      <c r="G2336" s="1" t="s">
        <v>39</v>
      </c>
      <c r="H2336" s="2">
        <v>21.62</v>
      </c>
      <c r="I2336" s="1">
        <v>59</v>
      </c>
      <c r="U2336" s="1">
        <v>93</v>
      </c>
      <c r="X2336" s="1">
        <v>80</v>
      </c>
      <c r="AA2336" s="1">
        <v>10</v>
      </c>
      <c r="AB2336" s="1">
        <v>8</v>
      </c>
      <c r="AC2336" s="1">
        <v>2974</v>
      </c>
      <c r="AF2336" s="3">
        <v>2.7289546716003699</v>
      </c>
      <c r="AG2336" s="3">
        <v>3.1506681354968906</v>
      </c>
      <c r="AH2336" s="1">
        <v>6298</v>
      </c>
      <c r="AI2336" s="1" t="b">
        <v>1</v>
      </c>
    </row>
    <row r="2337" spans="1:35" x14ac:dyDescent="0.25">
      <c r="A2337" s="1">
        <v>19</v>
      </c>
      <c r="B2337" s="1">
        <v>9</v>
      </c>
      <c r="C2337" s="1">
        <v>2020</v>
      </c>
      <c r="G2337" s="1" t="s">
        <v>39</v>
      </c>
      <c r="H2337" s="2">
        <v>19.12</v>
      </c>
      <c r="I2337" s="1">
        <v>47</v>
      </c>
      <c r="U2337" s="1">
        <v>75</v>
      </c>
      <c r="X2337" s="1">
        <v>64</v>
      </c>
      <c r="AA2337" s="1">
        <v>6</v>
      </c>
      <c r="AB2337" s="1">
        <v>11</v>
      </c>
      <c r="AC2337" s="1">
        <v>2721</v>
      </c>
      <c r="AF2337" s="3">
        <v>2.4581589958158996</v>
      </c>
      <c r="AG2337" s="3">
        <v>3.2094569271293829</v>
      </c>
      <c r="AH2337" s="1">
        <v>6298</v>
      </c>
      <c r="AI2337" s="1" t="b">
        <v>1</v>
      </c>
    </row>
    <row r="2338" spans="1:35" x14ac:dyDescent="0.25">
      <c r="A2338" s="1">
        <v>1</v>
      </c>
      <c r="B2338" s="1">
        <v>10</v>
      </c>
      <c r="C2338" s="1">
        <v>2020</v>
      </c>
      <c r="G2338" s="1" t="s">
        <v>39</v>
      </c>
      <c r="H2338" s="2">
        <v>28.11</v>
      </c>
      <c r="I2338" s="1">
        <v>56</v>
      </c>
      <c r="V2338" s="1">
        <v>72</v>
      </c>
      <c r="X2338" s="1">
        <v>71</v>
      </c>
      <c r="AA2338" s="1">
        <v>8</v>
      </c>
      <c r="AB2338" s="1">
        <v>12</v>
      </c>
      <c r="AC2338" s="1">
        <v>3193</v>
      </c>
      <c r="AF2338" s="3">
        <v>1.992173603699751</v>
      </c>
      <c r="AG2338" s="3">
        <v>5.1865122802796559</v>
      </c>
      <c r="AH2338" s="1">
        <v>6300</v>
      </c>
      <c r="AI2338" s="1" t="b">
        <v>1</v>
      </c>
    </row>
    <row r="2339" spans="1:35" x14ac:dyDescent="0.25">
      <c r="A2339" s="1">
        <v>1</v>
      </c>
      <c r="B2339" s="1">
        <v>10</v>
      </c>
      <c r="C2339" s="1">
        <v>2020</v>
      </c>
      <c r="G2339" s="1" t="s">
        <v>39</v>
      </c>
      <c r="H2339" s="2">
        <v>31.13</v>
      </c>
      <c r="I2339" s="1">
        <v>70</v>
      </c>
      <c r="V2339" s="1">
        <v>73</v>
      </c>
      <c r="X2339" s="1">
        <v>71</v>
      </c>
      <c r="AA2339" s="1">
        <v>6</v>
      </c>
      <c r="AB2339" s="1">
        <v>5</v>
      </c>
      <c r="AC2339" s="1">
        <v>3010</v>
      </c>
      <c r="AF2339" s="3">
        <v>2.2486347574686798</v>
      </c>
      <c r="AG2339" s="3">
        <v>4.9352194082467804</v>
      </c>
      <c r="AH2339" s="1">
        <v>6300</v>
      </c>
      <c r="AI2339" s="1" t="b">
        <v>1</v>
      </c>
    </row>
    <row r="2340" spans="1:35" x14ac:dyDescent="0.25">
      <c r="A2340" s="1">
        <v>1</v>
      </c>
      <c r="B2340" s="1">
        <v>10</v>
      </c>
      <c r="C2340" s="1">
        <v>2020</v>
      </c>
      <c r="G2340" s="1" t="s">
        <v>39</v>
      </c>
      <c r="H2340" s="2">
        <v>25.8</v>
      </c>
      <c r="I2340" s="1">
        <v>65</v>
      </c>
      <c r="V2340" s="1">
        <v>90</v>
      </c>
      <c r="X2340" s="1">
        <v>85</v>
      </c>
      <c r="AA2340" s="1">
        <v>10</v>
      </c>
      <c r="AB2340" s="1">
        <v>7</v>
      </c>
      <c r="AC2340" s="1">
        <v>3430</v>
      </c>
      <c r="AF2340" s="3">
        <v>2.5193798449612403</v>
      </c>
      <c r="AG2340" s="3">
        <v>3.8622478802865983</v>
      </c>
      <c r="AH2340" s="1">
        <v>6300</v>
      </c>
      <c r="AI2340" s="1" t="b">
        <v>1</v>
      </c>
    </row>
    <row r="2341" spans="1:35" x14ac:dyDescent="0.25">
      <c r="A2341" s="1">
        <v>2</v>
      </c>
      <c r="B2341" s="1">
        <v>10</v>
      </c>
      <c r="C2341" s="1">
        <v>2020</v>
      </c>
      <c r="G2341" s="1" t="s">
        <v>39</v>
      </c>
      <c r="H2341" s="2">
        <v>22.95</v>
      </c>
      <c r="I2341" s="1">
        <v>44</v>
      </c>
      <c r="V2341" s="1">
        <v>79</v>
      </c>
      <c r="X2341" s="1">
        <v>70</v>
      </c>
      <c r="AA2341" s="1">
        <v>10</v>
      </c>
      <c r="AB2341" s="1">
        <v>14</v>
      </c>
      <c r="AC2341" s="1">
        <v>2977</v>
      </c>
      <c r="AF2341" s="3">
        <v>1.9172113289760349</v>
      </c>
      <c r="AG2341" s="3">
        <v>4.6760365408993572</v>
      </c>
      <c r="AH2341" s="1">
        <v>6300</v>
      </c>
      <c r="AI2341" s="1" t="b">
        <v>1</v>
      </c>
    </row>
    <row r="2342" spans="1:35" x14ac:dyDescent="0.25">
      <c r="A2342" s="1">
        <v>2</v>
      </c>
      <c r="B2342" s="1">
        <v>10</v>
      </c>
      <c r="C2342" s="1">
        <v>2020</v>
      </c>
      <c r="G2342" s="1" t="s">
        <v>39</v>
      </c>
      <c r="H2342" s="2">
        <v>36.229999999999997</v>
      </c>
      <c r="I2342" s="1">
        <v>92</v>
      </c>
      <c r="V2342" s="1">
        <v>130</v>
      </c>
      <c r="X2342" s="1">
        <v>104</v>
      </c>
      <c r="AA2342" s="1">
        <v>7</v>
      </c>
      <c r="AB2342" s="1">
        <v>6</v>
      </c>
      <c r="AC2342" s="1">
        <v>4261</v>
      </c>
      <c r="AF2342" s="3">
        <v>2.5393320452663541</v>
      </c>
      <c r="AG2342" s="3">
        <v>4.8599112736388284</v>
      </c>
      <c r="AH2342" s="1">
        <v>6300</v>
      </c>
      <c r="AI2342" s="1" t="b">
        <v>1</v>
      </c>
    </row>
    <row r="2343" spans="1:35" x14ac:dyDescent="0.25">
      <c r="A2343" s="1">
        <v>2</v>
      </c>
      <c r="B2343" s="1">
        <v>10</v>
      </c>
      <c r="C2343" s="1">
        <v>2020</v>
      </c>
      <c r="G2343" s="1" t="s">
        <v>39</v>
      </c>
      <c r="H2343" s="2">
        <v>21.45</v>
      </c>
      <c r="I2343" s="1">
        <v>62</v>
      </c>
      <c r="V2343" s="1">
        <v>79</v>
      </c>
      <c r="X2343" s="1">
        <v>73</v>
      </c>
      <c r="AA2343" s="1">
        <v>5</v>
      </c>
      <c r="AB2343" s="1">
        <v>9</v>
      </c>
      <c r="AC2343" s="1">
        <v>2875</v>
      </c>
      <c r="AF2343" s="3">
        <v>2.8904428904428907</v>
      </c>
      <c r="AG2343" s="3">
        <v>2.9582489196716177</v>
      </c>
      <c r="AH2343" s="1">
        <v>6300</v>
      </c>
      <c r="AI2343" s="1" t="b">
        <v>1</v>
      </c>
    </row>
    <row r="2344" spans="1:35" x14ac:dyDescent="0.25">
      <c r="A2344" s="1">
        <v>2</v>
      </c>
      <c r="B2344" s="1">
        <v>10</v>
      </c>
      <c r="C2344" s="1">
        <v>2020</v>
      </c>
      <c r="G2344" s="1" t="s">
        <v>39</v>
      </c>
      <c r="H2344" s="2">
        <v>29.09</v>
      </c>
      <c r="I2344" s="1">
        <v>70</v>
      </c>
      <c r="V2344" s="1">
        <v>90</v>
      </c>
      <c r="X2344" s="1">
        <v>79</v>
      </c>
      <c r="AA2344" s="1">
        <v>6</v>
      </c>
      <c r="AB2344" s="1">
        <v>6</v>
      </c>
      <c r="AC2344" s="1">
        <v>3750</v>
      </c>
      <c r="AF2344" s="3">
        <v>2.4063251976624271</v>
      </c>
      <c r="AG2344" s="3">
        <v>4.3981120144409855</v>
      </c>
      <c r="AH2344" s="1">
        <v>6300</v>
      </c>
      <c r="AI2344" s="1" t="b">
        <v>1</v>
      </c>
    </row>
    <row r="2345" spans="1:35" x14ac:dyDescent="0.25">
      <c r="A2345" s="1">
        <v>2</v>
      </c>
      <c r="B2345" s="1">
        <v>10</v>
      </c>
      <c r="C2345" s="1">
        <v>2020</v>
      </c>
      <c r="G2345" s="1" t="s">
        <v>39</v>
      </c>
      <c r="H2345" s="2">
        <v>29.17</v>
      </c>
      <c r="I2345" s="1">
        <v>84</v>
      </c>
      <c r="V2345" s="1">
        <v>90</v>
      </c>
      <c r="X2345" s="1">
        <v>83</v>
      </c>
      <c r="AA2345" s="1">
        <v>4</v>
      </c>
      <c r="AB2345" s="1">
        <v>8</v>
      </c>
      <c r="AC2345" s="1">
        <v>3463</v>
      </c>
      <c r="AF2345" s="3">
        <v>2.8796708947548848</v>
      </c>
      <c r="AG2345" s="3">
        <v>3.6822446804949274</v>
      </c>
      <c r="AH2345" s="1">
        <v>6300</v>
      </c>
      <c r="AI2345" s="1" t="b">
        <v>1</v>
      </c>
    </row>
    <row r="2346" spans="1:35" x14ac:dyDescent="0.25">
      <c r="A2346" s="1">
        <v>2</v>
      </c>
      <c r="B2346" s="1">
        <v>10</v>
      </c>
      <c r="C2346" s="1">
        <v>2020</v>
      </c>
      <c r="G2346" s="1" t="s">
        <v>39</v>
      </c>
      <c r="H2346" s="2">
        <v>20.12</v>
      </c>
      <c r="I2346" s="1">
        <v>44</v>
      </c>
      <c r="V2346" s="1">
        <v>68</v>
      </c>
      <c r="X2346" s="1">
        <v>59</v>
      </c>
      <c r="AA2346" s="1">
        <v>7</v>
      </c>
      <c r="AB2346" s="1">
        <v>9</v>
      </c>
      <c r="AC2346" s="1">
        <v>2719</v>
      </c>
      <c r="AF2346" s="3">
        <v>2.1868787276341948</v>
      </c>
      <c r="AG2346" s="3">
        <v>3.7386506328728455</v>
      </c>
      <c r="AH2346" s="1">
        <v>6300</v>
      </c>
      <c r="AI2346" s="1" t="b">
        <v>1</v>
      </c>
    </row>
    <row r="2347" spans="1:35" x14ac:dyDescent="0.25">
      <c r="A2347" s="1">
        <v>2</v>
      </c>
      <c r="B2347" s="1">
        <v>10</v>
      </c>
      <c r="C2347" s="1">
        <v>2020</v>
      </c>
      <c r="G2347" s="1" t="s">
        <v>39</v>
      </c>
      <c r="H2347" s="2">
        <v>24.65</v>
      </c>
      <c r="I2347" s="1">
        <v>58</v>
      </c>
      <c r="V2347" s="1">
        <v>79</v>
      </c>
      <c r="X2347" s="1">
        <v>70</v>
      </c>
      <c r="AA2347" s="1">
        <v>10</v>
      </c>
      <c r="AB2347" s="1">
        <v>13</v>
      </c>
      <c r="AC2347" s="1">
        <v>2944</v>
      </c>
      <c r="AF2347" s="3">
        <v>2.3529411764705883</v>
      </c>
      <c r="AG2347" s="3">
        <v>4.0055372657885533</v>
      </c>
      <c r="AH2347" s="1">
        <v>6300</v>
      </c>
      <c r="AI2347" s="1" t="b">
        <v>1</v>
      </c>
    </row>
    <row r="2348" spans="1:35" x14ac:dyDescent="0.25">
      <c r="A2348" s="1">
        <v>2</v>
      </c>
      <c r="B2348" s="1">
        <v>10</v>
      </c>
      <c r="C2348" s="1">
        <v>2020</v>
      </c>
      <c r="G2348" s="1" t="s">
        <v>39</v>
      </c>
      <c r="H2348" s="2">
        <v>29.05</v>
      </c>
      <c r="I2348" s="1">
        <v>77</v>
      </c>
      <c r="V2348" s="1">
        <v>104</v>
      </c>
      <c r="X2348" s="1">
        <v>97</v>
      </c>
      <c r="AA2348" s="1">
        <v>10</v>
      </c>
      <c r="AB2348" s="1">
        <v>13</v>
      </c>
      <c r="AC2348" s="1">
        <v>3742</v>
      </c>
      <c r="AF2348" s="3">
        <v>2.6506024096385543</v>
      </c>
      <c r="AG2348" s="3">
        <v>3.9889418680465036</v>
      </c>
      <c r="AH2348" s="1">
        <v>6300</v>
      </c>
      <c r="AI2348" s="1" t="b">
        <v>1</v>
      </c>
    </row>
    <row r="2349" spans="1:35" x14ac:dyDescent="0.25">
      <c r="A2349" s="1">
        <v>2</v>
      </c>
      <c r="B2349" s="1">
        <v>10</v>
      </c>
      <c r="C2349" s="1">
        <v>2020</v>
      </c>
      <c r="G2349" s="1" t="s">
        <v>39</v>
      </c>
      <c r="H2349" s="2">
        <v>24.22</v>
      </c>
      <c r="I2349" s="1">
        <v>65</v>
      </c>
      <c r="V2349" s="1">
        <v>91</v>
      </c>
      <c r="X2349" s="1">
        <v>80</v>
      </c>
      <c r="AA2349" s="1">
        <v>9</v>
      </c>
      <c r="AB2349" s="1">
        <v>8</v>
      </c>
      <c r="AC2349" s="1">
        <v>3082</v>
      </c>
      <c r="AF2349" s="3">
        <v>2.6837324525185799</v>
      </c>
      <c r="AG2349" s="3">
        <v>3.4688273068258848</v>
      </c>
      <c r="AH2349" s="1">
        <v>6300</v>
      </c>
      <c r="AI2349" s="1" t="b">
        <v>1</v>
      </c>
    </row>
    <row r="2350" spans="1:35" x14ac:dyDescent="0.25">
      <c r="A2350" s="1">
        <v>2</v>
      </c>
      <c r="B2350" s="1">
        <v>10</v>
      </c>
      <c r="C2350" s="1">
        <v>2020</v>
      </c>
      <c r="G2350" s="1" t="s">
        <v>39</v>
      </c>
      <c r="H2350" s="2">
        <v>24.56</v>
      </c>
      <c r="I2350" s="1">
        <v>71</v>
      </c>
      <c r="V2350" s="1">
        <v>93</v>
      </c>
      <c r="X2350" s="1">
        <v>85</v>
      </c>
      <c r="AA2350" s="1">
        <v>8</v>
      </c>
      <c r="AB2350" s="1">
        <v>11</v>
      </c>
      <c r="AC2350" s="1">
        <v>2907</v>
      </c>
      <c r="AF2350" s="3">
        <v>2.8908794788273617</v>
      </c>
      <c r="AG2350" s="3">
        <v>3.2518452307504959</v>
      </c>
      <c r="AH2350" s="1">
        <v>6300</v>
      </c>
      <c r="AI2350" s="1" t="b">
        <v>1</v>
      </c>
    </row>
    <row r="2351" spans="1:35" x14ac:dyDescent="0.25">
      <c r="A2351" s="1">
        <v>2</v>
      </c>
      <c r="B2351" s="1">
        <v>10</v>
      </c>
      <c r="C2351" s="1">
        <v>2020</v>
      </c>
      <c r="G2351" s="1" t="s">
        <v>39</v>
      </c>
      <c r="H2351" s="2">
        <v>20.74</v>
      </c>
      <c r="I2351" s="1">
        <v>39</v>
      </c>
      <c r="V2351" s="1">
        <v>65</v>
      </c>
      <c r="X2351" s="1">
        <v>59</v>
      </c>
      <c r="AA2351" s="1">
        <v>7</v>
      </c>
      <c r="AB2351" s="1">
        <v>8</v>
      </c>
      <c r="AC2351" s="1">
        <v>2828</v>
      </c>
      <c r="AF2351" s="3">
        <v>1.8804243008678883</v>
      </c>
      <c r="AG2351" s="3">
        <v>4.441301653279651</v>
      </c>
      <c r="AH2351" s="1">
        <v>6300</v>
      </c>
      <c r="AI2351" s="1" t="b">
        <v>1</v>
      </c>
    </row>
    <row r="2352" spans="1:35" x14ac:dyDescent="0.25">
      <c r="A2352" s="1">
        <v>2</v>
      </c>
      <c r="B2352" s="1">
        <v>10</v>
      </c>
      <c r="C2352" s="1">
        <v>2020</v>
      </c>
      <c r="G2352" s="1" t="s">
        <v>39</v>
      </c>
      <c r="H2352" s="2">
        <v>22.06</v>
      </c>
      <c r="I2352" s="1">
        <v>57</v>
      </c>
      <c r="V2352" s="1">
        <v>80</v>
      </c>
      <c r="X2352" s="1">
        <v>72</v>
      </c>
      <c r="AA2352" s="1">
        <v>7</v>
      </c>
      <c r="AB2352" s="1">
        <v>16</v>
      </c>
      <c r="AC2352" s="1">
        <v>2970</v>
      </c>
      <c r="AF2352" s="3">
        <v>2.5838621940163193</v>
      </c>
      <c r="AG2352" s="3">
        <v>3.3748502591081362</v>
      </c>
      <c r="AH2352" s="1">
        <v>6300</v>
      </c>
      <c r="AI2352" s="1" t="b">
        <v>1</v>
      </c>
    </row>
    <row r="2353" spans="1:35" x14ac:dyDescent="0.25">
      <c r="A2353" s="1">
        <v>10</v>
      </c>
      <c r="B2353" s="1">
        <v>10</v>
      </c>
      <c r="C2353" s="1">
        <v>2020</v>
      </c>
      <c r="G2353" s="1" t="s">
        <v>39</v>
      </c>
      <c r="H2353" s="2">
        <v>32.6</v>
      </c>
      <c r="I2353" s="1">
        <v>80</v>
      </c>
      <c r="V2353" s="1">
        <v>97</v>
      </c>
      <c r="X2353" s="1">
        <v>78</v>
      </c>
      <c r="AA2353" s="1">
        <v>7</v>
      </c>
      <c r="AB2353" s="1">
        <v>5</v>
      </c>
      <c r="AC2353" s="1">
        <v>3351</v>
      </c>
      <c r="AF2353" s="3">
        <v>2.4539877300613497</v>
      </c>
      <c r="AG2353" s="3">
        <v>4.6706780579345217</v>
      </c>
      <c r="AH2353" s="1">
        <v>6301</v>
      </c>
      <c r="AI2353" s="1" t="b">
        <v>1</v>
      </c>
    </row>
    <row r="2354" spans="1:35" x14ac:dyDescent="0.25">
      <c r="A2354" s="1">
        <v>10</v>
      </c>
      <c r="B2354" s="1">
        <v>10</v>
      </c>
      <c r="C2354" s="1">
        <v>2020</v>
      </c>
      <c r="G2354" s="1" t="s">
        <v>39</v>
      </c>
      <c r="H2354" s="2">
        <v>23.05</v>
      </c>
      <c r="I2354" s="1">
        <v>63</v>
      </c>
      <c r="V2354" s="1">
        <v>85</v>
      </c>
      <c r="X2354" s="1">
        <v>75</v>
      </c>
      <c r="AA2354" s="1">
        <v>6</v>
      </c>
      <c r="AB2354" s="1">
        <v>9</v>
      </c>
      <c r="AC2354" s="1">
        <v>3130</v>
      </c>
      <c r="AF2354" s="3">
        <v>2.7331887201735356</v>
      </c>
      <c r="AG2354" s="3">
        <v>3.2900313106963779</v>
      </c>
      <c r="AH2354" s="1">
        <v>6301</v>
      </c>
      <c r="AI2354" s="1" t="b">
        <v>1</v>
      </c>
    </row>
    <row r="2355" spans="1:35" x14ac:dyDescent="0.25">
      <c r="A2355" s="1">
        <v>10</v>
      </c>
      <c r="B2355" s="1">
        <v>10</v>
      </c>
      <c r="C2355" s="1">
        <v>2020</v>
      </c>
      <c r="G2355" s="1" t="s">
        <v>39</v>
      </c>
      <c r="H2355" s="2">
        <v>28.2</v>
      </c>
      <c r="I2355" s="1">
        <v>81</v>
      </c>
      <c r="V2355" s="1">
        <v>100</v>
      </c>
      <c r="X2355" s="1">
        <v>83</v>
      </c>
      <c r="AA2355" s="1">
        <v>6</v>
      </c>
      <c r="AB2355" s="1">
        <v>6</v>
      </c>
      <c r="AC2355" s="1">
        <v>3041</v>
      </c>
      <c r="AF2355" s="3">
        <v>2.8723404255319149</v>
      </c>
      <c r="AG2355" s="3">
        <v>3.6052755662611164</v>
      </c>
      <c r="AH2355" s="1">
        <v>6301</v>
      </c>
      <c r="AI2355" s="1" t="b">
        <v>1</v>
      </c>
    </row>
    <row r="2356" spans="1:35" x14ac:dyDescent="0.25">
      <c r="A2356" s="1">
        <v>10</v>
      </c>
      <c r="B2356" s="1">
        <v>10</v>
      </c>
      <c r="C2356" s="1">
        <v>2020</v>
      </c>
      <c r="G2356" s="1" t="s">
        <v>39</v>
      </c>
      <c r="H2356" s="2">
        <v>28.82</v>
      </c>
      <c r="I2356" s="1">
        <v>74</v>
      </c>
      <c r="V2356" s="1">
        <v>105</v>
      </c>
      <c r="X2356" s="1">
        <v>93</v>
      </c>
      <c r="AA2356" s="1">
        <v>10</v>
      </c>
      <c r="AB2356" s="1">
        <v>8</v>
      </c>
      <c r="AC2356" s="1">
        <v>3551</v>
      </c>
      <c r="AF2356" s="3">
        <v>2.5676613462873004</v>
      </c>
      <c r="AG2356" s="3">
        <v>4.0949446911009666</v>
      </c>
      <c r="AH2356" s="1">
        <v>6301</v>
      </c>
      <c r="AI2356" s="1" t="b">
        <v>1</v>
      </c>
    </row>
    <row r="2357" spans="1:35" x14ac:dyDescent="0.25">
      <c r="A2357" s="1">
        <v>10</v>
      </c>
      <c r="B2357" s="1">
        <v>10</v>
      </c>
      <c r="C2357" s="1">
        <v>2020</v>
      </c>
      <c r="G2357" s="1" t="s">
        <v>39</v>
      </c>
      <c r="H2357" s="2">
        <v>19.03</v>
      </c>
      <c r="I2357" s="1">
        <v>45</v>
      </c>
      <c r="V2357" s="1">
        <v>72</v>
      </c>
      <c r="X2357" s="1">
        <v>55</v>
      </c>
      <c r="AA2357" s="1">
        <v>6</v>
      </c>
      <c r="AB2357" s="1">
        <v>7</v>
      </c>
      <c r="AC2357" s="1">
        <v>2544</v>
      </c>
      <c r="AF2357" s="3">
        <v>2.3646873357856015</v>
      </c>
      <c r="AG2357" s="3">
        <v>3.3253198615831834</v>
      </c>
      <c r="AH2357" s="1">
        <v>6301</v>
      </c>
      <c r="AI2357" s="1" t="b">
        <v>1</v>
      </c>
    </row>
    <row r="2358" spans="1:35" x14ac:dyDescent="0.25">
      <c r="A2358" s="1">
        <v>10</v>
      </c>
      <c r="B2358" s="1">
        <v>10</v>
      </c>
      <c r="C2358" s="1">
        <v>2020</v>
      </c>
      <c r="G2358" s="1" t="s">
        <v>39</v>
      </c>
      <c r="H2358" s="2">
        <v>21.78</v>
      </c>
      <c r="I2358" s="1">
        <v>56</v>
      </c>
      <c r="V2358" s="1">
        <v>73</v>
      </c>
      <c r="X2358" s="1">
        <v>65</v>
      </c>
      <c r="AA2358" s="1">
        <v>6</v>
      </c>
      <c r="AB2358" s="1">
        <v>7</v>
      </c>
      <c r="AC2358" s="1">
        <v>2802</v>
      </c>
      <c r="AF2358" s="3">
        <v>2.5711662075298438</v>
      </c>
      <c r="AG2358" s="3">
        <v>3.3613238825057579</v>
      </c>
      <c r="AH2358" s="1">
        <v>6301</v>
      </c>
      <c r="AI2358" s="1" t="b">
        <v>1</v>
      </c>
    </row>
    <row r="2359" spans="1:35" x14ac:dyDescent="0.25">
      <c r="A2359" s="1">
        <v>10</v>
      </c>
      <c r="B2359" s="1">
        <v>10</v>
      </c>
      <c r="C2359" s="1">
        <v>2020</v>
      </c>
      <c r="G2359" s="1" t="s">
        <v>39</v>
      </c>
      <c r="H2359" s="2">
        <v>23.49</v>
      </c>
      <c r="I2359" s="1">
        <v>65</v>
      </c>
      <c r="V2359" s="1">
        <v>78</v>
      </c>
      <c r="X2359" s="1">
        <v>70</v>
      </c>
      <c r="AA2359" s="1">
        <v>6</v>
      </c>
      <c r="AB2359" s="1">
        <v>12</v>
      </c>
      <c r="AC2359" s="1">
        <v>2876</v>
      </c>
      <c r="AF2359" s="3">
        <v>2.7671349510429972</v>
      </c>
      <c r="AG2359" s="3">
        <v>3.2929699826324139</v>
      </c>
      <c r="AH2359" s="1">
        <v>6301</v>
      </c>
      <c r="AI2359" s="1" t="b">
        <v>1</v>
      </c>
    </row>
    <row r="2360" spans="1:35" x14ac:dyDescent="0.25">
      <c r="A2360" s="1">
        <v>10</v>
      </c>
      <c r="B2360" s="1">
        <v>10</v>
      </c>
      <c r="C2360" s="1">
        <v>2020</v>
      </c>
      <c r="G2360" s="1" t="s">
        <v>39</v>
      </c>
      <c r="H2360" s="2">
        <v>26.79</v>
      </c>
      <c r="I2360" s="1">
        <v>68</v>
      </c>
      <c r="V2360" s="1">
        <v>95</v>
      </c>
      <c r="X2360" s="1">
        <v>76</v>
      </c>
      <c r="AA2360" s="1">
        <v>8</v>
      </c>
      <c r="AB2360" s="1">
        <v>8</v>
      </c>
      <c r="AC2360" s="1">
        <v>3122</v>
      </c>
      <c r="AF2360" s="3">
        <v>2.5382605449794702</v>
      </c>
      <c r="AG2360" s="3">
        <v>3.9359058428745781</v>
      </c>
      <c r="AH2360" s="1">
        <v>6301</v>
      </c>
      <c r="AI2360" s="1" t="b">
        <v>1</v>
      </c>
    </row>
    <row r="2361" spans="1:35" x14ac:dyDescent="0.25">
      <c r="A2361" s="1">
        <v>10</v>
      </c>
      <c r="B2361" s="1">
        <v>10</v>
      </c>
      <c r="C2361" s="1">
        <v>2020</v>
      </c>
      <c r="G2361" s="1" t="s">
        <v>39</v>
      </c>
      <c r="H2361" s="2">
        <v>30</v>
      </c>
      <c r="I2361" s="1">
        <v>72</v>
      </c>
      <c r="V2361" s="1">
        <v>101</v>
      </c>
      <c r="X2361" s="1">
        <v>80</v>
      </c>
      <c r="AA2361" s="1">
        <v>10</v>
      </c>
      <c r="AB2361" s="1">
        <v>11</v>
      </c>
      <c r="AC2361" s="1">
        <v>3401</v>
      </c>
      <c r="AF2361" s="3">
        <v>2.4</v>
      </c>
      <c r="AG2361" s="3">
        <v>4.5058179063042267</v>
      </c>
      <c r="AH2361" s="1">
        <v>6301</v>
      </c>
      <c r="AI2361" s="1" t="b">
        <v>1</v>
      </c>
    </row>
    <row r="2362" spans="1:35" x14ac:dyDescent="0.25">
      <c r="A2362" s="1">
        <v>10</v>
      </c>
      <c r="B2362" s="1">
        <v>10</v>
      </c>
      <c r="C2362" s="1">
        <v>2020</v>
      </c>
      <c r="G2362" s="1" t="s">
        <v>39</v>
      </c>
      <c r="H2362" s="2">
        <v>23.93</v>
      </c>
      <c r="I2362" s="1">
        <v>59</v>
      </c>
      <c r="V2362" s="1">
        <v>83</v>
      </c>
      <c r="X2362" s="1">
        <v>73</v>
      </c>
      <c r="AA2362" s="1">
        <v>9</v>
      </c>
      <c r="AB2362" s="1">
        <v>11</v>
      </c>
      <c r="AC2362" s="1">
        <v>2937</v>
      </c>
      <c r="AF2362" s="3">
        <v>2.4655244463017132</v>
      </c>
      <c r="AG2362" s="3">
        <v>3.7441270388585917</v>
      </c>
      <c r="AH2362" s="1">
        <v>6301</v>
      </c>
      <c r="AI2362" s="1" t="b">
        <v>1</v>
      </c>
    </row>
    <row r="2363" spans="1:35" x14ac:dyDescent="0.25">
      <c r="A2363" s="1">
        <v>10</v>
      </c>
      <c r="B2363" s="1">
        <v>10</v>
      </c>
      <c r="C2363" s="1">
        <v>2020</v>
      </c>
      <c r="G2363" s="1" t="s">
        <v>39</v>
      </c>
      <c r="H2363" s="2">
        <v>20.98</v>
      </c>
      <c r="I2363" s="1">
        <v>44</v>
      </c>
      <c r="V2363" s="1">
        <v>67</v>
      </c>
      <c r="X2363" s="1">
        <v>56</v>
      </c>
      <c r="AA2363" s="1">
        <v>7</v>
      </c>
      <c r="AB2363" s="1">
        <v>9</v>
      </c>
      <c r="AC2363" s="1">
        <v>2530</v>
      </c>
      <c r="AF2363" s="3">
        <v>2.0972354623450906</v>
      </c>
      <c r="AG2363" s="3">
        <v>4.014363045601157</v>
      </c>
      <c r="AH2363" s="1">
        <v>6301</v>
      </c>
      <c r="AI2363" s="1" t="b">
        <v>1</v>
      </c>
    </row>
    <row r="2364" spans="1:35" x14ac:dyDescent="0.25">
      <c r="A2364" s="1">
        <v>10</v>
      </c>
      <c r="B2364" s="1">
        <v>10</v>
      </c>
      <c r="C2364" s="1">
        <v>2020</v>
      </c>
      <c r="G2364" s="1" t="s">
        <v>39</v>
      </c>
      <c r="H2364" s="2">
        <v>22.87</v>
      </c>
      <c r="I2364" s="1">
        <v>62</v>
      </c>
      <c r="V2364" s="1">
        <v>91</v>
      </c>
      <c r="X2364" s="1">
        <v>74</v>
      </c>
      <c r="AA2364" s="1">
        <v>8</v>
      </c>
      <c r="AB2364" s="1">
        <v>11</v>
      </c>
      <c r="AC2364" s="1">
        <v>2804</v>
      </c>
      <c r="AF2364" s="3">
        <v>2.7109750765194578</v>
      </c>
      <c r="AG2364" s="3">
        <v>3.2988364936281918</v>
      </c>
      <c r="AH2364" s="1">
        <v>6301</v>
      </c>
      <c r="AI2364" s="1" t="b">
        <v>1</v>
      </c>
    </row>
    <row r="2365" spans="1:35" x14ac:dyDescent="0.25">
      <c r="A2365" s="1">
        <v>10</v>
      </c>
      <c r="B2365" s="1">
        <v>10</v>
      </c>
      <c r="C2365" s="1">
        <v>2020</v>
      </c>
      <c r="G2365" s="1" t="s">
        <v>39</v>
      </c>
      <c r="H2365" s="2">
        <v>33.85</v>
      </c>
      <c r="I2365" s="1">
        <v>85</v>
      </c>
      <c r="V2365" s="1">
        <v>118</v>
      </c>
      <c r="X2365" s="1">
        <v>95</v>
      </c>
      <c r="AA2365" s="1">
        <v>9</v>
      </c>
      <c r="AB2365" s="1">
        <v>5</v>
      </c>
      <c r="AC2365" s="1">
        <v>3544</v>
      </c>
      <c r="AF2365" s="3">
        <v>2.5110782865583454</v>
      </c>
      <c r="AG2365" s="3">
        <v>4.686307891247675</v>
      </c>
      <c r="AH2365" s="1">
        <v>6301</v>
      </c>
      <c r="AI2365" s="1" t="b">
        <v>1</v>
      </c>
    </row>
    <row r="2366" spans="1:35" x14ac:dyDescent="0.25">
      <c r="A2366" s="1">
        <v>10</v>
      </c>
      <c r="B2366" s="1">
        <v>10</v>
      </c>
      <c r="C2366" s="1">
        <v>2020</v>
      </c>
      <c r="G2366" s="1" t="s">
        <v>39</v>
      </c>
      <c r="H2366" s="2">
        <v>20.85</v>
      </c>
      <c r="I2366" s="1">
        <v>58</v>
      </c>
      <c r="V2366" s="1">
        <v>75</v>
      </c>
      <c r="X2366" s="1">
        <v>66</v>
      </c>
      <c r="AA2366" s="1">
        <v>3</v>
      </c>
      <c r="AB2366" s="1">
        <v>6</v>
      </c>
      <c r="AC2366" s="1">
        <v>2665</v>
      </c>
      <c r="AF2366" s="3">
        <v>2.7817745803357314</v>
      </c>
      <c r="AG2366" s="3">
        <v>3.0133689382881483</v>
      </c>
      <c r="AH2366" s="1">
        <v>6301</v>
      </c>
      <c r="AI2366" s="1" t="b">
        <v>1</v>
      </c>
    </row>
    <row r="2367" spans="1:35" x14ac:dyDescent="0.25">
      <c r="A2367" s="1">
        <v>10</v>
      </c>
      <c r="B2367" s="1">
        <v>10</v>
      </c>
      <c r="C2367" s="1">
        <v>2020</v>
      </c>
      <c r="G2367" s="1" t="s">
        <v>39</v>
      </c>
      <c r="H2367" s="2">
        <v>22.66</v>
      </c>
      <c r="I2367" s="1">
        <v>49</v>
      </c>
      <c r="V2367" s="1">
        <v>77</v>
      </c>
      <c r="X2367" s="1">
        <v>69</v>
      </c>
      <c r="AA2367" s="1">
        <v>9</v>
      </c>
      <c r="AB2367" s="1">
        <v>8</v>
      </c>
      <c r="AC2367" s="1">
        <v>2637</v>
      </c>
      <c r="AF2367" s="3">
        <v>2.1624007060900263</v>
      </c>
      <c r="AG2367" s="3">
        <v>4.1090910010084825</v>
      </c>
      <c r="AH2367" s="1">
        <v>6301</v>
      </c>
      <c r="AI2367" s="1" t="b">
        <v>1</v>
      </c>
    </row>
    <row r="2368" spans="1:35" x14ac:dyDescent="0.25">
      <c r="A2368" s="1">
        <v>10</v>
      </c>
      <c r="B2368" s="1">
        <v>10</v>
      </c>
      <c r="C2368" s="1">
        <v>2020</v>
      </c>
      <c r="G2368" s="1" t="s">
        <v>39</v>
      </c>
      <c r="H2368" s="2">
        <v>23.19</v>
      </c>
      <c r="I2368" s="1">
        <v>65</v>
      </c>
      <c r="V2368" s="1">
        <v>89</v>
      </c>
      <c r="X2368" s="1">
        <v>81</v>
      </c>
      <c r="AA2368" s="1">
        <v>5</v>
      </c>
      <c r="AB2368" s="1">
        <v>10</v>
      </c>
      <c r="AC2368" s="1">
        <v>3196</v>
      </c>
      <c r="AF2368" s="3">
        <v>2.8029322984044844</v>
      </c>
      <c r="AG2368" s="3">
        <v>3.2217950953844041</v>
      </c>
      <c r="AH2368" s="1">
        <v>6301</v>
      </c>
      <c r="AI2368" s="1" t="b">
        <v>1</v>
      </c>
    </row>
    <row r="2369" spans="1:35" x14ac:dyDescent="0.25">
      <c r="A2369" s="1">
        <v>10</v>
      </c>
      <c r="B2369" s="1">
        <v>10</v>
      </c>
      <c r="C2369" s="1">
        <v>2020</v>
      </c>
      <c r="G2369" s="1" t="s">
        <v>39</v>
      </c>
      <c r="H2369" s="2">
        <v>25.68</v>
      </c>
      <c r="I2369" s="1">
        <v>57</v>
      </c>
      <c r="V2369" s="1">
        <v>83</v>
      </c>
      <c r="X2369" s="1">
        <v>71</v>
      </c>
      <c r="AA2369" s="1">
        <v>7</v>
      </c>
      <c r="AB2369" s="1">
        <v>8</v>
      </c>
      <c r="AC2369" s="1">
        <v>3470</v>
      </c>
      <c r="AF2369" s="3">
        <v>2.2196261682242993</v>
      </c>
      <c r="AG2369" s="3">
        <v>4.3695496381383121</v>
      </c>
      <c r="AH2369" s="1">
        <v>6301</v>
      </c>
      <c r="AI2369" s="1" t="b">
        <v>1</v>
      </c>
    </row>
    <row r="2370" spans="1:35" x14ac:dyDescent="0.25">
      <c r="A2370" s="1">
        <v>10</v>
      </c>
      <c r="B2370" s="1">
        <v>10</v>
      </c>
      <c r="C2370" s="1">
        <v>2020</v>
      </c>
      <c r="G2370" s="1" t="s">
        <v>39</v>
      </c>
      <c r="H2370" s="2">
        <v>23.52</v>
      </c>
      <c r="I2370" s="1">
        <v>59</v>
      </c>
      <c r="V2370" s="1">
        <v>82</v>
      </c>
      <c r="X2370" s="1">
        <v>69</v>
      </c>
      <c r="AA2370" s="1">
        <v>7</v>
      </c>
      <c r="AB2370" s="1">
        <v>6</v>
      </c>
      <c r="AC2370" s="1">
        <v>2993</v>
      </c>
      <c r="AF2370" s="3">
        <v>2.5085034013605441</v>
      </c>
      <c r="AG2370" s="3">
        <v>3.6357283606996464</v>
      </c>
      <c r="AH2370" s="1">
        <v>6301</v>
      </c>
      <c r="AI2370" s="1" t="b">
        <v>1</v>
      </c>
    </row>
    <row r="2371" spans="1:35" x14ac:dyDescent="0.25">
      <c r="A2371" s="1">
        <v>10</v>
      </c>
      <c r="B2371" s="1">
        <v>10</v>
      </c>
      <c r="C2371" s="1">
        <v>2020</v>
      </c>
      <c r="G2371" s="1" t="s">
        <v>39</v>
      </c>
      <c r="H2371" s="2">
        <v>23.35</v>
      </c>
      <c r="I2371" s="1">
        <v>75</v>
      </c>
      <c r="V2371" s="1">
        <v>85</v>
      </c>
      <c r="X2371" s="1">
        <v>73</v>
      </c>
      <c r="AA2371" s="1">
        <v>4</v>
      </c>
      <c r="AB2371" s="1">
        <v>5</v>
      </c>
      <c r="AC2371" s="1">
        <v>2847</v>
      </c>
      <c r="AF2371" s="3">
        <v>3.2119914346895073</v>
      </c>
      <c r="AG2371" s="3">
        <v>2.8250519659592204</v>
      </c>
      <c r="AH2371" s="1">
        <v>6301</v>
      </c>
      <c r="AI2371" s="1" t="b">
        <v>1</v>
      </c>
    </row>
    <row r="2372" spans="1:35" x14ac:dyDescent="0.25">
      <c r="A2372" s="1">
        <v>10</v>
      </c>
      <c r="B2372" s="1">
        <v>10</v>
      </c>
      <c r="C2372" s="1">
        <v>2020</v>
      </c>
      <c r="G2372" s="1" t="s">
        <v>39</v>
      </c>
      <c r="H2372" s="2">
        <v>25.16</v>
      </c>
      <c r="I2372" s="1">
        <v>59</v>
      </c>
      <c r="V2372" s="1">
        <v>80</v>
      </c>
      <c r="X2372" s="1">
        <v>68</v>
      </c>
      <c r="AA2372" s="1">
        <v>8</v>
      </c>
      <c r="AB2372" s="1">
        <v>10</v>
      </c>
      <c r="AC2372" s="1">
        <v>3088</v>
      </c>
      <c r="AF2372" s="3">
        <v>2.3449920508744038</v>
      </c>
      <c r="AG2372" s="3">
        <v>4.0771441912482738</v>
      </c>
      <c r="AH2372" s="1">
        <v>6301</v>
      </c>
      <c r="AI2372" s="1" t="b">
        <v>1</v>
      </c>
    </row>
    <row r="2373" spans="1:35" x14ac:dyDescent="0.25">
      <c r="A2373" s="1">
        <v>10</v>
      </c>
      <c r="B2373" s="1">
        <v>10</v>
      </c>
      <c r="C2373" s="1">
        <v>2020</v>
      </c>
      <c r="G2373" s="1" t="s">
        <v>39</v>
      </c>
      <c r="H2373" s="2">
        <v>25.72</v>
      </c>
      <c r="I2373" s="1">
        <v>57</v>
      </c>
      <c r="V2373" s="1">
        <v>87</v>
      </c>
      <c r="X2373" s="1">
        <v>76</v>
      </c>
      <c r="AA2373" s="1">
        <v>8</v>
      </c>
      <c r="AB2373" s="1">
        <v>10</v>
      </c>
      <c r="AC2373" s="1">
        <v>3421</v>
      </c>
      <c r="AF2373" s="3">
        <v>2.2161741835147746</v>
      </c>
      <c r="AG2373" s="3">
        <v>4.3811264035820132</v>
      </c>
      <c r="AH2373" s="1">
        <v>6301</v>
      </c>
      <c r="AI2373" s="1" t="b">
        <v>1</v>
      </c>
    </row>
    <row r="2374" spans="1:35" x14ac:dyDescent="0.25">
      <c r="A2374" s="1">
        <v>10</v>
      </c>
      <c r="B2374" s="1">
        <v>10</v>
      </c>
      <c r="C2374" s="1">
        <v>2020</v>
      </c>
      <c r="G2374" s="1" t="s">
        <v>39</v>
      </c>
      <c r="H2374" s="2">
        <v>17.57</v>
      </c>
      <c r="I2374" s="1">
        <v>43</v>
      </c>
      <c r="U2374" s="1">
        <v>62</v>
      </c>
      <c r="X2374" s="1">
        <v>55</v>
      </c>
      <c r="AA2374" s="1">
        <v>8</v>
      </c>
      <c r="AB2374" s="1">
        <v>9</v>
      </c>
      <c r="AC2374" s="1">
        <v>2214</v>
      </c>
      <c r="AF2374" s="3">
        <v>2.4473534433693795</v>
      </c>
      <c r="AG2374" s="3">
        <v>3.0383901463901712</v>
      </c>
      <c r="AH2374" s="1">
        <v>6301</v>
      </c>
      <c r="AI2374" s="1" t="b">
        <v>1</v>
      </c>
    </row>
    <row r="2375" spans="1:35" x14ac:dyDescent="0.25">
      <c r="A2375" s="1">
        <v>10</v>
      </c>
      <c r="B2375" s="1">
        <v>10</v>
      </c>
      <c r="C2375" s="1">
        <v>2020</v>
      </c>
      <c r="G2375" s="1" t="s">
        <v>39</v>
      </c>
      <c r="H2375" s="2">
        <v>30.03</v>
      </c>
      <c r="I2375" s="1">
        <v>74</v>
      </c>
      <c r="V2375" s="1">
        <v>111</v>
      </c>
      <c r="X2375" s="1">
        <v>91</v>
      </c>
      <c r="AA2375" s="1">
        <v>10</v>
      </c>
      <c r="AB2375" s="1">
        <v>9</v>
      </c>
      <c r="AC2375" s="1">
        <v>3670</v>
      </c>
      <c r="AF2375" s="3">
        <v>2.4642024642024642</v>
      </c>
      <c r="AG2375" s="3">
        <v>4.3914945185888987</v>
      </c>
      <c r="AH2375" s="1">
        <v>6301</v>
      </c>
      <c r="AI2375" s="1" t="b">
        <v>1</v>
      </c>
    </row>
    <row r="2376" spans="1:35" x14ac:dyDescent="0.25">
      <c r="A2376" s="1">
        <v>10</v>
      </c>
      <c r="B2376" s="1">
        <v>10</v>
      </c>
      <c r="C2376" s="1">
        <v>2020</v>
      </c>
      <c r="G2376" s="1" t="s">
        <v>39</v>
      </c>
      <c r="H2376" s="2">
        <v>24.71</v>
      </c>
      <c r="I2376" s="1">
        <v>78</v>
      </c>
      <c r="V2376" s="1">
        <v>99</v>
      </c>
      <c r="X2376" s="1">
        <v>85</v>
      </c>
      <c r="AA2376" s="1">
        <v>7</v>
      </c>
      <c r="AB2376" s="1">
        <v>7</v>
      </c>
      <c r="AC2376" s="1">
        <v>3094</v>
      </c>
      <c r="AF2376" s="3">
        <v>3.1566167543504653</v>
      </c>
      <c r="AG2376" s="3">
        <v>2.9908116556717692</v>
      </c>
      <c r="AH2376" s="1">
        <v>6301</v>
      </c>
      <c r="AI2376" s="1" t="b">
        <v>1</v>
      </c>
    </row>
    <row r="2377" spans="1:35" x14ac:dyDescent="0.25">
      <c r="A2377" s="1">
        <v>10</v>
      </c>
      <c r="B2377" s="1">
        <v>10</v>
      </c>
      <c r="C2377" s="1">
        <v>2020</v>
      </c>
      <c r="G2377" s="1" t="s">
        <v>39</v>
      </c>
      <c r="H2377" s="2">
        <v>27.71</v>
      </c>
      <c r="I2377" s="1">
        <v>75</v>
      </c>
      <c r="V2377" s="1">
        <v>111</v>
      </c>
      <c r="X2377" s="1">
        <v>95</v>
      </c>
      <c r="AA2377" s="1">
        <v>9</v>
      </c>
      <c r="AB2377" s="1">
        <v>9</v>
      </c>
      <c r="AC2377" s="1">
        <v>3622</v>
      </c>
      <c r="AF2377" s="3">
        <v>2.7066041140382531</v>
      </c>
      <c r="AG2377" s="3">
        <v>3.7793823490232135</v>
      </c>
      <c r="AH2377" s="1">
        <v>6301</v>
      </c>
      <c r="AI2377" s="1" t="b">
        <v>1</v>
      </c>
    </row>
    <row r="2378" spans="1:35" x14ac:dyDescent="0.25">
      <c r="A2378" s="1">
        <v>10</v>
      </c>
      <c r="B2378" s="1">
        <v>10</v>
      </c>
      <c r="C2378" s="1">
        <v>2020</v>
      </c>
      <c r="G2378" s="1" t="s">
        <v>39</v>
      </c>
      <c r="H2378" s="2">
        <v>22.92</v>
      </c>
      <c r="I2378" s="1">
        <v>53</v>
      </c>
      <c r="V2378" s="1">
        <v>83</v>
      </c>
      <c r="X2378" s="1">
        <v>72</v>
      </c>
      <c r="AA2378" s="1">
        <v>8</v>
      </c>
      <c r="AB2378" s="1">
        <v>9</v>
      </c>
      <c r="AC2378" s="1">
        <v>2892</v>
      </c>
      <c r="AF2378" s="3">
        <v>2.3123909249563699</v>
      </c>
      <c r="AG2378" s="3">
        <v>3.8733698971192965</v>
      </c>
      <c r="AH2378" s="1">
        <v>6301</v>
      </c>
      <c r="AI2378" s="1" t="b">
        <v>1</v>
      </c>
    </row>
    <row r="2379" spans="1:35" x14ac:dyDescent="0.25">
      <c r="A2379" s="1">
        <v>10</v>
      </c>
      <c r="B2379" s="1">
        <v>10</v>
      </c>
      <c r="C2379" s="1">
        <v>2020</v>
      </c>
      <c r="G2379" s="1" t="s">
        <v>39</v>
      </c>
      <c r="H2379" s="2">
        <v>27.45</v>
      </c>
      <c r="I2379" s="1">
        <v>70</v>
      </c>
      <c r="V2379" s="1">
        <v>103</v>
      </c>
      <c r="X2379" s="1">
        <v>87</v>
      </c>
      <c r="AA2379" s="1">
        <v>8</v>
      </c>
      <c r="AB2379" s="1">
        <v>12</v>
      </c>
      <c r="AC2379" s="1">
        <v>3336</v>
      </c>
      <c r="AF2379" s="3">
        <v>2.5500910746812386</v>
      </c>
      <c r="AG2379" s="3">
        <v>3.9849598761650253</v>
      </c>
      <c r="AH2379" s="1">
        <v>6301</v>
      </c>
      <c r="AI2379" s="1" t="b">
        <v>1</v>
      </c>
    </row>
    <row r="2380" spans="1:35" x14ac:dyDescent="0.25">
      <c r="A2380" s="1">
        <v>10</v>
      </c>
      <c r="B2380" s="1">
        <v>10</v>
      </c>
      <c r="C2380" s="1">
        <v>2020</v>
      </c>
      <c r="G2380" s="1" t="s">
        <v>39</v>
      </c>
      <c r="H2380" s="2">
        <v>23.32</v>
      </c>
      <c r="I2380" s="1">
        <v>54</v>
      </c>
      <c r="V2380" s="1">
        <v>72</v>
      </c>
      <c r="X2380" s="1">
        <v>63</v>
      </c>
      <c r="AA2380" s="1">
        <v>8</v>
      </c>
      <c r="AB2380" s="1">
        <v>7</v>
      </c>
      <c r="AC2380" s="1">
        <v>2788</v>
      </c>
      <c r="AF2380" s="3">
        <v>2.3156089193825045</v>
      </c>
      <c r="AG2380" s="3">
        <v>3.9151172110323795</v>
      </c>
      <c r="AH2380" s="1">
        <v>6301</v>
      </c>
      <c r="AI2380" s="1" t="b">
        <v>1</v>
      </c>
    </row>
    <row r="2381" spans="1:35" x14ac:dyDescent="0.25">
      <c r="A2381" s="1">
        <v>10</v>
      </c>
      <c r="B2381" s="1">
        <v>10</v>
      </c>
      <c r="C2381" s="1">
        <v>2020</v>
      </c>
      <c r="G2381" s="1" t="s">
        <v>39</v>
      </c>
      <c r="H2381" s="2">
        <v>24.1</v>
      </c>
      <c r="I2381" s="1">
        <v>58</v>
      </c>
      <c r="V2381" s="1">
        <v>93</v>
      </c>
      <c r="X2381" s="1">
        <v>82</v>
      </c>
      <c r="AA2381" s="1">
        <v>8</v>
      </c>
      <c r="AB2381" s="1">
        <v>9</v>
      </c>
      <c r="AC2381" s="1">
        <v>3195</v>
      </c>
      <c r="AF2381" s="3">
        <v>2.4066390041493775</v>
      </c>
      <c r="AG2381" s="3">
        <v>3.8547922645914761</v>
      </c>
      <c r="AH2381" s="1">
        <v>6301</v>
      </c>
      <c r="AI2381" s="1" t="b">
        <v>1</v>
      </c>
    </row>
    <row r="2382" spans="1:35" x14ac:dyDescent="0.25">
      <c r="A2382" s="1">
        <v>10</v>
      </c>
      <c r="B2382" s="1">
        <v>10</v>
      </c>
      <c r="C2382" s="1">
        <v>2020</v>
      </c>
      <c r="G2382" s="1" t="s">
        <v>39</v>
      </c>
      <c r="H2382" s="2">
        <v>26.01</v>
      </c>
      <c r="I2382" s="1">
        <v>52</v>
      </c>
      <c r="V2382" s="1">
        <v>88</v>
      </c>
      <c r="X2382" s="1">
        <v>73</v>
      </c>
      <c r="AA2382" s="1">
        <v>11</v>
      </c>
      <c r="AB2382" s="1">
        <v>16</v>
      </c>
      <c r="AC2382" s="1">
        <v>3337</v>
      </c>
      <c r="AF2382" s="3">
        <v>1.9992310649750096</v>
      </c>
      <c r="AG2382" s="3">
        <v>4.8948034232879909</v>
      </c>
      <c r="AH2382" s="1">
        <v>6301</v>
      </c>
      <c r="AI2382" s="1" t="b">
        <v>1</v>
      </c>
    </row>
    <row r="2383" spans="1:35" x14ac:dyDescent="0.25">
      <c r="A2383" s="1">
        <v>13</v>
      </c>
      <c r="B2383" s="1">
        <v>10</v>
      </c>
      <c r="C2383" s="1">
        <v>2020</v>
      </c>
      <c r="G2383" s="1" t="s">
        <v>39</v>
      </c>
      <c r="H2383" s="2">
        <v>21.75</v>
      </c>
      <c r="I2383" s="1">
        <v>56</v>
      </c>
      <c r="V2383" s="1">
        <v>73</v>
      </c>
      <c r="X2383" s="1">
        <v>64</v>
      </c>
      <c r="AA2383" s="1">
        <v>6</v>
      </c>
      <c r="AB2383" s="1">
        <v>14</v>
      </c>
      <c r="AC2383" s="1">
        <v>2673</v>
      </c>
      <c r="AF2383" s="3">
        <v>2.5747126436781609</v>
      </c>
      <c r="AG2383" s="3">
        <v>3.3534568089291299</v>
      </c>
      <c r="AH2383" s="1">
        <v>6302</v>
      </c>
      <c r="AI2383" s="1" t="b">
        <v>1</v>
      </c>
    </row>
    <row r="2384" spans="1:35" x14ac:dyDescent="0.25">
      <c r="A2384" s="1">
        <v>13</v>
      </c>
      <c r="B2384" s="1">
        <v>10</v>
      </c>
      <c r="C2384" s="1">
        <v>2020</v>
      </c>
      <c r="G2384" s="1" t="s">
        <v>39</v>
      </c>
      <c r="H2384" s="2">
        <v>21.77</v>
      </c>
      <c r="I2384" s="1">
        <v>49</v>
      </c>
      <c r="V2384" s="1">
        <v>75</v>
      </c>
      <c r="X2384" s="1">
        <v>62</v>
      </c>
      <c r="AA2384" s="1">
        <v>7</v>
      </c>
      <c r="AB2384" s="1">
        <v>7</v>
      </c>
      <c r="AC2384" s="1">
        <v>2968</v>
      </c>
      <c r="AF2384" s="3">
        <v>2.2508038585209005</v>
      </c>
      <c r="AG2384" s="3">
        <v>3.8385150643093007</v>
      </c>
      <c r="AH2384" s="1">
        <v>6302</v>
      </c>
      <c r="AI2384" s="1" t="b">
        <v>1</v>
      </c>
    </row>
    <row r="2385" spans="1:35" x14ac:dyDescent="0.25">
      <c r="A2385" s="1">
        <v>13</v>
      </c>
      <c r="B2385" s="1">
        <v>10</v>
      </c>
      <c r="C2385" s="1">
        <v>2020</v>
      </c>
      <c r="G2385" s="1" t="s">
        <v>39</v>
      </c>
      <c r="H2385" s="2">
        <v>25.44</v>
      </c>
      <c r="I2385" s="1">
        <v>60</v>
      </c>
      <c r="V2385" s="1">
        <v>93</v>
      </c>
      <c r="X2385" s="1">
        <v>77</v>
      </c>
      <c r="AA2385" s="1">
        <v>9</v>
      </c>
      <c r="AB2385" s="1">
        <v>6</v>
      </c>
      <c r="AC2385" s="1">
        <v>3028</v>
      </c>
      <c r="AF2385" s="3">
        <v>2.3584905660377355</v>
      </c>
      <c r="AG2385" s="3">
        <v>4.0853364743432374</v>
      </c>
      <c r="AH2385" s="1">
        <v>6302</v>
      </c>
      <c r="AI2385" s="1" t="b">
        <v>1</v>
      </c>
    </row>
    <row r="2386" spans="1:35" x14ac:dyDescent="0.25">
      <c r="A2386" s="1">
        <v>13</v>
      </c>
      <c r="B2386" s="1">
        <v>10</v>
      </c>
      <c r="C2386" s="1">
        <v>2020</v>
      </c>
      <c r="G2386" s="1" t="s">
        <v>39</v>
      </c>
      <c r="H2386" s="2">
        <v>29.32</v>
      </c>
      <c r="I2386" s="1">
        <v>71</v>
      </c>
      <c r="V2386" s="1">
        <v>102</v>
      </c>
      <c r="X2386" s="1">
        <v>86</v>
      </c>
      <c r="AA2386" s="1">
        <v>8</v>
      </c>
      <c r="AB2386" s="1">
        <v>10</v>
      </c>
      <c r="AC2386" s="1">
        <v>3364</v>
      </c>
      <c r="AF2386" s="3">
        <v>2.4215552523874488</v>
      </c>
      <c r="AG2386" s="3">
        <v>4.3946105444555359</v>
      </c>
      <c r="AH2386" s="1">
        <v>6302</v>
      </c>
      <c r="AI2386" s="1" t="b">
        <v>1</v>
      </c>
    </row>
    <row r="2387" spans="1:35" x14ac:dyDescent="0.25">
      <c r="A2387" s="1">
        <v>13</v>
      </c>
      <c r="B2387" s="1">
        <v>10</v>
      </c>
      <c r="C2387" s="1">
        <v>2020</v>
      </c>
      <c r="G2387" s="1" t="s">
        <v>39</v>
      </c>
      <c r="H2387" s="2">
        <v>22.22</v>
      </c>
      <c r="I2387" s="1">
        <v>46</v>
      </c>
      <c r="V2387" s="1">
        <v>78</v>
      </c>
      <c r="X2387" s="1">
        <v>62</v>
      </c>
      <c r="AA2387" s="1">
        <v>10</v>
      </c>
      <c r="AB2387" s="1">
        <v>10</v>
      </c>
      <c r="AC2387" s="1">
        <v>2956</v>
      </c>
      <c r="AF2387" s="3">
        <v>2.0702070207020702</v>
      </c>
      <c r="AG2387" s="3">
        <v>4.2335730817218673</v>
      </c>
      <c r="AH2387" s="1">
        <v>6302</v>
      </c>
      <c r="AI2387" s="1" t="b">
        <v>1</v>
      </c>
    </row>
    <row r="2388" spans="1:35" x14ac:dyDescent="0.25">
      <c r="A2388" s="1">
        <v>13</v>
      </c>
      <c r="B2388" s="1">
        <v>10</v>
      </c>
      <c r="C2388" s="1">
        <v>2020</v>
      </c>
      <c r="G2388" s="1" t="s">
        <v>39</v>
      </c>
      <c r="H2388" s="2">
        <v>23</v>
      </c>
      <c r="I2388" s="1">
        <v>45</v>
      </c>
      <c r="V2388" s="1">
        <v>72</v>
      </c>
      <c r="X2388" s="1">
        <v>60</v>
      </c>
      <c r="AA2388" s="1">
        <v>8</v>
      </c>
      <c r="AB2388" s="1">
        <v>16</v>
      </c>
      <c r="AC2388" s="1">
        <v>2974</v>
      </c>
      <c r="AF2388" s="3">
        <v>1.9565217391304348</v>
      </c>
      <c r="AG2388" s="3">
        <v>4.5890713223174542</v>
      </c>
      <c r="AH2388" s="1">
        <v>6302</v>
      </c>
      <c r="AI2388" s="1" t="b">
        <v>1</v>
      </c>
    </row>
    <row r="2389" spans="1:35" x14ac:dyDescent="0.25">
      <c r="A2389" s="1">
        <v>13</v>
      </c>
      <c r="B2389" s="1">
        <v>10</v>
      </c>
      <c r="C2389" s="1">
        <v>2020</v>
      </c>
      <c r="G2389" s="1" t="s">
        <v>39</v>
      </c>
      <c r="H2389" s="2">
        <v>26.98</v>
      </c>
      <c r="I2389" s="1">
        <v>64</v>
      </c>
      <c r="V2389" s="1">
        <v>101</v>
      </c>
      <c r="X2389" s="1">
        <v>84</v>
      </c>
      <c r="AA2389" s="1">
        <v>9</v>
      </c>
      <c r="AB2389" s="1">
        <v>4</v>
      </c>
      <c r="AC2389" s="1">
        <v>3206</v>
      </c>
      <c r="AF2389" s="3">
        <v>2.3721275018532246</v>
      </c>
      <c r="AG2389" s="3">
        <v>4.2324450961143238</v>
      </c>
      <c r="AH2389" s="1">
        <v>6302</v>
      </c>
      <c r="AI2389" s="1" t="b">
        <v>1</v>
      </c>
    </row>
    <row r="2390" spans="1:35" x14ac:dyDescent="0.25">
      <c r="A2390" s="1">
        <v>13</v>
      </c>
      <c r="B2390" s="1">
        <v>10</v>
      </c>
      <c r="C2390" s="1">
        <v>2020</v>
      </c>
      <c r="G2390" s="1" t="s">
        <v>39</v>
      </c>
      <c r="H2390" s="2">
        <v>20.84</v>
      </c>
      <c r="I2390" s="1">
        <v>49</v>
      </c>
      <c r="V2390" s="1">
        <v>66</v>
      </c>
      <c r="X2390" s="1">
        <v>57</v>
      </c>
      <c r="AA2390" s="1">
        <v>8</v>
      </c>
      <c r="AB2390" s="1">
        <v>7</v>
      </c>
      <c r="AC2390" s="1">
        <v>2428</v>
      </c>
      <c r="AF2390" s="3">
        <v>2.3512476007677545</v>
      </c>
      <c r="AG2390" s="3">
        <v>3.5639371351070919</v>
      </c>
      <c r="AH2390" s="1">
        <v>6302</v>
      </c>
      <c r="AI2390" s="1" t="b">
        <v>1</v>
      </c>
    </row>
    <row r="2391" spans="1:35" x14ac:dyDescent="0.25">
      <c r="A2391" s="1">
        <v>13</v>
      </c>
      <c r="B2391" s="1">
        <v>10</v>
      </c>
      <c r="C2391" s="1">
        <v>2020</v>
      </c>
      <c r="G2391" s="1" t="s">
        <v>39</v>
      </c>
      <c r="H2391" s="2">
        <v>22.91</v>
      </c>
      <c r="I2391" s="1">
        <v>54</v>
      </c>
      <c r="V2391" s="1">
        <v>65</v>
      </c>
      <c r="X2391" s="1">
        <v>61</v>
      </c>
      <c r="AA2391" s="1">
        <v>4</v>
      </c>
      <c r="AB2391" s="1">
        <v>8</v>
      </c>
      <c r="AC2391" s="1">
        <v>2695</v>
      </c>
      <c r="AF2391" s="3">
        <v>2.3570493234395462</v>
      </c>
      <c r="AG2391" s="3">
        <v>3.7988215394099742</v>
      </c>
      <c r="AH2391" s="1">
        <v>6302</v>
      </c>
      <c r="AI2391" s="1" t="b">
        <v>1</v>
      </c>
    </row>
    <row r="2392" spans="1:35" x14ac:dyDescent="0.25">
      <c r="A2392" s="1">
        <v>13</v>
      </c>
      <c r="B2392" s="1">
        <v>10</v>
      </c>
      <c r="C2392" s="1">
        <v>2020</v>
      </c>
      <c r="G2392" s="1" t="s">
        <v>39</v>
      </c>
      <c r="H2392" s="2">
        <v>24.75</v>
      </c>
      <c r="I2392" s="1">
        <v>47</v>
      </c>
      <c r="V2392" s="1">
        <v>69</v>
      </c>
      <c r="X2392" s="1">
        <v>60</v>
      </c>
      <c r="AA2392" s="1">
        <v>7</v>
      </c>
      <c r="AB2392" s="1">
        <v>12</v>
      </c>
      <c r="AC2392" s="1">
        <v>3187</v>
      </c>
      <c r="AF2392" s="3">
        <v>1.898989898989899</v>
      </c>
      <c r="AG2392" s="3">
        <v>4.9771414968199288</v>
      </c>
      <c r="AH2392" s="1">
        <v>6302</v>
      </c>
      <c r="AI2392" s="1" t="b">
        <v>1</v>
      </c>
    </row>
    <row r="2393" spans="1:35" x14ac:dyDescent="0.25">
      <c r="A2393" s="1">
        <v>13</v>
      </c>
      <c r="B2393" s="1">
        <v>10</v>
      </c>
      <c r="C2393" s="1">
        <v>2020</v>
      </c>
      <c r="G2393" s="1" t="s">
        <v>39</v>
      </c>
      <c r="H2393" s="2">
        <v>26.19</v>
      </c>
      <c r="I2393" s="1">
        <v>78</v>
      </c>
      <c r="V2393" s="1">
        <v>91</v>
      </c>
      <c r="X2393" s="1">
        <v>76</v>
      </c>
      <c r="AA2393" s="1">
        <v>5</v>
      </c>
      <c r="AB2393" s="1">
        <v>3</v>
      </c>
      <c r="AC2393" s="1">
        <v>3549</v>
      </c>
      <c r="AF2393" s="3">
        <v>2.9782359679266892</v>
      </c>
      <c r="AG2393" s="3">
        <v>3.3016858207185611</v>
      </c>
      <c r="AH2393" s="1">
        <v>6302</v>
      </c>
      <c r="AI2393" s="1" t="b">
        <v>1</v>
      </c>
    </row>
    <row r="2394" spans="1:35" x14ac:dyDescent="0.25">
      <c r="A2394" s="1">
        <v>13</v>
      </c>
      <c r="B2394" s="1">
        <v>10</v>
      </c>
      <c r="C2394" s="1">
        <v>2020</v>
      </c>
      <c r="G2394" s="1" t="s">
        <v>39</v>
      </c>
      <c r="H2394" s="2">
        <v>26.08</v>
      </c>
      <c r="I2394" s="1">
        <v>63</v>
      </c>
      <c r="V2394" s="1">
        <v>95</v>
      </c>
      <c r="X2394" s="1">
        <v>79</v>
      </c>
      <c r="AA2394" s="1">
        <v>10</v>
      </c>
      <c r="AB2394" s="1">
        <v>8</v>
      </c>
      <c r="AC2394" s="1">
        <v>3264</v>
      </c>
      <c r="AF2394" s="3">
        <v>2.4156441717791415</v>
      </c>
      <c r="AG2394" s="3">
        <v>4.0586569833352018</v>
      </c>
      <c r="AH2394" s="1">
        <v>6302</v>
      </c>
      <c r="AI2394" s="1" t="b">
        <v>1</v>
      </c>
    </row>
    <row r="2395" spans="1:35" x14ac:dyDescent="0.25">
      <c r="A2395" s="1">
        <v>29</v>
      </c>
      <c r="B2395" s="1">
        <v>10</v>
      </c>
      <c r="C2395" s="1">
        <v>2020</v>
      </c>
      <c r="G2395" s="1" t="s">
        <v>39</v>
      </c>
      <c r="H2395" s="2">
        <v>19.940000000000001</v>
      </c>
      <c r="I2395" s="1">
        <v>42</v>
      </c>
      <c r="V2395" s="1">
        <v>77</v>
      </c>
      <c r="X2395" s="1">
        <v>67</v>
      </c>
      <c r="AA2395" s="1">
        <v>9</v>
      </c>
      <c r="AB2395" s="1">
        <v>13</v>
      </c>
      <c r="AC2395" s="1">
        <v>2804</v>
      </c>
      <c r="AF2395" s="3">
        <v>2.1063189568706115</v>
      </c>
      <c r="AG2395" s="3">
        <v>3.8573004804808759</v>
      </c>
      <c r="AH2395" s="1">
        <v>6304</v>
      </c>
      <c r="AI2395" s="1" t="b">
        <v>1</v>
      </c>
    </row>
    <row r="2396" spans="1:35" x14ac:dyDescent="0.25">
      <c r="A2396" s="1">
        <v>29</v>
      </c>
      <c r="B2396" s="1">
        <v>10</v>
      </c>
      <c r="C2396" s="1">
        <v>2020</v>
      </c>
      <c r="G2396" s="1" t="s">
        <v>39</v>
      </c>
      <c r="H2396" s="2">
        <v>24.18</v>
      </c>
      <c r="I2396" s="1">
        <v>58</v>
      </c>
      <c r="V2396" s="1">
        <v>81</v>
      </c>
      <c r="X2396" s="1">
        <v>72</v>
      </c>
      <c r="AA2396" s="1">
        <v>9</v>
      </c>
      <c r="AB2396" s="1">
        <v>10</v>
      </c>
      <c r="AC2396" s="1">
        <v>3209</v>
      </c>
      <c r="AF2396" s="3">
        <v>2.3986765922249793</v>
      </c>
      <c r="AG2396" s="3">
        <v>3.8765707141841208</v>
      </c>
      <c r="AH2396" s="1">
        <v>6304</v>
      </c>
      <c r="AI2396" s="1" t="b">
        <v>1</v>
      </c>
    </row>
    <row r="2397" spans="1:35" x14ac:dyDescent="0.25">
      <c r="A2397" s="1">
        <v>29</v>
      </c>
      <c r="B2397" s="1">
        <v>10</v>
      </c>
      <c r="C2397" s="1">
        <v>2020</v>
      </c>
      <c r="G2397" s="1" t="s">
        <v>39</v>
      </c>
      <c r="H2397" s="2">
        <v>24</v>
      </c>
      <c r="I2397" s="1">
        <v>51</v>
      </c>
      <c r="V2397" s="1">
        <v>88</v>
      </c>
      <c r="X2397" s="1">
        <v>70</v>
      </c>
      <c r="AA2397" s="1">
        <v>8</v>
      </c>
      <c r="AB2397" s="1">
        <v>12</v>
      </c>
      <c r="AC2397" s="1">
        <v>3290</v>
      </c>
      <c r="AF2397" s="3">
        <v>2.125</v>
      </c>
      <c r="AG2397" s="3">
        <v>4.3530026827417592</v>
      </c>
      <c r="AH2397" s="1">
        <v>6304</v>
      </c>
      <c r="AI2397" s="1" t="b">
        <v>1</v>
      </c>
    </row>
    <row r="2398" spans="1:35" x14ac:dyDescent="0.25">
      <c r="A2398" s="1">
        <v>3</v>
      </c>
      <c r="B2398" s="1">
        <v>12</v>
      </c>
      <c r="C2398" s="1">
        <v>2020</v>
      </c>
      <c r="G2398" s="1" t="s">
        <v>39</v>
      </c>
      <c r="H2398" s="2">
        <v>25.36</v>
      </c>
      <c r="I2398" s="1">
        <v>63</v>
      </c>
      <c r="V2398" s="1">
        <v>84</v>
      </c>
      <c r="X2398" s="1">
        <v>74</v>
      </c>
      <c r="AA2398" s="1">
        <v>7</v>
      </c>
      <c r="AB2398" s="1">
        <v>7</v>
      </c>
      <c r="AC2398" s="1">
        <v>2916</v>
      </c>
      <c r="AF2398" s="3">
        <v>2.4842271293375395</v>
      </c>
      <c r="AG2398" s="3">
        <v>3.8700196860981126</v>
      </c>
      <c r="AH2398" s="1">
        <v>6309</v>
      </c>
      <c r="AI2398" s="1" t="b">
        <v>1</v>
      </c>
    </row>
    <row r="2399" spans="1:35" x14ac:dyDescent="0.25">
      <c r="A2399" s="1">
        <v>3</v>
      </c>
      <c r="B2399" s="1">
        <v>12</v>
      </c>
      <c r="C2399" s="1">
        <v>2020</v>
      </c>
      <c r="G2399" s="1" t="s">
        <v>39</v>
      </c>
      <c r="H2399" s="2">
        <v>30.26</v>
      </c>
      <c r="I2399" s="1">
        <v>89</v>
      </c>
      <c r="V2399" s="1">
        <v>106</v>
      </c>
      <c r="X2399" s="1">
        <v>94</v>
      </c>
      <c r="AA2399" s="1">
        <v>9</v>
      </c>
      <c r="AB2399" s="1">
        <v>7</v>
      </c>
      <c r="AC2399" s="1">
        <v>3561</v>
      </c>
      <c r="AF2399" s="3">
        <v>2.9411764705882351</v>
      </c>
      <c r="AG2399" s="3">
        <v>3.6990241235876624</v>
      </c>
      <c r="AH2399" s="1">
        <v>6309</v>
      </c>
      <c r="AI2399" s="1" t="b">
        <v>1</v>
      </c>
    </row>
    <row r="2400" spans="1:35" x14ac:dyDescent="0.25">
      <c r="A2400" s="1">
        <v>3</v>
      </c>
      <c r="B2400" s="1">
        <v>12</v>
      </c>
      <c r="C2400" s="1">
        <v>2020</v>
      </c>
      <c r="G2400" s="1" t="s">
        <v>39</v>
      </c>
      <c r="H2400" s="2">
        <v>27.92</v>
      </c>
      <c r="I2400" s="1">
        <v>86</v>
      </c>
      <c r="V2400" s="1">
        <v>103</v>
      </c>
      <c r="X2400" s="1">
        <v>92</v>
      </c>
      <c r="AA2400" s="1">
        <v>8</v>
      </c>
      <c r="AB2400" s="1">
        <v>3</v>
      </c>
      <c r="AC2400" s="1">
        <v>3098</v>
      </c>
      <c r="AF2400" s="3">
        <v>3.0802292263610314</v>
      </c>
      <c r="AG2400" s="3">
        <v>3.3385489823332177</v>
      </c>
      <c r="AH2400" s="1">
        <v>6309</v>
      </c>
      <c r="AI2400" s="1" t="b">
        <v>1</v>
      </c>
    </row>
    <row r="2401" spans="1:35" x14ac:dyDescent="0.25">
      <c r="A2401" s="1">
        <v>3</v>
      </c>
      <c r="B2401" s="1">
        <v>12</v>
      </c>
      <c r="C2401" s="1">
        <v>2020</v>
      </c>
      <c r="G2401" s="1" t="s">
        <v>39</v>
      </c>
      <c r="H2401" s="2">
        <v>22.95</v>
      </c>
      <c r="I2401" s="1">
        <v>65</v>
      </c>
      <c r="V2401" s="1">
        <v>77</v>
      </c>
      <c r="X2401" s="1">
        <v>69</v>
      </c>
      <c r="AA2401" s="1">
        <v>7</v>
      </c>
      <c r="AB2401" s="1">
        <v>6</v>
      </c>
      <c r="AC2401" s="1">
        <v>2813</v>
      </c>
      <c r="AF2401" s="3">
        <v>2.8322440087145972</v>
      </c>
      <c r="AG2401" s="3">
        <v>3.1653170430703343</v>
      </c>
      <c r="AH2401" s="1">
        <v>6309</v>
      </c>
      <c r="AI2401" s="1" t="b">
        <v>1</v>
      </c>
    </row>
    <row r="2402" spans="1:35" x14ac:dyDescent="0.25">
      <c r="A2402" s="1">
        <v>3</v>
      </c>
      <c r="B2402" s="1">
        <v>12</v>
      </c>
      <c r="C2402" s="1">
        <v>2020</v>
      </c>
      <c r="G2402" s="1" t="s">
        <v>39</v>
      </c>
      <c r="H2402" s="2">
        <v>22.82</v>
      </c>
      <c r="I2402" s="1">
        <v>53</v>
      </c>
      <c r="V2402" s="1">
        <v>74</v>
      </c>
      <c r="X2402" s="1">
        <v>66</v>
      </c>
      <c r="AA2402" s="1">
        <v>9</v>
      </c>
      <c r="AB2402" s="1">
        <v>10</v>
      </c>
      <c r="AC2402" s="1">
        <v>3006</v>
      </c>
      <c r="AF2402" s="3">
        <v>2.3225241016652061</v>
      </c>
      <c r="AG2402" s="3">
        <v>3.8446846038487754</v>
      </c>
      <c r="AH2402" s="1">
        <v>6309</v>
      </c>
      <c r="AI2402" s="1" t="b">
        <v>1</v>
      </c>
    </row>
    <row r="2403" spans="1:35" x14ac:dyDescent="0.25">
      <c r="A2403" s="1">
        <v>3</v>
      </c>
      <c r="B2403" s="1">
        <v>12</v>
      </c>
      <c r="C2403" s="1">
        <v>2020</v>
      </c>
      <c r="G2403" s="1" t="s">
        <v>39</v>
      </c>
      <c r="H2403" s="2">
        <v>25</v>
      </c>
      <c r="I2403" s="1">
        <v>72</v>
      </c>
      <c r="V2403" s="1">
        <v>91</v>
      </c>
      <c r="X2403" s="1">
        <v>84</v>
      </c>
      <c r="AA2403" s="1">
        <v>9</v>
      </c>
      <c r="AB2403" s="1">
        <v>8</v>
      </c>
      <c r="AC2403" s="1">
        <v>3301</v>
      </c>
      <c r="AF2403" s="3">
        <v>2.88</v>
      </c>
      <c r="AG2403" s="3">
        <v>3.3049547547150664</v>
      </c>
      <c r="AH2403" s="1">
        <v>6309</v>
      </c>
      <c r="AI2403" s="1" t="b">
        <v>1</v>
      </c>
    </row>
    <row r="2404" spans="1:35" x14ac:dyDescent="0.25">
      <c r="A2404" s="1">
        <v>3</v>
      </c>
      <c r="B2404" s="1">
        <v>12</v>
      </c>
      <c r="C2404" s="1">
        <v>2020</v>
      </c>
      <c r="G2404" s="1" t="s">
        <v>39</v>
      </c>
      <c r="H2404" s="2">
        <v>22.84</v>
      </c>
      <c r="I2404" s="1">
        <v>65</v>
      </c>
      <c r="V2404" s="1">
        <v>88</v>
      </c>
      <c r="X2404" s="1">
        <v>77</v>
      </c>
      <c r="AA2404" s="1">
        <v>7</v>
      </c>
      <c r="AB2404" s="1">
        <v>9</v>
      </c>
      <c r="AC2404" s="1">
        <v>2753</v>
      </c>
      <c r="AF2404" s="3">
        <v>2.8458844133099825</v>
      </c>
      <c r="AG2404" s="3">
        <v>3.1395688583776464</v>
      </c>
      <c r="AH2404" s="1">
        <v>6309</v>
      </c>
      <c r="AI2404" s="1" t="b">
        <v>1</v>
      </c>
    </row>
    <row r="2405" spans="1:35" x14ac:dyDescent="0.25">
      <c r="A2405" s="1">
        <v>3</v>
      </c>
      <c r="B2405" s="1">
        <v>12</v>
      </c>
      <c r="C2405" s="1">
        <v>2020</v>
      </c>
      <c r="G2405" s="1" t="s">
        <v>39</v>
      </c>
      <c r="H2405" s="2">
        <v>22.43</v>
      </c>
      <c r="I2405" s="1">
        <v>59</v>
      </c>
      <c r="V2405" s="1">
        <v>77</v>
      </c>
      <c r="X2405" s="1">
        <v>68</v>
      </c>
      <c r="AA2405" s="1">
        <v>9</v>
      </c>
      <c r="AB2405" s="1">
        <v>7</v>
      </c>
      <c r="AC2405" s="1">
        <v>2517</v>
      </c>
      <c r="AF2405" s="3">
        <v>2.6304057066428892</v>
      </c>
      <c r="AG2405" s="3">
        <v>3.3539590318038393</v>
      </c>
      <c r="AH2405" s="1">
        <v>6309</v>
      </c>
      <c r="AI2405" s="1" t="b">
        <v>1</v>
      </c>
    </row>
    <row r="2406" spans="1:35" x14ac:dyDescent="0.25">
      <c r="A2406" s="1">
        <v>3</v>
      </c>
      <c r="B2406" s="1">
        <v>12</v>
      </c>
      <c r="C2406" s="1">
        <v>2020</v>
      </c>
      <c r="G2406" s="1" t="s">
        <v>39</v>
      </c>
      <c r="H2406" s="2">
        <v>26.59</v>
      </c>
      <c r="I2406" s="1">
        <v>66</v>
      </c>
      <c r="V2406" s="1">
        <v>87</v>
      </c>
      <c r="X2406" s="1">
        <v>79</v>
      </c>
      <c r="AA2406" s="1">
        <v>6</v>
      </c>
      <c r="AB2406" s="1">
        <v>6</v>
      </c>
      <c r="AC2406" s="1">
        <v>3439</v>
      </c>
      <c r="AF2406" s="3">
        <v>2.4821361414065439</v>
      </c>
      <c r="AG2406" s="3">
        <v>4.0038448298045246</v>
      </c>
      <c r="AH2406" s="1">
        <v>6309</v>
      </c>
      <c r="AI2406" s="1" t="b">
        <v>1</v>
      </c>
    </row>
    <row r="2407" spans="1:35" x14ac:dyDescent="0.25">
      <c r="A2407" s="1">
        <v>3</v>
      </c>
      <c r="B2407" s="1">
        <v>12</v>
      </c>
      <c r="C2407" s="1">
        <v>2020</v>
      </c>
      <c r="G2407" s="1" t="s">
        <v>39</v>
      </c>
      <c r="H2407" s="2">
        <v>27.28</v>
      </c>
      <c r="I2407" s="1">
        <v>75</v>
      </c>
      <c r="V2407" s="1">
        <v>89</v>
      </c>
      <c r="X2407" s="1">
        <v>78</v>
      </c>
      <c r="AA2407" s="1">
        <v>5</v>
      </c>
      <c r="AB2407" s="1">
        <v>8</v>
      </c>
      <c r="AC2407" s="1">
        <v>2981</v>
      </c>
      <c r="AF2407" s="3">
        <v>2.7492668621700878</v>
      </c>
      <c r="AG2407" s="3">
        <v>3.6802232000226329</v>
      </c>
      <c r="AH2407" s="1">
        <v>6309</v>
      </c>
      <c r="AI2407" s="1" t="b">
        <v>1</v>
      </c>
    </row>
    <row r="2408" spans="1:35" x14ac:dyDescent="0.25">
      <c r="A2408" s="1">
        <v>3</v>
      </c>
      <c r="B2408" s="1">
        <v>12</v>
      </c>
      <c r="C2408" s="1">
        <v>2020</v>
      </c>
      <c r="G2408" s="1" t="s">
        <v>39</v>
      </c>
      <c r="H2408" s="2">
        <v>22.2</v>
      </c>
      <c r="I2408" s="1">
        <v>59</v>
      </c>
      <c r="V2408" s="1">
        <v>79</v>
      </c>
      <c r="X2408" s="1">
        <v>71</v>
      </c>
      <c r="AA2408" s="1">
        <v>6</v>
      </c>
      <c r="AB2408" s="1">
        <v>10</v>
      </c>
      <c r="AC2408" s="1">
        <v>3465</v>
      </c>
      <c r="AF2408" s="3">
        <v>2.6576576576576576</v>
      </c>
      <c r="AG2408" s="3">
        <v>3.2957028300189588</v>
      </c>
      <c r="AH2408" s="1">
        <v>6309</v>
      </c>
      <c r="AI2408" s="1" t="b">
        <v>1</v>
      </c>
    </row>
    <row r="2409" spans="1:35" x14ac:dyDescent="0.25">
      <c r="A2409" s="1">
        <v>3</v>
      </c>
      <c r="B2409" s="1">
        <v>12</v>
      </c>
      <c r="C2409" s="1">
        <v>2020</v>
      </c>
      <c r="G2409" s="1" t="s">
        <v>39</v>
      </c>
      <c r="H2409" s="2">
        <v>28.68</v>
      </c>
      <c r="I2409" s="1">
        <v>78</v>
      </c>
      <c r="V2409" s="1">
        <v>101</v>
      </c>
      <c r="X2409" s="1">
        <v>91</v>
      </c>
      <c r="AA2409" s="1">
        <v>8</v>
      </c>
      <c r="AB2409" s="1">
        <v>9</v>
      </c>
      <c r="AC2409" s="1">
        <v>3702</v>
      </c>
      <c r="AF2409" s="3">
        <v>2.7196652719665271</v>
      </c>
      <c r="AG2409" s="3">
        <v>3.8529196057197024</v>
      </c>
      <c r="AH2409" s="1">
        <v>6309</v>
      </c>
      <c r="AI2409" s="1" t="b">
        <v>1</v>
      </c>
    </row>
    <row r="2410" spans="1:35" x14ac:dyDescent="0.25">
      <c r="A2410" s="1">
        <v>3</v>
      </c>
      <c r="B2410" s="1">
        <v>12</v>
      </c>
      <c r="C2410" s="1">
        <v>2020</v>
      </c>
      <c r="G2410" s="1" t="s">
        <v>39</v>
      </c>
      <c r="H2410" s="2">
        <v>13.41</v>
      </c>
      <c r="I2410" s="1">
        <v>30</v>
      </c>
      <c r="U2410" s="1">
        <v>39</v>
      </c>
      <c r="X2410" s="1">
        <v>33</v>
      </c>
      <c r="AA2410" s="1">
        <v>3</v>
      </c>
      <c r="AB2410" s="1">
        <v>7</v>
      </c>
      <c r="AC2410" s="1">
        <v>2286</v>
      </c>
      <c r="AF2410" s="3">
        <v>2.2371364653243848</v>
      </c>
      <c r="AG2410" s="3">
        <v>2.7511081763835148</v>
      </c>
      <c r="AH2410" s="1">
        <v>6309</v>
      </c>
      <c r="AI2410" s="1" t="b">
        <v>1</v>
      </c>
    </row>
    <row r="2411" spans="1:35" x14ac:dyDescent="0.25">
      <c r="A2411" s="1">
        <v>3</v>
      </c>
      <c r="B2411" s="1">
        <v>12</v>
      </c>
      <c r="C2411" s="1">
        <v>2020</v>
      </c>
      <c r="G2411" s="1" t="s">
        <v>39</v>
      </c>
      <c r="H2411" s="2">
        <v>23.13</v>
      </c>
      <c r="I2411" s="1">
        <v>65</v>
      </c>
      <c r="V2411" s="1">
        <v>78</v>
      </c>
      <c r="X2411" s="1">
        <v>74</v>
      </c>
      <c r="AA2411" s="1">
        <v>7</v>
      </c>
      <c r="AB2411" s="1">
        <v>5</v>
      </c>
      <c r="AC2411" s="1">
        <v>2873</v>
      </c>
      <c r="AF2411" s="3">
        <v>2.8102031993082579</v>
      </c>
      <c r="AG2411" s="3">
        <v>3.2076370344170422</v>
      </c>
      <c r="AH2411" s="1">
        <v>6309</v>
      </c>
      <c r="AI2411" s="1" t="b">
        <v>1</v>
      </c>
    </row>
    <row r="2412" spans="1:35" x14ac:dyDescent="0.25">
      <c r="A2412" s="1">
        <v>3</v>
      </c>
      <c r="B2412" s="1">
        <v>12</v>
      </c>
      <c r="C2412" s="1">
        <v>2020</v>
      </c>
      <c r="G2412" s="1" t="s">
        <v>39</v>
      </c>
      <c r="H2412" s="2">
        <v>29.36</v>
      </c>
      <c r="I2412" s="1">
        <v>67</v>
      </c>
      <c r="V2412" s="1">
        <v>91</v>
      </c>
      <c r="X2412" s="1">
        <v>85</v>
      </c>
      <c r="AA2412" s="1">
        <v>7</v>
      </c>
      <c r="AB2412" s="1">
        <v>9</v>
      </c>
      <c r="AC2412" s="1">
        <v>3708</v>
      </c>
      <c r="AF2412" s="3">
        <v>2.2820163487738419</v>
      </c>
      <c r="AG2412" s="3">
        <v>4.6677811345306104</v>
      </c>
      <c r="AH2412" s="1">
        <v>6309</v>
      </c>
      <c r="AI2412" s="1" t="b">
        <v>1</v>
      </c>
    </row>
    <row r="2413" spans="1:35" x14ac:dyDescent="0.25">
      <c r="A2413" s="1">
        <v>3</v>
      </c>
      <c r="B2413" s="1">
        <v>12</v>
      </c>
      <c r="C2413" s="1">
        <v>2020</v>
      </c>
      <c r="G2413" s="1" t="s">
        <v>39</v>
      </c>
      <c r="H2413" s="2">
        <v>28.3</v>
      </c>
      <c r="I2413" s="1">
        <v>78</v>
      </c>
      <c r="V2413" s="1">
        <v>92</v>
      </c>
      <c r="X2413" s="1">
        <v>80</v>
      </c>
      <c r="AA2413" s="1">
        <v>7</v>
      </c>
      <c r="AB2413" s="1">
        <v>6</v>
      </c>
      <c r="AC2413" s="1">
        <v>3358</v>
      </c>
      <c r="AF2413" s="3">
        <v>2.7561837455830389</v>
      </c>
      <c r="AG2413" s="3">
        <v>3.7665378645527596</v>
      </c>
      <c r="AH2413" s="1">
        <v>6309</v>
      </c>
      <c r="AI2413" s="1" t="b">
        <v>1</v>
      </c>
    </row>
    <row r="2414" spans="1:35" x14ac:dyDescent="0.25">
      <c r="A2414" s="1">
        <v>26</v>
      </c>
      <c r="B2414" s="1">
        <v>10</v>
      </c>
      <c r="C2414" s="1">
        <v>2019</v>
      </c>
      <c r="G2414" s="1" t="s">
        <v>40</v>
      </c>
      <c r="H2414" s="2">
        <v>67.569999999999993</v>
      </c>
      <c r="I2414" s="1">
        <v>138</v>
      </c>
      <c r="U2414" s="1">
        <v>200</v>
      </c>
      <c r="X2414" s="1">
        <v>177</v>
      </c>
      <c r="AA2414" s="1">
        <v>14</v>
      </c>
      <c r="AB2414" s="1">
        <v>19</v>
      </c>
      <c r="AC2414" s="1">
        <v>7918</v>
      </c>
      <c r="AF2414" s="3">
        <v>2.0423264762468554</v>
      </c>
      <c r="AG2414" s="3">
        <v>9.3476528593526105</v>
      </c>
      <c r="AH2414" s="1">
        <v>6251</v>
      </c>
      <c r="AI2414" s="1" t="b">
        <v>1</v>
      </c>
    </row>
    <row r="2415" spans="1:35" x14ac:dyDescent="0.25">
      <c r="A2415" s="1">
        <v>28</v>
      </c>
      <c r="B2415" s="1">
        <v>10</v>
      </c>
      <c r="C2415" s="1">
        <v>2019</v>
      </c>
      <c r="G2415" s="1" t="s">
        <v>40</v>
      </c>
      <c r="H2415" s="2">
        <v>83.96</v>
      </c>
      <c r="I2415" s="1">
        <v>190</v>
      </c>
      <c r="U2415" s="1">
        <v>283</v>
      </c>
      <c r="X2415" s="1">
        <v>244</v>
      </c>
      <c r="AA2415" s="1">
        <v>20</v>
      </c>
      <c r="AB2415" s="1">
        <v>10</v>
      </c>
      <c r="AC2415" s="1">
        <v>9350</v>
      </c>
      <c r="AF2415" s="3">
        <v>2.2629823725583611</v>
      </c>
      <c r="AG2415" s="3">
        <v>9.8213125001859609</v>
      </c>
      <c r="AH2415" s="1">
        <v>6252</v>
      </c>
      <c r="AI2415" s="1" t="b">
        <v>1</v>
      </c>
    </row>
    <row r="2416" spans="1:35" x14ac:dyDescent="0.25">
      <c r="A2416" s="1">
        <v>28</v>
      </c>
      <c r="B2416" s="1">
        <v>10</v>
      </c>
      <c r="C2416" s="1">
        <v>2019</v>
      </c>
      <c r="G2416" s="1" t="s">
        <v>40</v>
      </c>
      <c r="H2416" s="2">
        <v>75.12</v>
      </c>
      <c r="I2416" s="1">
        <v>160</v>
      </c>
      <c r="U2416" s="1">
        <v>223</v>
      </c>
      <c r="X2416" s="1">
        <v>190</v>
      </c>
      <c r="AA2416" s="1">
        <v>16</v>
      </c>
      <c r="AB2416" s="1">
        <v>13</v>
      </c>
      <c r="AC2416" s="1">
        <v>8427</v>
      </c>
      <c r="AF2416" s="3">
        <v>2.1299254526091587</v>
      </c>
      <c r="AG2416" s="3">
        <v>9.6530488079087586</v>
      </c>
      <c r="AH2416" s="1">
        <v>6252</v>
      </c>
      <c r="AI2416" s="1" t="b">
        <v>1</v>
      </c>
    </row>
    <row r="2417" spans="1:35" x14ac:dyDescent="0.25">
      <c r="A2417" s="1">
        <v>28</v>
      </c>
      <c r="B2417" s="1">
        <v>10</v>
      </c>
      <c r="C2417" s="1">
        <v>2019</v>
      </c>
      <c r="G2417" s="1" t="s">
        <v>40</v>
      </c>
      <c r="H2417" s="2">
        <v>72.540000000000006</v>
      </c>
      <c r="I2417" s="1">
        <v>144</v>
      </c>
      <c r="U2417" s="1">
        <v>204</v>
      </c>
      <c r="X2417" s="1">
        <v>182</v>
      </c>
      <c r="AA2417" s="1">
        <v>15</v>
      </c>
      <c r="AB2417" s="1">
        <v>13</v>
      </c>
      <c r="AC2417" s="1">
        <v>7896</v>
      </c>
      <c r="AF2417" s="3">
        <v>1.9851116625310172</v>
      </c>
      <c r="AG2417" s="3">
        <v>10.106932029486797</v>
      </c>
      <c r="AH2417" s="1">
        <v>6252</v>
      </c>
      <c r="AI2417" s="1" t="b">
        <v>1</v>
      </c>
    </row>
    <row r="2418" spans="1:35" x14ac:dyDescent="0.25">
      <c r="A2418" s="1">
        <v>28</v>
      </c>
      <c r="B2418" s="1">
        <v>10</v>
      </c>
      <c r="C2418" s="1">
        <v>2019</v>
      </c>
      <c r="G2418" s="1" t="s">
        <v>40</v>
      </c>
      <c r="H2418" s="2">
        <v>79.069999999999993</v>
      </c>
      <c r="I2418" s="1">
        <v>172</v>
      </c>
      <c r="U2418" s="1">
        <v>236</v>
      </c>
      <c r="X2418" s="1">
        <v>209</v>
      </c>
      <c r="AA2418" s="1">
        <v>14</v>
      </c>
      <c r="AB2418" s="1">
        <v>15</v>
      </c>
      <c r="AC2418" s="1">
        <v>8932</v>
      </c>
      <c r="AF2418" s="3">
        <v>2.1752877197420011</v>
      </c>
      <c r="AG2418" s="3">
        <v>9.796963929127557</v>
      </c>
      <c r="AH2418" s="1">
        <v>6252</v>
      </c>
      <c r="AI2418" s="1" t="b">
        <v>1</v>
      </c>
    </row>
    <row r="2419" spans="1:35" x14ac:dyDescent="0.25">
      <c r="A2419" s="1">
        <v>28</v>
      </c>
      <c r="B2419" s="1">
        <v>10</v>
      </c>
      <c r="C2419" s="1">
        <v>2019</v>
      </c>
      <c r="G2419" s="1" t="s">
        <v>40</v>
      </c>
      <c r="H2419" s="2">
        <v>87.15</v>
      </c>
      <c r="I2419" s="1">
        <v>214</v>
      </c>
      <c r="U2419" s="1">
        <v>270</v>
      </c>
      <c r="X2419" s="1">
        <v>246</v>
      </c>
      <c r="AA2419" s="1">
        <v>11</v>
      </c>
      <c r="AB2419" s="1">
        <v>4</v>
      </c>
      <c r="AC2419" s="1">
        <v>9763</v>
      </c>
      <c r="AF2419" s="3">
        <v>2.4555364314400459</v>
      </c>
      <c r="AG2419" s="3">
        <v>9.2905364618440291</v>
      </c>
      <c r="AH2419" s="1">
        <v>6252</v>
      </c>
      <c r="AI2419" s="1" t="b">
        <v>1</v>
      </c>
    </row>
    <row r="2420" spans="1:35" x14ac:dyDescent="0.25">
      <c r="A2420" s="1">
        <v>29</v>
      </c>
      <c r="B2420" s="1">
        <v>10</v>
      </c>
      <c r="C2420" s="1">
        <v>2019</v>
      </c>
      <c r="G2420" s="1" t="s">
        <v>40</v>
      </c>
      <c r="H2420" s="2">
        <v>82.85</v>
      </c>
      <c r="I2420" s="1">
        <v>157</v>
      </c>
      <c r="U2420" s="1">
        <v>226</v>
      </c>
      <c r="X2420" s="1">
        <v>199</v>
      </c>
      <c r="AA2420" s="1">
        <v>14</v>
      </c>
      <c r="AB2420" s="1">
        <v>15</v>
      </c>
      <c r="AC2420" s="1">
        <v>9154</v>
      </c>
      <c r="AF2420" s="3">
        <v>1.8949909474954738</v>
      </c>
      <c r="AG2420" s="3">
        <v>11.619772340997468</v>
      </c>
      <c r="AH2420" s="1">
        <v>6252</v>
      </c>
      <c r="AI2420" s="1" t="b">
        <v>1</v>
      </c>
    </row>
    <row r="2421" spans="1:35" x14ac:dyDescent="0.25">
      <c r="A2421" s="1">
        <v>29</v>
      </c>
      <c r="B2421" s="1">
        <v>10</v>
      </c>
      <c r="C2421" s="1">
        <v>2019</v>
      </c>
      <c r="G2421" s="1" t="s">
        <v>40</v>
      </c>
      <c r="H2421" s="2">
        <v>82.42</v>
      </c>
      <c r="I2421" s="1">
        <v>189</v>
      </c>
      <c r="U2421" s="1">
        <v>230</v>
      </c>
      <c r="X2421" s="1">
        <v>213</v>
      </c>
      <c r="AA2421" s="1">
        <v>9</v>
      </c>
      <c r="AB2421" s="1">
        <v>5</v>
      </c>
      <c r="AC2421" s="1">
        <v>8555</v>
      </c>
      <c r="AF2421" s="3">
        <v>2.2931327347731134</v>
      </c>
      <c r="AG2421" s="3">
        <v>9.56739342506126</v>
      </c>
      <c r="AH2421" s="1">
        <v>6252</v>
      </c>
      <c r="AI2421" s="1" t="b">
        <v>1</v>
      </c>
    </row>
    <row r="2422" spans="1:35" x14ac:dyDescent="0.25">
      <c r="A2422" s="1">
        <v>29</v>
      </c>
      <c r="B2422" s="1">
        <v>10</v>
      </c>
      <c r="C2422" s="1">
        <v>2019</v>
      </c>
      <c r="G2422" s="1" t="s">
        <v>40</v>
      </c>
      <c r="H2422" s="2">
        <v>73.33</v>
      </c>
      <c r="I2422" s="1">
        <v>171</v>
      </c>
      <c r="U2422" s="1">
        <v>224</v>
      </c>
      <c r="X2422" s="1">
        <v>199</v>
      </c>
      <c r="AA2422" s="1">
        <v>10</v>
      </c>
      <c r="AB2422" s="1">
        <v>7</v>
      </c>
      <c r="AC2422" s="1">
        <v>8100</v>
      </c>
      <c r="AF2422" s="3">
        <v>2.3319241783717444</v>
      </c>
      <c r="AG2422" s="3">
        <v>8.6692744925444281</v>
      </c>
      <c r="AH2422" s="1">
        <v>6252</v>
      </c>
      <c r="AI2422" s="1" t="b">
        <v>1</v>
      </c>
    </row>
    <row r="2423" spans="1:35" x14ac:dyDescent="0.25">
      <c r="A2423" s="1">
        <v>29</v>
      </c>
      <c r="B2423" s="1">
        <v>10</v>
      </c>
      <c r="C2423" s="1">
        <v>2019</v>
      </c>
      <c r="G2423" s="1" t="s">
        <v>40</v>
      </c>
      <c r="H2423" s="2">
        <v>73.94</v>
      </c>
      <c r="I2423" s="1">
        <v>156</v>
      </c>
      <c r="U2423" s="1">
        <v>221</v>
      </c>
      <c r="X2423" s="1">
        <v>194</v>
      </c>
      <c r="AA2423" s="1">
        <v>15</v>
      </c>
      <c r="AB2423" s="1">
        <v>12</v>
      </c>
      <c r="AC2423" s="1">
        <v>8148</v>
      </c>
      <c r="AF2423" s="3">
        <v>2.1098187719772787</v>
      </c>
      <c r="AG2423" s="3">
        <v>9.63763468332127</v>
      </c>
      <c r="AH2423" s="1">
        <v>6252</v>
      </c>
      <c r="AI2423" s="1" t="b">
        <v>1</v>
      </c>
    </row>
    <row r="2424" spans="1:35" x14ac:dyDescent="0.25">
      <c r="A2424" s="1">
        <v>29</v>
      </c>
      <c r="B2424" s="1">
        <v>10</v>
      </c>
      <c r="C2424" s="1">
        <v>2019</v>
      </c>
      <c r="G2424" s="1" t="s">
        <v>40</v>
      </c>
      <c r="H2424" s="2">
        <v>84.1</v>
      </c>
      <c r="I2424" s="1">
        <v>179</v>
      </c>
      <c r="U2424" s="1">
        <v>249</v>
      </c>
      <c r="X2424" s="1">
        <v>225</v>
      </c>
      <c r="AA2424" s="1">
        <v>15</v>
      </c>
      <c r="AB2424" s="1">
        <v>7</v>
      </c>
      <c r="AC2424" s="1">
        <v>9077</v>
      </c>
      <c r="AF2424" s="3">
        <v>2.1284185493460166</v>
      </c>
      <c r="AG2424" s="3">
        <v>10.454425253666228</v>
      </c>
      <c r="AH2424" s="1">
        <v>6252</v>
      </c>
      <c r="AI2424" s="1" t="b">
        <v>1</v>
      </c>
    </row>
    <row r="2425" spans="1:35" x14ac:dyDescent="0.25">
      <c r="A2425" s="1">
        <v>31</v>
      </c>
      <c r="B2425" s="1">
        <v>10</v>
      </c>
      <c r="C2425" s="1">
        <v>2019</v>
      </c>
      <c r="G2425" s="1" t="s">
        <v>40</v>
      </c>
      <c r="H2425" s="2">
        <v>83.07</v>
      </c>
      <c r="I2425" s="1">
        <v>156</v>
      </c>
      <c r="U2425" s="1">
        <v>215</v>
      </c>
      <c r="X2425" s="1">
        <v>189</v>
      </c>
      <c r="AA2425" s="1">
        <v>13</v>
      </c>
      <c r="AB2425" s="1">
        <v>10</v>
      </c>
      <c r="AC2425" s="1">
        <v>8516</v>
      </c>
      <c r="AF2425" s="3">
        <v>1.8779342723004697</v>
      </c>
      <c r="AG2425" s="3">
        <v>11.747097122898648</v>
      </c>
      <c r="AH2425" s="1">
        <v>6252</v>
      </c>
      <c r="AI2425" s="1" t="b">
        <v>1</v>
      </c>
    </row>
    <row r="2426" spans="1:35" x14ac:dyDescent="0.25">
      <c r="A2426" s="1">
        <v>1</v>
      </c>
      <c r="B2426" s="1">
        <v>11</v>
      </c>
      <c r="C2426" s="1">
        <v>2019</v>
      </c>
      <c r="G2426" s="1" t="s">
        <v>40</v>
      </c>
      <c r="H2426" s="2">
        <v>89.13</v>
      </c>
      <c r="I2426" s="1">
        <v>168</v>
      </c>
      <c r="U2426" s="1">
        <v>219</v>
      </c>
      <c r="X2426" s="1">
        <v>203</v>
      </c>
      <c r="AA2426" s="1">
        <v>13</v>
      </c>
      <c r="AB2426" s="1">
        <v>10</v>
      </c>
      <c r="AC2426" s="1">
        <v>8655</v>
      </c>
      <c r="AF2426" s="3">
        <v>1.8848872433524066</v>
      </c>
      <c r="AG2426" s="3">
        <v>12.295080013305402</v>
      </c>
      <c r="AH2426" s="1">
        <v>6252</v>
      </c>
      <c r="AI2426" s="1" t="b">
        <v>1</v>
      </c>
    </row>
    <row r="2427" spans="1:35" x14ac:dyDescent="0.25">
      <c r="A2427" s="1">
        <v>2</v>
      </c>
      <c r="B2427" s="1">
        <v>11</v>
      </c>
      <c r="C2427" s="1">
        <v>2019</v>
      </c>
      <c r="G2427" s="1" t="s">
        <v>40</v>
      </c>
      <c r="H2427" s="2">
        <v>82.11</v>
      </c>
      <c r="I2427" s="1">
        <v>172</v>
      </c>
      <c r="U2427" s="1">
        <v>240</v>
      </c>
      <c r="X2427" s="1">
        <v>212</v>
      </c>
      <c r="AA2427" s="1">
        <v>14</v>
      </c>
      <c r="AB2427" s="1">
        <v>17</v>
      </c>
      <c r="AC2427" s="1">
        <v>8572</v>
      </c>
      <c r="AF2427" s="3">
        <v>2.0947509438558032</v>
      </c>
      <c r="AG2427" s="3">
        <v>10.445875412320769</v>
      </c>
      <c r="AH2427" s="1">
        <v>6252</v>
      </c>
      <c r="AI2427" s="1" t="b">
        <v>1</v>
      </c>
    </row>
    <row r="2428" spans="1:35" x14ac:dyDescent="0.25">
      <c r="A2428" s="1">
        <v>2</v>
      </c>
      <c r="B2428" s="1">
        <v>11</v>
      </c>
      <c r="C2428" s="1">
        <v>2019</v>
      </c>
      <c r="G2428" s="1" t="s">
        <v>40</v>
      </c>
      <c r="H2428" s="2">
        <v>75.680000000000007</v>
      </c>
      <c r="I2428" s="1">
        <v>166</v>
      </c>
      <c r="U2428" s="1">
        <v>222</v>
      </c>
      <c r="X2428" s="1">
        <v>202</v>
      </c>
      <c r="AA2428" s="1">
        <v>13</v>
      </c>
      <c r="AB2428" s="1">
        <v>7</v>
      </c>
      <c r="AC2428" s="1">
        <v>8016</v>
      </c>
      <c r="AF2428" s="3">
        <v>2.1934460887949259</v>
      </c>
      <c r="AG2428" s="3">
        <v>9.4223627862994697</v>
      </c>
      <c r="AH2428" s="1">
        <v>6252</v>
      </c>
      <c r="AI2428" s="1" t="b">
        <v>1</v>
      </c>
    </row>
    <row r="2429" spans="1:35" x14ac:dyDescent="0.25">
      <c r="A2429" s="1">
        <v>2</v>
      </c>
      <c r="B2429" s="1">
        <v>11</v>
      </c>
      <c r="C2429" s="1">
        <v>2019</v>
      </c>
      <c r="G2429" s="1" t="s">
        <v>40</v>
      </c>
      <c r="H2429" s="2">
        <v>85.9</v>
      </c>
      <c r="I2429" s="1">
        <v>180</v>
      </c>
      <c r="U2429" s="1">
        <v>254</v>
      </c>
      <c r="X2429" s="1">
        <v>231</v>
      </c>
      <c r="AA2429" s="1">
        <v>16</v>
      </c>
      <c r="AB2429" s="1">
        <v>13</v>
      </c>
      <c r="AC2429" s="1">
        <v>9686</v>
      </c>
      <c r="AF2429" s="3">
        <v>2.0954598370197903</v>
      </c>
      <c r="AG2429" s="3">
        <v>10.77744644408423</v>
      </c>
      <c r="AH2429" s="1">
        <v>6252</v>
      </c>
      <c r="AI2429" s="1" t="b">
        <v>1</v>
      </c>
    </row>
    <row r="2430" spans="1:35" x14ac:dyDescent="0.25">
      <c r="A2430" s="1">
        <v>2</v>
      </c>
      <c r="B2430" s="1">
        <v>11</v>
      </c>
      <c r="C2430" s="1">
        <v>2019</v>
      </c>
      <c r="G2430" s="1" t="s">
        <v>40</v>
      </c>
      <c r="H2430" s="2">
        <v>81.34</v>
      </c>
      <c r="I2430" s="1">
        <v>186</v>
      </c>
      <c r="U2430" s="1">
        <v>254</v>
      </c>
      <c r="X2430" s="1">
        <v>227</v>
      </c>
      <c r="AA2430" s="1">
        <v>16</v>
      </c>
      <c r="AB2430" s="1">
        <v>15</v>
      </c>
      <c r="AC2430" s="1">
        <v>9266</v>
      </c>
      <c r="AF2430" s="3">
        <v>2.2866978116547823</v>
      </c>
      <c r="AG2430" s="3">
        <v>9.5061385881231217</v>
      </c>
      <c r="AH2430" s="1">
        <v>6252</v>
      </c>
      <c r="AI2430" s="1" t="b">
        <v>1</v>
      </c>
    </row>
    <row r="2431" spans="1:35" x14ac:dyDescent="0.25">
      <c r="A2431" s="1">
        <v>2</v>
      </c>
      <c r="B2431" s="1">
        <v>11</v>
      </c>
      <c r="C2431" s="1">
        <v>2019</v>
      </c>
      <c r="G2431" s="1" t="s">
        <v>40</v>
      </c>
      <c r="H2431" s="2">
        <v>78.64</v>
      </c>
      <c r="I2431" s="1">
        <v>158</v>
      </c>
      <c r="U2431" s="1">
        <v>204</v>
      </c>
      <c r="X2431" s="1">
        <v>184</v>
      </c>
      <c r="AA2431" s="1">
        <v>11</v>
      </c>
      <c r="AB2431" s="1">
        <v>14</v>
      </c>
      <c r="AC2431" s="1">
        <v>7827</v>
      </c>
      <c r="AF2431" s="3">
        <v>2.0091556459816888</v>
      </c>
      <c r="AG2431" s="3">
        <v>10.566639020964365</v>
      </c>
      <c r="AH2431" s="1">
        <v>6252</v>
      </c>
      <c r="AI2431" s="1" t="b">
        <v>1</v>
      </c>
    </row>
    <row r="2432" spans="1:35" x14ac:dyDescent="0.25">
      <c r="A2432" s="1">
        <v>3</v>
      </c>
      <c r="B2432" s="1">
        <v>11</v>
      </c>
      <c r="C2432" s="1">
        <v>2019</v>
      </c>
      <c r="G2432" s="1" t="s">
        <v>40</v>
      </c>
      <c r="H2432" s="2">
        <v>79.78</v>
      </c>
      <c r="I2432" s="1">
        <v>172</v>
      </c>
      <c r="U2432" s="1">
        <v>227</v>
      </c>
      <c r="X2432" s="1">
        <v>206</v>
      </c>
      <c r="AA2432" s="1">
        <v>14</v>
      </c>
      <c r="AB2432" s="1">
        <v>9</v>
      </c>
      <c r="AC2432" s="1">
        <v>8264</v>
      </c>
      <c r="AF2432" s="3">
        <v>2.1559288042115816</v>
      </c>
      <c r="AG2432" s="3">
        <v>9.9469837269959775</v>
      </c>
      <c r="AH2432" s="1">
        <v>6252</v>
      </c>
      <c r="AI2432" s="1" t="b">
        <v>1</v>
      </c>
    </row>
    <row r="2433" spans="1:35" x14ac:dyDescent="0.25">
      <c r="A2433" s="1">
        <v>3</v>
      </c>
      <c r="B2433" s="1">
        <v>11</v>
      </c>
      <c r="C2433" s="1">
        <v>2019</v>
      </c>
      <c r="G2433" s="1" t="s">
        <v>40</v>
      </c>
      <c r="H2433" s="2">
        <v>85.13</v>
      </c>
      <c r="I2433" s="1">
        <v>176</v>
      </c>
      <c r="U2433" s="1">
        <v>239</v>
      </c>
      <c r="X2433" s="1">
        <v>217</v>
      </c>
      <c r="AA2433" s="1">
        <v>16</v>
      </c>
      <c r="AB2433" s="1">
        <v>14</v>
      </c>
      <c r="AC2433" s="1">
        <v>9092</v>
      </c>
      <c r="AF2433" s="3">
        <v>2.0674262892047457</v>
      </c>
      <c r="AG2433" s="3">
        <v>10.854949540158424</v>
      </c>
      <c r="AH2433" s="1">
        <v>6252</v>
      </c>
      <c r="AI2433" s="1" t="b">
        <v>1</v>
      </c>
    </row>
    <row r="2434" spans="1:35" x14ac:dyDescent="0.25">
      <c r="A2434" s="1">
        <v>3</v>
      </c>
      <c r="B2434" s="1">
        <v>11</v>
      </c>
      <c r="C2434" s="1">
        <v>2019</v>
      </c>
      <c r="G2434" s="1" t="s">
        <v>40</v>
      </c>
      <c r="H2434" s="2">
        <v>82.93</v>
      </c>
      <c r="I2434" s="1">
        <v>147</v>
      </c>
      <c r="U2434" s="1">
        <v>214</v>
      </c>
      <c r="X2434" s="1">
        <v>187</v>
      </c>
      <c r="AA2434" s="1">
        <v>17</v>
      </c>
      <c r="AB2434" s="1">
        <v>12</v>
      </c>
      <c r="AC2434" s="1">
        <v>8597</v>
      </c>
      <c r="AF2434" s="3">
        <v>1.7725792837332688</v>
      </c>
      <c r="AG2434" s="3">
        <v>12.43061158454336</v>
      </c>
      <c r="AH2434" s="1">
        <v>6252</v>
      </c>
      <c r="AI2434" s="1" t="b">
        <v>1</v>
      </c>
    </row>
    <row r="2435" spans="1:35" x14ac:dyDescent="0.25">
      <c r="A2435" s="1">
        <v>3</v>
      </c>
      <c r="B2435" s="1">
        <v>11</v>
      </c>
      <c r="C2435" s="1">
        <v>2019</v>
      </c>
      <c r="G2435" s="1" t="s">
        <v>40</v>
      </c>
      <c r="H2435" s="2">
        <v>72.47</v>
      </c>
      <c r="I2435" s="1">
        <v>152</v>
      </c>
      <c r="U2435" s="1">
        <v>206</v>
      </c>
      <c r="X2435" s="1">
        <v>188</v>
      </c>
      <c r="AA2435" s="1">
        <v>17</v>
      </c>
      <c r="AB2435" s="1">
        <v>12</v>
      </c>
      <c r="AC2435" s="1">
        <v>8038</v>
      </c>
      <c r="AF2435" s="3">
        <v>2.0974196219125156</v>
      </c>
      <c r="AG2435" s="3">
        <v>9.5592860227325342</v>
      </c>
      <c r="AH2435" s="1">
        <v>6252</v>
      </c>
      <c r="AI2435" s="1" t="b">
        <v>1</v>
      </c>
    </row>
    <row r="2436" spans="1:35" x14ac:dyDescent="0.25">
      <c r="A2436" s="1">
        <v>3</v>
      </c>
      <c r="B2436" s="1">
        <v>11</v>
      </c>
      <c r="C2436" s="1">
        <v>2019</v>
      </c>
      <c r="G2436" s="1" t="s">
        <v>40</v>
      </c>
      <c r="H2436" s="2">
        <v>89.27</v>
      </c>
      <c r="I2436" s="1">
        <v>179</v>
      </c>
      <c r="U2436" s="1">
        <v>248</v>
      </c>
      <c r="X2436" s="1">
        <v>212</v>
      </c>
      <c r="AA2436" s="1">
        <v>15</v>
      </c>
      <c r="AB2436" s="1">
        <v>10</v>
      </c>
      <c r="AC2436" s="1">
        <v>9531</v>
      </c>
      <c r="AF2436" s="3">
        <v>2.0051529069116167</v>
      </c>
      <c r="AG2436" s="3">
        <v>11.570346848099785</v>
      </c>
      <c r="AH2436" s="1">
        <v>6252</v>
      </c>
      <c r="AI2436" s="1" t="b">
        <v>1</v>
      </c>
    </row>
    <row r="2437" spans="1:35" x14ac:dyDescent="0.25">
      <c r="A2437" s="1">
        <v>3</v>
      </c>
      <c r="B2437" s="1">
        <v>11</v>
      </c>
      <c r="C2437" s="1">
        <v>2019</v>
      </c>
      <c r="G2437" s="1" t="s">
        <v>40</v>
      </c>
      <c r="H2437" s="2">
        <v>78.84</v>
      </c>
      <c r="I2437" s="1">
        <v>155</v>
      </c>
      <c r="U2437" s="1">
        <v>234</v>
      </c>
      <c r="X2437" s="1">
        <v>202</v>
      </c>
      <c r="AA2437" s="1">
        <v>18</v>
      </c>
      <c r="AB2437" s="1">
        <v>12</v>
      </c>
      <c r="AC2437" s="1">
        <v>7813</v>
      </c>
      <c r="AF2437" s="3">
        <v>1.9660071029934043</v>
      </c>
      <c r="AG2437" s="3">
        <v>10.817765138524932</v>
      </c>
      <c r="AH2437" s="1">
        <v>6252</v>
      </c>
      <c r="AI2437" s="1" t="b">
        <v>1</v>
      </c>
    </row>
    <row r="2438" spans="1:35" x14ac:dyDescent="0.25">
      <c r="A2438" s="1">
        <v>3</v>
      </c>
      <c r="B2438" s="1">
        <v>11</v>
      </c>
      <c r="C2438" s="1">
        <v>2019</v>
      </c>
      <c r="G2438" s="1" t="s">
        <v>40</v>
      </c>
      <c r="H2438" s="2">
        <v>73.599999999999994</v>
      </c>
      <c r="I2438" s="1">
        <v>128</v>
      </c>
      <c r="U2438" s="1">
        <v>172</v>
      </c>
      <c r="X2438" s="1">
        <v>156</v>
      </c>
      <c r="AA2438" s="1">
        <v>10</v>
      </c>
      <c r="AB2438" s="1">
        <v>16</v>
      </c>
      <c r="AC2438" s="1">
        <v>7137</v>
      </c>
      <c r="AF2438" s="3">
        <v>1.7391304347826089</v>
      </c>
      <c r="AG2438" s="3">
        <v>11.654195918307726</v>
      </c>
      <c r="AH2438" s="1">
        <v>6252</v>
      </c>
      <c r="AI2438" s="1" t="b">
        <v>1</v>
      </c>
    </row>
    <row r="2439" spans="1:35" x14ac:dyDescent="0.25">
      <c r="A2439" s="1">
        <v>3</v>
      </c>
      <c r="B2439" s="1">
        <v>11</v>
      </c>
      <c r="C2439" s="1">
        <v>2019</v>
      </c>
      <c r="G2439" s="1" t="s">
        <v>40</v>
      </c>
      <c r="H2439" s="2">
        <v>79.739999999999995</v>
      </c>
      <c r="I2439" s="1">
        <v>159</v>
      </c>
      <c r="U2439" s="1">
        <v>231</v>
      </c>
      <c r="X2439" s="1">
        <v>202</v>
      </c>
      <c r="AA2439" s="1">
        <v>16</v>
      </c>
      <c r="AB2439" s="1">
        <v>8</v>
      </c>
      <c r="AC2439" s="1">
        <v>8460</v>
      </c>
      <c r="AF2439" s="3">
        <v>1.9939804364183598</v>
      </c>
      <c r="AG2439" s="3">
        <v>10.75108929384559</v>
      </c>
      <c r="AH2439" s="1">
        <v>6252</v>
      </c>
      <c r="AI2439" s="1" t="b">
        <v>1</v>
      </c>
    </row>
    <row r="2440" spans="1:35" x14ac:dyDescent="0.25">
      <c r="A2440" s="1">
        <v>4</v>
      </c>
      <c r="B2440" s="1">
        <v>11</v>
      </c>
      <c r="C2440" s="1">
        <v>2019</v>
      </c>
      <c r="G2440" s="1" t="s">
        <v>40</v>
      </c>
      <c r="H2440" s="2">
        <v>86.94</v>
      </c>
      <c r="I2440" s="1">
        <v>172</v>
      </c>
      <c r="U2440" s="1">
        <v>240</v>
      </c>
      <c r="X2440" s="1">
        <v>218</v>
      </c>
      <c r="AA2440" s="1">
        <v>14</v>
      </c>
      <c r="AB2440" s="1">
        <v>10</v>
      </c>
      <c r="AC2440" s="1">
        <v>9052</v>
      </c>
      <c r="AF2440" s="3">
        <v>1.9783758914193696</v>
      </c>
      <c r="AG2440" s="3">
        <v>11.511845015615581</v>
      </c>
      <c r="AH2440" s="1">
        <v>6253</v>
      </c>
      <c r="AI2440" s="1" t="b">
        <v>1</v>
      </c>
    </row>
    <row r="2441" spans="1:35" x14ac:dyDescent="0.25">
      <c r="A2441" s="1">
        <v>4</v>
      </c>
      <c r="B2441" s="1">
        <v>11</v>
      </c>
      <c r="C2441" s="1">
        <v>2019</v>
      </c>
      <c r="G2441" s="1" t="s">
        <v>40</v>
      </c>
      <c r="H2441" s="2">
        <v>81.34</v>
      </c>
      <c r="I2441" s="1">
        <v>154</v>
      </c>
      <c r="U2441" s="1">
        <v>209</v>
      </c>
      <c r="X2441" s="1">
        <v>186</v>
      </c>
      <c r="AA2441" s="1">
        <v>11</v>
      </c>
      <c r="AB2441" s="1">
        <v>12</v>
      </c>
      <c r="AC2441" s="1">
        <v>8438</v>
      </c>
      <c r="AF2441" s="3">
        <v>1.89328743545611</v>
      </c>
      <c r="AG2441" s="3">
        <v>11.481440112927926</v>
      </c>
      <c r="AH2441" s="1">
        <v>6253</v>
      </c>
      <c r="AI2441" s="1" t="b">
        <v>1</v>
      </c>
    </row>
    <row r="2442" spans="1:35" x14ac:dyDescent="0.25">
      <c r="A2442" s="1">
        <v>4</v>
      </c>
      <c r="B2442" s="1">
        <v>11</v>
      </c>
      <c r="C2442" s="1">
        <v>2019</v>
      </c>
      <c r="G2442" s="1" t="s">
        <v>40</v>
      </c>
      <c r="H2442" s="2">
        <v>95.4</v>
      </c>
      <c r="I2442" s="1">
        <v>212</v>
      </c>
      <c r="U2442" s="1">
        <v>287</v>
      </c>
      <c r="X2442" s="1">
        <v>256</v>
      </c>
      <c r="AA2442" s="1">
        <v>14</v>
      </c>
      <c r="AB2442" s="1">
        <v>12</v>
      </c>
      <c r="AC2442" s="1">
        <v>11147</v>
      </c>
      <c r="AF2442" s="3">
        <v>2.2222222222222219</v>
      </c>
      <c r="AG2442" s="3">
        <v>10.93695376225806</v>
      </c>
      <c r="AH2442" s="1">
        <v>6253</v>
      </c>
      <c r="AI2442" s="1" t="b">
        <v>1</v>
      </c>
    </row>
    <row r="2443" spans="1:35" x14ac:dyDescent="0.25">
      <c r="A2443" s="1">
        <v>4</v>
      </c>
      <c r="B2443" s="1">
        <v>11</v>
      </c>
      <c r="C2443" s="1">
        <v>2019</v>
      </c>
      <c r="G2443" s="1" t="s">
        <v>40</v>
      </c>
      <c r="H2443" s="2">
        <v>73.67</v>
      </c>
      <c r="I2443" s="1">
        <v>152</v>
      </c>
      <c r="U2443" s="1">
        <v>202</v>
      </c>
      <c r="X2443" s="1">
        <v>184</v>
      </c>
      <c r="AA2443" s="1">
        <v>11</v>
      </c>
      <c r="AB2443" s="1">
        <v>13</v>
      </c>
      <c r="AC2443" s="1">
        <v>7327</v>
      </c>
      <c r="AF2443" s="3">
        <v>2.0632550563322924</v>
      </c>
      <c r="AG2443" s="3">
        <v>9.8299328433962962</v>
      </c>
      <c r="AH2443" s="1">
        <v>6253</v>
      </c>
      <c r="AI2443" s="1" t="b">
        <v>1</v>
      </c>
    </row>
    <row r="2444" spans="1:35" x14ac:dyDescent="0.25">
      <c r="A2444" s="1">
        <v>4</v>
      </c>
      <c r="B2444" s="1">
        <v>11</v>
      </c>
      <c r="C2444" s="1">
        <v>2019</v>
      </c>
      <c r="G2444" s="1" t="s">
        <v>40</v>
      </c>
      <c r="H2444" s="2">
        <v>71.7</v>
      </c>
      <c r="I2444" s="1">
        <v>163</v>
      </c>
      <c r="U2444" s="1">
        <v>205</v>
      </c>
      <c r="X2444" s="1">
        <v>190</v>
      </c>
      <c r="AA2444" s="1">
        <v>12</v>
      </c>
      <c r="AB2444" s="1">
        <v>14</v>
      </c>
      <c r="AC2444" s="1">
        <v>7268</v>
      </c>
      <c r="AF2444" s="3">
        <v>2.2733612273361228</v>
      </c>
      <c r="AG2444" s="3">
        <v>8.7537665457859788</v>
      </c>
      <c r="AH2444" s="1">
        <v>6253</v>
      </c>
      <c r="AI2444" s="1" t="b">
        <v>1</v>
      </c>
    </row>
    <row r="2445" spans="1:35" x14ac:dyDescent="0.25">
      <c r="A2445" s="1">
        <v>5</v>
      </c>
      <c r="B2445" s="1">
        <v>11</v>
      </c>
      <c r="C2445" s="1">
        <v>2019</v>
      </c>
      <c r="G2445" s="1" t="s">
        <v>40</v>
      </c>
      <c r="H2445" s="2">
        <v>82.54</v>
      </c>
      <c r="I2445" s="1">
        <v>161</v>
      </c>
      <c r="U2445" s="1">
        <v>229</v>
      </c>
      <c r="X2445" s="1">
        <v>208</v>
      </c>
      <c r="AA2445" s="1">
        <v>18</v>
      </c>
      <c r="AB2445" s="1">
        <v>14</v>
      </c>
      <c r="AC2445" s="1">
        <v>8268</v>
      </c>
      <c r="AF2445" s="3">
        <v>1.9505694208868425</v>
      </c>
      <c r="AG2445" s="3">
        <v>11.259100966054071</v>
      </c>
      <c r="AH2445" s="1">
        <v>6253</v>
      </c>
      <c r="AI2445" s="1" t="b">
        <v>1</v>
      </c>
    </row>
    <row r="2446" spans="1:35" x14ac:dyDescent="0.25">
      <c r="A2446" s="1">
        <v>6</v>
      </c>
      <c r="B2446" s="1">
        <v>11</v>
      </c>
      <c r="C2446" s="1">
        <v>2019</v>
      </c>
      <c r="G2446" s="1" t="s">
        <v>40</v>
      </c>
      <c r="H2446" s="2">
        <v>80.66</v>
      </c>
      <c r="I2446" s="1">
        <v>150</v>
      </c>
      <c r="U2446" s="1">
        <v>209</v>
      </c>
      <c r="X2446" s="1">
        <v>187</v>
      </c>
      <c r="AA2446" s="1">
        <v>14</v>
      </c>
      <c r="AB2446" s="1">
        <v>8</v>
      </c>
      <c r="AC2446" s="1">
        <v>8129</v>
      </c>
      <c r="AF2446" s="3">
        <v>1.8596578229605754</v>
      </c>
      <c r="AG2446" s="3">
        <v>11.620577488107731</v>
      </c>
      <c r="AH2446" s="1">
        <v>6253</v>
      </c>
      <c r="AI2446" s="1" t="b">
        <v>1</v>
      </c>
    </row>
    <row r="2447" spans="1:35" x14ac:dyDescent="0.25">
      <c r="A2447" s="1">
        <v>6</v>
      </c>
      <c r="B2447" s="1">
        <v>11</v>
      </c>
      <c r="C2447" s="1">
        <v>2019</v>
      </c>
      <c r="G2447" s="1" t="s">
        <v>40</v>
      </c>
      <c r="H2447" s="2">
        <v>88.7</v>
      </c>
      <c r="I2447" s="1">
        <v>182</v>
      </c>
      <c r="U2447" s="1">
        <v>244</v>
      </c>
      <c r="X2447" s="1">
        <v>216</v>
      </c>
      <c r="AA2447" s="1">
        <v>12</v>
      </c>
      <c r="AB2447" s="1">
        <v>10</v>
      </c>
      <c r="AC2447" s="1">
        <v>8775</v>
      </c>
      <c r="AF2447" s="3">
        <v>2.0518602029312287</v>
      </c>
      <c r="AG2447" s="3">
        <v>11.256380514920938</v>
      </c>
      <c r="AH2447" s="1">
        <v>6253</v>
      </c>
      <c r="AI2447" s="1" t="b">
        <v>1</v>
      </c>
    </row>
    <row r="2448" spans="1:35" x14ac:dyDescent="0.25">
      <c r="A2448" s="1">
        <v>6</v>
      </c>
      <c r="B2448" s="1">
        <v>11</v>
      </c>
      <c r="C2448" s="1">
        <v>2019</v>
      </c>
      <c r="G2448" s="1" t="s">
        <v>40</v>
      </c>
      <c r="H2448" s="2">
        <v>91.13</v>
      </c>
      <c r="I2448" s="1">
        <v>169</v>
      </c>
      <c r="U2448" s="1">
        <v>241</v>
      </c>
      <c r="X2448" s="1">
        <v>208</v>
      </c>
      <c r="AA2448" s="1">
        <v>16</v>
      </c>
      <c r="AB2448" s="1">
        <v>12</v>
      </c>
      <c r="AC2448" s="1">
        <v>9202</v>
      </c>
      <c r="AF2448" s="3">
        <v>1.8544935805991443</v>
      </c>
      <c r="AG2448" s="3">
        <v>12.692220980046553</v>
      </c>
      <c r="AH2448" s="1">
        <v>6253</v>
      </c>
      <c r="AI2448" s="1" t="b">
        <v>1</v>
      </c>
    </row>
    <row r="2449" spans="1:35" x14ac:dyDescent="0.25">
      <c r="A2449" s="1">
        <v>6</v>
      </c>
      <c r="B2449" s="1">
        <v>11</v>
      </c>
      <c r="C2449" s="1">
        <v>2019</v>
      </c>
      <c r="G2449" s="1" t="s">
        <v>40</v>
      </c>
      <c r="H2449" s="2">
        <v>77.61</v>
      </c>
      <c r="I2449" s="1">
        <v>162</v>
      </c>
      <c r="U2449" s="1">
        <v>216</v>
      </c>
      <c r="X2449" s="1">
        <v>191</v>
      </c>
      <c r="AA2449" s="1">
        <v>10</v>
      </c>
      <c r="AB2449" s="1">
        <v>9</v>
      </c>
      <c r="AC2449" s="1">
        <v>7739</v>
      </c>
      <c r="AF2449" s="3">
        <v>2.0873598763045997</v>
      </c>
      <c r="AG2449" s="3">
        <v>10.07731994722551</v>
      </c>
      <c r="AH2449" s="1">
        <v>6253</v>
      </c>
      <c r="AI2449" s="1" t="b">
        <v>1</v>
      </c>
    </row>
    <row r="2450" spans="1:35" x14ac:dyDescent="0.25">
      <c r="A2450" s="1">
        <v>6</v>
      </c>
      <c r="B2450" s="1">
        <v>11</v>
      </c>
      <c r="C2450" s="1">
        <v>2019</v>
      </c>
      <c r="G2450" s="1" t="s">
        <v>40</v>
      </c>
      <c r="H2450" s="2">
        <v>74.95</v>
      </c>
      <c r="I2450" s="1">
        <v>131</v>
      </c>
      <c r="U2450" s="1">
        <v>210</v>
      </c>
      <c r="X2450" s="1">
        <v>182</v>
      </c>
      <c r="AA2450" s="1">
        <v>21</v>
      </c>
      <c r="AB2450" s="1">
        <v>16</v>
      </c>
      <c r="AC2450" s="1">
        <v>8034</v>
      </c>
      <c r="AF2450" s="3">
        <v>1.7478318879252834</v>
      </c>
      <c r="AG2450" s="3">
        <v>11.744661049131002</v>
      </c>
      <c r="AH2450" s="1">
        <v>6253</v>
      </c>
      <c r="AI2450" s="1" t="b">
        <v>1</v>
      </c>
    </row>
    <row r="2451" spans="1:35" x14ac:dyDescent="0.25">
      <c r="A2451" s="1">
        <v>6</v>
      </c>
      <c r="B2451" s="1">
        <v>11</v>
      </c>
      <c r="C2451" s="1">
        <v>2019</v>
      </c>
      <c r="G2451" s="1" t="s">
        <v>40</v>
      </c>
      <c r="H2451" s="2">
        <v>89.06</v>
      </c>
      <c r="I2451" s="1">
        <v>189</v>
      </c>
      <c r="U2451" s="1">
        <v>241</v>
      </c>
      <c r="X2451" s="1">
        <v>221</v>
      </c>
      <c r="AA2451" s="1">
        <v>13</v>
      </c>
      <c r="AB2451" s="1">
        <v>7</v>
      </c>
      <c r="AC2451" s="1">
        <v>9512</v>
      </c>
      <c r="AF2451" s="3">
        <v>2.1221648326970581</v>
      </c>
      <c r="AG2451" s="3">
        <v>10.914372457468597</v>
      </c>
      <c r="AH2451" s="1">
        <v>6253</v>
      </c>
      <c r="AI2451" s="1" t="b">
        <v>1</v>
      </c>
    </row>
    <row r="2452" spans="1:35" x14ac:dyDescent="0.25">
      <c r="A2452" s="1">
        <v>6</v>
      </c>
      <c r="B2452" s="1">
        <v>11</v>
      </c>
      <c r="C2452" s="1">
        <v>2019</v>
      </c>
      <c r="G2452" s="1" t="s">
        <v>40</v>
      </c>
      <c r="H2452" s="2">
        <v>83.42</v>
      </c>
      <c r="I2452" s="1">
        <v>152</v>
      </c>
      <c r="U2452" s="1">
        <v>210</v>
      </c>
      <c r="X2452" s="1">
        <v>188</v>
      </c>
      <c r="AA2452" s="1">
        <v>14</v>
      </c>
      <c r="AB2452" s="1">
        <v>9</v>
      </c>
      <c r="AC2452" s="1">
        <v>8187</v>
      </c>
      <c r="AF2452" s="3">
        <v>1.8221050107887797</v>
      </c>
      <c r="AG2452" s="3">
        <v>12.142712918454034</v>
      </c>
      <c r="AH2452" s="1">
        <v>6253</v>
      </c>
      <c r="AI2452" s="1" t="b">
        <v>1</v>
      </c>
    </row>
    <row r="2453" spans="1:35" x14ac:dyDescent="0.25">
      <c r="A2453" s="1">
        <v>7</v>
      </c>
      <c r="B2453" s="1">
        <v>11</v>
      </c>
      <c r="C2453" s="1">
        <v>2019</v>
      </c>
      <c r="G2453" s="1" t="s">
        <v>40</v>
      </c>
      <c r="H2453" s="2">
        <v>80.09</v>
      </c>
      <c r="I2453" s="1">
        <v>179</v>
      </c>
      <c r="U2453" s="1">
        <v>241</v>
      </c>
      <c r="X2453" s="1">
        <v>215</v>
      </c>
      <c r="AA2453" s="1">
        <v>13</v>
      </c>
      <c r="AB2453" s="1">
        <v>11</v>
      </c>
      <c r="AC2453" s="1">
        <v>8166</v>
      </c>
      <c r="AF2453" s="3">
        <v>2.2349856411537021</v>
      </c>
      <c r="AG2453" s="3">
        <v>9.6212182909460982</v>
      </c>
      <c r="AH2453" s="1">
        <v>6253</v>
      </c>
      <c r="AI2453" s="1" t="b">
        <v>1</v>
      </c>
    </row>
    <row r="2454" spans="1:35" x14ac:dyDescent="0.25">
      <c r="A2454" s="1">
        <v>8</v>
      </c>
      <c r="B2454" s="1">
        <v>11</v>
      </c>
      <c r="C2454" s="1">
        <v>2019</v>
      </c>
      <c r="G2454" s="1" t="s">
        <v>40</v>
      </c>
      <c r="H2454" s="2">
        <v>81.84</v>
      </c>
      <c r="I2454" s="1">
        <v>193</v>
      </c>
      <c r="U2454" s="1">
        <v>235</v>
      </c>
      <c r="X2454" s="1">
        <v>220</v>
      </c>
      <c r="AA2454" s="1">
        <v>11</v>
      </c>
      <c r="AB2454" s="1">
        <v>7</v>
      </c>
      <c r="AC2454" s="1">
        <v>8652</v>
      </c>
      <c r="AF2454" s="3">
        <v>2.3582600195503418</v>
      </c>
      <c r="AG2454" s="3">
        <v>9.2572980413533212</v>
      </c>
      <c r="AH2454" s="1">
        <v>6253</v>
      </c>
      <c r="AI2454" s="1" t="b">
        <v>1</v>
      </c>
    </row>
    <row r="2455" spans="1:35" x14ac:dyDescent="0.25">
      <c r="A2455" s="1">
        <v>8</v>
      </c>
      <c r="B2455" s="1">
        <v>11</v>
      </c>
      <c r="C2455" s="1">
        <v>2019</v>
      </c>
      <c r="G2455" s="1" t="s">
        <v>40</v>
      </c>
      <c r="H2455" s="2">
        <v>85.5</v>
      </c>
      <c r="I2455" s="1">
        <v>191</v>
      </c>
      <c r="U2455" s="1">
        <v>248</v>
      </c>
      <c r="X2455" s="1">
        <v>223</v>
      </c>
      <c r="AA2455" s="1">
        <v>13</v>
      </c>
      <c r="AB2455" s="1">
        <v>8</v>
      </c>
      <c r="AC2455" s="1">
        <v>9245</v>
      </c>
      <c r="AF2455" s="3">
        <v>2.2339181286549707</v>
      </c>
      <c r="AG2455" s="3">
        <v>10.076484189284372</v>
      </c>
      <c r="AH2455" s="1">
        <v>6253</v>
      </c>
      <c r="AI2455" s="1" t="b">
        <v>1</v>
      </c>
    </row>
    <row r="2456" spans="1:35" x14ac:dyDescent="0.25">
      <c r="A2456" s="1">
        <v>8</v>
      </c>
      <c r="B2456" s="1">
        <v>11</v>
      </c>
      <c r="C2456" s="1">
        <v>2019</v>
      </c>
      <c r="G2456" s="1" t="s">
        <v>40</v>
      </c>
      <c r="H2456" s="2">
        <v>71.599999999999994</v>
      </c>
      <c r="I2456" s="1">
        <v>158</v>
      </c>
      <c r="U2456" s="1">
        <v>191</v>
      </c>
      <c r="X2456" s="1">
        <v>180</v>
      </c>
      <c r="AA2456" s="1">
        <v>8</v>
      </c>
      <c r="AB2456" s="1">
        <v>12</v>
      </c>
      <c r="AC2456" s="1">
        <v>7423</v>
      </c>
      <c r="AF2456" s="3">
        <v>2.2067039106145252</v>
      </c>
      <c r="AG2456" s="3">
        <v>9.0093830262001013</v>
      </c>
      <c r="AH2456" s="1">
        <v>6253</v>
      </c>
      <c r="AI2456" s="1" t="b">
        <v>1</v>
      </c>
    </row>
    <row r="2457" spans="1:35" x14ac:dyDescent="0.25">
      <c r="A2457" s="1">
        <v>8</v>
      </c>
      <c r="B2457" s="1">
        <v>11</v>
      </c>
      <c r="C2457" s="1">
        <v>2019</v>
      </c>
      <c r="G2457" s="1" t="s">
        <v>40</v>
      </c>
      <c r="H2457" s="2">
        <v>79.010000000000005</v>
      </c>
      <c r="I2457" s="1">
        <v>182</v>
      </c>
      <c r="U2457" s="1">
        <v>234</v>
      </c>
      <c r="X2457" s="1">
        <v>210</v>
      </c>
      <c r="AA2457" s="1">
        <v>13</v>
      </c>
      <c r="AB2457" s="1">
        <v>11</v>
      </c>
      <c r="AC2457" s="1">
        <v>8131</v>
      </c>
      <c r="AF2457" s="3">
        <v>2.3035058853309707</v>
      </c>
      <c r="AG2457" s="3">
        <v>9.2467287319211771</v>
      </c>
      <c r="AH2457" s="1">
        <v>6253</v>
      </c>
      <c r="AI2457" s="1" t="b">
        <v>1</v>
      </c>
    </row>
    <row r="2458" spans="1:35" x14ac:dyDescent="0.25">
      <c r="A2458" s="1">
        <v>8</v>
      </c>
      <c r="B2458" s="1">
        <v>11</v>
      </c>
      <c r="C2458" s="1">
        <v>2019</v>
      </c>
      <c r="G2458" s="1" t="s">
        <v>40</v>
      </c>
      <c r="H2458" s="2">
        <v>92.08</v>
      </c>
      <c r="I2458" s="1">
        <v>214</v>
      </c>
      <c r="U2458" s="1">
        <v>260</v>
      </c>
      <c r="X2458" s="1">
        <v>237</v>
      </c>
      <c r="AA2458" s="1">
        <v>10</v>
      </c>
      <c r="AB2458" s="1">
        <v>5</v>
      </c>
      <c r="AC2458" s="1">
        <v>9642</v>
      </c>
      <c r="AF2458" s="3">
        <v>2.324066029539531</v>
      </c>
      <c r="AG2458" s="3">
        <v>10.201575656437225</v>
      </c>
      <c r="AH2458" s="1">
        <v>6253</v>
      </c>
      <c r="AI2458" s="1" t="b">
        <v>1</v>
      </c>
    </row>
    <row r="2459" spans="1:35" x14ac:dyDescent="0.25">
      <c r="A2459" s="1">
        <v>9</v>
      </c>
      <c r="B2459" s="1">
        <v>11</v>
      </c>
      <c r="C2459" s="1">
        <v>2019</v>
      </c>
      <c r="G2459" s="1" t="s">
        <v>40</v>
      </c>
      <c r="H2459" s="2">
        <v>105.68</v>
      </c>
      <c r="I2459" s="1">
        <v>172</v>
      </c>
      <c r="U2459" s="1">
        <v>235</v>
      </c>
      <c r="X2459" s="1">
        <v>205</v>
      </c>
      <c r="AA2459" s="1">
        <v>15</v>
      </c>
      <c r="AB2459" s="1">
        <v>8</v>
      </c>
      <c r="AC2459" s="1">
        <v>10440</v>
      </c>
      <c r="AF2459" s="3">
        <v>1.627554882664648</v>
      </c>
      <c r="AG2459" s="3">
        <v>16.042029879948995</v>
      </c>
      <c r="AH2459" s="1">
        <v>6253</v>
      </c>
      <c r="AI2459" s="1" t="b">
        <v>1</v>
      </c>
    </row>
    <row r="2460" spans="1:35" x14ac:dyDescent="0.25">
      <c r="A2460" s="1">
        <v>9</v>
      </c>
      <c r="B2460" s="1">
        <v>11</v>
      </c>
      <c r="C2460" s="1">
        <v>2019</v>
      </c>
      <c r="G2460" s="1" t="s">
        <v>40</v>
      </c>
      <c r="H2460" s="2">
        <v>93.98</v>
      </c>
      <c r="I2460" s="1">
        <v>208</v>
      </c>
      <c r="U2460" s="1">
        <v>280</v>
      </c>
      <c r="X2460" s="1">
        <v>250</v>
      </c>
      <c r="AA2460" s="1">
        <v>16</v>
      </c>
      <c r="AB2460" s="1">
        <v>8</v>
      </c>
      <c r="AC2460" s="1">
        <v>9980</v>
      </c>
      <c r="AF2460" s="3">
        <v>2.21323685890615</v>
      </c>
      <c r="AG2460" s="3">
        <v>10.866680900282262</v>
      </c>
      <c r="AH2460" s="1">
        <v>6253</v>
      </c>
      <c r="AI2460" s="1" t="b">
        <v>1</v>
      </c>
    </row>
    <row r="2461" spans="1:35" x14ac:dyDescent="0.25">
      <c r="A2461" s="1">
        <v>9</v>
      </c>
      <c r="B2461" s="1">
        <v>11</v>
      </c>
      <c r="C2461" s="1">
        <v>2019</v>
      </c>
      <c r="G2461" s="1" t="s">
        <v>40</v>
      </c>
      <c r="H2461" s="2">
        <v>88.3</v>
      </c>
      <c r="I2461" s="1">
        <v>169</v>
      </c>
      <c r="U2461" s="1">
        <v>234</v>
      </c>
      <c r="X2461" s="1">
        <v>202</v>
      </c>
      <c r="AA2461" s="1">
        <v>13</v>
      </c>
      <c r="AB2461" s="1">
        <v>13</v>
      </c>
      <c r="AC2461" s="1">
        <v>9011</v>
      </c>
      <c r="AF2461" s="3">
        <v>1.9139297848244621</v>
      </c>
      <c r="AG2461" s="3">
        <v>12.029469946144829</v>
      </c>
      <c r="AH2461" s="1">
        <v>6253</v>
      </c>
      <c r="AI2461" s="1" t="b">
        <v>1</v>
      </c>
    </row>
    <row r="2462" spans="1:35" x14ac:dyDescent="0.25">
      <c r="A2462" s="1">
        <v>10</v>
      </c>
      <c r="B2462" s="1">
        <v>11</v>
      </c>
      <c r="C2462" s="1">
        <v>2019</v>
      </c>
      <c r="G2462" s="1" t="s">
        <v>40</v>
      </c>
      <c r="H2462" s="2">
        <v>78.8</v>
      </c>
      <c r="I2462" s="1">
        <v>168</v>
      </c>
      <c r="U2462" s="1">
        <v>218</v>
      </c>
      <c r="X2462" s="1">
        <v>203</v>
      </c>
      <c r="AA2462" s="1">
        <v>13</v>
      </c>
      <c r="AB2462" s="1">
        <v>13</v>
      </c>
      <c r="AC2462" s="1">
        <v>8142</v>
      </c>
      <c r="AF2462" s="3">
        <v>2.1319796954314723</v>
      </c>
      <c r="AG2462" s="3">
        <v>9.9720693016913611</v>
      </c>
      <c r="AH2462" s="1">
        <v>6253</v>
      </c>
      <c r="AI2462" s="1" t="b">
        <v>1</v>
      </c>
    </row>
    <row r="2463" spans="1:35" x14ac:dyDescent="0.25">
      <c r="A2463" s="1">
        <v>10</v>
      </c>
      <c r="B2463" s="1">
        <v>11</v>
      </c>
      <c r="C2463" s="1">
        <v>2019</v>
      </c>
      <c r="G2463" s="1" t="s">
        <v>40</v>
      </c>
      <c r="H2463" s="2">
        <v>76.16</v>
      </c>
      <c r="I2463" s="1">
        <v>181</v>
      </c>
      <c r="U2463" s="1">
        <v>252</v>
      </c>
      <c r="X2463" s="1">
        <v>230</v>
      </c>
      <c r="AA2463" s="1">
        <v>17</v>
      </c>
      <c r="AB2463" s="1">
        <v>13</v>
      </c>
      <c r="AC2463" s="1">
        <v>8122</v>
      </c>
      <c r="AF2463" s="3">
        <v>2.3765756302521011</v>
      </c>
      <c r="AG2463" s="3">
        <v>8.7348854758988317</v>
      </c>
      <c r="AH2463" s="1">
        <v>6253</v>
      </c>
      <c r="AI2463" s="1" t="b">
        <v>1</v>
      </c>
    </row>
    <row r="2464" spans="1:35" x14ac:dyDescent="0.25">
      <c r="A2464" s="1">
        <v>10</v>
      </c>
      <c r="B2464" s="1">
        <v>11</v>
      </c>
      <c r="C2464" s="1">
        <v>2019</v>
      </c>
      <c r="G2464" s="1" t="s">
        <v>40</v>
      </c>
      <c r="H2464" s="2">
        <v>80.67</v>
      </c>
      <c r="I2464" s="1">
        <v>178</v>
      </c>
      <c r="U2464" s="1">
        <v>249</v>
      </c>
      <c r="X2464" s="1">
        <v>226</v>
      </c>
      <c r="AA2464" s="1">
        <v>18</v>
      </c>
      <c r="AB2464" s="1">
        <v>7</v>
      </c>
      <c r="AC2464" s="1">
        <v>8718</v>
      </c>
      <c r="AF2464" s="3">
        <v>2.2065203917193505</v>
      </c>
      <c r="AG2464" s="3">
        <v>9.794685473147581</v>
      </c>
      <c r="AH2464" s="1">
        <v>6253</v>
      </c>
      <c r="AI2464" s="1" t="b">
        <v>1</v>
      </c>
    </row>
    <row r="2465" spans="1:35" x14ac:dyDescent="0.25">
      <c r="A2465" s="1">
        <v>10</v>
      </c>
      <c r="B2465" s="1">
        <v>11</v>
      </c>
      <c r="C2465" s="1">
        <v>2019</v>
      </c>
      <c r="G2465" s="1" t="s">
        <v>40</v>
      </c>
      <c r="H2465" s="2">
        <v>105.44</v>
      </c>
      <c r="I2465" s="1">
        <v>165</v>
      </c>
      <c r="U2465" s="1">
        <v>231</v>
      </c>
      <c r="X2465" s="1">
        <v>204</v>
      </c>
      <c r="AA2465" s="1">
        <v>16</v>
      </c>
      <c r="AB2465" s="1">
        <v>13</v>
      </c>
      <c r="AC2465" s="1">
        <v>11753</v>
      </c>
      <c r="AF2465" s="3">
        <v>1.5648710166919575</v>
      </c>
      <c r="AG2465" s="3">
        <v>16.658091034026643</v>
      </c>
      <c r="AH2465" s="1">
        <v>6253</v>
      </c>
      <c r="AI2465" s="1" t="b">
        <v>1</v>
      </c>
    </row>
    <row r="2466" spans="1:35" x14ac:dyDescent="0.25">
      <c r="A2466" s="1">
        <v>10</v>
      </c>
      <c r="B2466" s="1">
        <v>11</v>
      </c>
      <c r="C2466" s="1">
        <v>2019</v>
      </c>
      <c r="G2466" s="1" t="s">
        <v>40</v>
      </c>
      <c r="H2466" s="2">
        <v>76.650000000000006</v>
      </c>
      <c r="I2466" s="1">
        <v>173</v>
      </c>
      <c r="U2466" s="1">
        <v>232</v>
      </c>
      <c r="X2466" s="1">
        <v>207</v>
      </c>
      <c r="AA2466" s="1">
        <v>15</v>
      </c>
      <c r="AB2466" s="1">
        <v>13</v>
      </c>
      <c r="AC2466" s="1">
        <v>8096</v>
      </c>
      <c r="AF2466" s="3">
        <v>2.257012393998695</v>
      </c>
      <c r="AG2466" s="3">
        <v>9.2389914987742063</v>
      </c>
      <c r="AH2466" s="1">
        <v>6253</v>
      </c>
      <c r="AI2466" s="1" t="b">
        <v>1</v>
      </c>
    </row>
    <row r="2467" spans="1:35" x14ac:dyDescent="0.25">
      <c r="A2467" s="1">
        <v>10</v>
      </c>
      <c r="B2467" s="1">
        <v>11</v>
      </c>
      <c r="C2467" s="1">
        <v>2019</v>
      </c>
      <c r="G2467" s="1" t="s">
        <v>40</v>
      </c>
      <c r="H2467" s="2">
        <v>80.95</v>
      </c>
      <c r="I2467" s="1">
        <v>156</v>
      </c>
      <c r="U2467" s="1">
        <v>229</v>
      </c>
      <c r="X2467" s="1">
        <v>195</v>
      </c>
      <c r="AA2467" s="1">
        <v>14</v>
      </c>
      <c r="AB2467" s="1">
        <v>6</v>
      </c>
      <c r="AC2467" s="1">
        <v>8478</v>
      </c>
      <c r="AF2467" s="3">
        <v>1.9271155033971588</v>
      </c>
      <c r="AG2467" s="3">
        <v>11.242012190615279</v>
      </c>
      <c r="AH2467" s="1">
        <v>6253</v>
      </c>
      <c r="AI2467" s="1" t="b">
        <v>1</v>
      </c>
    </row>
    <row r="2468" spans="1:35" x14ac:dyDescent="0.25">
      <c r="A2468" s="1">
        <v>10</v>
      </c>
      <c r="B2468" s="1">
        <v>11</v>
      </c>
      <c r="C2468" s="1">
        <v>2019</v>
      </c>
      <c r="G2468" s="1" t="s">
        <v>40</v>
      </c>
      <c r="H2468" s="2">
        <v>98.1</v>
      </c>
      <c r="I2468" s="1">
        <v>226</v>
      </c>
      <c r="U2468" s="1">
        <v>290</v>
      </c>
      <c r="X2468" s="1">
        <v>266</v>
      </c>
      <c r="AA2468" s="1">
        <v>14</v>
      </c>
      <c r="AB2468" s="1">
        <v>5</v>
      </c>
      <c r="AC2468" s="1">
        <v>9588</v>
      </c>
      <c r="AF2468" s="3">
        <v>2.3037716615698267</v>
      </c>
      <c r="AG2468" s="3">
        <v>10.757933946598119</v>
      </c>
      <c r="AH2468" s="1">
        <v>6253</v>
      </c>
      <c r="AI2468" s="1" t="b">
        <v>1</v>
      </c>
    </row>
    <row r="2469" spans="1:35" x14ac:dyDescent="0.25">
      <c r="A2469" s="1">
        <v>10</v>
      </c>
      <c r="B2469" s="1">
        <v>11</v>
      </c>
      <c r="C2469" s="1">
        <v>2019</v>
      </c>
      <c r="G2469" s="1" t="s">
        <v>40</v>
      </c>
      <c r="H2469" s="2">
        <v>85.08</v>
      </c>
      <c r="I2469" s="1">
        <v>177</v>
      </c>
      <c r="U2469" s="1">
        <v>241</v>
      </c>
      <c r="X2469" s="1">
        <v>213</v>
      </c>
      <c r="AA2469" s="1">
        <v>14</v>
      </c>
      <c r="AB2469" s="1">
        <v>7</v>
      </c>
      <c r="AC2469" s="1">
        <v>8753</v>
      </c>
      <c r="AF2469" s="3">
        <v>2.0803949224259521</v>
      </c>
      <c r="AG2469" s="3">
        <v>10.782847217733371</v>
      </c>
      <c r="AH2469" s="1">
        <v>6253</v>
      </c>
      <c r="AI2469" s="1" t="b">
        <v>1</v>
      </c>
    </row>
    <row r="2470" spans="1:35" x14ac:dyDescent="0.25">
      <c r="A2470" s="1">
        <v>10</v>
      </c>
      <c r="B2470" s="1">
        <v>11</v>
      </c>
      <c r="C2470" s="1">
        <v>2019</v>
      </c>
      <c r="G2470" s="1" t="s">
        <v>40</v>
      </c>
      <c r="H2470" s="2">
        <v>78.86</v>
      </c>
      <c r="I2470" s="1">
        <v>164</v>
      </c>
      <c r="U2470" s="1">
        <v>213</v>
      </c>
      <c r="X2470" s="1">
        <v>193</v>
      </c>
      <c r="AA2470" s="1">
        <v>12</v>
      </c>
      <c r="AB2470" s="1">
        <v>11</v>
      </c>
      <c r="AC2470" s="1">
        <v>7755</v>
      </c>
      <c r="AF2470" s="3">
        <v>2.0796347958407306</v>
      </c>
      <c r="AG2470" s="3">
        <v>10.228516865718401</v>
      </c>
      <c r="AH2470" s="1">
        <v>6253</v>
      </c>
      <c r="AI2470" s="1" t="b">
        <v>1</v>
      </c>
    </row>
    <row r="2471" spans="1:35" x14ac:dyDescent="0.25">
      <c r="A2471" s="1">
        <v>11</v>
      </c>
      <c r="B2471" s="1">
        <v>11</v>
      </c>
      <c r="C2471" s="1">
        <v>2019</v>
      </c>
      <c r="G2471" s="1" t="s">
        <v>40</v>
      </c>
      <c r="H2471" s="2">
        <v>91.21</v>
      </c>
      <c r="I2471" s="1">
        <v>186</v>
      </c>
      <c r="U2471" s="1">
        <v>238</v>
      </c>
      <c r="X2471" s="1">
        <v>215</v>
      </c>
      <c r="AA2471" s="1">
        <v>11</v>
      </c>
      <c r="AB2471" s="1">
        <v>8</v>
      </c>
      <c r="AC2471" s="1">
        <v>8547</v>
      </c>
      <c r="AF2471" s="3">
        <v>2.0392500822278259</v>
      </c>
      <c r="AG2471" s="3">
        <v>11.5493948841575</v>
      </c>
      <c r="AH2471" s="1">
        <v>6254</v>
      </c>
      <c r="AI2471" s="1" t="b">
        <v>1</v>
      </c>
    </row>
    <row r="2472" spans="1:35" x14ac:dyDescent="0.25">
      <c r="A2472" s="1">
        <v>11</v>
      </c>
      <c r="B2472" s="1">
        <v>11</v>
      </c>
      <c r="C2472" s="1">
        <v>2019</v>
      </c>
      <c r="G2472" s="1" t="s">
        <v>40</v>
      </c>
      <c r="H2472" s="2">
        <v>83.7</v>
      </c>
      <c r="I2472" s="1">
        <v>182</v>
      </c>
      <c r="U2472" s="1">
        <v>239</v>
      </c>
      <c r="X2472" s="1">
        <v>207</v>
      </c>
      <c r="AA2472" s="1">
        <v>11</v>
      </c>
      <c r="AB2472" s="1">
        <v>10</v>
      </c>
      <c r="AC2472" s="1">
        <v>8166</v>
      </c>
      <c r="AF2472" s="3">
        <v>2.1744324970131421</v>
      </c>
      <c r="AG2472" s="3">
        <v>10.199100954251193</v>
      </c>
      <c r="AH2472" s="1">
        <v>6254</v>
      </c>
      <c r="AI2472" s="1" t="b">
        <v>1</v>
      </c>
    </row>
    <row r="2473" spans="1:35" x14ac:dyDescent="0.25">
      <c r="A2473" s="1">
        <v>11</v>
      </c>
      <c r="B2473" s="1">
        <v>11</v>
      </c>
      <c r="C2473" s="1">
        <v>2019</v>
      </c>
      <c r="G2473" s="1" t="s">
        <v>40</v>
      </c>
      <c r="H2473" s="2">
        <v>89.78</v>
      </c>
      <c r="I2473" s="1">
        <v>171</v>
      </c>
      <c r="U2473" s="1">
        <v>214</v>
      </c>
      <c r="X2473" s="1">
        <v>193</v>
      </c>
      <c r="AA2473" s="1">
        <v>9</v>
      </c>
      <c r="AB2473" s="1">
        <v>7</v>
      </c>
      <c r="AC2473" s="1">
        <v>8531</v>
      </c>
      <c r="AF2473" s="3">
        <v>1.9046558253508576</v>
      </c>
      <c r="AG2473" s="3">
        <v>12.229514362453548</v>
      </c>
      <c r="AH2473" s="1">
        <v>6254</v>
      </c>
      <c r="AI2473" s="1" t="b">
        <v>1</v>
      </c>
    </row>
    <row r="2474" spans="1:35" x14ac:dyDescent="0.25">
      <c r="A2474" s="1">
        <v>11</v>
      </c>
      <c r="B2474" s="1">
        <v>11</v>
      </c>
      <c r="C2474" s="1">
        <v>2019</v>
      </c>
      <c r="G2474" s="1" t="s">
        <v>40</v>
      </c>
      <c r="H2474" s="2">
        <v>82.8</v>
      </c>
      <c r="I2474" s="1">
        <v>165</v>
      </c>
      <c r="U2474" s="1">
        <v>243</v>
      </c>
      <c r="X2474" s="1">
        <v>210</v>
      </c>
      <c r="AA2474" s="1">
        <v>19</v>
      </c>
      <c r="AB2474" s="1">
        <v>11</v>
      </c>
      <c r="AC2474" s="1">
        <v>8894</v>
      </c>
      <c r="AF2474" s="3">
        <v>1.9927536231884058</v>
      </c>
      <c r="AG2474" s="3">
        <v>11.045048527334689</v>
      </c>
      <c r="AH2474" s="1">
        <v>6254</v>
      </c>
      <c r="AI2474" s="1" t="b">
        <v>1</v>
      </c>
    </row>
    <row r="2475" spans="1:35" x14ac:dyDescent="0.25">
      <c r="A2475" s="1">
        <v>11</v>
      </c>
      <c r="B2475" s="1">
        <v>11</v>
      </c>
      <c r="C2475" s="1">
        <v>2019</v>
      </c>
      <c r="G2475" s="1" t="s">
        <v>40</v>
      </c>
      <c r="H2475" s="2">
        <v>71.209999999999994</v>
      </c>
      <c r="I2475" s="1">
        <v>157</v>
      </c>
      <c r="U2475" s="1">
        <v>207</v>
      </c>
      <c r="X2475" s="1">
        <v>186</v>
      </c>
      <c r="AA2475" s="1">
        <v>12</v>
      </c>
      <c r="AB2475" s="1">
        <v>14</v>
      </c>
      <c r="AC2475" s="1">
        <v>7700</v>
      </c>
      <c r="AF2475" s="3">
        <v>2.2047465243645559</v>
      </c>
      <c r="AG2475" s="3">
        <v>8.9829715328685094</v>
      </c>
      <c r="AH2475" s="1">
        <v>6254</v>
      </c>
      <c r="AI2475" s="1" t="b">
        <v>1</v>
      </c>
    </row>
    <row r="2476" spans="1:35" x14ac:dyDescent="0.25">
      <c r="A2476" s="1">
        <v>12</v>
      </c>
      <c r="B2476" s="1">
        <v>11</v>
      </c>
      <c r="C2476" s="1">
        <v>2019</v>
      </c>
      <c r="G2476" s="1" t="s">
        <v>40</v>
      </c>
      <c r="H2476" s="2">
        <v>87.86</v>
      </c>
      <c r="I2476" s="1">
        <v>193</v>
      </c>
      <c r="U2476" s="1">
        <v>257</v>
      </c>
      <c r="X2476" s="1">
        <v>225</v>
      </c>
      <c r="AA2476" s="1">
        <v>11</v>
      </c>
      <c r="AB2476" s="1">
        <v>8</v>
      </c>
      <c r="AC2476" s="1">
        <v>9458</v>
      </c>
      <c r="AF2476" s="3">
        <v>2.1966765308445253</v>
      </c>
      <c r="AG2476" s="3">
        <v>10.444501802277143</v>
      </c>
      <c r="AH2476" s="1">
        <v>6254</v>
      </c>
      <c r="AI2476" s="1" t="b">
        <v>1</v>
      </c>
    </row>
    <row r="2477" spans="1:35" x14ac:dyDescent="0.25">
      <c r="A2477" s="1">
        <v>12</v>
      </c>
      <c r="B2477" s="1">
        <v>11</v>
      </c>
      <c r="C2477" s="1">
        <v>2019</v>
      </c>
      <c r="G2477" s="1" t="s">
        <v>40</v>
      </c>
      <c r="H2477" s="2">
        <v>76.72</v>
      </c>
      <c r="I2477" s="1">
        <v>155</v>
      </c>
      <c r="U2477" s="1">
        <v>203</v>
      </c>
      <c r="X2477" s="1">
        <v>189</v>
      </c>
      <c r="AA2477" s="1">
        <v>12</v>
      </c>
      <c r="AB2477" s="1">
        <v>15</v>
      </c>
      <c r="AC2477" s="1">
        <v>8370</v>
      </c>
      <c r="AF2477" s="3">
        <v>2.0203336809176227</v>
      </c>
      <c r="AG2477" s="3">
        <v>10.32792111002019</v>
      </c>
      <c r="AH2477" s="1">
        <v>6254</v>
      </c>
      <c r="AI2477" s="1" t="b">
        <v>1</v>
      </c>
    </row>
    <row r="2478" spans="1:35" x14ac:dyDescent="0.25">
      <c r="A2478" s="1">
        <v>12</v>
      </c>
      <c r="B2478" s="1">
        <v>11</v>
      </c>
      <c r="C2478" s="1">
        <v>2019</v>
      </c>
      <c r="G2478" s="1" t="s">
        <v>40</v>
      </c>
      <c r="H2478" s="2">
        <v>90.32</v>
      </c>
      <c r="I2478" s="1">
        <v>213</v>
      </c>
      <c r="U2478" s="1">
        <v>269</v>
      </c>
      <c r="X2478" s="1">
        <v>244</v>
      </c>
      <c r="AA2478" s="1">
        <v>13</v>
      </c>
      <c r="AB2478" s="1">
        <v>7</v>
      </c>
      <c r="AC2478" s="1">
        <v>9547</v>
      </c>
      <c r="AF2478" s="3">
        <v>2.3582816651904341</v>
      </c>
      <c r="AG2478" s="3">
        <v>9.9186616513931281</v>
      </c>
      <c r="AH2478" s="1">
        <v>6254</v>
      </c>
      <c r="AI2478" s="1" t="b">
        <v>1</v>
      </c>
    </row>
    <row r="2479" spans="1:35" x14ac:dyDescent="0.25">
      <c r="A2479" s="1">
        <v>12</v>
      </c>
      <c r="B2479" s="1">
        <v>11</v>
      </c>
      <c r="C2479" s="1">
        <v>2019</v>
      </c>
      <c r="G2479" s="1" t="s">
        <v>40</v>
      </c>
      <c r="H2479" s="2">
        <v>74.650000000000006</v>
      </c>
      <c r="I2479" s="1">
        <v>186</v>
      </c>
      <c r="U2479" s="1">
        <v>236</v>
      </c>
      <c r="X2479" s="1">
        <v>207</v>
      </c>
      <c r="AA2479" s="1">
        <v>8</v>
      </c>
      <c r="AB2479" s="1">
        <v>8</v>
      </c>
      <c r="AC2479" s="1">
        <v>8002</v>
      </c>
      <c r="AF2479" s="3">
        <v>2.4916275954454119</v>
      </c>
      <c r="AG2479" s="3">
        <v>8.2155706794983772</v>
      </c>
      <c r="AH2479" s="1">
        <v>6254</v>
      </c>
      <c r="AI2479" s="1" t="b">
        <v>1</v>
      </c>
    </row>
    <row r="2480" spans="1:35" x14ac:dyDescent="0.25">
      <c r="A2480" s="1">
        <v>12</v>
      </c>
      <c r="B2480" s="1">
        <v>11</v>
      </c>
      <c r="C2480" s="1">
        <v>2019</v>
      </c>
      <c r="G2480" s="1" t="s">
        <v>40</v>
      </c>
      <c r="H2480" s="2">
        <v>80.06</v>
      </c>
      <c r="I2480" s="1">
        <v>153</v>
      </c>
      <c r="U2480" s="1">
        <v>215</v>
      </c>
      <c r="X2480" s="1">
        <v>184</v>
      </c>
      <c r="AA2480" s="1">
        <v>13</v>
      </c>
      <c r="AB2480" s="1">
        <v>13</v>
      </c>
      <c r="AC2480" s="1">
        <v>8365</v>
      </c>
      <c r="AF2480" s="3">
        <v>1.9110666999750188</v>
      </c>
      <c r="AG2480" s="3">
        <v>11.249029740779985</v>
      </c>
      <c r="AH2480" s="1">
        <v>6254</v>
      </c>
      <c r="AI2480" s="1" t="b">
        <v>1</v>
      </c>
    </row>
    <row r="2481" spans="1:35" x14ac:dyDescent="0.25">
      <c r="A2481" s="1">
        <v>15</v>
      </c>
      <c r="B2481" s="1">
        <v>11</v>
      </c>
      <c r="C2481" s="1">
        <v>2019</v>
      </c>
      <c r="G2481" s="1" t="s">
        <v>40</v>
      </c>
      <c r="H2481" s="2">
        <v>84.46</v>
      </c>
      <c r="I2481" s="1">
        <v>163</v>
      </c>
      <c r="U2481" s="1">
        <v>229</v>
      </c>
      <c r="X2481" s="1">
        <v>206</v>
      </c>
      <c r="AA2481" s="1">
        <v>15</v>
      </c>
      <c r="AB2481" s="1">
        <v>14</v>
      </c>
      <c r="AC2481" s="1">
        <v>8075</v>
      </c>
      <c r="AF2481" s="3">
        <v>1.9299076485910491</v>
      </c>
      <c r="AG2481" s="3">
        <v>11.564296726784031</v>
      </c>
      <c r="AH2481" s="1">
        <v>6254</v>
      </c>
      <c r="AI2481" s="1" t="b">
        <v>1</v>
      </c>
    </row>
    <row r="2482" spans="1:35" x14ac:dyDescent="0.25">
      <c r="A2482" s="1">
        <v>15</v>
      </c>
      <c r="B2482" s="1">
        <v>11</v>
      </c>
      <c r="C2482" s="1">
        <v>2019</v>
      </c>
      <c r="G2482" s="1" t="s">
        <v>40</v>
      </c>
      <c r="H2482" s="2">
        <v>90.41</v>
      </c>
      <c r="I2482" s="1">
        <v>165</v>
      </c>
      <c r="U2482" s="1">
        <v>220</v>
      </c>
      <c r="X2482" s="1">
        <v>198</v>
      </c>
      <c r="AA2482" s="1">
        <v>15</v>
      </c>
      <c r="AB2482" s="1">
        <v>10</v>
      </c>
      <c r="AC2482" s="1">
        <v>9495</v>
      </c>
      <c r="AF2482" s="3">
        <v>1.8250193562658998</v>
      </c>
      <c r="AG2482" s="3">
        <v>12.825787893658052</v>
      </c>
      <c r="AH2482" s="1">
        <v>6254</v>
      </c>
      <c r="AI2482" s="1" t="b">
        <v>1</v>
      </c>
    </row>
    <row r="2483" spans="1:35" x14ac:dyDescent="0.25">
      <c r="A2483" s="1">
        <v>17</v>
      </c>
      <c r="B2483" s="1">
        <v>11</v>
      </c>
      <c r="C2483" s="1">
        <v>2019</v>
      </c>
      <c r="G2483" s="1" t="s">
        <v>40</v>
      </c>
      <c r="H2483" s="2">
        <v>89.83</v>
      </c>
      <c r="I2483" s="1">
        <v>169</v>
      </c>
      <c r="U2483" s="1">
        <v>228</v>
      </c>
      <c r="X2483" s="1">
        <v>207</v>
      </c>
      <c r="AA2483" s="1">
        <v>15</v>
      </c>
      <c r="AB2483" s="1">
        <v>8</v>
      </c>
      <c r="AC2483" s="1">
        <v>9579</v>
      </c>
      <c r="AF2483" s="3">
        <v>1.8813314037626629</v>
      </c>
      <c r="AG2483" s="3">
        <v>12.385960048661657</v>
      </c>
      <c r="AH2483" s="1">
        <v>6254</v>
      </c>
      <c r="AI2483" s="1" t="b">
        <v>1</v>
      </c>
    </row>
    <row r="2484" spans="1:35" x14ac:dyDescent="0.25">
      <c r="A2484" s="1">
        <v>17</v>
      </c>
      <c r="B2484" s="1">
        <v>11</v>
      </c>
      <c r="C2484" s="1">
        <v>2019</v>
      </c>
      <c r="G2484" s="1" t="s">
        <v>40</v>
      </c>
      <c r="H2484" s="2">
        <v>87.47</v>
      </c>
      <c r="I2484" s="1">
        <v>185</v>
      </c>
      <c r="U2484" s="1">
        <v>251</v>
      </c>
      <c r="X2484" s="1">
        <v>219</v>
      </c>
      <c r="AA2484" s="1">
        <v>14</v>
      </c>
      <c r="AB2484" s="1">
        <v>10</v>
      </c>
      <c r="AC2484" s="1">
        <v>9411</v>
      </c>
      <c r="AF2484" s="3">
        <v>2.1150108608665827</v>
      </c>
      <c r="AG2484" s="3">
        <v>10.814060294661719</v>
      </c>
      <c r="AH2484" s="1">
        <v>6254</v>
      </c>
      <c r="AI2484" s="1" t="b">
        <v>1</v>
      </c>
    </row>
    <row r="2485" spans="1:35" x14ac:dyDescent="0.25">
      <c r="A2485" s="1">
        <v>17</v>
      </c>
      <c r="B2485" s="1">
        <v>11</v>
      </c>
      <c r="C2485" s="1">
        <v>2019</v>
      </c>
      <c r="G2485" s="1" t="s">
        <v>40</v>
      </c>
      <c r="H2485" s="2">
        <v>83.66</v>
      </c>
      <c r="I2485" s="1">
        <v>127</v>
      </c>
      <c r="U2485" s="1">
        <v>179</v>
      </c>
      <c r="X2485" s="1">
        <v>163</v>
      </c>
      <c r="AA2485" s="1">
        <v>12</v>
      </c>
      <c r="AB2485" s="1">
        <v>22</v>
      </c>
      <c r="AC2485" s="1">
        <v>8612</v>
      </c>
      <c r="AF2485" s="3">
        <v>1.5180492469519484</v>
      </c>
      <c r="AG2485" s="3">
        <v>14.604161988056113</v>
      </c>
      <c r="AH2485" s="1">
        <v>6254</v>
      </c>
      <c r="AI2485" s="1" t="b">
        <v>1</v>
      </c>
    </row>
    <row r="2486" spans="1:35" x14ac:dyDescent="0.25">
      <c r="A2486" s="1">
        <v>17</v>
      </c>
      <c r="B2486" s="1">
        <v>11</v>
      </c>
      <c r="C2486" s="1">
        <v>2019</v>
      </c>
      <c r="G2486" s="1" t="s">
        <v>40</v>
      </c>
      <c r="H2486" s="2">
        <v>79.23</v>
      </c>
      <c r="I2486" s="1">
        <v>149</v>
      </c>
      <c r="U2486" s="1">
        <v>201</v>
      </c>
      <c r="X2486" s="1">
        <v>180</v>
      </c>
      <c r="AA2486" s="1">
        <v>12</v>
      </c>
      <c r="AB2486" s="1">
        <v>14</v>
      </c>
      <c r="AC2486" s="1">
        <v>8352</v>
      </c>
      <c r="AF2486" s="3">
        <v>1.8806007825318691</v>
      </c>
      <c r="AG2486" s="3">
        <v>11.348178194153103</v>
      </c>
      <c r="AH2486" s="1">
        <v>6254</v>
      </c>
      <c r="AI2486" s="1" t="b">
        <v>1</v>
      </c>
    </row>
    <row r="2487" spans="1:35" x14ac:dyDescent="0.25">
      <c r="A2487" s="1">
        <v>17</v>
      </c>
      <c r="B2487" s="1">
        <v>11</v>
      </c>
      <c r="C2487" s="1">
        <v>2019</v>
      </c>
      <c r="G2487" s="1" t="s">
        <v>40</v>
      </c>
      <c r="H2487" s="2">
        <v>79.19</v>
      </c>
      <c r="I2487" s="1">
        <v>165</v>
      </c>
      <c r="U2487" s="1">
        <v>228</v>
      </c>
      <c r="X2487" s="1">
        <v>197</v>
      </c>
      <c r="AA2487" s="1">
        <v>15</v>
      </c>
      <c r="AB2487" s="1">
        <v>8</v>
      </c>
      <c r="AC2487" s="1">
        <v>9071</v>
      </c>
      <c r="AF2487" s="3">
        <v>2.0835964136885972</v>
      </c>
      <c r="AG2487" s="3">
        <v>10.238955107046111</v>
      </c>
      <c r="AH2487" s="1">
        <v>6254</v>
      </c>
      <c r="AI2487" s="1" t="b">
        <v>1</v>
      </c>
    </row>
    <row r="2488" spans="1:35" x14ac:dyDescent="0.25">
      <c r="A2488" s="1">
        <v>17</v>
      </c>
      <c r="B2488" s="1">
        <v>11</v>
      </c>
      <c r="C2488" s="1">
        <v>2019</v>
      </c>
      <c r="G2488" s="1" t="s">
        <v>40</v>
      </c>
      <c r="H2488" s="2">
        <v>84.75</v>
      </c>
      <c r="I2488" s="1">
        <v>175</v>
      </c>
      <c r="U2488" s="1">
        <v>248</v>
      </c>
      <c r="X2488" s="1">
        <v>213</v>
      </c>
      <c r="AA2488" s="1">
        <v>15</v>
      </c>
      <c r="AB2488" s="1">
        <v>9</v>
      </c>
      <c r="AC2488" s="1">
        <v>8437</v>
      </c>
      <c r="AF2488" s="3">
        <v>2.0648967551622417</v>
      </c>
      <c r="AG2488" s="3">
        <v>10.834264975619035</v>
      </c>
      <c r="AH2488" s="1">
        <v>6254</v>
      </c>
      <c r="AI2488" s="1" t="b">
        <v>1</v>
      </c>
    </row>
    <row r="2489" spans="1:35" x14ac:dyDescent="0.25">
      <c r="A2489" s="1">
        <v>17</v>
      </c>
      <c r="B2489" s="1">
        <v>11</v>
      </c>
      <c r="C2489" s="1">
        <v>2019</v>
      </c>
      <c r="G2489" s="1" t="s">
        <v>40</v>
      </c>
      <c r="H2489" s="2">
        <v>85.63</v>
      </c>
      <c r="I2489" s="1">
        <v>171</v>
      </c>
      <c r="U2489" s="1">
        <v>239</v>
      </c>
      <c r="X2489" s="1">
        <v>213</v>
      </c>
      <c r="AA2489" s="1">
        <v>13</v>
      </c>
      <c r="AB2489" s="1">
        <v>7</v>
      </c>
      <c r="AC2489" s="1">
        <v>8616</v>
      </c>
      <c r="AF2489" s="3">
        <v>1.9969636809529372</v>
      </c>
      <c r="AG2489" s="3">
        <v>11.284127755038325</v>
      </c>
      <c r="AH2489" s="1">
        <v>6254</v>
      </c>
      <c r="AI2489" s="1" t="b">
        <v>1</v>
      </c>
    </row>
    <row r="2490" spans="1:35" x14ac:dyDescent="0.25">
      <c r="A2490" s="1">
        <v>17</v>
      </c>
      <c r="B2490" s="1">
        <v>11</v>
      </c>
      <c r="C2490" s="1">
        <v>2019</v>
      </c>
      <c r="G2490" s="1" t="s">
        <v>40</v>
      </c>
      <c r="H2490" s="2">
        <v>82.7</v>
      </c>
      <c r="I2490" s="1">
        <v>182</v>
      </c>
      <c r="U2490" s="1">
        <v>234</v>
      </c>
      <c r="X2490" s="1">
        <v>215</v>
      </c>
      <c r="AA2490" s="1">
        <v>12</v>
      </c>
      <c r="AB2490" s="1">
        <v>7</v>
      </c>
      <c r="AC2490" s="1">
        <v>9040</v>
      </c>
      <c r="AF2490" s="3">
        <v>2.2007255139056832</v>
      </c>
      <c r="AG2490" s="3">
        <v>9.9928180140771641</v>
      </c>
      <c r="AH2490" s="1">
        <v>6254</v>
      </c>
      <c r="AI2490" s="1" t="b">
        <v>1</v>
      </c>
    </row>
    <row r="2491" spans="1:35" x14ac:dyDescent="0.25">
      <c r="A2491" s="1">
        <v>17</v>
      </c>
      <c r="B2491" s="1">
        <v>11</v>
      </c>
      <c r="C2491" s="1">
        <v>2019</v>
      </c>
      <c r="G2491" s="1" t="s">
        <v>40</v>
      </c>
      <c r="H2491" s="2">
        <v>86.78</v>
      </c>
      <c r="I2491" s="1">
        <v>196</v>
      </c>
      <c r="U2491" s="1">
        <v>251</v>
      </c>
      <c r="X2491" s="1">
        <v>221</v>
      </c>
      <c r="AA2491" s="1">
        <v>9</v>
      </c>
      <c r="AB2491" s="1">
        <v>8</v>
      </c>
      <c r="AC2491" s="1">
        <v>9260</v>
      </c>
      <c r="AF2491" s="3">
        <v>2.2585849274026275</v>
      </c>
      <c r="AG2491" s="3">
        <v>10.070645917244942</v>
      </c>
      <c r="AH2491" s="1">
        <v>6254</v>
      </c>
      <c r="AI2491" s="1" t="b">
        <v>1</v>
      </c>
    </row>
    <row r="2492" spans="1:35" x14ac:dyDescent="0.25">
      <c r="A2492" s="1">
        <v>18</v>
      </c>
      <c r="B2492" s="1">
        <v>11</v>
      </c>
      <c r="C2492" s="1">
        <v>2019</v>
      </c>
      <c r="G2492" s="1" t="s">
        <v>40</v>
      </c>
      <c r="H2492" s="2">
        <v>87.6</v>
      </c>
      <c r="I2492" s="1">
        <v>187</v>
      </c>
      <c r="U2492" s="1">
        <v>233</v>
      </c>
      <c r="X2492" s="1">
        <v>210</v>
      </c>
      <c r="AA2492" s="1">
        <v>9</v>
      </c>
      <c r="AB2492" s="1">
        <v>8</v>
      </c>
      <c r="AC2492" s="1">
        <v>8493</v>
      </c>
      <c r="AF2492" s="3">
        <v>2.134703196347032</v>
      </c>
      <c r="AG2492" s="3">
        <v>10.725446328374236</v>
      </c>
      <c r="AH2492" s="1">
        <v>6255</v>
      </c>
      <c r="AI2492" s="1" t="b">
        <v>1</v>
      </c>
    </row>
    <row r="2493" spans="1:35" x14ac:dyDescent="0.25">
      <c r="A2493" s="1">
        <v>18</v>
      </c>
      <c r="B2493" s="1">
        <v>11</v>
      </c>
      <c r="C2493" s="1">
        <v>2019</v>
      </c>
      <c r="G2493" s="1" t="s">
        <v>40</v>
      </c>
      <c r="H2493" s="2">
        <v>90.16</v>
      </c>
      <c r="I2493" s="1">
        <v>198</v>
      </c>
      <c r="U2493" s="1">
        <v>259</v>
      </c>
      <c r="X2493" s="1">
        <v>237</v>
      </c>
      <c r="AA2493" s="1">
        <v>14</v>
      </c>
      <c r="AB2493" s="1">
        <v>9</v>
      </c>
      <c r="AC2493" s="1">
        <v>9219</v>
      </c>
      <c r="AF2493" s="3">
        <v>2.1960958296362025</v>
      </c>
      <c r="AG2493" s="3">
        <v>10.63796225143167</v>
      </c>
      <c r="AH2493" s="1">
        <v>6255</v>
      </c>
      <c r="AI2493" s="1" t="b">
        <v>1</v>
      </c>
    </row>
    <row r="2494" spans="1:35" x14ac:dyDescent="0.25">
      <c r="A2494" s="1">
        <v>18</v>
      </c>
      <c r="B2494" s="1">
        <v>11</v>
      </c>
      <c r="C2494" s="1">
        <v>2019</v>
      </c>
      <c r="G2494" s="1" t="s">
        <v>40</v>
      </c>
      <c r="H2494" s="2">
        <v>86.1</v>
      </c>
      <c r="I2494" s="1">
        <v>138</v>
      </c>
      <c r="U2494" s="1">
        <v>201</v>
      </c>
      <c r="X2494" s="1">
        <v>180</v>
      </c>
      <c r="AA2494" s="1">
        <v>16</v>
      </c>
      <c r="AB2494" s="1">
        <v>19</v>
      </c>
      <c r="AC2494" s="1">
        <v>8509</v>
      </c>
      <c r="AF2494" s="3">
        <v>1.6027874564459932</v>
      </c>
      <c r="AG2494" s="3">
        <v>14.113225186682019</v>
      </c>
      <c r="AH2494" s="1">
        <v>6255</v>
      </c>
      <c r="AI2494" s="1" t="b">
        <v>1</v>
      </c>
    </row>
    <row r="2495" spans="1:35" x14ac:dyDescent="0.25">
      <c r="A2495" s="1">
        <v>18</v>
      </c>
      <c r="B2495" s="1">
        <v>11</v>
      </c>
      <c r="C2495" s="1">
        <v>2019</v>
      </c>
      <c r="G2495" s="1" t="s">
        <v>40</v>
      </c>
      <c r="H2495" s="2">
        <v>76.349999999999994</v>
      </c>
      <c r="I2495" s="1">
        <v>152</v>
      </c>
      <c r="U2495" s="1">
        <v>193</v>
      </c>
      <c r="X2495" s="1">
        <v>173</v>
      </c>
      <c r="AA2495" s="1">
        <v>10</v>
      </c>
      <c r="AB2495" s="1">
        <v>5</v>
      </c>
      <c r="AC2495" s="1">
        <v>7671</v>
      </c>
      <c r="AF2495" s="3">
        <v>1.9908316961362149</v>
      </c>
      <c r="AG2495" s="3">
        <v>10.445561308231408</v>
      </c>
      <c r="AH2495" s="1">
        <v>6255</v>
      </c>
      <c r="AI2495" s="1" t="b">
        <v>1</v>
      </c>
    </row>
    <row r="2496" spans="1:35" x14ac:dyDescent="0.25">
      <c r="A2496" s="1">
        <v>18</v>
      </c>
      <c r="B2496" s="1">
        <v>11</v>
      </c>
      <c r="C2496" s="1">
        <v>2019</v>
      </c>
      <c r="G2496" s="1" t="s">
        <v>40</v>
      </c>
      <c r="H2496" s="2">
        <v>82.46</v>
      </c>
      <c r="I2496" s="1">
        <v>159</v>
      </c>
      <c r="U2496" s="1">
        <v>228</v>
      </c>
      <c r="X2496" s="1">
        <v>197</v>
      </c>
      <c r="AA2496" s="1">
        <v>16</v>
      </c>
      <c r="AB2496" s="1">
        <v>12</v>
      </c>
      <c r="AC2496" s="1">
        <v>7904</v>
      </c>
      <c r="AF2496" s="3">
        <v>1.928207615813728</v>
      </c>
      <c r="AG2496" s="3">
        <v>11.38194643612351</v>
      </c>
      <c r="AH2496" s="1">
        <v>6255</v>
      </c>
      <c r="AI2496" s="1" t="b">
        <v>1</v>
      </c>
    </row>
    <row r="2497" spans="1:35" x14ac:dyDescent="0.25">
      <c r="A2497" s="1">
        <v>18</v>
      </c>
      <c r="B2497" s="1">
        <v>11</v>
      </c>
      <c r="C2497" s="1">
        <v>2019</v>
      </c>
      <c r="G2497" s="1" t="s">
        <v>40</v>
      </c>
      <c r="H2497" s="2">
        <v>78.52</v>
      </c>
      <c r="I2497" s="1">
        <v>178</v>
      </c>
      <c r="U2497" s="1">
        <v>249</v>
      </c>
      <c r="X2497" s="1">
        <v>225</v>
      </c>
      <c r="AA2497" s="1">
        <v>17</v>
      </c>
      <c r="AB2497" s="1">
        <v>12</v>
      </c>
      <c r="AC2497" s="1">
        <v>8797</v>
      </c>
      <c r="AF2497" s="3">
        <v>2.2669383596535915</v>
      </c>
      <c r="AG2497" s="3">
        <v>9.3550581693454316</v>
      </c>
      <c r="AH2497" s="1">
        <v>6255</v>
      </c>
      <c r="AI2497" s="1" t="b">
        <v>1</v>
      </c>
    </row>
    <row r="2498" spans="1:35" x14ac:dyDescent="0.25">
      <c r="A2498" s="1">
        <v>18</v>
      </c>
      <c r="B2498" s="1">
        <v>11</v>
      </c>
      <c r="C2498" s="1">
        <v>2019</v>
      </c>
      <c r="G2498" s="1" t="s">
        <v>40</v>
      </c>
      <c r="H2498" s="2">
        <v>88.81</v>
      </c>
      <c r="I2498" s="1">
        <v>197</v>
      </c>
      <c r="U2498" s="1">
        <v>256</v>
      </c>
      <c r="X2498" s="1">
        <v>233</v>
      </c>
      <c r="AA2498" s="1">
        <v>13</v>
      </c>
      <c r="AB2498" s="1">
        <v>7</v>
      </c>
      <c r="AC2498" s="1">
        <v>9436</v>
      </c>
      <c r="AF2498" s="3">
        <v>2.2182186690687984</v>
      </c>
      <c r="AG2498" s="3">
        <v>10.421229326126189</v>
      </c>
      <c r="AH2498" s="1">
        <v>6255</v>
      </c>
      <c r="AI2498" s="1" t="b">
        <v>1</v>
      </c>
    </row>
    <row r="2499" spans="1:35" x14ac:dyDescent="0.25">
      <c r="A2499" s="1">
        <v>18</v>
      </c>
      <c r="B2499" s="1">
        <v>11</v>
      </c>
      <c r="C2499" s="1">
        <v>2019</v>
      </c>
      <c r="G2499" s="1" t="s">
        <v>40</v>
      </c>
      <c r="H2499" s="2">
        <v>77.099999999999994</v>
      </c>
      <c r="I2499" s="1">
        <v>156</v>
      </c>
      <c r="U2499" s="1">
        <v>218</v>
      </c>
      <c r="X2499" s="1">
        <v>197</v>
      </c>
      <c r="AA2499" s="1">
        <v>14</v>
      </c>
      <c r="AB2499" s="1">
        <v>15</v>
      </c>
      <c r="AC2499" s="1">
        <v>8598</v>
      </c>
      <c r="AF2499" s="3">
        <v>2.0233463035019459</v>
      </c>
      <c r="AG2499" s="3">
        <v>10.3482722118022</v>
      </c>
      <c r="AH2499" s="1">
        <v>6255</v>
      </c>
      <c r="AI2499" s="1" t="b">
        <v>1</v>
      </c>
    </row>
    <row r="2500" spans="1:35" x14ac:dyDescent="0.25">
      <c r="A2500" s="1">
        <v>18</v>
      </c>
      <c r="B2500" s="1">
        <v>11</v>
      </c>
      <c r="C2500" s="1">
        <v>2019</v>
      </c>
      <c r="G2500" s="1" t="s">
        <v>40</v>
      </c>
      <c r="H2500" s="2">
        <v>88.93</v>
      </c>
      <c r="I2500" s="1">
        <v>142</v>
      </c>
      <c r="U2500" s="1">
        <v>184</v>
      </c>
      <c r="X2500" s="1">
        <v>164</v>
      </c>
      <c r="AA2500" s="1">
        <v>11</v>
      </c>
      <c r="AB2500" s="1">
        <v>12</v>
      </c>
      <c r="AC2500" s="1">
        <v>11462</v>
      </c>
      <c r="AF2500" s="3">
        <v>1.596761497807264</v>
      </c>
      <c r="AG2500" s="3">
        <v>14.490846383673503</v>
      </c>
      <c r="AH2500" s="1">
        <v>6255</v>
      </c>
      <c r="AI2500" s="1" t="b">
        <v>1</v>
      </c>
    </row>
    <row r="2501" spans="1:35" x14ac:dyDescent="0.25">
      <c r="A2501" s="1">
        <v>18</v>
      </c>
      <c r="B2501" s="1">
        <v>11</v>
      </c>
      <c r="C2501" s="1">
        <v>2019</v>
      </c>
      <c r="G2501" s="1" t="s">
        <v>40</v>
      </c>
      <c r="H2501" s="2">
        <v>77.27</v>
      </c>
      <c r="I2501" s="1">
        <v>164</v>
      </c>
      <c r="U2501" s="1">
        <v>207</v>
      </c>
      <c r="X2501" s="1">
        <v>190</v>
      </c>
      <c r="AA2501" s="1">
        <v>11</v>
      </c>
      <c r="AB2501" s="1">
        <v>11</v>
      </c>
      <c r="AC2501" s="1">
        <v>8550</v>
      </c>
      <c r="AF2501" s="3">
        <v>2.12242785039472</v>
      </c>
      <c r="AG2501" s="3">
        <v>9.8804039987264591</v>
      </c>
      <c r="AH2501" s="1">
        <v>6255</v>
      </c>
      <c r="AI2501" s="1" t="b">
        <v>1</v>
      </c>
    </row>
    <row r="2502" spans="1:35" x14ac:dyDescent="0.25">
      <c r="A2502" s="1">
        <v>18</v>
      </c>
      <c r="B2502" s="1">
        <v>11</v>
      </c>
      <c r="C2502" s="1">
        <v>2019</v>
      </c>
      <c r="G2502" s="1" t="s">
        <v>40</v>
      </c>
      <c r="H2502" s="2">
        <v>78.02</v>
      </c>
      <c r="I2502" s="1">
        <v>171</v>
      </c>
      <c r="U2502" s="1">
        <v>218</v>
      </c>
      <c r="X2502" s="1">
        <v>198</v>
      </c>
      <c r="AA2502" s="1">
        <v>10</v>
      </c>
      <c r="AB2502" s="1">
        <v>8</v>
      </c>
      <c r="AC2502" s="1">
        <v>8420</v>
      </c>
      <c r="AF2502" s="3">
        <v>2.1917457062291721</v>
      </c>
      <c r="AG2502" s="3">
        <v>9.632832258711181</v>
      </c>
      <c r="AH2502" s="1">
        <v>6255</v>
      </c>
      <c r="AI2502" s="1" t="b">
        <v>1</v>
      </c>
    </row>
    <row r="2503" spans="1:35" x14ac:dyDescent="0.25">
      <c r="A2503" s="1">
        <v>18</v>
      </c>
      <c r="B2503" s="1">
        <v>11</v>
      </c>
      <c r="C2503" s="1">
        <v>2019</v>
      </c>
      <c r="G2503" s="1" t="s">
        <v>40</v>
      </c>
      <c r="H2503" s="2">
        <v>88.99</v>
      </c>
      <c r="I2503" s="1">
        <v>184</v>
      </c>
      <c r="U2503" s="1">
        <v>248</v>
      </c>
      <c r="X2503" s="1">
        <v>223</v>
      </c>
      <c r="AA2503" s="1">
        <v>14</v>
      </c>
      <c r="AB2503" s="1">
        <v>13</v>
      </c>
      <c r="AC2503" s="1">
        <v>9902</v>
      </c>
      <c r="AF2503" s="3">
        <v>2.0676480503427355</v>
      </c>
      <c r="AG2503" s="3">
        <v>11.195982952028556</v>
      </c>
      <c r="AH2503" s="1">
        <v>6255</v>
      </c>
      <c r="AI2503" s="1" t="b">
        <v>1</v>
      </c>
    </row>
    <row r="2504" spans="1:35" x14ac:dyDescent="0.25">
      <c r="A2504" s="1">
        <v>19</v>
      </c>
      <c r="B2504" s="1">
        <v>11</v>
      </c>
      <c r="C2504" s="1">
        <v>2019</v>
      </c>
      <c r="G2504" s="1" t="s">
        <v>40</v>
      </c>
      <c r="H2504" s="2">
        <v>73.17</v>
      </c>
      <c r="I2504" s="1">
        <v>150</v>
      </c>
      <c r="U2504" s="1">
        <v>206</v>
      </c>
      <c r="X2504" s="1">
        <v>183</v>
      </c>
      <c r="AA2504" s="1">
        <v>12</v>
      </c>
      <c r="AB2504" s="1">
        <v>12</v>
      </c>
      <c r="AC2504" s="1">
        <v>7188</v>
      </c>
      <c r="AF2504" s="3">
        <v>2.0500205002050018</v>
      </c>
      <c r="AG2504" s="3">
        <v>9.8463424113441498</v>
      </c>
      <c r="AH2504" s="1">
        <v>6255</v>
      </c>
      <c r="AI2504" s="1" t="b">
        <v>1</v>
      </c>
    </row>
    <row r="2505" spans="1:35" x14ac:dyDescent="0.25">
      <c r="A2505" s="1">
        <v>19</v>
      </c>
      <c r="B2505" s="1">
        <v>11</v>
      </c>
      <c r="C2505" s="1">
        <v>2019</v>
      </c>
      <c r="G2505" s="1" t="s">
        <v>40</v>
      </c>
      <c r="H2505" s="2">
        <v>86.66</v>
      </c>
      <c r="I2505" s="1">
        <v>159</v>
      </c>
      <c r="U2505" s="1">
        <v>228</v>
      </c>
      <c r="X2505" s="1">
        <v>201</v>
      </c>
      <c r="AA2505" s="1">
        <v>16</v>
      </c>
      <c r="AB2505" s="1">
        <v>12</v>
      </c>
      <c r="AC2505" s="1">
        <v>8556</v>
      </c>
      <c r="AF2505" s="3">
        <v>1.8347565197322873</v>
      </c>
      <c r="AG2505" s="3">
        <v>12.384960895271902</v>
      </c>
      <c r="AH2505" s="1">
        <v>6255</v>
      </c>
      <c r="AI2505" s="1" t="b">
        <v>1</v>
      </c>
    </row>
    <row r="2506" spans="1:35" x14ac:dyDescent="0.25">
      <c r="A2506" s="1">
        <v>19</v>
      </c>
      <c r="B2506" s="1">
        <v>11</v>
      </c>
      <c r="C2506" s="1">
        <v>2019</v>
      </c>
      <c r="G2506" s="1" t="s">
        <v>40</v>
      </c>
      <c r="H2506" s="2">
        <v>89.45</v>
      </c>
      <c r="I2506" s="1">
        <v>168</v>
      </c>
      <c r="U2506" s="1">
        <v>249</v>
      </c>
      <c r="X2506" s="1">
        <v>216</v>
      </c>
      <c r="AA2506" s="1">
        <v>18</v>
      </c>
      <c r="AB2506" s="1">
        <v>9</v>
      </c>
      <c r="AC2506" s="1">
        <v>8764</v>
      </c>
      <c r="AF2506" s="3">
        <v>1.8781442146450531</v>
      </c>
      <c r="AG2506" s="3">
        <v>12.370216614393852</v>
      </c>
      <c r="AH2506" s="1">
        <v>6255</v>
      </c>
      <c r="AI2506" s="1" t="b">
        <v>1</v>
      </c>
    </row>
    <row r="2507" spans="1:35" x14ac:dyDescent="0.25">
      <c r="A2507" s="1">
        <v>19</v>
      </c>
      <c r="B2507" s="1">
        <v>11</v>
      </c>
      <c r="C2507" s="1">
        <v>2019</v>
      </c>
      <c r="G2507" s="1" t="s">
        <v>40</v>
      </c>
      <c r="H2507" s="2">
        <v>78.849999999999994</v>
      </c>
      <c r="I2507" s="1">
        <v>144</v>
      </c>
      <c r="U2507" s="1">
        <v>217</v>
      </c>
      <c r="X2507" s="1">
        <v>188</v>
      </c>
      <c r="AA2507" s="1">
        <v>15</v>
      </c>
      <c r="AB2507" s="1">
        <v>11</v>
      </c>
      <c r="AC2507" s="1">
        <v>8176</v>
      </c>
      <c r="AF2507" s="3">
        <v>1.8262523779327839</v>
      </c>
      <c r="AG2507" s="3">
        <v>11.64663309148985</v>
      </c>
      <c r="AH2507" s="1">
        <v>6255</v>
      </c>
      <c r="AI2507" s="1" t="b">
        <v>1</v>
      </c>
    </row>
    <row r="2508" spans="1:35" x14ac:dyDescent="0.25">
      <c r="A2508" s="1">
        <v>19</v>
      </c>
      <c r="B2508" s="1">
        <v>11</v>
      </c>
      <c r="C2508" s="1">
        <v>2019</v>
      </c>
      <c r="G2508" s="1" t="s">
        <v>40</v>
      </c>
      <c r="H2508" s="2">
        <v>88.48</v>
      </c>
      <c r="I2508" s="1">
        <v>183</v>
      </c>
      <c r="U2508" s="1">
        <v>244</v>
      </c>
      <c r="X2508" s="1">
        <v>217</v>
      </c>
      <c r="AA2508" s="1">
        <v>13</v>
      </c>
      <c r="AB2508" s="1">
        <v>11</v>
      </c>
      <c r="AC2508" s="1">
        <v>8781</v>
      </c>
      <c r="AF2508" s="3">
        <v>2.0682640144665458</v>
      </c>
      <c r="AG2508" s="3">
        <v>11.147708503172691</v>
      </c>
      <c r="AH2508" s="1">
        <v>6255</v>
      </c>
      <c r="AI2508" s="1" t="b">
        <v>1</v>
      </c>
    </row>
    <row r="2509" spans="1:35" x14ac:dyDescent="0.25">
      <c r="A2509" s="1">
        <v>19</v>
      </c>
      <c r="B2509" s="1">
        <v>11</v>
      </c>
      <c r="C2509" s="1">
        <v>2019</v>
      </c>
      <c r="G2509" s="1" t="s">
        <v>40</v>
      </c>
      <c r="H2509" s="2">
        <v>91.22</v>
      </c>
      <c r="I2509" s="1">
        <v>195</v>
      </c>
      <c r="U2509" s="1">
        <v>263</v>
      </c>
      <c r="X2509" s="1">
        <v>237</v>
      </c>
      <c r="AA2509" s="1">
        <v>14</v>
      </c>
      <c r="AB2509" s="1">
        <v>11</v>
      </c>
      <c r="AC2509" s="1">
        <v>9407</v>
      </c>
      <c r="AF2509" s="3">
        <v>2.1376891032668275</v>
      </c>
      <c r="AG2509" s="3">
        <v>11.018399228682393</v>
      </c>
      <c r="AH2509" s="1">
        <v>6255</v>
      </c>
      <c r="AI2509" s="1" t="b">
        <v>1</v>
      </c>
    </row>
    <row r="2510" spans="1:35" x14ac:dyDescent="0.25">
      <c r="A2510" s="1">
        <v>20</v>
      </c>
      <c r="B2510" s="1">
        <v>11</v>
      </c>
      <c r="C2510" s="1">
        <v>2019</v>
      </c>
      <c r="G2510" s="1" t="s">
        <v>40</v>
      </c>
      <c r="H2510" s="2">
        <v>83.71</v>
      </c>
      <c r="I2510" s="1">
        <v>165</v>
      </c>
      <c r="U2510" s="1">
        <v>210</v>
      </c>
      <c r="X2510" s="1">
        <v>193</v>
      </c>
      <c r="AA2510" s="1">
        <v>12</v>
      </c>
      <c r="AB2510" s="1">
        <v>6</v>
      </c>
      <c r="AC2510" s="1">
        <v>7958</v>
      </c>
      <c r="AF2510" s="3">
        <v>1.971090670170828</v>
      </c>
      <c r="AG2510" s="3">
        <v>11.252202441213104</v>
      </c>
      <c r="AH2510" s="1">
        <v>6255</v>
      </c>
      <c r="AI2510" s="1" t="b">
        <v>1</v>
      </c>
    </row>
    <row r="2511" spans="1:35" x14ac:dyDescent="0.25">
      <c r="A2511" s="1">
        <v>20</v>
      </c>
      <c r="B2511" s="1">
        <v>11</v>
      </c>
      <c r="C2511" s="1">
        <v>2019</v>
      </c>
      <c r="G2511" s="1" t="s">
        <v>40</v>
      </c>
      <c r="H2511" s="2">
        <v>90.42</v>
      </c>
      <c r="I2511" s="1">
        <v>196</v>
      </c>
      <c r="U2511" s="1">
        <v>248</v>
      </c>
      <c r="X2511" s="1">
        <v>230</v>
      </c>
      <c r="AA2511" s="1">
        <v>13</v>
      </c>
      <c r="AB2511" s="1">
        <v>11</v>
      </c>
      <c r="AC2511" s="1">
        <v>9366</v>
      </c>
      <c r="AF2511" s="3">
        <v>2.16766202167662</v>
      </c>
      <c r="AG2511" s="3">
        <v>10.799249704836097</v>
      </c>
      <c r="AH2511" s="1">
        <v>6255</v>
      </c>
      <c r="AI2511" s="1" t="b">
        <v>1</v>
      </c>
    </row>
    <row r="2512" spans="1:35" x14ac:dyDescent="0.25">
      <c r="A2512" s="1">
        <v>20</v>
      </c>
      <c r="B2512" s="1">
        <v>11</v>
      </c>
      <c r="C2512" s="1">
        <v>2019</v>
      </c>
      <c r="G2512" s="1" t="s">
        <v>40</v>
      </c>
      <c r="H2512" s="2">
        <v>78.319999999999993</v>
      </c>
      <c r="I2512" s="1">
        <v>169</v>
      </c>
      <c r="U2512" s="1">
        <v>225</v>
      </c>
      <c r="X2512" s="1">
        <v>201</v>
      </c>
      <c r="AA2512" s="1">
        <v>13</v>
      </c>
      <c r="AB2512" s="1">
        <v>16</v>
      </c>
      <c r="AC2512" s="1">
        <v>8552</v>
      </c>
      <c r="AF2512" s="3">
        <v>2.1578140960163434</v>
      </c>
      <c r="AG2512" s="3">
        <v>9.8106289243236304</v>
      </c>
      <c r="AH2512" s="1">
        <v>6255</v>
      </c>
      <c r="AI2512" s="1" t="b">
        <v>1</v>
      </c>
    </row>
    <row r="2513" spans="1:35" x14ac:dyDescent="0.25">
      <c r="A2513" s="1">
        <v>20</v>
      </c>
      <c r="B2513" s="1">
        <v>11</v>
      </c>
      <c r="C2513" s="1">
        <v>2019</v>
      </c>
      <c r="G2513" s="1" t="s">
        <v>40</v>
      </c>
      <c r="H2513" s="2">
        <v>90.3</v>
      </c>
      <c r="I2513" s="1">
        <v>148</v>
      </c>
      <c r="U2513" s="1">
        <v>206</v>
      </c>
      <c r="X2513" s="1">
        <v>184</v>
      </c>
      <c r="AA2513" s="1">
        <v>15</v>
      </c>
      <c r="AB2513" s="1">
        <v>16</v>
      </c>
      <c r="AC2513" s="1">
        <v>10948</v>
      </c>
      <c r="AF2513" s="3">
        <v>1.6389811738648949</v>
      </c>
      <c r="AG2513" s="3">
        <v>14.269457428756811</v>
      </c>
      <c r="AH2513" s="1">
        <v>6255</v>
      </c>
      <c r="AI2513" s="1" t="b">
        <v>1</v>
      </c>
    </row>
    <row r="2514" spans="1:35" x14ac:dyDescent="0.25">
      <c r="A2514" s="1">
        <v>20</v>
      </c>
      <c r="B2514" s="1">
        <v>11</v>
      </c>
      <c r="C2514" s="1">
        <v>2019</v>
      </c>
      <c r="G2514" s="1" t="s">
        <v>40</v>
      </c>
      <c r="H2514" s="2">
        <v>89.39</v>
      </c>
      <c r="I2514" s="1">
        <v>190</v>
      </c>
      <c r="U2514" s="1">
        <v>249</v>
      </c>
      <c r="X2514" s="1">
        <v>229</v>
      </c>
      <c r="AA2514" s="1">
        <v>12</v>
      </c>
      <c r="AB2514" s="1">
        <v>4</v>
      </c>
      <c r="AC2514" s="1">
        <v>9737</v>
      </c>
      <c r="AF2514" s="3">
        <v>2.1255173956818436</v>
      </c>
      <c r="AG2514" s="3">
        <v>10.925406191703354</v>
      </c>
      <c r="AH2514" s="1">
        <v>6255</v>
      </c>
      <c r="AI2514" s="1" t="b">
        <v>1</v>
      </c>
    </row>
    <row r="2515" spans="1:35" x14ac:dyDescent="0.25">
      <c r="A2515" s="1">
        <v>20</v>
      </c>
      <c r="B2515" s="1">
        <v>11</v>
      </c>
      <c r="C2515" s="1">
        <v>2019</v>
      </c>
      <c r="G2515" s="1" t="s">
        <v>40</v>
      </c>
      <c r="H2515" s="2">
        <v>90.66</v>
      </c>
      <c r="I2515" s="1">
        <v>201</v>
      </c>
      <c r="U2515" s="1">
        <v>279</v>
      </c>
      <c r="X2515" s="1">
        <v>244</v>
      </c>
      <c r="AA2515" s="1">
        <v>16</v>
      </c>
      <c r="AB2515" s="1">
        <v>10</v>
      </c>
      <c r="AC2515" s="1">
        <v>9764</v>
      </c>
      <c r="AF2515" s="3">
        <v>2.2170747849106553</v>
      </c>
      <c r="AG2515" s="3">
        <v>10.578172810693411</v>
      </c>
      <c r="AH2515" s="1">
        <v>6255</v>
      </c>
      <c r="AI2515" s="1" t="b">
        <v>1</v>
      </c>
    </row>
    <row r="2516" spans="1:35" x14ac:dyDescent="0.25">
      <c r="A2516" s="1">
        <v>20</v>
      </c>
      <c r="B2516" s="1">
        <v>11</v>
      </c>
      <c r="C2516" s="1">
        <v>2019</v>
      </c>
      <c r="G2516" s="1" t="s">
        <v>40</v>
      </c>
      <c r="H2516" s="2">
        <v>73.81</v>
      </c>
      <c r="I2516" s="1">
        <v>159</v>
      </c>
      <c r="U2516" s="1">
        <v>215</v>
      </c>
      <c r="X2516" s="1">
        <v>197</v>
      </c>
      <c r="AA2516" s="1">
        <v>15</v>
      </c>
      <c r="AB2516" s="1">
        <v>14</v>
      </c>
      <c r="AC2516" s="1">
        <v>7957</v>
      </c>
      <c r="AF2516" s="3">
        <v>2.1541796504538682</v>
      </c>
      <c r="AG2516" s="3">
        <v>9.4275474021428174</v>
      </c>
      <c r="AH2516" s="1">
        <v>6255</v>
      </c>
      <c r="AI2516" s="1" t="b">
        <v>1</v>
      </c>
    </row>
    <row r="2517" spans="1:35" x14ac:dyDescent="0.25">
      <c r="A2517" s="1">
        <v>20</v>
      </c>
      <c r="B2517" s="1">
        <v>11</v>
      </c>
      <c r="C2517" s="1">
        <v>2019</v>
      </c>
      <c r="G2517" s="1" t="s">
        <v>40</v>
      </c>
      <c r="H2517" s="2">
        <v>77.47</v>
      </c>
      <c r="I2517" s="1">
        <v>184</v>
      </c>
      <c r="U2517" s="1">
        <v>238</v>
      </c>
      <c r="X2517" s="1">
        <v>217</v>
      </c>
      <c r="AA2517" s="1">
        <v>12</v>
      </c>
      <c r="AB2517" s="1">
        <v>8</v>
      </c>
      <c r="AC2517" s="1">
        <v>8227</v>
      </c>
      <c r="AF2517" s="3">
        <v>2.3751129469472052</v>
      </c>
      <c r="AG2517" s="3">
        <v>8.8452318718284797</v>
      </c>
      <c r="AH2517" s="1">
        <v>6255</v>
      </c>
      <c r="AI2517" s="1" t="b">
        <v>1</v>
      </c>
    </row>
    <row r="2518" spans="1:35" x14ac:dyDescent="0.25">
      <c r="A2518" s="1">
        <v>20</v>
      </c>
      <c r="B2518" s="1">
        <v>11</v>
      </c>
      <c r="C2518" s="1">
        <v>2019</v>
      </c>
      <c r="G2518" s="1" t="s">
        <v>40</v>
      </c>
      <c r="H2518" s="2">
        <v>81.3</v>
      </c>
      <c r="I2518" s="1">
        <v>153</v>
      </c>
      <c r="U2518" s="1">
        <v>228</v>
      </c>
      <c r="X2518" s="1">
        <v>199</v>
      </c>
      <c r="AA2518" s="1">
        <v>14</v>
      </c>
      <c r="AB2518" s="1">
        <v>12</v>
      </c>
      <c r="AC2518" s="1">
        <v>9112</v>
      </c>
      <c r="AF2518" s="3">
        <v>1.8819188191881919</v>
      </c>
      <c r="AG2518" s="3">
        <v>11.546822683080414</v>
      </c>
      <c r="AH2518" s="1">
        <v>6255</v>
      </c>
      <c r="AI2518" s="1" t="b">
        <v>1</v>
      </c>
    </row>
    <row r="2519" spans="1:35" x14ac:dyDescent="0.25">
      <c r="A2519" s="1">
        <v>22</v>
      </c>
      <c r="B2519" s="1">
        <v>11</v>
      </c>
      <c r="C2519" s="1">
        <v>2019</v>
      </c>
      <c r="G2519" s="1" t="s">
        <v>40</v>
      </c>
      <c r="H2519" s="2">
        <v>72.09</v>
      </c>
      <c r="I2519" s="1">
        <v>153</v>
      </c>
      <c r="U2519" s="1">
        <v>204</v>
      </c>
      <c r="X2519" s="1">
        <v>184</v>
      </c>
      <c r="AA2519" s="1">
        <v>13</v>
      </c>
      <c r="AB2519" s="1">
        <v>13</v>
      </c>
      <c r="AC2519" s="1">
        <v>7191</v>
      </c>
      <c r="AF2519" s="3">
        <v>2.1223470661672907</v>
      </c>
      <c r="AG2519" s="3">
        <v>9.412307617898005</v>
      </c>
      <c r="AH2519" s="1">
        <v>6255</v>
      </c>
      <c r="AI2519" s="1" t="b">
        <v>1</v>
      </c>
    </row>
    <row r="2520" spans="1:35" x14ac:dyDescent="0.25">
      <c r="A2520" s="1">
        <v>22</v>
      </c>
      <c r="B2520" s="1">
        <v>11</v>
      </c>
      <c r="C2520" s="1">
        <v>2019</v>
      </c>
      <c r="G2520" s="1" t="s">
        <v>40</v>
      </c>
      <c r="H2520" s="2">
        <v>87.08</v>
      </c>
      <c r="I2520" s="1">
        <v>139</v>
      </c>
      <c r="U2520" s="1">
        <v>205</v>
      </c>
      <c r="X2520" s="1">
        <v>182</v>
      </c>
      <c r="AA2520" s="1">
        <v>15</v>
      </c>
      <c r="AB2520" s="1">
        <v>17</v>
      </c>
      <c r="AC2520" s="1">
        <v>9798</v>
      </c>
      <c r="AF2520" s="3">
        <v>1.5962333486449243</v>
      </c>
      <c r="AG2520" s="3">
        <v>14.283890570122319</v>
      </c>
      <c r="AH2520" s="1">
        <v>6255</v>
      </c>
      <c r="AI2520" s="1" t="b">
        <v>1</v>
      </c>
    </row>
    <row r="2521" spans="1:35" x14ac:dyDescent="0.25">
      <c r="A2521" s="1">
        <v>22</v>
      </c>
      <c r="B2521" s="1">
        <v>11</v>
      </c>
      <c r="C2521" s="1">
        <v>2019</v>
      </c>
      <c r="G2521" s="1" t="s">
        <v>40</v>
      </c>
      <c r="H2521" s="2">
        <v>85.28</v>
      </c>
      <c r="I2521" s="1">
        <v>176</v>
      </c>
      <c r="U2521" s="1">
        <v>256</v>
      </c>
      <c r="X2521" s="1">
        <v>230</v>
      </c>
      <c r="AA2521" s="1">
        <v>20</v>
      </c>
      <c r="AB2521" s="1">
        <v>10</v>
      </c>
      <c r="AC2521" s="1">
        <v>9072</v>
      </c>
      <c r="AF2521" s="3">
        <v>2.0637898686679175</v>
      </c>
      <c r="AG2521" s="3">
        <v>10.887484708441162</v>
      </c>
      <c r="AH2521" s="1">
        <v>6255</v>
      </c>
      <c r="AI2521" s="1" t="b">
        <v>1</v>
      </c>
    </row>
    <row r="2522" spans="1:35" x14ac:dyDescent="0.25">
      <c r="A2522" s="1">
        <v>22</v>
      </c>
      <c r="B2522" s="1">
        <v>11</v>
      </c>
      <c r="C2522" s="1">
        <v>2019</v>
      </c>
      <c r="G2522" s="1" t="s">
        <v>40</v>
      </c>
      <c r="H2522" s="2">
        <v>77.59</v>
      </c>
      <c r="I2522" s="1">
        <v>185</v>
      </c>
      <c r="U2522" s="1">
        <v>246</v>
      </c>
      <c r="X2522" s="1">
        <v>226</v>
      </c>
      <c r="AA2522" s="1">
        <v>14</v>
      </c>
      <c r="AB2522" s="1">
        <v>10</v>
      </c>
      <c r="AC2522" s="1">
        <v>8442</v>
      </c>
      <c r="AF2522" s="3">
        <v>2.3843278773037762</v>
      </c>
      <c r="AG2522" s="3">
        <v>8.8205984118140233</v>
      </c>
      <c r="AH2522" s="1">
        <v>6255</v>
      </c>
      <c r="AI2522" s="1" t="b">
        <v>1</v>
      </c>
    </row>
    <row r="2523" spans="1:35" x14ac:dyDescent="0.25">
      <c r="A2523" s="1">
        <v>24</v>
      </c>
      <c r="B2523" s="1">
        <v>11</v>
      </c>
      <c r="C2523" s="1">
        <v>2019</v>
      </c>
      <c r="G2523" s="1" t="s">
        <v>40</v>
      </c>
      <c r="H2523" s="2">
        <v>120.74</v>
      </c>
      <c r="I2523" s="1">
        <v>172</v>
      </c>
      <c r="U2523" s="1">
        <v>230</v>
      </c>
      <c r="X2523" s="1">
        <v>209</v>
      </c>
      <c r="AA2523" s="1">
        <v>13</v>
      </c>
      <c r="AB2523" s="1">
        <v>9</v>
      </c>
      <c r="AC2523" s="1">
        <v>13093</v>
      </c>
      <c r="AF2523" s="3">
        <v>1.4245486168626802</v>
      </c>
      <c r="AG2523" s="3">
        <v>20.1195630522881</v>
      </c>
      <c r="AH2523" s="1">
        <v>6255</v>
      </c>
      <c r="AI2523" s="1" t="b">
        <v>1</v>
      </c>
    </row>
    <row r="2524" spans="1:35" x14ac:dyDescent="0.25">
      <c r="A2524" s="1">
        <v>25</v>
      </c>
      <c r="B2524" s="1">
        <v>11</v>
      </c>
      <c r="C2524" s="1">
        <v>2019</v>
      </c>
      <c r="G2524" s="1" t="s">
        <v>40</v>
      </c>
      <c r="H2524" s="2">
        <v>78.73</v>
      </c>
      <c r="I2524" s="1">
        <v>165</v>
      </c>
      <c r="U2524" s="1">
        <v>231</v>
      </c>
      <c r="X2524" s="1">
        <v>210</v>
      </c>
      <c r="AA2524" s="1">
        <v>16</v>
      </c>
      <c r="AB2524" s="1">
        <v>8</v>
      </c>
      <c r="AC2524" s="1">
        <v>8781</v>
      </c>
      <c r="AF2524" s="3">
        <v>2.0957703543757145</v>
      </c>
      <c r="AG2524" s="3">
        <v>10.138051270865718</v>
      </c>
      <c r="AH2524" s="1">
        <v>6256</v>
      </c>
      <c r="AI2524" s="1" t="b">
        <v>1</v>
      </c>
    </row>
    <row r="2525" spans="1:35" x14ac:dyDescent="0.25">
      <c r="A2525" s="1">
        <v>25</v>
      </c>
      <c r="B2525" s="1">
        <v>11</v>
      </c>
      <c r="C2525" s="1">
        <v>2019</v>
      </c>
      <c r="G2525" s="1" t="s">
        <v>40</v>
      </c>
      <c r="H2525" s="2">
        <v>74.459999999999994</v>
      </c>
      <c r="I2525" s="1">
        <v>180</v>
      </c>
      <c r="U2525" s="1">
        <v>239</v>
      </c>
      <c r="X2525" s="1">
        <v>214</v>
      </c>
      <c r="AA2525" s="1">
        <v>17</v>
      </c>
      <c r="AB2525" s="1">
        <v>11</v>
      </c>
      <c r="AC2525" s="1">
        <v>7665</v>
      </c>
      <c r="AF2525" s="3">
        <v>2.4174053182917006</v>
      </c>
      <c r="AG2525" s="3">
        <v>8.4527232323372097</v>
      </c>
      <c r="AH2525" s="1">
        <v>6256</v>
      </c>
      <c r="AI2525" s="1" t="b">
        <v>1</v>
      </c>
    </row>
    <row r="2526" spans="1:35" x14ac:dyDescent="0.25">
      <c r="A2526" s="1">
        <v>25</v>
      </c>
      <c r="B2526" s="1">
        <v>11</v>
      </c>
      <c r="C2526" s="1">
        <v>2019</v>
      </c>
      <c r="G2526" s="1" t="s">
        <v>40</v>
      </c>
      <c r="H2526" s="2">
        <v>93.53</v>
      </c>
      <c r="I2526" s="1">
        <v>177</v>
      </c>
      <c r="U2526" s="1">
        <v>257</v>
      </c>
      <c r="X2526" s="1">
        <v>216</v>
      </c>
      <c r="AA2526" s="1">
        <v>15</v>
      </c>
      <c r="AB2526" s="1">
        <v>12</v>
      </c>
      <c r="AC2526" s="1">
        <v>9640</v>
      </c>
      <c r="AF2526" s="3">
        <v>1.8924409280444776</v>
      </c>
      <c r="AG2526" s="3">
        <v>12.666111943754194</v>
      </c>
      <c r="AH2526" s="1">
        <v>6256</v>
      </c>
      <c r="AI2526" s="1" t="b">
        <v>1</v>
      </c>
    </row>
    <row r="2527" spans="1:35" x14ac:dyDescent="0.25">
      <c r="A2527" s="1">
        <v>25</v>
      </c>
      <c r="B2527" s="1">
        <v>11</v>
      </c>
      <c r="C2527" s="1">
        <v>2019</v>
      </c>
      <c r="G2527" s="1" t="s">
        <v>40</v>
      </c>
      <c r="H2527" s="2">
        <v>70.44</v>
      </c>
      <c r="I2527" s="1">
        <v>135</v>
      </c>
      <c r="U2527" s="1">
        <v>191</v>
      </c>
      <c r="X2527" s="1">
        <v>173</v>
      </c>
      <c r="AA2527" s="1">
        <v>15</v>
      </c>
      <c r="AB2527" s="1">
        <v>12</v>
      </c>
      <c r="AC2527" s="1">
        <v>7456</v>
      </c>
      <c r="AF2527" s="3">
        <v>1.9165247018739353</v>
      </c>
      <c r="AG2527" s="3">
        <v>10.255553910119406</v>
      </c>
      <c r="AH2527" s="1">
        <v>6256</v>
      </c>
      <c r="AI2527" s="1" t="b">
        <v>1</v>
      </c>
    </row>
    <row r="2528" spans="1:35" x14ac:dyDescent="0.25">
      <c r="A2528" s="1">
        <v>26</v>
      </c>
      <c r="B2528" s="1">
        <v>11</v>
      </c>
      <c r="C2528" s="1">
        <v>2019</v>
      </c>
      <c r="G2528" s="1" t="s">
        <v>40</v>
      </c>
      <c r="H2528" s="2">
        <v>90.09</v>
      </c>
      <c r="I2528" s="1">
        <v>172</v>
      </c>
      <c r="U2528" s="1">
        <v>239</v>
      </c>
      <c r="X2528" s="1">
        <v>211</v>
      </c>
      <c r="AA2528" s="1">
        <v>18</v>
      </c>
      <c r="AB2528" s="1">
        <v>16</v>
      </c>
      <c r="AC2528" s="1">
        <v>11035</v>
      </c>
      <c r="AF2528" s="3">
        <v>1.909201909201909</v>
      </c>
      <c r="AG2528" s="3">
        <v>12.229867471731453</v>
      </c>
      <c r="AH2528" s="1">
        <v>6256</v>
      </c>
      <c r="AI2528" s="1" t="b">
        <v>1</v>
      </c>
    </row>
    <row r="2529" spans="1:35" x14ac:dyDescent="0.25">
      <c r="A2529" s="1">
        <v>26</v>
      </c>
      <c r="B2529" s="1">
        <v>11</v>
      </c>
      <c r="C2529" s="1">
        <v>2019</v>
      </c>
      <c r="G2529" s="1" t="s">
        <v>40</v>
      </c>
      <c r="H2529" s="2">
        <v>78.7</v>
      </c>
      <c r="I2529" s="1">
        <v>171</v>
      </c>
      <c r="U2529" s="1">
        <v>224</v>
      </c>
      <c r="X2529" s="1">
        <v>203</v>
      </c>
      <c r="AA2529" s="1">
        <v>14</v>
      </c>
      <c r="AB2529" s="1">
        <v>13</v>
      </c>
      <c r="AC2529" s="1">
        <v>8645</v>
      </c>
      <c r="AF2529" s="3">
        <v>2.1728081321473951</v>
      </c>
      <c r="AG2529" s="3">
        <v>9.7759941860953443</v>
      </c>
      <c r="AH2529" s="1">
        <v>6256</v>
      </c>
      <c r="AI2529" s="1" t="b">
        <v>1</v>
      </c>
    </row>
    <row r="2530" spans="1:35" x14ac:dyDescent="0.25">
      <c r="A2530" s="1">
        <v>26</v>
      </c>
      <c r="B2530" s="1">
        <v>11</v>
      </c>
      <c r="C2530" s="1">
        <v>2019</v>
      </c>
      <c r="G2530" s="1" t="s">
        <v>40</v>
      </c>
      <c r="H2530" s="2">
        <v>73.150000000000006</v>
      </c>
      <c r="I2530" s="1">
        <v>174</v>
      </c>
      <c r="U2530" s="1">
        <v>227</v>
      </c>
      <c r="X2530" s="1">
        <v>208</v>
      </c>
      <c r="AA2530" s="1">
        <v>13</v>
      </c>
      <c r="AB2530" s="1">
        <v>9</v>
      </c>
      <c r="AC2530" s="1">
        <v>8021</v>
      </c>
      <c r="AF2530" s="3">
        <v>2.3786739576213258</v>
      </c>
      <c r="AG2530" s="3">
        <v>8.4842823587975484</v>
      </c>
      <c r="AH2530" s="1">
        <v>6256</v>
      </c>
      <c r="AI2530" s="1" t="b">
        <v>1</v>
      </c>
    </row>
    <row r="2531" spans="1:35" x14ac:dyDescent="0.25">
      <c r="A2531" s="1">
        <v>26</v>
      </c>
      <c r="B2531" s="1">
        <v>11</v>
      </c>
      <c r="C2531" s="1">
        <v>2019</v>
      </c>
      <c r="G2531" s="1" t="s">
        <v>40</v>
      </c>
      <c r="H2531" s="2">
        <v>75.989999999999995</v>
      </c>
      <c r="I2531" s="1">
        <v>180</v>
      </c>
      <c r="U2531" s="1">
        <v>245</v>
      </c>
      <c r="X2531" s="1">
        <v>220</v>
      </c>
      <c r="AA2531" s="1">
        <v>14</v>
      </c>
      <c r="AB2531" s="1">
        <v>12</v>
      </c>
      <c r="AC2531" s="1">
        <v>8677</v>
      </c>
      <c r="AF2531" s="3">
        <v>2.3687327279905253</v>
      </c>
      <c r="AG2531" s="3">
        <v>8.7501087482932984</v>
      </c>
      <c r="AH2531" s="1">
        <v>6256</v>
      </c>
      <c r="AI2531" s="1" t="b">
        <v>1</v>
      </c>
    </row>
    <row r="2532" spans="1:35" x14ac:dyDescent="0.25">
      <c r="A2532" s="1">
        <v>26</v>
      </c>
      <c r="B2532" s="1">
        <v>11</v>
      </c>
      <c r="C2532" s="1">
        <v>2019</v>
      </c>
      <c r="G2532" s="1" t="s">
        <v>40</v>
      </c>
      <c r="H2532" s="2">
        <v>75.819999999999993</v>
      </c>
      <c r="I2532" s="1">
        <v>173</v>
      </c>
      <c r="U2532" s="1">
        <v>233</v>
      </c>
      <c r="X2532" s="1">
        <v>210</v>
      </c>
      <c r="AA2532" s="1">
        <v>14</v>
      </c>
      <c r="AB2532" s="1">
        <v>11</v>
      </c>
      <c r="AC2532" s="1">
        <v>7986</v>
      </c>
      <c r="AF2532" s="3">
        <v>2.2817198628330257</v>
      </c>
      <c r="AG2532" s="3">
        <v>9.069562188289618</v>
      </c>
      <c r="AH2532" s="1">
        <v>6256</v>
      </c>
      <c r="AI2532" s="1" t="b">
        <v>1</v>
      </c>
    </row>
    <row r="2533" spans="1:35" x14ac:dyDescent="0.25">
      <c r="A2533" s="1">
        <v>26</v>
      </c>
      <c r="B2533" s="1">
        <v>11</v>
      </c>
      <c r="C2533" s="1">
        <v>2019</v>
      </c>
      <c r="G2533" s="1" t="s">
        <v>40</v>
      </c>
      <c r="H2533" s="2">
        <v>83.96</v>
      </c>
      <c r="I2533" s="1">
        <v>170</v>
      </c>
      <c r="U2533" s="1">
        <v>246</v>
      </c>
      <c r="X2533" s="1">
        <v>217</v>
      </c>
      <c r="AA2533" s="1">
        <v>17</v>
      </c>
      <c r="AB2533" s="1">
        <v>13</v>
      </c>
      <c r="AC2533" s="1">
        <v>9459</v>
      </c>
      <c r="AF2533" s="3">
        <v>2.0247737017627445</v>
      </c>
      <c r="AG2533" s="3">
        <v>10.976761029619603</v>
      </c>
      <c r="AH2533" s="1">
        <v>6256</v>
      </c>
      <c r="AI2533" s="1" t="b">
        <v>1</v>
      </c>
    </row>
    <row r="2534" spans="1:35" x14ac:dyDescent="0.25">
      <c r="A2534" s="1">
        <v>26</v>
      </c>
      <c r="B2534" s="1">
        <v>11</v>
      </c>
      <c r="C2534" s="1">
        <v>2019</v>
      </c>
      <c r="G2534" s="1" t="s">
        <v>40</v>
      </c>
      <c r="H2534" s="2">
        <v>94.43</v>
      </c>
      <c r="I2534" s="1">
        <v>186</v>
      </c>
      <c r="U2534" s="1">
        <v>240</v>
      </c>
      <c r="X2534" s="1">
        <v>215</v>
      </c>
      <c r="AA2534" s="1">
        <v>11</v>
      </c>
      <c r="AB2534" s="1">
        <v>8</v>
      </c>
      <c r="AC2534" s="1">
        <v>9623</v>
      </c>
      <c r="AF2534" s="3">
        <v>1.9697130149316953</v>
      </c>
      <c r="AG2534" s="3">
        <v>12.251070477047746</v>
      </c>
      <c r="AH2534" s="1">
        <v>6256</v>
      </c>
      <c r="AI2534" s="1" t="b">
        <v>1</v>
      </c>
    </row>
    <row r="2535" spans="1:35" x14ac:dyDescent="0.25">
      <c r="A2535" s="1">
        <v>26</v>
      </c>
      <c r="B2535" s="1">
        <v>11</v>
      </c>
      <c r="C2535" s="1">
        <v>2019</v>
      </c>
      <c r="G2535" s="1" t="s">
        <v>40</v>
      </c>
      <c r="H2535" s="2">
        <v>73.77</v>
      </c>
      <c r="I2535" s="1">
        <v>156</v>
      </c>
      <c r="U2535" s="1">
        <v>201</v>
      </c>
      <c r="X2535" s="1">
        <v>184</v>
      </c>
      <c r="AA2535" s="1">
        <v>15</v>
      </c>
      <c r="AB2535" s="1">
        <v>10</v>
      </c>
      <c r="AC2535" s="1">
        <v>8299</v>
      </c>
      <c r="AF2535" s="3">
        <v>2.1146807645384302</v>
      </c>
      <c r="AG2535" s="3">
        <v>9.5999955897632265</v>
      </c>
      <c r="AH2535" s="1">
        <v>6256</v>
      </c>
      <c r="AI2535" s="1" t="b">
        <v>1</v>
      </c>
    </row>
    <row r="2536" spans="1:35" x14ac:dyDescent="0.25">
      <c r="A2536" s="1">
        <v>26</v>
      </c>
      <c r="B2536" s="1">
        <v>11</v>
      </c>
      <c r="C2536" s="1">
        <v>2019</v>
      </c>
      <c r="G2536" s="1" t="s">
        <v>40</v>
      </c>
      <c r="H2536" s="2">
        <v>75.61</v>
      </c>
      <c r="I2536" s="1">
        <v>162</v>
      </c>
      <c r="U2536" s="1">
        <v>228</v>
      </c>
      <c r="X2536" s="1">
        <v>201</v>
      </c>
      <c r="AA2536" s="1">
        <v>14</v>
      </c>
      <c r="AB2536" s="1">
        <v>16</v>
      </c>
      <c r="AC2536" s="1">
        <v>8462</v>
      </c>
      <c r="AF2536" s="3">
        <v>2.1425737336331174</v>
      </c>
      <c r="AG2536" s="3">
        <v>9.6398369929736365</v>
      </c>
      <c r="AH2536" s="1">
        <v>6256</v>
      </c>
      <c r="AI2536" s="1" t="b">
        <v>1</v>
      </c>
    </row>
    <row r="2537" spans="1:35" x14ac:dyDescent="0.25">
      <c r="A2537" s="1">
        <v>27</v>
      </c>
      <c r="B2537" s="1">
        <v>11</v>
      </c>
      <c r="C2537" s="1">
        <v>2019</v>
      </c>
      <c r="G2537" s="1" t="s">
        <v>40</v>
      </c>
      <c r="H2537" s="2">
        <v>81.010000000000005</v>
      </c>
      <c r="I2537" s="1">
        <v>177</v>
      </c>
      <c r="U2537" s="1">
        <v>231</v>
      </c>
      <c r="X2537" s="1">
        <v>211</v>
      </c>
      <c r="AA2537" s="1">
        <v>14</v>
      </c>
      <c r="AB2537" s="1">
        <v>11</v>
      </c>
      <c r="AC2537" s="1">
        <v>8396</v>
      </c>
      <c r="AF2537" s="3">
        <v>2.184915442537958</v>
      </c>
      <c r="AG2537" s="3">
        <v>9.9207020896458573</v>
      </c>
      <c r="AH2537" s="1">
        <v>6256</v>
      </c>
      <c r="AI2537" s="1" t="b">
        <v>1</v>
      </c>
    </row>
    <row r="2538" spans="1:35" x14ac:dyDescent="0.25">
      <c r="A2538" s="1">
        <v>27</v>
      </c>
      <c r="B2538" s="1">
        <v>11</v>
      </c>
      <c r="C2538" s="1">
        <v>2019</v>
      </c>
      <c r="G2538" s="1" t="s">
        <v>40</v>
      </c>
      <c r="H2538" s="2">
        <v>81.89</v>
      </c>
      <c r="I2538" s="1">
        <v>191</v>
      </c>
      <c r="U2538" s="1">
        <v>260</v>
      </c>
      <c r="X2538" s="1">
        <v>226</v>
      </c>
      <c r="AA2538" s="1">
        <v>15</v>
      </c>
      <c r="AB2538" s="1">
        <v>7</v>
      </c>
      <c r="AC2538" s="1">
        <v>8753</v>
      </c>
      <c r="AF2538" s="3">
        <v>2.3323971180852361</v>
      </c>
      <c r="AG2538" s="3">
        <v>9.3639505947699195</v>
      </c>
      <c r="AH2538" s="1">
        <v>6256</v>
      </c>
      <c r="AI2538" s="1" t="b">
        <v>1</v>
      </c>
    </row>
    <row r="2539" spans="1:35" x14ac:dyDescent="0.25">
      <c r="A2539" s="1">
        <v>27</v>
      </c>
      <c r="B2539" s="1">
        <v>11</v>
      </c>
      <c r="C2539" s="1">
        <v>2019</v>
      </c>
      <c r="G2539" s="1" t="s">
        <v>40</v>
      </c>
      <c r="H2539" s="2">
        <v>73.88</v>
      </c>
      <c r="I2539" s="1">
        <v>163</v>
      </c>
      <c r="U2539" s="1">
        <v>237</v>
      </c>
      <c r="X2539" s="1">
        <v>207</v>
      </c>
      <c r="AA2539" s="1">
        <v>15</v>
      </c>
      <c r="AB2539" s="1">
        <v>7</v>
      </c>
      <c r="AC2539" s="1">
        <v>7943</v>
      </c>
      <c r="AF2539" s="3">
        <v>2.2062804547915542</v>
      </c>
      <c r="AG2539" s="3">
        <v>9.2110280129954774</v>
      </c>
      <c r="AH2539" s="1">
        <v>6256</v>
      </c>
      <c r="AI2539" s="1" t="b">
        <v>1</v>
      </c>
    </row>
    <row r="2540" spans="1:35" x14ac:dyDescent="0.25">
      <c r="A2540" s="1">
        <v>27</v>
      </c>
      <c r="B2540" s="1">
        <v>11</v>
      </c>
      <c r="C2540" s="1">
        <v>2019</v>
      </c>
      <c r="G2540" s="1" t="s">
        <v>40</v>
      </c>
      <c r="H2540" s="2">
        <v>77.98</v>
      </c>
      <c r="I2540" s="1">
        <v>171</v>
      </c>
      <c r="U2540" s="1">
        <v>234</v>
      </c>
      <c r="X2540" s="1">
        <v>208</v>
      </c>
      <c r="AA2540" s="1">
        <v>15</v>
      </c>
      <c r="AB2540" s="1">
        <v>8</v>
      </c>
      <c r="AC2540" s="1">
        <v>8773</v>
      </c>
      <c r="AF2540" s="3">
        <v>2.1928699666581175</v>
      </c>
      <c r="AG2540" s="3">
        <v>9.6244380643026854</v>
      </c>
      <c r="AH2540" s="1">
        <v>6256</v>
      </c>
      <c r="AI2540" s="1" t="b">
        <v>1</v>
      </c>
    </row>
    <row r="2541" spans="1:35" x14ac:dyDescent="0.25">
      <c r="A2541" s="1">
        <v>27</v>
      </c>
      <c r="B2541" s="1">
        <v>11</v>
      </c>
      <c r="C2541" s="1">
        <v>2019</v>
      </c>
      <c r="G2541" s="1" t="s">
        <v>40</v>
      </c>
      <c r="H2541" s="2">
        <v>69.38</v>
      </c>
      <c r="I2541" s="1">
        <v>174</v>
      </c>
      <c r="U2541" s="1">
        <v>219</v>
      </c>
      <c r="X2541" s="1">
        <v>203</v>
      </c>
      <c r="AA2541" s="1">
        <v>11</v>
      </c>
      <c r="AB2541" s="1">
        <v>6</v>
      </c>
      <c r="AC2541" s="1">
        <v>7663</v>
      </c>
      <c r="AF2541" s="3">
        <v>2.5079273565869129</v>
      </c>
      <c r="AG2541" s="3">
        <v>7.7544152545477303</v>
      </c>
      <c r="AH2541" s="1">
        <v>6256</v>
      </c>
      <c r="AI2541" s="1" t="b">
        <v>1</v>
      </c>
    </row>
    <row r="2542" spans="1:35" x14ac:dyDescent="0.25">
      <c r="A2542" s="1">
        <v>27</v>
      </c>
      <c r="B2542" s="1">
        <v>11</v>
      </c>
      <c r="C2542" s="1">
        <v>2019</v>
      </c>
      <c r="G2542" s="1" t="s">
        <v>40</v>
      </c>
      <c r="H2542" s="2">
        <v>75.02</v>
      </c>
      <c r="I2542" s="1">
        <v>163</v>
      </c>
      <c r="U2542" s="1">
        <v>215</v>
      </c>
      <c r="X2542" s="1">
        <v>196</v>
      </c>
      <c r="AA2542" s="1">
        <v>14</v>
      </c>
      <c r="AB2542" s="1">
        <v>12</v>
      </c>
      <c r="AC2542" s="1">
        <v>8457</v>
      </c>
      <c r="AF2542" s="3">
        <v>2.1727539322847242</v>
      </c>
      <c r="AG2542" s="3">
        <v>9.453952094184384</v>
      </c>
      <c r="AH2542" s="1">
        <v>6256</v>
      </c>
      <c r="AI2542" s="1" t="b">
        <v>1</v>
      </c>
    </row>
    <row r="2543" spans="1:35" x14ac:dyDescent="0.25">
      <c r="A2543" s="1">
        <v>27</v>
      </c>
      <c r="B2543" s="1">
        <v>11</v>
      </c>
      <c r="C2543" s="1">
        <v>2019</v>
      </c>
      <c r="G2543" s="1" t="s">
        <v>40</v>
      </c>
      <c r="H2543" s="2">
        <v>78.739999999999995</v>
      </c>
      <c r="I2543" s="1">
        <v>179</v>
      </c>
      <c r="U2543" s="1">
        <v>229</v>
      </c>
      <c r="X2543" s="1">
        <v>208</v>
      </c>
      <c r="AA2543" s="1">
        <v>12</v>
      </c>
      <c r="AB2543" s="1">
        <v>6</v>
      </c>
      <c r="AC2543" s="1">
        <v>9380</v>
      </c>
      <c r="AF2543" s="3">
        <v>2.2733045466090935</v>
      </c>
      <c r="AG2543" s="3">
        <v>9.3471490235430466</v>
      </c>
      <c r="AH2543" s="1">
        <v>6256</v>
      </c>
      <c r="AI2543" s="1" t="b">
        <v>1</v>
      </c>
    </row>
    <row r="2544" spans="1:35" x14ac:dyDescent="0.25">
      <c r="A2544" s="1">
        <v>27</v>
      </c>
      <c r="B2544" s="1">
        <v>11</v>
      </c>
      <c r="C2544" s="1">
        <v>2019</v>
      </c>
      <c r="G2544" s="1" t="s">
        <v>40</v>
      </c>
      <c r="H2544" s="2">
        <v>88.09</v>
      </c>
      <c r="I2544" s="1">
        <v>207</v>
      </c>
      <c r="U2544" s="1">
        <v>266</v>
      </c>
      <c r="X2544" s="1">
        <v>236</v>
      </c>
      <c r="AA2544" s="1">
        <v>13</v>
      </c>
      <c r="AB2544" s="1">
        <v>7</v>
      </c>
      <c r="AC2544" s="1">
        <v>8867</v>
      </c>
      <c r="AF2544" s="3">
        <v>2.3498694516971277</v>
      </c>
      <c r="AG2544" s="3">
        <v>9.7814872128715216</v>
      </c>
      <c r="AH2544" s="1">
        <v>6256</v>
      </c>
      <c r="AI2544" s="1" t="b">
        <v>1</v>
      </c>
    </row>
    <row r="2545" spans="1:35" x14ac:dyDescent="0.25">
      <c r="A2545" s="1">
        <v>27</v>
      </c>
      <c r="B2545" s="1">
        <v>11</v>
      </c>
      <c r="C2545" s="1">
        <v>2019</v>
      </c>
      <c r="G2545" s="1" t="s">
        <v>40</v>
      </c>
      <c r="H2545" s="2">
        <v>87.38</v>
      </c>
      <c r="I2545" s="1">
        <v>198</v>
      </c>
      <c r="U2545" s="1">
        <v>257</v>
      </c>
      <c r="X2545" s="1">
        <v>236</v>
      </c>
      <c r="AA2545" s="1">
        <v>14</v>
      </c>
      <c r="AB2545" s="1">
        <v>8</v>
      </c>
      <c r="AC2545" s="1">
        <v>9625</v>
      </c>
      <c r="AF2545" s="3">
        <v>2.2659647516594186</v>
      </c>
      <c r="AG2545" s="3">
        <v>10.086378894166977</v>
      </c>
      <c r="AH2545" s="1">
        <v>6256</v>
      </c>
      <c r="AI2545" s="1" t="b">
        <v>1</v>
      </c>
    </row>
    <row r="2546" spans="1:35" x14ac:dyDescent="0.25">
      <c r="A2546" s="1">
        <v>28</v>
      </c>
      <c r="B2546" s="1">
        <v>11</v>
      </c>
      <c r="C2546" s="1">
        <v>2019</v>
      </c>
      <c r="G2546" s="1" t="s">
        <v>40</v>
      </c>
      <c r="H2546" s="2">
        <v>79.849999999999994</v>
      </c>
      <c r="I2546" s="1">
        <v>183</v>
      </c>
      <c r="U2546" s="1">
        <v>239</v>
      </c>
      <c r="X2546" s="1">
        <v>213</v>
      </c>
      <c r="AA2546" s="1">
        <v>13</v>
      </c>
      <c r="AB2546" s="1">
        <v>10</v>
      </c>
      <c r="AC2546" s="1">
        <v>8255</v>
      </c>
      <c r="AF2546" s="3">
        <v>2.2917971195992486</v>
      </c>
      <c r="AG2546" s="3">
        <v>9.3630269853805341</v>
      </c>
      <c r="AH2546" s="1">
        <v>6256</v>
      </c>
      <c r="AI2546" s="1" t="b">
        <v>1</v>
      </c>
    </row>
    <row r="2547" spans="1:35" x14ac:dyDescent="0.25">
      <c r="A2547" s="1">
        <v>28</v>
      </c>
      <c r="B2547" s="1">
        <v>11</v>
      </c>
      <c r="C2547" s="1">
        <v>2019</v>
      </c>
      <c r="G2547" s="1" t="s">
        <v>40</v>
      </c>
      <c r="H2547" s="2">
        <v>66.72</v>
      </c>
      <c r="I2547" s="1">
        <v>141</v>
      </c>
      <c r="U2547" s="1">
        <v>185</v>
      </c>
      <c r="X2547" s="1">
        <v>168</v>
      </c>
      <c r="AA2547" s="1">
        <v>12</v>
      </c>
      <c r="AB2547" s="1">
        <v>12</v>
      </c>
      <c r="AC2547" s="1">
        <v>8051</v>
      </c>
      <c r="AF2547" s="3">
        <v>2.1133093525179856</v>
      </c>
      <c r="AG2547" s="3">
        <v>8.9539806458504643</v>
      </c>
      <c r="AH2547" s="1">
        <v>6256</v>
      </c>
      <c r="AI2547" s="1" t="b">
        <v>1</v>
      </c>
    </row>
    <row r="2548" spans="1:35" x14ac:dyDescent="0.25">
      <c r="A2548" s="1">
        <v>28</v>
      </c>
      <c r="B2548" s="1">
        <v>11</v>
      </c>
      <c r="C2548" s="1">
        <v>2019</v>
      </c>
      <c r="G2548" s="1" t="s">
        <v>40</v>
      </c>
      <c r="H2548" s="2">
        <v>72.75</v>
      </c>
      <c r="I2548" s="1">
        <v>177</v>
      </c>
      <c r="U2548" s="1">
        <v>237</v>
      </c>
      <c r="X2548" s="1">
        <v>215</v>
      </c>
      <c r="AA2548" s="1">
        <v>13</v>
      </c>
      <c r="AB2548" s="1">
        <v>7</v>
      </c>
      <c r="AC2548" s="1">
        <v>8491</v>
      </c>
      <c r="AF2548" s="3">
        <v>2.4329896907216493</v>
      </c>
      <c r="AG2548" s="3">
        <v>8.2630965949920139</v>
      </c>
      <c r="AH2548" s="1">
        <v>6256</v>
      </c>
      <c r="AI2548" s="1" t="b">
        <v>1</v>
      </c>
    </row>
    <row r="2549" spans="1:35" x14ac:dyDescent="0.25">
      <c r="A2549" s="1">
        <v>28</v>
      </c>
      <c r="B2549" s="1">
        <v>11</v>
      </c>
      <c r="C2549" s="1">
        <v>2019</v>
      </c>
      <c r="G2549" s="1" t="s">
        <v>40</v>
      </c>
      <c r="H2549" s="2">
        <v>80.3</v>
      </c>
      <c r="I2549" s="1">
        <v>176</v>
      </c>
      <c r="U2549" s="1">
        <v>239</v>
      </c>
      <c r="X2549" s="1">
        <v>218</v>
      </c>
      <c r="AA2549" s="1">
        <v>16</v>
      </c>
      <c r="AB2549" s="1">
        <v>16</v>
      </c>
      <c r="AC2549" s="1">
        <v>8602</v>
      </c>
      <c r="AF2549" s="3">
        <v>2.1917808219178081</v>
      </c>
      <c r="AG2549" s="3">
        <v>9.8288738062493497</v>
      </c>
      <c r="AH2549" s="1">
        <v>6256</v>
      </c>
      <c r="AI2549" s="1" t="b">
        <v>1</v>
      </c>
    </row>
    <row r="2550" spans="1:35" x14ac:dyDescent="0.25">
      <c r="A2550" s="1">
        <v>28</v>
      </c>
      <c r="B2550" s="1">
        <v>11</v>
      </c>
      <c r="C2550" s="1">
        <v>2019</v>
      </c>
      <c r="G2550" s="1" t="s">
        <v>40</v>
      </c>
      <c r="H2550" s="2">
        <v>75.17</v>
      </c>
      <c r="I2550" s="1">
        <v>193</v>
      </c>
      <c r="U2550" s="1">
        <v>249</v>
      </c>
      <c r="X2550" s="1">
        <v>223</v>
      </c>
      <c r="AA2550" s="1">
        <v>13</v>
      </c>
      <c r="AB2550" s="1">
        <v>7</v>
      </c>
      <c r="AC2550" s="1">
        <v>8077</v>
      </c>
      <c r="AF2550" s="3">
        <v>2.5675136357589463</v>
      </c>
      <c r="AG2550" s="3">
        <v>8.0115846615830844</v>
      </c>
      <c r="AH2550" s="1">
        <v>6256</v>
      </c>
      <c r="AI2550" s="1" t="b">
        <v>1</v>
      </c>
    </row>
    <row r="2551" spans="1:35" x14ac:dyDescent="0.25">
      <c r="A2551" s="1">
        <v>28</v>
      </c>
      <c r="B2551" s="1">
        <v>11</v>
      </c>
      <c r="C2551" s="1">
        <v>2019</v>
      </c>
      <c r="G2551" s="1" t="s">
        <v>40</v>
      </c>
      <c r="H2551" s="2">
        <v>85.09</v>
      </c>
      <c r="I2551" s="1">
        <v>186</v>
      </c>
      <c r="U2551" s="1">
        <v>260</v>
      </c>
      <c r="X2551" s="1">
        <v>233</v>
      </c>
      <c r="AA2551" s="1">
        <v>15</v>
      </c>
      <c r="AB2551" s="1">
        <v>9</v>
      </c>
      <c r="AC2551" s="1">
        <v>9137</v>
      </c>
      <c r="AF2551" s="3">
        <v>2.1859207897520272</v>
      </c>
      <c r="AG2551" s="3">
        <v>10.263146919875709</v>
      </c>
      <c r="AH2551" s="1">
        <v>6256</v>
      </c>
      <c r="AI2551" s="1" t="b">
        <v>1</v>
      </c>
    </row>
    <row r="2552" spans="1:35" x14ac:dyDescent="0.25">
      <c r="A2552" s="1">
        <v>28</v>
      </c>
      <c r="B2552" s="1">
        <v>11</v>
      </c>
      <c r="C2552" s="1">
        <v>2019</v>
      </c>
      <c r="G2552" s="1" t="s">
        <v>40</v>
      </c>
      <c r="H2552" s="2">
        <v>80.150000000000006</v>
      </c>
      <c r="I2552" s="1">
        <v>160</v>
      </c>
      <c r="U2552" s="1">
        <v>233</v>
      </c>
      <c r="X2552" s="1">
        <v>207</v>
      </c>
      <c r="AA2552" s="1">
        <v>18</v>
      </c>
      <c r="AB2552" s="1">
        <v>13</v>
      </c>
      <c r="AC2552" s="1">
        <v>9117</v>
      </c>
      <c r="AF2552" s="3">
        <v>1.996257018091079</v>
      </c>
      <c r="AG2552" s="3">
        <v>10.777449901139146</v>
      </c>
      <c r="AH2552" s="1">
        <v>6256</v>
      </c>
      <c r="AI2552" s="1" t="b">
        <v>1</v>
      </c>
    </row>
    <row r="2553" spans="1:35" x14ac:dyDescent="0.25">
      <c r="A2553" s="1">
        <v>29</v>
      </c>
      <c r="B2553" s="1">
        <v>11</v>
      </c>
      <c r="C2553" s="1">
        <v>2019</v>
      </c>
      <c r="G2553" s="1" t="s">
        <v>40</v>
      </c>
      <c r="H2553" s="2">
        <v>82.79</v>
      </c>
      <c r="I2553" s="1">
        <v>166</v>
      </c>
      <c r="U2553" s="1">
        <v>205</v>
      </c>
      <c r="X2553" s="1">
        <v>191</v>
      </c>
      <c r="AA2553" s="1">
        <v>10</v>
      </c>
      <c r="AB2553" s="1">
        <v>6</v>
      </c>
      <c r="AC2553" s="1">
        <v>8247</v>
      </c>
      <c r="AF2553" s="3">
        <v>2.0050730764585092</v>
      </c>
      <c r="AG2553" s="3">
        <v>10.97625814336635</v>
      </c>
      <c r="AH2553" s="1">
        <v>6256</v>
      </c>
      <c r="AI2553" s="1" t="b">
        <v>1</v>
      </c>
    </row>
    <row r="2554" spans="1:35" x14ac:dyDescent="0.25">
      <c r="A2554" s="1">
        <v>29</v>
      </c>
      <c r="B2554" s="1">
        <v>11</v>
      </c>
      <c r="C2554" s="1">
        <v>2019</v>
      </c>
      <c r="G2554" s="1" t="s">
        <v>40</v>
      </c>
      <c r="H2554" s="2">
        <v>86.26</v>
      </c>
      <c r="I2554" s="1">
        <v>166</v>
      </c>
      <c r="U2554" s="1">
        <v>234</v>
      </c>
      <c r="X2554" s="1">
        <v>210</v>
      </c>
      <c r="AA2554" s="1">
        <v>16</v>
      </c>
      <c r="AB2554" s="1">
        <v>15</v>
      </c>
      <c r="AC2554" s="1">
        <v>9573</v>
      </c>
      <c r="AF2554" s="3">
        <v>1.9244145606306513</v>
      </c>
      <c r="AG2554" s="3">
        <v>11.769770198228178</v>
      </c>
      <c r="AH2554" s="1">
        <v>6256</v>
      </c>
      <c r="AI2554" s="1" t="b">
        <v>1</v>
      </c>
    </row>
    <row r="2555" spans="1:35" x14ac:dyDescent="0.25">
      <c r="A2555" s="1">
        <v>29</v>
      </c>
      <c r="B2555" s="1">
        <v>11</v>
      </c>
      <c r="C2555" s="1">
        <v>2019</v>
      </c>
      <c r="G2555" s="1" t="s">
        <v>40</v>
      </c>
      <c r="H2555" s="2">
        <v>89</v>
      </c>
      <c r="I2555" s="1">
        <v>161</v>
      </c>
      <c r="U2555" s="1">
        <v>207</v>
      </c>
      <c r="X2555" s="1">
        <v>187</v>
      </c>
      <c r="AA2555" s="1">
        <v>11</v>
      </c>
      <c r="AB2555" s="1">
        <v>7</v>
      </c>
      <c r="AC2555" s="1">
        <v>9216</v>
      </c>
      <c r="AF2555" s="3">
        <v>1.8089887640449438</v>
      </c>
      <c r="AG2555" s="3">
        <v>12.797853525717723</v>
      </c>
      <c r="AH2555" s="1">
        <v>6256</v>
      </c>
      <c r="AI2555" s="1" t="b">
        <v>1</v>
      </c>
    </row>
    <row r="2556" spans="1:35" x14ac:dyDescent="0.25">
      <c r="A2556" s="1">
        <v>29</v>
      </c>
      <c r="B2556" s="1">
        <v>11</v>
      </c>
      <c r="C2556" s="1">
        <v>2019</v>
      </c>
      <c r="G2556" s="1" t="s">
        <v>40</v>
      </c>
      <c r="H2556" s="2">
        <v>79.19</v>
      </c>
      <c r="I2556" s="1">
        <v>166</v>
      </c>
      <c r="U2556" s="1">
        <v>234</v>
      </c>
      <c r="X2556" s="1">
        <v>210</v>
      </c>
      <c r="AA2556" s="1">
        <v>14</v>
      </c>
      <c r="AB2556" s="1">
        <v>11</v>
      </c>
      <c r="AC2556" s="1">
        <v>8653</v>
      </c>
      <c r="AF2556" s="3">
        <v>2.0962242707412551</v>
      </c>
      <c r="AG2556" s="3">
        <v>10.177274654594026</v>
      </c>
      <c r="AH2556" s="1">
        <v>6256</v>
      </c>
      <c r="AI2556" s="1" t="b">
        <v>1</v>
      </c>
    </row>
    <row r="2557" spans="1:35" x14ac:dyDescent="0.25">
      <c r="A2557" s="1">
        <v>29</v>
      </c>
      <c r="B2557" s="1">
        <v>11</v>
      </c>
      <c r="C2557" s="1">
        <v>2019</v>
      </c>
      <c r="G2557" s="1" t="s">
        <v>40</v>
      </c>
      <c r="H2557" s="2">
        <v>80.209999999999994</v>
      </c>
      <c r="I2557" s="1">
        <v>148</v>
      </c>
      <c r="U2557" s="1">
        <v>211</v>
      </c>
      <c r="X2557" s="1">
        <v>183</v>
      </c>
      <c r="AA2557" s="1">
        <v>14</v>
      </c>
      <c r="AB2557" s="1">
        <v>11</v>
      </c>
      <c r="AC2557" s="1">
        <v>8373</v>
      </c>
      <c r="AF2557" s="3">
        <v>1.8451564642812619</v>
      </c>
      <c r="AG2557" s="3">
        <v>11.666128677254934</v>
      </c>
      <c r="AH2557" s="1">
        <v>6256</v>
      </c>
      <c r="AI2557" s="1" t="b">
        <v>1</v>
      </c>
    </row>
    <row r="2558" spans="1:35" x14ac:dyDescent="0.25">
      <c r="A2558" s="1">
        <v>29</v>
      </c>
      <c r="B2558" s="1">
        <v>11</v>
      </c>
      <c r="C2558" s="1">
        <v>2019</v>
      </c>
      <c r="G2558" s="1" t="s">
        <v>40</v>
      </c>
      <c r="H2558" s="2">
        <v>72.5</v>
      </c>
      <c r="I2558" s="1">
        <v>150</v>
      </c>
      <c r="U2558" s="1">
        <v>205</v>
      </c>
      <c r="X2558" s="1">
        <v>183</v>
      </c>
      <c r="AA2558" s="1">
        <v>12</v>
      </c>
      <c r="AB2558" s="1">
        <v>17</v>
      </c>
      <c r="AC2558" s="1">
        <v>8130</v>
      </c>
      <c r="AF2558" s="3">
        <v>2.0689655172413794</v>
      </c>
      <c r="AG2558" s="3">
        <v>9.6935611009372913</v>
      </c>
      <c r="AH2558" s="1">
        <v>6256</v>
      </c>
      <c r="AI2558" s="1" t="b">
        <v>1</v>
      </c>
    </row>
    <row r="2559" spans="1:35" x14ac:dyDescent="0.25">
      <c r="A2559" s="1">
        <v>29</v>
      </c>
      <c r="B2559" s="1">
        <v>11</v>
      </c>
      <c r="C2559" s="1">
        <v>2019</v>
      </c>
      <c r="G2559" s="1" t="s">
        <v>40</v>
      </c>
      <c r="H2559" s="2">
        <v>77.73</v>
      </c>
      <c r="I2559" s="1">
        <v>178</v>
      </c>
      <c r="U2559" s="1">
        <v>239</v>
      </c>
      <c r="X2559" s="1">
        <v>212</v>
      </c>
      <c r="AA2559" s="1">
        <v>10</v>
      </c>
      <c r="AB2559" s="1">
        <v>7</v>
      </c>
      <c r="AC2559" s="1">
        <v>8222</v>
      </c>
      <c r="AF2559" s="3">
        <v>2.2899781294223591</v>
      </c>
      <c r="AG2559" s="3">
        <v>9.195613999735194</v>
      </c>
      <c r="AH2559" s="1">
        <v>6256</v>
      </c>
      <c r="AI2559" s="1" t="b">
        <v>1</v>
      </c>
    </row>
    <row r="2560" spans="1:35" x14ac:dyDescent="0.25">
      <c r="A2560" s="1">
        <v>29</v>
      </c>
      <c r="B2560" s="1">
        <v>11</v>
      </c>
      <c r="C2560" s="1">
        <v>2019</v>
      </c>
      <c r="G2560" s="1" t="s">
        <v>40</v>
      </c>
      <c r="H2560" s="2">
        <v>91.95</v>
      </c>
      <c r="I2560" s="1">
        <v>179</v>
      </c>
      <c r="U2560" s="1">
        <v>246</v>
      </c>
      <c r="X2560" s="1">
        <v>215</v>
      </c>
      <c r="AA2560" s="1">
        <v>14</v>
      </c>
      <c r="AB2560" s="1">
        <v>10</v>
      </c>
      <c r="AC2560" s="1">
        <v>9858</v>
      </c>
      <c r="AF2560" s="3">
        <v>1.9467101685698749</v>
      </c>
      <c r="AG2560" s="3">
        <v>12.167039447175171</v>
      </c>
      <c r="AH2560" s="1">
        <v>6256</v>
      </c>
      <c r="AI2560" s="1" t="b">
        <v>1</v>
      </c>
    </row>
    <row r="2561" spans="1:35" x14ac:dyDescent="0.25">
      <c r="A2561" s="1">
        <v>29</v>
      </c>
      <c r="B2561" s="1">
        <v>11</v>
      </c>
      <c r="C2561" s="1">
        <v>2019</v>
      </c>
      <c r="G2561" s="1" t="s">
        <v>40</v>
      </c>
      <c r="H2561" s="2">
        <v>82.61</v>
      </c>
      <c r="I2561" s="1">
        <v>165</v>
      </c>
      <c r="U2561" s="1">
        <v>247</v>
      </c>
      <c r="X2561" s="1">
        <v>217</v>
      </c>
      <c r="AA2561" s="1">
        <v>16</v>
      </c>
      <c r="AB2561" s="1">
        <v>14</v>
      </c>
      <c r="AC2561" s="1">
        <v>9065</v>
      </c>
      <c r="AF2561" s="3">
        <v>1.9973368841544608</v>
      </c>
      <c r="AG2561" s="3">
        <v>11.00199677886414</v>
      </c>
      <c r="AH2561" s="1">
        <v>6256</v>
      </c>
      <c r="AI2561" s="1" t="b">
        <v>1</v>
      </c>
    </row>
    <row r="2562" spans="1:35" x14ac:dyDescent="0.25">
      <c r="A2562" s="1">
        <v>29</v>
      </c>
      <c r="B2562" s="1">
        <v>11</v>
      </c>
      <c r="C2562" s="1">
        <v>2019</v>
      </c>
      <c r="G2562" s="1" t="s">
        <v>40</v>
      </c>
      <c r="H2562" s="2">
        <v>80.25</v>
      </c>
      <c r="I2562" s="1">
        <v>180</v>
      </c>
      <c r="U2562" s="1">
        <v>234</v>
      </c>
      <c r="X2562" s="1">
        <v>216</v>
      </c>
      <c r="AA2562" s="1">
        <v>12</v>
      </c>
      <c r="AB2562" s="1">
        <v>10</v>
      </c>
      <c r="AC2562" s="1">
        <v>8192</v>
      </c>
      <c r="AF2562" s="3">
        <v>2.2429906542056073</v>
      </c>
      <c r="AG2562" s="3">
        <v>9.6002836463011274</v>
      </c>
      <c r="AH2562" s="1">
        <v>6256</v>
      </c>
      <c r="AI2562" s="1" t="b">
        <v>1</v>
      </c>
    </row>
    <row r="2563" spans="1:35" x14ac:dyDescent="0.25">
      <c r="A2563" s="1">
        <v>30</v>
      </c>
      <c r="B2563" s="1">
        <v>11</v>
      </c>
      <c r="C2563" s="1">
        <v>2019</v>
      </c>
      <c r="G2563" s="1" t="s">
        <v>40</v>
      </c>
      <c r="H2563" s="2">
        <v>74.48</v>
      </c>
      <c r="I2563" s="1">
        <v>166</v>
      </c>
      <c r="U2563" s="1">
        <v>229</v>
      </c>
      <c r="X2563" s="1">
        <v>203</v>
      </c>
      <c r="AA2563" s="1">
        <v>15</v>
      </c>
      <c r="AB2563" s="1">
        <v>8</v>
      </c>
      <c r="AC2563" s="1">
        <v>8644</v>
      </c>
      <c r="AF2563" s="3">
        <v>2.2287862513426422</v>
      </c>
      <c r="AG2563" s="3">
        <v>9.1697891054654637</v>
      </c>
      <c r="AH2563" s="1">
        <v>6256</v>
      </c>
      <c r="AI2563" s="1" t="b">
        <v>1</v>
      </c>
    </row>
    <row r="2564" spans="1:35" x14ac:dyDescent="0.25">
      <c r="A2564" s="1">
        <v>30</v>
      </c>
      <c r="B2564" s="1">
        <v>11</v>
      </c>
      <c r="C2564" s="1">
        <v>2019</v>
      </c>
      <c r="G2564" s="1" t="s">
        <v>40</v>
      </c>
      <c r="H2564" s="2">
        <v>74.400000000000006</v>
      </c>
      <c r="I2564" s="1">
        <v>164</v>
      </c>
      <c r="U2564" s="1">
        <v>223</v>
      </c>
      <c r="X2564" s="1">
        <v>194</v>
      </c>
      <c r="AA2564" s="1">
        <v>12</v>
      </c>
      <c r="AB2564" s="1">
        <v>14</v>
      </c>
      <c r="AC2564" s="1">
        <v>8059</v>
      </c>
      <c r="AF2564" s="3">
        <v>2.204301075268817</v>
      </c>
      <c r="AG2564" s="3">
        <v>9.2646740034137611</v>
      </c>
      <c r="AH2564" s="1">
        <v>6256</v>
      </c>
      <c r="AI2564" s="1" t="b">
        <v>1</v>
      </c>
    </row>
    <row r="2565" spans="1:35" x14ac:dyDescent="0.25">
      <c r="A2565" s="1">
        <v>30</v>
      </c>
      <c r="B2565" s="1">
        <v>11</v>
      </c>
      <c r="C2565" s="1">
        <v>2019</v>
      </c>
      <c r="G2565" s="1" t="s">
        <v>40</v>
      </c>
      <c r="H2565" s="2">
        <v>82.73</v>
      </c>
      <c r="I2565" s="1">
        <v>180</v>
      </c>
      <c r="U2565" s="1">
        <v>250</v>
      </c>
      <c r="X2565" s="1">
        <v>218</v>
      </c>
      <c r="AA2565" s="1">
        <v>14</v>
      </c>
      <c r="AB2565" s="1">
        <v>12</v>
      </c>
      <c r="AC2565" s="1">
        <v>9141</v>
      </c>
      <c r="AF2565" s="3">
        <v>2.1757524477215036</v>
      </c>
      <c r="AG2565" s="3">
        <v>10.110081027131653</v>
      </c>
      <c r="AH2565" s="1">
        <v>6256</v>
      </c>
      <c r="AI2565" s="1" t="b">
        <v>1</v>
      </c>
    </row>
    <row r="2566" spans="1:35" x14ac:dyDescent="0.25">
      <c r="A2566" s="1">
        <v>30</v>
      </c>
      <c r="B2566" s="1">
        <v>11</v>
      </c>
      <c r="C2566" s="1">
        <v>2019</v>
      </c>
      <c r="G2566" s="1" t="s">
        <v>40</v>
      </c>
      <c r="H2566" s="2">
        <v>98.28</v>
      </c>
      <c r="I2566" s="1">
        <v>202</v>
      </c>
      <c r="U2566" s="1">
        <v>288</v>
      </c>
      <c r="X2566" s="1">
        <v>251</v>
      </c>
      <c r="AA2566" s="1">
        <v>16</v>
      </c>
      <c r="AB2566" s="1">
        <v>10</v>
      </c>
      <c r="AC2566" s="1">
        <v>10645</v>
      </c>
      <c r="AF2566" s="3">
        <v>2.0553520553520555</v>
      </c>
      <c r="AG2566" s="3">
        <v>12.073672234403755</v>
      </c>
      <c r="AH2566" s="1">
        <v>6256</v>
      </c>
      <c r="AI2566" s="1" t="b">
        <v>1</v>
      </c>
    </row>
    <row r="2567" spans="1:35" x14ac:dyDescent="0.25">
      <c r="A2567" s="1">
        <v>30</v>
      </c>
      <c r="B2567" s="1">
        <v>11</v>
      </c>
      <c r="C2567" s="1">
        <v>2019</v>
      </c>
      <c r="G2567" s="1" t="s">
        <v>40</v>
      </c>
      <c r="H2567" s="2">
        <v>83.14</v>
      </c>
      <c r="I2567" s="1">
        <v>195</v>
      </c>
      <c r="U2567" s="1">
        <v>246</v>
      </c>
      <c r="X2567" s="1">
        <v>224</v>
      </c>
      <c r="AA2567" s="1">
        <v>10</v>
      </c>
      <c r="AB2567" s="1">
        <v>3</v>
      </c>
      <c r="AC2567" s="1">
        <v>9153</v>
      </c>
      <c r="AF2567" s="3">
        <v>2.345441424103921</v>
      </c>
      <c r="AG2567" s="3">
        <v>9.4111440935004165</v>
      </c>
      <c r="AH2567" s="1">
        <v>6256</v>
      </c>
      <c r="AI2567" s="1" t="b">
        <v>1</v>
      </c>
    </row>
    <row r="2568" spans="1:35" x14ac:dyDescent="0.25">
      <c r="A2568" s="1">
        <v>30</v>
      </c>
      <c r="B2568" s="1">
        <v>11</v>
      </c>
      <c r="C2568" s="1">
        <v>2019</v>
      </c>
      <c r="G2568" s="1" t="s">
        <v>40</v>
      </c>
      <c r="H2568" s="2">
        <v>77.23</v>
      </c>
      <c r="I2568" s="1">
        <v>181</v>
      </c>
      <c r="U2568" s="1">
        <v>233</v>
      </c>
      <c r="X2568" s="1">
        <v>207</v>
      </c>
      <c r="AA2568" s="1">
        <v>11</v>
      </c>
      <c r="AB2568" s="1">
        <v>7</v>
      </c>
      <c r="AC2568" s="1">
        <v>7933</v>
      </c>
      <c r="AF2568" s="3">
        <v>2.3436488411239154</v>
      </c>
      <c r="AG2568" s="3">
        <v>8.9445332814107719</v>
      </c>
      <c r="AH2568" s="1">
        <v>6256</v>
      </c>
      <c r="AI2568" s="1" t="b">
        <v>1</v>
      </c>
    </row>
    <row r="2569" spans="1:35" x14ac:dyDescent="0.25">
      <c r="A2569" s="1">
        <v>30</v>
      </c>
      <c r="B2569" s="1">
        <v>11</v>
      </c>
      <c r="C2569" s="1">
        <v>2019</v>
      </c>
      <c r="G2569" s="1" t="s">
        <v>40</v>
      </c>
      <c r="H2569" s="2">
        <v>77.73</v>
      </c>
      <c r="I2569" s="1">
        <v>178</v>
      </c>
      <c r="U2569" s="1">
        <v>239</v>
      </c>
      <c r="X2569" s="1">
        <v>212</v>
      </c>
      <c r="AA2569" s="1">
        <v>16</v>
      </c>
      <c r="AB2569" s="1">
        <v>9</v>
      </c>
      <c r="AC2569" s="1">
        <v>9048</v>
      </c>
      <c r="AF2569" s="3">
        <v>2.2899781294223591</v>
      </c>
      <c r="AG2569" s="3">
        <v>9.195613999735194</v>
      </c>
      <c r="AH2569" s="1">
        <v>6256</v>
      </c>
      <c r="AI2569" s="1" t="b">
        <v>1</v>
      </c>
    </row>
    <row r="2570" spans="1:35" x14ac:dyDescent="0.25">
      <c r="A2570" s="1">
        <v>30</v>
      </c>
      <c r="B2570" s="1">
        <v>11</v>
      </c>
      <c r="C2570" s="1">
        <v>2019</v>
      </c>
      <c r="G2570" s="1" t="s">
        <v>40</v>
      </c>
      <c r="H2570" s="2">
        <v>97.74</v>
      </c>
      <c r="I2570" s="1">
        <v>192</v>
      </c>
      <c r="U2570" s="1">
        <v>261</v>
      </c>
      <c r="X2570" s="1">
        <v>237</v>
      </c>
      <c r="AA2570" s="1">
        <v>16</v>
      </c>
      <c r="AB2570" s="1">
        <v>6</v>
      </c>
      <c r="AC2570" s="1">
        <v>9852</v>
      </c>
      <c r="AF2570" s="3">
        <v>1.9643953345610805</v>
      </c>
      <c r="AG2570" s="3">
        <v>12.584087815833312</v>
      </c>
      <c r="AH2570" s="1">
        <v>6256</v>
      </c>
      <c r="AI2570" s="1" t="b">
        <v>1</v>
      </c>
    </row>
    <row r="2571" spans="1:35" x14ac:dyDescent="0.25">
      <c r="A2571" s="1">
        <v>30</v>
      </c>
      <c r="B2571" s="1">
        <v>11</v>
      </c>
      <c r="C2571" s="1">
        <v>2019</v>
      </c>
      <c r="G2571" s="1" t="s">
        <v>40</v>
      </c>
      <c r="H2571" s="2">
        <v>81.430000000000007</v>
      </c>
      <c r="I2571" s="1">
        <v>157</v>
      </c>
      <c r="U2571" s="1">
        <v>212</v>
      </c>
      <c r="X2571" s="1">
        <v>187</v>
      </c>
      <c r="AA2571" s="1">
        <v>11</v>
      </c>
      <c r="AB2571" s="1">
        <v>13</v>
      </c>
      <c r="AC2571" s="1">
        <v>8917</v>
      </c>
      <c r="AF2571" s="3">
        <v>1.9280363502394693</v>
      </c>
      <c r="AG2571" s="3">
        <v>11.283241580752629</v>
      </c>
      <c r="AH2571" s="1">
        <v>6256</v>
      </c>
      <c r="AI2571" s="1" t="b">
        <v>1</v>
      </c>
    </row>
    <row r="2572" spans="1:35" x14ac:dyDescent="0.25">
      <c r="A2572" s="1">
        <v>30</v>
      </c>
      <c r="B2572" s="1">
        <v>11</v>
      </c>
      <c r="C2572" s="1">
        <v>2019</v>
      </c>
      <c r="G2572" s="1" t="s">
        <v>40</v>
      </c>
      <c r="H2572" s="2">
        <v>77.260000000000005</v>
      </c>
      <c r="I2572" s="1">
        <v>165</v>
      </c>
      <c r="U2572" s="1">
        <v>242</v>
      </c>
      <c r="X2572" s="1">
        <v>210</v>
      </c>
      <c r="AA2572" s="1">
        <v>22</v>
      </c>
      <c r="AB2572" s="1">
        <v>11</v>
      </c>
      <c r="AC2572" s="1">
        <v>9177</v>
      </c>
      <c r="AF2572" s="3">
        <v>2.1356458710846491</v>
      </c>
      <c r="AG2572" s="3">
        <v>9.8183622689734555</v>
      </c>
      <c r="AH2572" s="1">
        <v>6256</v>
      </c>
      <c r="AI2572" s="1" t="b">
        <v>1</v>
      </c>
    </row>
    <row r="2573" spans="1:35" x14ac:dyDescent="0.25">
      <c r="A2573" s="1">
        <v>30</v>
      </c>
      <c r="B2573" s="1">
        <v>11</v>
      </c>
      <c r="C2573" s="1">
        <v>2019</v>
      </c>
      <c r="G2573" s="1" t="s">
        <v>40</v>
      </c>
      <c r="H2573" s="2">
        <v>81.37</v>
      </c>
      <c r="I2573" s="1">
        <v>191</v>
      </c>
      <c r="U2573" s="1">
        <v>251</v>
      </c>
      <c r="X2573" s="1">
        <v>226</v>
      </c>
      <c r="AA2573" s="1">
        <v>13</v>
      </c>
      <c r="AB2573" s="1">
        <v>17</v>
      </c>
      <c r="AC2573" s="1">
        <v>8706</v>
      </c>
      <c r="AF2573" s="3">
        <v>2.3473024456187783</v>
      </c>
      <c r="AG2573" s="3">
        <v>9.2630918401920859</v>
      </c>
      <c r="AH2573" s="1">
        <v>6256</v>
      </c>
      <c r="AI2573" s="1" t="b">
        <v>1</v>
      </c>
    </row>
    <row r="2574" spans="1:35" x14ac:dyDescent="0.25">
      <c r="A2574" s="1">
        <v>1</v>
      </c>
      <c r="B2574" s="1">
        <v>12</v>
      </c>
      <c r="C2574" s="1">
        <v>2019</v>
      </c>
      <c r="G2574" s="1" t="s">
        <v>40</v>
      </c>
      <c r="H2574" s="2">
        <v>92.51</v>
      </c>
      <c r="I2574" s="1">
        <v>195</v>
      </c>
      <c r="U2574" s="1">
        <v>253</v>
      </c>
      <c r="X2574" s="1">
        <v>229</v>
      </c>
      <c r="AA2574" s="1">
        <v>12</v>
      </c>
      <c r="AB2574" s="1">
        <v>11</v>
      </c>
      <c r="AC2574" s="1">
        <v>9873</v>
      </c>
      <c r="AF2574" s="3">
        <v>2.1078802291644148</v>
      </c>
      <c r="AG2574" s="3">
        <v>11.28459939749024</v>
      </c>
      <c r="AH2574" s="1">
        <v>6256</v>
      </c>
      <c r="AI2574" s="1" t="b">
        <v>1</v>
      </c>
    </row>
    <row r="2575" spans="1:35" x14ac:dyDescent="0.25">
      <c r="A2575" s="1">
        <v>2</v>
      </c>
      <c r="B2575" s="1">
        <v>12</v>
      </c>
      <c r="C2575" s="1">
        <v>2019</v>
      </c>
      <c r="G2575" s="1" t="s">
        <v>40</v>
      </c>
      <c r="H2575" s="2">
        <v>83.13</v>
      </c>
      <c r="I2575" s="1">
        <v>191</v>
      </c>
      <c r="U2575" s="1">
        <v>256</v>
      </c>
      <c r="X2575" s="1">
        <v>229</v>
      </c>
      <c r="AA2575" s="1">
        <v>15</v>
      </c>
      <c r="AB2575" s="1">
        <v>12</v>
      </c>
      <c r="AC2575" s="1">
        <v>8763</v>
      </c>
      <c r="AF2575" s="3">
        <v>2.2976061590280286</v>
      </c>
      <c r="AG2575" s="3">
        <v>9.6062715609804208</v>
      </c>
      <c r="AH2575" s="1">
        <v>6257</v>
      </c>
      <c r="AI2575" s="1" t="b">
        <v>1</v>
      </c>
    </row>
    <row r="2576" spans="1:35" x14ac:dyDescent="0.25">
      <c r="A2576" s="1">
        <v>2</v>
      </c>
      <c r="B2576" s="1">
        <v>12</v>
      </c>
      <c r="C2576" s="1">
        <v>2019</v>
      </c>
      <c r="G2576" s="1" t="s">
        <v>40</v>
      </c>
      <c r="H2576" s="2">
        <v>74.55</v>
      </c>
      <c r="I2576" s="1">
        <v>171</v>
      </c>
      <c r="U2576" s="1">
        <v>243</v>
      </c>
      <c r="X2576" s="1">
        <v>212</v>
      </c>
      <c r="AA2576" s="1">
        <v>13</v>
      </c>
      <c r="AB2576" s="1">
        <v>8</v>
      </c>
      <c r="AC2576" s="1">
        <v>8741</v>
      </c>
      <c r="AF2576" s="3">
        <v>2.2937625754527162</v>
      </c>
      <c r="AG2576" s="3">
        <v>8.9158938826847098</v>
      </c>
      <c r="AH2576" s="1">
        <v>6257</v>
      </c>
      <c r="AI2576" s="1" t="b">
        <v>1</v>
      </c>
    </row>
    <row r="2577" spans="1:35" x14ac:dyDescent="0.25">
      <c r="A2577" s="1">
        <v>2</v>
      </c>
      <c r="B2577" s="1">
        <v>12</v>
      </c>
      <c r="C2577" s="1">
        <v>2019</v>
      </c>
      <c r="G2577" s="1" t="s">
        <v>40</v>
      </c>
      <c r="H2577" s="2">
        <v>68.09</v>
      </c>
      <c r="I2577" s="1">
        <v>142</v>
      </c>
      <c r="U2577" s="1">
        <v>200</v>
      </c>
      <c r="X2577" s="1">
        <v>176</v>
      </c>
      <c r="AA2577" s="1">
        <v>15</v>
      </c>
      <c r="AB2577" s="1">
        <v>14</v>
      </c>
      <c r="AC2577" s="1">
        <v>7748</v>
      </c>
      <c r="AF2577" s="3">
        <v>2.0854751064767219</v>
      </c>
      <c r="AG2577" s="3">
        <v>9.2035065073313369</v>
      </c>
      <c r="AH2577" s="1">
        <v>6257</v>
      </c>
      <c r="AI2577" s="1" t="b">
        <v>1</v>
      </c>
    </row>
    <row r="2578" spans="1:35" x14ac:dyDescent="0.25">
      <c r="A2578" s="1">
        <v>3</v>
      </c>
      <c r="B2578" s="1">
        <v>12</v>
      </c>
      <c r="C2578" s="1">
        <v>2019</v>
      </c>
      <c r="G2578" s="1" t="s">
        <v>40</v>
      </c>
      <c r="H2578" s="2">
        <v>76.209999999999994</v>
      </c>
      <c r="I2578" s="1">
        <v>183</v>
      </c>
      <c r="U2578" s="1">
        <v>235</v>
      </c>
      <c r="X2578" s="1">
        <v>211</v>
      </c>
      <c r="AA2578" s="1">
        <v>10</v>
      </c>
      <c r="AB2578" s="1">
        <v>7</v>
      </c>
      <c r="AC2578" s="1">
        <v>8248</v>
      </c>
      <c r="AF2578" s="3">
        <v>2.4012596772077157</v>
      </c>
      <c r="AG2578" s="3">
        <v>8.649066674419343</v>
      </c>
      <c r="AH2578" s="1">
        <v>6257</v>
      </c>
      <c r="AI2578" s="1" t="b">
        <v>1</v>
      </c>
    </row>
    <row r="2579" spans="1:35" x14ac:dyDescent="0.25">
      <c r="A2579" s="1">
        <v>3</v>
      </c>
      <c r="B2579" s="1">
        <v>12</v>
      </c>
      <c r="C2579" s="1">
        <v>2019</v>
      </c>
      <c r="G2579" s="1" t="s">
        <v>40</v>
      </c>
      <c r="H2579" s="2">
        <v>80.64</v>
      </c>
      <c r="I2579" s="1">
        <v>181</v>
      </c>
      <c r="U2579" s="1">
        <v>241</v>
      </c>
      <c r="X2579" s="1">
        <v>214</v>
      </c>
      <c r="AA2579" s="1">
        <v>14</v>
      </c>
      <c r="AB2579" s="1">
        <v>8</v>
      </c>
      <c r="AC2579" s="1">
        <v>9130</v>
      </c>
      <c r="AF2579" s="3">
        <v>2.2445436507936507</v>
      </c>
      <c r="AG2579" s="3">
        <v>9.6262537947844997</v>
      </c>
      <c r="AH2579" s="1">
        <v>6257</v>
      </c>
      <c r="AI2579" s="1" t="b">
        <v>1</v>
      </c>
    </row>
    <row r="2580" spans="1:35" x14ac:dyDescent="0.25">
      <c r="A2580" s="1">
        <v>4</v>
      </c>
      <c r="B2580" s="1">
        <v>12</v>
      </c>
      <c r="C2580" s="1">
        <v>2019</v>
      </c>
      <c r="G2580" s="1" t="s">
        <v>40</v>
      </c>
      <c r="H2580" s="2">
        <v>85.28</v>
      </c>
      <c r="I2580" s="1">
        <v>195</v>
      </c>
      <c r="U2580" s="1">
        <v>256</v>
      </c>
      <c r="X2580" s="1">
        <v>231</v>
      </c>
      <c r="AA2580" s="1">
        <v>14</v>
      </c>
      <c r="AB2580" s="1">
        <v>6</v>
      </c>
      <c r="AC2580" s="1">
        <v>9312</v>
      </c>
      <c r="AF2580" s="3">
        <v>2.2865853658536586</v>
      </c>
      <c r="AG2580" s="3">
        <v>9.8266528650545872</v>
      </c>
      <c r="AH2580" s="1">
        <v>6257</v>
      </c>
      <c r="AI2580" s="1" t="b">
        <v>1</v>
      </c>
    </row>
    <row r="2581" spans="1:35" x14ac:dyDescent="0.25">
      <c r="A2581" s="1">
        <v>5</v>
      </c>
      <c r="B2581" s="1">
        <v>12</v>
      </c>
      <c r="C2581" s="1">
        <v>2019</v>
      </c>
      <c r="G2581" s="1" t="s">
        <v>40</v>
      </c>
      <c r="H2581" s="2">
        <v>77.260000000000005</v>
      </c>
      <c r="I2581" s="1">
        <v>169</v>
      </c>
      <c r="U2581" s="1">
        <v>213</v>
      </c>
      <c r="X2581" s="1">
        <v>191</v>
      </c>
      <c r="AA2581" s="1">
        <v>9</v>
      </c>
      <c r="AB2581" s="1">
        <v>10</v>
      </c>
      <c r="AC2581" s="1">
        <v>8496</v>
      </c>
      <c r="AF2581" s="3">
        <v>2.1874191043230646</v>
      </c>
      <c r="AG2581" s="3">
        <v>9.5859749963350307</v>
      </c>
      <c r="AH2581" s="1">
        <v>6257</v>
      </c>
      <c r="AI2581" s="1" t="b">
        <v>1</v>
      </c>
    </row>
    <row r="2582" spans="1:35" x14ac:dyDescent="0.25">
      <c r="A2582" s="1">
        <v>6</v>
      </c>
      <c r="B2582" s="1">
        <v>12</v>
      </c>
      <c r="C2582" s="1">
        <v>2019</v>
      </c>
      <c r="G2582" s="1" t="s">
        <v>40</v>
      </c>
      <c r="H2582" s="2">
        <v>87.92</v>
      </c>
      <c r="I2582" s="1">
        <v>171</v>
      </c>
      <c r="U2582" s="1">
        <v>243</v>
      </c>
      <c r="X2582" s="1">
        <v>211</v>
      </c>
      <c r="AA2582" s="1">
        <v>16</v>
      </c>
      <c r="AB2582" s="1">
        <v>9</v>
      </c>
      <c r="AC2582" s="1">
        <v>9481</v>
      </c>
      <c r="AF2582" s="3">
        <v>1.9449499545040947</v>
      </c>
      <c r="AG2582" s="3">
        <v>11.80192755983529</v>
      </c>
      <c r="AH2582" s="1">
        <v>6257</v>
      </c>
      <c r="AI2582" s="1" t="b">
        <v>1</v>
      </c>
    </row>
    <row r="2583" spans="1:35" x14ac:dyDescent="0.25">
      <c r="A2583" s="1">
        <v>6</v>
      </c>
      <c r="B2583" s="1">
        <v>12</v>
      </c>
      <c r="C2583" s="1">
        <v>2019</v>
      </c>
      <c r="G2583" s="1" t="s">
        <v>40</v>
      </c>
      <c r="H2583" s="2">
        <v>85.62</v>
      </c>
      <c r="I2583" s="1">
        <v>193</v>
      </c>
      <c r="U2583" s="1">
        <v>253</v>
      </c>
      <c r="X2583" s="1">
        <v>227</v>
      </c>
      <c r="AA2583" s="1">
        <v>13</v>
      </c>
      <c r="AB2583" s="1">
        <v>8</v>
      </c>
      <c r="AC2583" s="1">
        <v>8971</v>
      </c>
      <c r="AF2583" s="3">
        <v>2.2541462275169351</v>
      </c>
      <c r="AG2583" s="3">
        <v>9.9958693465461863</v>
      </c>
      <c r="AH2583" s="1">
        <v>6257</v>
      </c>
      <c r="AI2583" s="1" t="b">
        <v>1</v>
      </c>
    </row>
    <row r="2584" spans="1:35" x14ac:dyDescent="0.25">
      <c r="A2584" s="1">
        <v>6</v>
      </c>
      <c r="B2584" s="1">
        <v>12</v>
      </c>
      <c r="C2584" s="1">
        <v>2019</v>
      </c>
      <c r="G2584" s="1" t="s">
        <v>40</v>
      </c>
      <c r="H2584" s="2">
        <v>92.83</v>
      </c>
      <c r="I2584" s="1">
        <v>189</v>
      </c>
      <c r="U2584" s="1">
        <v>248</v>
      </c>
      <c r="X2584" s="1">
        <v>227</v>
      </c>
      <c r="AA2584" s="1">
        <v>12</v>
      </c>
      <c r="AB2584" s="1">
        <v>12</v>
      </c>
      <c r="AC2584" s="1">
        <v>9937</v>
      </c>
      <c r="AF2584" s="3">
        <v>2.0359797479263171</v>
      </c>
      <c r="AG2584" s="3">
        <v>11.711388597107304</v>
      </c>
      <c r="AH2584" s="1">
        <v>6257</v>
      </c>
      <c r="AI2584" s="1" t="b">
        <v>1</v>
      </c>
    </row>
    <row r="2585" spans="1:35" x14ac:dyDescent="0.25">
      <c r="A2585" s="1">
        <v>6</v>
      </c>
      <c r="B2585" s="1">
        <v>12</v>
      </c>
      <c r="C2585" s="1">
        <v>2019</v>
      </c>
      <c r="G2585" s="1" t="s">
        <v>40</v>
      </c>
      <c r="H2585" s="2">
        <v>87.51</v>
      </c>
      <c r="I2585" s="1">
        <v>164</v>
      </c>
      <c r="U2585" s="1">
        <v>238</v>
      </c>
      <c r="X2585" s="1">
        <v>197</v>
      </c>
      <c r="AA2585" s="1">
        <v>12</v>
      </c>
      <c r="AB2585" s="1">
        <v>9</v>
      </c>
      <c r="AC2585" s="1">
        <v>9389</v>
      </c>
      <c r="AF2585" s="3">
        <v>1.8740715346817505</v>
      </c>
      <c r="AG2585" s="3">
        <v>12.208272497380175</v>
      </c>
      <c r="AH2585" s="1">
        <v>6257</v>
      </c>
      <c r="AI2585" s="1" t="b">
        <v>1</v>
      </c>
    </row>
    <row r="2586" spans="1:35" x14ac:dyDescent="0.25">
      <c r="A2586" s="1">
        <v>6</v>
      </c>
      <c r="B2586" s="1">
        <v>12</v>
      </c>
      <c r="C2586" s="1">
        <v>2019</v>
      </c>
      <c r="G2586" s="1" t="s">
        <v>40</v>
      </c>
      <c r="H2586" s="2">
        <v>91.06</v>
      </c>
      <c r="I2586" s="1">
        <v>208</v>
      </c>
      <c r="U2586" s="1">
        <v>274</v>
      </c>
      <c r="X2586" s="1">
        <v>243</v>
      </c>
      <c r="AA2586" s="1">
        <v>13</v>
      </c>
      <c r="AB2586" s="1">
        <v>3</v>
      </c>
      <c r="AC2586" s="1">
        <v>11057</v>
      </c>
      <c r="AF2586" s="3">
        <v>2.2842082143641553</v>
      </c>
      <c r="AG2586" s="3">
        <v>10.298966919627004</v>
      </c>
      <c r="AH2586" s="1">
        <v>6257</v>
      </c>
      <c r="AI2586" s="1" t="b">
        <v>1</v>
      </c>
    </row>
    <row r="2587" spans="1:35" x14ac:dyDescent="0.25">
      <c r="A2587" s="1">
        <v>6</v>
      </c>
      <c r="B2587" s="1">
        <v>12</v>
      </c>
      <c r="C2587" s="1">
        <v>2019</v>
      </c>
      <c r="G2587" s="1" t="s">
        <v>40</v>
      </c>
      <c r="H2587" s="2">
        <v>74.86</v>
      </c>
      <c r="I2587" s="1">
        <v>182</v>
      </c>
      <c r="U2587" s="1">
        <v>232</v>
      </c>
      <c r="X2587" s="1">
        <v>212</v>
      </c>
      <c r="AA2587" s="1">
        <v>11</v>
      </c>
      <c r="AB2587" s="1">
        <v>9</v>
      </c>
      <c r="AC2587" s="1">
        <v>8127</v>
      </c>
      <c r="AF2587" s="3">
        <v>2.431204915842907</v>
      </c>
      <c r="AG2587" s="3">
        <v>8.4363251678066664</v>
      </c>
      <c r="AH2587" s="1">
        <v>6257</v>
      </c>
      <c r="AI2587" s="1" t="b">
        <v>1</v>
      </c>
    </row>
    <row r="2588" spans="1:35" x14ac:dyDescent="0.25">
      <c r="A2588" s="1">
        <v>6</v>
      </c>
      <c r="B2588" s="1">
        <v>12</v>
      </c>
      <c r="C2588" s="1">
        <v>2019</v>
      </c>
      <c r="G2588" s="1" t="s">
        <v>40</v>
      </c>
      <c r="H2588" s="2">
        <v>68.31</v>
      </c>
      <c r="I2588" s="1">
        <v>134</v>
      </c>
      <c r="U2588" s="1">
        <v>188</v>
      </c>
      <c r="X2588" s="1">
        <v>162</v>
      </c>
      <c r="AA2588" s="1">
        <v>11</v>
      </c>
      <c r="AB2588" s="1">
        <v>10</v>
      </c>
      <c r="AC2588" s="1">
        <v>7521</v>
      </c>
      <c r="AF2588" s="3">
        <v>1.9616454399063095</v>
      </c>
      <c r="AG2588" s="3">
        <v>9.8066005739600683</v>
      </c>
      <c r="AH2588" s="1">
        <v>6257</v>
      </c>
      <c r="AI2588" s="1" t="b">
        <v>1</v>
      </c>
    </row>
    <row r="2589" spans="1:35" x14ac:dyDescent="0.25">
      <c r="A2589" s="1">
        <v>6</v>
      </c>
      <c r="B2589" s="1">
        <v>12</v>
      </c>
      <c r="C2589" s="1">
        <v>2019</v>
      </c>
      <c r="G2589" s="1" t="s">
        <v>40</v>
      </c>
      <c r="H2589" s="2">
        <v>83.85</v>
      </c>
      <c r="I2589" s="1">
        <v>174</v>
      </c>
      <c r="U2589" s="1">
        <v>259</v>
      </c>
      <c r="X2589" s="1">
        <v>223</v>
      </c>
      <c r="AA2589" s="1">
        <v>13</v>
      </c>
      <c r="AB2589" s="1">
        <v>13</v>
      </c>
      <c r="AC2589" s="1">
        <v>9410</v>
      </c>
      <c r="AF2589" s="3">
        <v>2.0751341681574242</v>
      </c>
      <c r="AG2589" s="3">
        <v>10.700546670279904</v>
      </c>
      <c r="AH2589" s="1">
        <v>6257</v>
      </c>
      <c r="AI2589" s="1" t="b">
        <v>1</v>
      </c>
    </row>
    <row r="2590" spans="1:35" x14ac:dyDescent="0.25">
      <c r="A2590" s="1">
        <v>6</v>
      </c>
      <c r="B2590" s="1">
        <v>12</v>
      </c>
      <c r="C2590" s="1">
        <v>2019</v>
      </c>
      <c r="G2590" s="1" t="s">
        <v>40</v>
      </c>
      <c r="H2590" s="2">
        <v>83.09</v>
      </c>
      <c r="I2590" s="1">
        <v>201</v>
      </c>
      <c r="U2590" s="1">
        <v>272</v>
      </c>
      <c r="X2590" s="1">
        <v>235</v>
      </c>
      <c r="AA2590" s="1">
        <v>14</v>
      </c>
      <c r="AB2590" s="1">
        <v>9</v>
      </c>
      <c r="AC2590" s="1">
        <v>9025</v>
      </c>
      <c r="AF2590" s="3">
        <v>2.4190636659044409</v>
      </c>
      <c r="AG2590" s="3">
        <v>9.1208819092950417</v>
      </c>
      <c r="AH2590" s="1">
        <v>6257</v>
      </c>
      <c r="AI2590" s="1" t="b">
        <v>1</v>
      </c>
    </row>
    <row r="2591" spans="1:35" x14ac:dyDescent="0.25">
      <c r="A2591" s="1">
        <v>8</v>
      </c>
      <c r="B2591" s="1">
        <v>12</v>
      </c>
      <c r="C2591" s="1">
        <v>2019</v>
      </c>
      <c r="G2591" s="1" t="s">
        <v>40</v>
      </c>
      <c r="H2591" s="2">
        <v>78.14</v>
      </c>
      <c r="I2591" s="1">
        <v>155</v>
      </c>
      <c r="U2591" s="1">
        <v>214</v>
      </c>
      <c r="X2591" s="1">
        <v>190</v>
      </c>
      <c r="AA2591" s="1">
        <v>14</v>
      </c>
      <c r="AB2591" s="1">
        <v>12</v>
      </c>
      <c r="AC2591" s="1">
        <v>8651</v>
      </c>
      <c r="AF2591" s="3">
        <v>1.9836191451241361</v>
      </c>
      <c r="AG2591" s="3">
        <v>10.654991155244959</v>
      </c>
      <c r="AH2591" s="1">
        <v>6257</v>
      </c>
      <c r="AI2591" s="1" t="b">
        <v>1</v>
      </c>
    </row>
    <row r="2592" spans="1:35" x14ac:dyDescent="0.25">
      <c r="A2592" s="1">
        <v>8</v>
      </c>
      <c r="B2592" s="1">
        <v>12</v>
      </c>
      <c r="C2592" s="1">
        <v>2019</v>
      </c>
      <c r="G2592" s="1" t="s">
        <v>40</v>
      </c>
      <c r="H2592" s="2">
        <v>86.53</v>
      </c>
      <c r="I2592" s="1">
        <v>201</v>
      </c>
      <c r="U2592" s="1">
        <v>261</v>
      </c>
      <c r="X2592" s="1">
        <v>238</v>
      </c>
      <c r="AA2592" s="1">
        <v>12</v>
      </c>
      <c r="AB2592" s="1">
        <v>8</v>
      </c>
      <c r="AC2592" s="1">
        <v>9627</v>
      </c>
      <c r="AF2592" s="3">
        <v>2.3228937940598637</v>
      </c>
      <c r="AG2592" s="3">
        <v>9.7720873170908664</v>
      </c>
      <c r="AH2592" s="1">
        <v>6257</v>
      </c>
      <c r="AI2592" s="1" t="b">
        <v>1</v>
      </c>
    </row>
    <row r="2593" spans="1:35" x14ac:dyDescent="0.25">
      <c r="A2593" s="1">
        <v>8</v>
      </c>
      <c r="B2593" s="1">
        <v>12</v>
      </c>
      <c r="C2593" s="1">
        <v>2019</v>
      </c>
      <c r="G2593" s="1" t="s">
        <v>40</v>
      </c>
      <c r="H2593" s="2">
        <v>87.76</v>
      </c>
      <c r="I2593" s="1">
        <v>164</v>
      </c>
      <c r="U2593" s="1">
        <v>237</v>
      </c>
      <c r="X2593" s="1">
        <v>217</v>
      </c>
      <c r="AA2593" s="1">
        <v>17</v>
      </c>
      <c r="AB2593" s="1">
        <v>14</v>
      </c>
      <c r="AC2593" s="1">
        <v>9661</v>
      </c>
      <c r="AF2593" s="3">
        <v>1.86873290793072</v>
      </c>
      <c r="AG2593" s="3">
        <v>12.267622311727935</v>
      </c>
      <c r="AH2593" s="1">
        <v>6257</v>
      </c>
      <c r="AI2593" s="1" t="b">
        <v>1</v>
      </c>
    </row>
    <row r="2594" spans="1:35" x14ac:dyDescent="0.25">
      <c r="A2594" s="1">
        <v>8</v>
      </c>
      <c r="B2594" s="1">
        <v>12</v>
      </c>
      <c r="C2594" s="1">
        <v>2019</v>
      </c>
      <c r="G2594" s="1" t="s">
        <v>40</v>
      </c>
      <c r="H2594" s="2">
        <v>74.989999999999995</v>
      </c>
      <c r="I2594" s="1">
        <v>173</v>
      </c>
      <c r="U2594" s="1">
        <v>258</v>
      </c>
      <c r="X2594" s="1">
        <v>219</v>
      </c>
      <c r="AA2594" s="1">
        <v>18</v>
      </c>
      <c r="AB2594" s="1">
        <v>11</v>
      </c>
      <c r="AC2594" s="1">
        <v>7897</v>
      </c>
      <c r="AF2594" s="3">
        <v>2.306974263235098</v>
      </c>
      <c r="AG2594" s="3">
        <v>8.9014262502390409</v>
      </c>
      <c r="AH2594" s="1">
        <v>6257</v>
      </c>
      <c r="AI2594" s="1" t="b">
        <v>1</v>
      </c>
    </row>
    <row r="2595" spans="1:35" x14ac:dyDescent="0.25">
      <c r="A2595" s="1">
        <v>8</v>
      </c>
      <c r="B2595" s="1">
        <v>12</v>
      </c>
      <c r="C2595" s="1">
        <v>2019</v>
      </c>
      <c r="G2595" s="1" t="s">
        <v>40</v>
      </c>
      <c r="H2595" s="2">
        <v>82.2</v>
      </c>
      <c r="I2595" s="1">
        <v>192</v>
      </c>
      <c r="U2595" s="1">
        <v>264</v>
      </c>
      <c r="X2595" s="1">
        <v>236</v>
      </c>
      <c r="AA2595" s="1">
        <v>16</v>
      </c>
      <c r="AB2595" s="1">
        <v>7</v>
      </c>
      <c r="AC2595" s="1">
        <v>9005</v>
      </c>
      <c r="AF2595" s="3">
        <v>2.335766423357664</v>
      </c>
      <c r="AG2595" s="3">
        <v>9.3752069049835125</v>
      </c>
      <c r="AH2595" s="1">
        <v>6257</v>
      </c>
      <c r="AI2595" s="1" t="b">
        <v>1</v>
      </c>
    </row>
    <row r="2596" spans="1:35" x14ac:dyDescent="0.25">
      <c r="A2596" s="1">
        <v>8</v>
      </c>
      <c r="B2596" s="1">
        <v>12</v>
      </c>
      <c r="C2596" s="1">
        <v>2019</v>
      </c>
      <c r="G2596" s="1" t="s">
        <v>40</v>
      </c>
      <c r="H2596" s="2">
        <v>80.069999999999993</v>
      </c>
      <c r="I2596" s="1">
        <v>153</v>
      </c>
      <c r="U2596" s="1">
        <v>212</v>
      </c>
      <c r="X2596" s="1">
        <v>185</v>
      </c>
      <c r="AA2596" s="1">
        <v>17</v>
      </c>
      <c r="AB2596" s="1">
        <v>12</v>
      </c>
      <c r="AC2596" s="1">
        <v>8978</v>
      </c>
      <c r="AF2596" s="3">
        <v>1.9108280254777072</v>
      </c>
      <c r="AG2596" s="3">
        <v>11.251418472552212</v>
      </c>
      <c r="AH2596" s="1">
        <v>6257</v>
      </c>
      <c r="AI2596" s="1" t="b">
        <v>1</v>
      </c>
    </row>
    <row r="2597" spans="1:35" x14ac:dyDescent="0.25">
      <c r="A2597" s="1">
        <v>8</v>
      </c>
      <c r="B2597" s="1">
        <v>12</v>
      </c>
      <c r="C2597" s="1">
        <v>2019</v>
      </c>
      <c r="G2597" s="1" t="s">
        <v>40</v>
      </c>
      <c r="H2597" s="2">
        <v>81.39</v>
      </c>
      <c r="I2597" s="1">
        <v>180</v>
      </c>
      <c r="U2597" s="1">
        <v>254</v>
      </c>
      <c r="X2597" s="1">
        <v>223</v>
      </c>
      <c r="AA2597" s="1">
        <v>16</v>
      </c>
      <c r="AB2597" s="1">
        <v>15</v>
      </c>
      <c r="AC2597" s="1">
        <v>8994</v>
      </c>
      <c r="AF2597" s="3">
        <v>2.2115739034279396</v>
      </c>
      <c r="AG2597" s="3">
        <v>9.8332770918261811</v>
      </c>
      <c r="AH2597" s="1">
        <v>6257</v>
      </c>
      <c r="AI2597" s="1" t="b">
        <v>1</v>
      </c>
    </row>
    <row r="2598" spans="1:35" x14ac:dyDescent="0.25">
      <c r="A2598" s="1">
        <v>8</v>
      </c>
      <c r="B2598" s="1">
        <v>12</v>
      </c>
      <c r="C2598" s="1">
        <v>2019</v>
      </c>
      <c r="G2598" s="1" t="s">
        <v>40</v>
      </c>
      <c r="H2598" s="2">
        <v>94.98</v>
      </c>
      <c r="I2598" s="1">
        <v>217</v>
      </c>
      <c r="U2598" s="1">
        <v>290</v>
      </c>
      <c r="X2598" s="1">
        <v>261</v>
      </c>
      <c r="AA2598" s="1">
        <v>15</v>
      </c>
      <c r="AB2598" s="1">
        <v>6</v>
      </c>
      <c r="AC2598" s="1">
        <v>9969</v>
      </c>
      <c r="AF2598" s="3">
        <v>2.2846915140029478</v>
      </c>
      <c r="AG2598" s="3">
        <v>10.60510437225701</v>
      </c>
      <c r="AH2598" s="1">
        <v>6257</v>
      </c>
      <c r="AI2598" s="1" t="b">
        <v>1</v>
      </c>
    </row>
    <row r="2599" spans="1:35" x14ac:dyDescent="0.25">
      <c r="A2599" s="1">
        <v>8</v>
      </c>
      <c r="B2599" s="1">
        <v>12</v>
      </c>
      <c r="C2599" s="1">
        <v>2019</v>
      </c>
      <c r="G2599" s="1" t="s">
        <v>40</v>
      </c>
      <c r="H2599" s="2">
        <v>83.45</v>
      </c>
      <c r="I2599" s="1">
        <v>171</v>
      </c>
      <c r="U2599" s="1">
        <v>243</v>
      </c>
      <c r="X2599" s="1">
        <v>215</v>
      </c>
      <c r="AA2599" s="1">
        <v>16</v>
      </c>
      <c r="AB2599" s="1">
        <v>9</v>
      </c>
      <c r="AC2599" s="1">
        <v>8877</v>
      </c>
      <c r="AF2599" s="3">
        <v>2.0491312162971838</v>
      </c>
      <c r="AG2599" s="3">
        <v>10.800122197836716</v>
      </c>
      <c r="AH2599" s="1">
        <v>6257</v>
      </c>
      <c r="AI2599" s="1" t="b">
        <v>1</v>
      </c>
    </row>
    <row r="2600" spans="1:35" x14ac:dyDescent="0.25">
      <c r="A2600" s="1">
        <v>10</v>
      </c>
      <c r="B2600" s="1">
        <v>12</v>
      </c>
      <c r="C2600" s="1">
        <v>2019</v>
      </c>
      <c r="G2600" s="1" t="s">
        <v>40</v>
      </c>
      <c r="H2600" s="2">
        <v>86.58</v>
      </c>
      <c r="I2600" s="1">
        <v>165</v>
      </c>
      <c r="U2600" s="1">
        <v>226</v>
      </c>
      <c r="X2600" s="1">
        <v>207</v>
      </c>
      <c r="AA2600" s="1">
        <v>12</v>
      </c>
      <c r="AB2600" s="1">
        <v>12</v>
      </c>
      <c r="AC2600" s="1">
        <v>9420</v>
      </c>
      <c r="AF2600" s="3">
        <v>1.9057519057519059</v>
      </c>
      <c r="AG2600" s="3">
        <v>11.915875152812418</v>
      </c>
      <c r="AH2600" s="1">
        <v>6258</v>
      </c>
      <c r="AI2600" s="1" t="b">
        <v>1</v>
      </c>
    </row>
    <row r="2601" spans="1:35" x14ac:dyDescent="0.25">
      <c r="A2601" s="1">
        <v>10</v>
      </c>
      <c r="B2601" s="1">
        <v>12</v>
      </c>
      <c r="C2601" s="1">
        <v>2019</v>
      </c>
      <c r="G2601" s="1" t="s">
        <v>40</v>
      </c>
      <c r="H2601" s="2">
        <v>78.66</v>
      </c>
      <c r="I2601" s="1">
        <v>195</v>
      </c>
      <c r="U2601" s="1">
        <v>232</v>
      </c>
      <c r="X2601" s="1">
        <v>216</v>
      </c>
      <c r="AA2601" s="1">
        <v>9</v>
      </c>
      <c r="AB2601" s="1">
        <v>4</v>
      </c>
      <c r="AC2601" s="1">
        <v>8211</v>
      </c>
      <c r="AF2601" s="3">
        <v>2.4790236460717012</v>
      </c>
      <c r="AG2601" s="3">
        <v>8.5653889760285224</v>
      </c>
      <c r="AH2601" s="1">
        <v>6258</v>
      </c>
      <c r="AI2601" s="1" t="b">
        <v>1</v>
      </c>
    </row>
    <row r="2602" spans="1:35" x14ac:dyDescent="0.25">
      <c r="A2602" s="1">
        <v>10</v>
      </c>
      <c r="B2602" s="1">
        <v>12</v>
      </c>
      <c r="C2602" s="1">
        <v>2019</v>
      </c>
      <c r="G2602" s="1" t="s">
        <v>40</v>
      </c>
      <c r="H2602" s="2">
        <v>75.849999999999994</v>
      </c>
      <c r="I2602" s="1">
        <v>150</v>
      </c>
      <c r="U2602" s="1">
        <v>217</v>
      </c>
      <c r="X2602" s="1">
        <v>190</v>
      </c>
      <c r="AA2602" s="1">
        <v>17</v>
      </c>
      <c r="AB2602" s="1">
        <v>15</v>
      </c>
      <c r="AC2602" s="1">
        <v>9392</v>
      </c>
      <c r="AF2602" s="3">
        <v>1.9775873434410021</v>
      </c>
      <c r="AG2602" s="3">
        <v>10.467265392911424</v>
      </c>
      <c r="AH2602" s="1">
        <v>6258</v>
      </c>
      <c r="AI2602" s="1" t="b">
        <v>1</v>
      </c>
    </row>
    <row r="2603" spans="1:35" x14ac:dyDescent="0.25">
      <c r="A2603" s="1">
        <v>10</v>
      </c>
      <c r="B2603" s="1">
        <v>12</v>
      </c>
      <c r="C2603" s="1">
        <v>2019</v>
      </c>
      <c r="G2603" s="1" t="s">
        <v>40</v>
      </c>
      <c r="H2603" s="2">
        <v>79.06</v>
      </c>
      <c r="I2603" s="1">
        <v>182</v>
      </c>
      <c r="U2603" s="1">
        <v>242</v>
      </c>
      <c r="X2603" s="1">
        <v>215</v>
      </c>
      <c r="AA2603" s="1">
        <v>12</v>
      </c>
      <c r="AB2603" s="1">
        <v>7</v>
      </c>
      <c r="AC2603" s="1">
        <v>8485</v>
      </c>
      <c r="AF2603" s="3">
        <v>2.3020490766506452</v>
      </c>
      <c r="AG2603" s="3">
        <v>9.256678687836521</v>
      </c>
      <c r="AH2603" s="1">
        <v>6258</v>
      </c>
      <c r="AI2603" s="1" t="b">
        <v>1</v>
      </c>
    </row>
    <row r="2604" spans="1:35" x14ac:dyDescent="0.25">
      <c r="A2604" s="1">
        <v>10</v>
      </c>
      <c r="B2604" s="1">
        <v>12</v>
      </c>
      <c r="C2604" s="1">
        <v>2019</v>
      </c>
      <c r="G2604" s="1" t="s">
        <v>40</v>
      </c>
      <c r="H2604" s="2">
        <v>84.92</v>
      </c>
      <c r="I2604" s="1">
        <v>161</v>
      </c>
      <c r="U2604" s="1">
        <v>235</v>
      </c>
      <c r="X2604" s="1">
        <v>208</v>
      </c>
      <c r="AA2604" s="1">
        <v>16</v>
      </c>
      <c r="AB2604" s="1">
        <v>12</v>
      </c>
      <c r="AC2604" s="1">
        <v>10195</v>
      </c>
      <c r="AF2604" s="3">
        <v>1.8959020254357042</v>
      </c>
      <c r="AG2604" s="3">
        <v>11.816560947264566</v>
      </c>
      <c r="AH2604" s="1">
        <v>6258</v>
      </c>
      <c r="AI2604" s="1" t="b">
        <v>1</v>
      </c>
    </row>
    <row r="2605" spans="1:35" x14ac:dyDescent="0.25">
      <c r="A2605" s="1">
        <v>10</v>
      </c>
      <c r="B2605" s="1">
        <v>12</v>
      </c>
      <c r="C2605" s="1">
        <v>2019</v>
      </c>
      <c r="G2605" s="1" t="s">
        <v>40</v>
      </c>
      <c r="H2605" s="2">
        <v>75.819999999999993</v>
      </c>
      <c r="I2605" s="1">
        <v>185</v>
      </c>
      <c r="U2605" s="1">
        <v>226</v>
      </c>
      <c r="X2605" s="1">
        <v>214</v>
      </c>
      <c r="AA2605" s="1">
        <v>13</v>
      </c>
      <c r="AB2605" s="1">
        <v>9</v>
      </c>
      <c r="AC2605" s="1">
        <v>8388</v>
      </c>
      <c r="AF2605" s="3">
        <v>2.4399894486942761</v>
      </c>
      <c r="AG2605" s="3">
        <v>8.4812662625627233</v>
      </c>
      <c r="AH2605" s="1">
        <v>6258</v>
      </c>
      <c r="AI2605" s="1" t="b">
        <v>1</v>
      </c>
    </row>
    <row r="2606" spans="1:35" x14ac:dyDescent="0.25">
      <c r="A2606" s="1">
        <v>10</v>
      </c>
      <c r="B2606" s="1">
        <v>12</v>
      </c>
      <c r="C2606" s="1">
        <v>2019</v>
      </c>
      <c r="G2606" s="1" t="s">
        <v>40</v>
      </c>
      <c r="H2606" s="2">
        <v>80.39</v>
      </c>
      <c r="I2606" s="1">
        <v>192</v>
      </c>
      <c r="U2606" s="1">
        <v>246</v>
      </c>
      <c r="X2606" s="1">
        <v>224</v>
      </c>
      <c r="AA2606" s="1">
        <v>11</v>
      </c>
      <c r="AB2606" s="1">
        <v>9</v>
      </c>
      <c r="AC2606" s="1">
        <v>8834</v>
      </c>
      <c r="AF2606" s="3">
        <v>2.3883567607911433</v>
      </c>
      <c r="AG2606" s="3">
        <v>9.0269745911428831</v>
      </c>
      <c r="AH2606" s="1">
        <v>6258</v>
      </c>
      <c r="AI2606" s="1" t="b">
        <v>1</v>
      </c>
    </row>
    <row r="2607" spans="1:35" x14ac:dyDescent="0.25">
      <c r="A2607" s="1">
        <v>10</v>
      </c>
      <c r="B2607" s="1">
        <v>12</v>
      </c>
      <c r="C2607" s="1">
        <v>2019</v>
      </c>
      <c r="G2607" s="1" t="s">
        <v>40</v>
      </c>
      <c r="H2607" s="2">
        <v>70.209999999999994</v>
      </c>
      <c r="I2607" s="1">
        <v>131</v>
      </c>
      <c r="U2607" s="1">
        <v>196</v>
      </c>
      <c r="X2607" s="1">
        <v>166</v>
      </c>
      <c r="AA2607" s="1">
        <v>15</v>
      </c>
      <c r="AB2607" s="1">
        <v>12</v>
      </c>
      <c r="AC2607" s="1">
        <v>7353</v>
      </c>
      <c r="AF2607" s="3">
        <v>1.8658310781939895</v>
      </c>
      <c r="AG2607" s="3">
        <v>10.510102669113403</v>
      </c>
      <c r="AH2607" s="1">
        <v>6258</v>
      </c>
      <c r="AI2607" s="1" t="b">
        <v>1</v>
      </c>
    </row>
    <row r="2608" spans="1:35" x14ac:dyDescent="0.25">
      <c r="A2608" s="1">
        <v>10</v>
      </c>
      <c r="B2608" s="1">
        <v>12</v>
      </c>
      <c r="C2608" s="1">
        <v>2019</v>
      </c>
      <c r="G2608" s="1" t="s">
        <v>40</v>
      </c>
      <c r="H2608" s="2">
        <v>75.849999999999994</v>
      </c>
      <c r="I2608" s="1">
        <v>160</v>
      </c>
      <c r="U2608" s="1">
        <v>234</v>
      </c>
      <c r="X2608" s="1">
        <v>208</v>
      </c>
      <c r="AA2608" s="1">
        <v>17</v>
      </c>
      <c r="AB2608" s="1">
        <v>14</v>
      </c>
      <c r="AC2608" s="1">
        <v>9276</v>
      </c>
      <c r="AF2608" s="3">
        <v>2.1094264996704024</v>
      </c>
      <c r="AG2608" s="3">
        <v>9.8130613058544593</v>
      </c>
      <c r="AH2608" s="1">
        <v>6258</v>
      </c>
      <c r="AI2608" s="1" t="b">
        <v>1</v>
      </c>
    </row>
    <row r="2609" spans="1:35" x14ac:dyDescent="0.25">
      <c r="A2609" s="1">
        <v>11</v>
      </c>
      <c r="B2609" s="1">
        <v>12</v>
      </c>
      <c r="C2609" s="1">
        <v>2019</v>
      </c>
      <c r="G2609" s="1" t="s">
        <v>40</v>
      </c>
      <c r="H2609" s="2">
        <v>76.42</v>
      </c>
      <c r="I2609" s="1">
        <v>170</v>
      </c>
      <c r="U2609" s="1">
        <v>232</v>
      </c>
      <c r="X2609" s="1">
        <v>215</v>
      </c>
      <c r="AA2609" s="1">
        <v>14</v>
      </c>
      <c r="AB2609" s="1">
        <v>14</v>
      </c>
      <c r="AC2609" s="1">
        <v>8442</v>
      </c>
      <c r="AF2609" s="3">
        <v>2.2245485475006541</v>
      </c>
      <c r="AG2609" s="3">
        <v>9.3541221179960417</v>
      </c>
      <c r="AH2609" s="1">
        <v>6258</v>
      </c>
      <c r="AI2609" s="1" t="b">
        <v>1</v>
      </c>
    </row>
    <row r="2610" spans="1:35" x14ac:dyDescent="0.25">
      <c r="A2610" s="1">
        <v>12</v>
      </c>
      <c r="B2610" s="1">
        <v>12</v>
      </c>
      <c r="C2610" s="1">
        <v>2019</v>
      </c>
      <c r="G2610" s="1" t="s">
        <v>40</v>
      </c>
      <c r="H2610" s="2">
        <v>79.53</v>
      </c>
      <c r="I2610" s="1">
        <v>177</v>
      </c>
      <c r="U2610" s="1">
        <v>237</v>
      </c>
      <c r="X2610" s="1">
        <v>214</v>
      </c>
      <c r="AA2610" s="1">
        <v>13</v>
      </c>
      <c r="AB2610" s="1">
        <v>12</v>
      </c>
      <c r="AC2610" s="1">
        <v>8929</v>
      </c>
      <c r="AF2610" s="3">
        <v>2.2255752546208978</v>
      </c>
      <c r="AG2610" s="3">
        <v>9.614559774157641</v>
      </c>
      <c r="AH2610" s="1">
        <v>6258</v>
      </c>
      <c r="AI2610" s="1" t="b">
        <v>1</v>
      </c>
    </row>
    <row r="2611" spans="1:35" x14ac:dyDescent="0.25">
      <c r="A2611" s="1">
        <v>12</v>
      </c>
      <c r="B2611" s="1">
        <v>12</v>
      </c>
      <c r="C2611" s="1">
        <v>2019</v>
      </c>
      <c r="G2611" s="1" t="s">
        <v>40</v>
      </c>
      <c r="H2611" s="2">
        <v>96.18</v>
      </c>
      <c r="I2611" s="1">
        <v>219</v>
      </c>
      <c r="U2611" s="1">
        <v>280</v>
      </c>
      <c r="X2611" s="1">
        <v>249</v>
      </c>
      <c r="AA2611" s="1">
        <v>11</v>
      </c>
      <c r="AB2611" s="1">
        <v>6</v>
      </c>
      <c r="AC2611" s="1">
        <v>10352</v>
      </c>
      <c r="AF2611" s="3">
        <v>2.2769806612601369</v>
      </c>
      <c r="AG2611" s="3">
        <v>10.734949328739665</v>
      </c>
      <c r="AH2611" s="1">
        <v>6258</v>
      </c>
      <c r="AI2611" s="1" t="b">
        <v>1</v>
      </c>
    </row>
    <row r="2612" spans="1:35" x14ac:dyDescent="0.25">
      <c r="A2612" s="1">
        <v>12</v>
      </c>
      <c r="B2612" s="1">
        <v>12</v>
      </c>
      <c r="C2612" s="1">
        <v>2019</v>
      </c>
      <c r="G2612" s="1" t="s">
        <v>40</v>
      </c>
      <c r="H2612" s="2">
        <v>79.599999999999994</v>
      </c>
      <c r="I2612" s="1">
        <v>171</v>
      </c>
      <c r="U2612" s="1">
        <v>231</v>
      </c>
      <c r="X2612" s="1">
        <v>207</v>
      </c>
      <c r="AA2612" s="1">
        <v>12</v>
      </c>
      <c r="AB2612" s="1">
        <v>7</v>
      </c>
      <c r="AC2612" s="1">
        <v>8999</v>
      </c>
      <c r="AF2612" s="3">
        <v>2.1482412060301508</v>
      </c>
      <c r="AG2612" s="3">
        <v>9.9668082901628825</v>
      </c>
      <c r="AH2612" s="1">
        <v>6258</v>
      </c>
      <c r="AI2612" s="1" t="b">
        <v>1</v>
      </c>
    </row>
    <row r="2613" spans="1:35" x14ac:dyDescent="0.25">
      <c r="A2613" s="1">
        <v>12</v>
      </c>
      <c r="B2613" s="1">
        <v>12</v>
      </c>
      <c r="C2613" s="1">
        <v>2019</v>
      </c>
      <c r="G2613" s="1" t="s">
        <v>40</v>
      </c>
      <c r="H2613" s="2">
        <v>67.12</v>
      </c>
      <c r="I2613" s="1">
        <v>133</v>
      </c>
      <c r="U2613" s="1">
        <v>208</v>
      </c>
      <c r="X2613" s="1">
        <v>182</v>
      </c>
      <c r="AA2613" s="1">
        <v>16</v>
      </c>
      <c r="AB2613" s="1">
        <v>19</v>
      </c>
      <c r="AC2613" s="1">
        <v>7536</v>
      </c>
      <c r="AF2613" s="3">
        <v>1.9815256257449343</v>
      </c>
      <c r="AG2613" s="3">
        <v>9.5895156074581642</v>
      </c>
      <c r="AH2613" s="1">
        <v>6258</v>
      </c>
      <c r="AI2613" s="1" t="b">
        <v>1</v>
      </c>
    </row>
    <row r="2614" spans="1:35" x14ac:dyDescent="0.25">
      <c r="A2614" s="1">
        <v>12</v>
      </c>
      <c r="B2614" s="1">
        <v>12</v>
      </c>
      <c r="C2614" s="1">
        <v>2019</v>
      </c>
      <c r="G2614" s="1" t="s">
        <v>40</v>
      </c>
      <c r="H2614" s="2">
        <v>82.43</v>
      </c>
      <c r="I2614" s="1">
        <v>185</v>
      </c>
      <c r="U2614" s="1">
        <v>260</v>
      </c>
      <c r="X2614" s="1">
        <v>230</v>
      </c>
      <c r="AA2614" s="1">
        <v>15</v>
      </c>
      <c r="AB2614" s="1">
        <v>11</v>
      </c>
      <c r="AC2614" s="1">
        <v>9595</v>
      </c>
      <c r="AF2614" s="3">
        <v>2.2443285211694768</v>
      </c>
      <c r="AG2614" s="3">
        <v>9.7762721152782515</v>
      </c>
      <c r="AH2614" s="1">
        <v>6258</v>
      </c>
      <c r="AI2614" s="1" t="b">
        <v>1</v>
      </c>
    </row>
    <row r="2615" spans="1:35" x14ac:dyDescent="0.25">
      <c r="A2615" s="1">
        <v>13</v>
      </c>
      <c r="B2615" s="1">
        <v>12</v>
      </c>
      <c r="C2615" s="1">
        <v>2019</v>
      </c>
      <c r="G2615" s="1" t="s">
        <v>40</v>
      </c>
      <c r="H2615" s="2">
        <v>87.82</v>
      </c>
      <c r="I2615" s="1">
        <v>203</v>
      </c>
      <c r="U2615" s="1">
        <v>249</v>
      </c>
      <c r="X2615" s="1">
        <v>228</v>
      </c>
      <c r="AA2615" s="1">
        <v>10</v>
      </c>
      <c r="AB2615" s="1">
        <v>6</v>
      </c>
      <c r="AC2615" s="1">
        <v>8991</v>
      </c>
      <c r="AF2615" s="3">
        <v>2.3115463447961742</v>
      </c>
      <c r="AG2615" s="3">
        <v>9.9223101448025623</v>
      </c>
      <c r="AH2615" s="1">
        <v>6258</v>
      </c>
      <c r="AI2615" s="1" t="b">
        <v>1</v>
      </c>
    </row>
    <row r="2616" spans="1:35" x14ac:dyDescent="0.25">
      <c r="A2616" s="1">
        <v>13</v>
      </c>
      <c r="B2616" s="1">
        <v>12</v>
      </c>
      <c r="C2616" s="1">
        <v>2019</v>
      </c>
      <c r="G2616" s="1" t="s">
        <v>40</v>
      </c>
      <c r="H2616" s="2">
        <v>73.89</v>
      </c>
      <c r="I2616" s="1">
        <v>166</v>
      </c>
      <c r="U2616" s="1">
        <v>219</v>
      </c>
      <c r="X2616" s="1">
        <v>196</v>
      </c>
      <c r="AA2616" s="1">
        <v>12</v>
      </c>
      <c r="AB2616" s="1">
        <v>9</v>
      </c>
      <c r="AC2616" s="1">
        <v>7399</v>
      </c>
      <c r="AF2616" s="3">
        <v>2.2465827581540125</v>
      </c>
      <c r="AG2616" s="3">
        <v>9.0466449299572833</v>
      </c>
      <c r="AH2616" s="1">
        <v>6258</v>
      </c>
      <c r="AI2616" s="1" t="b">
        <v>1</v>
      </c>
    </row>
    <row r="2617" spans="1:35" x14ac:dyDescent="0.25">
      <c r="A2617" s="1">
        <v>13</v>
      </c>
      <c r="B2617" s="1">
        <v>12</v>
      </c>
      <c r="C2617" s="1">
        <v>2019</v>
      </c>
      <c r="G2617" s="1" t="s">
        <v>40</v>
      </c>
      <c r="H2617" s="2">
        <v>88.19</v>
      </c>
      <c r="I2617" s="1">
        <v>175</v>
      </c>
      <c r="U2617" s="1">
        <v>244</v>
      </c>
      <c r="X2617" s="1">
        <v>212</v>
      </c>
      <c r="AA2617" s="1">
        <v>12</v>
      </c>
      <c r="AB2617" s="1">
        <v>11</v>
      </c>
      <c r="AC2617" s="1">
        <v>9364</v>
      </c>
      <c r="AF2617" s="3">
        <v>1.9843519673432362</v>
      </c>
      <c r="AG2617" s="3">
        <v>11.592439385562939</v>
      </c>
      <c r="AH2617" s="1">
        <v>6258</v>
      </c>
      <c r="AI2617" s="1" t="b">
        <v>1</v>
      </c>
    </row>
    <row r="2618" spans="1:35" x14ac:dyDescent="0.25">
      <c r="A2618" s="1">
        <v>13</v>
      </c>
      <c r="B2618" s="1">
        <v>12</v>
      </c>
      <c r="C2618" s="1">
        <v>2019</v>
      </c>
      <c r="G2618" s="1" t="s">
        <v>40</v>
      </c>
      <c r="H2618" s="2">
        <v>84.45</v>
      </c>
      <c r="I2618" s="1">
        <v>158</v>
      </c>
      <c r="U2618" s="1">
        <v>219</v>
      </c>
      <c r="X2618" s="1">
        <v>191</v>
      </c>
      <c r="AA2618" s="1">
        <v>14</v>
      </c>
      <c r="AB2618" s="1">
        <v>17</v>
      </c>
      <c r="AC2618" s="1">
        <v>8470</v>
      </c>
      <c r="AF2618" s="3">
        <v>1.8709295441089402</v>
      </c>
      <c r="AG2618" s="3">
        <v>11.927854277015973</v>
      </c>
      <c r="AH2618" s="1">
        <v>6258</v>
      </c>
      <c r="AI2618" s="1" t="b">
        <v>1</v>
      </c>
    </row>
    <row r="2619" spans="1:35" x14ac:dyDescent="0.25">
      <c r="A2619" s="1">
        <v>14</v>
      </c>
      <c r="B2619" s="1">
        <v>12</v>
      </c>
      <c r="C2619" s="1">
        <v>2019</v>
      </c>
      <c r="G2619" s="1" t="s">
        <v>40</v>
      </c>
      <c r="H2619" s="2">
        <v>79.95</v>
      </c>
      <c r="I2619" s="1">
        <v>155</v>
      </c>
      <c r="U2619" s="1">
        <v>211</v>
      </c>
      <c r="X2619" s="1">
        <v>183</v>
      </c>
      <c r="AA2619" s="1">
        <v>11</v>
      </c>
      <c r="AB2619" s="1">
        <v>11</v>
      </c>
      <c r="AC2619" s="1">
        <v>8298</v>
      </c>
      <c r="AF2619" s="3">
        <v>1.9387116948092558</v>
      </c>
      <c r="AG2619" s="3">
        <v>11.077957574063976</v>
      </c>
      <c r="AH2619" s="1">
        <v>6258</v>
      </c>
      <c r="AI2619" s="1" t="b">
        <v>1</v>
      </c>
    </row>
    <row r="2620" spans="1:35" x14ac:dyDescent="0.25">
      <c r="A2620" s="1">
        <v>14</v>
      </c>
      <c r="B2620" s="1">
        <v>12</v>
      </c>
      <c r="C2620" s="1">
        <v>2019</v>
      </c>
      <c r="G2620" s="1" t="s">
        <v>40</v>
      </c>
      <c r="H2620" s="2">
        <v>74.849999999999994</v>
      </c>
      <c r="I2620" s="1">
        <v>169</v>
      </c>
      <c r="U2620" s="1">
        <v>239</v>
      </c>
      <c r="X2620" s="1">
        <v>208</v>
      </c>
      <c r="AA2620" s="1">
        <v>14</v>
      </c>
      <c r="AB2620" s="1">
        <v>12</v>
      </c>
      <c r="AC2620" s="1">
        <v>7991</v>
      </c>
      <c r="AF2620" s="3">
        <v>2.2578490313961259</v>
      </c>
      <c r="AG2620" s="3">
        <v>9.0832101742268634</v>
      </c>
      <c r="AH2620" s="1">
        <v>6258</v>
      </c>
      <c r="AI2620" s="1" t="b">
        <v>1</v>
      </c>
    </row>
    <row r="2621" spans="1:35" x14ac:dyDescent="0.25">
      <c r="A2621" s="1">
        <v>14</v>
      </c>
      <c r="B2621" s="1">
        <v>12</v>
      </c>
      <c r="C2621" s="1">
        <v>2019</v>
      </c>
      <c r="G2621" s="1" t="s">
        <v>40</v>
      </c>
      <c r="H2621" s="2">
        <v>77.44</v>
      </c>
      <c r="I2621" s="1">
        <v>175</v>
      </c>
      <c r="U2621" s="1">
        <v>228</v>
      </c>
      <c r="X2621" s="1">
        <v>206</v>
      </c>
      <c r="AA2621" s="1">
        <v>10</v>
      </c>
      <c r="AB2621" s="1">
        <v>11</v>
      </c>
      <c r="AC2621" s="1">
        <v>8371</v>
      </c>
      <c r="AF2621" s="3">
        <v>2.2598140495867769</v>
      </c>
      <c r="AG2621" s="3">
        <v>9.2940078855891528</v>
      </c>
      <c r="AH2621" s="1">
        <v>6258</v>
      </c>
      <c r="AI2621" s="1" t="b">
        <v>1</v>
      </c>
    </row>
    <row r="2622" spans="1:35" x14ac:dyDescent="0.25">
      <c r="A2622" s="1">
        <v>14</v>
      </c>
      <c r="B2622" s="1">
        <v>12</v>
      </c>
      <c r="C2622" s="1">
        <v>2019</v>
      </c>
      <c r="G2622" s="1" t="s">
        <v>40</v>
      </c>
      <c r="H2622" s="2">
        <v>81.56</v>
      </c>
      <c r="I2622" s="1">
        <v>147</v>
      </c>
      <c r="U2622" s="1">
        <v>204</v>
      </c>
      <c r="X2622" s="1">
        <v>182</v>
      </c>
      <c r="AA2622" s="1">
        <v>13</v>
      </c>
      <c r="AB2622" s="1">
        <v>15</v>
      </c>
      <c r="AC2622" s="1">
        <v>8657</v>
      </c>
      <c r="AF2622" s="3">
        <v>1.8023540951446788</v>
      </c>
      <c r="AG2622" s="3">
        <v>12.08353305181314</v>
      </c>
      <c r="AH2622" s="1">
        <v>6258</v>
      </c>
      <c r="AI2622" s="1" t="b">
        <v>1</v>
      </c>
    </row>
    <row r="2623" spans="1:35" x14ac:dyDescent="0.25">
      <c r="A2623" s="1">
        <v>15</v>
      </c>
      <c r="B2623" s="1">
        <v>12</v>
      </c>
      <c r="C2623" s="1">
        <v>2019</v>
      </c>
      <c r="G2623" s="1" t="s">
        <v>40</v>
      </c>
      <c r="H2623" s="2">
        <v>69.239999999999995</v>
      </c>
      <c r="I2623" s="1">
        <v>152</v>
      </c>
      <c r="U2623" s="1">
        <v>215</v>
      </c>
      <c r="X2623" s="1">
        <v>188</v>
      </c>
      <c r="AA2623" s="1">
        <v>13</v>
      </c>
      <c r="AB2623" s="1">
        <v>11</v>
      </c>
      <c r="AC2623" s="1">
        <v>7891</v>
      </c>
      <c r="AF2623" s="3">
        <v>2.1952628538417103</v>
      </c>
      <c r="AG2623" s="3">
        <v>8.8463356344983737</v>
      </c>
      <c r="AH2623" s="1">
        <v>6258</v>
      </c>
      <c r="AI2623" s="1" t="b">
        <v>1</v>
      </c>
    </row>
    <row r="2624" spans="1:35" x14ac:dyDescent="0.25">
      <c r="A2624" s="1">
        <v>15</v>
      </c>
      <c r="B2624" s="1">
        <v>12</v>
      </c>
      <c r="C2624" s="1">
        <v>2019</v>
      </c>
      <c r="G2624" s="1" t="s">
        <v>40</v>
      </c>
      <c r="H2624" s="2">
        <v>76.86</v>
      </c>
      <c r="I2624" s="1">
        <v>185</v>
      </c>
      <c r="U2624" s="1">
        <v>262</v>
      </c>
      <c r="X2624" s="1">
        <v>228</v>
      </c>
      <c r="AA2624" s="1">
        <v>13</v>
      </c>
      <c r="AB2624" s="1">
        <v>7</v>
      </c>
      <c r="AC2624" s="1">
        <v>8659</v>
      </c>
      <c r="AF2624" s="3">
        <v>2.4069737184491284</v>
      </c>
      <c r="AG2624" s="3">
        <v>8.6799838637370446</v>
      </c>
      <c r="AH2624" s="1">
        <v>6258</v>
      </c>
      <c r="AI2624" s="1" t="b">
        <v>1</v>
      </c>
    </row>
    <row r="2625" spans="1:35" x14ac:dyDescent="0.25">
      <c r="A2625" s="1">
        <v>15</v>
      </c>
      <c r="B2625" s="1">
        <v>12</v>
      </c>
      <c r="C2625" s="1">
        <v>2019</v>
      </c>
      <c r="G2625" s="1" t="s">
        <v>40</v>
      </c>
      <c r="H2625" s="2">
        <v>75.34</v>
      </c>
      <c r="I2625" s="1">
        <v>178</v>
      </c>
      <c r="U2625" s="1">
        <v>250</v>
      </c>
      <c r="X2625" s="1">
        <v>214</v>
      </c>
      <c r="AA2625" s="1">
        <v>14</v>
      </c>
      <c r="AB2625" s="1">
        <v>10</v>
      </c>
      <c r="AC2625" s="1">
        <v>8631</v>
      </c>
      <c r="AF2625" s="3">
        <v>2.3626227767454209</v>
      </c>
      <c r="AG2625" s="3">
        <v>8.7201417502949674</v>
      </c>
      <c r="AH2625" s="1">
        <v>6258</v>
      </c>
      <c r="AI2625" s="1" t="b">
        <v>1</v>
      </c>
    </row>
    <row r="2626" spans="1:35" x14ac:dyDescent="0.25">
      <c r="A2626" s="1">
        <v>15</v>
      </c>
      <c r="B2626" s="1">
        <v>12</v>
      </c>
      <c r="C2626" s="1">
        <v>2019</v>
      </c>
      <c r="G2626" s="1" t="s">
        <v>40</v>
      </c>
      <c r="H2626" s="2">
        <v>68.83</v>
      </c>
      <c r="I2626" s="1">
        <v>139</v>
      </c>
      <c r="U2626" s="1">
        <v>188</v>
      </c>
      <c r="X2626" s="1">
        <v>163</v>
      </c>
      <c r="AA2626" s="1">
        <v>9</v>
      </c>
      <c r="AB2626" s="1">
        <v>10</v>
      </c>
      <c r="AC2626" s="1">
        <v>7500</v>
      </c>
      <c r="AF2626" s="3">
        <v>2.0194682551213132</v>
      </c>
      <c r="AG2626" s="3">
        <v>9.5765131198732938</v>
      </c>
      <c r="AH2626" s="1">
        <v>6258</v>
      </c>
      <c r="AI2626" s="1" t="b">
        <v>1</v>
      </c>
    </row>
    <row r="2627" spans="1:35" x14ac:dyDescent="0.25">
      <c r="A2627" s="1">
        <v>15</v>
      </c>
      <c r="B2627" s="1">
        <v>12</v>
      </c>
      <c r="C2627" s="1">
        <v>2019</v>
      </c>
      <c r="G2627" s="1" t="s">
        <v>40</v>
      </c>
      <c r="H2627" s="2">
        <v>73.239999999999995</v>
      </c>
      <c r="I2627" s="1">
        <v>146</v>
      </c>
      <c r="U2627" s="1">
        <v>200</v>
      </c>
      <c r="X2627" s="1">
        <v>178</v>
      </c>
      <c r="AA2627" s="1">
        <v>11</v>
      </c>
      <c r="AB2627" s="1">
        <v>11</v>
      </c>
      <c r="AC2627" s="1">
        <v>8141</v>
      </c>
      <c r="AF2627" s="3">
        <v>1.9934462042599674</v>
      </c>
      <c r="AG2627" s="3">
        <v>10.132563049090368</v>
      </c>
      <c r="AH2627" s="1">
        <v>6258</v>
      </c>
      <c r="AI2627" s="1" t="b">
        <v>1</v>
      </c>
    </row>
    <row r="2628" spans="1:35" x14ac:dyDescent="0.25">
      <c r="A2628" s="1">
        <v>15</v>
      </c>
      <c r="B2628" s="1">
        <v>12</v>
      </c>
      <c r="C2628" s="1">
        <v>2019</v>
      </c>
      <c r="G2628" s="1" t="s">
        <v>40</v>
      </c>
      <c r="H2628" s="2">
        <v>76.73</v>
      </c>
      <c r="I2628" s="1">
        <v>185</v>
      </c>
      <c r="U2628" s="1">
        <v>232</v>
      </c>
      <c r="X2628" s="1">
        <v>214</v>
      </c>
      <c r="AA2628" s="1">
        <v>12</v>
      </c>
      <c r="AB2628" s="1">
        <v>11</v>
      </c>
      <c r="AC2628" s="1">
        <v>8714</v>
      </c>
      <c r="AF2628" s="3">
        <v>2.4110517398670663</v>
      </c>
      <c r="AG2628" s="3">
        <v>8.6550405817956992</v>
      </c>
      <c r="AH2628" s="1">
        <v>6258</v>
      </c>
      <c r="AI2628" s="1" t="b">
        <v>1</v>
      </c>
    </row>
    <row r="2629" spans="1:35" x14ac:dyDescent="0.25">
      <c r="A2629" s="1">
        <v>16</v>
      </c>
      <c r="B2629" s="1">
        <v>12</v>
      </c>
      <c r="C2629" s="1">
        <v>2019</v>
      </c>
      <c r="G2629" s="1" t="s">
        <v>40</v>
      </c>
      <c r="H2629" s="2">
        <v>83.2</v>
      </c>
      <c r="I2629" s="1">
        <v>167</v>
      </c>
      <c r="U2629" s="1">
        <v>234</v>
      </c>
      <c r="X2629" s="1">
        <v>210</v>
      </c>
      <c r="AA2629" s="1">
        <v>16</v>
      </c>
      <c r="AB2629" s="1">
        <v>8</v>
      </c>
      <c r="AC2629" s="1">
        <v>8838</v>
      </c>
      <c r="AF2629" s="3">
        <v>2.0072115384615383</v>
      </c>
      <c r="AG2629" s="3">
        <v>11.002545761542565</v>
      </c>
      <c r="AH2629" s="1">
        <v>6259</v>
      </c>
      <c r="AI2629" s="1" t="b">
        <v>1</v>
      </c>
    </row>
    <row r="2630" spans="1:35" x14ac:dyDescent="0.25">
      <c r="A2630" s="1">
        <v>16</v>
      </c>
      <c r="B2630" s="1">
        <v>12</v>
      </c>
      <c r="C2630" s="1">
        <v>2019</v>
      </c>
      <c r="G2630" s="1" t="s">
        <v>40</v>
      </c>
      <c r="H2630" s="2">
        <v>73.25</v>
      </c>
      <c r="I2630" s="1">
        <v>174</v>
      </c>
      <c r="U2630" s="1">
        <v>231</v>
      </c>
      <c r="X2630" s="1">
        <v>204</v>
      </c>
      <c r="AA2630" s="1">
        <v>12</v>
      </c>
      <c r="AB2630" s="1">
        <v>11</v>
      </c>
      <c r="AC2630" s="1">
        <v>8320</v>
      </c>
      <c r="AF2630" s="3">
        <v>2.3754266211604094</v>
      </c>
      <c r="AG2630" s="3">
        <v>8.5040091942833609</v>
      </c>
      <c r="AH2630" s="1">
        <v>6259</v>
      </c>
      <c r="AI2630" s="1" t="b">
        <v>1</v>
      </c>
    </row>
    <row r="2631" spans="1:35" x14ac:dyDescent="0.25">
      <c r="A2631" s="1">
        <v>16</v>
      </c>
      <c r="B2631" s="1">
        <v>12</v>
      </c>
      <c r="C2631" s="1">
        <v>2019</v>
      </c>
      <c r="G2631" s="1" t="s">
        <v>40</v>
      </c>
      <c r="H2631" s="2">
        <v>68.42</v>
      </c>
      <c r="I2631" s="1">
        <v>161</v>
      </c>
      <c r="U2631" s="1">
        <v>220</v>
      </c>
      <c r="X2631" s="1">
        <v>192</v>
      </c>
      <c r="AA2631" s="1">
        <v>14</v>
      </c>
      <c r="AB2631" s="1">
        <v>9</v>
      </c>
      <c r="AC2631" s="1">
        <v>7317</v>
      </c>
      <c r="AF2631" s="3">
        <v>2.3531131248173049</v>
      </c>
      <c r="AG2631" s="3">
        <v>8.1843716569754879</v>
      </c>
      <c r="AH2631" s="1">
        <v>6259</v>
      </c>
      <c r="AI2631" s="1" t="b">
        <v>1</v>
      </c>
    </row>
    <row r="2632" spans="1:35" x14ac:dyDescent="0.25">
      <c r="A2632" s="1">
        <v>16</v>
      </c>
      <c r="B2632" s="1">
        <v>12</v>
      </c>
      <c r="C2632" s="1">
        <v>2019</v>
      </c>
      <c r="G2632" s="1" t="s">
        <v>40</v>
      </c>
      <c r="H2632" s="2">
        <v>92.51</v>
      </c>
      <c r="I2632" s="1">
        <v>208</v>
      </c>
      <c r="U2632" s="1">
        <v>277</v>
      </c>
      <c r="X2632" s="1">
        <v>252</v>
      </c>
      <c r="AA2632" s="1">
        <v>13</v>
      </c>
      <c r="AB2632" s="1">
        <v>6</v>
      </c>
      <c r="AC2632" s="1">
        <v>10156</v>
      </c>
      <c r="AF2632" s="3">
        <v>2.2484055777753755</v>
      </c>
      <c r="AG2632" s="3">
        <v>10.5793119351471</v>
      </c>
      <c r="AH2632" s="1">
        <v>6259</v>
      </c>
      <c r="AI2632" s="1" t="b">
        <v>1</v>
      </c>
    </row>
    <row r="2633" spans="1:35" x14ac:dyDescent="0.25">
      <c r="A2633" s="1">
        <v>16</v>
      </c>
      <c r="B2633" s="1">
        <v>12</v>
      </c>
      <c r="C2633" s="1">
        <v>2019</v>
      </c>
      <c r="G2633" s="1" t="s">
        <v>40</v>
      </c>
      <c r="H2633" s="2">
        <v>75.39</v>
      </c>
      <c r="I2633" s="1">
        <v>156</v>
      </c>
      <c r="U2633" s="1">
        <v>228</v>
      </c>
      <c r="X2633" s="1">
        <v>197</v>
      </c>
      <c r="AA2633" s="1">
        <v>14</v>
      </c>
      <c r="AB2633" s="1">
        <v>13</v>
      </c>
      <c r="AC2633" s="1">
        <v>8781</v>
      </c>
      <c r="AF2633" s="3">
        <v>2.0692399522483087</v>
      </c>
      <c r="AG2633" s="3">
        <v>9.9611336074660191</v>
      </c>
      <c r="AH2633" s="1">
        <v>6259</v>
      </c>
      <c r="AI2633" s="1" t="b">
        <v>1</v>
      </c>
    </row>
    <row r="2634" spans="1:35" x14ac:dyDescent="0.25">
      <c r="A2634" s="1">
        <v>16</v>
      </c>
      <c r="B2634" s="1">
        <v>12</v>
      </c>
      <c r="C2634" s="1">
        <v>2019</v>
      </c>
      <c r="G2634" s="1" t="s">
        <v>40</v>
      </c>
      <c r="H2634" s="2">
        <v>82.76</v>
      </c>
      <c r="I2634" s="1">
        <v>126</v>
      </c>
      <c r="U2634" s="1">
        <v>196</v>
      </c>
      <c r="X2634" s="1">
        <v>175</v>
      </c>
      <c r="AA2634" s="1">
        <v>17</v>
      </c>
      <c r="AB2634" s="1">
        <v>17</v>
      </c>
      <c r="AC2634" s="1">
        <v>9789</v>
      </c>
      <c r="AF2634" s="3">
        <v>1.5224746254229096</v>
      </c>
      <c r="AG2634" s="3">
        <v>14.451877587086864</v>
      </c>
      <c r="AH2634" s="1">
        <v>6259</v>
      </c>
      <c r="AI2634" s="1" t="b">
        <v>1</v>
      </c>
    </row>
    <row r="2635" spans="1:35" x14ac:dyDescent="0.25">
      <c r="A2635" s="1">
        <v>16</v>
      </c>
      <c r="B2635" s="1">
        <v>12</v>
      </c>
      <c r="C2635" s="1">
        <v>2019</v>
      </c>
      <c r="G2635" s="1" t="s">
        <v>40</v>
      </c>
      <c r="H2635" s="2">
        <v>81.83</v>
      </c>
      <c r="I2635" s="1">
        <v>198</v>
      </c>
      <c r="U2635" s="1">
        <v>260</v>
      </c>
      <c r="X2635" s="1">
        <v>229</v>
      </c>
      <c r="AA2635" s="1">
        <v>11</v>
      </c>
      <c r="AB2635" s="1">
        <v>4</v>
      </c>
      <c r="AC2635" s="1">
        <v>9018</v>
      </c>
      <c r="AF2635" s="3">
        <v>2.4196504949285105</v>
      </c>
      <c r="AG2635" s="3">
        <v>9.021653580220228</v>
      </c>
      <c r="AH2635" s="1">
        <v>6259</v>
      </c>
      <c r="AI2635" s="1" t="b">
        <v>1</v>
      </c>
    </row>
    <row r="2636" spans="1:35" x14ac:dyDescent="0.25">
      <c r="A2636" s="1">
        <v>17</v>
      </c>
      <c r="B2636" s="1">
        <v>12</v>
      </c>
      <c r="C2636" s="1">
        <v>2019</v>
      </c>
      <c r="G2636" s="1" t="s">
        <v>40</v>
      </c>
      <c r="H2636" s="2">
        <v>89.87</v>
      </c>
      <c r="I2636" s="1">
        <v>191</v>
      </c>
      <c r="U2636" s="1">
        <v>253</v>
      </c>
      <c r="X2636" s="1">
        <v>229</v>
      </c>
      <c r="AA2636" s="1">
        <v>13</v>
      </c>
      <c r="AB2636" s="1">
        <v>14</v>
      </c>
      <c r="AC2636" s="1">
        <v>9163</v>
      </c>
      <c r="AF2636" s="3">
        <v>2.1252920885723823</v>
      </c>
      <c r="AG2636" s="3">
        <v>10.96760229143894</v>
      </c>
      <c r="AH2636" s="1">
        <v>6259</v>
      </c>
      <c r="AI2636" s="1" t="b">
        <v>1</v>
      </c>
    </row>
    <row r="2637" spans="1:35" x14ac:dyDescent="0.25">
      <c r="A2637" s="1">
        <v>17</v>
      </c>
      <c r="B2637" s="1">
        <v>12</v>
      </c>
      <c r="C2637" s="1">
        <v>2019</v>
      </c>
      <c r="G2637" s="1" t="s">
        <v>40</v>
      </c>
      <c r="H2637" s="2">
        <v>72.709999999999994</v>
      </c>
      <c r="I2637" s="1">
        <v>142</v>
      </c>
      <c r="U2637" s="1">
        <v>178</v>
      </c>
      <c r="X2637" s="1">
        <v>165</v>
      </c>
      <c r="AA2637" s="1">
        <v>10</v>
      </c>
      <c r="AB2637" s="1">
        <v>14</v>
      </c>
      <c r="AC2637" s="1">
        <v>7331</v>
      </c>
      <c r="AF2637" s="3">
        <v>1.952963828909366</v>
      </c>
      <c r="AG2637" s="3">
        <v>10.290149904557769</v>
      </c>
      <c r="AH2637" s="1">
        <v>6259</v>
      </c>
      <c r="AI2637" s="1" t="b">
        <v>1</v>
      </c>
    </row>
    <row r="2638" spans="1:35" x14ac:dyDescent="0.25">
      <c r="A2638" s="1">
        <v>17</v>
      </c>
      <c r="B2638" s="1">
        <v>12</v>
      </c>
      <c r="C2638" s="1">
        <v>2019</v>
      </c>
      <c r="G2638" s="1" t="s">
        <v>40</v>
      </c>
      <c r="H2638" s="2">
        <v>72.290000000000006</v>
      </c>
      <c r="I2638" s="1">
        <v>173</v>
      </c>
      <c r="U2638" s="1">
        <v>239</v>
      </c>
      <c r="X2638" s="1">
        <v>206</v>
      </c>
      <c r="AA2638" s="1">
        <v>13</v>
      </c>
      <c r="AB2638" s="1">
        <v>15</v>
      </c>
      <c r="AC2638" s="1">
        <v>7626</v>
      </c>
      <c r="AF2638" s="3">
        <v>2.3931387467146212</v>
      </c>
      <c r="AG2638" s="3">
        <v>8.3634772316822286</v>
      </c>
      <c r="AH2638" s="1">
        <v>6259</v>
      </c>
      <c r="AI2638" s="1" t="b">
        <v>1</v>
      </c>
    </row>
    <row r="2639" spans="1:35" x14ac:dyDescent="0.25">
      <c r="A2639" s="1">
        <v>17</v>
      </c>
      <c r="B2639" s="1">
        <v>12</v>
      </c>
      <c r="C2639" s="1">
        <v>2019</v>
      </c>
      <c r="G2639" s="1" t="s">
        <v>40</v>
      </c>
      <c r="H2639" s="2">
        <v>76.5</v>
      </c>
      <c r="I2639" s="1">
        <v>157</v>
      </c>
      <c r="U2639" s="1">
        <v>218</v>
      </c>
      <c r="X2639" s="1">
        <v>197</v>
      </c>
      <c r="AA2639" s="1">
        <v>13</v>
      </c>
      <c r="AB2639" s="1">
        <v>6</v>
      </c>
      <c r="AC2639" s="1">
        <v>7908</v>
      </c>
      <c r="AF2639" s="3">
        <v>2.0522875816993462</v>
      </c>
      <c r="AG2639" s="3">
        <v>10.146699234896525</v>
      </c>
      <c r="AH2639" s="1">
        <v>6259</v>
      </c>
      <c r="AI2639" s="1" t="b">
        <v>1</v>
      </c>
    </row>
    <row r="2640" spans="1:35" x14ac:dyDescent="0.25">
      <c r="A2640" s="1">
        <v>17</v>
      </c>
      <c r="B2640" s="1">
        <v>12</v>
      </c>
      <c r="C2640" s="1">
        <v>2019</v>
      </c>
      <c r="G2640" s="1" t="s">
        <v>40</v>
      </c>
      <c r="H2640" s="2">
        <v>77.73</v>
      </c>
      <c r="I2640" s="1">
        <v>155</v>
      </c>
      <c r="U2640" s="1">
        <v>223</v>
      </c>
      <c r="X2640" s="1">
        <v>194</v>
      </c>
      <c r="AA2640" s="1">
        <v>15</v>
      </c>
      <c r="AB2640" s="1">
        <v>15</v>
      </c>
      <c r="AC2640" s="1">
        <v>8180</v>
      </c>
      <c r="AF2640" s="3">
        <v>1.9940820789913802</v>
      </c>
      <c r="AG2640" s="3">
        <v>10.560124464212029</v>
      </c>
      <c r="AH2640" s="1">
        <v>6259</v>
      </c>
      <c r="AI2640" s="1" t="b">
        <v>1</v>
      </c>
    </row>
    <row r="2641" spans="1:35" x14ac:dyDescent="0.25">
      <c r="A2641" s="1">
        <v>17</v>
      </c>
      <c r="B2641" s="1">
        <v>12</v>
      </c>
      <c r="C2641" s="1">
        <v>2019</v>
      </c>
      <c r="G2641" s="1" t="s">
        <v>40</v>
      </c>
      <c r="H2641" s="2">
        <v>94.18</v>
      </c>
      <c r="I2641" s="1">
        <v>196</v>
      </c>
      <c r="U2641" s="1">
        <v>260</v>
      </c>
      <c r="X2641" s="1">
        <v>227</v>
      </c>
      <c r="AA2641" s="1">
        <v>11</v>
      </c>
      <c r="AB2641" s="1">
        <v>5</v>
      </c>
      <c r="AC2641" s="1">
        <v>10086</v>
      </c>
      <c r="AF2641" s="3">
        <v>2.0811212571671267</v>
      </c>
      <c r="AG2641" s="3">
        <v>11.573739284744319</v>
      </c>
      <c r="AH2641" s="1">
        <v>6259</v>
      </c>
      <c r="AI2641" s="1" t="b">
        <v>1</v>
      </c>
    </row>
    <row r="2642" spans="1:35" x14ac:dyDescent="0.25">
      <c r="A2642" s="1">
        <v>17</v>
      </c>
      <c r="B2642" s="1">
        <v>12</v>
      </c>
      <c r="C2642" s="1">
        <v>2019</v>
      </c>
      <c r="G2642" s="1" t="s">
        <v>40</v>
      </c>
      <c r="H2642" s="2">
        <v>79.67</v>
      </c>
      <c r="I2642" s="1">
        <v>174</v>
      </c>
      <c r="U2642" s="1">
        <v>241</v>
      </c>
      <c r="X2642" s="1">
        <v>210</v>
      </c>
      <c r="AA2642" s="1">
        <v>14</v>
      </c>
      <c r="AB2642" s="1">
        <v>10</v>
      </c>
      <c r="AC2642" s="1">
        <v>8638</v>
      </c>
      <c r="AF2642" s="3">
        <v>2.1840090372787748</v>
      </c>
      <c r="AG2642" s="3">
        <v>9.8096145037598745</v>
      </c>
      <c r="AH2642" s="1">
        <v>6259</v>
      </c>
      <c r="AI2642" s="1" t="b">
        <v>1</v>
      </c>
    </row>
    <row r="2643" spans="1:35" x14ac:dyDescent="0.25">
      <c r="A2643" s="1">
        <v>17</v>
      </c>
      <c r="B2643" s="1">
        <v>12</v>
      </c>
      <c r="C2643" s="1">
        <v>2019</v>
      </c>
      <c r="G2643" s="1" t="s">
        <v>40</v>
      </c>
      <c r="H2643" s="2">
        <v>81.900000000000006</v>
      </c>
      <c r="I2643" s="1">
        <v>179</v>
      </c>
      <c r="U2643" s="1">
        <v>236</v>
      </c>
      <c r="X2643" s="1">
        <v>213</v>
      </c>
      <c r="AA2643" s="1">
        <v>12</v>
      </c>
      <c r="AB2643" s="1">
        <v>12</v>
      </c>
      <c r="AC2643" s="1">
        <v>8844</v>
      </c>
      <c r="AF2643" s="3">
        <v>2.1855921855921854</v>
      </c>
      <c r="AG2643" s="3">
        <v>9.9937757940964946</v>
      </c>
      <c r="AH2643" s="1">
        <v>6259</v>
      </c>
      <c r="AI2643" s="1" t="b">
        <v>1</v>
      </c>
    </row>
    <row r="2644" spans="1:35" x14ac:dyDescent="0.25">
      <c r="A2644" s="1">
        <v>18</v>
      </c>
      <c r="B2644" s="1">
        <v>12</v>
      </c>
      <c r="C2644" s="1">
        <v>2019</v>
      </c>
      <c r="G2644" s="1" t="s">
        <v>40</v>
      </c>
      <c r="H2644" s="2">
        <v>90.29</v>
      </c>
      <c r="I2644" s="1">
        <v>171</v>
      </c>
      <c r="U2644" s="1">
        <v>247</v>
      </c>
      <c r="X2644" s="1">
        <v>209</v>
      </c>
      <c r="AA2644" s="1">
        <v>17</v>
      </c>
      <c r="AB2644" s="1">
        <v>8</v>
      </c>
      <c r="AC2644" s="1">
        <v>9625</v>
      </c>
      <c r="AF2644" s="3">
        <v>1.8938974415771401</v>
      </c>
      <c r="AG2644" s="3">
        <v>12.347848710765987</v>
      </c>
      <c r="AH2644" s="1">
        <v>6259</v>
      </c>
      <c r="AI2644" s="1" t="b">
        <v>1</v>
      </c>
    </row>
    <row r="2645" spans="1:35" x14ac:dyDescent="0.25">
      <c r="A2645" s="1">
        <v>18</v>
      </c>
      <c r="B2645" s="1">
        <v>12</v>
      </c>
      <c r="C2645" s="1">
        <v>2019</v>
      </c>
      <c r="G2645" s="1" t="s">
        <v>40</v>
      </c>
      <c r="H2645" s="2">
        <v>82.93</v>
      </c>
      <c r="I2645" s="1">
        <v>204</v>
      </c>
      <c r="U2645" s="1">
        <v>266</v>
      </c>
      <c r="X2645" s="1">
        <v>236</v>
      </c>
      <c r="AA2645" s="1">
        <v>13</v>
      </c>
      <c r="AB2645" s="1">
        <v>6</v>
      </c>
      <c r="AC2645" s="1">
        <v>9174</v>
      </c>
      <c r="AF2645" s="3">
        <v>2.4599059447726996</v>
      </c>
      <c r="AG2645" s="3">
        <v>8.9573524653327148</v>
      </c>
      <c r="AH2645" s="1">
        <v>6259</v>
      </c>
      <c r="AI2645" s="1" t="b">
        <v>1</v>
      </c>
    </row>
    <row r="2646" spans="1:35" x14ac:dyDescent="0.25">
      <c r="A2646" s="1">
        <v>18</v>
      </c>
      <c r="B2646" s="1">
        <v>12</v>
      </c>
      <c r="C2646" s="1">
        <v>2019</v>
      </c>
      <c r="G2646" s="1" t="s">
        <v>40</v>
      </c>
      <c r="H2646" s="2">
        <v>99.44</v>
      </c>
      <c r="I2646" s="1">
        <v>202</v>
      </c>
      <c r="U2646" s="1">
        <v>260</v>
      </c>
      <c r="X2646" s="1">
        <v>238</v>
      </c>
      <c r="AA2646" s="1">
        <v>13</v>
      </c>
      <c r="AB2646" s="1">
        <v>7</v>
      </c>
      <c r="AC2646" s="1">
        <v>11142</v>
      </c>
      <c r="AF2646" s="3">
        <v>2.0313757039420755</v>
      </c>
      <c r="AG2646" s="3">
        <v>12.316931528553898</v>
      </c>
      <c r="AH2646" s="1">
        <v>6259</v>
      </c>
      <c r="AI2646" s="1" t="b">
        <v>1</v>
      </c>
    </row>
    <row r="2647" spans="1:35" x14ac:dyDescent="0.25">
      <c r="A2647" s="1">
        <v>18</v>
      </c>
      <c r="B2647" s="1">
        <v>12</v>
      </c>
      <c r="C2647" s="1">
        <v>2019</v>
      </c>
      <c r="G2647" s="1" t="s">
        <v>40</v>
      </c>
      <c r="H2647" s="2">
        <v>82.96</v>
      </c>
      <c r="I2647" s="1">
        <v>181</v>
      </c>
      <c r="U2647" s="1">
        <v>231</v>
      </c>
      <c r="X2647" s="1">
        <v>211</v>
      </c>
      <c r="AA2647" s="1">
        <v>12</v>
      </c>
      <c r="AB2647" s="1">
        <v>7</v>
      </c>
      <c r="AC2647" s="1">
        <v>8448</v>
      </c>
      <c r="AF2647" s="3">
        <v>2.1817743490838959</v>
      </c>
      <c r="AG2647" s="3">
        <v>10.101788904292512</v>
      </c>
      <c r="AH2647" s="1">
        <v>6259</v>
      </c>
      <c r="AI2647" s="1" t="b">
        <v>1</v>
      </c>
    </row>
    <row r="2648" spans="1:35" x14ac:dyDescent="0.25">
      <c r="A2648" s="1">
        <v>18</v>
      </c>
      <c r="B2648" s="1">
        <v>12</v>
      </c>
      <c r="C2648" s="1">
        <v>2019</v>
      </c>
      <c r="G2648" s="1" t="s">
        <v>40</v>
      </c>
      <c r="H2648" s="2">
        <v>70.7</v>
      </c>
      <c r="I2648" s="1">
        <v>159</v>
      </c>
      <c r="U2648" s="1">
        <v>212</v>
      </c>
      <c r="X2648" s="1">
        <v>187</v>
      </c>
      <c r="AA2648" s="1">
        <v>13</v>
      </c>
      <c r="AB2648" s="1">
        <v>11</v>
      </c>
      <c r="AC2648" s="1">
        <v>7365</v>
      </c>
      <c r="AF2648" s="3">
        <v>2.2489391796322487</v>
      </c>
      <c r="AG2648" s="3">
        <v>8.7622548230139028</v>
      </c>
      <c r="AH2648" s="1">
        <v>6259</v>
      </c>
      <c r="AI2648" s="1" t="b">
        <v>1</v>
      </c>
    </row>
    <row r="2649" spans="1:35" x14ac:dyDescent="0.25">
      <c r="A2649" s="1">
        <v>18</v>
      </c>
      <c r="B2649" s="1">
        <v>12</v>
      </c>
      <c r="C2649" s="1">
        <v>2019</v>
      </c>
      <c r="G2649" s="1" t="s">
        <v>40</v>
      </c>
      <c r="H2649" s="2">
        <v>78.569999999999993</v>
      </c>
      <c r="I2649" s="1">
        <v>176</v>
      </c>
      <c r="U2649" s="1">
        <v>245</v>
      </c>
      <c r="X2649" s="1">
        <v>221</v>
      </c>
      <c r="AA2649" s="1">
        <v>16</v>
      </c>
      <c r="AB2649" s="1">
        <v>9</v>
      </c>
      <c r="AC2649" s="1">
        <v>8831</v>
      </c>
      <c r="AF2649" s="3">
        <v>2.2400407280132368</v>
      </c>
      <c r="AG2649" s="3">
        <v>9.4716101124611409</v>
      </c>
      <c r="AH2649" s="1">
        <v>6259</v>
      </c>
      <c r="AI2649" s="1" t="b">
        <v>1</v>
      </c>
    </row>
    <row r="2650" spans="1:35" x14ac:dyDescent="0.25">
      <c r="A2650" s="1">
        <v>18</v>
      </c>
      <c r="B2650" s="1">
        <v>12</v>
      </c>
      <c r="C2650" s="1">
        <v>2019</v>
      </c>
      <c r="G2650" s="1" t="s">
        <v>40</v>
      </c>
      <c r="H2650" s="2">
        <v>86</v>
      </c>
      <c r="I2650" s="1">
        <v>198</v>
      </c>
      <c r="U2650" s="1">
        <v>266</v>
      </c>
      <c r="X2650" s="1">
        <v>234</v>
      </c>
      <c r="AA2650" s="1">
        <v>16</v>
      </c>
      <c r="AB2650" s="1">
        <v>10</v>
      </c>
      <c r="AC2650" s="1">
        <v>9590</v>
      </c>
      <c r="AF2650" s="3">
        <v>2.3023255813953489</v>
      </c>
      <c r="AG2650" s="3">
        <v>9.817076535849413</v>
      </c>
      <c r="AH2650" s="1">
        <v>6259</v>
      </c>
      <c r="AI2650" s="1" t="b">
        <v>1</v>
      </c>
    </row>
    <row r="2651" spans="1:35" x14ac:dyDescent="0.25">
      <c r="A2651" s="1">
        <v>18</v>
      </c>
      <c r="B2651" s="1">
        <v>12</v>
      </c>
      <c r="C2651" s="1">
        <v>2019</v>
      </c>
      <c r="G2651" s="1" t="s">
        <v>40</v>
      </c>
      <c r="H2651" s="2">
        <v>84.91</v>
      </c>
      <c r="I2651" s="1">
        <v>171</v>
      </c>
      <c r="U2651" s="1">
        <v>247</v>
      </c>
      <c r="X2651" s="1">
        <v>214</v>
      </c>
      <c r="AA2651" s="1">
        <v>16</v>
      </c>
      <c r="AB2651" s="1">
        <v>10</v>
      </c>
      <c r="AC2651" s="1">
        <v>10014</v>
      </c>
      <c r="AF2651" s="3">
        <v>2.0138970674832177</v>
      </c>
      <c r="AG2651" s="3">
        <v>11.123306880090709</v>
      </c>
      <c r="AH2651" s="1">
        <v>6259</v>
      </c>
      <c r="AI2651" s="1" t="b">
        <v>1</v>
      </c>
    </row>
    <row r="2652" spans="1:35" x14ac:dyDescent="0.25">
      <c r="A2652" s="1">
        <v>18</v>
      </c>
      <c r="B2652" s="1">
        <v>12</v>
      </c>
      <c r="C2652" s="1">
        <v>2019</v>
      </c>
      <c r="G2652" s="1" t="s">
        <v>40</v>
      </c>
      <c r="H2652" s="2">
        <v>87.93</v>
      </c>
      <c r="I2652" s="1">
        <v>178</v>
      </c>
      <c r="U2652" s="1">
        <v>240</v>
      </c>
      <c r="X2652" s="1">
        <v>213</v>
      </c>
      <c r="AA2652" s="1">
        <v>13</v>
      </c>
      <c r="AB2652" s="1">
        <v>12</v>
      </c>
      <c r="AC2652" s="1">
        <v>9753</v>
      </c>
      <c r="AF2652" s="3">
        <v>2.0243375412259752</v>
      </c>
      <c r="AG2652" s="3">
        <v>11.339999151460232</v>
      </c>
      <c r="AH2652" s="1">
        <v>6259</v>
      </c>
      <c r="AI2652" s="1" t="b">
        <v>1</v>
      </c>
    </row>
    <row r="2653" spans="1:35" x14ac:dyDescent="0.25">
      <c r="A2653" s="1">
        <v>19</v>
      </c>
      <c r="B2653" s="1">
        <v>12</v>
      </c>
      <c r="C2653" s="1">
        <v>2019</v>
      </c>
      <c r="G2653" s="1" t="s">
        <v>40</v>
      </c>
      <c r="H2653" s="2">
        <v>77.489999999999995</v>
      </c>
      <c r="I2653" s="1">
        <v>155</v>
      </c>
      <c r="U2653" s="1">
        <v>222</v>
      </c>
      <c r="X2653" s="1">
        <v>193</v>
      </c>
      <c r="AA2653" s="1">
        <v>17</v>
      </c>
      <c r="AB2653" s="1">
        <v>13</v>
      </c>
      <c r="AC2653" s="1">
        <v>7326</v>
      </c>
      <c r="AF2653" s="3">
        <v>2.0002580978190734</v>
      </c>
      <c r="AG2653" s="3">
        <v>10.504754938045343</v>
      </c>
      <c r="AH2653" s="1">
        <v>6259</v>
      </c>
      <c r="AI2653" s="1" t="b">
        <v>1</v>
      </c>
    </row>
    <row r="2654" spans="1:35" x14ac:dyDescent="0.25">
      <c r="A2654" s="1">
        <v>19</v>
      </c>
      <c r="B2654" s="1">
        <v>12</v>
      </c>
      <c r="C2654" s="1">
        <v>2019</v>
      </c>
      <c r="G2654" s="1" t="s">
        <v>40</v>
      </c>
      <c r="H2654" s="2">
        <v>83.71</v>
      </c>
      <c r="I2654" s="1">
        <v>174</v>
      </c>
      <c r="U2654" s="1">
        <v>233</v>
      </c>
      <c r="X2654" s="1">
        <v>206</v>
      </c>
      <c r="AA2654" s="1">
        <v>12</v>
      </c>
      <c r="AB2654" s="1">
        <v>10</v>
      </c>
      <c r="AC2654" s="1">
        <v>9235</v>
      </c>
      <c r="AF2654" s="3">
        <v>2.0786047067256006</v>
      </c>
      <c r="AG2654" s="3">
        <v>10.670191970115873</v>
      </c>
      <c r="AH2654" s="1">
        <v>6259</v>
      </c>
      <c r="AI2654" s="1" t="b">
        <v>1</v>
      </c>
    </row>
    <row r="2655" spans="1:35" x14ac:dyDescent="0.25">
      <c r="A2655" s="1">
        <v>19</v>
      </c>
      <c r="B2655" s="1">
        <v>12</v>
      </c>
      <c r="C2655" s="1">
        <v>2019</v>
      </c>
      <c r="G2655" s="1" t="s">
        <v>40</v>
      </c>
      <c r="H2655" s="2">
        <v>69.239999999999995</v>
      </c>
      <c r="I2655" s="1">
        <v>151</v>
      </c>
      <c r="U2655" s="1">
        <v>220</v>
      </c>
      <c r="X2655" s="1">
        <v>192</v>
      </c>
      <c r="AA2655" s="1">
        <v>16</v>
      </c>
      <c r="AB2655" s="1">
        <v>12</v>
      </c>
      <c r="AC2655" s="1">
        <v>7359</v>
      </c>
      <c r="AF2655" s="3">
        <v>2.1808203350664357</v>
      </c>
      <c r="AG2655" s="3">
        <v>8.9049206387003483</v>
      </c>
      <c r="AH2655" s="1">
        <v>6259</v>
      </c>
      <c r="AI2655" s="1" t="b">
        <v>1</v>
      </c>
    </row>
    <row r="2656" spans="1:35" x14ac:dyDescent="0.25">
      <c r="A2656" s="1">
        <v>19</v>
      </c>
      <c r="B2656" s="1">
        <v>12</v>
      </c>
      <c r="C2656" s="1">
        <v>2019</v>
      </c>
      <c r="G2656" s="1" t="s">
        <v>40</v>
      </c>
      <c r="H2656" s="2">
        <v>79.709999999999994</v>
      </c>
      <c r="I2656" s="1">
        <v>141</v>
      </c>
      <c r="U2656" s="1">
        <v>225</v>
      </c>
      <c r="X2656" s="1">
        <v>194</v>
      </c>
      <c r="AA2656" s="1">
        <v>18</v>
      </c>
      <c r="AB2656" s="1">
        <v>15</v>
      </c>
      <c r="AC2656" s="1">
        <v>8575</v>
      </c>
      <c r="AF2656" s="3">
        <v>1.7689123071132857</v>
      </c>
      <c r="AG2656" s="3">
        <v>12.115815823715836</v>
      </c>
      <c r="AH2656" s="1">
        <v>6259</v>
      </c>
      <c r="AI2656" s="1" t="b">
        <v>1</v>
      </c>
    </row>
    <row r="2657" spans="1:35" x14ac:dyDescent="0.25">
      <c r="A2657" s="1">
        <v>21</v>
      </c>
      <c r="B2657" s="1">
        <v>12</v>
      </c>
      <c r="C2657" s="1">
        <v>2019</v>
      </c>
      <c r="G2657" s="1" t="s">
        <v>40</v>
      </c>
      <c r="H2657" s="2">
        <v>73.78</v>
      </c>
      <c r="I2657" s="1">
        <v>171</v>
      </c>
      <c r="U2657" s="1">
        <v>215</v>
      </c>
      <c r="X2657" s="1">
        <v>195</v>
      </c>
      <c r="AA2657" s="1">
        <v>9</v>
      </c>
      <c r="AB2657" s="1">
        <v>14</v>
      </c>
      <c r="AC2657" s="1">
        <v>8139</v>
      </c>
      <c r="AF2657" s="3">
        <v>2.3177012740580101</v>
      </c>
      <c r="AG2657" s="3">
        <v>8.7599090299356828</v>
      </c>
      <c r="AH2657" s="1">
        <v>6259</v>
      </c>
      <c r="AI2657" s="1" t="b">
        <v>1</v>
      </c>
    </row>
    <row r="2658" spans="1:35" x14ac:dyDescent="0.25">
      <c r="A2658" s="1">
        <v>21</v>
      </c>
      <c r="B2658" s="1">
        <v>12</v>
      </c>
      <c r="C2658" s="1">
        <v>2019</v>
      </c>
      <c r="G2658" s="1" t="s">
        <v>40</v>
      </c>
      <c r="H2658" s="2">
        <v>65.28</v>
      </c>
      <c r="I2658" s="1">
        <v>146</v>
      </c>
      <c r="U2658" s="1">
        <v>209</v>
      </c>
      <c r="X2658" s="1">
        <v>180</v>
      </c>
      <c r="AA2658" s="1">
        <v>15</v>
      </c>
      <c r="AB2658" s="1">
        <v>17</v>
      </c>
      <c r="AC2658" s="1">
        <v>7120</v>
      </c>
      <c r="AF2658" s="3">
        <v>2.2365196078431371</v>
      </c>
      <c r="AG2658" s="3">
        <v>8.3324629638434153</v>
      </c>
      <c r="AH2658" s="1">
        <v>6259</v>
      </c>
      <c r="AI2658" s="1" t="b">
        <v>1</v>
      </c>
    </row>
    <row r="2659" spans="1:35" x14ac:dyDescent="0.25">
      <c r="A2659" s="1">
        <v>22</v>
      </c>
      <c r="B2659" s="1">
        <v>12</v>
      </c>
      <c r="C2659" s="1">
        <v>2019</v>
      </c>
      <c r="G2659" s="1" t="s">
        <v>40</v>
      </c>
      <c r="H2659" s="2">
        <v>83.04</v>
      </c>
      <c r="I2659" s="1">
        <v>175</v>
      </c>
      <c r="U2659" s="1">
        <v>234</v>
      </c>
      <c r="X2659" s="1">
        <v>209</v>
      </c>
      <c r="AA2659" s="1">
        <v>13</v>
      </c>
      <c r="AB2659" s="1">
        <v>11</v>
      </c>
      <c r="AC2659" s="1">
        <v>9161</v>
      </c>
      <c r="AF2659" s="3">
        <v>2.1074181117533719</v>
      </c>
      <c r="AG2659" s="3">
        <v>10.465269824545125</v>
      </c>
      <c r="AH2659" s="1">
        <v>6259</v>
      </c>
      <c r="AI2659" s="1" t="b">
        <v>1</v>
      </c>
    </row>
    <row r="2660" spans="1:35" x14ac:dyDescent="0.25">
      <c r="A2660" s="1">
        <v>22</v>
      </c>
      <c r="B2660" s="1">
        <v>12</v>
      </c>
      <c r="C2660" s="1">
        <v>2019</v>
      </c>
      <c r="G2660" s="1" t="s">
        <v>40</v>
      </c>
      <c r="H2660" s="2">
        <v>77.55</v>
      </c>
      <c r="I2660" s="1">
        <v>182</v>
      </c>
      <c r="U2660" s="1">
        <v>242</v>
      </c>
      <c r="X2660" s="1">
        <v>219</v>
      </c>
      <c r="AA2660" s="1">
        <v>13</v>
      </c>
      <c r="AB2660" s="1">
        <v>9</v>
      </c>
      <c r="AC2660" s="1">
        <v>8435</v>
      </c>
      <c r="AF2660" s="3">
        <v>2.3468729851708576</v>
      </c>
      <c r="AG2660" s="3">
        <v>8.9581364985329426</v>
      </c>
      <c r="AH2660" s="1">
        <v>6259</v>
      </c>
      <c r="AI2660" s="1" t="b">
        <v>1</v>
      </c>
    </row>
    <row r="2661" spans="1:35" x14ac:dyDescent="0.25">
      <c r="A2661" s="1">
        <v>22</v>
      </c>
      <c r="B2661" s="1">
        <v>12</v>
      </c>
      <c r="C2661" s="1">
        <v>2019</v>
      </c>
      <c r="G2661" s="1" t="s">
        <v>40</v>
      </c>
      <c r="H2661" s="2">
        <v>75.47</v>
      </c>
      <c r="I2661" s="1">
        <v>172</v>
      </c>
      <c r="U2661" s="1">
        <v>228</v>
      </c>
      <c r="X2661" s="1">
        <v>211</v>
      </c>
      <c r="AA2661" s="1">
        <v>16</v>
      </c>
      <c r="AB2661" s="1">
        <v>10</v>
      </c>
      <c r="AC2661" s="1">
        <v>8472</v>
      </c>
      <c r="AF2661" s="3">
        <v>2.2790512786537698</v>
      </c>
      <c r="AG2661" s="3">
        <v>9.050820421307165</v>
      </c>
      <c r="AH2661" s="1">
        <v>6259</v>
      </c>
      <c r="AI2661" s="1" t="b">
        <v>1</v>
      </c>
    </row>
    <row r="2662" spans="1:35" x14ac:dyDescent="0.25">
      <c r="A2662" s="1">
        <v>22</v>
      </c>
      <c r="B2662" s="1">
        <v>12</v>
      </c>
      <c r="C2662" s="1">
        <v>2019</v>
      </c>
      <c r="G2662" s="1" t="s">
        <v>40</v>
      </c>
      <c r="H2662" s="2">
        <v>80.95</v>
      </c>
      <c r="I2662" s="1">
        <v>179</v>
      </c>
      <c r="U2662" s="1">
        <v>238</v>
      </c>
      <c r="X2662" s="1">
        <v>210</v>
      </c>
      <c r="AA2662" s="1">
        <v>10</v>
      </c>
      <c r="AB2662" s="1">
        <v>3</v>
      </c>
      <c r="AC2662" s="1">
        <v>9039</v>
      </c>
      <c r="AF2662" s="3">
        <v>2.2112415071031499</v>
      </c>
      <c r="AG2662" s="3">
        <v>9.7975078309272821</v>
      </c>
      <c r="AH2662" s="1">
        <v>6259</v>
      </c>
      <c r="AI2662" s="1" t="b">
        <v>1</v>
      </c>
    </row>
    <row r="2663" spans="1:35" x14ac:dyDescent="0.25">
      <c r="A2663" s="1">
        <v>22</v>
      </c>
      <c r="B2663" s="1">
        <v>12</v>
      </c>
      <c r="C2663" s="1">
        <v>2019</v>
      </c>
      <c r="G2663" s="1" t="s">
        <v>40</v>
      </c>
      <c r="H2663" s="2">
        <v>82.82</v>
      </c>
      <c r="I2663" s="1">
        <v>197</v>
      </c>
      <c r="U2663" s="1">
        <v>254</v>
      </c>
      <c r="X2663" s="1">
        <v>237</v>
      </c>
      <c r="AA2663" s="1">
        <v>14</v>
      </c>
      <c r="AB2663" s="1">
        <v>12</v>
      </c>
      <c r="AC2663" s="1">
        <v>8921</v>
      </c>
      <c r="AF2663" s="3">
        <v>2.3786524993962814</v>
      </c>
      <c r="AG2663" s="3">
        <v>9.2547279813723193</v>
      </c>
      <c r="AH2663" s="1">
        <v>6259</v>
      </c>
      <c r="AI2663" s="1" t="b">
        <v>1</v>
      </c>
    </row>
    <row r="2664" spans="1:35" x14ac:dyDescent="0.25">
      <c r="A2664" s="1">
        <v>23</v>
      </c>
      <c r="B2664" s="1">
        <v>12</v>
      </c>
      <c r="C2664" s="1">
        <v>2019</v>
      </c>
      <c r="G2664" s="1" t="s">
        <v>40</v>
      </c>
      <c r="H2664" s="2">
        <v>75.06</v>
      </c>
      <c r="I2664" s="1">
        <v>147</v>
      </c>
      <c r="U2664" s="1">
        <v>209</v>
      </c>
      <c r="X2664" s="1">
        <v>185</v>
      </c>
      <c r="AA2664" s="1">
        <v>15</v>
      </c>
      <c r="AB2664" s="1">
        <v>17</v>
      </c>
      <c r="AC2664" s="1">
        <v>7839</v>
      </c>
      <c r="AF2664" s="3">
        <v>1.9584332533972821</v>
      </c>
      <c r="AG2664" s="3">
        <v>10.492457466611068</v>
      </c>
      <c r="AH2664" s="1">
        <v>6260</v>
      </c>
      <c r="AI2664" s="1" t="b">
        <v>1</v>
      </c>
    </row>
    <row r="2665" spans="1:35" x14ac:dyDescent="0.25">
      <c r="A2665" s="1">
        <v>23</v>
      </c>
      <c r="B2665" s="1">
        <v>12</v>
      </c>
      <c r="C2665" s="1">
        <v>2019</v>
      </c>
      <c r="G2665" s="1" t="s">
        <v>40</v>
      </c>
      <c r="H2665" s="2">
        <v>85.67</v>
      </c>
      <c r="I2665" s="1">
        <v>197</v>
      </c>
      <c r="U2665" s="1">
        <v>261</v>
      </c>
      <c r="X2665" s="1">
        <v>234</v>
      </c>
      <c r="AA2665" s="1">
        <v>14</v>
      </c>
      <c r="AB2665" s="1">
        <v>12</v>
      </c>
      <c r="AC2665" s="1">
        <v>9170</v>
      </c>
      <c r="AF2665" s="3">
        <v>2.2995214194000231</v>
      </c>
      <c r="AG2665" s="3">
        <v>9.8026315135432522</v>
      </c>
      <c r="AH2665" s="1">
        <v>6260</v>
      </c>
      <c r="AI2665" s="1" t="b">
        <v>1</v>
      </c>
    </row>
    <row r="2666" spans="1:35" x14ac:dyDescent="0.25">
      <c r="A2666" s="1">
        <v>23</v>
      </c>
      <c r="B2666" s="1">
        <v>12</v>
      </c>
      <c r="C2666" s="1">
        <v>2019</v>
      </c>
      <c r="G2666" s="1" t="s">
        <v>40</v>
      </c>
      <c r="H2666" s="2">
        <v>77.010000000000005</v>
      </c>
      <c r="I2666" s="1">
        <v>174</v>
      </c>
      <c r="U2666" s="1">
        <v>227</v>
      </c>
      <c r="X2666" s="1">
        <v>207</v>
      </c>
      <c r="AA2666" s="1">
        <v>12</v>
      </c>
      <c r="AB2666" s="1">
        <v>8</v>
      </c>
      <c r="AC2666" s="1">
        <v>8083</v>
      </c>
      <c r="AF2666" s="3">
        <v>2.2594468250876507</v>
      </c>
      <c r="AG2666" s="3">
        <v>9.2593576946391885</v>
      </c>
      <c r="AH2666" s="1">
        <v>6260</v>
      </c>
      <c r="AI2666" s="1" t="b">
        <v>1</v>
      </c>
    </row>
    <row r="2667" spans="1:35" x14ac:dyDescent="0.25">
      <c r="A2667" s="1">
        <v>24</v>
      </c>
      <c r="B2667" s="1">
        <v>12</v>
      </c>
      <c r="C2667" s="1">
        <v>2019</v>
      </c>
      <c r="G2667" s="1" t="s">
        <v>40</v>
      </c>
      <c r="H2667" s="2">
        <v>85.23</v>
      </c>
      <c r="I2667" s="1">
        <v>201</v>
      </c>
      <c r="U2667" s="1">
        <v>260</v>
      </c>
      <c r="X2667" s="1">
        <v>235</v>
      </c>
      <c r="AA2667" s="1">
        <v>12</v>
      </c>
      <c r="AB2667" s="1">
        <v>7</v>
      </c>
      <c r="AC2667" s="1">
        <v>8706</v>
      </c>
      <c r="AF2667" s="3">
        <v>2.3583245336149243</v>
      </c>
      <c r="AG2667" s="3">
        <v>9.5238198745243015</v>
      </c>
      <c r="AH2667" s="1">
        <v>6260</v>
      </c>
      <c r="AI2667" s="1" t="b">
        <v>1</v>
      </c>
    </row>
    <row r="2668" spans="1:35" x14ac:dyDescent="0.25">
      <c r="A2668" s="1">
        <v>24</v>
      </c>
      <c r="B2668" s="1">
        <v>12</v>
      </c>
      <c r="C2668" s="1">
        <v>2019</v>
      </c>
      <c r="G2668" s="1" t="s">
        <v>40</v>
      </c>
      <c r="H2668" s="2">
        <v>79.08</v>
      </c>
      <c r="I2668" s="1">
        <v>183</v>
      </c>
      <c r="U2668" s="1">
        <v>241</v>
      </c>
      <c r="X2668" s="1">
        <v>214</v>
      </c>
      <c r="AA2668" s="1">
        <v>10</v>
      </c>
      <c r="AB2668" s="1">
        <v>7</v>
      </c>
      <c r="AC2668" s="1">
        <v>8390</v>
      </c>
      <c r="AF2668" s="3">
        <v>2.314112291350531</v>
      </c>
      <c r="AG2668" s="3">
        <v>9.2100552049558342</v>
      </c>
      <c r="AH2668" s="1">
        <v>6260</v>
      </c>
      <c r="AI2668" s="1" t="b">
        <v>1</v>
      </c>
    </row>
    <row r="2669" spans="1:35" x14ac:dyDescent="0.25">
      <c r="A2669" s="1">
        <v>24</v>
      </c>
      <c r="B2669" s="1">
        <v>12</v>
      </c>
      <c r="C2669" s="1">
        <v>2019</v>
      </c>
      <c r="G2669" s="1" t="s">
        <v>40</v>
      </c>
      <c r="H2669" s="2">
        <v>71.62</v>
      </c>
      <c r="I2669" s="1">
        <v>172</v>
      </c>
      <c r="U2669" s="1">
        <v>222</v>
      </c>
      <c r="X2669" s="1">
        <v>194</v>
      </c>
      <c r="AA2669" s="1">
        <v>11</v>
      </c>
      <c r="AB2669" s="1">
        <v>6</v>
      </c>
      <c r="AC2669" s="1">
        <v>7466</v>
      </c>
      <c r="AF2669" s="3">
        <v>2.4015638089919014</v>
      </c>
      <c r="AG2669" s="3">
        <v>8.2799915093517615</v>
      </c>
      <c r="AH2669" s="1">
        <v>6260</v>
      </c>
      <c r="AI2669" s="1" t="b">
        <v>1</v>
      </c>
    </row>
    <row r="2670" spans="1:35" x14ac:dyDescent="0.25">
      <c r="A2670" s="1">
        <v>27</v>
      </c>
      <c r="B2670" s="1">
        <v>12</v>
      </c>
      <c r="C2670" s="1">
        <v>2019</v>
      </c>
      <c r="G2670" s="1" t="s">
        <v>40</v>
      </c>
      <c r="H2670" s="2">
        <v>80.09</v>
      </c>
      <c r="I2670" s="1">
        <v>190</v>
      </c>
      <c r="U2670" s="1">
        <v>245</v>
      </c>
      <c r="X2670" s="1">
        <v>222</v>
      </c>
      <c r="AA2670" s="1">
        <v>12</v>
      </c>
      <c r="AB2670" s="1">
        <v>12</v>
      </c>
      <c r="AC2670" s="1">
        <v>8828</v>
      </c>
      <c r="AF2670" s="3">
        <v>2.372331127481583</v>
      </c>
      <c r="AG2670" s="3">
        <v>9.0642003898913241</v>
      </c>
      <c r="AH2670" s="1">
        <v>6260</v>
      </c>
      <c r="AI2670" s="1" t="b">
        <v>1</v>
      </c>
    </row>
    <row r="2671" spans="1:35" x14ac:dyDescent="0.25">
      <c r="A2671" s="1">
        <v>28</v>
      </c>
      <c r="B2671" s="1">
        <v>12</v>
      </c>
      <c r="C2671" s="1">
        <v>2019</v>
      </c>
      <c r="G2671" s="1" t="s">
        <v>40</v>
      </c>
      <c r="H2671" s="2">
        <v>76.290000000000006</v>
      </c>
      <c r="I2671" s="1">
        <v>164</v>
      </c>
      <c r="U2671" s="1">
        <v>239</v>
      </c>
      <c r="X2671" s="1">
        <v>209</v>
      </c>
      <c r="AA2671" s="1">
        <v>15</v>
      </c>
      <c r="AB2671" s="1">
        <v>14</v>
      </c>
      <c r="AC2671" s="1">
        <v>8414</v>
      </c>
      <c r="AF2671" s="3">
        <v>2.1496919648708874</v>
      </c>
      <c r="AG2671" s="3">
        <v>9.6683218057817122</v>
      </c>
      <c r="AH2671" s="1">
        <v>6260</v>
      </c>
      <c r="AI2671" s="1" t="b">
        <v>1</v>
      </c>
    </row>
    <row r="2672" spans="1:35" x14ac:dyDescent="0.25">
      <c r="A2672" s="1">
        <v>28</v>
      </c>
      <c r="B2672" s="1">
        <v>12</v>
      </c>
      <c r="C2672" s="1">
        <v>2019</v>
      </c>
      <c r="G2672" s="1" t="s">
        <v>40</v>
      </c>
      <c r="H2672" s="2">
        <v>91.08</v>
      </c>
      <c r="I2672" s="1">
        <v>215</v>
      </c>
      <c r="U2672" s="1">
        <v>270</v>
      </c>
      <c r="X2672" s="1">
        <v>240</v>
      </c>
      <c r="AA2672" s="1">
        <v>11</v>
      </c>
      <c r="AB2672" s="1">
        <v>7</v>
      </c>
      <c r="AC2672" s="1">
        <v>10504</v>
      </c>
      <c r="AF2672" s="3">
        <v>2.360562143170839</v>
      </c>
      <c r="AG2672" s="3">
        <v>9.9673722337296589</v>
      </c>
      <c r="AH2672" s="1">
        <v>6260</v>
      </c>
      <c r="AI2672" s="1" t="b">
        <v>1</v>
      </c>
    </row>
    <row r="2673" spans="1:35" x14ac:dyDescent="0.25">
      <c r="A2673" s="1">
        <v>28</v>
      </c>
      <c r="B2673" s="1">
        <v>12</v>
      </c>
      <c r="C2673" s="1">
        <v>2019</v>
      </c>
      <c r="G2673" s="1" t="s">
        <v>40</v>
      </c>
      <c r="H2673" s="2">
        <v>75.040000000000006</v>
      </c>
      <c r="I2673" s="1">
        <v>139</v>
      </c>
      <c r="U2673" s="1">
        <v>211</v>
      </c>
      <c r="X2673" s="1">
        <v>185</v>
      </c>
      <c r="AA2673" s="1">
        <v>18</v>
      </c>
      <c r="AB2673" s="1">
        <v>16</v>
      </c>
      <c r="AC2673" s="1">
        <v>8557</v>
      </c>
      <c r="AF2673" s="3">
        <v>1.8523454157782515</v>
      </c>
      <c r="AG2673" s="3">
        <v>11.091314059789465</v>
      </c>
      <c r="AH2673" s="1">
        <v>6260</v>
      </c>
      <c r="AI2673" s="1" t="b">
        <v>1</v>
      </c>
    </row>
    <row r="2674" spans="1:35" x14ac:dyDescent="0.25">
      <c r="A2674" s="1">
        <v>28</v>
      </c>
      <c r="B2674" s="1">
        <v>12</v>
      </c>
      <c r="C2674" s="1">
        <v>2019</v>
      </c>
      <c r="G2674" s="1" t="s">
        <v>40</v>
      </c>
      <c r="H2674" s="2">
        <v>76.540000000000006</v>
      </c>
      <c r="I2674" s="1">
        <v>163</v>
      </c>
      <c r="U2674" s="1">
        <v>215</v>
      </c>
      <c r="X2674" s="1">
        <v>191</v>
      </c>
      <c r="AA2674" s="1">
        <v>11</v>
      </c>
      <c r="AB2674" s="1">
        <v>10</v>
      </c>
      <c r="AC2674" s="1">
        <v>8523</v>
      </c>
      <c r="AF2674" s="3">
        <v>2.1296054350666318</v>
      </c>
      <c r="AG2674" s="3">
        <v>9.7818899831681758</v>
      </c>
      <c r="AH2674" s="1">
        <v>6260</v>
      </c>
      <c r="AI2674" s="1" t="b">
        <v>1</v>
      </c>
    </row>
    <row r="2675" spans="1:35" x14ac:dyDescent="0.25">
      <c r="A2675" s="1">
        <v>28</v>
      </c>
      <c r="B2675" s="1">
        <v>12</v>
      </c>
      <c r="C2675" s="1">
        <v>2019</v>
      </c>
      <c r="G2675" s="1" t="s">
        <v>40</v>
      </c>
      <c r="H2675" s="2">
        <v>76</v>
      </c>
      <c r="I2675" s="1">
        <v>182</v>
      </c>
      <c r="U2675" s="1">
        <v>242</v>
      </c>
      <c r="X2675" s="1">
        <v>218</v>
      </c>
      <c r="AA2675" s="1">
        <v>13</v>
      </c>
      <c r="AB2675" s="1">
        <v>11</v>
      </c>
      <c r="AC2675" s="1">
        <v>8622</v>
      </c>
      <c r="AF2675" s="3">
        <v>2.3947368421052633</v>
      </c>
      <c r="AG2675" s="3">
        <v>8.6558898038128032</v>
      </c>
      <c r="AH2675" s="1">
        <v>6260</v>
      </c>
      <c r="AI2675" s="1" t="b">
        <v>1</v>
      </c>
    </row>
    <row r="2676" spans="1:35" x14ac:dyDescent="0.25">
      <c r="A2676" s="1">
        <v>28</v>
      </c>
      <c r="B2676" s="1">
        <v>12</v>
      </c>
      <c r="C2676" s="1">
        <v>2019</v>
      </c>
      <c r="G2676" s="1" t="s">
        <v>40</v>
      </c>
      <c r="H2676" s="2">
        <v>79.650000000000006</v>
      </c>
      <c r="I2676" s="1">
        <v>194</v>
      </c>
      <c r="U2676" s="1">
        <v>244</v>
      </c>
      <c r="X2676" s="1">
        <v>223</v>
      </c>
      <c r="AA2676" s="1">
        <v>14</v>
      </c>
      <c r="AB2676" s="1">
        <v>6</v>
      </c>
      <c r="AC2676" s="1">
        <v>8603</v>
      </c>
      <c r="AF2676" s="3">
        <v>2.4356559949780285</v>
      </c>
      <c r="AG2676" s="3">
        <v>8.7945595974655504</v>
      </c>
      <c r="AH2676" s="1">
        <v>6260</v>
      </c>
      <c r="AI2676" s="1" t="b">
        <v>1</v>
      </c>
    </row>
    <row r="2677" spans="1:35" x14ac:dyDescent="0.25">
      <c r="A2677" s="1">
        <v>28</v>
      </c>
      <c r="B2677" s="1">
        <v>12</v>
      </c>
      <c r="C2677" s="1">
        <v>2019</v>
      </c>
      <c r="G2677" s="1" t="s">
        <v>40</v>
      </c>
      <c r="H2677" s="2">
        <v>76.48</v>
      </c>
      <c r="I2677" s="1">
        <v>130</v>
      </c>
      <c r="U2677" s="1">
        <v>189</v>
      </c>
      <c r="X2677" s="1">
        <v>161</v>
      </c>
      <c r="AA2677" s="1">
        <v>14</v>
      </c>
      <c r="AB2677" s="1">
        <v>19</v>
      </c>
      <c r="AC2677" s="1">
        <v>8179</v>
      </c>
      <c r="AF2677" s="3">
        <v>1.6997907949790794</v>
      </c>
      <c r="AG2677" s="3">
        <v>12.248644850320492</v>
      </c>
      <c r="AH2677" s="1">
        <v>6260</v>
      </c>
      <c r="AI2677" s="1" t="b">
        <v>1</v>
      </c>
    </row>
    <row r="2678" spans="1:35" x14ac:dyDescent="0.25">
      <c r="A2678" s="1">
        <v>28</v>
      </c>
      <c r="B2678" s="1">
        <v>12</v>
      </c>
      <c r="C2678" s="1">
        <v>2019</v>
      </c>
      <c r="G2678" s="1" t="s">
        <v>40</v>
      </c>
      <c r="H2678" s="2">
        <v>83.32</v>
      </c>
      <c r="I2678" s="1">
        <v>190</v>
      </c>
      <c r="U2678" s="1">
        <v>228</v>
      </c>
      <c r="X2678" s="1">
        <v>208</v>
      </c>
      <c r="AA2678" s="1">
        <v>8</v>
      </c>
      <c r="AB2678" s="1">
        <v>9</v>
      </c>
      <c r="AC2678" s="1">
        <v>8780</v>
      </c>
      <c r="AF2678" s="3">
        <v>2.2803648583773404</v>
      </c>
      <c r="AG2678" s="3">
        <v>9.6943823222645058</v>
      </c>
      <c r="AH2678" s="1">
        <v>6260</v>
      </c>
      <c r="AI2678" s="1" t="b">
        <v>1</v>
      </c>
    </row>
    <row r="2679" spans="1:35" x14ac:dyDescent="0.25">
      <c r="A2679" s="1">
        <v>28</v>
      </c>
      <c r="B2679" s="1">
        <v>12</v>
      </c>
      <c r="C2679" s="1">
        <v>2019</v>
      </c>
      <c r="G2679" s="1" t="s">
        <v>40</v>
      </c>
      <c r="H2679" s="2">
        <v>77.94</v>
      </c>
      <c r="I2679" s="1">
        <v>146</v>
      </c>
      <c r="U2679" s="1">
        <v>207</v>
      </c>
      <c r="X2679" s="1">
        <v>179</v>
      </c>
      <c r="AA2679" s="1">
        <v>12</v>
      </c>
      <c r="AB2679" s="1">
        <v>11</v>
      </c>
      <c r="AC2679" s="1">
        <v>8530</v>
      </c>
      <c r="AF2679" s="3">
        <v>1.8732358224275083</v>
      </c>
      <c r="AG2679" s="3">
        <v>11.262630253876369</v>
      </c>
      <c r="AH2679" s="1">
        <v>6260</v>
      </c>
      <c r="AI2679" s="1" t="b">
        <v>1</v>
      </c>
    </row>
    <row r="2680" spans="1:35" x14ac:dyDescent="0.25">
      <c r="A2680" s="1">
        <v>31</v>
      </c>
      <c r="B2680" s="1">
        <v>12</v>
      </c>
      <c r="C2680" s="1">
        <v>2019</v>
      </c>
      <c r="G2680" s="1" t="s">
        <v>40</v>
      </c>
      <c r="H2680" s="2">
        <v>73.08</v>
      </c>
      <c r="I2680" s="1">
        <v>128</v>
      </c>
      <c r="U2680" s="1">
        <v>174</v>
      </c>
      <c r="X2680" s="1">
        <v>162</v>
      </c>
      <c r="AA2680" s="1">
        <v>13</v>
      </c>
      <c r="AB2680" s="1">
        <v>11</v>
      </c>
      <c r="AC2680" s="1">
        <v>7896</v>
      </c>
      <c r="AF2680" s="3">
        <v>1.7515051997810618</v>
      </c>
      <c r="AG2680" s="3">
        <v>11.514565275207534</v>
      </c>
      <c r="AH2680" s="1">
        <v>6261</v>
      </c>
      <c r="AI2680" s="1" t="b">
        <v>1</v>
      </c>
    </row>
    <row r="2681" spans="1:35" x14ac:dyDescent="0.25">
      <c r="A2681" s="1">
        <v>1</v>
      </c>
      <c r="B2681" s="1">
        <v>1</v>
      </c>
      <c r="C2681" s="1">
        <v>2020</v>
      </c>
      <c r="G2681" s="1" t="s">
        <v>40</v>
      </c>
      <c r="H2681" s="2">
        <v>81.62</v>
      </c>
      <c r="I2681" s="1">
        <v>169</v>
      </c>
      <c r="U2681" s="1">
        <v>221</v>
      </c>
      <c r="X2681" s="1">
        <v>198</v>
      </c>
      <c r="AA2681" s="1">
        <v>12</v>
      </c>
      <c r="AB2681" s="1">
        <v>9</v>
      </c>
      <c r="AC2681" s="1">
        <v>8528</v>
      </c>
      <c r="AF2681" s="3">
        <v>2.0705709384954667</v>
      </c>
      <c r="AG2681" s="3">
        <v>10.523676737792998</v>
      </c>
      <c r="AH2681" s="1">
        <v>6261</v>
      </c>
      <c r="AI2681" s="1" t="b">
        <v>1</v>
      </c>
    </row>
    <row r="2682" spans="1:35" x14ac:dyDescent="0.25">
      <c r="A2682" s="1">
        <v>1</v>
      </c>
      <c r="B2682" s="1">
        <v>1</v>
      </c>
      <c r="C2682" s="1">
        <v>2020</v>
      </c>
      <c r="G2682" s="1" t="s">
        <v>40</v>
      </c>
      <c r="H2682" s="2">
        <v>82.66</v>
      </c>
      <c r="I2682" s="1">
        <v>184</v>
      </c>
      <c r="U2682" s="1">
        <v>237</v>
      </c>
      <c r="X2682" s="1">
        <v>217</v>
      </c>
      <c r="AA2682" s="1">
        <v>12</v>
      </c>
      <c r="AB2682" s="1">
        <v>10</v>
      </c>
      <c r="AC2682" s="1">
        <v>8279</v>
      </c>
      <c r="AF2682" s="3">
        <v>2.2259859666102106</v>
      </c>
      <c r="AG2682" s="3">
        <v>9.8760745280355628</v>
      </c>
      <c r="AH2682" s="1">
        <v>6261</v>
      </c>
      <c r="AI2682" s="1" t="b">
        <v>1</v>
      </c>
    </row>
    <row r="2683" spans="1:35" x14ac:dyDescent="0.25">
      <c r="A2683" s="1">
        <v>1</v>
      </c>
      <c r="B2683" s="1">
        <v>1</v>
      </c>
      <c r="C2683" s="1">
        <v>2020</v>
      </c>
      <c r="G2683" s="1" t="s">
        <v>40</v>
      </c>
      <c r="H2683" s="2">
        <v>82.39</v>
      </c>
      <c r="I2683" s="1">
        <v>169</v>
      </c>
      <c r="U2683" s="1">
        <v>240</v>
      </c>
      <c r="X2683" s="1">
        <v>218</v>
      </c>
      <c r="AA2683" s="1">
        <v>15</v>
      </c>
      <c r="AB2683" s="1">
        <v>18</v>
      </c>
      <c r="AC2683" s="1">
        <v>9475</v>
      </c>
      <c r="AF2683" s="3">
        <v>2.051219808229154</v>
      </c>
      <c r="AG2683" s="3">
        <v>10.693009440417107</v>
      </c>
      <c r="AH2683" s="1">
        <v>6261</v>
      </c>
      <c r="AI2683" s="1" t="b">
        <v>1</v>
      </c>
    </row>
    <row r="2684" spans="1:35" x14ac:dyDescent="0.25">
      <c r="A2684" s="1">
        <v>3</v>
      </c>
      <c r="B2684" s="1">
        <v>1</v>
      </c>
      <c r="C2684" s="1">
        <v>2020</v>
      </c>
      <c r="G2684" s="1" t="s">
        <v>40</v>
      </c>
      <c r="H2684" s="2">
        <v>83.09</v>
      </c>
      <c r="I2684" s="1">
        <v>184</v>
      </c>
      <c r="U2684" s="1">
        <v>231</v>
      </c>
      <c r="X2684" s="1">
        <v>215</v>
      </c>
      <c r="AA2684" s="1">
        <v>12</v>
      </c>
      <c r="AB2684" s="1">
        <v>14</v>
      </c>
      <c r="AC2684" s="1">
        <v>9432</v>
      </c>
      <c r="AF2684" s="3">
        <v>2.2144662414249607</v>
      </c>
      <c r="AG2684" s="3">
        <v>9.9635720856973027</v>
      </c>
      <c r="AH2684" s="1">
        <v>6261</v>
      </c>
      <c r="AI2684" s="1" t="b">
        <v>1</v>
      </c>
    </row>
    <row r="2685" spans="1:35" x14ac:dyDescent="0.25">
      <c r="A2685" s="1">
        <v>3</v>
      </c>
      <c r="B2685" s="1">
        <v>1</v>
      </c>
      <c r="C2685" s="1">
        <v>2020</v>
      </c>
      <c r="G2685" s="1" t="s">
        <v>40</v>
      </c>
      <c r="H2685" s="2">
        <v>87.61</v>
      </c>
      <c r="I2685" s="1">
        <v>200</v>
      </c>
      <c r="U2685" s="1">
        <v>280</v>
      </c>
      <c r="X2685" s="1">
        <v>251</v>
      </c>
      <c r="AA2685" s="1">
        <v>18</v>
      </c>
      <c r="AB2685" s="1">
        <v>10</v>
      </c>
      <c r="AC2685" s="1">
        <v>9912</v>
      </c>
      <c r="AF2685" s="3">
        <v>2.2828444241524939</v>
      </c>
      <c r="AG2685" s="3">
        <v>10.030238524572901</v>
      </c>
      <c r="AH2685" s="1">
        <v>6261</v>
      </c>
      <c r="AI2685" s="1" t="b">
        <v>1</v>
      </c>
    </row>
    <row r="2686" spans="1:35" x14ac:dyDescent="0.25">
      <c r="A2686" s="1">
        <v>4</v>
      </c>
      <c r="B2686" s="1">
        <v>1</v>
      </c>
      <c r="C2686" s="1">
        <v>2020</v>
      </c>
      <c r="G2686" s="1" t="s">
        <v>40</v>
      </c>
      <c r="H2686" s="2">
        <v>84.92</v>
      </c>
      <c r="I2686" s="1">
        <v>173</v>
      </c>
      <c r="U2686" s="1">
        <v>250</v>
      </c>
      <c r="X2686" s="1">
        <v>220</v>
      </c>
      <c r="AA2686" s="1">
        <v>15</v>
      </c>
      <c r="AB2686" s="1">
        <v>10</v>
      </c>
      <c r="AC2686" s="1">
        <v>9342</v>
      </c>
      <c r="AF2686" s="3">
        <v>2.0372114931700422</v>
      </c>
      <c r="AG2686" s="3">
        <v>10.996915101211533</v>
      </c>
      <c r="AH2686" s="1">
        <v>6261</v>
      </c>
      <c r="AI2686" s="1" t="b">
        <v>1</v>
      </c>
    </row>
    <row r="2687" spans="1:35" x14ac:dyDescent="0.25">
      <c r="A2687" s="1">
        <v>4</v>
      </c>
      <c r="B2687" s="1">
        <v>1</v>
      </c>
      <c r="C2687" s="1">
        <v>2020</v>
      </c>
      <c r="G2687" s="1" t="s">
        <v>40</v>
      </c>
      <c r="H2687" s="2">
        <v>74.7</v>
      </c>
      <c r="I2687" s="1">
        <v>159</v>
      </c>
      <c r="U2687" s="1">
        <v>226</v>
      </c>
      <c r="X2687" s="1">
        <v>207</v>
      </c>
      <c r="AA2687" s="1">
        <v>16</v>
      </c>
      <c r="AB2687" s="1">
        <v>12</v>
      </c>
      <c r="AC2687" s="1">
        <v>8506</v>
      </c>
      <c r="AF2687" s="3">
        <v>2.1285140562248994</v>
      </c>
      <c r="AG2687" s="3">
        <v>9.6216133105442161</v>
      </c>
      <c r="AH2687" s="1">
        <v>6261</v>
      </c>
      <c r="AI2687" s="1" t="b">
        <v>1</v>
      </c>
    </row>
    <row r="2688" spans="1:35" x14ac:dyDescent="0.25">
      <c r="A2688" s="1">
        <v>8</v>
      </c>
      <c r="B2688" s="1">
        <v>1</v>
      </c>
      <c r="C2688" s="1">
        <v>2020</v>
      </c>
      <c r="G2688" s="1" t="s">
        <v>40</v>
      </c>
      <c r="H2688" s="2">
        <v>72.58</v>
      </c>
      <c r="I2688" s="1">
        <v>148</v>
      </c>
      <c r="U2688" s="1">
        <v>206</v>
      </c>
      <c r="X2688" s="1">
        <v>185</v>
      </c>
      <c r="AA2688" s="1">
        <v>16</v>
      </c>
      <c r="AB2688" s="1">
        <v>15</v>
      </c>
      <c r="AC2688" s="1">
        <v>7615</v>
      </c>
      <c r="AF2688" s="3">
        <v>2.0391292367043263</v>
      </c>
      <c r="AG2688" s="3">
        <v>9.8429917970753955</v>
      </c>
      <c r="AH2688" s="1">
        <v>6262</v>
      </c>
      <c r="AI2688" s="1" t="b">
        <v>1</v>
      </c>
    </row>
    <row r="2689" spans="1:35" x14ac:dyDescent="0.25">
      <c r="A2689" s="1">
        <v>8</v>
      </c>
      <c r="B2689" s="1">
        <v>1</v>
      </c>
      <c r="C2689" s="1">
        <v>2020</v>
      </c>
      <c r="G2689" s="1" t="s">
        <v>40</v>
      </c>
      <c r="H2689" s="2">
        <v>75.83</v>
      </c>
      <c r="I2689" s="1">
        <v>168</v>
      </c>
      <c r="U2689" s="1">
        <v>234</v>
      </c>
      <c r="X2689" s="1">
        <v>203</v>
      </c>
      <c r="AA2689" s="1">
        <v>14</v>
      </c>
      <c r="AB2689" s="1">
        <v>22</v>
      </c>
      <c r="AC2689" s="1">
        <v>8406</v>
      </c>
      <c r="AF2689" s="3">
        <v>2.2154819992087567</v>
      </c>
      <c r="AG2689" s="3">
        <v>9.3415837870059573</v>
      </c>
      <c r="AH2689" s="1">
        <v>6262</v>
      </c>
      <c r="AI2689" s="1" t="b">
        <v>1</v>
      </c>
    </row>
    <row r="2690" spans="1:35" x14ac:dyDescent="0.25">
      <c r="A2690" s="1">
        <v>8</v>
      </c>
      <c r="B2690" s="1">
        <v>1</v>
      </c>
      <c r="C2690" s="1">
        <v>2020</v>
      </c>
      <c r="G2690" s="1" t="s">
        <v>40</v>
      </c>
      <c r="H2690" s="2">
        <v>74.739999999999995</v>
      </c>
      <c r="I2690" s="1">
        <v>169</v>
      </c>
      <c r="U2690" s="1">
        <v>229</v>
      </c>
      <c r="X2690" s="1">
        <v>203</v>
      </c>
      <c r="AA2690" s="1">
        <v>12</v>
      </c>
      <c r="AB2690" s="1">
        <v>9</v>
      </c>
      <c r="AC2690" s="1">
        <v>7548</v>
      </c>
      <c r="AF2690" s="3">
        <v>2.2611720631522614</v>
      </c>
      <c r="AG2690" s="3">
        <v>9.0605289918734719</v>
      </c>
      <c r="AH2690" s="1">
        <v>6262</v>
      </c>
      <c r="AI2690" s="1" t="b">
        <v>1</v>
      </c>
    </row>
    <row r="2691" spans="1:35" x14ac:dyDescent="0.25">
      <c r="A2691" s="1">
        <v>9</v>
      </c>
      <c r="B2691" s="1">
        <v>1</v>
      </c>
      <c r="C2691" s="1">
        <v>2020</v>
      </c>
      <c r="G2691" s="1" t="s">
        <v>40</v>
      </c>
      <c r="H2691" s="2">
        <v>96.31</v>
      </c>
      <c r="I2691" s="1">
        <v>191</v>
      </c>
      <c r="U2691" s="1">
        <v>257</v>
      </c>
      <c r="X2691" s="1">
        <v>228</v>
      </c>
      <c r="AA2691" s="1">
        <v>14</v>
      </c>
      <c r="AB2691" s="1">
        <v>8</v>
      </c>
      <c r="AC2691" s="1">
        <v>10919</v>
      </c>
      <c r="AF2691" s="3">
        <v>1.9831793167895337</v>
      </c>
      <c r="AG2691" s="3">
        <v>12.33695508523166</v>
      </c>
      <c r="AH2691" s="1">
        <v>6262</v>
      </c>
      <c r="AI2691" s="1" t="b">
        <v>1</v>
      </c>
    </row>
    <row r="2692" spans="1:35" x14ac:dyDescent="0.25">
      <c r="A2692" s="1">
        <v>9</v>
      </c>
      <c r="B2692" s="1">
        <v>1</v>
      </c>
      <c r="C2692" s="1">
        <v>2020</v>
      </c>
      <c r="G2692" s="1" t="s">
        <v>40</v>
      </c>
      <c r="H2692" s="2">
        <v>66.03</v>
      </c>
      <c r="I2692" s="1">
        <v>146</v>
      </c>
      <c r="U2692" s="1">
        <v>211</v>
      </c>
      <c r="X2692" s="1">
        <v>189</v>
      </c>
      <c r="AA2692" s="1">
        <v>14</v>
      </c>
      <c r="AB2692" s="1">
        <v>10</v>
      </c>
      <c r="AC2692" s="1">
        <v>7118</v>
      </c>
      <c r="AF2692" s="3">
        <v>2.2111161593215205</v>
      </c>
      <c r="AG2692" s="3">
        <v>8.4958600460612832</v>
      </c>
      <c r="AH2692" s="1">
        <v>6262</v>
      </c>
      <c r="AI2692" s="1" t="b">
        <v>1</v>
      </c>
    </row>
    <row r="2693" spans="1:35" x14ac:dyDescent="0.25">
      <c r="A2693" s="1">
        <v>9</v>
      </c>
      <c r="B2693" s="1">
        <v>1</v>
      </c>
      <c r="C2693" s="1">
        <v>2020</v>
      </c>
      <c r="G2693" s="1" t="s">
        <v>40</v>
      </c>
      <c r="H2693" s="2">
        <v>68.58</v>
      </c>
      <c r="I2693" s="1">
        <v>151</v>
      </c>
      <c r="U2693" s="1">
        <v>211</v>
      </c>
      <c r="X2693" s="1">
        <v>191</v>
      </c>
      <c r="AA2693" s="1">
        <v>15</v>
      </c>
      <c r="AB2693" s="1">
        <v>13</v>
      </c>
      <c r="AC2693" s="1">
        <v>7875</v>
      </c>
      <c r="AF2693" s="3">
        <v>2.2018081073199185</v>
      </c>
      <c r="AG2693" s="3">
        <v>8.7611026747903988</v>
      </c>
      <c r="AH2693" s="1">
        <v>6262</v>
      </c>
      <c r="AI2693" s="1" t="b">
        <v>1</v>
      </c>
    </row>
    <row r="2694" spans="1:35" x14ac:dyDescent="0.25">
      <c r="A2694" s="1">
        <v>9</v>
      </c>
      <c r="B2694" s="1">
        <v>1</v>
      </c>
      <c r="C2694" s="1">
        <v>2020</v>
      </c>
      <c r="G2694" s="1" t="s">
        <v>40</v>
      </c>
      <c r="H2694" s="2">
        <v>75.849999999999994</v>
      </c>
      <c r="I2694" s="1">
        <v>159</v>
      </c>
      <c r="U2694" s="1">
        <v>216</v>
      </c>
      <c r="X2694" s="1">
        <v>201</v>
      </c>
      <c r="AA2694" s="1">
        <v>15</v>
      </c>
      <c r="AB2694" s="1">
        <v>14</v>
      </c>
      <c r="AC2694" s="1">
        <v>8553</v>
      </c>
      <c r="AF2694" s="3">
        <v>2.0962425840474621</v>
      </c>
      <c r="AG2694" s="3">
        <v>9.8747786725579463</v>
      </c>
      <c r="AH2694" s="1">
        <v>6262</v>
      </c>
      <c r="AI2694" s="1" t="b">
        <v>1</v>
      </c>
    </row>
    <row r="2695" spans="1:35" x14ac:dyDescent="0.25">
      <c r="A2695" s="1">
        <v>9</v>
      </c>
      <c r="B2695" s="1">
        <v>1</v>
      </c>
      <c r="C2695" s="1">
        <v>2020</v>
      </c>
      <c r="G2695" s="1" t="s">
        <v>40</v>
      </c>
      <c r="H2695" s="2">
        <v>69.83</v>
      </c>
      <c r="I2695" s="1">
        <v>136</v>
      </c>
      <c r="U2695" s="1">
        <v>203</v>
      </c>
      <c r="X2695" s="1">
        <v>180</v>
      </c>
      <c r="AA2695" s="1">
        <v>18</v>
      </c>
      <c r="AB2695" s="1">
        <v>16</v>
      </c>
      <c r="AC2695" s="1">
        <v>8080</v>
      </c>
      <c r="AF2695" s="3">
        <v>1.9475869969926967</v>
      </c>
      <c r="AG2695" s="3">
        <v>10.030730521016487</v>
      </c>
      <c r="AH2695" s="1">
        <v>6262</v>
      </c>
      <c r="AI2695" s="1" t="b">
        <v>1</v>
      </c>
    </row>
    <row r="2696" spans="1:35" x14ac:dyDescent="0.25">
      <c r="A2696" s="1">
        <v>9</v>
      </c>
      <c r="B2696" s="1">
        <v>1</v>
      </c>
      <c r="C2696" s="1">
        <v>2020</v>
      </c>
      <c r="G2696" s="1" t="s">
        <v>40</v>
      </c>
      <c r="H2696" s="2">
        <v>68.8</v>
      </c>
      <c r="I2696" s="1">
        <v>133</v>
      </c>
      <c r="U2696" s="1">
        <v>189</v>
      </c>
      <c r="X2696" s="1">
        <v>163</v>
      </c>
      <c r="AA2696" s="1">
        <v>12</v>
      </c>
      <c r="AB2696" s="1">
        <v>13</v>
      </c>
      <c r="AC2696" s="1">
        <v>7686</v>
      </c>
      <c r="AF2696" s="3">
        <v>1.933139534883721</v>
      </c>
      <c r="AG2696" s="3">
        <v>10.001121514695129</v>
      </c>
      <c r="AH2696" s="1">
        <v>6262</v>
      </c>
      <c r="AI2696" s="1" t="b">
        <v>1</v>
      </c>
    </row>
    <row r="2697" spans="1:35" x14ac:dyDescent="0.25">
      <c r="A2697" s="1">
        <v>11</v>
      </c>
      <c r="B2697" s="1">
        <v>1</v>
      </c>
      <c r="C2697" s="1">
        <v>2020</v>
      </c>
      <c r="G2697" s="1" t="s">
        <v>40</v>
      </c>
      <c r="H2697" s="2">
        <v>65.98</v>
      </c>
      <c r="I2697" s="1">
        <v>137</v>
      </c>
      <c r="U2697" s="1">
        <v>173</v>
      </c>
      <c r="X2697" s="1">
        <v>157</v>
      </c>
      <c r="AA2697" s="1">
        <v>8</v>
      </c>
      <c r="AB2697" s="1">
        <v>11</v>
      </c>
      <c r="AC2697" s="1">
        <v>7165</v>
      </c>
      <c r="AF2697" s="3">
        <v>2.0763867838739012</v>
      </c>
      <c r="AG2697" s="3">
        <v>9.0423301941913845</v>
      </c>
      <c r="AH2697" s="1">
        <v>6262</v>
      </c>
      <c r="AI2697" s="1" t="b">
        <v>1</v>
      </c>
    </row>
    <row r="2698" spans="1:35" x14ac:dyDescent="0.25">
      <c r="A2698" s="1">
        <v>11</v>
      </c>
      <c r="B2698" s="1">
        <v>1</v>
      </c>
      <c r="C2698" s="1">
        <v>2020</v>
      </c>
      <c r="G2698" s="1" t="s">
        <v>40</v>
      </c>
      <c r="H2698" s="2">
        <v>81.89</v>
      </c>
      <c r="I2698" s="1">
        <v>162</v>
      </c>
      <c r="U2698" s="1">
        <v>236</v>
      </c>
      <c r="X2698" s="1">
        <v>201</v>
      </c>
      <c r="AA2698" s="1">
        <v>15</v>
      </c>
      <c r="AB2698" s="1">
        <v>11</v>
      </c>
      <c r="AC2698" s="1">
        <v>9321</v>
      </c>
      <c r="AF2698" s="3">
        <v>1.9782635242398339</v>
      </c>
      <c r="AG2698" s="3">
        <v>11.040213355562067</v>
      </c>
      <c r="AH2698" s="1">
        <v>6262</v>
      </c>
      <c r="AI2698" s="1" t="b">
        <v>1</v>
      </c>
    </row>
    <row r="2699" spans="1:35" x14ac:dyDescent="0.25">
      <c r="A2699" s="1">
        <v>11</v>
      </c>
      <c r="B2699" s="1">
        <v>1</v>
      </c>
      <c r="C2699" s="1">
        <v>2020</v>
      </c>
      <c r="G2699" s="1" t="s">
        <v>40</v>
      </c>
      <c r="H2699" s="2">
        <v>85.49</v>
      </c>
      <c r="I2699" s="1">
        <v>187</v>
      </c>
      <c r="U2699" s="1">
        <v>255</v>
      </c>
      <c r="X2699" s="1">
        <v>228</v>
      </c>
      <c r="AA2699" s="1">
        <v>16</v>
      </c>
      <c r="AB2699" s="1">
        <v>10</v>
      </c>
      <c r="AC2699" s="1">
        <v>8932</v>
      </c>
      <c r="AF2699" s="3">
        <v>2.1873903380512343</v>
      </c>
      <c r="AG2699" s="3">
        <v>10.289977674472834</v>
      </c>
      <c r="AH2699" s="1">
        <v>6262</v>
      </c>
      <c r="AI2699" s="1" t="b">
        <v>1</v>
      </c>
    </row>
    <row r="2700" spans="1:35" x14ac:dyDescent="0.25">
      <c r="A2700" s="1">
        <v>11</v>
      </c>
      <c r="B2700" s="1">
        <v>1</v>
      </c>
      <c r="C2700" s="1">
        <v>2020</v>
      </c>
      <c r="G2700" s="1" t="s">
        <v>40</v>
      </c>
      <c r="H2700" s="2">
        <v>75.180000000000007</v>
      </c>
      <c r="I2700" s="1">
        <v>171</v>
      </c>
      <c r="U2700" s="1">
        <v>244</v>
      </c>
      <c r="X2700" s="1">
        <v>209</v>
      </c>
      <c r="AA2700" s="1">
        <v>13</v>
      </c>
      <c r="AB2700" s="1">
        <v>11</v>
      </c>
      <c r="AC2700" s="1">
        <v>7858</v>
      </c>
      <c r="AF2700" s="3">
        <v>2.2745411013567436</v>
      </c>
      <c r="AG2700" s="3">
        <v>9.0443599033089388</v>
      </c>
      <c r="AH2700" s="1">
        <v>6262</v>
      </c>
      <c r="AI2700" s="1" t="b">
        <v>1</v>
      </c>
    </row>
    <row r="2701" spans="1:35" x14ac:dyDescent="0.25">
      <c r="A2701" s="1">
        <v>11</v>
      </c>
      <c r="B2701" s="1">
        <v>1</v>
      </c>
      <c r="C2701" s="1">
        <v>2020</v>
      </c>
      <c r="G2701" s="1" t="s">
        <v>40</v>
      </c>
      <c r="H2701" s="2">
        <v>74.819999999999993</v>
      </c>
      <c r="I2701" s="1">
        <v>150</v>
      </c>
      <c r="U2701" s="1">
        <v>217</v>
      </c>
      <c r="X2701" s="1">
        <v>195</v>
      </c>
      <c r="AA2701" s="1">
        <v>15</v>
      </c>
      <c r="AB2701" s="1">
        <v>12</v>
      </c>
      <c r="AC2701" s="1">
        <v>8036</v>
      </c>
      <c r="AF2701" s="3">
        <v>2.0048115477145152</v>
      </c>
      <c r="AG2701" s="3">
        <v>10.226778211949982</v>
      </c>
      <c r="AH2701" s="1">
        <v>6262</v>
      </c>
      <c r="AI2701" s="1" t="b">
        <v>1</v>
      </c>
    </row>
    <row r="2702" spans="1:35" x14ac:dyDescent="0.25">
      <c r="A2702" s="1">
        <v>11</v>
      </c>
      <c r="B2702" s="1">
        <v>1</v>
      </c>
      <c r="C2702" s="1">
        <v>2020</v>
      </c>
      <c r="G2702" s="1" t="s">
        <v>40</v>
      </c>
      <c r="H2702" s="2">
        <v>77.25</v>
      </c>
      <c r="I2702" s="1">
        <v>151</v>
      </c>
      <c r="U2702" s="1">
        <v>216</v>
      </c>
      <c r="X2702" s="1">
        <v>191</v>
      </c>
      <c r="AA2702" s="1">
        <v>17</v>
      </c>
      <c r="AB2702" s="1">
        <v>19</v>
      </c>
      <c r="AC2702" s="1">
        <v>9026</v>
      </c>
      <c r="AF2702" s="3">
        <v>1.9546925566343043</v>
      </c>
      <c r="AG2702" s="3">
        <v>10.7263134123641</v>
      </c>
      <c r="AH2702" s="1">
        <v>6262</v>
      </c>
      <c r="AI2702" s="1" t="b">
        <v>1</v>
      </c>
    </row>
    <row r="2703" spans="1:35" x14ac:dyDescent="0.25">
      <c r="A2703" s="1">
        <v>11</v>
      </c>
      <c r="B2703" s="1">
        <v>1</v>
      </c>
      <c r="C2703" s="1">
        <v>2020</v>
      </c>
      <c r="G2703" s="1" t="s">
        <v>40</v>
      </c>
      <c r="H2703" s="2">
        <v>76.260000000000005</v>
      </c>
      <c r="I2703" s="1">
        <v>185</v>
      </c>
      <c r="U2703" s="1">
        <v>249</v>
      </c>
      <c r="X2703" s="1">
        <v>225</v>
      </c>
      <c r="AA2703" s="1">
        <v>13</v>
      </c>
      <c r="AB2703" s="1">
        <v>10</v>
      </c>
      <c r="AC2703" s="1">
        <v>8513</v>
      </c>
      <c r="AF2703" s="3">
        <v>2.4259113558877523</v>
      </c>
      <c r="AG2703" s="3">
        <v>8.5651077969898779</v>
      </c>
      <c r="AH2703" s="1">
        <v>6262</v>
      </c>
      <c r="AI2703" s="1" t="b">
        <v>1</v>
      </c>
    </row>
    <row r="2704" spans="1:35" x14ac:dyDescent="0.25">
      <c r="A2704" s="1">
        <v>11</v>
      </c>
      <c r="B2704" s="1">
        <v>1</v>
      </c>
      <c r="C2704" s="1">
        <v>2020</v>
      </c>
      <c r="G2704" s="1" t="s">
        <v>40</v>
      </c>
      <c r="H2704" s="2">
        <v>68.959999999999994</v>
      </c>
      <c r="I2704" s="1">
        <v>146</v>
      </c>
      <c r="U2704" s="1">
        <v>207</v>
      </c>
      <c r="X2704" s="1">
        <v>183</v>
      </c>
      <c r="AA2704" s="1">
        <v>12</v>
      </c>
      <c r="AB2704" s="1">
        <v>12</v>
      </c>
      <c r="AC2704" s="1">
        <v>7482</v>
      </c>
      <c r="AF2704" s="3">
        <v>2.117169373549884</v>
      </c>
      <c r="AG2704" s="3">
        <v>9.1466586990667249</v>
      </c>
      <c r="AH2704" s="1">
        <v>6262</v>
      </c>
      <c r="AI2704" s="1" t="b">
        <v>1</v>
      </c>
    </row>
    <row r="2705" spans="1:35" x14ac:dyDescent="0.25">
      <c r="A2705" s="1">
        <v>11</v>
      </c>
      <c r="B2705" s="1">
        <v>1</v>
      </c>
      <c r="C2705" s="1">
        <v>2020</v>
      </c>
      <c r="G2705" s="1" t="s">
        <v>40</v>
      </c>
      <c r="H2705" s="2">
        <v>80.819999999999993</v>
      </c>
      <c r="I2705" s="1">
        <v>199</v>
      </c>
      <c r="U2705" s="1">
        <v>290</v>
      </c>
      <c r="X2705" s="1">
        <v>250</v>
      </c>
      <c r="AA2705" s="1">
        <v>19</v>
      </c>
      <c r="AB2705" s="1">
        <v>9</v>
      </c>
      <c r="AC2705" s="1">
        <v>9258</v>
      </c>
      <c r="AF2705" s="3">
        <v>2.462261816382084</v>
      </c>
      <c r="AG2705" s="3">
        <v>8.7887874590491482</v>
      </c>
      <c r="AH2705" s="1">
        <v>6262</v>
      </c>
      <c r="AI2705" s="1" t="b">
        <v>1</v>
      </c>
    </row>
    <row r="2706" spans="1:35" x14ac:dyDescent="0.25">
      <c r="A2706" s="1">
        <v>11</v>
      </c>
      <c r="B2706" s="1">
        <v>1</v>
      </c>
      <c r="C2706" s="1">
        <v>2020</v>
      </c>
      <c r="G2706" s="1" t="s">
        <v>40</v>
      </c>
      <c r="H2706" s="2">
        <v>79.430000000000007</v>
      </c>
      <c r="I2706" s="1">
        <v>184</v>
      </c>
      <c r="U2706" s="1">
        <v>246</v>
      </c>
      <c r="X2706" s="1">
        <v>218</v>
      </c>
      <c r="AA2706" s="1">
        <v>14</v>
      </c>
      <c r="AB2706" s="1">
        <v>9</v>
      </c>
      <c r="AC2706" s="1">
        <v>8499</v>
      </c>
      <c r="AF2706" s="3">
        <v>2.3165050988291576</v>
      </c>
      <c r="AG2706" s="3">
        <v>9.2290273566805894</v>
      </c>
      <c r="AH2706" s="1">
        <v>6262</v>
      </c>
      <c r="AI2706" s="1" t="b">
        <v>1</v>
      </c>
    </row>
    <row r="2707" spans="1:35" x14ac:dyDescent="0.25">
      <c r="A2707" s="1">
        <v>11</v>
      </c>
      <c r="B2707" s="1">
        <v>1</v>
      </c>
      <c r="C2707" s="1">
        <v>2020</v>
      </c>
      <c r="G2707" s="1" t="s">
        <v>40</v>
      </c>
      <c r="H2707" s="2">
        <v>78.14</v>
      </c>
      <c r="I2707" s="1">
        <v>161</v>
      </c>
      <c r="U2707" s="1">
        <v>246</v>
      </c>
      <c r="X2707" s="1">
        <v>219</v>
      </c>
      <c r="AA2707" s="1">
        <v>17</v>
      </c>
      <c r="AB2707" s="1">
        <v>18</v>
      </c>
      <c r="AC2707" s="1">
        <v>8978</v>
      </c>
      <c r="AF2707" s="3">
        <v>2.0604044023547479</v>
      </c>
      <c r="AG2707" s="3">
        <v>10.257910739521545</v>
      </c>
      <c r="AH2707" s="1">
        <v>6262</v>
      </c>
      <c r="AI2707" s="1" t="b">
        <v>1</v>
      </c>
    </row>
    <row r="2708" spans="1:35" x14ac:dyDescent="0.25">
      <c r="A2708" s="1">
        <v>13</v>
      </c>
      <c r="B2708" s="1">
        <v>1</v>
      </c>
      <c r="C2708" s="1">
        <v>2020</v>
      </c>
      <c r="G2708" s="1" t="s">
        <v>40</v>
      </c>
      <c r="H2708" s="2">
        <v>78.760000000000005</v>
      </c>
      <c r="I2708" s="1">
        <v>162</v>
      </c>
      <c r="U2708" s="1">
        <v>220</v>
      </c>
      <c r="X2708" s="1">
        <v>198</v>
      </c>
      <c r="AA2708" s="1">
        <v>15</v>
      </c>
      <c r="AB2708" s="1">
        <v>10</v>
      </c>
      <c r="AC2708" s="1">
        <v>8726</v>
      </c>
      <c r="AF2708" s="3">
        <v>2.0568816658202134</v>
      </c>
      <c r="AG2708" s="3">
        <v>10.332482732076306</v>
      </c>
      <c r="AH2708" s="1">
        <v>6263</v>
      </c>
      <c r="AI2708" s="1" t="b">
        <v>1</v>
      </c>
    </row>
    <row r="2709" spans="1:35" x14ac:dyDescent="0.25">
      <c r="A2709" s="1">
        <v>15</v>
      </c>
      <c r="B2709" s="1">
        <v>1</v>
      </c>
      <c r="C2709" s="1">
        <v>2020</v>
      </c>
      <c r="G2709" s="1" t="s">
        <v>40</v>
      </c>
      <c r="H2709" s="2">
        <v>76.209999999999994</v>
      </c>
      <c r="I2709" s="1">
        <v>156</v>
      </c>
      <c r="U2709" s="1">
        <v>211</v>
      </c>
      <c r="X2709" s="1">
        <v>188</v>
      </c>
      <c r="AA2709" s="1">
        <v>12</v>
      </c>
      <c r="AB2709" s="1">
        <v>17</v>
      </c>
      <c r="AC2709" s="1">
        <v>7692</v>
      </c>
      <c r="AF2709" s="3">
        <v>2.0469754625377248</v>
      </c>
      <c r="AG2709" s="3">
        <v>10.146020521914998</v>
      </c>
      <c r="AH2709" s="1">
        <v>6263</v>
      </c>
      <c r="AI2709" s="1" t="b">
        <v>1</v>
      </c>
    </row>
    <row r="2710" spans="1:35" x14ac:dyDescent="0.25">
      <c r="A2710" s="1">
        <v>19</v>
      </c>
      <c r="B2710" s="1">
        <v>1</v>
      </c>
      <c r="C2710" s="1">
        <v>2020</v>
      </c>
      <c r="G2710" s="1" t="s">
        <v>40</v>
      </c>
      <c r="H2710" s="2">
        <v>74.849999999999994</v>
      </c>
      <c r="I2710" s="1">
        <v>148</v>
      </c>
      <c r="U2710" s="1">
        <v>209</v>
      </c>
      <c r="X2710" s="1">
        <v>180</v>
      </c>
      <c r="AA2710" s="1">
        <v>14</v>
      </c>
      <c r="AB2710" s="1">
        <v>10</v>
      </c>
      <c r="AC2710" s="1">
        <v>8563</v>
      </c>
      <c r="AF2710" s="3">
        <v>1.9772879091516367</v>
      </c>
      <c r="AG2710" s="3">
        <v>10.372044050299593</v>
      </c>
      <c r="AH2710" s="1">
        <v>6263</v>
      </c>
      <c r="AI2710" s="1" t="b">
        <v>1</v>
      </c>
    </row>
    <row r="2711" spans="1:35" x14ac:dyDescent="0.25">
      <c r="A2711" s="1">
        <v>20</v>
      </c>
      <c r="B2711" s="1">
        <v>1</v>
      </c>
      <c r="C2711" s="1">
        <v>2020</v>
      </c>
      <c r="G2711" s="1" t="s">
        <v>40</v>
      </c>
      <c r="H2711" s="2">
        <v>67.39</v>
      </c>
      <c r="I2711" s="1">
        <v>145</v>
      </c>
      <c r="U2711" s="1">
        <v>204</v>
      </c>
      <c r="X2711" s="1">
        <v>178</v>
      </c>
      <c r="AA2711" s="1">
        <v>13</v>
      </c>
      <c r="AB2711" s="1">
        <v>13</v>
      </c>
      <c r="AC2711" s="1">
        <v>7206</v>
      </c>
      <c r="AF2711" s="3">
        <v>2.1516545481525449</v>
      </c>
      <c r="AG2711" s="3">
        <v>8.8561359264903796</v>
      </c>
      <c r="AH2711" s="1">
        <v>6264</v>
      </c>
      <c r="AI2711" s="1" t="b">
        <v>1</v>
      </c>
    </row>
    <row r="2712" spans="1:35" x14ac:dyDescent="0.25">
      <c r="A2712" s="1">
        <v>20</v>
      </c>
      <c r="B2712" s="1">
        <v>1</v>
      </c>
      <c r="C2712" s="1">
        <v>2020</v>
      </c>
      <c r="G2712" s="1" t="s">
        <v>40</v>
      </c>
      <c r="H2712" s="2">
        <v>89.64</v>
      </c>
      <c r="I2712" s="1">
        <v>201</v>
      </c>
      <c r="U2712" s="1">
        <v>268</v>
      </c>
      <c r="X2712" s="1">
        <v>235</v>
      </c>
      <c r="AA2712" s="1">
        <v>13</v>
      </c>
      <c r="AB2712" s="1">
        <v>5</v>
      </c>
      <c r="AC2712" s="1">
        <v>9664</v>
      </c>
      <c r="AF2712" s="3">
        <v>2.2423025435073627</v>
      </c>
      <c r="AG2712" s="3">
        <v>10.376647981846839</v>
      </c>
      <c r="AH2712" s="1">
        <v>6264</v>
      </c>
      <c r="AI2712" s="1" t="b">
        <v>1</v>
      </c>
    </row>
    <row r="2713" spans="1:35" x14ac:dyDescent="0.25">
      <c r="A2713" s="1">
        <v>20</v>
      </c>
      <c r="B2713" s="1">
        <v>1</v>
      </c>
      <c r="C2713" s="1">
        <v>2020</v>
      </c>
      <c r="G2713" s="1" t="s">
        <v>40</v>
      </c>
      <c r="H2713" s="2">
        <v>74.66</v>
      </c>
      <c r="I2713" s="1">
        <v>161</v>
      </c>
      <c r="U2713" s="1">
        <v>229</v>
      </c>
      <c r="X2713" s="1">
        <v>188</v>
      </c>
      <c r="AA2713" s="1">
        <v>11</v>
      </c>
      <c r="AB2713" s="1">
        <v>13</v>
      </c>
      <c r="AC2713" s="1">
        <v>8264</v>
      </c>
      <c r="AF2713" s="3">
        <v>2.1564425395124567</v>
      </c>
      <c r="AG2713" s="3">
        <v>9.4934419573090771</v>
      </c>
      <c r="AH2713" s="1">
        <v>6264</v>
      </c>
      <c r="AI2713" s="1" t="b">
        <v>1</v>
      </c>
    </row>
    <row r="2714" spans="1:35" x14ac:dyDescent="0.25">
      <c r="A2714" s="1">
        <v>20</v>
      </c>
      <c r="B2714" s="1">
        <v>1</v>
      </c>
      <c r="C2714" s="1">
        <v>2020</v>
      </c>
      <c r="G2714" s="1" t="s">
        <v>40</v>
      </c>
      <c r="H2714" s="2">
        <v>76.22</v>
      </c>
      <c r="I2714" s="1">
        <v>176</v>
      </c>
      <c r="U2714" s="1">
        <v>237</v>
      </c>
      <c r="X2714" s="1">
        <v>214</v>
      </c>
      <c r="AA2714" s="1">
        <v>14</v>
      </c>
      <c r="AB2714" s="1">
        <v>11</v>
      </c>
      <c r="AC2714" s="1">
        <v>8618</v>
      </c>
      <c r="AF2714" s="3">
        <v>2.3091052217265808</v>
      </c>
      <c r="AG2714" s="3">
        <v>8.9950697998253233</v>
      </c>
      <c r="AH2714" s="1">
        <v>6264</v>
      </c>
      <c r="AI2714" s="1" t="b">
        <v>1</v>
      </c>
    </row>
    <row r="2715" spans="1:35" x14ac:dyDescent="0.25">
      <c r="A2715" s="1">
        <v>20</v>
      </c>
      <c r="B2715" s="1">
        <v>1</v>
      </c>
      <c r="C2715" s="1">
        <v>2020</v>
      </c>
      <c r="G2715" s="1" t="s">
        <v>40</v>
      </c>
      <c r="H2715" s="2">
        <v>76.319999999999993</v>
      </c>
      <c r="I2715" s="1">
        <v>174</v>
      </c>
      <c r="U2715" s="1">
        <v>229</v>
      </c>
      <c r="X2715" s="1">
        <v>206</v>
      </c>
      <c r="AA2715" s="1">
        <v>13</v>
      </c>
      <c r="AB2715" s="1">
        <v>13</v>
      </c>
      <c r="AC2715" s="1">
        <v>8402</v>
      </c>
      <c r="AF2715" s="3">
        <v>2.2798742138364783</v>
      </c>
      <c r="AG2715" s="3">
        <v>9.118763802465633</v>
      </c>
      <c r="AH2715" s="1">
        <v>6264</v>
      </c>
      <c r="AI2715" s="1" t="b">
        <v>1</v>
      </c>
    </row>
    <row r="2716" spans="1:35" x14ac:dyDescent="0.25">
      <c r="A2716" s="1">
        <v>21</v>
      </c>
      <c r="B2716" s="1">
        <v>1</v>
      </c>
      <c r="C2716" s="1">
        <v>2020</v>
      </c>
      <c r="G2716" s="1" t="s">
        <v>40</v>
      </c>
      <c r="H2716" s="2">
        <v>75.75</v>
      </c>
      <c r="I2716" s="1">
        <v>143</v>
      </c>
      <c r="U2716" s="1">
        <v>201</v>
      </c>
      <c r="X2716" s="1">
        <v>175</v>
      </c>
      <c r="AA2716" s="1">
        <v>12</v>
      </c>
      <c r="AB2716" s="1">
        <v>11</v>
      </c>
      <c r="AC2716" s="1">
        <v>8340</v>
      </c>
      <c r="AF2716" s="3">
        <v>1.8877887788778878</v>
      </c>
      <c r="AG2716" s="3">
        <v>10.955052059979272</v>
      </c>
      <c r="AH2716" s="1">
        <v>6264</v>
      </c>
      <c r="AI2716" s="1" t="b">
        <v>1</v>
      </c>
    </row>
    <row r="2717" spans="1:35" x14ac:dyDescent="0.25">
      <c r="A2717" s="1">
        <v>22</v>
      </c>
      <c r="B2717" s="1">
        <v>1</v>
      </c>
      <c r="C2717" s="1">
        <v>2020</v>
      </c>
      <c r="G2717" s="1" t="s">
        <v>40</v>
      </c>
      <c r="H2717" s="2">
        <v>77.31</v>
      </c>
      <c r="I2717" s="1">
        <v>177</v>
      </c>
      <c r="U2717" s="1">
        <v>231</v>
      </c>
      <c r="X2717" s="1">
        <v>208</v>
      </c>
      <c r="AA2717" s="1">
        <v>14</v>
      </c>
      <c r="AB2717" s="1">
        <v>10</v>
      </c>
      <c r="AC2717" s="1">
        <v>8775</v>
      </c>
      <c r="AF2717" s="3">
        <v>2.2894838960031043</v>
      </c>
      <c r="AG2717" s="3">
        <v>9.1627825106041065</v>
      </c>
      <c r="AH2717" s="1">
        <v>6264</v>
      </c>
      <c r="AI2717" s="1" t="b">
        <v>1</v>
      </c>
    </row>
    <row r="2718" spans="1:35" x14ac:dyDescent="0.25">
      <c r="A2718" s="1">
        <v>22</v>
      </c>
      <c r="B2718" s="1">
        <v>1</v>
      </c>
      <c r="C2718" s="1">
        <v>2020</v>
      </c>
      <c r="G2718" s="1" t="s">
        <v>40</v>
      </c>
      <c r="H2718" s="2">
        <v>78.180000000000007</v>
      </c>
      <c r="I2718" s="1">
        <v>174</v>
      </c>
      <c r="U2718" s="1">
        <v>232</v>
      </c>
      <c r="X2718" s="1">
        <v>210</v>
      </c>
      <c r="AA2718" s="1">
        <v>14</v>
      </c>
      <c r="AB2718" s="1">
        <v>8</v>
      </c>
      <c r="AC2718" s="1">
        <v>8740</v>
      </c>
      <c r="AF2718" s="3">
        <v>2.225633154259401</v>
      </c>
      <c r="AG2718" s="3">
        <v>9.4997764182229627</v>
      </c>
      <c r="AH2718" s="1">
        <v>6264</v>
      </c>
      <c r="AI2718" s="1" t="b">
        <v>1</v>
      </c>
    </row>
    <row r="2719" spans="1:35" x14ac:dyDescent="0.25">
      <c r="A2719" s="1">
        <v>22</v>
      </c>
      <c r="B2719" s="1">
        <v>1</v>
      </c>
      <c r="C2719" s="1">
        <v>2020</v>
      </c>
      <c r="G2719" s="1" t="s">
        <v>40</v>
      </c>
      <c r="H2719" s="2">
        <v>82.34</v>
      </c>
      <c r="I2719" s="1">
        <v>174</v>
      </c>
      <c r="U2719" s="1">
        <v>235</v>
      </c>
      <c r="X2719" s="1">
        <v>214</v>
      </c>
      <c r="AA2719" s="1">
        <v>15</v>
      </c>
      <c r="AB2719" s="1">
        <v>15</v>
      </c>
      <c r="AC2719" s="1">
        <v>8793</v>
      </c>
      <c r="AF2719" s="3">
        <v>2.1131892154481418</v>
      </c>
      <c r="AG2719" s="3">
        <v>10.375026585449683</v>
      </c>
      <c r="AH2719" s="1">
        <v>6264</v>
      </c>
      <c r="AI2719" s="1" t="b">
        <v>1</v>
      </c>
    </row>
    <row r="2720" spans="1:35" x14ac:dyDescent="0.25">
      <c r="A2720" s="1">
        <v>23</v>
      </c>
      <c r="B2720" s="1">
        <v>1</v>
      </c>
      <c r="C2720" s="1">
        <v>2020</v>
      </c>
      <c r="G2720" s="1" t="s">
        <v>40</v>
      </c>
      <c r="H2720" s="2">
        <v>90.86</v>
      </c>
      <c r="I2720" s="1">
        <v>176</v>
      </c>
      <c r="U2720" s="1">
        <v>238</v>
      </c>
      <c r="X2720" s="1">
        <v>215</v>
      </c>
      <c r="AA2720" s="1">
        <v>16</v>
      </c>
      <c r="AB2720" s="1">
        <v>11</v>
      </c>
      <c r="AC2720" s="1">
        <v>9158</v>
      </c>
      <c r="AF2720" s="3">
        <v>1.937046004842615</v>
      </c>
      <c r="AG2720" s="3">
        <v>12.126095309224223</v>
      </c>
      <c r="AH2720" s="1">
        <v>6264</v>
      </c>
      <c r="AI2720" s="1" t="b">
        <v>1</v>
      </c>
    </row>
    <row r="2721" spans="1:35" x14ac:dyDescent="0.25">
      <c r="A2721" s="1">
        <v>23</v>
      </c>
      <c r="B2721" s="1">
        <v>1</v>
      </c>
      <c r="C2721" s="1">
        <v>2020</v>
      </c>
      <c r="G2721" s="1" t="s">
        <v>40</v>
      </c>
      <c r="H2721" s="2">
        <v>86.1</v>
      </c>
      <c r="I2721" s="1">
        <v>179</v>
      </c>
      <c r="U2721" s="1">
        <v>244</v>
      </c>
      <c r="X2721" s="1">
        <v>215</v>
      </c>
      <c r="AA2721" s="1">
        <v>13</v>
      </c>
      <c r="AB2721" s="1">
        <v>11</v>
      </c>
      <c r="AC2721" s="1">
        <v>8977</v>
      </c>
      <c r="AF2721" s="3">
        <v>2.0789779326364695</v>
      </c>
      <c r="AG2721" s="3">
        <v>10.88058701543083</v>
      </c>
      <c r="AH2721" s="1">
        <v>6264</v>
      </c>
      <c r="AI2721" s="1" t="b">
        <v>1</v>
      </c>
    </row>
    <row r="2722" spans="1:35" x14ac:dyDescent="0.25">
      <c r="A2722" s="1">
        <v>24</v>
      </c>
      <c r="B2722" s="1">
        <v>1</v>
      </c>
      <c r="C2722" s="1">
        <v>2020</v>
      </c>
      <c r="G2722" s="1" t="s">
        <v>40</v>
      </c>
      <c r="H2722" s="2">
        <v>82.48</v>
      </c>
      <c r="I2722" s="1">
        <v>147</v>
      </c>
      <c r="U2722" s="1">
        <v>212</v>
      </c>
      <c r="X2722" s="1">
        <v>184</v>
      </c>
      <c r="AA2722" s="1">
        <v>14</v>
      </c>
      <c r="AB2722" s="1">
        <v>14</v>
      </c>
      <c r="AC2722" s="1">
        <v>8976</v>
      </c>
      <c r="AF2722" s="3">
        <v>1.782250242483026</v>
      </c>
      <c r="AG2722" s="3">
        <v>12.316161471993951</v>
      </c>
      <c r="AH2722" s="1">
        <v>6264</v>
      </c>
      <c r="AI2722" s="1" t="b">
        <v>1</v>
      </c>
    </row>
    <row r="2723" spans="1:35" x14ac:dyDescent="0.25">
      <c r="A2723" s="1">
        <v>24</v>
      </c>
      <c r="B2723" s="1">
        <v>1</v>
      </c>
      <c r="C2723" s="1">
        <v>2020</v>
      </c>
      <c r="G2723" s="1" t="s">
        <v>40</v>
      </c>
      <c r="H2723" s="2">
        <v>78.06</v>
      </c>
      <c r="I2723" s="1">
        <v>180</v>
      </c>
      <c r="U2723" s="1">
        <v>250</v>
      </c>
      <c r="X2723" s="1">
        <v>225</v>
      </c>
      <c r="AA2723" s="1">
        <v>15</v>
      </c>
      <c r="AB2723" s="1">
        <v>9</v>
      </c>
      <c r="AC2723" s="1">
        <v>8259</v>
      </c>
      <c r="AF2723" s="3">
        <v>2.3059185242121445</v>
      </c>
      <c r="AG2723" s="3">
        <v>9.1591679928790892</v>
      </c>
      <c r="AH2723" s="1">
        <v>6264</v>
      </c>
      <c r="AI2723" s="1" t="b">
        <v>1</v>
      </c>
    </row>
    <row r="2724" spans="1:35" x14ac:dyDescent="0.25">
      <c r="A2724" s="1">
        <v>24</v>
      </c>
      <c r="B2724" s="1">
        <v>1</v>
      </c>
      <c r="C2724" s="1">
        <v>2020</v>
      </c>
      <c r="G2724" s="1" t="s">
        <v>40</v>
      </c>
      <c r="H2724" s="2">
        <v>83.45</v>
      </c>
      <c r="I2724" s="1">
        <v>209</v>
      </c>
      <c r="U2724" s="1">
        <v>264</v>
      </c>
      <c r="X2724" s="1">
        <v>240</v>
      </c>
      <c r="AA2724" s="1">
        <v>13</v>
      </c>
      <c r="AB2724" s="1">
        <v>6</v>
      </c>
      <c r="AC2724" s="1">
        <v>9213</v>
      </c>
      <c r="AF2724" s="3">
        <v>2.5044937088076691</v>
      </c>
      <c r="AG2724" s="3">
        <v>8.8364636164118586</v>
      </c>
      <c r="AH2724" s="1">
        <v>6264</v>
      </c>
      <c r="AI2724" s="1" t="b">
        <v>1</v>
      </c>
    </row>
    <row r="2725" spans="1:35" x14ac:dyDescent="0.25">
      <c r="A2725" s="1">
        <v>24</v>
      </c>
      <c r="B2725" s="1">
        <v>1</v>
      </c>
      <c r="C2725" s="1">
        <v>2020</v>
      </c>
      <c r="G2725" s="1" t="s">
        <v>40</v>
      </c>
      <c r="H2725" s="2">
        <v>82.74</v>
      </c>
      <c r="I2725" s="1">
        <v>203</v>
      </c>
      <c r="U2725" s="1">
        <v>252</v>
      </c>
      <c r="X2725" s="1">
        <v>228</v>
      </c>
      <c r="AA2725" s="1">
        <v>12</v>
      </c>
      <c r="AB2725" s="1">
        <v>6</v>
      </c>
      <c r="AC2725" s="1">
        <v>8663</v>
      </c>
      <c r="AF2725" s="3">
        <v>2.4534686971235198</v>
      </c>
      <c r="AG2725" s="3">
        <v>8.9664460604637064</v>
      </c>
      <c r="AH2725" s="1">
        <v>6264</v>
      </c>
      <c r="AI2725" s="1" t="b">
        <v>1</v>
      </c>
    </row>
    <row r="2726" spans="1:35" x14ac:dyDescent="0.25">
      <c r="A2726" s="1">
        <v>7</v>
      </c>
      <c r="B2726" s="1">
        <v>2</v>
      </c>
      <c r="C2726" s="1">
        <v>2020</v>
      </c>
      <c r="G2726" s="1" t="s">
        <v>40</v>
      </c>
      <c r="H2726" s="2">
        <v>77.03</v>
      </c>
      <c r="I2726" s="1">
        <v>146</v>
      </c>
      <c r="U2726" s="1">
        <v>209</v>
      </c>
      <c r="X2726" s="1">
        <v>184</v>
      </c>
      <c r="AA2726" s="1">
        <v>14</v>
      </c>
      <c r="AB2726" s="1">
        <v>16</v>
      </c>
      <c r="AC2726" s="1">
        <v>8066</v>
      </c>
      <c r="AF2726" s="3">
        <v>1.8953654420355706</v>
      </c>
      <c r="AG2726" s="3">
        <v>11.039997386423838</v>
      </c>
      <c r="AH2726" s="1">
        <v>6266</v>
      </c>
      <c r="AI2726" s="1" t="b">
        <v>1</v>
      </c>
    </row>
    <row r="2727" spans="1:35" x14ac:dyDescent="0.25">
      <c r="A2727" s="1">
        <v>7</v>
      </c>
      <c r="B2727" s="1">
        <v>2</v>
      </c>
      <c r="C2727" s="1">
        <v>2020</v>
      </c>
      <c r="G2727" s="1" t="s">
        <v>40</v>
      </c>
      <c r="H2727" s="2">
        <v>114.87</v>
      </c>
      <c r="I2727" s="1">
        <v>180</v>
      </c>
      <c r="U2727" s="1">
        <v>246</v>
      </c>
      <c r="X2727" s="1">
        <v>222</v>
      </c>
      <c r="AA2727" s="1">
        <v>17</v>
      </c>
      <c r="AB2727" s="1">
        <v>7</v>
      </c>
      <c r="AC2727" s="1">
        <v>12604</v>
      </c>
      <c r="AF2727" s="3">
        <v>1.5669887699138156</v>
      </c>
      <c r="AG2727" s="3">
        <v>17.663580857374843</v>
      </c>
      <c r="AH2727" s="1">
        <v>6266</v>
      </c>
      <c r="AI2727" s="1" t="b">
        <v>1</v>
      </c>
    </row>
    <row r="2728" spans="1:35" x14ac:dyDescent="0.25">
      <c r="A2728" s="1">
        <v>7</v>
      </c>
      <c r="B2728" s="1">
        <v>2</v>
      </c>
      <c r="C2728" s="1">
        <v>2020</v>
      </c>
      <c r="G2728" s="1" t="s">
        <v>40</v>
      </c>
      <c r="H2728" s="2">
        <v>72</v>
      </c>
      <c r="I2728" s="1">
        <v>159</v>
      </c>
      <c r="U2728" s="1">
        <v>222</v>
      </c>
      <c r="X2728" s="1">
        <v>198</v>
      </c>
      <c r="AA2728" s="1">
        <v>17</v>
      </c>
      <c r="AB2728" s="1">
        <v>10</v>
      </c>
      <c r="AC2728" s="1">
        <v>8069</v>
      </c>
      <c r="AF2728" s="3">
        <v>2.2083333333333335</v>
      </c>
      <c r="AG2728" s="3">
        <v>9.0379122334743993</v>
      </c>
      <c r="AH2728" s="1">
        <v>6266</v>
      </c>
      <c r="AI2728" s="1" t="b">
        <v>1</v>
      </c>
    </row>
    <row r="2729" spans="1:35" x14ac:dyDescent="0.25">
      <c r="A2729" s="1">
        <v>8</v>
      </c>
      <c r="B2729" s="1">
        <v>2</v>
      </c>
      <c r="C2729" s="1">
        <v>2020</v>
      </c>
      <c r="G2729" s="1" t="s">
        <v>40</v>
      </c>
      <c r="H2729" s="2">
        <v>82.33</v>
      </c>
      <c r="I2729" s="1">
        <v>153</v>
      </c>
      <c r="U2729" s="1">
        <v>233</v>
      </c>
      <c r="X2729" s="1">
        <v>200</v>
      </c>
      <c r="AA2729" s="1">
        <v>17</v>
      </c>
      <c r="AB2729" s="1">
        <v>13</v>
      </c>
      <c r="AC2729" s="1">
        <v>8666</v>
      </c>
      <c r="AF2729" s="3">
        <v>1.8583748329891898</v>
      </c>
      <c r="AG2729" s="3">
        <v>11.796613902015462</v>
      </c>
      <c r="AH2729" s="1">
        <v>6266</v>
      </c>
      <c r="AI2729" s="1" t="b">
        <v>1</v>
      </c>
    </row>
    <row r="2730" spans="1:35" x14ac:dyDescent="0.25">
      <c r="A2730" s="1">
        <v>8</v>
      </c>
      <c r="B2730" s="1">
        <v>2</v>
      </c>
      <c r="C2730" s="1">
        <v>2020</v>
      </c>
      <c r="G2730" s="1" t="s">
        <v>40</v>
      </c>
      <c r="H2730" s="2">
        <v>75.38</v>
      </c>
      <c r="I2730" s="1">
        <v>131</v>
      </c>
      <c r="U2730" s="1">
        <v>208</v>
      </c>
      <c r="X2730" s="1">
        <v>180</v>
      </c>
      <c r="AA2730" s="1">
        <v>20</v>
      </c>
      <c r="AB2730" s="1">
        <v>18</v>
      </c>
      <c r="AC2730" s="1">
        <v>8081</v>
      </c>
      <c r="AF2730" s="3">
        <v>1.7378615017245955</v>
      </c>
      <c r="AG2730" s="3">
        <v>11.859438591196765</v>
      </c>
      <c r="AH2730" s="1">
        <v>6266</v>
      </c>
      <c r="AI2730" s="1" t="b">
        <v>1</v>
      </c>
    </row>
    <row r="2731" spans="1:35" x14ac:dyDescent="0.25">
      <c r="A2731" s="1">
        <v>8</v>
      </c>
      <c r="B2731" s="1">
        <v>2</v>
      </c>
      <c r="C2731" s="1">
        <v>2020</v>
      </c>
      <c r="G2731" s="1" t="s">
        <v>40</v>
      </c>
      <c r="H2731" s="2">
        <v>76.739999999999995</v>
      </c>
      <c r="I2731" s="1">
        <v>178</v>
      </c>
      <c r="U2731" s="1">
        <v>233</v>
      </c>
      <c r="X2731" s="1">
        <v>212</v>
      </c>
      <c r="AA2731" s="1">
        <v>13</v>
      </c>
      <c r="AB2731" s="1">
        <v>8</v>
      </c>
      <c r="AC2731" s="1">
        <v>8155</v>
      </c>
      <c r="AF2731" s="3">
        <v>2.3195204586916862</v>
      </c>
      <c r="AG2731" s="3">
        <v>8.9974004245782115</v>
      </c>
      <c r="AH2731" s="1">
        <v>6266</v>
      </c>
      <c r="AI2731" s="1" t="b">
        <v>1</v>
      </c>
    </row>
    <row r="2732" spans="1:35" x14ac:dyDescent="0.25">
      <c r="A2732" s="1">
        <v>8</v>
      </c>
      <c r="B2732" s="1">
        <v>2</v>
      </c>
      <c r="C2732" s="1">
        <v>2020</v>
      </c>
      <c r="G2732" s="1" t="s">
        <v>40</v>
      </c>
      <c r="H2732" s="2">
        <v>88.95</v>
      </c>
      <c r="I2732" s="1">
        <v>191</v>
      </c>
      <c r="U2732" s="1">
        <v>265</v>
      </c>
      <c r="X2732" s="1">
        <v>229</v>
      </c>
      <c r="AA2732" s="1">
        <v>15</v>
      </c>
      <c r="AB2732" s="1">
        <v>9</v>
      </c>
      <c r="AC2732" s="1">
        <v>9071</v>
      </c>
      <c r="AF2732" s="3">
        <v>2.1472737492973581</v>
      </c>
      <c r="AG2732" s="3">
        <v>10.777418611907468</v>
      </c>
      <c r="AH2732" s="1">
        <v>6266</v>
      </c>
      <c r="AI2732" s="1" t="b">
        <v>1</v>
      </c>
    </row>
    <row r="2733" spans="1:35" x14ac:dyDescent="0.25">
      <c r="A2733" s="1">
        <v>8</v>
      </c>
      <c r="B2733" s="1">
        <v>2</v>
      </c>
      <c r="C2733" s="1">
        <v>2020</v>
      </c>
      <c r="G2733" s="1" t="s">
        <v>40</v>
      </c>
      <c r="H2733" s="2">
        <v>73.73</v>
      </c>
      <c r="I2733" s="1">
        <v>156</v>
      </c>
      <c r="U2733" s="1">
        <v>205</v>
      </c>
      <c r="X2733" s="1">
        <v>188</v>
      </c>
      <c r="AA2733" s="1">
        <v>15</v>
      </c>
      <c r="AB2733" s="1">
        <v>14</v>
      </c>
      <c r="AC2733" s="1">
        <v>7995</v>
      </c>
      <c r="AF2733" s="3">
        <v>2.1158280211582801</v>
      </c>
      <c r="AG2733" s="3">
        <v>9.5911481476365807</v>
      </c>
      <c r="AH2733" s="1">
        <v>6266</v>
      </c>
      <c r="AI2733" s="1" t="b">
        <v>1</v>
      </c>
    </row>
    <row r="2734" spans="1:35" x14ac:dyDescent="0.25">
      <c r="A2734" s="1">
        <v>8</v>
      </c>
      <c r="B2734" s="1">
        <v>2</v>
      </c>
      <c r="C2734" s="1">
        <v>2020</v>
      </c>
      <c r="G2734" s="1" t="s">
        <v>40</v>
      </c>
      <c r="H2734" s="2">
        <v>70.650000000000006</v>
      </c>
      <c r="I2734" s="1">
        <v>162</v>
      </c>
      <c r="U2734" s="1">
        <v>208</v>
      </c>
      <c r="X2734" s="1">
        <v>186</v>
      </c>
      <c r="AA2734" s="1">
        <v>12</v>
      </c>
      <c r="AB2734" s="1">
        <v>14</v>
      </c>
      <c r="AC2734" s="1">
        <v>8369</v>
      </c>
      <c r="AF2734" s="3">
        <v>2.2929936305732483</v>
      </c>
      <c r="AG2734" s="3">
        <v>8.589653952750421</v>
      </c>
      <c r="AH2734" s="1">
        <v>6266</v>
      </c>
      <c r="AI2734" s="1" t="b">
        <v>1</v>
      </c>
    </row>
    <row r="2735" spans="1:35" x14ac:dyDescent="0.25">
      <c r="A2735" s="1">
        <v>8</v>
      </c>
      <c r="B2735" s="1">
        <v>2</v>
      </c>
      <c r="C2735" s="1">
        <v>2020</v>
      </c>
      <c r="G2735" s="1" t="s">
        <v>40</v>
      </c>
      <c r="H2735" s="2">
        <v>68.61</v>
      </c>
      <c r="I2735" s="1">
        <v>141</v>
      </c>
      <c r="U2735" s="1">
        <v>191</v>
      </c>
      <c r="X2735" s="1">
        <v>173</v>
      </c>
      <c r="AA2735" s="1">
        <v>10</v>
      </c>
      <c r="AB2735" s="1">
        <v>8</v>
      </c>
      <c r="AC2735" s="1">
        <v>6717</v>
      </c>
      <c r="AF2735" s="3">
        <v>2.0550940096195891</v>
      </c>
      <c r="AG2735" s="3">
        <v>9.3894358732246879</v>
      </c>
      <c r="AH2735" s="1">
        <v>6266</v>
      </c>
      <c r="AI2735" s="1" t="b">
        <v>1</v>
      </c>
    </row>
    <row r="2736" spans="1:35" x14ac:dyDescent="0.25">
      <c r="A2736" s="1">
        <v>8</v>
      </c>
      <c r="B2736" s="1">
        <v>2</v>
      </c>
      <c r="C2736" s="1">
        <v>2020</v>
      </c>
      <c r="G2736" s="1" t="s">
        <v>40</v>
      </c>
      <c r="H2736" s="2">
        <v>77.55</v>
      </c>
      <c r="I2736" s="1">
        <v>154</v>
      </c>
      <c r="U2736" s="1">
        <v>221</v>
      </c>
      <c r="X2736" s="1">
        <v>197</v>
      </c>
      <c r="AA2736" s="1">
        <v>14</v>
      </c>
      <c r="AB2736" s="1">
        <v>11</v>
      </c>
      <c r="AC2736" s="1">
        <v>8272</v>
      </c>
      <c r="AF2736" s="3">
        <v>1.9858156028368794</v>
      </c>
      <c r="AG2736" s="3">
        <v>10.586888589175295</v>
      </c>
      <c r="AH2736" s="1">
        <v>6266</v>
      </c>
      <c r="AI2736" s="1" t="b">
        <v>1</v>
      </c>
    </row>
    <row r="2737" spans="1:35" x14ac:dyDescent="0.25">
      <c r="A2737" s="1">
        <v>8</v>
      </c>
      <c r="B2737" s="1">
        <v>2</v>
      </c>
      <c r="C2737" s="1">
        <v>2020</v>
      </c>
      <c r="G2737" s="1" t="s">
        <v>40</v>
      </c>
      <c r="H2737" s="2">
        <v>81.23</v>
      </c>
      <c r="I2737" s="1">
        <v>164</v>
      </c>
      <c r="U2737" s="1">
        <v>228</v>
      </c>
      <c r="X2737" s="1">
        <v>203</v>
      </c>
      <c r="AA2737" s="1">
        <v>14</v>
      </c>
      <c r="AB2737" s="1">
        <v>12</v>
      </c>
      <c r="AC2737" s="1">
        <v>8364</v>
      </c>
      <c r="AF2737" s="3">
        <v>2.018958512864705</v>
      </c>
      <c r="AG2737" s="3">
        <v>10.756577793161641</v>
      </c>
      <c r="AH2737" s="1">
        <v>6266</v>
      </c>
      <c r="AI2737" s="1" t="b">
        <v>1</v>
      </c>
    </row>
    <row r="2738" spans="1:35" x14ac:dyDescent="0.25">
      <c r="A2738" s="1">
        <v>8</v>
      </c>
      <c r="B2738" s="1">
        <v>2</v>
      </c>
      <c r="C2738" s="1">
        <v>2020</v>
      </c>
      <c r="G2738" s="1" t="s">
        <v>40</v>
      </c>
      <c r="H2738" s="2">
        <v>74.099999999999994</v>
      </c>
      <c r="I2738" s="1">
        <v>154</v>
      </c>
      <c r="U2738" s="1">
        <v>220</v>
      </c>
      <c r="X2738" s="1">
        <v>194</v>
      </c>
      <c r="AA2738" s="1">
        <v>16</v>
      </c>
      <c r="AB2738" s="1">
        <v>11</v>
      </c>
      <c r="AC2738" s="1">
        <v>7861</v>
      </c>
      <c r="AF2738" s="3">
        <v>2.0782726045883941</v>
      </c>
      <c r="AG2738" s="3">
        <v>9.7987399658798111</v>
      </c>
      <c r="AH2738" s="1">
        <v>6266</v>
      </c>
      <c r="AI2738" s="1" t="b">
        <v>1</v>
      </c>
    </row>
    <row r="2739" spans="1:35" x14ac:dyDescent="0.25">
      <c r="A2739" s="1">
        <v>8</v>
      </c>
      <c r="B2739" s="1">
        <v>2</v>
      </c>
      <c r="C2739" s="1">
        <v>2020</v>
      </c>
      <c r="G2739" s="1" t="s">
        <v>40</v>
      </c>
      <c r="H2739" s="2">
        <v>66.97</v>
      </c>
      <c r="I2739" s="1">
        <v>158</v>
      </c>
      <c r="U2739" s="1">
        <v>219</v>
      </c>
      <c r="X2739" s="1">
        <v>199</v>
      </c>
      <c r="AA2739" s="1">
        <v>14</v>
      </c>
      <c r="AB2739" s="1">
        <v>13</v>
      </c>
      <c r="AC2739" s="1">
        <v>8090</v>
      </c>
      <c r="AF2739" s="3">
        <v>2.3592653426907573</v>
      </c>
      <c r="AG2739" s="3">
        <v>8.0415436050458098</v>
      </c>
      <c r="AH2739" s="1">
        <v>6266</v>
      </c>
      <c r="AI2739" s="1" t="b">
        <v>1</v>
      </c>
    </row>
    <row r="2740" spans="1:35" x14ac:dyDescent="0.25">
      <c r="A2740" s="1">
        <v>8</v>
      </c>
      <c r="B2740" s="1">
        <v>2</v>
      </c>
      <c r="C2740" s="1">
        <v>2020</v>
      </c>
      <c r="G2740" s="1" t="s">
        <v>40</v>
      </c>
      <c r="H2740" s="2">
        <v>78.540000000000006</v>
      </c>
      <c r="I2740" s="1">
        <v>154</v>
      </c>
      <c r="U2740" s="1">
        <v>209</v>
      </c>
      <c r="X2740" s="1">
        <v>182</v>
      </c>
      <c r="AA2740" s="1">
        <v>13</v>
      </c>
      <c r="AB2740" s="1">
        <v>11</v>
      </c>
      <c r="AC2740" s="1">
        <v>9260</v>
      </c>
      <c r="AF2740" s="3">
        <v>1.9607843137254901</v>
      </c>
      <c r="AG2740" s="3">
        <v>10.817671870067509</v>
      </c>
      <c r="AH2740" s="1">
        <v>6266</v>
      </c>
      <c r="AI2740" s="1" t="b">
        <v>1</v>
      </c>
    </row>
    <row r="2741" spans="1:35" x14ac:dyDescent="0.25">
      <c r="A2741" s="1">
        <v>9</v>
      </c>
      <c r="B2741" s="1">
        <v>2</v>
      </c>
      <c r="C2741" s="1">
        <v>2020</v>
      </c>
      <c r="G2741" s="1" t="s">
        <v>40</v>
      </c>
      <c r="H2741" s="2">
        <v>84.33</v>
      </c>
      <c r="I2741" s="1">
        <v>175</v>
      </c>
      <c r="U2741" s="1">
        <v>252</v>
      </c>
      <c r="X2741" s="1">
        <v>215</v>
      </c>
      <c r="AA2741" s="1">
        <v>17</v>
      </c>
      <c r="AB2741" s="1">
        <v>12</v>
      </c>
      <c r="AC2741" s="1">
        <v>9060</v>
      </c>
      <c r="AF2741" s="3">
        <v>2.0751808371872404</v>
      </c>
      <c r="AG2741" s="3">
        <v>10.743147088675574</v>
      </c>
      <c r="AH2741" s="1">
        <v>6266</v>
      </c>
      <c r="AI2741" s="1" t="b">
        <v>1</v>
      </c>
    </row>
    <row r="2742" spans="1:35" x14ac:dyDescent="0.25">
      <c r="A2742" s="1">
        <v>9</v>
      </c>
      <c r="B2742" s="1">
        <v>2</v>
      </c>
      <c r="C2742" s="1">
        <v>2020</v>
      </c>
      <c r="G2742" s="1" t="s">
        <v>40</v>
      </c>
      <c r="H2742" s="2">
        <v>74.33</v>
      </c>
      <c r="I2742" s="1">
        <v>178</v>
      </c>
      <c r="U2742" s="1">
        <v>241</v>
      </c>
      <c r="X2742" s="1">
        <v>219</v>
      </c>
      <c r="AA2742" s="1">
        <v>16</v>
      </c>
      <c r="AB2742" s="1">
        <v>14</v>
      </c>
      <c r="AC2742" s="1">
        <v>7923</v>
      </c>
      <c r="AF2742" s="3">
        <v>2.394726220906767</v>
      </c>
      <c r="AG2742" s="3">
        <v>8.5223432771934977</v>
      </c>
      <c r="AH2742" s="1">
        <v>6266</v>
      </c>
      <c r="AI2742" s="1" t="b">
        <v>1</v>
      </c>
    </row>
    <row r="2743" spans="1:35" x14ac:dyDescent="0.25">
      <c r="A2743" s="1">
        <v>9</v>
      </c>
      <c r="B2743" s="1">
        <v>2</v>
      </c>
      <c r="C2743" s="1">
        <v>2020</v>
      </c>
      <c r="G2743" s="1" t="s">
        <v>40</v>
      </c>
      <c r="H2743" s="2">
        <v>89.42</v>
      </c>
      <c r="I2743" s="1">
        <v>218</v>
      </c>
      <c r="U2743" s="1">
        <v>291</v>
      </c>
      <c r="X2743" s="1">
        <v>266</v>
      </c>
      <c r="AA2743" s="1">
        <v>15</v>
      </c>
      <c r="AB2743" s="1">
        <v>7</v>
      </c>
      <c r="AC2743" s="1">
        <v>9705</v>
      </c>
      <c r="AF2743" s="3">
        <v>2.4379333482442407</v>
      </c>
      <c r="AG2743" s="3">
        <v>9.527576351927884</v>
      </c>
      <c r="AH2743" s="1">
        <v>6266</v>
      </c>
      <c r="AI2743" s="1" t="b">
        <v>1</v>
      </c>
    </row>
    <row r="2744" spans="1:35" x14ac:dyDescent="0.25">
      <c r="A2744" s="1">
        <v>9</v>
      </c>
      <c r="B2744" s="1">
        <v>2</v>
      </c>
      <c r="C2744" s="1">
        <v>2020</v>
      </c>
      <c r="G2744" s="1" t="s">
        <v>40</v>
      </c>
      <c r="H2744" s="2">
        <v>76.44</v>
      </c>
      <c r="I2744" s="1">
        <v>150</v>
      </c>
      <c r="U2744" s="1">
        <v>217</v>
      </c>
      <c r="X2744" s="1">
        <v>193</v>
      </c>
      <c r="AA2744" s="1">
        <v>18</v>
      </c>
      <c r="AB2744" s="1">
        <v>21</v>
      </c>
      <c r="AC2744" s="1">
        <v>7786</v>
      </c>
      <c r="AF2744" s="3">
        <v>1.9623233908948194</v>
      </c>
      <c r="AG2744" s="3">
        <v>10.606055470811871</v>
      </c>
      <c r="AH2744" s="1">
        <v>6266</v>
      </c>
      <c r="AI2744" s="1" t="b">
        <v>1</v>
      </c>
    </row>
    <row r="2745" spans="1:35" x14ac:dyDescent="0.25">
      <c r="A2745" s="1">
        <v>9</v>
      </c>
      <c r="B2745" s="1">
        <v>2</v>
      </c>
      <c r="C2745" s="1">
        <v>2020</v>
      </c>
      <c r="G2745" s="1" t="s">
        <v>40</v>
      </c>
      <c r="H2745" s="2">
        <v>71.08</v>
      </c>
      <c r="I2745" s="1">
        <v>138</v>
      </c>
      <c r="U2745" s="1">
        <v>223</v>
      </c>
      <c r="X2745" s="1">
        <v>187</v>
      </c>
      <c r="AA2745" s="1">
        <v>17</v>
      </c>
      <c r="AB2745" s="1">
        <v>13</v>
      </c>
      <c r="AC2745" s="1">
        <v>7469</v>
      </c>
      <c r="AF2745" s="3">
        <v>1.9414743950478335</v>
      </c>
      <c r="AG2745" s="3">
        <v>10.188060754409413</v>
      </c>
      <c r="AH2745" s="1">
        <v>6266</v>
      </c>
      <c r="AI2745" s="1" t="b">
        <v>1</v>
      </c>
    </row>
    <row r="2746" spans="1:35" x14ac:dyDescent="0.25">
      <c r="A2746" s="1">
        <v>9</v>
      </c>
      <c r="B2746" s="1">
        <v>2</v>
      </c>
      <c r="C2746" s="1">
        <v>2020</v>
      </c>
      <c r="G2746" s="1" t="s">
        <v>40</v>
      </c>
      <c r="H2746" s="2">
        <v>81.16</v>
      </c>
      <c r="I2746" s="1">
        <v>190</v>
      </c>
      <c r="U2746" s="1">
        <v>246</v>
      </c>
      <c r="X2746" s="1">
        <v>219</v>
      </c>
      <c r="AA2746" s="1">
        <v>14</v>
      </c>
      <c r="AB2746" s="1">
        <v>7</v>
      </c>
      <c r="AC2746" s="1">
        <v>8708</v>
      </c>
      <c r="AF2746" s="3">
        <v>2.3410547067520948</v>
      </c>
      <c r="AG2746" s="3">
        <v>9.2710273925321243</v>
      </c>
      <c r="AH2746" s="1">
        <v>6266</v>
      </c>
      <c r="AI2746" s="1" t="b">
        <v>1</v>
      </c>
    </row>
    <row r="2747" spans="1:35" x14ac:dyDescent="0.25">
      <c r="A2747" s="1">
        <v>9</v>
      </c>
      <c r="B2747" s="1">
        <v>2</v>
      </c>
      <c r="C2747" s="1">
        <v>2020</v>
      </c>
      <c r="G2747" s="1" t="s">
        <v>40</v>
      </c>
      <c r="H2747" s="2">
        <v>81.02</v>
      </c>
      <c r="I2747" s="1">
        <v>175</v>
      </c>
      <c r="U2747" s="1">
        <v>248</v>
      </c>
      <c r="X2747" s="1">
        <v>222</v>
      </c>
      <c r="AA2747" s="1">
        <v>17</v>
      </c>
      <c r="AB2747" s="1">
        <v>9</v>
      </c>
      <c r="AC2747" s="1">
        <v>9470</v>
      </c>
      <c r="AF2747" s="3">
        <v>2.1599605035793634</v>
      </c>
      <c r="AG2747" s="3">
        <v>10.036187291462351</v>
      </c>
      <c r="AH2747" s="1">
        <v>6266</v>
      </c>
      <c r="AI2747" s="1" t="b">
        <v>1</v>
      </c>
    </row>
    <row r="2748" spans="1:35" x14ac:dyDescent="0.25">
      <c r="A2748" s="1">
        <v>9</v>
      </c>
      <c r="B2748" s="1">
        <v>2</v>
      </c>
      <c r="C2748" s="1">
        <v>2020</v>
      </c>
      <c r="G2748" s="1" t="s">
        <v>40</v>
      </c>
      <c r="H2748" s="2">
        <v>75.22</v>
      </c>
      <c r="I2748" s="1">
        <v>155</v>
      </c>
      <c r="U2748" s="1">
        <v>226</v>
      </c>
      <c r="X2748" s="1">
        <v>203</v>
      </c>
      <c r="AA2748" s="1">
        <v>16</v>
      </c>
      <c r="AB2748" s="1">
        <v>14</v>
      </c>
      <c r="AC2748" s="1">
        <v>8048</v>
      </c>
      <c r="AF2748" s="3">
        <v>2.0606221749534699</v>
      </c>
      <c r="AG2748" s="3">
        <v>9.9869979625671093</v>
      </c>
      <c r="AH2748" s="1">
        <v>6266</v>
      </c>
      <c r="AI2748" s="1" t="b">
        <v>1</v>
      </c>
    </row>
    <row r="2749" spans="1:35" x14ac:dyDescent="0.25">
      <c r="A2749" s="1">
        <v>20</v>
      </c>
      <c r="B2749" s="1">
        <v>2</v>
      </c>
      <c r="C2749" s="1">
        <v>2020</v>
      </c>
      <c r="G2749" s="1" t="s">
        <v>40</v>
      </c>
      <c r="H2749" s="2">
        <v>79.930000000000007</v>
      </c>
      <c r="I2749" s="1">
        <v>195</v>
      </c>
      <c r="U2749" s="1">
        <v>256</v>
      </c>
      <c r="X2749" s="1">
        <v>226</v>
      </c>
      <c r="AA2749" s="1">
        <v>13</v>
      </c>
      <c r="AB2749" s="1">
        <v>9</v>
      </c>
      <c r="AC2749" s="1">
        <v>8781</v>
      </c>
      <c r="AF2749" s="3">
        <v>2.4396346803453017</v>
      </c>
      <c r="AG2749" s="3">
        <v>8.8018116465370841</v>
      </c>
      <c r="AH2749" s="1">
        <v>6268</v>
      </c>
      <c r="AI2749" s="1" t="b">
        <v>1</v>
      </c>
    </row>
    <row r="2750" spans="1:35" x14ac:dyDescent="0.25">
      <c r="A2750" s="1">
        <v>21</v>
      </c>
      <c r="B2750" s="1">
        <v>2</v>
      </c>
      <c r="C2750" s="1">
        <v>2020</v>
      </c>
      <c r="G2750" s="1" t="s">
        <v>40</v>
      </c>
      <c r="H2750" s="2">
        <v>82.71</v>
      </c>
      <c r="I2750" s="1">
        <v>183</v>
      </c>
      <c r="U2750" s="1">
        <v>248</v>
      </c>
      <c r="X2750" s="1">
        <v>219</v>
      </c>
      <c r="AA2750" s="1">
        <v>15</v>
      </c>
      <c r="AB2750" s="1">
        <v>3</v>
      </c>
      <c r="AC2750" s="1">
        <v>8359</v>
      </c>
      <c r="AF2750" s="3">
        <v>2.2125498730504174</v>
      </c>
      <c r="AG2750" s="3">
        <v>9.9402554591612304</v>
      </c>
      <c r="AH2750" s="1">
        <v>6268</v>
      </c>
      <c r="AI2750" s="1" t="b">
        <v>1</v>
      </c>
    </row>
    <row r="2751" spans="1:35" x14ac:dyDescent="0.25">
      <c r="A2751" s="1">
        <v>21</v>
      </c>
      <c r="B2751" s="1">
        <v>2</v>
      </c>
      <c r="C2751" s="1">
        <v>2020</v>
      </c>
      <c r="G2751" s="1" t="s">
        <v>40</v>
      </c>
      <c r="H2751" s="2">
        <v>88.31</v>
      </c>
      <c r="I2751" s="1">
        <v>203</v>
      </c>
      <c r="U2751" s="1">
        <v>255</v>
      </c>
      <c r="X2751" s="1">
        <v>234</v>
      </c>
      <c r="AA2751" s="1">
        <v>12</v>
      </c>
      <c r="AB2751" s="1">
        <v>10</v>
      </c>
      <c r="AC2751" s="1">
        <v>8906</v>
      </c>
      <c r="AF2751" s="3">
        <v>2.2987204167138491</v>
      </c>
      <c r="AG2751" s="3">
        <v>10.016610034219275</v>
      </c>
      <c r="AH2751" s="1">
        <v>6268</v>
      </c>
      <c r="AI2751" s="1" t="b">
        <v>1</v>
      </c>
    </row>
    <row r="2752" spans="1:35" x14ac:dyDescent="0.25">
      <c r="A2752" s="1">
        <v>21</v>
      </c>
      <c r="B2752" s="1">
        <v>2</v>
      </c>
      <c r="C2752" s="1">
        <v>2020</v>
      </c>
      <c r="G2752" s="1" t="s">
        <v>40</v>
      </c>
      <c r="H2752" s="2">
        <v>82.34</v>
      </c>
      <c r="I2752" s="1">
        <v>175</v>
      </c>
      <c r="U2752" s="1">
        <v>243</v>
      </c>
      <c r="X2752" s="1">
        <v>217</v>
      </c>
      <c r="AA2752" s="1">
        <v>16</v>
      </c>
      <c r="AB2752" s="1">
        <v>10</v>
      </c>
      <c r="AC2752" s="1">
        <v>8508</v>
      </c>
      <c r="AF2752" s="3">
        <v>2.1253339810541654</v>
      </c>
      <c r="AG2752" s="3">
        <v>10.315740719247115</v>
      </c>
      <c r="AH2752" s="1">
        <v>6268</v>
      </c>
      <c r="AI2752" s="1" t="b">
        <v>1</v>
      </c>
    </row>
    <row r="2753" spans="1:35" x14ac:dyDescent="0.25">
      <c r="A2753" s="1">
        <v>21</v>
      </c>
      <c r="B2753" s="1">
        <v>2</v>
      </c>
      <c r="C2753" s="1">
        <v>2020</v>
      </c>
      <c r="G2753" s="1" t="s">
        <v>40</v>
      </c>
      <c r="H2753" s="2">
        <v>74.709999999999994</v>
      </c>
      <c r="I2753" s="1">
        <v>144</v>
      </c>
      <c r="U2753" s="1">
        <v>208</v>
      </c>
      <c r="X2753" s="1">
        <v>186</v>
      </c>
      <c r="AA2753" s="1">
        <v>15</v>
      </c>
      <c r="AB2753" s="1">
        <v>14</v>
      </c>
      <c r="AC2753" s="1">
        <v>7909</v>
      </c>
      <c r="AF2753" s="3">
        <v>1.9274528175612369</v>
      </c>
      <c r="AG2753" s="3">
        <v>10.626282557324981</v>
      </c>
      <c r="AH2753" s="1">
        <v>6268</v>
      </c>
      <c r="AI2753" s="1" t="b">
        <v>1</v>
      </c>
    </row>
    <row r="2754" spans="1:35" x14ac:dyDescent="0.25">
      <c r="A2754" s="1">
        <v>21</v>
      </c>
      <c r="B2754" s="1">
        <v>2</v>
      </c>
      <c r="C2754" s="1">
        <v>2020</v>
      </c>
      <c r="G2754" s="1" t="s">
        <v>40</v>
      </c>
      <c r="H2754" s="2">
        <v>80.08</v>
      </c>
      <c r="I2754" s="1">
        <v>179</v>
      </c>
      <c r="U2754" s="1">
        <v>258</v>
      </c>
      <c r="X2754" s="1">
        <v>224</v>
      </c>
      <c r="AA2754" s="1">
        <v>17</v>
      </c>
      <c r="AB2754" s="1">
        <v>15</v>
      </c>
      <c r="AC2754" s="1">
        <v>8563</v>
      </c>
      <c r="AF2754" s="3">
        <v>2.2352647352647352</v>
      </c>
      <c r="AG2754" s="3">
        <v>9.6191761687945565</v>
      </c>
      <c r="AH2754" s="1">
        <v>6268</v>
      </c>
      <c r="AI2754" s="1" t="b">
        <v>1</v>
      </c>
    </row>
    <row r="2755" spans="1:35" x14ac:dyDescent="0.25">
      <c r="A2755" s="1">
        <v>21</v>
      </c>
      <c r="B2755" s="1">
        <v>2</v>
      </c>
      <c r="C2755" s="1">
        <v>2020</v>
      </c>
      <c r="G2755" s="1" t="s">
        <v>40</v>
      </c>
      <c r="H2755" s="2">
        <v>81.41</v>
      </c>
      <c r="I2755" s="1">
        <v>150</v>
      </c>
      <c r="U2755" s="1">
        <v>209</v>
      </c>
      <c r="X2755" s="1">
        <v>184</v>
      </c>
      <c r="AA2755" s="1">
        <v>15</v>
      </c>
      <c r="AB2755" s="1">
        <v>14</v>
      </c>
      <c r="AC2755" s="1">
        <v>7889</v>
      </c>
      <c r="AF2755" s="3">
        <v>1.8425254882692546</v>
      </c>
      <c r="AG2755" s="3">
        <v>11.804862258437748</v>
      </c>
      <c r="AH2755" s="1">
        <v>6268</v>
      </c>
      <c r="AI2755" s="1" t="b">
        <v>1</v>
      </c>
    </row>
    <row r="2756" spans="1:35" x14ac:dyDescent="0.25">
      <c r="A2756" s="1">
        <v>21</v>
      </c>
      <c r="B2756" s="1">
        <v>2</v>
      </c>
      <c r="C2756" s="1">
        <v>2020</v>
      </c>
      <c r="G2756" s="1" t="s">
        <v>40</v>
      </c>
      <c r="H2756" s="2">
        <v>80.13</v>
      </c>
      <c r="I2756" s="1">
        <v>183</v>
      </c>
      <c r="U2756" s="1">
        <v>251</v>
      </c>
      <c r="X2756" s="1">
        <v>216</v>
      </c>
      <c r="AA2756" s="1">
        <v>12</v>
      </c>
      <c r="AB2756" s="1">
        <v>10</v>
      </c>
      <c r="AC2756" s="1">
        <v>8660</v>
      </c>
      <c r="AF2756" s="3">
        <v>2.2837888431299138</v>
      </c>
      <c r="AG2756" s="3">
        <v>9.4189101258459544</v>
      </c>
      <c r="AH2756" s="1">
        <v>6268</v>
      </c>
      <c r="AI2756" s="1" t="b">
        <v>1</v>
      </c>
    </row>
    <row r="2757" spans="1:35" x14ac:dyDescent="0.25">
      <c r="A2757" s="1">
        <v>22</v>
      </c>
      <c r="B2757" s="1">
        <v>2</v>
      </c>
      <c r="C2757" s="1">
        <v>2020</v>
      </c>
      <c r="G2757" s="1" t="s">
        <v>40</v>
      </c>
      <c r="H2757" s="2">
        <v>81.62</v>
      </c>
      <c r="I2757" s="1">
        <v>157</v>
      </c>
      <c r="U2757" s="1">
        <v>234</v>
      </c>
      <c r="X2757" s="1">
        <v>207</v>
      </c>
      <c r="AA2757" s="1">
        <v>18</v>
      </c>
      <c r="AB2757" s="1">
        <v>18</v>
      </c>
      <c r="AC2757" s="1">
        <v>8666</v>
      </c>
      <c r="AF2757" s="3">
        <v>1.9235481499632443</v>
      </c>
      <c r="AG2757" s="3">
        <v>11.328034195458704</v>
      </c>
      <c r="AH2757" s="1">
        <v>6268</v>
      </c>
      <c r="AI2757" s="1" t="b">
        <v>1</v>
      </c>
    </row>
    <row r="2758" spans="1:35" x14ac:dyDescent="0.25">
      <c r="A2758" s="1">
        <v>24</v>
      </c>
      <c r="B2758" s="1">
        <v>2</v>
      </c>
      <c r="C2758" s="1">
        <v>2020</v>
      </c>
      <c r="G2758" s="1" t="s">
        <v>40</v>
      </c>
      <c r="H2758" s="2">
        <v>80.349999999999994</v>
      </c>
      <c r="I2758" s="1">
        <v>162</v>
      </c>
      <c r="U2758" s="1">
        <v>229</v>
      </c>
      <c r="X2758" s="1">
        <v>207</v>
      </c>
      <c r="AA2758" s="1">
        <v>14</v>
      </c>
      <c r="AB2758" s="1">
        <v>9</v>
      </c>
      <c r="AC2758" s="1">
        <v>8787</v>
      </c>
      <c r="AF2758" s="3">
        <v>2.0161792159303049</v>
      </c>
      <c r="AG2758" s="3">
        <v>10.6895884048959</v>
      </c>
      <c r="AH2758" s="1">
        <v>6269</v>
      </c>
      <c r="AI2758" s="1" t="b">
        <v>1</v>
      </c>
    </row>
    <row r="2759" spans="1:35" x14ac:dyDescent="0.25">
      <c r="A2759" s="1">
        <v>24</v>
      </c>
      <c r="B2759" s="1">
        <v>2</v>
      </c>
      <c r="C2759" s="1">
        <v>2020</v>
      </c>
      <c r="G2759" s="1" t="s">
        <v>40</v>
      </c>
      <c r="H2759" s="2">
        <v>76.959999999999994</v>
      </c>
      <c r="I2759" s="1">
        <v>177</v>
      </c>
      <c r="U2759" s="1">
        <v>239</v>
      </c>
      <c r="X2759" s="1">
        <v>213</v>
      </c>
      <c r="AA2759" s="1">
        <v>16</v>
      </c>
      <c r="AB2759" s="1">
        <v>12</v>
      </c>
      <c r="AC2759" s="1">
        <v>8203</v>
      </c>
      <c r="AF2759" s="3">
        <v>2.2998960498960499</v>
      </c>
      <c r="AG2759" s="3">
        <v>9.0923748912870224</v>
      </c>
      <c r="AH2759" s="1">
        <v>6269</v>
      </c>
      <c r="AI2759" s="1" t="b">
        <v>1</v>
      </c>
    </row>
    <row r="2760" spans="1:35" x14ac:dyDescent="0.25">
      <c r="A2760" s="1">
        <v>24</v>
      </c>
      <c r="B2760" s="1">
        <v>2</v>
      </c>
      <c r="C2760" s="1">
        <v>2020</v>
      </c>
      <c r="G2760" s="1" t="s">
        <v>40</v>
      </c>
      <c r="H2760" s="2">
        <v>78.61</v>
      </c>
      <c r="I2760" s="1">
        <v>185</v>
      </c>
      <c r="U2760" s="1">
        <v>239</v>
      </c>
      <c r="X2760" s="1">
        <v>216</v>
      </c>
      <c r="AA2760" s="1">
        <v>11</v>
      </c>
      <c r="AB2760" s="1">
        <v>6</v>
      </c>
      <c r="AC2760" s="1">
        <v>8669</v>
      </c>
      <c r="AF2760" s="3">
        <v>2.3533901539244373</v>
      </c>
      <c r="AG2760" s="3">
        <v>9.018629074265526</v>
      </c>
      <c r="AH2760" s="1">
        <v>6269</v>
      </c>
      <c r="AI2760" s="1" t="b">
        <v>1</v>
      </c>
    </row>
    <row r="2761" spans="1:35" x14ac:dyDescent="0.25">
      <c r="A2761" s="1">
        <v>25</v>
      </c>
      <c r="B2761" s="1">
        <v>2</v>
      </c>
      <c r="C2761" s="1">
        <v>2020</v>
      </c>
      <c r="G2761" s="1" t="s">
        <v>40</v>
      </c>
      <c r="H2761" s="2">
        <v>75.510000000000005</v>
      </c>
      <c r="I2761" s="1">
        <v>168</v>
      </c>
      <c r="U2761" s="1">
        <v>233</v>
      </c>
      <c r="X2761" s="1">
        <v>204</v>
      </c>
      <c r="AA2761" s="1">
        <v>12</v>
      </c>
      <c r="AB2761" s="1">
        <v>9</v>
      </c>
      <c r="AC2761" s="1">
        <v>8058</v>
      </c>
      <c r="AF2761" s="3">
        <v>2.2248708780294</v>
      </c>
      <c r="AG2761" s="3">
        <v>9.2746668330448347</v>
      </c>
      <c r="AH2761" s="1">
        <v>6269</v>
      </c>
      <c r="AI2761" s="1" t="b">
        <v>1</v>
      </c>
    </row>
    <row r="2762" spans="1:35" x14ac:dyDescent="0.25">
      <c r="A2762" s="1">
        <v>26</v>
      </c>
      <c r="B2762" s="1">
        <v>2</v>
      </c>
      <c r="C2762" s="1">
        <v>2020</v>
      </c>
      <c r="G2762" s="1" t="s">
        <v>40</v>
      </c>
      <c r="H2762" s="2">
        <v>89.14</v>
      </c>
      <c r="I2762" s="1">
        <v>184</v>
      </c>
      <c r="U2762" s="1">
        <v>249</v>
      </c>
      <c r="X2762" s="1">
        <v>216</v>
      </c>
      <c r="AA2762" s="1">
        <v>13</v>
      </c>
      <c r="AB2762" s="1">
        <v>10</v>
      </c>
      <c r="AC2762" s="1">
        <v>8913</v>
      </c>
      <c r="AF2762" s="3">
        <v>2.0641687233565178</v>
      </c>
      <c r="AG2762" s="3">
        <v>11.228083858569947</v>
      </c>
      <c r="AH2762" s="1">
        <v>6269</v>
      </c>
      <c r="AI2762" s="1" t="b">
        <v>1</v>
      </c>
    </row>
    <row r="2763" spans="1:35" x14ac:dyDescent="0.25">
      <c r="A2763" s="1">
        <v>26</v>
      </c>
      <c r="B2763" s="1">
        <v>2</v>
      </c>
      <c r="C2763" s="1">
        <v>2020</v>
      </c>
      <c r="G2763" s="1" t="s">
        <v>40</v>
      </c>
      <c r="H2763" s="2">
        <v>91.14</v>
      </c>
      <c r="I2763" s="1">
        <v>200</v>
      </c>
      <c r="U2763" s="1">
        <v>269</v>
      </c>
      <c r="X2763" s="1">
        <v>244</v>
      </c>
      <c r="AA2763" s="1">
        <v>15</v>
      </c>
      <c r="AB2763" s="1">
        <v>8</v>
      </c>
      <c r="AC2763" s="1">
        <v>9413</v>
      </c>
      <c r="AF2763" s="3">
        <v>2.1944261575597981</v>
      </c>
      <c r="AG2763" s="3">
        <v>10.726927504576848</v>
      </c>
      <c r="AH2763" s="1">
        <v>6269</v>
      </c>
      <c r="AI2763" s="1" t="b">
        <v>1</v>
      </c>
    </row>
    <row r="2764" spans="1:35" x14ac:dyDescent="0.25">
      <c r="A2764" s="1">
        <v>26</v>
      </c>
      <c r="B2764" s="1">
        <v>2</v>
      </c>
      <c r="C2764" s="1">
        <v>2020</v>
      </c>
      <c r="G2764" s="1" t="s">
        <v>40</v>
      </c>
      <c r="H2764" s="2">
        <v>83.72</v>
      </c>
      <c r="I2764" s="1">
        <v>185</v>
      </c>
      <c r="U2764" s="1">
        <v>224</v>
      </c>
      <c r="X2764" s="1">
        <v>205</v>
      </c>
      <c r="AA2764" s="1">
        <v>8</v>
      </c>
      <c r="AB2764" s="1">
        <v>8</v>
      </c>
      <c r="AC2764" s="1">
        <v>8829</v>
      </c>
      <c r="AF2764" s="3">
        <v>2.2097467749641662</v>
      </c>
      <c r="AG2764" s="3">
        <v>10.037786288950626</v>
      </c>
      <c r="AH2764" s="1">
        <v>6269</v>
      </c>
      <c r="AI2764" s="1" t="b">
        <v>1</v>
      </c>
    </row>
    <row r="2765" spans="1:35" x14ac:dyDescent="0.25">
      <c r="A2765" s="1">
        <v>26</v>
      </c>
      <c r="B2765" s="1">
        <v>2</v>
      </c>
      <c r="C2765" s="1">
        <v>2020</v>
      </c>
      <c r="G2765" s="1" t="s">
        <v>40</v>
      </c>
      <c r="H2765" s="2">
        <v>73.86</v>
      </c>
      <c r="I2765" s="1">
        <v>158</v>
      </c>
      <c r="U2765" s="1">
        <v>242</v>
      </c>
      <c r="X2765" s="1">
        <v>206</v>
      </c>
      <c r="AA2765" s="1">
        <v>16</v>
      </c>
      <c r="AB2765" s="1">
        <v>11</v>
      </c>
      <c r="AC2765" s="1">
        <v>7500</v>
      </c>
      <c r="AF2765" s="3">
        <v>2.139182236663959</v>
      </c>
      <c r="AG2765" s="3">
        <v>9.49814354310125</v>
      </c>
      <c r="AH2765" s="1">
        <v>6269</v>
      </c>
      <c r="AI2765" s="1" t="b">
        <v>1</v>
      </c>
    </row>
    <row r="2766" spans="1:35" x14ac:dyDescent="0.25">
      <c r="A2766" s="1">
        <v>26</v>
      </c>
      <c r="B2766" s="1">
        <v>2</v>
      </c>
      <c r="C2766" s="1">
        <v>2020</v>
      </c>
      <c r="G2766" s="1" t="s">
        <v>40</v>
      </c>
      <c r="H2766" s="2">
        <v>72.53</v>
      </c>
      <c r="I2766" s="1">
        <v>162</v>
      </c>
      <c r="U2766" s="1">
        <v>222</v>
      </c>
      <c r="X2766" s="1">
        <v>200</v>
      </c>
      <c r="AA2766" s="1">
        <v>14</v>
      </c>
      <c r="AB2766" s="1">
        <v>8</v>
      </c>
      <c r="AC2766" s="1">
        <v>7817</v>
      </c>
      <c r="AF2766" s="3">
        <v>2.2335585275058598</v>
      </c>
      <c r="AG2766" s="3">
        <v>8.9818342660253787</v>
      </c>
      <c r="AH2766" s="1">
        <v>6269</v>
      </c>
      <c r="AI2766" s="1" t="b">
        <v>1</v>
      </c>
    </row>
    <row r="2767" spans="1:35" x14ac:dyDescent="0.25">
      <c r="A2767" s="1">
        <v>27</v>
      </c>
      <c r="B2767" s="1">
        <v>2</v>
      </c>
      <c r="C2767" s="1">
        <v>2020</v>
      </c>
      <c r="G2767" s="1" t="s">
        <v>40</v>
      </c>
      <c r="H2767" s="2">
        <v>86.57</v>
      </c>
      <c r="I2767" s="1">
        <v>148</v>
      </c>
      <c r="U2767" s="1">
        <v>208</v>
      </c>
      <c r="X2767" s="1">
        <v>178</v>
      </c>
      <c r="AA2767" s="1">
        <v>14</v>
      </c>
      <c r="AB2767" s="1">
        <v>12</v>
      </c>
      <c r="AC2767" s="1">
        <v>8725</v>
      </c>
      <c r="AF2767" s="3">
        <v>1.7095991683031075</v>
      </c>
      <c r="AG2767" s="3">
        <v>13.281982215472651</v>
      </c>
      <c r="AH2767" s="1">
        <v>6269</v>
      </c>
      <c r="AI2767" s="1" t="b">
        <v>1</v>
      </c>
    </row>
    <row r="2768" spans="1:35" x14ac:dyDescent="0.25">
      <c r="A2768" s="1">
        <v>27</v>
      </c>
      <c r="B2768" s="1">
        <v>2</v>
      </c>
      <c r="C2768" s="1">
        <v>2020</v>
      </c>
      <c r="G2768" s="1" t="s">
        <v>40</v>
      </c>
      <c r="H2768" s="2">
        <v>74.739999999999995</v>
      </c>
      <c r="I2768" s="1">
        <v>156</v>
      </c>
      <c r="U2768" s="1">
        <v>227</v>
      </c>
      <c r="X2768" s="1">
        <v>199</v>
      </c>
      <c r="AA2768" s="1">
        <v>15</v>
      </c>
      <c r="AB2768" s="1">
        <v>12</v>
      </c>
      <c r="AC2768" s="1">
        <v>8354</v>
      </c>
      <c r="AF2768" s="3">
        <v>2.0872357506020873</v>
      </c>
      <c r="AG2768" s="3">
        <v>9.8155730745295955</v>
      </c>
      <c r="AH2768" s="1">
        <v>6269</v>
      </c>
      <c r="AI2768" s="1" t="b">
        <v>1</v>
      </c>
    </row>
    <row r="2769" spans="1:35" x14ac:dyDescent="0.25">
      <c r="A2769" s="1">
        <v>27</v>
      </c>
      <c r="B2769" s="1">
        <v>2</v>
      </c>
      <c r="C2769" s="1">
        <v>2020</v>
      </c>
      <c r="G2769" s="1" t="s">
        <v>40</v>
      </c>
      <c r="H2769" s="2">
        <v>90.41</v>
      </c>
      <c r="I2769" s="1">
        <v>181</v>
      </c>
      <c r="U2769" s="1">
        <v>256</v>
      </c>
      <c r="X2769" s="1">
        <v>228</v>
      </c>
      <c r="AA2769" s="1">
        <v>17</v>
      </c>
      <c r="AB2769" s="1">
        <v>12</v>
      </c>
      <c r="AC2769" s="1">
        <v>9851</v>
      </c>
      <c r="AF2769" s="3">
        <v>2.0019909302068357</v>
      </c>
      <c r="AG2769" s="3">
        <v>11.692016588141318</v>
      </c>
      <c r="AH2769" s="1">
        <v>6269</v>
      </c>
      <c r="AI2769" s="1" t="b">
        <v>1</v>
      </c>
    </row>
    <row r="2770" spans="1:35" x14ac:dyDescent="0.25">
      <c r="A2770" s="1">
        <v>28</v>
      </c>
      <c r="B2770" s="1">
        <v>2</v>
      </c>
      <c r="C2770" s="1">
        <v>2020</v>
      </c>
      <c r="G2770" s="1" t="s">
        <v>40</v>
      </c>
      <c r="H2770" s="2">
        <v>76.19</v>
      </c>
      <c r="I2770" s="1">
        <v>165</v>
      </c>
      <c r="U2770" s="1">
        <v>223</v>
      </c>
      <c r="X2770" s="1">
        <v>200</v>
      </c>
      <c r="AA2770" s="1">
        <v>14</v>
      </c>
      <c r="AB2770" s="1">
        <v>11</v>
      </c>
      <c r="AC2770" s="1">
        <v>9058</v>
      </c>
      <c r="AF2770" s="3">
        <v>2.1656385352408454</v>
      </c>
      <c r="AG2770" s="3">
        <v>9.588322012170801</v>
      </c>
      <c r="AH2770" s="1">
        <v>6269</v>
      </c>
      <c r="AI2770" s="1" t="b">
        <v>1</v>
      </c>
    </row>
    <row r="2771" spans="1:35" x14ac:dyDescent="0.25">
      <c r="A2771" s="1">
        <v>28</v>
      </c>
      <c r="B2771" s="1">
        <v>2</v>
      </c>
      <c r="C2771" s="1">
        <v>2020</v>
      </c>
      <c r="G2771" s="1" t="s">
        <v>40</v>
      </c>
      <c r="H2771" s="2">
        <v>79.69</v>
      </c>
      <c r="I2771" s="1">
        <v>169</v>
      </c>
      <c r="U2771" s="1">
        <v>226</v>
      </c>
      <c r="X2771" s="1">
        <v>202</v>
      </c>
      <c r="AA2771" s="1">
        <v>14</v>
      </c>
      <c r="AB2771" s="1">
        <v>8</v>
      </c>
      <c r="AC2771" s="1">
        <v>8834</v>
      </c>
      <c r="AF2771" s="3">
        <v>2.1207177814029365</v>
      </c>
      <c r="AG2771" s="3">
        <v>10.104150375163529</v>
      </c>
      <c r="AH2771" s="1">
        <v>6269</v>
      </c>
      <c r="AI2771" s="1" t="b">
        <v>1</v>
      </c>
    </row>
    <row r="2772" spans="1:35" x14ac:dyDescent="0.25">
      <c r="A2772" s="1">
        <v>28</v>
      </c>
      <c r="B2772" s="1">
        <v>2</v>
      </c>
      <c r="C2772" s="1">
        <v>2020</v>
      </c>
      <c r="G2772" s="1" t="s">
        <v>40</v>
      </c>
      <c r="H2772" s="2">
        <v>88.85</v>
      </c>
      <c r="I2772" s="1">
        <v>200</v>
      </c>
      <c r="U2772" s="1">
        <v>264</v>
      </c>
      <c r="X2772" s="1">
        <v>238</v>
      </c>
      <c r="AA2772" s="1">
        <v>13</v>
      </c>
      <c r="AB2772" s="1">
        <v>7</v>
      </c>
      <c r="AC2772" s="1">
        <v>10641</v>
      </c>
      <c r="AF2772" s="3">
        <v>2.2509848058525606</v>
      </c>
      <c r="AG2772" s="3">
        <v>10.272771757421776</v>
      </c>
      <c r="AH2772" s="1">
        <v>6269</v>
      </c>
      <c r="AI2772" s="1" t="b">
        <v>1</v>
      </c>
    </row>
    <row r="2773" spans="1:35" x14ac:dyDescent="0.25">
      <c r="A2773" s="1">
        <v>28</v>
      </c>
      <c r="B2773" s="1">
        <v>2</v>
      </c>
      <c r="C2773" s="1">
        <v>2020</v>
      </c>
      <c r="G2773" s="1" t="s">
        <v>40</v>
      </c>
      <c r="H2773" s="2">
        <v>81.55</v>
      </c>
      <c r="I2773" s="1">
        <v>169</v>
      </c>
      <c r="U2773" s="1">
        <v>228</v>
      </c>
      <c r="X2773" s="1">
        <v>200</v>
      </c>
      <c r="AA2773" s="1">
        <v>12</v>
      </c>
      <c r="AB2773" s="1">
        <v>9</v>
      </c>
      <c r="AC2773" s="1">
        <v>8217</v>
      </c>
      <c r="AF2773" s="3">
        <v>2.0723482526057633</v>
      </c>
      <c r="AG2773" s="3">
        <v>10.508338075829215</v>
      </c>
      <c r="AH2773" s="1">
        <v>6269</v>
      </c>
      <c r="AI2773" s="1" t="b">
        <v>1</v>
      </c>
    </row>
    <row r="2774" spans="1:35" x14ac:dyDescent="0.25">
      <c r="A2774" s="1">
        <v>28</v>
      </c>
      <c r="B2774" s="1">
        <v>2</v>
      </c>
      <c r="C2774" s="1">
        <v>2020</v>
      </c>
      <c r="G2774" s="1" t="s">
        <v>40</v>
      </c>
      <c r="H2774" s="2">
        <v>65.489999999999995</v>
      </c>
      <c r="I2774" s="1">
        <v>148</v>
      </c>
      <c r="U2774" s="1">
        <v>199</v>
      </c>
      <c r="X2774" s="1">
        <v>176</v>
      </c>
      <c r="AA2774" s="1">
        <v>12</v>
      </c>
      <c r="AB2774" s="1">
        <v>16</v>
      </c>
      <c r="AC2774" s="1">
        <v>8142</v>
      </c>
      <c r="AF2774" s="3">
        <v>2.2598870056497176</v>
      </c>
      <c r="AG2774" s="3">
        <v>8.2648650803801686</v>
      </c>
      <c r="AH2774" s="1">
        <v>6269</v>
      </c>
      <c r="AI2774" s="1" t="b">
        <v>1</v>
      </c>
    </row>
    <row r="2775" spans="1:35" x14ac:dyDescent="0.25">
      <c r="A2775" s="1">
        <v>28</v>
      </c>
      <c r="B2775" s="1">
        <v>2</v>
      </c>
      <c r="C2775" s="1">
        <v>2020</v>
      </c>
      <c r="G2775" s="1" t="s">
        <v>40</v>
      </c>
      <c r="H2775" s="2">
        <v>67.58</v>
      </c>
      <c r="I2775" s="1">
        <v>156</v>
      </c>
      <c r="U2775" s="1">
        <v>199</v>
      </c>
      <c r="X2775" s="1">
        <v>185</v>
      </c>
      <c r="AA2775" s="1">
        <v>13</v>
      </c>
      <c r="AB2775" s="1">
        <v>13</v>
      </c>
      <c r="AC2775" s="1">
        <v>8258</v>
      </c>
      <c r="AF2775" s="3">
        <v>2.3083752589523527</v>
      </c>
      <c r="AG2775" s="3">
        <v>8.2711580621989551</v>
      </c>
      <c r="AH2775" s="1">
        <v>6269</v>
      </c>
      <c r="AI2775" s="1" t="b">
        <v>1</v>
      </c>
    </row>
    <row r="2776" spans="1:35" x14ac:dyDescent="0.25">
      <c r="A2776" s="1">
        <v>28</v>
      </c>
      <c r="B2776" s="1">
        <v>2</v>
      </c>
      <c r="C2776" s="1">
        <v>2020</v>
      </c>
      <c r="G2776" s="1" t="s">
        <v>40</v>
      </c>
      <c r="H2776" s="2">
        <v>67.95</v>
      </c>
      <c r="I2776" s="1">
        <v>148</v>
      </c>
      <c r="U2776" s="1">
        <v>210</v>
      </c>
      <c r="X2776" s="1">
        <v>190</v>
      </c>
      <c r="AA2776" s="1">
        <v>14</v>
      </c>
      <c r="AB2776" s="1">
        <v>14</v>
      </c>
      <c r="AC2776" s="1">
        <v>8414</v>
      </c>
      <c r="AF2776" s="3">
        <v>2.1780721118469462</v>
      </c>
      <c r="AG2776" s="3">
        <v>8.7995480767532133</v>
      </c>
      <c r="AH2776" s="1">
        <v>6269</v>
      </c>
      <c r="AI2776" s="1" t="b">
        <v>1</v>
      </c>
    </row>
    <row r="2777" spans="1:35" x14ac:dyDescent="0.25">
      <c r="A2777" s="1">
        <v>29</v>
      </c>
      <c r="B2777" s="1">
        <v>2</v>
      </c>
      <c r="C2777" s="1">
        <v>2020</v>
      </c>
      <c r="G2777" s="1" t="s">
        <v>40</v>
      </c>
      <c r="H2777" s="2">
        <v>82.73</v>
      </c>
      <c r="I2777" s="1">
        <v>190</v>
      </c>
      <c r="U2777" s="1">
        <v>235</v>
      </c>
      <c r="X2777" s="1">
        <v>215</v>
      </c>
      <c r="AA2777" s="1">
        <v>10</v>
      </c>
      <c r="AB2777" s="1">
        <v>8</v>
      </c>
      <c r="AC2777" s="1">
        <v>9194</v>
      </c>
      <c r="AF2777" s="3">
        <v>2.2966275837060315</v>
      </c>
      <c r="AG2777" s="3">
        <v>9.5779714993878819</v>
      </c>
      <c r="AH2777" s="1">
        <v>6269</v>
      </c>
      <c r="AI2777" s="1" t="b">
        <v>1</v>
      </c>
    </row>
    <row r="2778" spans="1:35" x14ac:dyDescent="0.25">
      <c r="A2778" s="1">
        <v>29</v>
      </c>
      <c r="B2778" s="1">
        <v>2</v>
      </c>
      <c r="C2778" s="1">
        <v>2020</v>
      </c>
      <c r="G2778" s="1" t="s">
        <v>40</v>
      </c>
      <c r="H2778" s="2">
        <v>82.19</v>
      </c>
      <c r="I2778" s="1">
        <v>155</v>
      </c>
      <c r="U2778" s="1">
        <v>224</v>
      </c>
      <c r="X2778" s="1">
        <v>196</v>
      </c>
      <c r="AA2778" s="1">
        <v>17</v>
      </c>
      <c r="AB2778" s="1">
        <v>20</v>
      </c>
      <c r="AC2778" s="1">
        <v>9067</v>
      </c>
      <c r="AF2778" s="3">
        <v>1.8858741939408687</v>
      </c>
      <c r="AG2778" s="3">
        <v>11.610757874957869</v>
      </c>
      <c r="AH2778" s="1">
        <v>6269</v>
      </c>
      <c r="AI2778" s="1" t="b">
        <v>1</v>
      </c>
    </row>
    <row r="2779" spans="1:35" x14ac:dyDescent="0.25">
      <c r="A2779" s="1">
        <v>29</v>
      </c>
      <c r="B2779" s="1">
        <v>2</v>
      </c>
      <c r="C2779" s="1">
        <v>2020</v>
      </c>
      <c r="G2779" s="1" t="s">
        <v>40</v>
      </c>
      <c r="H2779" s="2">
        <v>75.83</v>
      </c>
      <c r="I2779" s="1">
        <v>166</v>
      </c>
      <c r="U2779" s="1">
        <v>231</v>
      </c>
      <c r="X2779" s="1">
        <v>204</v>
      </c>
      <c r="AA2779" s="1">
        <v>15</v>
      </c>
      <c r="AB2779" s="1">
        <v>12</v>
      </c>
      <c r="AC2779" s="1">
        <v>8569</v>
      </c>
      <c r="AF2779" s="3">
        <v>2.1891072135038905</v>
      </c>
      <c r="AG2779" s="3">
        <v>9.4541329892590422</v>
      </c>
      <c r="AH2779" s="1">
        <v>6269</v>
      </c>
      <c r="AI2779" s="1" t="b">
        <v>1</v>
      </c>
    </row>
    <row r="2780" spans="1:35" x14ac:dyDescent="0.25">
      <c r="A2780" s="1">
        <v>29</v>
      </c>
      <c r="B2780" s="1">
        <v>2</v>
      </c>
      <c r="C2780" s="1">
        <v>2020</v>
      </c>
      <c r="G2780" s="1" t="s">
        <v>40</v>
      </c>
      <c r="H2780" s="2">
        <v>81.91</v>
      </c>
      <c r="I2780" s="1">
        <v>178</v>
      </c>
      <c r="U2780" s="1">
        <v>241</v>
      </c>
      <c r="X2780" s="1">
        <v>212</v>
      </c>
      <c r="AA2780" s="1">
        <v>14</v>
      </c>
      <c r="AB2780" s="1">
        <v>12</v>
      </c>
      <c r="AC2780" s="1">
        <v>9489</v>
      </c>
      <c r="AF2780" s="3">
        <v>2.1731168355512147</v>
      </c>
      <c r="AG2780" s="3">
        <v>10.052006755180853</v>
      </c>
      <c r="AH2780" s="1">
        <v>6269</v>
      </c>
      <c r="AI2780" s="1" t="b">
        <v>1</v>
      </c>
    </row>
    <row r="2781" spans="1:35" x14ac:dyDescent="0.25">
      <c r="A2781" s="1">
        <v>29</v>
      </c>
      <c r="B2781" s="1">
        <v>2</v>
      </c>
      <c r="C2781" s="1">
        <v>2020</v>
      </c>
      <c r="G2781" s="1" t="s">
        <v>40</v>
      </c>
      <c r="H2781" s="2">
        <v>80.010000000000005</v>
      </c>
      <c r="I2781" s="1">
        <v>174</v>
      </c>
      <c r="U2781" s="1">
        <v>234</v>
      </c>
      <c r="X2781" s="1">
        <v>210</v>
      </c>
      <c r="AA2781" s="1">
        <v>13</v>
      </c>
      <c r="AB2781" s="1">
        <v>9</v>
      </c>
      <c r="AC2781" s="1">
        <v>8194</v>
      </c>
      <c r="AF2781" s="3">
        <v>2.1747281589801273</v>
      </c>
      <c r="AG2781" s="3">
        <v>9.8808887923234803</v>
      </c>
      <c r="AH2781" s="1">
        <v>6269</v>
      </c>
      <c r="AI2781" s="1" t="b">
        <v>1</v>
      </c>
    </row>
    <row r="2782" spans="1:35" x14ac:dyDescent="0.25">
      <c r="A2782" s="1">
        <v>29</v>
      </c>
      <c r="B2782" s="1">
        <v>2</v>
      </c>
      <c r="C2782" s="1">
        <v>2020</v>
      </c>
      <c r="G2782" s="1" t="s">
        <v>40</v>
      </c>
      <c r="H2782" s="2">
        <v>80.27</v>
      </c>
      <c r="I2782" s="1">
        <v>165</v>
      </c>
      <c r="U2782" s="1">
        <v>239</v>
      </c>
      <c r="X2782" s="1">
        <v>215</v>
      </c>
      <c r="AA2782" s="1">
        <v>17</v>
      </c>
      <c r="AB2782" s="1">
        <v>12</v>
      </c>
      <c r="AC2782" s="1">
        <v>8712</v>
      </c>
      <c r="AF2782" s="3">
        <v>2.0555624766413354</v>
      </c>
      <c r="AG2782" s="3">
        <v>10.477474266518938</v>
      </c>
      <c r="AH2782" s="1">
        <v>6269</v>
      </c>
      <c r="AI2782" s="1" t="b">
        <v>1</v>
      </c>
    </row>
    <row r="2783" spans="1:35" x14ac:dyDescent="0.25">
      <c r="A2783" s="1">
        <v>1</v>
      </c>
      <c r="B2783" s="1">
        <v>3</v>
      </c>
      <c r="C2783" s="1">
        <v>2020</v>
      </c>
      <c r="G2783" s="1" t="s">
        <v>40</v>
      </c>
      <c r="H2783" s="2">
        <v>74.319999999999993</v>
      </c>
      <c r="I2783" s="1">
        <v>175</v>
      </c>
      <c r="U2783" s="1">
        <v>232</v>
      </c>
      <c r="X2783" s="1">
        <v>207</v>
      </c>
      <c r="AA2783" s="1">
        <v>12</v>
      </c>
      <c r="AB2783" s="1">
        <v>14</v>
      </c>
      <c r="AC2783" s="1">
        <v>7595</v>
      </c>
      <c r="AF2783" s="3">
        <v>2.354682454251884</v>
      </c>
      <c r="AG2783" s="3">
        <v>8.6664581264915945</v>
      </c>
      <c r="AH2783" s="1">
        <v>6269</v>
      </c>
      <c r="AI2783" s="1" t="b">
        <v>1</v>
      </c>
    </row>
    <row r="2784" spans="1:35" x14ac:dyDescent="0.25">
      <c r="A2784" s="1">
        <v>1</v>
      </c>
      <c r="B2784" s="1">
        <v>3</v>
      </c>
      <c r="C2784" s="1">
        <v>2020</v>
      </c>
      <c r="G2784" s="1" t="s">
        <v>40</v>
      </c>
      <c r="H2784" s="2">
        <v>69.72</v>
      </c>
      <c r="I2784" s="1">
        <v>159</v>
      </c>
      <c r="U2784" s="1">
        <v>232</v>
      </c>
      <c r="X2784" s="1">
        <v>203</v>
      </c>
      <c r="AA2784" s="1">
        <v>16</v>
      </c>
      <c r="AB2784" s="1">
        <v>14</v>
      </c>
      <c r="AC2784" s="1">
        <v>7452</v>
      </c>
      <c r="AF2784" s="3">
        <v>2.2805507745266782</v>
      </c>
      <c r="AG2784" s="3">
        <v>8.5567810415957162</v>
      </c>
      <c r="AH2784" s="1">
        <v>6269</v>
      </c>
      <c r="AI2784" s="1" t="b">
        <v>1</v>
      </c>
    </row>
    <row r="2785" spans="1:35" x14ac:dyDescent="0.25">
      <c r="A2785" s="1">
        <v>1</v>
      </c>
      <c r="B2785" s="1">
        <v>3</v>
      </c>
      <c r="C2785" s="1">
        <v>2020</v>
      </c>
      <c r="G2785" s="1" t="s">
        <v>40</v>
      </c>
      <c r="H2785" s="2">
        <v>78.08</v>
      </c>
      <c r="I2785" s="1">
        <v>162</v>
      </c>
      <c r="U2785" s="1">
        <v>221</v>
      </c>
      <c r="X2785" s="1">
        <v>191</v>
      </c>
      <c r="AA2785" s="1">
        <v>13</v>
      </c>
      <c r="AB2785" s="1">
        <v>13</v>
      </c>
      <c r="AC2785" s="1">
        <v>8548</v>
      </c>
      <c r="AF2785" s="3">
        <v>2.074795081967213</v>
      </c>
      <c r="AG2785" s="3">
        <v>10.181286377443387</v>
      </c>
      <c r="AH2785" s="1">
        <v>6269</v>
      </c>
      <c r="AI2785" s="1" t="b">
        <v>1</v>
      </c>
    </row>
    <row r="2786" spans="1:35" x14ac:dyDescent="0.25">
      <c r="A2786" s="1">
        <v>2</v>
      </c>
      <c r="B2786" s="1">
        <v>3</v>
      </c>
      <c r="C2786" s="1">
        <v>2020</v>
      </c>
      <c r="G2786" s="1" t="s">
        <v>40</v>
      </c>
      <c r="H2786" s="2">
        <v>75.099999999999994</v>
      </c>
      <c r="I2786" s="1">
        <v>160</v>
      </c>
      <c r="U2786" s="1">
        <v>217</v>
      </c>
      <c r="X2786" s="1">
        <v>195</v>
      </c>
      <c r="AA2786" s="1">
        <v>17</v>
      </c>
      <c r="AB2786" s="1">
        <v>11</v>
      </c>
      <c r="AC2786" s="1">
        <v>8713</v>
      </c>
      <c r="AF2786" s="3">
        <v>2.1304926764314249</v>
      </c>
      <c r="AG2786" s="3">
        <v>9.6486801567473286</v>
      </c>
      <c r="AH2786" s="1">
        <v>6270</v>
      </c>
      <c r="AI2786" s="1" t="b">
        <v>1</v>
      </c>
    </row>
    <row r="2787" spans="1:35" x14ac:dyDescent="0.25">
      <c r="A2787" s="1">
        <v>2</v>
      </c>
      <c r="B2787" s="1">
        <v>3</v>
      </c>
      <c r="C2787" s="1">
        <v>2020</v>
      </c>
      <c r="G2787" s="1" t="s">
        <v>40</v>
      </c>
      <c r="H2787" s="2">
        <v>73.45</v>
      </c>
      <c r="I2787" s="1">
        <v>148</v>
      </c>
      <c r="U2787" s="1">
        <v>187</v>
      </c>
      <c r="X2787" s="1">
        <v>169</v>
      </c>
      <c r="AA2787" s="1">
        <v>8</v>
      </c>
      <c r="AB2787" s="1">
        <v>10</v>
      </c>
      <c r="AC2787" s="1">
        <v>8244</v>
      </c>
      <c r="AF2787" s="3">
        <v>2.0149761742682095</v>
      </c>
      <c r="AG2787" s="3">
        <v>10.044407989482968</v>
      </c>
      <c r="AH2787" s="1">
        <v>6270</v>
      </c>
      <c r="AI2787" s="1" t="b">
        <v>1</v>
      </c>
    </row>
    <row r="2788" spans="1:35" x14ac:dyDescent="0.25">
      <c r="A2788" s="1">
        <v>2</v>
      </c>
      <c r="B2788" s="1">
        <v>3</v>
      </c>
      <c r="C2788" s="1">
        <v>2020</v>
      </c>
      <c r="G2788" s="1" t="s">
        <v>40</v>
      </c>
      <c r="H2788" s="2">
        <v>81.37</v>
      </c>
      <c r="I2788" s="1">
        <v>178</v>
      </c>
      <c r="U2788" s="1">
        <v>243</v>
      </c>
      <c r="X2788" s="1">
        <v>214</v>
      </c>
      <c r="AA2788" s="1">
        <v>12</v>
      </c>
      <c r="AB2788" s="1">
        <v>8</v>
      </c>
      <c r="AC2788" s="1">
        <v>9746</v>
      </c>
      <c r="AF2788" s="3">
        <v>2.1875384048175004</v>
      </c>
      <c r="AG2788" s="3">
        <v>9.9396097835769002</v>
      </c>
      <c r="AH2788" s="1">
        <v>6270</v>
      </c>
      <c r="AI2788" s="1" t="b">
        <v>1</v>
      </c>
    </row>
    <row r="2789" spans="1:35" x14ac:dyDescent="0.25">
      <c r="A2789" s="1">
        <v>2</v>
      </c>
      <c r="B2789" s="1">
        <v>3</v>
      </c>
      <c r="C2789" s="1">
        <v>2020</v>
      </c>
      <c r="G2789" s="1" t="s">
        <v>40</v>
      </c>
      <c r="H2789" s="2">
        <v>82.09</v>
      </c>
      <c r="I2789" s="1">
        <v>216</v>
      </c>
      <c r="U2789" s="1">
        <v>268</v>
      </c>
      <c r="X2789" s="1">
        <v>247</v>
      </c>
      <c r="AA2789" s="1">
        <v>15</v>
      </c>
      <c r="AB2789" s="1">
        <v>8</v>
      </c>
      <c r="AC2789" s="1">
        <v>9085</v>
      </c>
      <c r="AF2789" s="3">
        <v>2.6312583749543181</v>
      </c>
      <c r="AG2789" s="3">
        <v>8.3145678846966593</v>
      </c>
      <c r="AH2789" s="1">
        <v>6270</v>
      </c>
      <c r="AI2789" s="1" t="b">
        <v>1</v>
      </c>
    </row>
    <row r="2790" spans="1:35" x14ac:dyDescent="0.25">
      <c r="A2790" s="1">
        <v>2</v>
      </c>
      <c r="B2790" s="1">
        <v>3</v>
      </c>
      <c r="C2790" s="1">
        <v>2020</v>
      </c>
      <c r="G2790" s="1" t="s">
        <v>40</v>
      </c>
      <c r="H2790" s="2">
        <v>73.87</v>
      </c>
      <c r="I2790" s="1">
        <v>172</v>
      </c>
      <c r="U2790" s="1">
        <v>224</v>
      </c>
      <c r="X2790" s="1">
        <v>200</v>
      </c>
      <c r="AA2790" s="1">
        <v>12</v>
      </c>
      <c r="AB2790" s="1">
        <v>9</v>
      </c>
      <c r="AC2790" s="1">
        <v>8351</v>
      </c>
      <c r="AF2790" s="3">
        <v>2.3284147827264112</v>
      </c>
      <c r="AG2790" s="3">
        <v>8.7270471313770308</v>
      </c>
      <c r="AH2790" s="1">
        <v>6270</v>
      </c>
      <c r="AI2790" s="1" t="b">
        <v>1</v>
      </c>
    </row>
    <row r="2791" spans="1:35" x14ac:dyDescent="0.25">
      <c r="A2791" s="1">
        <v>3</v>
      </c>
      <c r="B2791" s="1">
        <v>3</v>
      </c>
      <c r="C2791" s="1">
        <v>2020</v>
      </c>
      <c r="G2791" s="1" t="s">
        <v>40</v>
      </c>
      <c r="H2791" s="2">
        <v>82.14</v>
      </c>
      <c r="I2791" s="1">
        <v>167</v>
      </c>
      <c r="U2791" s="1">
        <v>212</v>
      </c>
      <c r="X2791" s="1">
        <v>197</v>
      </c>
      <c r="AA2791" s="1">
        <v>12</v>
      </c>
      <c r="AB2791" s="1">
        <v>10</v>
      </c>
      <c r="AC2791" s="1">
        <v>9302</v>
      </c>
      <c r="AF2791" s="3">
        <v>2.0331141952763576</v>
      </c>
      <c r="AG2791" s="3">
        <v>10.765309404166402</v>
      </c>
      <c r="AH2791" s="1">
        <v>6270</v>
      </c>
      <c r="AI2791" s="1" t="b">
        <v>1</v>
      </c>
    </row>
    <row r="2792" spans="1:35" x14ac:dyDescent="0.25">
      <c r="A2792" s="1">
        <v>3</v>
      </c>
      <c r="B2792" s="1">
        <v>3</v>
      </c>
      <c r="C2792" s="1">
        <v>2020</v>
      </c>
      <c r="G2792" s="1" t="s">
        <v>40</v>
      </c>
      <c r="H2792" s="2">
        <v>73.88</v>
      </c>
      <c r="I2792" s="1">
        <v>163</v>
      </c>
      <c r="U2792" s="1">
        <v>232</v>
      </c>
      <c r="X2792" s="1">
        <v>205</v>
      </c>
      <c r="AA2792" s="1">
        <v>14</v>
      </c>
      <c r="AB2792" s="1">
        <v>14</v>
      </c>
      <c r="AC2792" s="1">
        <v>8222</v>
      </c>
      <c r="AF2792" s="3">
        <v>2.2062804547915542</v>
      </c>
      <c r="AG2792" s="3">
        <v>9.2110280129954774</v>
      </c>
      <c r="AH2792" s="1">
        <v>6270</v>
      </c>
      <c r="AI2792" s="1" t="b">
        <v>1</v>
      </c>
    </row>
    <row r="2793" spans="1:35" x14ac:dyDescent="0.25">
      <c r="A2793" s="1">
        <v>3</v>
      </c>
      <c r="B2793" s="1">
        <v>3</v>
      </c>
      <c r="C2793" s="1">
        <v>2020</v>
      </c>
      <c r="G2793" s="1" t="s">
        <v>40</v>
      </c>
      <c r="H2793" s="2">
        <v>86.06</v>
      </c>
      <c r="I2793" s="1">
        <v>226</v>
      </c>
      <c r="U2793" s="1">
        <v>277</v>
      </c>
      <c r="X2793" s="1">
        <v>255</v>
      </c>
      <c r="AA2793" s="1">
        <v>11</v>
      </c>
      <c r="AB2793" s="1">
        <v>4</v>
      </c>
      <c r="AC2793" s="1">
        <v>10100</v>
      </c>
      <c r="AF2793" s="3">
        <v>2.6260748315128981</v>
      </c>
      <c r="AG2793" s="3">
        <v>8.6110050082577114</v>
      </c>
      <c r="AH2793" s="1">
        <v>6270</v>
      </c>
      <c r="AI2793" s="1" t="b">
        <v>1</v>
      </c>
    </row>
    <row r="2794" spans="1:35" x14ac:dyDescent="0.25">
      <c r="A2794" s="1">
        <v>3</v>
      </c>
      <c r="B2794" s="1">
        <v>3</v>
      </c>
      <c r="C2794" s="1">
        <v>2020</v>
      </c>
      <c r="G2794" s="1" t="s">
        <v>40</v>
      </c>
      <c r="H2794" s="2">
        <v>83.43</v>
      </c>
      <c r="I2794" s="1">
        <v>173</v>
      </c>
      <c r="U2794" s="1">
        <v>257</v>
      </c>
      <c r="X2794" s="1">
        <v>214</v>
      </c>
      <c r="AA2794" s="1">
        <v>15</v>
      </c>
      <c r="AB2794" s="1">
        <v>11</v>
      </c>
      <c r="AC2794" s="1">
        <v>9290</v>
      </c>
      <c r="AF2794" s="3">
        <v>2.0735946302289343</v>
      </c>
      <c r="AG2794" s="3">
        <v>10.670916239611449</v>
      </c>
      <c r="AH2794" s="1">
        <v>6270</v>
      </c>
      <c r="AI2794" s="1" t="b">
        <v>1</v>
      </c>
    </row>
    <row r="2795" spans="1:35" x14ac:dyDescent="0.25">
      <c r="A2795" s="1">
        <v>3</v>
      </c>
      <c r="B2795" s="1">
        <v>3</v>
      </c>
      <c r="C2795" s="1">
        <v>2020</v>
      </c>
      <c r="G2795" s="1" t="s">
        <v>40</v>
      </c>
      <c r="H2795" s="2">
        <v>74.84</v>
      </c>
      <c r="I2795" s="1">
        <v>191</v>
      </c>
      <c r="U2795" s="1">
        <v>249</v>
      </c>
      <c r="X2795" s="1">
        <v>224</v>
      </c>
      <c r="AA2795" s="1">
        <v>10</v>
      </c>
      <c r="AB2795" s="1">
        <v>7</v>
      </c>
      <c r="AC2795" s="1">
        <v>8169</v>
      </c>
      <c r="AF2795" s="3">
        <v>2.5521111704970605</v>
      </c>
      <c r="AG2795" s="3">
        <v>8.0351512615353844</v>
      </c>
      <c r="AH2795" s="1">
        <v>6270</v>
      </c>
      <c r="AI2795" s="1" t="b">
        <v>1</v>
      </c>
    </row>
    <row r="2796" spans="1:35" x14ac:dyDescent="0.25">
      <c r="A2796" s="1">
        <v>3</v>
      </c>
      <c r="B2796" s="1">
        <v>3</v>
      </c>
      <c r="C2796" s="1">
        <v>2020</v>
      </c>
      <c r="G2796" s="1" t="s">
        <v>40</v>
      </c>
      <c r="H2796" s="2">
        <v>73.790000000000006</v>
      </c>
      <c r="I2796" s="1">
        <v>162</v>
      </c>
      <c r="U2796" s="1">
        <v>220</v>
      </c>
      <c r="X2796" s="1">
        <v>202</v>
      </c>
      <c r="AA2796" s="1">
        <v>15</v>
      </c>
      <c r="AB2796" s="1">
        <v>18</v>
      </c>
      <c r="AC2796" s="1">
        <v>8308</v>
      </c>
      <c r="AF2796" s="3">
        <v>2.1954194335275781</v>
      </c>
      <c r="AG2796" s="3">
        <v>9.2487012900091159</v>
      </c>
      <c r="AH2796" s="1">
        <v>6270</v>
      </c>
      <c r="AI2796" s="1" t="b">
        <v>1</v>
      </c>
    </row>
    <row r="2797" spans="1:35" x14ac:dyDescent="0.25">
      <c r="A2797" s="1">
        <v>4</v>
      </c>
      <c r="B2797" s="1">
        <v>3</v>
      </c>
      <c r="C2797" s="1">
        <v>2020</v>
      </c>
      <c r="G2797" s="1" t="s">
        <v>40</v>
      </c>
      <c r="H2797" s="2">
        <v>92.28</v>
      </c>
      <c r="I2797" s="1">
        <v>242</v>
      </c>
      <c r="U2797" s="1">
        <v>303</v>
      </c>
      <c r="X2797" s="1">
        <v>274</v>
      </c>
      <c r="AA2797" s="1">
        <v>13</v>
      </c>
      <c r="AB2797" s="1">
        <v>3</v>
      </c>
      <c r="AC2797" s="1">
        <v>10734</v>
      </c>
      <c r="AF2797" s="3">
        <v>2.6224534026874728</v>
      </c>
      <c r="AG2797" s="3">
        <v>9.054563732708349</v>
      </c>
      <c r="AH2797" s="1">
        <v>6270</v>
      </c>
      <c r="AI2797" s="1" t="b">
        <v>1</v>
      </c>
    </row>
    <row r="2798" spans="1:35" x14ac:dyDescent="0.25">
      <c r="A2798" s="1">
        <v>4</v>
      </c>
      <c r="B2798" s="1">
        <v>3</v>
      </c>
      <c r="C2798" s="1">
        <v>2020</v>
      </c>
      <c r="G2798" s="1" t="s">
        <v>40</v>
      </c>
      <c r="H2798" s="2">
        <v>74.760000000000005</v>
      </c>
      <c r="I2798" s="1">
        <v>177</v>
      </c>
      <c r="U2798" s="1">
        <v>226</v>
      </c>
      <c r="X2798" s="1">
        <v>204</v>
      </c>
      <c r="AA2798" s="1">
        <v>13</v>
      </c>
      <c r="AB2798" s="1">
        <v>11</v>
      </c>
      <c r="AC2798" s="1">
        <v>8816</v>
      </c>
      <c r="AF2798" s="3">
        <v>2.3675762439807384</v>
      </c>
      <c r="AG2798" s="3">
        <v>8.6549493614439648</v>
      </c>
      <c r="AH2798" s="1">
        <v>6270</v>
      </c>
      <c r="AI2798" s="1" t="b">
        <v>1</v>
      </c>
    </row>
    <row r="2799" spans="1:35" x14ac:dyDescent="0.25">
      <c r="A2799" s="1">
        <v>4</v>
      </c>
      <c r="B2799" s="1">
        <v>3</v>
      </c>
      <c r="C2799" s="1">
        <v>2020</v>
      </c>
      <c r="G2799" s="1" t="s">
        <v>40</v>
      </c>
      <c r="H2799" s="2">
        <v>79.3</v>
      </c>
      <c r="I2799" s="1">
        <v>161</v>
      </c>
      <c r="U2799" s="1">
        <v>240</v>
      </c>
      <c r="X2799" s="1">
        <v>211</v>
      </c>
      <c r="AA2799" s="1">
        <v>17</v>
      </c>
      <c r="AB2799" s="1">
        <v>21</v>
      </c>
      <c r="AC2799" s="1">
        <v>8307</v>
      </c>
      <c r="AF2799" s="3">
        <v>2.030264817150063</v>
      </c>
      <c r="AG2799" s="3">
        <v>10.518130198265865</v>
      </c>
      <c r="AH2799" s="1">
        <v>6270</v>
      </c>
      <c r="AI2799" s="1" t="b">
        <v>1</v>
      </c>
    </row>
    <row r="2800" spans="1:35" x14ac:dyDescent="0.25">
      <c r="A2800" s="1">
        <v>6</v>
      </c>
      <c r="B2800" s="1">
        <v>3</v>
      </c>
      <c r="C2800" s="1">
        <v>2020</v>
      </c>
      <c r="G2800" s="1" t="s">
        <v>40</v>
      </c>
      <c r="H2800" s="2">
        <v>93.06</v>
      </c>
      <c r="I2800" s="1">
        <v>225</v>
      </c>
      <c r="U2800" s="1">
        <v>290</v>
      </c>
      <c r="X2800" s="1">
        <v>263</v>
      </c>
      <c r="AA2800" s="1">
        <v>13</v>
      </c>
      <c r="AB2800" s="1">
        <v>7</v>
      </c>
      <c r="AC2800" s="1">
        <v>11031</v>
      </c>
      <c r="AF2800" s="3">
        <v>2.4177949709864603</v>
      </c>
      <c r="AG2800" s="3">
        <v>9.879038178865148</v>
      </c>
      <c r="AH2800" s="1">
        <v>6270</v>
      </c>
      <c r="AI2800" s="1" t="b">
        <v>1</v>
      </c>
    </row>
    <row r="2801" spans="1:35" x14ac:dyDescent="0.25">
      <c r="A2801" s="1">
        <v>6</v>
      </c>
      <c r="B2801" s="1">
        <v>3</v>
      </c>
      <c r="C2801" s="1">
        <v>2020</v>
      </c>
      <c r="G2801" s="1" t="s">
        <v>40</v>
      </c>
      <c r="H2801" s="2">
        <v>71.650000000000006</v>
      </c>
      <c r="I2801" s="1">
        <v>147</v>
      </c>
      <c r="U2801" s="1">
        <v>207</v>
      </c>
      <c r="X2801" s="1">
        <v>184</v>
      </c>
      <c r="AA2801" s="1">
        <v>15</v>
      </c>
      <c r="AB2801" s="1">
        <v>17</v>
      </c>
      <c r="AC2801" s="1">
        <v>7924</v>
      </c>
      <c r="AF2801" s="3">
        <v>2.0516399162595951</v>
      </c>
      <c r="AG2801" s="3">
        <v>9.6950531946017033</v>
      </c>
      <c r="AH2801" s="1">
        <v>6270</v>
      </c>
      <c r="AI2801" s="1" t="b">
        <v>1</v>
      </c>
    </row>
    <row r="2802" spans="1:35" x14ac:dyDescent="0.25">
      <c r="A2802" s="1">
        <v>6</v>
      </c>
      <c r="B2802" s="1">
        <v>3</v>
      </c>
      <c r="C2802" s="1">
        <v>2020</v>
      </c>
      <c r="G2802" s="1" t="s">
        <v>40</v>
      </c>
      <c r="H2802" s="2">
        <v>67.400000000000006</v>
      </c>
      <c r="I2802" s="1">
        <v>148</v>
      </c>
      <c r="U2802" s="1">
        <v>208</v>
      </c>
      <c r="X2802" s="1">
        <v>185</v>
      </c>
      <c r="AA2802" s="1">
        <v>16</v>
      </c>
      <c r="AB2802" s="1">
        <v>13</v>
      </c>
      <c r="AC2802" s="1">
        <v>7166</v>
      </c>
      <c r="AF2802" s="3">
        <v>2.1958456973293767</v>
      </c>
      <c r="AG2802" s="3">
        <v>8.6788085610315999</v>
      </c>
      <c r="AH2802" s="1">
        <v>6270</v>
      </c>
      <c r="AI2802" s="1" t="b">
        <v>1</v>
      </c>
    </row>
    <row r="2803" spans="1:35" x14ac:dyDescent="0.25">
      <c r="A2803" s="1">
        <v>6</v>
      </c>
      <c r="B2803" s="1">
        <v>3</v>
      </c>
      <c r="C2803" s="1">
        <v>2020</v>
      </c>
      <c r="G2803" s="1" t="s">
        <v>40</v>
      </c>
      <c r="H2803" s="2">
        <v>84.23</v>
      </c>
      <c r="I2803" s="1">
        <v>193</v>
      </c>
      <c r="U2803" s="1">
        <v>245</v>
      </c>
      <c r="X2803" s="1">
        <v>223</v>
      </c>
      <c r="AA2803" s="1">
        <v>11</v>
      </c>
      <c r="AB2803" s="1">
        <v>7</v>
      </c>
      <c r="AC2803" s="1">
        <v>9047</v>
      </c>
      <c r="AF2803" s="3">
        <v>2.2913451264395106</v>
      </c>
      <c r="AG2803" s="3">
        <v>9.7215665195693006</v>
      </c>
      <c r="AH2803" s="1">
        <v>6270</v>
      </c>
      <c r="AI2803" s="1" t="b">
        <v>1</v>
      </c>
    </row>
    <row r="2804" spans="1:35" x14ac:dyDescent="0.25">
      <c r="A2804" s="1">
        <v>6</v>
      </c>
      <c r="B2804" s="1">
        <v>3</v>
      </c>
      <c r="C2804" s="1">
        <v>2020</v>
      </c>
      <c r="G2804" s="1" t="s">
        <v>40</v>
      </c>
      <c r="H2804" s="2">
        <v>80.63</v>
      </c>
      <c r="I2804" s="1">
        <v>180</v>
      </c>
      <c r="U2804" s="1">
        <v>241</v>
      </c>
      <c r="X2804" s="1">
        <v>211</v>
      </c>
      <c r="AA2804" s="1">
        <v>13</v>
      </c>
      <c r="AB2804" s="1">
        <v>7</v>
      </c>
      <c r="AC2804" s="1">
        <v>9108</v>
      </c>
      <c r="AF2804" s="3">
        <v>2.2324196949026418</v>
      </c>
      <c r="AG2804" s="3">
        <v>9.6776924527906143</v>
      </c>
      <c r="AH2804" s="1">
        <v>6270</v>
      </c>
      <c r="AI2804" s="1" t="b">
        <v>1</v>
      </c>
    </row>
    <row r="2805" spans="1:35" x14ac:dyDescent="0.25">
      <c r="A2805" s="1">
        <v>7</v>
      </c>
      <c r="B2805" s="1">
        <v>3</v>
      </c>
      <c r="C2805" s="1">
        <v>2020</v>
      </c>
      <c r="G2805" s="1" t="s">
        <v>40</v>
      </c>
      <c r="H2805" s="2">
        <v>71.48</v>
      </c>
      <c r="I2805" s="1">
        <v>158</v>
      </c>
      <c r="U2805" s="1">
        <v>222</v>
      </c>
      <c r="X2805" s="1">
        <v>199</v>
      </c>
      <c r="AA2805" s="1">
        <v>16</v>
      </c>
      <c r="AB2805" s="1">
        <v>14</v>
      </c>
      <c r="AC2805" s="1">
        <v>8436</v>
      </c>
      <c r="AF2805" s="3">
        <v>2.2104085058757694</v>
      </c>
      <c r="AG2805" s="3">
        <v>8.9837288942098805</v>
      </c>
      <c r="AH2805" s="1">
        <v>6270</v>
      </c>
      <c r="AI2805" s="1" t="b">
        <v>1</v>
      </c>
    </row>
    <row r="2806" spans="1:35" x14ac:dyDescent="0.25">
      <c r="A2806" s="1">
        <v>7</v>
      </c>
      <c r="B2806" s="1">
        <v>3</v>
      </c>
      <c r="C2806" s="1">
        <v>2020</v>
      </c>
      <c r="G2806" s="1" t="s">
        <v>40</v>
      </c>
      <c r="H2806" s="2">
        <v>70.69</v>
      </c>
      <c r="I2806" s="1">
        <v>160</v>
      </c>
      <c r="U2806" s="1">
        <v>230</v>
      </c>
      <c r="X2806" s="1">
        <v>199</v>
      </c>
      <c r="AA2806" s="1">
        <v>16</v>
      </c>
      <c r="AB2806" s="1">
        <v>8</v>
      </c>
      <c r="AC2806" s="1">
        <v>7607</v>
      </c>
      <c r="AF2806" s="3">
        <v>2.2634035931532042</v>
      </c>
      <c r="AG2806" s="3">
        <v>8.7053970950910493</v>
      </c>
      <c r="AH2806" s="1">
        <v>6270</v>
      </c>
      <c r="AI2806" s="1" t="b">
        <v>1</v>
      </c>
    </row>
    <row r="2807" spans="1:35" x14ac:dyDescent="0.25">
      <c r="A2807" s="1">
        <v>7</v>
      </c>
      <c r="B2807" s="1">
        <v>3</v>
      </c>
      <c r="C2807" s="1">
        <v>2020</v>
      </c>
      <c r="G2807" s="1" t="s">
        <v>40</v>
      </c>
      <c r="H2807" s="2">
        <v>73.92</v>
      </c>
      <c r="I2807" s="1">
        <v>158</v>
      </c>
      <c r="U2807" s="1">
        <v>213</v>
      </c>
      <c r="X2807" s="1">
        <v>198</v>
      </c>
      <c r="AA2807" s="1">
        <v>16</v>
      </c>
      <c r="AB2807" s="1">
        <v>7</v>
      </c>
      <c r="AC2807" s="1">
        <v>8696</v>
      </c>
      <c r="AF2807" s="3">
        <v>2.1374458874458875</v>
      </c>
      <c r="AG2807" s="3">
        <v>9.5112641235629933</v>
      </c>
      <c r="AH2807" s="1">
        <v>6270</v>
      </c>
      <c r="AI2807" s="1" t="b">
        <v>1</v>
      </c>
    </row>
    <row r="2808" spans="1:35" x14ac:dyDescent="0.25">
      <c r="A2808" s="1">
        <v>7</v>
      </c>
      <c r="B2808" s="1">
        <v>3</v>
      </c>
      <c r="C2808" s="1">
        <v>2020</v>
      </c>
      <c r="G2808" s="1" t="s">
        <v>40</v>
      </c>
      <c r="H2808" s="2">
        <v>81.58</v>
      </c>
      <c r="I2808" s="1">
        <v>187</v>
      </c>
      <c r="U2808" s="1">
        <v>242</v>
      </c>
      <c r="X2808" s="1">
        <v>221</v>
      </c>
      <c r="AA2808" s="1">
        <v>11</v>
      </c>
      <c r="AB2808" s="1">
        <v>9</v>
      </c>
      <c r="AC2808" s="1">
        <v>9440</v>
      </c>
      <c r="AF2808" s="3">
        <v>2.2922284873743566</v>
      </c>
      <c r="AG2808" s="3">
        <v>9.5027802221772895</v>
      </c>
      <c r="AH2808" s="1">
        <v>6270</v>
      </c>
      <c r="AI2808" s="1" t="b">
        <v>1</v>
      </c>
    </row>
    <row r="2809" spans="1:35" x14ac:dyDescent="0.25">
      <c r="A2809" s="1">
        <v>7</v>
      </c>
      <c r="B2809" s="1">
        <v>3</v>
      </c>
      <c r="C2809" s="1">
        <v>2020</v>
      </c>
      <c r="G2809" s="1" t="s">
        <v>40</v>
      </c>
      <c r="H2809" s="2">
        <v>89.75</v>
      </c>
      <c r="I2809" s="1">
        <v>164</v>
      </c>
      <c r="U2809" s="1">
        <v>219</v>
      </c>
      <c r="X2809" s="1">
        <v>194</v>
      </c>
      <c r="AA2809" s="1">
        <v>16</v>
      </c>
      <c r="AB2809" s="1">
        <v>9</v>
      </c>
      <c r="AC2809" s="1">
        <v>11593</v>
      </c>
      <c r="AF2809" s="3">
        <v>1.8272980501392757</v>
      </c>
      <c r="AG2809" s="3">
        <v>12.744263116542093</v>
      </c>
      <c r="AH2809" s="1">
        <v>6270</v>
      </c>
      <c r="AI2809" s="1" t="b">
        <v>1</v>
      </c>
    </row>
    <row r="2810" spans="1:35" x14ac:dyDescent="0.25">
      <c r="A2810" s="1">
        <v>7</v>
      </c>
      <c r="B2810" s="1">
        <v>3</v>
      </c>
      <c r="C2810" s="1">
        <v>2020</v>
      </c>
      <c r="G2810" s="1" t="s">
        <v>40</v>
      </c>
      <c r="H2810" s="2">
        <v>68.849999999999994</v>
      </c>
      <c r="I2810" s="1">
        <v>172</v>
      </c>
      <c r="U2810" s="1">
        <v>229</v>
      </c>
      <c r="X2810" s="1">
        <v>209</v>
      </c>
      <c r="AA2810" s="1">
        <v>13</v>
      </c>
      <c r="AB2810" s="1">
        <v>13</v>
      </c>
      <c r="AC2810" s="1">
        <v>8352</v>
      </c>
      <c r="AF2810" s="3">
        <v>2.4981844589687729</v>
      </c>
      <c r="AG2810" s="3">
        <v>7.7429821646308765</v>
      </c>
      <c r="AH2810" s="1">
        <v>6270</v>
      </c>
      <c r="AI2810" s="1" t="b">
        <v>1</v>
      </c>
    </row>
    <row r="2811" spans="1:35" x14ac:dyDescent="0.25">
      <c r="A2811" s="1">
        <v>8</v>
      </c>
      <c r="B2811" s="1">
        <v>3</v>
      </c>
      <c r="C2811" s="1">
        <v>2020</v>
      </c>
      <c r="G2811" s="1" t="s">
        <v>40</v>
      </c>
      <c r="H2811" s="2">
        <v>66.75</v>
      </c>
      <c r="I2811" s="1">
        <v>135</v>
      </c>
      <c r="U2811" s="1">
        <v>211</v>
      </c>
      <c r="X2811" s="1">
        <v>185</v>
      </c>
      <c r="AA2811" s="1">
        <v>19</v>
      </c>
      <c r="AB2811" s="1">
        <v>14</v>
      </c>
      <c r="AC2811" s="1">
        <v>7575</v>
      </c>
      <c r="AF2811" s="3">
        <v>2.0224719101123596</v>
      </c>
      <c r="AG2811" s="3">
        <v>9.3590849778882781</v>
      </c>
      <c r="AH2811" s="1">
        <v>6270</v>
      </c>
      <c r="AI2811" s="1" t="b">
        <v>1</v>
      </c>
    </row>
    <row r="2812" spans="1:35" x14ac:dyDescent="0.25">
      <c r="A2812" s="1">
        <v>8</v>
      </c>
      <c r="B2812" s="1">
        <v>3</v>
      </c>
      <c r="C2812" s="1">
        <v>2020</v>
      </c>
      <c r="G2812" s="1" t="s">
        <v>40</v>
      </c>
      <c r="H2812" s="2">
        <v>74.739999999999995</v>
      </c>
      <c r="I2812" s="1">
        <v>181</v>
      </c>
      <c r="U2812" s="1">
        <v>254</v>
      </c>
      <c r="X2812" s="1">
        <v>222</v>
      </c>
      <c r="AA2812" s="1">
        <v>14</v>
      </c>
      <c r="AB2812" s="1">
        <v>13</v>
      </c>
      <c r="AC2812" s="1">
        <v>8542</v>
      </c>
      <c r="AF2812" s="3">
        <v>2.4217286593524219</v>
      </c>
      <c r="AG2812" s="3">
        <v>8.4598309371636287</v>
      </c>
      <c r="AH2812" s="1">
        <v>6270</v>
      </c>
      <c r="AI2812" s="1" t="b">
        <v>1</v>
      </c>
    </row>
    <row r="2813" spans="1:35" x14ac:dyDescent="0.25">
      <c r="A2813" s="1">
        <v>8</v>
      </c>
      <c r="B2813" s="1">
        <v>3</v>
      </c>
      <c r="C2813" s="1">
        <v>2020</v>
      </c>
      <c r="G2813" s="1" t="s">
        <v>40</v>
      </c>
      <c r="H2813" s="2">
        <v>80.099999999999994</v>
      </c>
      <c r="I2813" s="1">
        <v>177</v>
      </c>
      <c r="U2813" s="1">
        <v>229</v>
      </c>
      <c r="X2813" s="1">
        <v>203</v>
      </c>
      <c r="AA2813" s="1">
        <v>12</v>
      </c>
      <c r="AB2813" s="1">
        <v>9</v>
      </c>
      <c r="AC2813" s="1">
        <v>8325</v>
      </c>
      <c r="AF2813" s="3">
        <v>2.2097378277153559</v>
      </c>
      <c r="AG2813" s="3">
        <v>9.7319979994049106</v>
      </c>
      <c r="AH2813" s="1">
        <v>6270</v>
      </c>
      <c r="AI2813" s="1" t="b">
        <v>1</v>
      </c>
    </row>
    <row r="2814" spans="1:35" x14ac:dyDescent="0.25">
      <c r="A2814" s="1">
        <v>8</v>
      </c>
      <c r="B2814" s="1">
        <v>3</v>
      </c>
      <c r="C2814" s="1">
        <v>2020</v>
      </c>
      <c r="G2814" s="1" t="s">
        <v>40</v>
      </c>
      <c r="H2814" s="2">
        <v>78.48</v>
      </c>
      <c r="I2814" s="1">
        <v>148</v>
      </c>
      <c r="U2814" s="1">
        <v>223</v>
      </c>
      <c r="X2814" s="1">
        <v>197</v>
      </c>
      <c r="AA2814" s="1">
        <v>18</v>
      </c>
      <c r="AB2814" s="1">
        <v>12</v>
      </c>
      <c r="AC2814" s="1">
        <v>8775</v>
      </c>
      <c r="AF2814" s="3">
        <v>1.8858307849133535</v>
      </c>
      <c r="AG2814" s="3">
        <v>11.241611568552116</v>
      </c>
      <c r="AH2814" s="1">
        <v>6270</v>
      </c>
      <c r="AI2814" s="1" t="b">
        <v>1</v>
      </c>
    </row>
    <row r="2815" spans="1:35" x14ac:dyDescent="0.25">
      <c r="A2815" s="1">
        <v>8</v>
      </c>
      <c r="B2815" s="1">
        <v>3</v>
      </c>
      <c r="C2815" s="1">
        <v>2020</v>
      </c>
      <c r="G2815" s="1" t="s">
        <v>40</v>
      </c>
      <c r="H2815" s="2">
        <v>78.05</v>
      </c>
      <c r="I2815" s="1">
        <v>180</v>
      </c>
      <c r="U2815" s="1">
        <v>236</v>
      </c>
      <c r="X2815" s="1">
        <v>221</v>
      </c>
      <c r="AA2815" s="1">
        <v>13</v>
      </c>
      <c r="AB2815" s="1">
        <v>12</v>
      </c>
      <c r="AC2815" s="1">
        <v>8799</v>
      </c>
      <c r="AF2815" s="3">
        <v>2.3062139654067906</v>
      </c>
      <c r="AG2815" s="3">
        <v>9.1571733877758525</v>
      </c>
      <c r="AH2815" s="1">
        <v>6270</v>
      </c>
      <c r="AI2815" s="1" t="b">
        <v>1</v>
      </c>
    </row>
    <row r="2816" spans="1:35" x14ac:dyDescent="0.25">
      <c r="A2816" s="1">
        <v>8</v>
      </c>
      <c r="B2816" s="1">
        <v>3</v>
      </c>
      <c r="C2816" s="1">
        <v>2020</v>
      </c>
      <c r="G2816" s="1" t="s">
        <v>40</v>
      </c>
      <c r="H2816" s="2">
        <v>65.91</v>
      </c>
      <c r="I2816" s="1">
        <v>152</v>
      </c>
      <c r="U2816" s="1">
        <v>196</v>
      </c>
      <c r="X2816" s="1">
        <v>180</v>
      </c>
      <c r="AA2816" s="1">
        <v>12</v>
      </c>
      <c r="AB2816" s="1">
        <v>8</v>
      </c>
      <c r="AC2816" s="1">
        <v>7685</v>
      </c>
      <c r="AF2816" s="3">
        <v>2.3061750872401761</v>
      </c>
      <c r="AG2816" s="3">
        <v>8.1353012941925709</v>
      </c>
      <c r="AH2816" s="1">
        <v>6270</v>
      </c>
      <c r="AI2816" s="1" t="b">
        <v>1</v>
      </c>
    </row>
    <row r="2817" spans="1:35" x14ac:dyDescent="0.25">
      <c r="A2817" s="1">
        <v>8</v>
      </c>
      <c r="B2817" s="1">
        <v>3</v>
      </c>
      <c r="C2817" s="1">
        <v>2020</v>
      </c>
      <c r="G2817" s="1" t="s">
        <v>40</v>
      </c>
      <c r="H2817" s="2">
        <v>71.36</v>
      </c>
      <c r="I2817" s="1">
        <v>145</v>
      </c>
      <c r="U2817" s="1">
        <v>178</v>
      </c>
      <c r="X2817" s="1">
        <v>166</v>
      </c>
      <c r="AA2817" s="1">
        <v>9</v>
      </c>
      <c r="AB2817" s="1">
        <v>12</v>
      </c>
      <c r="AC2817" s="1">
        <v>8437</v>
      </c>
      <c r="AF2817" s="3">
        <v>2.0319506726457401</v>
      </c>
      <c r="AG2817" s="3">
        <v>9.7612453306745692</v>
      </c>
      <c r="AH2817" s="1">
        <v>6270</v>
      </c>
      <c r="AI2817" s="1" t="b">
        <v>1</v>
      </c>
    </row>
    <row r="2818" spans="1:35" x14ac:dyDescent="0.25">
      <c r="A2818" s="1">
        <v>9</v>
      </c>
      <c r="B2818" s="1">
        <v>3</v>
      </c>
      <c r="C2818" s="1">
        <v>2020</v>
      </c>
      <c r="G2818" s="1" t="s">
        <v>40</v>
      </c>
      <c r="H2818" s="2">
        <v>79.739999999999995</v>
      </c>
      <c r="I2818" s="1">
        <v>177</v>
      </c>
      <c r="U2818" s="1">
        <v>240</v>
      </c>
      <c r="X2818" s="1">
        <v>216</v>
      </c>
      <c r="AA2818" s="1">
        <v>17</v>
      </c>
      <c r="AB2818" s="1">
        <v>11</v>
      </c>
      <c r="AC2818" s="1">
        <v>9145</v>
      </c>
      <c r="AF2818" s="3">
        <v>2.2197140707298724</v>
      </c>
      <c r="AG2818" s="3">
        <v>9.6577581792172253</v>
      </c>
      <c r="AH2818" s="1">
        <v>6271</v>
      </c>
      <c r="AI2818" s="1" t="b">
        <v>1</v>
      </c>
    </row>
    <row r="2819" spans="1:35" x14ac:dyDescent="0.25">
      <c r="A2819" s="1">
        <v>9</v>
      </c>
      <c r="B2819" s="1">
        <v>3</v>
      </c>
      <c r="C2819" s="1">
        <v>2020</v>
      </c>
      <c r="G2819" s="1" t="s">
        <v>40</v>
      </c>
      <c r="H2819" s="2">
        <v>74.569999999999993</v>
      </c>
      <c r="I2819" s="1">
        <v>179</v>
      </c>
      <c r="U2819" s="1">
        <v>235</v>
      </c>
      <c r="X2819" s="1">
        <v>210</v>
      </c>
      <c r="AA2819" s="1">
        <v>12</v>
      </c>
      <c r="AB2819" s="1">
        <v>12</v>
      </c>
      <c r="AC2819" s="1">
        <v>7923</v>
      </c>
      <c r="AF2819" s="3">
        <v>2.4004291269947702</v>
      </c>
      <c r="AG2819" s="3">
        <v>8.5213030799610898</v>
      </c>
      <c r="AH2819" s="1">
        <v>6271</v>
      </c>
      <c r="AI2819" s="1" t="b">
        <v>1</v>
      </c>
    </row>
    <row r="2820" spans="1:35" x14ac:dyDescent="0.25">
      <c r="A2820" s="1">
        <v>9</v>
      </c>
      <c r="B2820" s="1">
        <v>3</v>
      </c>
      <c r="C2820" s="1">
        <v>2020</v>
      </c>
      <c r="G2820" s="1" t="s">
        <v>40</v>
      </c>
      <c r="H2820" s="2">
        <v>78.42</v>
      </c>
      <c r="I2820" s="1">
        <v>173</v>
      </c>
      <c r="U2820" s="1">
        <v>210</v>
      </c>
      <c r="X2820" s="1">
        <v>192</v>
      </c>
      <c r="AA2820" s="1">
        <v>8</v>
      </c>
      <c r="AB2820" s="1">
        <v>6</v>
      </c>
      <c r="AC2820" s="1">
        <v>8514</v>
      </c>
      <c r="AF2820" s="3">
        <v>2.2060698801326191</v>
      </c>
      <c r="AG2820" s="3">
        <v>9.6046052805583528</v>
      </c>
      <c r="AH2820" s="1">
        <v>6271</v>
      </c>
      <c r="AI2820" s="1" t="b">
        <v>1</v>
      </c>
    </row>
    <row r="2821" spans="1:35" x14ac:dyDescent="0.25">
      <c r="A2821" s="1">
        <v>9</v>
      </c>
      <c r="B2821" s="1">
        <v>3</v>
      </c>
      <c r="C2821" s="1">
        <v>2020</v>
      </c>
      <c r="G2821" s="1" t="s">
        <v>40</v>
      </c>
      <c r="H2821" s="2">
        <v>63.35</v>
      </c>
      <c r="I2821" s="1">
        <v>130</v>
      </c>
      <c r="U2821" s="1">
        <v>189</v>
      </c>
      <c r="X2821" s="1">
        <v>166</v>
      </c>
      <c r="AA2821" s="1">
        <v>12</v>
      </c>
      <c r="AB2821" s="1">
        <v>18</v>
      </c>
      <c r="AC2821" s="1">
        <v>7755</v>
      </c>
      <c r="AF2821" s="3">
        <v>2.0520915548539858</v>
      </c>
      <c r="AG2821" s="3">
        <v>8.8925414943523045</v>
      </c>
      <c r="AH2821" s="1">
        <v>6271</v>
      </c>
      <c r="AI2821" s="1" t="b">
        <v>1</v>
      </c>
    </row>
    <row r="2822" spans="1:35" x14ac:dyDescent="0.25">
      <c r="A2822" s="1">
        <v>10</v>
      </c>
      <c r="B2822" s="1">
        <v>3</v>
      </c>
      <c r="C2822" s="1">
        <v>2020</v>
      </c>
      <c r="G2822" s="1" t="s">
        <v>40</v>
      </c>
      <c r="H2822" s="2">
        <v>75.930000000000007</v>
      </c>
      <c r="I2822" s="1">
        <v>163</v>
      </c>
      <c r="U2822" s="1">
        <v>211</v>
      </c>
      <c r="X2822" s="1">
        <v>194</v>
      </c>
      <c r="AA2822" s="1">
        <v>13</v>
      </c>
      <c r="AB2822" s="1">
        <v>11</v>
      </c>
      <c r="AC2822" s="1">
        <v>8060</v>
      </c>
      <c r="AF2822" s="3">
        <v>2.1467140787567494</v>
      </c>
      <c r="AG2822" s="3">
        <v>9.6497302990559817</v>
      </c>
      <c r="AH2822" s="1">
        <v>6271</v>
      </c>
      <c r="AI2822" s="1" t="b">
        <v>1</v>
      </c>
    </row>
    <row r="2823" spans="1:35" x14ac:dyDescent="0.25">
      <c r="A2823" s="1">
        <v>10</v>
      </c>
      <c r="B2823" s="1">
        <v>3</v>
      </c>
      <c r="C2823" s="1">
        <v>2020</v>
      </c>
      <c r="G2823" s="1" t="s">
        <v>40</v>
      </c>
      <c r="H2823" s="2">
        <v>87.78</v>
      </c>
      <c r="I2823" s="1">
        <v>178</v>
      </c>
      <c r="U2823" s="1">
        <v>218</v>
      </c>
      <c r="X2823" s="1">
        <v>203</v>
      </c>
      <c r="AA2823" s="1">
        <v>10</v>
      </c>
      <c r="AB2823" s="1">
        <v>6</v>
      </c>
      <c r="AC2823" s="1">
        <v>9392</v>
      </c>
      <c r="AF2823" s="3">
        <v>2.0277967646388699</v>
      </c>
      <c r="AG2823" s="3">
        <v>11.307132405710815</v>
      </c>
      <c r="AH2823" s="1">
        <v>6271</v>
      </c>
      <c r="AI2823" s="1" t="b">
        <v>1</v>
      </c>
    </row>
    <row r="2824" spans="1:35" x14ac:dyDescent="0.25">
      <c r="A2824" s="1">
        <v>10</v>
      </c>
      <c r="B2824" s="1">
        <v>3</v>
      </c>
      <c r="C2824" s="1">
        <v>2020</v>
      </c>
      <c r="G2824" s="1" t="s">
        <v>40</v>
      </c>
      <c r="H2824" s="2">
        <v>70.680000000000007</v>
      </c>
      <c r="I2824" s="1">
        <v>168</v>
      </c>
      <c r="U2824" s="1">
        <v>217</v>
      </c>
      <c r="X2824" s="1">
        <v>197</v>
      </c>
      <c r="AA2824" s="1">
        <v>10</v>
      </c>
      <c r="AB2824" s="1">
        <v>11</v>
      </c>
      <c r="AC2824" s="1">
        <v>8022</v>
      </c>
      <c r="AF2824" s="3">
        <v>2.3769100169779285</v>
      </c>
      <c r="AG2824" s="3">
        <v>8.2888606353540162</v>
      </c>
      <c r="AH2824" s="1">
        <v>6271</v>
      </c>
      <c r="AI2824" s="1" t="b">
        <v>1</v>
      </c>
    </row>
    <row r="2825" spans="1:35" x14ac:dyDescent="0.25">
      <c r="A2825" s="1">
        <v>10</v>
      </c>
      <c r="B2825" s="1">
        <v>3</v>
      </c>
      <c r="C2825" s="1">
        <v>2020</v>
      </c>
      <c r="G2825" s="1" t="s">
        <v>40</v>
      </c>
      <c r="H2825" s="2">
        <v>62.53</v>
      </c>
      <c r="I2825" s="1">
        <v>125</v>
      </c>
      <c r="U2825" s="1">
        <v>176</v>
      </c>
      <c r="X2825" s="1">
        <v>159</v>
      </c>
      <c r="AA2825" s="1">
        <v>14</v>
      </c>
      <c r="AB2825" s="1">
        <v>16</v>
      </c>
      <c r="AC2825" s="1">
        <v>6829</v>
      </c>
      <c r="AF2825" s="3">
        <v>1.999040460578922</v>
      </c>
      <c r="AG2825" s="3">
        <v>9.0456611642333531</v>
      </c>
      <c r="AH2825" s="1">
        <v>6271</v>
      </c>
      <c r="AI2825" s="1" t="b">
        <v>1</v>
      </c>
    </row>
    <row r="2826" spans="1:35" x14ac:dyDescent="0.25">
      <c r="A2826" s="1">
        <v>11</v>
      </c>
      <c r="B2826" s="1">
        <v>3</v>
      </c>
      <c r="C2826" s="1">
        <v>2020</v>
      </c>
      <c r="G2826" s="1" t="s">
        <v>40</v>
      </c>
      <c r="H2826" s="2">
        <v>77.72</v>
      </c>
      <c r="I2826" s="1">
        <v>169</v>
      </c>
      <c r="U2826" s="1">
        <v>216</v>
      </c>
      <c r="X2826" s="1">
        <v>197</v>
      </c>
      <c r="AA2826" s="1">
        <v>11</v>
      </c>
      <c r="AB2826" s="1">
        <v>7</v>
      </c>
      <c r="AC2826" s="1">
        <v>8301</v>
      </c>
      <c r="AF2826" s="3">
        <v>2.1744724652599072</v>
      </c>
      <c r="AG2826" s="3">
        <v>9.6832031138347556</v>
      </c>
      <c r="AH2826" s="1">
        <v>6271</v>
      </c>
      <c r="AI2826" s="1" t="b">
        <v>1</v>
      </c>
    </row>
    <row r="2827" spans="1:35" x14ac:dyDescent="0.25">
      <c r="A2827" s="1">
        <v>11</v>
      </c>
      <c r="B2827" s="1">
        <v>3</v>
      </c>
      <c r="C2827" s="1">
        <v>2020</v>
      </c>
      <c r="G2827" s="1" t="s">
        <v>40</v>
      </c>
      <c r="H2827" s="2">
        <v>78.36</v>
      </c>
      <c r="I2827" s="1">
        <v>175</v>
      </c>
      <c r="U2827" s="1">
        <v>242</v>
      </c>
      <c r="X2827" s="1">
        <v>214</v>
      </c>
      <c r="AA2827" s="1">
        <v>14</v>
      </c>
      <c r="AB2827" s="1">
        <v>11</v>
      </c>
      <c r="AC2827" s="1">
        <v>8720</v>
      </c>
      <c r="AF2827" s="3">
        <v>2.2332822868810616</v>
      </c>
      <c r="AG2827" s="3">
        <v>9.4824918424491091</v>
      </c>
      <c r="AH2827" s="1">
        <v>6271</v>
      </c>
      <c r="AI2827" s="1" t="b">
        <v>1</v>
      </c>
    </row>
    <row r="2828" spans="1:35" x14ac:dyDescent="0.25">
      <c r="A2828" s="1">
        <v>11</v>
      </c>
      <c r="B2828" s="1">
        <v>3</v>
      </c>
      <c r="C2828" s="1">
        <v>2020</v>
      </c>
      <c r="G2828" s="1" t="s">
        <v>40</v>
      </c>
      <c r="H2828" s="2">
        <v>74.02</v>
      </c>
      <c r="I2828" s="1">
        <v>180</v>
      </c>
      <c r="U2828" s="1">
        <v>242</v>
      </c>
      <c r="X2828" s="1">
        <v>214</v>
      </c>
      <c r="AA2828" s="1">
        <v>13</v>
      </c>
      <c r="AB2828" s="1">
        <v>9</v>
      </c>
      <c r="AC2828" s="1">
        <v>8459</v>
      </c>
      <c r="AF2828" s="3">
        <v>2.4317751958930018</v>
      </c>
      <c r="AG2828" s="3">
        <v>8.3679857544614666</v>
      </c>
      <c r="AH2828" s="1">
        <v>6271</v>
      </c>
      <c r="AI2828" s="1" t="b">
        <v>1</v>
      </c>
    </row>
    <row r="2829" spans="1:35" x14ac:dyDescent="0.25">
      <c r="A2829" s="1">
        <v>11</v>
      </c>
      <c r="B2829" s="1">
        <v>3</v>
      </c>
      <c r="C2829" s="1">
        <v>2020</v>
      </c>
      <c r="G2829" s="1" t="s">
        <v>40</v>
      </c>
      <c r="H2829" s="2">
        <v>79.31</v>
      </c>
      <c r="I2829" s="1">
        <v>202</v>
      </c>
      <c r="U2829" s="1">
        <v>249</v>
      </c>
      <c r="X2829" s="1">
        <v>230</v>
      </c>
      <c r="AA2829" s="1">
        <v>12</v>
      </c>
      <c r="AB2829" s="1">
        <v>9</v>
      </c>
      <c r="AC2829" s="1">
        <v>9025</v>
      </c>
      <c r="AF2829" s="3">
        <v>2.5469675955112847</v>
      </c>
      <c r="AG2829" s="3">
        <v>8.3850594354846564</v>
      </c>
      <c r="AH2829" s="1">
        <v>6271</v>
      </c>
      <c r="AI2829" s="1" t="b">
        <v>1</v>
      </c>
    </row>
    <row r="2830" spans="1:35" x14ac:dyDescent="0.25">
      <c r="A2830" s="1">
        <v>11</v>
      </c>
      <c r="B2830" s="1">
        <v>3</v>
      </c>
      <c r="C2830" s="1">
        <v>2020</v>
      </c>
      <c r="G2830" s="1" t="s">
        <v>40</v>
      </c>
      <c r="H2830" s="2">
        <v>73.8</v>
      </c>
      <c r="I2830" s="1">
        <v>168</v>
      </c>
      <c r="U2830" s="1">
        <v>218</v>
      </c>
      <c r="X2830" s="1">
        <v>201</v>
      </c>
      <c r="AA2830" s="1">
        <v>11</v>
      </c>
      <c r="AB2830" s="1">
        <v>12</v>
      </c>
      <c r="AC2830" s="1">
        <v>8335</v>
      </c>
      <c r="AF2830" s="3">
        <v>2.2764227642276422</v>
      </c>
      <c r="AG2830" s="3">
        <v>8.9204452773164018</v>
      </c>
      <c r="AH2830" s="1">
        <v>6271</v>
      </c>
      <c r="AI2830" s="1" t="b">
        <v>1</v>
      </c>
    </row>
    <row r="2831" spans="1:35" x14ac:dyDescent="0.25">
      <c r="A2831" s="1">
        <v>11</v>
      </c>
      <c r="B2831" s="1">
        <v>3</v>
      </c>
      <c r="C2831" s="1">
        <v>2020</v>
      </c>
      <c r="G2831" s="1" t="s">
        <v>40</v>
      </c>
      <c r="H2831" s="2">
        <v>74.819999999999993</v>
      </c>
      <c r="I2831" s="1">
        <v>176</v>
      </c>
      <c r="U2831" s="1">
        <v>233</v>
      </c>
      <c r="X2831" s="1">
        <v>213</v>
      </c>
      <c r="AA2831" s="1">
        <v>14</v>
      </c>
      <c r="AB2831" s="1">
        <v>10</v>
      </c>
      <c r="AC2831" s="1">
        <v>7792</v>
      </c>
      <c r="AF2831" s="3">
        <v>2.3523122159850312</v>
      </c>
      <c r="AG2831" s="3">
        <v>8.7160041579119163</v>
      </c>
      <c r="AH2831" s="1">
        <v>6271</v>
      </c>
      <c r="AI2831" s="1" t="b">
        <v>1</v>
      </c>
    </row>
    <row r="2832" spans="1:35" x14ac:dyDescent="0.25">
      <c r="A2832" s="1">
        <v>12</v>
      </c>
      <c r="B2832" s="1">
        <v>3</v>
      </c>
      <c r="C2832" s="1">
        <v>2020</v>
      </c>
      <c r="G2832" s="1" t="s">
        <v>40</v>
      </c>
      <c r="H2832" s="2">
        <v>79.28</v>
      </c>
      <c r="I2832" s="1">
        <v>191</v>
      </c>
      <c r="U2832" s="1">
        <v>277</v>
      </c>
      <c r="X2832" s="1">
        <v>236</v>
      </c>
      <c r="AA2832" s="1">
        <v>16</v>
      </c>
      <c r="AB2832" s="1">
        <v>15</v>
      </c>
      <c r="AC2832" s="1">
        <v>9142</v>
      </c>
      <c r="AF2832" s="3">
        <v>2.4091826437941473</v>
      </c>
      <c r="AG2832" s="3">
        <v>8.8622668584495905</v>
      </c>
      <c r="AH2832" s="1">
        <v>6271</v>
      </c>
      <c r="AI2832" s="1" t="b">
        <v>1</v>
      </c>
    </row>
    <row r="2833" spans="1:35" x14ac:dyDescent="0.25">
      <c r="A2833" s="1">
        <v>12</v>
      </c>
      <c r="B2833" s="1">
        <v>3</v>
      </c>
      <c r="C2833" s="1">
        <v>2020</v>
      </c>
      <c r="G2833" s="1" t="s">
        <v>40</v>
      </c>
      <c r="H2833" s="2">
        <v>79.209999999999994</v>
      </c>
      <c r="I2833" s="1">
        <v>182</v>
      </c>
      <c r="U2833" s="1">
        <v>246</v>
      </c>
      <c r="X2833" s="1">
        <v>216</v>
      </c>
      <c r="AA2833" s="1">
        <v>16</v>
      </c>
      <c r="AB2833" s="1">
        <v>7</v>
      </c>
      <c r="AC2833" s="1">
        <v>9004</v>
      </c>
      <c r="AF2833" s="3">
        <v>2.2976896856457518</v>
      </c>
      <c r="AG2833" s="3">
        <v>9.286554987270188</v>
      </c>
      <c r="AH2833" s="1">
        <v>6271</v>
      </c>
      <c r="AI2833" s="1" t="b">
        <v>1</v>
      </c>
    </row>
    <row r="2834" spans="1:35" x14ac:dyDescent="0.25">
      <c r="A2834" s="1">
        <v>12</v>
      </c>
      <c r="B2834" s="1">
        <v>3</v>
      </c>
      <c r="C2834" s="1">
        <v>2020</v>
      </c>
      <c r="G2834" s="1" t="s">
        <v>40</v>
      </c>
      <c r="H2834" s="2">
        <v>79.2</v>
      </c>
      <c r="I2834" s="1">
        <v>171</v>
      </c>
      <c r="U2834" s="1">
        <v>226</v>
      </c>
      <c r="X2834" s="1">
        <v>199</v>
      </c>
      <c r="AA2834" s="1">
        <v>9</v>
      </c>
      <c r="AB2834" s="1">
        <v>8</v>
      </c>
      <c r="AC2834" s="1">
        <v>8392</v>
      </c>
      <c r="AF2834" s="3">
        <v>2.1590909090909092</v>
      </c>
      <c r="AG2834" s="3">
        <v>9.8818145271587756</v>
      </c>
      <c r="AH2834" s="1">
        <v>6271</v>
      </c>
      <c r="AI2834" s="1" t="b">
        <v>1</v>
      </c>
    </row>
    <row r="2835" spans="1:35" x14ac:dyDescent="0.25">
      <c r="A2835" s="1">
        <v>12</v>
      </c>
      <c r="B2835" s="1">
        <v>3</v>
      </c>
      <c r="C2835" s="1">
        <v>2020</v>
      </c>
      <c r="G2835" s="1" t="s">
        <v>40</v>
      </c>
      <c r="H2835" s="2">
        <v>67.37</v>
      </c>
      <c r="I2835" s="1">
        <v>135</v>
      </c>
      <c r="U2835" s="1">
        <v>169</v>
      </c>
      <c r="X2835" s="1">
        <v>150</v>
      </c>
      <c r="AA2835" s="1">
        <v>7</v>
      </c>
      <c r="AB2835" s="1">
        <v>10</v>
      </c>
      <c r="AC2835" s="1">
        <v>6716</v>
      </c>
      <c r="AF2835" s="3">
        <v>2.0038592845480183</v>
      </c>
      <c r="AG2835" s="3">
        <v>9.5073473696708763</v>
      </c>
      <c r="AH2835" s="1">
        <v>6271</v>
      </c>
      <c r="AI2835" s="1" t="b">
        <v>1</v>
      </c>
    </row>
    <row r="2836" spans="1:35" x14ac:dyDescent="0.25">
      <c r="A2836" s="1">
        <v>12</v>
      </c>
      <c r="B2836" s="1">
        <v>3</v>
      </c>
      <c r="C2836" s="1">
        <v>2020</v>
      </c>
      <c r="G2836" s="1" t="s">
        <v>40</v>
      </c>
      <c r="H2836" s="2">
        <v>71.569999999999993</v>
      </c>
      <c r="I2836" s="1">
        <v>176</v>
      </c>
      <c r="U2836" s="1">
        <v>242</v>
      </c>
      <c r="X2836" s="1">
        <v>218</v>
      </c>
      <c r="AA2836" s="1">
        <v>16</v>
      </c>
      <c r="AB2836" s="1">
        <v>11</v>
      </c>
      <c r="AC2836" s="1">
        <v>7941</v>
      </c>
      <c r="AF2836" s="3">
        <v>2.4591309207768619</v>
      </c>
      <c r="AG2836" s="3">
        <v>8.082208714537428</v>
      </c>
      <c r="AH2836" s="1">
        <v>6271</v>
      </c>
      <c r="AI2836" s="1" t="b">
        <v>1</v>
      </c>
    </row>
    <row r="2837" spans="1:35" x14ac:dyDescent="0.25">
      <c r="A2837" s="1">
        <v>12</v>
      </c>
      <c r="B2837" s="1">
        <v>3</v>
      </c>
      <c r="C2837" s="1">
        <v>2020</v>
      </c>
      <c r="G2837" s="1" t="s">
        <v>40</v>
      </c>
      <c r="H2837" s="2">
        <v>75.63</v>
      </c>
      <c r="I2837" s="1">
        <v>156</v>
      </c>
      <c r="U2837" s="1">
        <v>216</v>
      </c>
      <c r="X2837" s="1">
        <v>193</v>
      </c>
      <c r="AA2837" s="1">
        <v>14</v>
      </c>
      <c r="AB2837" s="1">
        <v>9</v>
      </c>
      <c r="AC2837" s="1">
        <v>8476</v>
      </c>
      <c r="AF2837" s="3">
        <v>2.062673542245141</v>
      </c>
      <c r="AG2837" s="3">
        <v>10.015101897216253</v>
      </c>
      <c r="AH2837" s="1">
        <v>6271</v>
      </c>
      <c r="AI2837" s="1" t="b">
        <v>1</v>
      </c>
    </row>
    <row r="2838" spans="1:35" x14ac:dyDescent="0.25">
      <c r="A2838" s="1">
        <v>12</v>
      </c>
      <c r="B2838" s="1">
        <v>3</v>
      </c>
      <c r="C2838" s="1">
        <v>2020</v>
      </c>
      <c r="G2838" s="1" t="s">
        <v>40</v>
      </c>
      <c r="H2838" s="2">
        <v>81.89</v>
      </c>
      <c r="I2838" s="1">
        <v>163</v>
      </c>
      <c r="U2838" s="1">
        <v>231</v>
      </c>
      <c r="X2838" s="1">
        <v>206</v>
      </c>
      <c r="AA2838" s="1">
        <v>15</v>
      </c>
      <c r="AB2838" s="1">
        <v>7</v>
      </c>
      <c r="AC2838" s="1">
        <v>9107</v>
      </c>
      <c r="AF2838" s="3">
        <v>1.9904750274758822</v>
      </c>
      <c r="AG2838" s="3">
        <v>10.972481985282544</v>
      </c>
      <c r="AH2838" s="1">
        <v>6271</v>
      </c>
      <c r="AI2838" s="1" t="b">
        <v>1</v>
      </c>
    </row>
    <row r="2839" spans="1:35" x14ac:dyDescent="0.25">
      <c r="A2839" s="1">
        <v>12</v>
      </c>
      <c r="B2839" s="1">
        <v>3</v>
      </c>
      <c r="C2839" s="1">
        <v>2020</v>
      </c>
      <c r="G2839" s="1" t="s">
        <v>40</v>
      </c>
      <c r="H2839" s="2">
        <v>73.349999999999994</v>
      </c>
      <c r="I2839" s="1">
        <v>158</v>
      </c>
      <c r="U2839" s="1">
        <v>217</v>
      </c>
      <c r="X2839" s="1">
        <v>191</v>
      </c>
      <c r="AA2839" s="1">
        <v>14</v>
      </c>
      <c r="AB2839" s="1">
        <v>10</v>
      </c>
      <c r="AC2839" s="1">
        <v>7923</v>
      </c>
      <c r="AF2839" s="3">
        <v>2.154055896387185</v>
      </c>
      <c r="AG2839" s="3">
        <v>9.3869199425558811</v>
      </c>
      <c r="AH2839" s="1">
        <v>6271</v>
      </c>
      <c r="AI2839" s="1" t="b">
        <v>1</v>
      </c>
    </row>
    <row r="2840" spans="1:35" x14ac:dyDescent="0.25">
      <c r="A2840" s="1">
        <v>12</v>
      </c>
      <c r="B2840" s="1">
        <v>3</v>
      </c>
      <c r="C2840" s="1">
        <v>2020</v>
      </c>
      <c r="G2840" s="1" t="s">
        <v>40</v>
      </c>
      <c r="H2840" s="2">
        <v>80.72</v>
      </c>
      <c r="I2840" s="1">
        <v>169</v>
      </c>
      <c r="U2840" s="1">
        <v>244</v>
      </c>
      <c r="X2840" s="1">
        <v>221</v>
      </c>
      <c r="AA2840" s="1">
        <v>18</v>
      </c>
      <c r="AB2840" s="1">
        <v>11</v>
      </c>
      <c r="AC2840" s="1">
        <v>9588</v>
      </c>
      <c r="AF2840" s="3">
        <v>2.0936570862239843</v>
      </c>
      <c r="AG2840" s="3">
        <v>10.327168328009822</v>
      </c>
      <c r="AH2840" s="1">
        <v>6271</v>
      </c>
      <c r="AI2840" s="1" t="b">
        <v>1</v>
      </c>
    </row>
    <row r="2841" spans="1:35" x14ac:dyDescent="0.25">
      <c r="A2841" s="1">
        <v>13</v>
      </c>
      <c r="B2841" s="1">
        <v>3</v>
      </c>
      <c r="C2841" s="1">
        <v>2020</v>
      </c>
      <c r="G2841" s="1" t="s">
        <v>40</v>
      </c>
      <c r="H2841" s="2">
        <v>78.39</v>
      </c>
      <c r="I2841" s="1">
        <v>204</v>
      </c>
      <c r="U2841" s="1">
        <v>267</v>
      </c>
      <c r="X2841" s="1">
        <v>241</v>
      </c>
      <c r="AA2841" s="1">
        <v>15</v>
      </c>
      <c r="AB2841" s="1">
        <v>8</v>
      </c>
      <c r="AC2841" s="1">
        <v>8726</v>
      </c>
      <c r="AF2841" s="3">
        <v>2.6023727516264827</v>
      </c>
      <c r="AG2841" s="3">
        <v>8.1397855307762139</v>
      </c>
      <c r="AH2841" s="1">
        <v>6271</v>
      </c>
      <c r="AI2841" s="1" t="b">
        <v>1</v>
      </c>
    </row>
    <row r="2842" spans="1:35" x14ac:dyDescent="0.25">
      <c r="A2842" s="1">
        <v>13</v>
      </c>
      <c r="B2842" s="1">
        <v>3</v>
      </c>
      <c r="C2842" s="1">
        <v>2020</v>
      </c>
      <c r="G2842" s="1" t="s">
        <v>40</v>
      </c>
      <c r="H2842" s="2">
        <v>79.040000000000006</v>
      </c>
      <c r="I2842" s="1">
        <v>191</v>
      </c>
      <c r="U2842" s="1">
        <v>245</v>
      </c>
      <c r="X2842" s="1">
        <v>225</v>
      </c>
      <c r="AA2842" s="1">
        <v>13</v>
      </c>
      <c r="AB2842" s="1">
        <v>9</v>
      </c>
      <c r="AC2842" s="1">
        <v>8890</v>
      </c>
      <c r="AF2842" s="3">
        <v>2.4164979757085017</v>
      </c>
      <c r="AG2842" s="3">
        <v>8.816707163160121</v>
      </c>
      <c r="AH2842" s="1">
        <v>6271</v>
      </c>
      <c r="AI2842" s="1" t="b">
        <v>1</v>
      </c>
    </row>
    <row r="2843" spans="1:35" x14ac:dyDescent="0.25">
      <c r="A2843" s="1">
        <v>14</v>
      </c>
      <c r="B2843" s="1">
        <v>3</v>
      </c>
      <c r="C2843" s="1">
        <v>2020</v>
      </c>
      <c r="G2843" s="1" t="s">
        <v>40</v>
      </c>
      <c r="H2843" s="2">
        <v>66.37</v>
      </c>
      <c r="I2843" s="1">
        <v>154</v>
      </c>
      <c r="U2843" s="1">
        <v>192</v>
      </c>
      <c r="X2843" s="1">
        <v>177</v>
      </c>
      <c r="AA2843" s="1">
        <v>8</v>
      </c>
      <c r="AB2843" s="1">
        <v>11</v>
      </c>
      <c r="AC2843" s="1">
        <v>7519</v>
      </c>
      <c r="AF2843" s="3">
        <v>2.3203254482446889</v>
      </c>
      <c r="AG2843" s="3">
        <v>8.1251496601317843</v>
      </c>
      <c r="AH2843" s="1">
        <v>6271</v>
      </c>
      <c r="AI2843" s="1" t="b">
        <v>1</v>
      </c>
    </row>
    <row r="2844" spans="1:35" x14ac:dyDescent="0.25">
      <c r="A2844" s="1">
        <v>14</v>
      </c>
      <c r="B2844" s="1">
        <v>3</v>
      </c>
      <c r="C2844" s="1">
        <v>2020</v>
      </c>
      <c r="G2844" s="1" t="s">
        <v>40</v>
      </c>
      <c r="H2844" s="2">
        <v>81.739999999999995</v>
      </c>
      <c r="I2844" s="1">
        <v>162</v>
      </c>
      <c r="U2844" s="1">
        <v>224</v>
      </c>
      <c r="X2844" s="1">
        <v>198</v>
      </c>
      <c r="AA2844" s="1">
        <v>17</v>
      </c>
      <c r="AB2844" s="1">
        <v>10</v>
      </c>
      <c r="AC2844" s="1">
        <v>9625</v>
      </c>
      <c r="AF2844" s="3">
        <v>1.9818938096403231</v>
      </c>
      <c r="AG2844" s="3">
        <v>11.005856911500109</v>
      </c>
      <c r="AH2844" s="1">
        <v>6271</v>
      </c>
      <c r="AI2844" s="1" t="b">
        <v>1</v>
      </c>
    </row>
    <row r="2845" spans="1:35" x14ac:dyDescent="0.25">
      <c r="A2845" s="1">
        <v>14</v>
      </c>
      <c r="B2845" s="1">
        <v>3</v>
      </c>
      <c r="C2845" s="1">
        <v>2020</v>
      </c>
      <c r="G2845" s="1" t="s">
        <v>40</v>
      </c>
      <c r="H2845" s="2">
        <v>68.930000000000007</v>
      </c>
      <c r="I2845" s="1">
        <v>165</v>
      </c>
      <c r="U2845" s="1">
        <v>235</v>
      </c>
      <c r="X2845" s="1">
        <v>208</v>
      </c>
      <c r="AA2845" s="1">
        <v>16</v>
      </c>
      <c r="AB2845" s="1">
        <v>13</v>
      </c>
      <c r="AC2845" s="1">
        <v>7841</v>
      </c>
      <c r="AF2845" s="3">
        <v>2.3937327723777742</v>
      </c>
      <c r="AG2845" s="3">
        <v>8.0874224493201901</v>
      </c>
      <c r="AH2845" s="1">
        <v>6271</v>
      </c>
      <c r="AI2845" s="1" t="b">
        <v>1</v>
      </c>
    </row>
    <row r="2846" spans="1:35" x14ac:dyDescent="0.25">
      <c r="A2846" s="1">
        <v>14</v>
      </c>
      <c r="B2846" s="1">
        <v>3</v>
      </c>
      <c r="C2846" s="1">
        <v>2020</v>
      </c>
      <c r="G2846" s="1" t="s">
        <v>40</v>
      </c>
      <c r="H2846" s="2">
        <v>78.150000000000006</v>
      </c>
      <c r="I2846" s="1">
        <v>172</v>
      </c>
      <c r="U2846" s="1">
        <v>231</v>
      </c>
      <c r="X2846" s="1">
        <v>213</v>
      </c>
      <c r="AA2846" s="1">
        <v>14</v>
      </c>
      <c r="AB2846" s="1">
        <v>11</v>
      </c>
      <c r="AC2846" s="1">
        <v>8845</v>
      </c>
      <c r="AF2846" s="3">
        <v>2.2008957133717209</v>
      </c>
      <c r="AG2846" s="3">
        <v>9.6039706262326785</v>
      </c>
      <c r="AH2846" s="1">
        <v>6271</v>
      </c>
      <c r="AI2846" s="1" t="b">
        <v>1</v>
      </c>
    </row>
    <row r="2847" spans="1:35" x14ac:dyDescent="0.25">
      <c r="A2847" s="1">
        <v>14</v>
      </c>
      <c r="B2847" s="1">
        <v>3</v>
      </c>
      <c r="C2847" s="1">
        <v>2020</v>
      </c>
      <c r="G2847" s="1" t="s">
        <v>40</v>
      </c>
      <c r="H2847" s="2">
        <v>80.63</v>
      </c>
      <c r="I2847" s="1">
        <v>187</v>
      </c>
      <c r="U2847" s="1">
        <v>250</v>
      </c>
      <c r="X2847" s="1">
        <v>223</v>
      </c>
      <c r="AA2847" s="1">
        <v>15</v>
      </c>
      <c r="AB2847" s="1">
        <v>10</v>
      </c>
      <c r="AC2847" s="1">
        <v>8709</v>
      </c>
      <c r="AF2847" s="3">
        <v>2.3192360163710779</v>
      </c>
      <c r="AG2847" s="3">
        <v>9.3154258903866864</v>
      </c>
      <c r="AH2847" s="1">
        <v>6271</v>
      </c>
      <c r="AI2847" s="1" t="b">
        <v>1</v>
      </c>
    </row>
    <row r="2848" spans="1:35" x14ac:dyDescent="0.25">
      <c r="A2848" s="1">
        <v>14</v>
      </c>
      <c r="B2848" s="1">
        <v>3</v>
      </c>
      <c r="C2848" s="1">
        <v>2020</v>
      </c>
      <c r="G2848" s="1" t="s">
        <v>40</v>
      </c>
      <c r="H2848" s="2">
        <v>68.67</v>
      </c>
      <c r="I2848" s="1">
        <v>167</v>
      </c>
      <c r="U2848" s="1">
        <v>225</v>
      </c>
      <c r="X2848" s="1">
        <v>203</v>
      </c>
      <c r="AA2848" s="1">
        <v>14</v>
      </c>
      <c r="AB2848" s="1">
        <v>9</v>
      </c>
      <c r="AC2848" s="1">
        <v>7500</v>
      </c>
      <c r="AF2848" s="3">
        <v>2.4319207805446337</v>
      </c>
      <c r="AG2848" s="3">
        <v>7.9393968274603415</v>
      </c>
      <c r="AH2848" s="1">
        <v>6271</v>
      </c>
      <c r="AI2848" s="1" t="b">
        <v>1</v>
      </c>
    </row>
    <row r="2849" spans="1:35" x14ac:dyDescent="0.25">
      <c r="A2849" s="1">
        <v>14</v>
      </c>
      <c r="B2849" s="1">
        <v>3</v>
      </c>
      <c r="C2849" s="1">
        <v>2020</v>
      </c>
      <c r="G2849" s="1" t="s">
        <v>40</v>
      </c>
      <c r="H2849" s="2">
        <v>71.489999999999995</v>
      </c>
      <c r="I2849" s="1">
        <v>167</v>
      </c>
      <c r="U2849" s="1">
        <v>226</v>
      </c>
      <c r="X2849" s="1">
        <v>204</v>
      </c>
      <c r="AA2849" s="1">
        <v>16</v>
      </c>
      <c r="AB2849" s="1">
        <v>11</v>
      </c>
      <c r="AC2849" s="1">
        <v>8307</v>
      </c>
      <c r="AF2849" s="3">
        <v>2.3359910476989789</v>
      </c>
      <c r="AG2849" s="3">
        <v>8.5015973826195186</v>
      </c>
      <c r="AH2849" s="1">
        <v>6271</v>
      </c>
      <c r="AI2849" s="1" t="b">
        <v>1</v>
      </c>
    </row>
    <row r="2850" spans="1:35" x14ac:dyDescent="0.25">
      <c r="A2850" s="1">
        <v>14</v>
      </c>
      <c r="B2850" s="1">
        <v>3</v>
      </c>
      <c r="C2850" s="1">
        <v>2020</v>
      </c>
      <c r="G2850" s="1" t="s">
        <v>40</v>
      </c>
      <c r="H2850" s="2">
        <v>77.430000000000007</v>
      </c>
      <c r="I2850" s="1">
        <v>181</v>
      </c>
      <c r="U2850" s="1">
        <v>247</v>
      </c>
      <c r="X2850" s="1">
        <v>226</v>
      </c>
      <c r="AA2850" s="1">
        <v>16</v>
      </c>
      <c r="AB2850" s="1">
        <v>12</v>
      </c>
      <c r="AC2850" s="1">
        <v>9402</v>
      </c>
      <c r="AF2850" s="3">
        <v>2.3375952473201598</v>
      </c>
      <c r="AG2850" s="3">
        <v>8.9839466834935582</v>
      </c>
      <c r="AH2850" s="1">
        <v>6271</v>
      </c>
      <c r="AI2850" s="1" t="b">
        <v>1</v>
      </c>
    </row>
    <row r="2851" spans="1:35" x14ac:dyDescent="0.25">
      <c r="A2851" s="1">
        <v>15</v>
      </c>
      <c r="B2851" s="1">
        <v>3</v>
      </c>
      <c r="C2851" s="1">
        <v>2020</v>
      </c>
      <c r="G2851" s="1" t="s">
        <v>40</v>
      </c>
      <c r="H2851" s="2">
        <v>81.7</v>
      </c>
      <c r="I2851" s="1">
        <v>176</v>
      </c>
      <c r="U2851" s="1">
        <v>227</v>
      </c>
      <c r="X2851" s="1">
        <v>210</v>
      </c>
      <c r="AA2851" s="1">
        <v>13</v>
      </c>
      <c r="AB2851" s="1">
        <v>5</v>
      </c>
      <c r="AC2851" s="1">
        <v>8774</v>
      </c>
      <c r="AF2851" s="3">
        <v>2.1542227662178703</v>
      </c>
      <c r="AG2851" s="3">
        <v>10.121964930793377</v>
      </c>
      <c r="AH2851" s="1">
        <v>6271</v>
      </c>
      <c r="AI2851" s="1" t="b">
        <v>1</v>
      </c>
    </row>
    <row r="2852" spans="1:35" x14ac:dyDescent="0.25">
      <c r="A2852" s="1">
        <v>15</v>
      </c>
      <c r="B2852" s="1">
        <v>3</v>
      </c>
      <c r="C2852" s="1">
        <v>2020</v>
      </c>
      <c r="G2852" s="1" t="s">
        <v>40</v>
      </c>
      <c r="H2852" s="2">
        <v>74.31</v>
      </c>
      <c r="I2852" s="1">
        <v>142</v>
      </c>
      <c r="U2852" s="1">
        <v>216</v>
      </c>
      <c r="X2852" s="1">
        <v>188</v>
      </c>
      <c r="AA2852" s="1">
        <v>18</v>
      </c>
      <c r="AB2852" s="1">
        <v>17</v>
      </c>
      <c r="AC2852" s="1">
        <v>9263</v>
      </c>
      <c r="AF2852" s="3">
        <v>1.9109137397389315</v>
      </c>
      <c r="AG2852" s="3">
        <v>10.678051222581619</v>
      </c>
      <c r="AH2852" s="1">
        <v>6271</v>
      </c>
      <c r="AI2852" s="1" t="b">
        <v>1</v>
      </c>
    </row>
    <row r="2853" spans="1:35" x14ac:dyDescent="0.25">
      <c r="A2853" s="1">
        <v>15</v>
      </c>
      <c r="B2853" s="1">
        <v>3</v>
      </c>
      <c r="C2853" s="1">
        <v>2020</v>
      </c>
      <c r="G2853" s="1" t="s">
        <v>40</v>
      </c>
      <c r="H2853" s="2">
        <v>67.52</v>
      </c>
      <c r="I2853" s="1">
        <v>138</v>
      </c>
      <c r="U2853" s="1">
        <v>241</v>
      </c>
      <c r="X2853" s="1">
        <v>201</v>
      </c>
      <c r="AA2853" s="1">
        <v>25</v>
      </c>
      <c r="AB2853" s="1">
        <v>20</v>
      </c>
      <c r="AC2853" s="1">
        <v>7533</v>
      </c>
      <c r="AF2853" s="3">
        <v>2.0438388625592419</v>
      </c>
      <c r="AG2853" s="3">
        <v>9.3358969810538923</v>
      </c>
      <c r="AH2853" s="1">
        <v>6271</v>
      </c>
      <c r="AI2853" s="1" t="b">
        <v>1</v>
      </c>
    </row>
    <row r="2854" spans="1:35" x14ac:dyDescent="0.25">
      <c r="A2854" s="1">
        <v>15</v>
      </c>
      <c r="B2854" s="1">
        <v>3</v>
      </c>
      <c r="C2854" s="1">
        <v>2020</v>
      </c>
      <c r="G2854" s="1" t="s">
        <v>40</v>
      </c>
      <c r="H2854" s="2">
        <v>78.11</v>
      </c>
      <c r="I2854" s="1">
        <v>182</v>
      </c>
      <c r="U2854" s="1">
        <v>247</v>
      </c>
      <c r="X2854" s="1">
        <v>222</v>
      </c>
      <c r="AA2854" s="1">
        <v>14</v>
      </c>
      <c r="AB2854" s="1">
        <v>8</v>
      </c>
      <c r="AC2854" s="1">
        <v>8264</v>
      </c>
      <c r="AF2854" s="3">
        <v>2.3300473690948662</v>
      </c>
      <c r="AG2854" s="3">
        <v>9.0683838804655519</v>
      </c>
      <c r="AH2854" s="1">
        <v>6271</v>
      </c>
      <c r="AI2854" s="1" t="b">
        <v>1</v>
      </c>
    </row>
    <row r="2855" spans="1:35" x14ac:dyDescent="0.25">
      <c r="A2855" s="1">
        <v>15</v>
      </c>
      <c r="B2855" s="1">
        <v>3</v>
      </c>
      <c r="C2855" s="1">
        <v>2020</v>
      </c>
      <c r="G2855" s="1" t="s">
        <v>40</v>
      </c>
      <c r="H2855" s="2">
        <v>76.56</v>
      </c>
      <c r="I2855" s="1">
        <v>163</v>
      </c>
      <c r="U2855" s="1">
        <v>216</v>
      </c>
      <c r="X2855" s="1">
        <v>198</v>
      </c>
      <c r="AA2855" s="1">
        <v>13</v>
      </c>
      <c r="AB2855" s="1">
        <v>7</v>
      </c>
      <c r="AC2855" s="1">
        <v>8311</v>
      </c>
      <c r="AF2855" s="3">
        <v>2.1290491118077326</v>
      </c>
      <c r="AG2855" s="3">
        <v>9.7862356151942453</v>
      </c>
      <c r="AH2855" s="1">
        <v>6271</v>
      </c>
      <c r="AI2855" s="1" t="b">
        <v>1</v>
      </c>
    </row>
    <row r="2856" spans="1:35" x14ac:dyDescent="0.25">
      <c r="A2856" s="1">
        <v>16</v>
      </c>
      <c r="B2856" s="1">
        <v>3</v>
      </c>
      <c r="C2856" s="1">
        <v>2020</v>
      </c>
      <c r="G2856" s="1" t="s">
        <v>40</v>
      </c>
      <c r="H2856" s="2">
        <v>70.27</v>
      </c>
      <c r="I2856" s="1">
        <v>166</v>
      </c>
      <c r="U2856" s="1">
        <v>219</v>
      </c>
      <c r="X2856" s="1">
        <v>195</v>
      </c>
      <c r="AA2856" s="1">
        <v>13</v>
      </c>
      <c r="AB2856" s="1">
        <v>13</v>
      </c>
      <c r="AC2856" s="1">
        <v>7726</v>
      </c>
      <c r="AF2856" s="3">
        <v>2.3623167781414547</v>
      </c>
      <c r="AG2856" s="3">
        <v>8.3061703352298082</v>
      </c>
      <c r="AH2856" s="1">
        <v>6272</v>
      </c>
      <c r="AI2856" s="1" t="b">
        <v>1</v>
      </c>
    </row>
    <row r="2857" spans="1:35" x14ac:dyDescent="0.25">
      <c r="A2857" s="1">
        <v>16</v>
      </c>
      <c r="B2857" s="1">
        <v>3</v>
      </c>
      <c r="C2857" s="1">
        <v>2020</v>
      </c>
      <c r="G2857" s="1" t="s">
        <v>40</v>
      </c>
      <c r="H2857" s="2">
        <v>66.569999999999993</v>
      </c>
      <c r="I2857" s="1">
        <v>147</v>
      </c>
      <c r="U2857" s="1">
        <v>195</v>
      </c>
      <c r="X2857" s="1">
        <v>175</v>
      </c>
      <c r="AA2857" s="1">
        <v>10</v>
      </c>
      <c r="AB2857" s="1">
        <v>14</v>
      </c>
      <c r="AC2857" s="1">
        <v>7328</v>
      </c>
      <c r="AF2857" s="3">
        <v>2.2082018927444795</v>
      </c>
      <c r="AG2857" s="3">
        <v>8.5557130839928277</v>
      </c>
      <c r="AH2857" s="1">
        <v>6272</v>
      </c>
      <c r="AI2857" s="1" t="b">
        <v>1</v>
      </c>
    </row>
    <row r="2858" spans="1:35" x14ac:dyDescent="0.25">
      <c r="A2858" s="1">
        <v>17</v>
      </c>
      <c r="B2858" s="1">
        <v>3</v>
      </c>
      <c r="C2858" s="1">
        <v>2020</v>
      </c>
      <c r="G2858" s="1" t="s">
        <v>40</v>
      </c>
      <c r="H2858" s="2">
        <v>83.67</v>
      </c>
      <c r="I2858" s="1">
        <v>199</v>
      </c>
      <c r="U2858" s="1">
        <v>247</v>
      </c>
      <c r="X2858" s="1">
        <v>226</v>
      </c>
      <c r="AA2858" s="1">
        <v>11</v>
      </c>
      <c r="AB2858" s="1">
        <v>7</v>
      </c>
      <c r="AC2858" s="1">
        <v>9841</v>
      </c>
      <c r="AF2858" s="3">
        <v>2.3783912991514282</v>
      </c>
      <c r="AG2858" s="3">
        <v>9.3221380677448984</v>
      </c>
      <c r="AH2858" s="1">
        <v>6272</v>
      </c>
      <c r="AI2858" s="1" t="b">
        <v>1</v>
      </c>
    </row>
    <row r="2859" spans="1:35" x14ac:dyDescent="0.25">
      <c r="A2859" s="1">
        <v>17</v>
      </c>
      <c r="B2859" s="1">
        <v>3</v>
      </c>
      <c r="C2859" s="1">
        <v>2020</v>
      </c>
      <c r="G2859" s="1" t="s">
        <v>40</v>
      </c>
      <c r="H2859" s="2">
        <v>77.56</v>
      </c>
      <c r="I2859" s="1">
        <v>188</v>
      </c>
      <c r="U2859" s="1">
        <v>259</v>
      </c>
      <c r="X2859" s="1">
        <v>229</v>
      </c>
      <c r="AA2859" s="1">
        <v>14</v>
      </c>
      <c r="AB2859" s="1">
        <v>7</v>
      </c>
      <c r="AC2859" s="1">
        <v>8979</v>
      </c>
      <c r="AF2859" s="3">
        <v>2.4239298607529656</v>
      </c>
      <c r="AG2859" s="3">
        <v>8.6741396819593977</v>
      </c>
      <c r="AH2859" s="1">
        <v>6272</v>
      </c>
      <c r="AI2859" s="1" t="b">
        <v>1</v>
      </c>
    </row>
    <row r="2860" spans="1:35" x14ac:dyDescent="0.25">
      <c r="A2860" s="1">
        <v>17</v>
      </c>
      <c r="B2860" s="1">
        <v>3</v>
      </c>
      <c r="C2860" s="1">
        <v>2020</v>
      </c>
      <c r="G2860" s="1" t="s">
        <v>40</v>
      </c>
      <c r="H2860" s="2">
        <v>71.52</v>
      </c>
      <c r="I2860" s="1">
        <v>167</v>
      </c>
      <c r="U2860" s="1">
        <v>213</v>
      </c>
      <c r="X2860" s="1">
        <v>195</v>
      </c>
      <c r="AA2860" s="1">
        <v>11</v>
      </c>
      <c r="AB2860" s="1">
        <v>12</v>
      </c>
      <c r="AC2860" s="1">
        <v>8323</v>
      </c>
      <c r="AF2860" s="3">
        <v>2.3350111856823266</v>
      </c>
      <c r="AG2860" s="3">
        <v>8.5076631980559565</v>
      </c>
      <c r="AH2860" s="1">
        <v>6272</v>
      </c>
      <c r="AI2860" s="1" t="b">
        <v>1</v>
      </c>
    </row>
    <row r="2861" spans="1:35" x14ac:dyDescent="0.25">
      <c r="A2861" s="1">
        <v>19</v>
      </c>
      <c r="B2861" s="1">
        <v>3</v>
      </c>
      <c r="C2861" s="1">
        <v>2020</v>
      </c>
      <c r="G2861" s="1" t="s">
        <v>40</v>
      </c>
      <c r="H2861" s="2">
        <v>82.18</v>
      </c>
      <c r="I2861" s="1">
        <v>177</v>
      </c>
      <c r="U2861" s="1">
        <v>239</v>
      </c>
      <c r="X2861" s="1">
        <v>216</v>
      </c>
      <c r="AA2861" s="1">
        <v>14</v>
      </c>
      <c r="AB2861" s="1">
        <v>15</v>
      </c>
      <c r="AC2861" s="1">
        <v>9455</v>
      </c>
      <c r="AF2861" s="3">
        <v>2.1538087125821366</v>
      </c>
      <c r="AG2861" s="3">
        <v>10.165509871091366</v>
      </c>
      <c r="AH2861" s="1">
        <v>6272</v>
      </c>
      <c r="AI2861" s="1" t="b">
        <v>1</v>
      </c>
    </row>
    <row r="2862" spans="1:35" x14ac:dyDescent="0.25">
      <c r="A2862" s="1">
        <v>19</v>
      </c>
      <c r="B2862" s="1">
        <v>3</v>
      </c>
      <c r="C2862" s="1">
        <v>2020</v>
      </c>
      <c r="G2862" s="1" t="s">
        <v>40</v>
      </c>
      <c r="H2862" s="2">
        <v>75.17</v>
      </c>
      <c r="I2862" s="1">
        <v>161</v>
      </c>
      <c r="U2862" s="1">
        <v>223</v>
      </c>
      <c r="X2862" s="1">
        <v>196</v>
      </c>
      <c r="AA2862" s="1">
        <v>15</v>
      </c>
      <c r="AB2862" s="1">
        <v>10</v>
      </c>
      <c r="AC2862" s="1">
        <v>8235</v>
      </c>
      <c r="AF2862" s="3">
        <v>2.141811893042437</v>
      </c>
      <c r="AG2862" s="3">
        <v>9.6039493148169903</v>
      </c>
      <c r="AH2862" s="1">
        <v>6272</v>
      </c>
      <c r="AI2862" s="1" t="b">
        <v>1</v>
      </c>
    </row>
    <row r="2863" spans="1:35" x14ac:dyDescent="0.25">
      <c r="A2863" s="1">
        <v>19</v>
      </c>
      <c r="B2863" s="1">
        <v>3</v>
      </c>
      <c r="C2863" s="1">
        <v>2020</v>
      </c>
      <c r="G2863" s="1" t="s">
        <v>40</v>
      </c>
      <c r="H2863" s="2">
        <v>63.62</v>
      </c>
      <c r="I2863" s="1">
        <v>144</v>
      </c>
      <c r="U2863" s="1">
        <v>200</v>
      </c>
      <c r="X2863" s="1">
        <v>174</v>
      </c>
      <c r="AA2863" s="1">
        <v>13</v>
      </c>
      <c r="AB2863" s="1">
        <v>14</v>
      </c>
      <c r="AC2863" s="1">
        <v>7345</v>
      </c>
      <c r="AF2863" s="3">
        <v>2.2634391700723042</v>
      </c>
      <c r="AG2863" s="3">
        <v>8.086242065723944</v>
      </c>
      <c r="AH2863" s="1">
        <v>6272</v>
      </c>
      <c r="AI2863" s="1" t="b">
        <v>1</v>
      </c>
    </row>
    <row r="2864" spans="1:35" x14ac:dyDescent="0.25">
      <c r="A2864" s="1">
        <v>19</v>
      </c>
      <c r="B2864" s="1">
        <v>3</v>
      </c>
      <c r="C2864" s="1">
        <v>2020</v>
      </c>
      <c r="G2864" s="1" t="s">
        <v>40</v>
      </c>
      <c r="H2864" s="2">
        <v>84.53</v>
      </c>
      <c r="I2864" s="1">
        <v>164</v>
      </c>
      <c r="U2864" s="1">
        <v>248</v>
      </c>
      <c r="X2864" s="1">
        <v>218</v>
      </c>
      <c r="AA2864" s="1">
        <v>20</v>
      </c>
      <c r="AB2864" s="1">
        <v>13</v>
      </c>
      <c r="AC2864" s="1">
        <v>9621</v>
      </c>
      <c r="AF2864" s="3">
        <v>1.9401395954099137</v>
      </c>
      <c r="AG2864" s="3">
        <v>11.509981596001595</v>
      </c>
      <c r="AH2864" s="1">
        <v>6272</v>
      </c>
      <c r="AI2864" s="1" t="b">
        <v>1</v>
      </c>
    </row>
    <row r="2865" spans="1:35" x14ac:dyDescent="0.25">
      <c r="A2865" s="1">
        <v>20</v>
      </c>
      <c r="B2865" s="1">
        <v>3</v>
      </c>
      <c r="C2865" s="1">
        <v>2020</v>
      </c>
      <c r="G2865" s="1" t="s">
        <v>40</v>
      </c>
      <c r="H2865" s="2">
        <v>75.709999999999994</v>
      </c>
      <c r="I2865" s="1">
        <v>167</v>
      </c>
      <c r="U2865" s="1">
        <v>235</v>
      </c>
      <c r="X2865" s="1">
        <v>204</v>
      </c>
      <c r="AA2865" s="1">
        <v>15</v>
      </c>
      <c r="AB2865" s="1">
        <v>6</v>
      </c>
      <c r="AC2865" s="1">
        <v>8547</v>
      </c>
      <c r="AF2865" s="3">
        <v>2.2057852331264036</v>
      </c>
      <c r="AG2865" s="3">
        <v>9.372253942780878</v>
      </c>
      <c r="AH2865" s="1">
        <v>6272</v>
      </c>
      <c r="AI2865" s="1" t="b">
        <v>1</v>
      </c>
    </row>
    <row r="2866" spans="1:35" x14ac:dyDescent="0.25">
      <c r="A2866" s="1">
        <v>20</v>
      </c>
      <c r="B2866" s="1">
        <v>3</v>
      </c>
      <c r="C2866" s="1">
        <v>2020</v>
      </c>
      <c r="G2866" s="1" t="s">
        <v>40</v>
      </c>
      <c r="H2866" s="2">
        <v>88.66</v>
      </c>
      <c r="I2866" s="1">
        <v>204</v>
      </c>
      <c r="U2866" s="1">
        <v>263</v>
      </c>
      <c r="X2866" s="1">
        <v>234</v>
      </c>
      <c r="AA2866" s="1">
        <v>12</v>
      </c>
      <c r="AB2866" s="1">
        <v>8</v>
      </c>
      <c r="AC2866" s="1">
        <v>9467</v>
      </c>
      <c r="AF2866" s="3">
        <v>2.3009248815700429</v>
      </c>
      <c r="AG2866" s="3">
        <v>10.034759501525299</v>
      </c>
      <c r="AH2866" s="1">
        <v>6272</v>
      </c>
      <c r="AI2866" s="1" t="b">
        <v>1</v>
      </c>
    </row>
    <row r="2867" spans="1:35" x14ac:dyDescent="0.25">
      <c r="A2867" s="1">
        <v>20</v>
      </c>
      <c r="B2867" s="1">
        <v>3</v>
      </c>
      <c r="C2867" s="1">
        <v>2020</v>
      </c>
      <c r="G2867" s="1" t="s">
        <v>40</v>
      </c>
      <c r="H2867" s="2">
        <v>71.8</v>
      </c>
      <c r="I2867" s="1">
        <v>174</v>
      </c>
      <c r="U2867" s="1">
        <v>224</v>
      </c>
      <c r="X2867" s="1">
        <v>202</v>
      </c>
      <c r="AA2867" s="1">
        <v>12</v>
      </c>
      <c r="AB2867" s="1">
        <v>12</v>
      </c>
      <c r="AC2867" s="1">
        <v>8549</v>
      </c>
      <c r="AF2867" s="3">
        <v>2.4233983286908081</v>
      </c>
      <c r="AG2867" s="3">
        <v>8.2198199922689739</v>
      </c>
      <c r="AH2867" s="1">
        <v>6272</v>
      </c>
      <c r="AI2867" s="1" t="b">
        <v>1</v>
      </c>
    </row>
    <row r="2868" spans="1:35" x14ac:dyDescent="0.25">
      <c r="A2868" s="1">
        <v>20</v>
      </c>
      <c r="B2868" s="1">
        <v>3</v>
      </c>
      <c r="C2868" s="1">
        <v>2020</v>
      </c>
      <c r="G2868" s="1" t="s">
        <v>40</v>
      </c>
      <c r="H2868" s="2">
        <v>72.959999999999994</v>
      </c>
      <c r="I2868" s="1">
        <v>152</v>
      </c>
      <c r="U2868" s="1">
        <v>223</v>
      </c>
      <c r="X2868" s="1">
        <v>200</v>
      </c>
      <c r="AA2868" s="1">
        <v>15</v>
      </c>
      <c r="AB2868" s="1">
        <v>20</v>
      </c>
      <c r="AC2868" s="1">
        <v>8610</v>
      </c>
      <c r="AF2868" s="3">
        <v>2.0833333333333335</v>
      </c>
      <c r="AG2868" s="3">
        <v>9.6694242410777491</v>
      </c>
      <c r="AH2868" s="1">
        <v>6272</v>
      </c>
      <c r="AI2868" s="1" t="b">
        <v>1</v>
      </c>
    </row>
    <row r="2869" spans="1:35" x14ac:dyDescent="0.25">
      <c r="A2869" s="1">
        <v>21</v>
      </c>
      <c r="B2869" s="1">
        <v>3</v>
      </c>
      <c r="C2869" s="1">
        <v>2020</v>
      </c>
      <c r="G2869" s="1" t="s">
        <v>40</v>
      </c>
      <c r="H2869" s="2">
        <v>68.37</v>
      </c>
      <c r="I2869" s="1">
        <v>157</v>
      </c>
      <c r="U2869" s="1">
        <v>220</v>
      </c>
      <c r="X2869" s="1">
        <v>194</v>
      </c>
      <c r="AA2869" s="1">
        <v>16</v>
      </c>
      <c r="AB2869" s="1">
        <v>15</v>
      </c>
      <c r="AC2869" s="1">
        <v>7445</v>
      </c>
      <c r="AF2869" s="3">
        <v>2.2963287991809271</v>
      </c>
      <c r="AG2869" s="3">
        <v>8.3824666340879546</v>
      </c>
      <c r="AH2869" s="1">
        <v>6272</v>
      </c>
      <c r="AI2869" s="1" t="b">
        <v>1</v>
      </c>
    </row>
    <row r="2870" spans="1:35" x14ac:dyDescent="0.25">
      <c r="A2870" s="1">
        <v>21</v>
      </c>
      <c r="B2870" s="1">
        <v>3</v>
      </c>
      <c r="C2870" s="1">
        <v>2020</v>
      </c>
      <c r="G2870" s="1" t="s">
        <v>40</v>
      </c>
      <c r="H2870" s="2">
        <v>71.650000000000006</v>
      </c>
      <c r="I2870" s="1">
        <v>195</v>
      </c>
      <c r="U2870" s="1">
        <v>242</v>
      </c>
      <c r="X2870" s="1">
        <v>225</v>
      </c>
      <c r="AA2870" s="1">
        <v>12</v>
      </c>
      <c r="AB2870" s="1">
        <v>11</v>
      </c>
      <c r="AC2870" s="1">
        <v>7832</v>
      </c>
      <c r="AF2870" s="3">
        <v>2.7215631542219119</v>
      </c>
      <c r="AG2870" s="3">
        <v>7.3085785620843602</v>
      </c>
      <c r="AH2870" s="1">
        <v>6272</v>
      </c>
      <c r="AI2870" s="1" t="b">
        <v>1</v>
      </c>
    </row>
    <row r="2871" spans="1:35" x14ac:dyDescent="0.25">
      <c r="A2871" s="1">
        <v>21</v>
      </c>
      <c r="B2871" s="1">
        <v>3</v>
      </c>
      <c r="C2871" s="1">
        <v>2020</v>
      </c>
      <c r="G2871" s="1" t="s">
        <v>40</v>
      </c>
      <c r="H2871" s="2">
        <v>77.099999999999994</v>
      </c>
      <c r="I2871" s="1">
        <v>214</v>
      </c>
      <c r="U2871" s="1">
        <v>268</v>
      </c>
      <c r="X2871" s="1">
        <v>245</v>
      </c>
      <c r="AA2871" s="1">
        <v>14</v>
      </c>
      <c r="AB2871" s="1">
        <v>9</v>
      </c>
      <c r="AC2871" s="1">
        <v>8865</v>
      </c>
      <c r="AF2871" s="3">
        <v>2.7756160830090795</v>
      </c>
      <c r="AG2871" s="3">
        <v>7.5436003039305763</v>
      </c>
      <c r="AH2871" s="1">
        <v>6272</v>
      </c>
      <c r="AI2871" s="1" t="b">
        <v>1</v>
      </c>
    </row>
    <row r="2872" spans="1:35" x14ac:dyDescent="0.25">
      <c r="A2872" s="1">
        <v>21</v>
      </c>
      <c r="B2872" s="1">
        <v>3</v>
      </c>
      <c r="C2872" s="1">
        <v>2020</v>
      </c>
      <c r="G2872" s="1" t="s">
        <v>40</v>
      </c>
      <c r="H2872" s="2">
        <v>65.599999999999994</v>
      </c>
      <c r="I2872" s="1">
        <v>165</v>
      </c>
      <c r="U2872" s="1">
        <v>218</v>
      </c>
      <c r="X2872" s="1">
        <v>200</v>
      </c>
      <c r="AA2872" s="1">
        <v>12</v>
      </c>
      <c r="AB2872" s="1">
        <v>8</v>
      </c>
      <c r="AC2872" s="1">
        <v>8024</v>
      </c>
      <c r="AF2872" s="3">
        <v>2.5152439024390247</v>
      </c>
      <c r="AG2872" s="3">
        <v>7.4345139847489046</v>
      </c>
      <c r="AH2872" s="1">
        <v>6272</v>
      </c>
      <c r="AI2872" s="1" t="b">
        <v>1</v>
      </c>
    </row>
    <row r="2873" spans="1:35" x14ac:dyDescent="0.25">
      <c r="A2873" s="1">
        <v>21</v>
      </c>
      <c r="B2873" s="1">
        <v>3</v>
      </c>
      <c r="C2873" s="1">
        <v>2020</v>
      </c>
      <c r="G2873" s="1" t="s">
        <v>40</v>
      </c>
      <c r="H2873" s="2">
        <v>76.39</v>
      </c>
      <c r="I2873" s="1">
        <v>181</v>
      </c>
      <c r="U2873" s="1">
        <v>238</v>
      </c>
      <c r="X2873" s="1">
        <v>214</v>
      </c>
      <c r="AA2873" s="1">
        <v>13</v>
      </c>
      <c r="AB2873" s="1">
        <v>9</v>
      </c>
      <c r="AC2873" s="1">
        <v>8129</v>
      </c>
      <c r="AF2873" s="3">
        <v>2.3694200811624557</v>
      </c>
      <c r="AG2873" s="3">
        <v>8.7797771394537047</v>
      </c>
      <c r="AH2873" s="1">
        <v>6272</v>
      </c>
      <c r="AI2873" s="1" t="b">
        <v>1</v>
      </c>
    </row>
    <row r="2874" spans="1:35" x14ac:dyDescent="0.25">
      <c r="A2874" s="1">
        <v>21</v>
      </c>
      <c r="B2874" s="1">
        <v>3</v>
      </c>
      <c r="C2874" s="1">
        <v>2020</v>
      </c>
      <c r="G2874" s="1" t="s">
        <v>40</v>
      </c>
      <c r="H2874" s="2">
        <v>74.819999999999993</v>
      </c>
      <c r="I2874" s="1">
        <v>208</v>
      </c>
      <c r="U2874" s="1">
        <v>261</v>
      </c>
      <c r="X2874" s="1">
        <v>240</v>
      </c>
      <c r="AA2874" s="1">
        <v>11</v>
      </c>
      <c r="AB2874" s="1">
        <v>5</v>
      </c>
      <c r="AC2874" s="1">
        <v>8859</v>
      </c>
      <c r="AF2874" s="3">
        <v>2.7800053461641276</v>
      </c>
      <c r="AG2874" s="3">
        <v>7.3750804413100832</v>
      </c>
      <c r="AH2874" s="1">
        <v>6272</v>
      </c>
      <c r="AI2874" s="1" t="b">
        <v>1</v>
      </c>
    </row>
    <row r="2875" spans="1:35" x14ac:dyDescent="0.25">
      <c r="A2875" s="1">
        <v>22</v>
      </c>
      <c r="B2875" s="1">
        <v>3</v>
      </c>
      <c r="C2875" s="1">
        <v>2020</v>
      </c>
      <c r="G2875" s="1" t="s">
        <v>40</v>
      </c>
      <c r="H2875" s="2">
        <v>73.739999999999995</v>
      </c>
      <c r="I2875" s="1">
        <v>142</v>
      </c>
      <c r="U2875" s="1">
        <v>206</v>
      </c>
      <c r="X2875" s="1">
        <v>180</v>
      </c>
      <c r="AA2875" s="1">
        <v>16</v>
      </c>
      <c r="AB2875" s="1">
        <v>12</v>
      </c>
      <c r="AC2875" s="1">
        <v>8163</v>
      </c>
      <c r="AF2875" s="3">
        <v>1.9256848386221861</v>
      </c>
      <c r="AG2875" s="3">
        <v>10.53918388836466</v>
      </c>
      <c r="AH2875" s="1">
        <v>6272</v>
      </c>
      <c r="AI2875" s="1" t="b">
        <v>1</v>
      </c>
    </row>
    <row r="2876" spans="1:35" x14ac:dyDescent="0.25">
      <c r="A2876" s="1">
        <v>26</v>
      </c>
      <c r="B2876" s="1">
        <v>3</v>
      </c>
      <c r="C2876" s="1">
        <v>2020</v>
      </c>
      <c r="G2876" s="1" t="s">
        <v>40</v>
      </c>
      <c r="H2876" s="2">
        <v>71.72</v>
      </c>
      <c r="I2876" s="1">
        <v>176</v>
      </c>
      <c r="U2876" s="1">
        <v>216</v>
      </c>
      <c r="X2876" s="1">
        <v>203</v>
      </c>
      <c r="AA2876" s="1">
        <v>10</v>
      </c>
      <c r="AB2876" s="1">
        <v>9</v>
      </c>
      <c r="AC2876" s="1">
        <v>8249</v>
      </c>
      <c r="AF2876" s="3">
        <v>2.4539877300613497</v>
      </c>
      <c r="AG2876" s="3">
        <v>8.1110263017966773</v>
      </c>
      <c r="AH2876" s="1">
        <v>6273</v>
      </c>
      <c r="AI2876" s="1" t="b">
        <v>1</v>
      </c>
    </row>
    <row r="2877" spans="1:35" x14ac:dyDescent="0.25">
      <c r="A2877" s="1">
        <v>26</v>
      </c>
      <c r="B2877" s="1">
        <v>3</v>
      </c>
      <c r="C2877" s="1">
        <v>2020</v>
      </c>
      <c r="G2877" s="1" t="s">
        <v>40</v>
      </c>
      <c r="H2877" s="2">
        <v>67.34</v>
      </c>
      <c r="I2877" s="1">
        <v>155</v>
      </c>
      <c r="U2877" s="1">
        <v>208</v>
      </c>
      <c r="X2877" s="1">
        <v>181</v>
      </c>
      <c r="AA2877" s="1">
        <v>12</v>
      </c>
      <c r="AB2877" s="1">
        <v>8</v>
      </c>
      <c r="AC2877" s="1">
        <v>7444</v>
      </c>
      <c r="AF2877" s="3">
        <v>2.3017523017523018</v>
      </c>
      <c r="AG2877" s="3">
        <v>8.2743253267338925</v>
      </c>
      <c r="AH2877" s="1">
        <v>6273</v>
      </c>
      <c r="AI2877" s="1" t="b">
        <v>1</v>
      </c>
    </row>
    <row r="2878" spans="1:35" x14ac:dyDescent="0.25">
      <c r="A2878" s="1">
        <v>26</v>
      </c>
      <c r="B2878" s="1">
        <v>3</v>
      </c>
      <c r="C2878" s="1">
        <v>2020</v>
      </c>
      <c r="G2878" s="1" t="s">
        <v>40</v>
      </c>
      <c r="H2878" s="2">
        <v>73.790000000000006</v>
      </c>
      <c r="I2878" s="1">
        <v>171</v>
      </c>
      <c r="U2878" s="1">
        <v>227</v>
      </c>
      <c r="X2878" s="1">
        <v>199</v>
      </c>
      <c r="AA2878" s="1">
        <v>12</v>
      </c>
      <c r="AB2878" s="1">
        <v>7</v>
      </c>
      <c r="AC2878" s="1">
        <v>8064</v>
      </c>
      <c r="AF2878" s="3">
        <v>2.3173871798346659</v>
      </c>
      <c r="AG2878" s="3">
        <v>8.7619275379033734</v>
      </c>
      <c r="AH2878" s="1">
        <v>6273</v>
      </c>
      <c r="AI2878" s="1" t="b">
        <v>1</v>
      </c>
    </row>
    <row r="2879" spans="1:35" x14ac:dyDescent="0.25">
      <c r="A2879" s="1">
        <v>27</v>
      </c>
      <c r="B2879" s="1">
        <v>3</v>
      </c>
      <c r="C2879" s="1">
        <v>2020</v>
      </c>
      <c r="G2879" s="1" t="s">
        <v>40</v>
      </c>
      <c r="H2879" s="2">
        <v>80.89</v>
      </c>
      <c r="I2879" s="1">
        <v>205</v>
      </c>
      <c r="U2879" s="1">
        <v>258</v>
      </c>
      <c r="X2879" s="1">
        <v>231</v>
      </c>
      <c r="AA2879" s="1">
        <v>10</v>
      </c>
      <c r="AB2879" s="1">
        <v>6</v>
      </c>
      <c r="AC2879" s="1">
        <v>8858</v>
      </c>
      <c r="AF2879" s="3">
        <v>2.5343058474471505</v>
      </c>
      <c r="AG2879" s="3">
        <v>8.5441203908877377</v>
      </c>
      <c r="AH2879" s="1">
        <v>6273</v>
      </c>
      <c r="AI2879" s="1" t="b">
        <v>1</v>
      </c>
    </row>
    <row r="2880" spans="1:35" x14ac:dyDescent="0.25">
      <c r="A2880" s="1">
        <v>27</v>
      </c>
      <c r="B2880" s="1">
        <v>3</v>
      </c>
      <c r="C2880" s="1">
        <v>2020</v>
      </c>
      <c r="G2880" s="1" t="s">
        <v>40</v>
      </c>
      <c r="H2880" s="2">
        <v>76.540000000000006</v>
      </c>
      <c r="I2880" s="1">
        <v>161</v>
      </c>
      <c r="U2880" s="1">
        <v>208</v>
      </c>
      <c r="X2880" s="1">
        <v>192</v>
      </c>
      <c r="AA2880" s="1">
        <v>11</v>
      </c>
      <c r="AB2880" s="1">
        <v>11</v>
      </c>
      <c r="AC2880" s="1">
        <v>8143</v>
      </c>
      <c r="AF2880" s="3">
        <v>2.1034753070290044</v>
      </c>
      <c r="AG2880" s="3">
        <v>9.9034041444497678</v>
      </c>
      <c r="AH2880" s="1">
        <v>6273</v>
      </c>
      <c r="AI2880" s="1" t="b">
        <v>1</v>
      </c>
    </row>
    <row r="2881" spans="1:35" x14ac:dyDescent="0.25">
      <c r="A2881" s="1">
        <v>27</v>
      </c>
      <c r="B2881" s="1">
        <v>3</v>
      </c>
      <c r="C2881" s="1">
        <v>2020</v>
      </c>
      <c r="G2881" s="1" t="s">
        <v>40</v>
      </c>
      <c r="H2881" s="2">
        <v>77.17</v>
      </c>
      <c r="I2881" s="1">
        <v>177</v>
      </c>
      <c r="U2881" s="1">
        <v>246</v>
      </c>
      <c r="X2881" s="1">
        <v>218</v>
      </c>
      <c r="AA2881" s="1">
        <v>17</v>
      </c>
      <c r="AB2881" s="1">
        <v>11</v>
      </c>
      <c r="AC2881" s="1">
        <v>8960</v>
      </c>
      <c r="AF2881" s="3">
        <v>2.2936374238693791</v>
      </c>
      <c r="AG2881" s="3">
        <v>9.1345926282261374</v>
      </c>
      <c r="AH2881" s="1">
        <v>6273</v>
      </c>
      <c r="AI2881" s="1" t="b">
        <v>1</v>
      </c>
    </row>
    <row r="2882" spans="1:35" x14ac:dyDescent="0.25">
      <c r="A2882" s="1">
        <v>27</v>
      </c>
      <c r="B2882" s="1">
        <v>3</v>
      </c>
      <c r="C2882" s="1">
        <v>2020</v>
      </c>
      <c r="G2882" s="1" t="s">
        <v>40</v>
      </c>
      <c r="H2882" s="2">
        <v>81.52</v>
      </c>
      <c r="I2882" s="1">
        <v>183</v>
      </c>
      <c r="U2882" s="1">
        <v>243</v>
      </c>
      <c r="X2882" s="1">
        <v>217</v>
      </c>
      <c r="AA2882" s="1">
        <v>11</v>
      </c>
      <c r="AB2882" s="1">
        <v>7</v>
      </c>
      <c r="AC2882" s="1">
        <v>8851</v>
      </c>
      <c r="AF2882" s="3">
        <v>2.2448478900883222</v>
      </c>
      <c r="AG2882" s="3">
        <v>9.6983533009871703</v>
      </c>
      <c r="AH2882" s="1">
        <v>6273</v>
      </c>
      <c r="AI2882" s="1" t="b">
        <v>1</v>
      </c>
    </row>
    <row r="2883" spans="1:35" x14ac:dyDescent="0.25">
      <c r="A2883" s="1">
        <v>27</v>
      </c>
      <c r="B2883" s="1">
        <v>3</v>
      </c>
      <c r="C2883" s="1">
        <v>2020</v>
      </c>
      <c r="G2883" s="1" t="s">
        <v>40</v>
      </c>
      <c r="H2883" s="2">
        <v>75.36</v>
      </c>
      <c r="I2883" s="1">
        <v>155</v>
      </c>
      <c r="U2883" s="1">
        <v>220</v>
      </c>
      <c r="X2883" s="1">
        <v>190</v>
      </c>
      <c r="AA2883" s="1">
        <v>13</v>
      </c>
      <c r="AB2883" s="1">
        <v>11</v>
      </c>
      <c r="AC2883" s="1">
        <v>7697</v>
      </c>
      <c r="AF2883" s="3">
        <v>2.0567940552016983</v>
      </c>
      <c r="AG2883" s="3">
        <v>10.018617925300427</v>
      </c>
      <c r="AH2883" s="1">
        <v>6273</v>
      </c>
      <c r="AI2883" s="1" t="b">
        <v>1</v>
      </c>
    </row>
    <row r="2884" spans="1:35" x14ac:dyDescent="0.25">
      <c r="A2884" s="1">
        <v>27</v>
      </c>
      <c r="B2884" s="1">
        <v>3</v>
      </c>
      <c r="C2884" s="1">
        <v>2020</v>
      </c>
      <c r="G2884" s="1" t="s">
        <v>40</v>
      </c>
      <c r="H2884" s="2">
        <v>77.52</v>
      </c>
      <c r="I2884" s="1">
        <v>183</v>
      </c>
      <c r="U2884" s="1">
        <v>242</v>
      </c>
      <c r="X2884" s="1">
        <v>216</v>
      </c>
      <c r="AA2884" s="1">
        <v>12</v>
      </c>
      <c r="AB2884" s="1">
        <v>7</v>
      </c>
      <c r="AC2884" s="1">
        <v>8718</v>
      </c>
      <c r="AF2884" s="3">
        <v>2.3606811145510838</v>
      </c>
      <c r="AG2884" s="3">
        <v>8.9033266878440749</v>
      </c>
      <c r="AH2884" s="1">
        <v>6273</v>
      </c>
      <c r="AI2884" s="1" t="b">
        <v>1</v>
      </c>
    </row>
    <row r="2885" spans="1:35" x14ac:dyDescent="0.25">
      <c r="A2885" s="1">
        <v>27</v>
      </c>
      <c r="B2885" s="1">
        <v>3</v>
      </c>
      <c r="C2885" s="1">
        <v>2020</v>
      </c>
      <c r="G2885" s="1" t="s">
        <v>40</v>
      </c>
      <c r="H2885" s="2">
        <v>84.43</v>
      </c>
      <c r="I2885" s="1">
        <v>174</v>
      </c>
      <c r="U2885" s="1">
        <v>228</v>
      </c>
      <c r="X2885" s="1">
        <v>210</v>
      </c>
      <c r="AA2885" s="1">
        <v>11</v>
      </c>
      <c r="AB2885" s="1">
        <v>13</v>
      </c>
      <c r="AC2885" s="1">
        <v>9360</v>
      </c>
      <c r="AF2885" s="3">
        <v>2.0608788345374864</v>
      </c>
      <c r="AG2885" s="3">
        <v>10.826679820192261</v>
      </c>
      <c r="AH2885" s="1">
        <v>6273</v>
      </c>
      <c r="AI2885" s="1" t="b">
        <v>1</v>
      </c>
    </row>
    <row r="2886" spans="1:35" x14ac:dyDescent="0.25">
      <c r="A2886" s="1">
        <v>28</v>
      </c>
      <c r="B2886" s="1">
        <v>3</v>
      </c>
      <c r="C2886" s="1">
        <v>2020</v>
      </c>
      <c r="G2886" s="1" t="s">
        <v>40</v>
      </c>
      <c r="H2886" s="2">
        <v>76.680000000000007</v>
      </c>
      <c r="I2886" s="1">
        <v>198</v>
      </c>
      <c r="U2886" s="1">
        <v>240</v>
      </c>
      <c r="X2886" s="1">
        <v>224</v>
      </c>
      <c r="AA2886" s="1">
        <v>9</v>
      </c>
      <c r="AB2886" s="1">
        <v>5</v>
      </c>
      <c r="AC2886" s="1">
        <v>8209</v>
      </c>
      <c r="AF2886" s="3">
        <v>2.5821596244131455</v>
      </c>
      <c r="AG2886" s="3">
        <v>8.077824007063505</v>
      </c>
      <c r="AH2886" s="1">
        <v>6273</v>
      </c>
      <c r="AI2886" s="1" t="b">
        <v>1</v>
      </c>
    </row>
    <row r="2887" spans="1:35" x14ac:dyDescent="0.25">
      <c r="A2887" s="1">
        <v>29</v>
      </c>
      <c r="B2887" s="1">
        <v>3</v>
      </c>
      <c r="C2887" s="1">
        <v>2020</v>
      </c>
      <c r="G2887" s="1" t="s">
        <v>40</v>
      </c>
      <c r="H2887" s="2">
        <v>76.150000000000006</v>
      </c>
      <c r="I2887" s="1">
        <v>190</v>
      </c>
      <c r="U2887" s="1">
        <v>252</v>
      </c>
      <c r="X2887" s="1">
        <v>223</v>
      </c>
      <c r="AA2887" s="1">
        <v>14</v>
      </c>
      <c r="AB2887" s="1">
        <v>10</v>
      </c>
      <c r="AC2887" s="1">
        <v>7637</v>
      </c>
      <c r="AF2887" s="3">
        <v>2.4950755088640837</v>
      </c>
      <c r="AG2887" s="3">
        <v>8.3192704336038172</v>
      </c>
      <c r="AH2887" s="1">
        <v>6273</v>
      </c>
      <c r="AI2887" s="1" t="b">
        <v>1</v>
      </c>
    </row>
    <row r="2888" spans="1:35" x14ac:dyDescent="0.25">
      <c r="A2888" s="1">
        <v>29</v>
      </c>
      <c r="B2888" s="1">
        <v>3</v>
      </c>
      <c r="C2888" s="1">
        <v>2020</v>
      </c>
      <c r="G2888" s="1" t="s">
        <v>40</v>
      </c>
      <c r="H2888" s="2">
        <v>70.91</v>
      </c>
      <c r="I2888" s="1">
        <v>165</v>
      </c>
      <c r="U2888" s="1">
        <v>211</v>
      </c>
      <c r="X2888" s="1">
        <v>190</v>
      </c>
      <c r="AA2888" s="1">
        <v>12</v>
      </c>
      <c r="AB2888" s="1">
        <v>10</v>
      </c>
      <c r="AC2888" s="1">
        <v>7217</v>
      </c>
      <c r="AF2888" s="3">
        <v>2.3268932449583981</v>
      </c>
      <c r="AG2888" s="3">
        <v>8.4863078246791197</v>
      </c>
      <c r="AH2888" s="1">
        <v>6273</v>
      </c>
      <c r="AI2888" s="1" t="b">
        <v>1</v>
      </c>
    </row>
    <row r="2889" spans="1:35" x14ac:dyDescent="0.25">
      <c r="A2889" s="1">
        <v>29</v>
      </c>
      <c r="B2889" s="1">
        <v>3</v>
      </c>
      <c r="C2889" s="1">
        <v>2020</v>
      </c>
      <c r="G2889" s="1" t="s">
        <v>40</v>
      </c>
      <c r="H2889" s="2">
        <v>77.42</v>
      </c>
      <c r="I2889" s="1">
        <v>181</v>
      </c>
      <c r="U2889" s="1">
        <v>244</v>
      </c>
      <c r="X2889" s="1">
        <v>221</v>
      </c>
      <c r="AA2889" s="1">
        <v>14</v>
      </c>
      <c r="AB2889" s="1">
        <v>7</v>
      </c>
      <c r="AC2889" s="1">
        <v>8325</v>
      </c>
      <c r="AF2889" s="3">
        <v>2.3378971841901315</v>
      </c>
      <c r="AG2889" s="3">
        <v>8.9819743189069339</v>
      </c>
      <c r="AH2889" s="1">
        <v>6273</v>
      </c>
      <c r="AI2889" s="1" t="b">
        <v>1</v>
      </c>
    </row>
    <row r="2890" spans="1:35" x14ac:dyDescent="0.25">
      <c r="A2890" s="1">
        <v>29</v>
      </c>
      <c r="B2890" s="1">
        <v>3</v>
      </c>
      <c r="C2890" s="1">
        <v>2020</v>
      </c>
      <c r="G2890" s="1" t="s">
        <v>40</v>
      </c>
      <c r="H2890" s="2">
        <v>69.3</v>
      </c>
      <c r="I2890" s="1">
        <v>149</v>
      </c>
      <c r="U2890" s="1">
        <v>221</v>
      </c>
      <c r="X2890" s="1">
        <v>195</v>
      </c>
      <c r="AA2890" s="1">
        <v>18</v>
      </c>
      <c r="AB2890" s="1">
        <v>15</v>
      </c>
      <c r="AC2890" s="1">
        <v>7555</v>
      </c>
      <c r="AF2890" s="3">
        <v>2.15007215007215</v>
      </c>
      <c r="AG2890" s="3">
        <v>9.0377480565940882</v>
      </c>
      <c r="AH2890" s="1">
        <v>6273</v>
      </c>
      <c r="AI2890" s="1" t="b">
        <v>1</v>
      </c>
    </row>
    <row r="2891" spans="1:35" x14ac:dyDescent="0.25">
      <c r="A2891" s="1">
        <v>30</v>
      </c>
      <c r="B2891" s="1">
        <v>3</v>
      </c>
      <c r="C2891" s="1">
        <v>2020</v>
      </c>
      <c r="G2891" s="1" t="s">
        <v>40</v>
      </c>
      <c r="H2891" s="2">
        <v>78.56</v>
      </c>
      <c r="I2891" s="1">
        <v>190</v>
      </c>
      <c r="U2891" s="1">
        <v>245</v>
      </c>
      <c r="X2891" s="1">
        <v>228</v>
      </c>
      <c r="AA2891" s="1">
        <v>14</v>
      </c>
      <c r="AB2891" s="1">
        <v>11</v>
      </c>
      <c r="AC2891" s="1">
        <v>8114</v>
      </c>
      <c r="AF2891" s="3">
        <v>2.4185336048879837</v>
      </c>
      <c r="AG2891" s="3">
        <v>8.7718037388923982</v>
      </c>
      <c r="AH2891" s="1">
        <v>6274</v>
      </c>
      <c r="AI2891" s="1" t="b">
        <v>1</v>
      </c>
    </row>
    <row r="2892" spans="1:35" x14ac:dyDescent="0.25">
      <c r="A2892" s="1">
        <v>31</v>
      </c>
      <c r="B2892" s="1">
        <v>3</v>
      </c>
      <c r="C2892" s="1">
        <v>2020</v>
      </c>
      <c r="G2892" s="1" t="s">
        <v>40</v>
      </c>
      <c r="H2892" s="2">
        <v>86.37</v>
      </c>
      <c r="I2892" s="1">
        <v>201</v>
      </c>
      <c r="U2892" s="1">
        <v>238</v>
      </c>
      <c r="X2892" s="1">
        <v>221</v>
      </c>
      <c r="AA2892" s="1">
        <v>8</v>
      </c>
      <c r="AB2892" s="1">
        <v>5</v>
      </c>
      <c r="AC2892" s="1">
        <v>9644</v>
      </c>
      <c r="AF2892" s="3">
        <v>2.327196943383119</v>
      </c>
      <c r="AG2892" s="3">
        <v>9.7413894407770343</v>
      </c>
      <c r="AH2892" s="1">
        <v>6274</v>
      </c>
      <c r="AI2892" s="1" t="b">
        <v>1</v>
      </c>
    </row>
    <row r="2893" spans="1:35" x14ac:dyDescent="0.25">
      <c r="A2893" s="1">
        <v>31</v>
      </c>
      <c r="B2893" s="1">
        <v>3</v>
      </c>
      <c r="C2893" s="1">
        <v>2020</v>
      </c>
      <c r="G2893" s="1" t="s">
        <v>40</v>
      </c>
      <c r="H2893" s="2">
        <v>83</v>
      </c>
      <c r="I2893" s="1">
        <v>192</v>
      </c>
      <c r="U2893" s="1">
        <v>256</v>
      </c>
      <c r="X2893" s="1">
        <v>231</v>
      </c>
      <c r="AA2893" s="1">
        <v>13</v>
      </c>
      <c r="AB2893" s="1">
        <v>12</v>
      </c>
      <c r="AC2893" s="1">
        <v>9342</v>
      </c>
      <c r="AF2893" s="3">
        <v>2.3132530120481927</v>
      </c>
      <c r="AG2893" s="3">
        <v>9.5308476698267146</v>
      </c>
      <c r="AH2893" s="1">
        <v>6274</v>
      </c>
      <c r="AI2893" s="1" t="b">
        <v>1</v>
      </c>
    </row>
    <row r="2894" spans="1:35" x14ac:dyDescent="0.25">
      <c r="A2894" s="1">
        <v>1</v>
      </c>
      <c r="B2894" s="1">
        <v>4</v>
      </c>
      <c r="C2894" s="1">
        <v>2020</v>
      </c>
      <c r="G2894" s="1" t="s">
        <v>40</v>
      </c>
      <c r="H2894" s="2">
        <v>82.38</v>
      </c>
      <c r="I2894" s="1">
        <v>174</v>
      </c>
      <c r="U2894" s="1">
        <v>248</v>
      </c>
      <c r="X2894" s="1">
        <v>226</v>
      </c>
      <c r="AA2894" s="1">
        <v>16</v>
      </c>
      <c r="AB2894" s="1">
        <v>16</v>
      </c>
      <c r="AC2894" s="1">
        <v>9350</v>
      </c>
      <c r="AF2894" s="3">
        <v>2.1121631463947561</v>
      </c>
      <c r="AG2894" s="3">
        <v>10.383596196284531</v>
      </c>
      <c r="AH2894" s="1">
        <v>6274</v>
      </c>
      <c r="AI2894" s="1" t="b">
        <v>1</v>
      </c>
    </row>
    <row r="2895" spans="1:35" x14ac:dyDescent="0.25">
      <c r="A2895" s="1">
        <v>1</v>
      </c>
      <c r="B2895" s="1">
        <v>4</v>
      </c>
      <c r="C2895" s="1">
        <v>2020</v>
      </c>
      <c r="G2895" s="1" t="s">
        <v>40</v>
      </c>
      <c r="H2895" s="2">
        <v>80.19</v>
      </c>
      <c r="I2895" s="1">
        <v>168</v>
      </c>
      <c r="U2895" s="1">
        <v>241</v>
      </c>
      <c r="X2895" s="1">
        <v>211</v>
      </c>
      <c r="AA2895" s="1">
        <v>16</v>
      </c>
      <c r="AB2895" s="1">
        <v>11</v>
      </c>
      <c r="AC2895" s="1">
        <v>8339</v>
      </c>
      <c r="AF2895" s="3">
        <v>2.0950243172465397</v>
      </c>
      <c r="AG2895" s="3">
        <v>10.272947796391581</v>
      </c>
      <c r="AH2895" s="1">
        <v>6274</v>
      </c>
      <c r="AI2895" s="1" t="b">
        <v>1</v>
      </c>
    </row>
    <row r="2896" spans="1:35" x14ac:dyDescent="0.25">
      <c r="A2896" s="1">
        <v>1</v>
      </c>
      <c r="B2896" s="1">
        <v>4</v>
      </c>
      <c r="C2896" s="1">
        <v>2020</v>
      </c>
      <c r="G2896" s="1" t="s">
        <v>40</v>
      </c>
      <c r="H2896" s="2">
        <v>78.739999999999995</v>
      </c>
      <c r="I2896" s="1">
        <v>146</v>
      </c>
      <c r="U2896" s="1">
        <v>205</v>
      </c>
      <c r="X2896" s="1">
        <v>183</v>
      </c>
      <c r="AA2896" s="1">
        <v>13</v>
      </c>
      <c r="AB2896" s="1">
        <v>9</v>
      </c>
      <c r="AC2896" s="1">
        <v>8544</v>
      </c>
      <c r="AF2896" s="3">
        <v>1.854203708407417</v>
      </c>
      <c r="AG2896" s="3">
        <v>11.459860789138393</v>
      </c>
      <c r="AH2896" s="1">
        <v>6274</v>
      </c>
      <c r="AI2896" s="1" t="b">
        <v>1</v>
      </c>
    </row>
    <row r="2897" spans="1:35" x14ac:dyDescent="0.25">
      <c r="A2897" s="1">
        <v>2</v>
      </c>
      <c r="B2897" s="1">
        <v>4</v>
      </c>
      <c r="C2897" s="1">
        <v>2020</v>
      </c>
      <c r="G2897" s="1" t="s">
        <v>40</v>
      </c>
      <c r="H2897" s="2">
        <v>81.59</v>
      </c>
      <c r="I2897" s="1">
        <v>173</v>
      </c>
      <c r="U2897" s="1">
        <v>247</v>
      </c>
      <c r="X2897" s="1">
        <v>213</v>
      </c>
      <c r="AA2897" s="1">
        <v>16</v>
      </c>
      <c r="AB2897" s="1">
        <v>10</v>
      </c>
      <c r="AC2897" s="1">
        <v>8551</v>
      </c>
      <c r="AF2897" s="3">
        <v>2.1203578869959552</v>
      </c>
      <c r="AG2897" s="3">
        <v>10.27393191141066</v>
      </c>
      <c r="AH2897" s="1">
        <v>6274</v>
      </c>
      <c r="AI2897" s="1" t="b">
        <v>1</v>
      </c>
    </row>
    <row r="2898" spans="1:35" x14ac:dyDescent="0.25">
      <c r="A2898" s="1">
        <v>2</v>
      </c>
      <c r="B2898" s="1">
        <v>4</v>
      </c>
      <c r="C2898" s="1">
        <v>2020</v>
      </c>
      <c r="G2898" s="1" t="s">
        <v>40</v>
      </c>
      <c r="H2898" s="2">
        <v>102.41</v>
      </c>
      <c r="I2898" s="1">
        <v>213</v>
      </c>
      <c r="U2898" s="1">
        <v>281</v>
      </c>
      <c r="X2898" s="1">
        <v>259</v>
      </c>
      <c r="AA2898" s="1">
        <v>15</v>
      </c>
      <c r="AB2898" s="1">
        <v>6</v>
      </c>
      <c r="AC2898" s="1">
        <v>12212</v>
      </c>
      <c r="AF2898" s="3">
        <v>2.0798750122058394</v>
      </c>
      <c r="AG2898" s="3">
        <v>12.280114579320962</v>
      </c>
      <c r="AH2898" s="1">
        <v>6274</v>
      </c>
      <c r="AI2898" s="1" t="b">
        <v>1</v>
      </c>
    </row>
    <row r="2899" spans="1:35" x14ac:dyDescent="0.25">
      <c r="A2899" s="1">
        <v>2</v>
      </c>
      <c r="B2899" s="1">
        <v>4</v>
      </c>
      <c r="C2899" s="1">
        <v>2020</v>
      </c>
      <c r="G2899" s="1" t="s">
        <v>40</v>
      </c>
      <c r="H2899" s="2">
        <v>77.47</v>
      </c>
      <c r="I2899" s="1">
        <v>178</v>
      </c>
      <c r="U2899" s="1">
        <v>240</v>
      </c>
      <c r="X2899" s="1">
        <v>213</v>
      </c>
      <c r="AA2899" s="1">
        <v>13</v>
      </c>
      <c r="AB2899" s="1">
        <v>13</v>
      </c>
      <c r="AC2899" s="1">
        <v>8419</v>
      </c>
      <c r="AF2899" s="3">
        <v>2.2976636117206661</v>
      </c>
      <c r="AG2899" s="3">
        <v>9.1433857551485396</v>
      </c>
      <c r="AH2899" s="1">
        <v>6274</v>
      </c>
      <c r="AI2899" s="1" t="b">
        <v>1</v>
      </c>
    </row>
    <row r="2900" spans="1:35" x14ac:dyDescent="0.25">
      <c r="A2900" s="1">
        <v>3</v>
      </c>
      <c r="B2900" s="1">
        <v>4</v>
      </c>
      <c r="C2900" s="1">
        <v>2020</v>
      </c>
      <c r="G2900" s="1" t="s">
        <v>40</v>
      </c>
      <c r="H2900" s="2">
        <v>87.84</v>
      </c>
      <c r="I2900" s="1">
        <v>148</v>
      </c>
      <c r="U2900" s="1">
        <v>208</v>
      </c>
      <c r="X2900" s="1">
        <v>182</v>
      </c>
      <c r="AA2900" s="1">
        <v>15</v>
      </c>
      <c r="AB2900" s="1">
        <v>18</v>
      </c>
      <c r="AC2900" s="1">
        <v>10498</v>
      </c>
      <c r="AF2900" s="3">
        <v>1.6848816029143898</v>
      </c>
      <c r="AG2900" s="3">
        <v>13.614924604480942</v>
      </c>
      <c r="AH2900" s="1">
        <v>6274</v>
      </c>
      <c r="AI2900" s="1" t="b">
        <v>1</v>
      </c>
    </row>
    <row r="2901" spans="1:35" x14ac:dyDescent="0.25">
      <c r="A2901" s="1">
        <v>3</v>
      </c>
      <c r="B2901" s="1">
        <v>4</v>
      </c>
      <c r="C2901" s="1">
        <v>2020</v>
      </c>
      <c r="G2901" s="1" t="s">
        <v>40</v>
      </c>
      <c r="H2901" s="2">
        <v>78.48</v>
      </c>
      <c r="I2901" s="1">
        <v>182</v>
      </c>
      <c r="U2901" s="1">
        <v>240</v>
      </c>
      <c r="X2901" s="1">
        <v>216</v>
      </c>
      <c r="AA2901" s="1">
        <v>14</v>
      </c>
      <c r="AB2901" s="1">
        <v>7</v>
      </c>
      <c r="AC2901" s="1">
        <v>8636</v>
      </c>
      <c r="AF2901" s="3">
        <v>2.3190621814475025</v>
      </c>
      <c r="AG2901" s="3">
        <v>9.1415302865149073</v>
      </c>
      <c r="AH2901" s="1">
        <v>6274</v>
      </c>
      <c r="AI2901" s="1" t="b">
        <v>1</v>
      </c>
    </row>
    <row r="2902" spans="1:35" x14ac:dyDescent="0.25">
      <c r="A2902" s="1">
        <v>5</v>
      </c>
      <c r="B2902" s="1">
        <v>4</v>
      </c>
      <c r="C2902" s="1">
        <v>2020</v>
      </c>
      <c r="G2902" s="1" t="s">
        <v>40</v>
      </c>
      <c r="H2902" s="2">
        <v>83.49</v>
      </c>
      <c r="I2902" s="1">
        <v>185</v>
      </c>
      <c r="U2902" s="1">
        <v>238</v>
      </c>
      <c r="X2902" s="1">
        <v>219</v>
      </c>
      <c r="AA2902" s="1">
        <v>14</v>
      </c>
      <c r="AB2902" s="1">
        <v>9</v>
      </c>
      <c r="AC2902" s="1">
        <v>9144</v>
      </c>
      <c r="AF2902" s="3">
        <v>2.2158342316445085</v>
      </c>
      <c r="AG2902" s="3">
        <v>9.990951606918701</v>
      </c>
      <c r="AH2902" s="1">
        <v>6274</v>
      </c>
      <c r="AI2902" s="1" t="b">
        <v>1</v>
      </c>
    </row>
    <row r="2903" spans="1:35" x14ac:dyDescent="0.25">
      <c r="A2903" s="1">
        <v>6</v>
      </c>
      <c r="B2903" s="1">
        <v>4</v>
      </c>
      <c r="C2903" s="1">
        <v>2020</v>
      </c>
      <c r="G2903" s="1" t="s">
        <v>40</v>
      </c>
      <c r="H2903" s="2">
        <v>76.63</v>
      </c>
      <c r="I2903" s="1">
        <v>175</v>
      </c>
      <c r="U2903" s="1">
        <v>250</v>
      </c>
      <c r="X2903" s="1">
        <v>224</v>
      </c>
      <c r="AA2903" s="1">
        <v>15</v>
      </c>
      <c r="AB2903" s="1">
        <v>18</v>
      </c>
      <c r="AC2903" s="1">
        <v>7763</v>
      </c>
      <c r="AF2903" s="3">
        <v>2.2837009004306408</v>
      </c>
      <c r="AG2903" s="3">
        <v>9.1293520480815182</v>
      </c>
      <c r="AH2903" s="1">
        <v>6275</v>
      </c>
      <c r="AI2903" s="1" t="b">
        <v>1</v>
      </c>
    </row>
    <row r="2904" spans="1:35" x14ac:dyDescent="0.25">
      <c r="A2904" s="1">
        <v>6</v>
      </c>
      <c r="B2904" s="1">
        <v>4</v>
      </c>
      <c r="C2904" s="1">
        <v>2020</v>
      </c>
      <c r="G2904" s="1" t="s">
        <v>40</v>
      </c>
      <c r="H2904" s="2">
        <v>85.29</v>
      </c>
      <c r="I2904" s="1">
        <v>183</v>
      </c>
      <c r="U2904" s="1">
        <v>254</v>
      </c>
      <c r="X2904" s="1">
        <v>223</v>
      </c>
      <c r="AA2904" s="1">
        <v>13</v>
      </c>
      <c r="AB2904" s="1">
        <v>8</v>
      </c>
      <c r="AC2904" s="1">
        <v>8946</v>
      </c>
      <c r="AF2904" s="3">
        <v>2.1456208230742173</v>
      </c>
      <c r="AG2904" s="3">
        <v>10.473110959198234</v>
      </c>
      <c r="AH2904" s="1">
        <v>6275</v>
      </c>
      <c r="AI2904" s="1" t="b">
        <v>1</v>
      </c>
    </row>
    <row r="2905" spans="1:35" x14ac:dyDescent="0.25">
      <c r="A2905" s="1">
        <v>6</v>
      </c>
      <c r="B2905" s="1">
        <v>4</v>
      </c>
      <c r="C2905" s="1">
        <v>2020</v>
      </c>
      <c r="G2905" s="1" t="s">
        <v>40</v>
      </c>
      <c r="H2905" s="2">
        <v>64.88</v>
      </c>
      <c r="I2905" s="1">
        <v>151</v>
      </c>
      <c r="U2905" s="1">
        <v>204</v>
      </c>
      <c r="X2905" s="1">
        <v>183</v>
      </c>
      <c r="AA2905" s="1">
        <v>13</v>
      </c>
      <c r="AB2905" s="1">
        <v>13</v>
      </c>
      <c r="AC2905" s="1">
        <v>7719</v>
      </c>
      <c r="AF2905" s="3">
        <v>2.3273736128236746</v>
      </c>
      <c r="AG2905" s="3">
        <v>7.9728112521181673</v>
      </c>
      <c r="AH2905" s="1">
        <v>6275</v>
      </c>
      <c r="AI2905" s="1" t="b">
        <v>1</v>
      </c>
    </row>
    <row r="2906" spans="1:35" x14ac:dyDescent="0.25">
      <c r="A2906" s="1">
        <v>6</v>
      </c>
      <c r="B2906" s="1">
        <v>4</v>
      </c>
      <c r="C2906" s="1">
        <v>2020</v>
      </c>
      <c r="G2906" s="1" t="s">
        <v>40</v>
      </c>
      <c r="H2906" s="2">
        <v>69.58</v>
      </c>
      <c r="I2906" s="1">
        <v>130</v>
      </c>
      <c r="U2906" s="1">
        <v>214</v>
      </c>
      <c r="X2906" s="1">
        <v>181</v>
      </c>
      <c r="AA2906" s="1">
        <v>18</v>
      </c>
      <c r="AB2906" s="1">
        <v>18</v>
      </c>
      <c r="AC2906" s="1">
        <v>8251</v>
      </c>
      <c r="AF2906" s="3">
        <v>1.8683529749928141</v>
      </c>
      <c r="AG2906" s="3">
        <v>10.429900592792359</v>
      </c>
      <c r="AH2906" s="1">
        <v>6275</v>
      </c>
      <c r="AI2906" s="1" t="b">
        <v>1</v>
      </c>
    </row>
    <row r="2907" spans="1:35" x14ac:dyDescent="0.25">
      <c r="A2907" s="1">
        <v>8</v>
      </c>
      <c r="B2907" s="1">
        <v>4</v>
      </c>
      <c r="C2907" s="1">
        <v>2020</v>
      </c>
      <c r="G2907" s="1" t="s">
        <v>40</v>
      </c>
      <c r="H2907" s="2">
        <v>88.94</v>
      </c>
      <c r="I2907" s="1">
        <v>186</v>
      </c>
      <c r="U2907" s="1">
        <v>261</v>
      </c>
      <c r="X2907" s="1">
        <v>228</v>
      </c>
      <c r="AA2907" s="1">
        <v>17</v>
      </c>
      <c r="AB2907" s="1">
        <v>10</v>
      </c>
      <c r="AC2907" s="1">
        <v>9677</v>
      </c>
      <c r="AF2907" s="3">
        <v>2.0912975039352375</v>
      </c>
      <c r="AG2907" s="3">
        <v>11.065019113964411</v>
      </c>
      <c r="AH2907" s="1">
        <v>6275</v>
      </c>
      <c r="AI2907" s="1" t="b">
        <v>1</v>
      </c>
    </row>
    <row r="2908" spans="1:35" x14ac:dyDescent="0.25">
      <c r="A2908" s="1">
        <v>8</v>
      </c>
      <c r="B2908" s="1">
        <v>4</v>
      </c>
      <c r="C2908" s="1">
        <v>2020</v>
      </c>
      <c r="G2908" s="1" t="s">
        <v>40</v>
      </c>
      <c r="H2908" s="2">
        <v>94.14</v>
      </c>
      <c r="I2908" s="1">
        <v>166</v>
      </c>
      <c r="U2908" s="1">
        <v>225</v>
      </c>
      <c r="X2908" s="1">
        <v>199</v>
      </c>
      <c r="AA2908" s="1">
        <v>13</v>
      </c>
      <c r="AB2908" s="1">
        <v>13</v>
      </c>
      <c r="AC2908" s="1">
        <v>12738</v>
      </c>
      <c r="AF2908" s="3">
        <v>1.763331208837901</v>
      </c>
      <c r="AG2908" s="3">
        <v>13.65551368170229</v>
      </c>
      <c r="AH2908" s="1">
        <v>6275</v>
      </c>
      <c r="AI2908" s="1" t="b">
        <v>1</v>
      </c>
    </row>
    <row r="2909" spans="1:35" x14ac:dyDescent="0.25">
      <c r="A2909" s="1">
        <v>8</v>
      </c>
      <c r="B2909" s="1">
        <v>4</v>
      </c>
      <c r="C2909" s="1">
        <v>2020</v>
      </c>
      <c r="G2909" s="1" t="s">
        <v>40</v>
      </c>
      <c r="H2909" s="2">
        <v>63.94</v>
      </c>
      <c r="I2909" s="1">
        <v>147</v>
      </c>
      <c r="U2909" s="1">
        <v>211</v>
      </c>
      <c r="X2909" s="1">
        <v>188</v>
      </c>
      <c r="AA2909" s="1">
        <v>16</v>
      </c>
      <c r="AB2909" s="1">
        <v>17</v>
      </c>
      <c r="AC2909" s="1">
        <v>7645</v>
      </c>
      <c r="AF2909" s="3">
        <v>2.2990303409446358</v>
      </c>
      <c r="AG2909" s="3">
        <v>7.9890684012738991</v>
      </c>
      <c r="AH2909" s="1">
        <v>6275</v>
      </c>
      <c r="AI2909" s="1" t="b">
        <v>1</v>
      </c>
    </row>
    <row r="2910" spans="1:35" x14ac:dyDescent="0.25">
      <c r="A2910" s="1">
        <v>8</v>
      </c>
      <c r="B2910" s="1">
        <v>4</v>
      </c>
      <c r="C2910" s="1">
        <v>2020</v>
      </c>
      <c r="G2910" s="1" t="s">
        <v>40</v>
      </c>
      <c r="H2910" s="2">
        <v>67.5</v>
      </c>
      <c r="I2910" s="1">
        <v>139</v>
      </c>
      <c r="U2910" s="1">
        <v>190</v>
      </c>
      <c r="X2910" s="1">
        <v>174</v>
      </c>
      <c r="AA2910" s="1">
        <v>15</v>
      </c>
      <c r="AB2910" s="1">
        <v>15</v>
      </c>
      <c r="AC2910" s="1">
        <v>8086</v>
      </c>
      <c r="AF2910" s="3">
        <v>2.0592592592592593</v>
      </c>
      <c r="AG2910" s="3">
        <v>9.2640654266019329</v>
      </c>
      <c r="AH2910" s="1">
        <v>6275</v>
      </c>
      <c r="AI2910" s="1" t="b">
        <v>1</v>
      </c>
    </row>
    <row r="2911" spans="1:35" x14ac:dyDescent="0.25">
      <c r="A2911" s="1">
        <v>8</v>
      </c>
      <c r="B2911" s="1">
        <v>4</v>
      </c>
      <c r="C2911" s="1">
        <v>2020</v>
      </c>
      <c r="G2911" s="1" t="s">
        <v>40</v>
      </c>
      <c r="H2911" s="2">
        <v>78.05</v>
      </c>
      <c r="I2911" s="1">
        <v>180</v>
      </c>
      <c r="U2911" s="1">
        <v>237</v>
      </c>
      <c r="X2911" s="1">
        <v>212</v>
      </c>
      <c r="AA2911" s="1">
        <v>13</v>
      </c>
      <c r="AB2911" s="1">
        <v>9</v>
      </c>
      <c r="AC2911" s="1">
        <v>9016</v>
      </c>
      <c r="AF2911" s="3">
        <v>2.3062139654067906</v>
      </c>
      <c r="AG2911" s="3">
        <v>9.1571733877758525</v>
      </c>
      <c r="AH2911" s="1">
        <v>6275</v>
      </c>
      <c r="AI2911" s="1" t="b">
        <v>1</v>
      </c>
    </row>
    <row r="2912" spans="1:35" x14ac:dyDescent="0.25">
      <c r="A2912" s="1">
        <v>8</v>
      </c>
      <c r="B2912" s="1">
        <v>4</v>
      </c>
      <c r="C2912" s="1">
        <v>2020</v>
      </c>
      <c r="G2912" s="1" t="s">
        <v>40</v>
      </c>
      <c r="H2912" s="2">
        <v>69.7</v>
      </c>
      <c r="I2912" s="1">
        <v>164</v>
      </c>
      <c r="U2912" s="1">
        <v>234</v>
      </c>
      <c r="X2912" s="1">
        <v>211</v>
      </c>
      <c r="AA2912" s="1">
        <v>19</v>
      </c>
      <c r="AB2912" s="1">
        <v>14</v>
      </c>
      <c r="AC2912" s="1">
        <v>7789</v>
      </c>
      <c r="AF2912" s="3">
        <v>2.3529411764705883</v>
      </c>
      <c r="AG2912" s="3">
        <v>8.2918583556511933</v>
      </c>
      <c r="AH2912" s="1">
        <v>6275</v>
      </c>
      <c r="AI2912" s="1" t="b">
        <v>1</v>
      </c>
    </row>
    <row r="2913" spans="1:35" x14ac:dyDescent="0.25">
      <c r="A2913" s="1">
        <v>9</v>
      </c>
      <c r="B2913" s="1">
        <v>4</v>
      </c>
      <c r="C2913" s="1">
        <v>2020</v>
      </c>
      <c r="G2913" s="1" t="s">
        <v>40</v>
      </c>
      <c r="H2913" s="2">
        <v>73.03</v>
      </c>
      <c r="I2913" s="1">
        <v>145</v>
      </c>
      <c r="U2913" s="1">
        <v>202</v>
      </c>
      <c r="X2913" s="1">
        <v>177</v>
      </c>
      <c r="AA2913" s="1">
        <v>11</v>
      </c>
      <c r="AB2913" s="1">
        <v>13</v>
      </c>
      <c r="AC2913" s="1">
        <v>8264</v>
      </c>
      <c r="AF2913" s="3">
        <v>1.9854854169519376</v>
      </c>
      <c r="AG2913" s="3">
        <v>10.152762075708221</v>
      </c>
      <c r="AH2913" s="1">
        <v>6275</v>
      </c>
      <c r="AI2913" s="1" t="b">
        <v>1</v>
      </c>
    </row>
    <row r="2914" spans="1:35" x14ac:dyDescent="0.25">
      <c r="A2914" s="1">
        <v>13</v>
      </c>
      <c r="B2914" s="1">
        <v>4</v>
      </c>
      <c r="C2914" s="1">
        <v>2020</v>
      </c>
      <c r="G2914" s="1" t="s">
        <v>40</v>
      </c>
      <c r="H2914" s="2">
        <v>77.400000000000006</v>
      </c>
      <c r="I2914" s="1">
        <v>210</v>
      </c>
      <c r="U2914" s="1">
        <v>259</v>
      </c>
      <c r="X2914" s="1">
        <v>236</v>
      </c>
      <c r="AA2914" s="1">
        <v>11</v>
      </c>
      <c r="AB2914" s="1">
        <v>5</v>
      </c>
      <c r="AC2914" s="1">
        <v>8462</v>
      </c>
      <c r="AF2914" s="3">
        <v>2.7131782945736433</v>
      </c>
      <c r="AG2914" s="3">
        <v>7.7382069170169983</v>
      </c>
      <c r="AH2914" s="1">
        <v>6276</v>
      </c>
      <c r="AI2914" s="1" t="b">
        <v>1</v>
      </c>
    </row>
    <row r="2915" spans="1:35" x14ac:dyDescent="0.25">
      <c r="A2915" s="1">
        <v>13</v>
      </c>
      <c r="B2915" s="1">
        <v>4</v>
      </c>
      <c r="C2915" s="1">
        <v>2020</v>
      </c>
      <c r="G2915" s="1" t="s">
        <v>40</v>
      </c>
      <c r="H2915" s="2">
        <v>73.12</v>
      </c>
      <c r="I2915" s="1">
        <v>165</v>
      </c>
      <c r="U2915" s="1">
        <v>227</v>
      </c>
      <c r="X2915" s="1">
        <v>207</v>
      </c>
      <c r="AA2915" s="1">
        <v>16</v>
      </c>
      <c r="AB2915" s="1">
        <v>19</v>
      </c>
      <c r="AC2915" s="1">
        <v>8387</v>
      </c>
      <c r="AF2915" s="3">
        <v>2.2565645514223194</v>
      </c>
      <c r="AG2915" s="3">
        <v>8.9408244227851252</v>
      </c>
      <c r="AH2915" s="1">
        <v>6276</v>
      </c>
      <c r="AI2915" s="1" t="b">
        <v>1</v>
      </c>
    </row>
    <row r="2916" spans="1:35" x14ac:dyDescent="0.25">
      <c r="A2916" s="1">
        <v>13</v>
      </c>
      <c r="B2916" s="1">
        <v>4</v>
      </c>
      <c r="C2916" s="1">
        <v>2020</v>
      </c>
      <c r="G2916" s="1" t="s">
        <v>40</v>
      </c>
      <c r="H2916" s="2">
        <v>90.56</v>
      </c>
      <c r="I2916" s="1">
        <v>199</v>
      </c>
      <c r="U2916" s="1">
        <v>274</v>
      </c>
      <c r="X2916" s="1">
        <v>247</v>
      </c>
      <c r="AA2916" s="1">
        <v>14</v>
      </c>
      <c r="AB2916" s="1">
        <v>9</v>
      </c>
      <c r="AC2916" s="1">
        <v>10196</v>
      </c>
      <c r="AF2916" s="3">
        <v>2.1974381625441697</v>
      </c>
      <c r="AG2916" s="3">
        <v>10.66445895614947</v>
      </c>
      <c r="AH2916" s="1">
        <v>6276</v>
      </c>
      <c r="AI2916" s="1" t="b">
        <v>1</v>
      </c>
    </row>
    <row r="2917" spans="1:35" x14ac:dyDescent="0.25">
      <c r="A2917" s="1">
        <v>13</v>
      </c>
      <c r="B2917" s="1">
        <v>4</v>
      </c>
      <c r="C2917" s="1">
        <v>2020</v>
      </c>
      <c r="G2917" s="1" t="s">
        <v>40</v>
      </c>
      <c r="H2917" s="2">
        <v>69.75</v>
      </c>
      <c r="I2917" s="1">
        <v>171</v>
      </c>
      <c r="U2917" s="1">
        <v>218</v>
      </c>
      <c r="X2917" s="1">
        <v>198</v>
      </c>
      <c r="AA2917" s="1">
        <v>10</v>
      </c>
      <c r="AB2917" s="1">
        <v>10</v>
      </c>
      <c r="AC2917" s="1">
        <v>7160</v>
      </c>
      <c r="AF2917" s="3">
        <v>2.4516129032258065</v>
      </c>
      <c r="AG2917" s="3">
        <v>7.9621260721956491</v>
      </c>
      <c r="AH2917" s="1">
        <v>6276</v>
      </c>
      <c r="AI2917" s="1" t="b">
        <v>1</v>
      </c>
    </row>
    <row r="2918" spans="1:35" x14ac:dyDescent="0.25">
      <c r="A2918" s="1">
        <v>13</v>
      </c>
      <c r="B2918" s="1">
        <v>4</v>
      </c>
      <c r="C2918" s="1">
        <v>2020</v>
      </c>
      <c r="G2918" s="1" t="s">
        <v>40</v>
      </c>
      <c r="H2918" s="2">
        <v>90.59</v>
      </c>
      <c r="I2918" s="1">
        <v>228</v>
      </c>
      <c r="U2918" s="1">
        <v>298</v>
      </c>
      <c r="X2918" s="1">
        <v>266</v>
      </c>
      <c r="AA2918" s="1">
        <v>13</v>
      </c>
      <c r="AB2918" s="1">
        <v>4</v>
      </c>
      <c r="AC2918" s="1">
        <v>9665</v>
      </c>
      <c r="AF2918" s="3">
        <v>2.5168340876476432</v>
      </c>
      <c r="AG2918" s="3">
        <v>9.3132571481836948</v>
      </c>
      <c r="AH2918" s="1">
        <v>6276</v>
      </c>
      <c r="AI2918" s="1" t="b">
        <v>1</v>
      </c>
    </row>
    <row r="2919" spans="1:35" x14ac:dyDescent="0.25">
      <c r="A2919" s="1">
        <v>13</v>
      </c>
      <c r="B2919" s="1">
        <v>4</v>
      </c>
      <c r="C2919" s="1">
        <v>2020</v>
      </c>
      <c r="G2919" s="1" t="s">
        <v>40</v>
      </c>
      <c r="H2919" s="2">
        <v>73.17</v>
      </c>
      <c r="I2919" s="1">
        <v>146</v>
      </c>
      <c r="U2919" s="1">
        <v>207</v>
      </c>
      <c r="X2919" s="1">
        <v>180</v>
      </c>
      <c r="AA2919" s="1">
        <v>14</v>
      </c>
      <c r="AB2919" s="1">
        <v>10</v>
      </c>
      <c r="AC2919" s="1">
        <v>8051</v>
      </c>
      <c r="AF2919" s="3">
        <v>1.9953532868662021</v>
      </c>
      <c r="AG2919" s="3">
        <v>10.1161052171344</v>
      </c>
      <c r="AH2919" s="1">
        <v>6276</v>
      </c>
      <c r="AI2919" s="1" t="b">
        <v>1</v>
      </c>
    </row>
    <row r="2920" spans="1:35" x14ac:dyDescent="0.25">
      <c r="A2920" s="1">
        <v>14</v>
      </c>
      <c r="B2920" s="1">
        <v>4</v>
      </c>
      <c r="C2920" s="1">
        <v>2020</v>
      </c>
      <c r="G2920" s="1" t="s">
        <v>40</v>
      </c>
      <c r="H2920" s="2">
        <v>65.540000000000006</v>
      </c>
      <c r="I2920" s="1">
        <v>162</v>
      </c>
      <c r="U2920" s="1">
        <v>224</v>
      </c>
      <c r="X2920" s="1">
        <v>201</v>
      </c>
      <c r="AA2920" s="1">
        <v>15</v>
      </c>
      <c r="AB2920" s="1">
        <v>13</v>
      </c>
      <c r="AC2920" s="1">
        <v>8099</v>
      </c>
      <c r="AF2920" s="3">
        <v>2.4717729630759839</v>
      </c>
      <c r="AG2920" s="3">
        <v>7.5604201067826775</v>
      </c>
      <c r="AH2920" s="1">
        <v>6276</v>
      </c>
      <c r="AI2920" s="1" t="b">
        <v>1</v>
      </c>
    </row>
    <row r="2921" spans="1:35" x14ac:dyDescent="0.25">
      <c r="A2921" s="1">
        <v>14</v>
      </c>
      <c r="B2921" s="1">
        <v>4</v>
      </c>
      <c r="C2921" s="1">
        <v>2020</v>
      </c>
      <c r="G2921" s="1" t="s">
        <v>40</v>
      </c>
      <c r="H2921" s="2">
        <v>71.66</v>
      </c>
      <c r="I2921" s="1">
        <v>187</v>
      </c>
      <c r="U2921" s="1">
        <v>234</v>
      </c>
      <c r="X2921" s="1">
        <v>218</v>
      </c>
      <c r="AA2921" s="1">
        <v>12</v>
      </c>
      <c r="AB2921" s="1">
        <v>9</v>
      </c>
      <c r="AC2921" s="1">
        <v>7833</v>
      </c>
      <c r="AF2921" s="3">
        <v>2.6095450739603687</v>
      </c>
      <c r="AG2921" s="3">
        <v>7.6230533637012243</v>
      </c>
      <c r="AH2921" s="1">
        <v>6276</v>
      </c>
      <c r="AI2921" s="1" t="b">
        <v>1</v>
      </c>
    </row>
    <row r="2922" spans="1:35" x14ac:dyDescent="0.25">
      <c r="A2922" s="1">
        <v>14</v>
      </c>
      <c r="B2922" s="1">
        <v>4</v>
      </c>
      <c r="C2922" s="1">
        <v>2020</v>
      </c>
      <c r="G2922" s="1" t="s">
        <v>40</v>
      </c>
      <c r="H2922" s="2">
        <v>81.98</v>
      </c>
      <c r="I2922" s="1">
        <v>173</v>
      </c>
      <c r="U2922" s="1">
        <v>218</v>
      </c>
      <c r="X2922" s="1">
        <v>203</v>
      </c>
      <c r="AA2922" s="1">
        <v>11</v>
      </c>
      <c r="AB2922" s="1">
        <v>10</v>
      </c>
      <c r="AC2922" s="1">
        <v>8366</v>
      </c>
      <c r="AF2922" s="3">
        <v>2.1102707977555499</v>
      </c>
      <c r="AG2922" s="3">
        <v>10.357557444535596</v>
      </c>
      <c r="AH2922" s="1">
        <v>6276</v>
      </c>
      <c r="AI2922" s="1" t="b">
        <v>1</v>
      </c>
    </row>
    <row r="2923" spans="1:35" x14ac:dyDescent="0.25">
      <c r="A2923" s="1">
        <v>14</v>
      </c>
      <c r="B2923" s="1">
        <v>4</v>
      </c>
      <c r="C2923" s="1">
        <v>2020</v>
      </c>
      <c r="G2923" s="1" t="s">
        <v>40</v>
      </c>
      <c r="H2923" s="2">
        <v>84.23</v>
      </c>
      <c r="I2923" s="1">
        <v>213</v>
      </c>
      <c r="U2923" s="1">
        <v>259</v>
      </c>
      <c r="X2923" s="1">
        <v>235</v>
      </c>
      <c r="AA2923" s="1">
        <v>9</v>
      </c>
      <c r="AB2923" s="1">
        <v>8</v>
      </c>
      <c r="AC2923" s="1">
        <v>9567</v>
      </c>
      <c r="AF2923" s="3">
        <v>2.5287902172622578</v>
      </c>
      <c r="AG2923" s="3">
        <v>8.808743372191902</v>
      </c>
      <c r="AH2923" s="1">
        <v>6276</v>
      </c>
      <c r="AI2923" s="1" t="b">
        <v>1</v>
      </c>
    </row>
    <row r="2924" spans="1:35" x14ac:dyDescent="0.25">
      <c r="A2924" s="1">
        <v>14</v>
      </c>
      <c r="B2924" s="1">
        <v>4</v>
      </c>
      <c r="C2924" s="1">
        <v>2020</v>
      </c>
      <c r="G2924" s="1" t="s">
        <v>40</v>
      </c>
      <c r="H2924" s="2">
        <v>82.58</v>
      </c>
      <c r="I2924" s="1">
        <v>199</v>
      </c>
      <c r="U2924" s="1">
        <v>265</v>
      </c>
      <c r="X2924" s="1">
        <v>238</v>
      </c>
      <c r="AA2924" s="1">
        <v>14</v>
      </c>
      <c r="AB2924" s="1">
        <v>8</v>
      </c>
      <c r="AC2924" s="1">
        <v>9293</v>
      </c>
      <c r="AF2924" s="3">
        <v>2.4097844514410269</v>
      </c>
      <c r="AG2924" s="3">
        <v>9.1166276460870108</v>
      </c>
      <c r="AH2924" s="1">
        <v>6276</v>
      </c>
      <c r="AI2924" s="1" t="b">
        <v>1</v>
      </c>
    </row>
    <row r="2925" spans="1:35" x14ac:dyDescent="0.25">
      <c r="A2925" s="1">
        <v>14</v>
      </c>
      <c r="B2925" s="1">
        <v>4</v>
      </c>
      <c r="C2925" s="1">
        <v>2020</v>
      </c>
      <c r="G2925" s="1" t="s">
        <v>40</v>
      </c>
      <c r="H2925" s="2">
        <v>84.32</v>
      </c>
      <c r="I2925" s="1">
        <v>199</v>
      </c>
      <c r="U2925" s="1">
        <v>256</v>
      </c>
      <c r="X2925" s="1">
        <v>233</v>
      </c>
      <c r="AA2925" s="1">
        <v>14</v>
      </c>
      <c r="AB2925" s="1">
        <v>11</v>
      </c>
      <c r="AC2925" s="1">
        <v>9763</v>
      </c>
      <c r="AF2925" s="3">
        <v>2.3600569259962052</v>
      </c>
      <c r="AG2925" s="3">
        <v>9.4455867271743656</v>
      </c>
      <c r="AH2925" s="1">
        <v>6276</v>
      </c>
      <c r="AI2925" s="1" t="b">
        <v>1</v>
      </c>
    </row>
    <row r="2926" spans="1:35" x14ac:dyDescent="0.25">
      <c r="A2926" s="1">
        <v>15</v>
      </c>
      <c r="B2926" s="1">
        <v>4</v>
      </c>
      <c r="C2926" s="1">
        <v>2020</v>
      </c>
      <c r="G2926" s="1" t="s">
        <v>40</v>
      </c>
      <c r="H2926" s="2">
        <v>83.13</v>
      </c>
      <c r="I2926" s="1">
        <v>190</v>
      </c>
      <c r="U2926" s="1">
        <v>263</v>
      </c>
      <c r="X2926" s="1">
        <v>239</v>
      </c>
      <c r="AA2926" s="1">
        <v>15</v>
      </c>
      <c r="AB2926" s="1">
        <v>8</v>
      </c>
      <c r="AC2926" s="1">
        <v>9250</v>
      </c>
      <c r="AF2926" s="3">
        <v>2.2855768074100808</v>
      </c>
      <c r="AG2926" s="3">
        <v>9.6568308849855811</v>
      </c>
      <c r="AH2926" s="1">
        <v>6276</v>
      </c>
      <c r="AI2926" s="1" t="b">
        <v>1</v>
      </c>
    </row>
    <row r="2927" spans="1:35" x14ac:dyDescent="0.25">
      <c r="A2927" s="1">
        <v>15</v>
      </c>
      <c r="B2927" s="1">
        <v>4</v>
      </c>
      <c r="C2927" s="1">
        <v>2020</v>
      </c>
      <c r="G2927" s="1" t="s">
        <v>40</v>
      </c>
      <c r="H2927" s="2">
        <v>74.040000000000006</v>
      </c>
      <c r="I2927" s="1">
        <v>184</v>
      </c>
      <c r="U2927" s="1">
        <v>240</v>
      </c>
      <c r="X2927" s="1">
        <v>218</v>
      </c>
      <c r="AA2927" s="1">
        <v>13</v>
      </c>
      <c r="AB2927" s="1">
        <v>9</v>
      </c>
      <c r="AC2927" s="1">
        <v>8275</v>
      </c>
      <c r="AF2927" s="3">
        <v>2.4851431658562935</v>
      </c>
      <c r="AG2927" s="3">
        <v>8.1898335286809694</v>
      </c>
      <c r="AH2927" s="1">
        <v>6276</v>
      </c>
      <c r="AI2927" s="1" t="b">
        <v>1</v>
      </c>
    </row>
    <row r="2928" spans="1:35" x14ac:dyDescent="0.25">
      <c r="A2928" s="1">
        <v>15</v>
      </c>
      <c r="B2928" s="1">
        <v>4</v>
      </c>
      <c r="C2928" s="1">
        <v>2020</v>
      </c>
      <c r="G2928" s="1" t="s">
        <v>40</v>
      </c>
      <c r="H2928" s="2">
        <v>73.11</v>
      </c>
      <c r="I2928" s="1">
        <v>199</v>
      </c>
      <c r="U2928" s="1">
        <v>258</v>
      </c>
      <c r="X2928" s="1">
        <v>235</v>
      </c>
      <c r="AA2928" s="1">
        <v>15</v>
      </c>
      <c r="AB2928" s="1">
        <v>9</v>
      </c>
      <c r="AC2928" s="1">
        <v>8288</v>
      </c>
      <c r="AF2928" s="3">
        <v>2.7219258651347285</v>
      </c>
      <c r="AG2928" s="3">
        <v>7.4115229239725391</v>
      </c>
      <c r="AH2928" s="1">
        <v>6276</v>
      </c>
      <c r="AI2928" s="1" t="b">
        <v>1</v>
      </c>
    </row>
    <row r="2929" spans="1:35" x14ac:dyDescent="0.25">
      <c r="A2929" s="1">
        <v>16</v>
      </c>
      <c r="B2929" s="1">
        <v>4</v>
      </c>
      <c r="C2929" s="1">
        <v>2020</v>
      </c>
      <c r="G2929" s="1" t="s">
        <v>40</v>
      </c>
      <c r="H2929" s="2">
        <v>76.5</v>
      </c>
      <c r="I2929" s="1">
        <v>154</v>
      </c>
      <c r="U2929" s="1">
        <v>234</v>
      </c>
      <c r="X2929" s="1">
        <v>196</v>
      </c>
      <c r="AA2929" s="1">
        <v>16</v>
      </c>
      <c r="AB2929" s="1">
        <v>9</v>
      </c>
      <c r="AC2929" s="1">
        <v>8385</v>
      </c>
      <c r="AF2929" s="3">
        <v>2.0130718954248366</v>
      </c>
      <c r="AG2929" s="3">
        <v>10.344362207004899</v>
      </c>
      <c r="AH2929" s="1">
        <v>6276</v>
      </c>
      <c r="AI2929" s="1" t="b">
        <v>1</v>
      </c>
    </row>
    <row r="2930" spans="1:35" x14ac:dyDescent="0.25">
      <c r="A2930" s="1">
        <v>16</v>
      </c>
      <c r="B2930" s="1">
        <v>4</v>
      </c>
      <c r="C2930" s="1">
        <v>2020</v>
      </c>
      <c r="G2930" s="1" t="s">
        <v>40</v>
      </c>
      <c r="H2930" s="2">
        <v>71.44</v>
      </c>
      <c r="I2930" s="1">
        <v>177</v>
      </c>
      <c r="U2930" s="1">
        <v>240</v>
      </c>
      <c r="X2930" s="1">
        <v>213</v>
      </c>
      <c r="AA2930" s="1">
        <v>14</v>
      </c>
      <c r="AB2930" s="1">
        <v>14</v>
      </c>
      <c r="AC2930" s="1">
        <v>7986</v>
      </c>
      <c r="AF2930" s="3">
        <v>2.4776035834266517</v>
      </c>
      <c r="AG2930" s="3">
        <v>8.0117463584253077</v>
      </c>
      <c r="AH2930" s="1">
        <v>6276</v>
      </c>
      <c r="AI2930" s="1" t="b">
        <v>1</v>
      </c>
    </row>
    <row r="2931" spans="1:35" x14ac:dyDescent="0.25">
      <c r="A2931" s="1">
        <v>16</v>
      </c>
      <c r="B2931" s="1">
        <v>4</v>
      </c>
      <c r="C2931" s="1">
        <v>2020</v>
      </c>
      <c r="G2931" s="1" t="s">
        <v>40</v>
      </c>
      <c r="H2931" s="2">
        <v>79.58</v>
      </c>
      <c r="I2931" s="1">
        <v>195</v>
      </c>
      <c r="U2931" s="1">
        <v>278</v>
      </c>
      <c r="X2931" s="1">
        <v>232</v>
      </c>
      <c r="AA2931" s="1">
        <v>14</v>
      </c>
      <c r="AB2931" s="1">
        <v>10</v>
      </c>
      <c r="AC2931" s="1">
        <v>8160</v>
      </c>
      <c r="AF2931" s="3">
        <v>2.450364413169138</v>
      </c>
      <c r="AG2931" s="3">
        <v>8.7363913023420885</v>
      </c>
      <c r="AH2931" s="1">
        <v>6276</v>
      </c>
      <c r="AI2931" s="1" t="b">
        <v>1</v>
      </c>
    </row>
    <row r="2932" spans="1:35" x14ac:dyDescent="0.25">
      <c r="A2932" s="1">
        <v>16</v>
      </c>
      <c r="B2932" s="1">
        <v>4</v>
      </c>
      <c r="C2932" s="1">
        <v>2020</v>
      </c>
      <c r="G2932" s="1" t="s">
        <v>40</v>
      </c>
      <c r="H2932" s="2">
        <v>76.86</v>
      </c>
      <c r="I2932" s="1">
        <v>160</v>
      </c>
      <c r="U2932" s="1">
        <v>211</v>
      </c>
      <c r="X2932" s="1">
        <v>189</v>
      </c>
      <c r="AA2932" s="1">
        <v>10</v>
      </c>
      <c r="AB2932" s="1">
        <v>13</v>
      </c>
      <c r="AC2932" s="1">
        <v>7919</v>
      </c>
      <c r="AF2932" s="3">
        <v>2.0817069997397866</v>
      </c>
      <c r="AG2932" s="3">
        <v>10.036231342445959</v>
      </c>
      <c r="AH2932" s="1">
        <v>6276</v>
      </c>
      <c r="AI2932" s="1" t="b">
        <v>1</v>
      </c>
    </row>
    <row r="2933" spans="1:35" x14ac:dyDescent="0.25">
      <c r="A2933" s="1">
        <v>17</v>
      </c>
      <c r="B2933" s="1">
        <v>4</v>
      </c>
      <c r="C2933" s="1">
        <v>2020</v>
      </c>
      <c r="G2933" s="1" t="s">
        <v>40</v>
      </c>
      <c r="H2933" s="2">
        <v>77.41</v>
      </c>
      <c r="I2933" s="1">
        <v>169</v>
      </c>
      <c r="U2933" s="1">
        <v>252</v>
      </c>
      <c r="X2933" s="1">
        <v>215</v>
      </c>
      <c r="AA2933" s="1">
        <v>15</v>
      </c>
      <c r="AB2933" s="1">
        <v>13</v>
      </c>
      <c r="AC2933" s="1">
        <v>8609</v>
      </c>
      <c r="AF2933" s="3">
        <v>2.1831804676398399</v>
      </c>
      <c r="AG2933" s="3">
        <v>9.6176354201705134</v>
      </c>
      <c r="AH2933" s="1">
        <v>6276</v>
      </c>
      <c r="AI2933" s="1" t="b">
        <v>1</v>
      </c>
    </row>
    <row r="2934" spans="1:35" x14ac:dyDescent="0.25">
      <c r="A2934" s="1">
        <v>17</v>
      </c>
      <c r="B2934" s="1">
        <v>4</v>
      </c>
      <c r="C2934" s="1">
        <v>2020</v>
      </c>
      <c r="G2934" s="1" t="s">
        <v>40</v>
      </c>
      <c r="H2934" s="2">
        <v>74.91</v>
      </c>
      <c r="I2934" s="1">
        <v>171</v>
      </c>
      <c r="U2934" s="1">
        <v>235</v>
      </c>
      <c r="X2934" s="1">
        <v>210</v>
      </c>
      <c r="AA2934" s="1">
        <v>18</v>
      </c>
      <c r="AB2934" s="1">
        <v>17</v>
      </c>
      <c r="AC2934" s="1">
        <v>8783</v>
      </c>
      <c r="AF2934" s="3">
        <v>2.2827392871445737</v>
      </c>
      <c r="AG2934" s="3">
        <v>8.9892103804580508</v>
      </c>
      <c r="AH2934" s="1">
        <v>6276</v>
      </c>
      <c r="AI2934" s="1" t="b">
        <v>1</v>
      </c>
    </row>
    <row r="2935" spans="1:35" x14ac:dyDescent="0.25">
      <c r="A2935" s="1">
        <v>18</v>
      </c>
      <c r="B2935" s="1">
        <v>4</v>
      </c>
      <c r="C2935" s="1">
        <v>2020</v>
      </c>
      <c r="G2935" s="1" t="s">
        <v>40</v>
      </c>
      <c r="H2935" s="2">
        <v>84.02</v>
      </c>
      <c r="I2935" s="1">
        <v>167</v>
      </c>
      <c r="U2935" s="1">
        <v>235</v>
      </c>
      <c r="X2935" s="1">
        <v>204</v>
      </c>
      <c r="AA2935" s="1">
        <v>13</v>
      </c>
      <c r="AB2935" s="1">
        <v>10</v>
      </c>
      <c r="AC2935" s="1">
        <v>7763</v>
      </c>
      <c r="AF2935" s="3">
        <v>1.9876219947631517</v>
      </c>
      <c r="AG2935" s="3">
        <v>11.18752657864936</v>
      </c>
      <c r="AH2935" s="1">
        <v>6276</v>
      </c>
      <c r="AI2935" s="1" t="b">
        <v>1</v>
      </c>
    </row>
    <row r="2936" spans="1:35" x14ac:dyDescent="0.25">
      <c r="A2936" s="1">
        <v>18</v>
      </c>
      <c r="B2936" s="1">
        <v>4</v>
      </c>
      <c r="C2936" s="1">
        <v>2020</v>
      </c>
      <c r="G2936" s="1" t="s">
        <v>40</v>
      </c>
      <c r="H2936" s="2">
        <v>78.739999999999995</v>
      </c>
      <c r="I2936" s="1">
        <v>176</v>
      </c>
      <c r="U2936" s="1">
        <v>238</v>
      </c>
      <c r="X2936" s="1">
        <v>214</v>
      </c>
      <c r="AA2936" s="1">
        <v>16</v>
      </c>
      <c r="AB2936" s="1">
        <v>10</v>
      </c>
      <c r="AC2936" s="1">
        <v>8634</v>
      </c>
      <c r="AF2936" s="3">
        <v>2.2352044704089411</v>
      </c>
      <c r="AG2936" s="3">
        <v>9.5064754273534398</v>
      </c>
      <c r="AH2936" s="1">
        <v>6276</v>
      </c>
      <c r="AI2936" s="1" t="b">
        <v>1</v>
      </c>
    </row>
    <row r="2937" spans="1:35" x14ac:dyDescent="0.25">
      <c r="A2937" s="1">
        <v>18</v>
      </c>
      <c r="B2937" s="1">
        <v>4</v>
      </c>
      <c r="C2937" s="1">
        <v>2020</v>
      </c>
      <c r="G2937" s="1" t="s">
        <v>40</v>
      </c>
      <c r="H2937" s="2">
        <v>71.77</v>
      </c>
      <c r="I2937" s="1">
        <v>165</v>
      </c>
      <c r="U2937" s="1">
        <v>237</v>
      </c>
      <c r="X2937" s="1">
        <v>205</v>
      </c>
      <c r="AA2937" s="1">
        <v>19</v>
      </c>
      <c r="AB2937" s="1">
        <v>9</v>
      </c>
      <c r="AC2937" s="1">
        <v>7272</v>
      </c>
      <c r="AF2937" s="3">
        <v>2.2990107287167341</v>
      </c>
      <c r="AG2937" s="3">
        <v>8.6620176510808218</v>
      </c>
      <c r="AH2937" s="1">
        <v>6276</v>
      </c>
      <c r="AI2937" s="1" t="b">
        <v>1</v>
      </c>
    </row>
    <row r="2938" spans="1:35" x14ac:dyDescent="0.25">
      <c r="A2938" s="1">
        <v>19</v>
      </c>
      <c r="B2938" s="1">
        <v>4</v>
      </c>
      <c r="C2938" s="1">
        <v>2020</v>
      </c>
      <c r="G2938" s="1" t="s">
        <v>40</v>
      </c>
      <c r="H2938" s="2">
        <v>72.45</v>
      </c>
      <c r="I2938" s="1">
        <v>143</v>
      </c>
      <c r="U2938" s="1">
        <v>211</v>
      </c>
      <c r="X2938" s="1">
        <v>181</v>
      </c>
      <c r="AA2938" s="1">
        <v>14</v>
      </c>
      <c r="AB2938" s="1">
        <v>9</v>
      </c>
      <c r="AC2938" s="1">
        <v>8051</v>
      </c>
      <c r="AF2938" s="3">
        <v>1.973775017253278</v>
      </c>
      <c r="AG2938" s="3">
        <v>10.156152775836405</v>
      </c>
      <c r="AH2938" s="1">
        <v>6276</v>
      </c>
      <c r="AI2938" s="1" t="b">
        <v>1</v>
      </c>
    </row>
    <row r="2939" spans="1:35" x14ac:dyDescent="0.25">
      <c r="A2939" s="1">
        <v>19</v>
      </c>
      <c r="B2939" s="1">
        <v>4</v>
      </c>
      <c r="C2939" s="1">
        <v>2020</v>
      </c>
      <c r="G2939" s="1" t="s">
        <v>40</v>
      </c>
      <c r="H2939" s="2">
        <v>76.510000000000005</v>
      </c>
      <c r="I2939" s="1">
        <v>193</v>
      </c>
      <c r="U2939" s="1">
        <v>249</v>
      </c>
      <c r="X2939" s="1">
        <v>228</v>
      </c>
      <c r="AA2939" s="1">
        <v>14</v>
      </c>
      <c r="AB2939" s="1">
        <v>10</v>
      </c>
      <c r="AC2939" s="1">
        <v>8450</v>
      </c>
      <c r="AF2939" s="3">
        <v>2.5225460724088351</v>
      </c>
      <c r="AG2939" s="3">
        <v>8.255884990347873</v>
      </c>
      <c r="AH2939" s="1">
        <v>6276</v>
      </c>
      <c r="AI2939" s="1" t="b">
        <v>1</v>
      </c>
    </row>
    <row r="2940" spans="1:35" x14ac:dyDescent="0.25">
      <c r="A2940" s="1">
        <v>19</v>
      </c>
      <c r="B2940" s="1">
        <v>4</v>
      </c>
      <c r="C2940" s="1">
        <v>2020</v>
      </c>
      <c r="G2940" s="1" t="s">
        <v>40</v>
      </c>
      <c r="H2940" s="2">
        <v>67.55</v>
      </c>
      <c r="I2940" s="1">
        <v>146</v>
      </c>
      <c r="U2940" s="1">
        <v>220</v>
      </c>
      <c r="X2940" s="1">
        <v>189</v>
      </c>
      <c r="AA2940" s="1">
        <v>15</v>
      </c>
      <c r="AB2940" s="1">
        <v>15</v>
      </c>
      <c r="AC2940" s="1">
        <v>7400</v>
      </c>
      <c r="AF2940" s="3">
        <v>2.161361954108068</v>
      </c>
      <c r="AG2940" s="3">
        <v>8.8310073235120523</v>
      </c>
      <c r="AH2940" s="1">
        <v>6276</v>
      </c>
      <c r="AI2940" s="1" t="b">
        <v>1</v>
      </c>
    </row>
    <row r="2941" spans="1:35" x14ac:dyDescent="0.25">
      <c r="A2941" s="1">
        <v>20</v>
      </c>
      <c r="B2941" s="1">
        <v>4</v>
      </c>
      <c r="C2941" s="1">
        <v>2020</v>
      </c>
      <c r="G2941" s="1" t="s">
        <v>40</v>
      </c>
      <c r="H2941" s="2">
        <v>84.27</v>
      </c>
      <c r="I2941" s="1">
        <v>218</v>
      </c>
      <c r="U2941" s="1">
        <v>284</v>
      </c>
      <c r="X2941" s="1">
        <v>255</v>
      </c>
      <c r="AA2941" s="1">
        <v>14</v>
      </c>
      <c r="AB2941" s="1">
        <v>9</v>
      </c>
      <c r="AC2941" s="1">
        <v>9353</v>
      </c>
      <c r="AF2941" s="3">
        <v>2.5869229856413907</v>
      </c>
      <c r="AG2941" s="3">
        <v>8.6136574384738847</v>
      </c>
      <c r="AH2941" s="1">
        <v>6277</v>
      </c>
      <c r="AI2941" s="1" t="b">
        <v>1</v>
      </c>
    </row>
    <row r="2942" spans="1:35" x14ac:dyDescent="0.25">
      <c r="A2942" s="1">
        <v>20</v>
      </c>
      <c r="B2942" s="1">
        <v>4</v>
      </c>
      <c r="C2942" s="1">
        <v>2020</v>
      </c>
      <c r="G2942" s="1" t="s">
        <v>40</v>
      </c>
      <c r="H2942" s="2">
        <v>100.19</v>
      </c>
      <c r="I2942" s="1">
        <v>204</v>
      </c>
      <c r="U2942" s="1">
        <v>263</v>
      </c>
      <c r="X2942" s="1">
        <v>238</v>
      </c>
      <c r="AA2942" s="1">
        <v>13</v>
      </c>
      <c r="AB2942" s="1">
        <v>12</v>
      </c>
      <c r="AC2942" s="1">
        <v>11301</v>
      </c>
      <c r="AF2942" s="3">
        <v>2.0361313504341751</v>
      </c>
      <c r="AG2942" s="3">
        <v>12.352966760124124</v>
      </c>
      <c r="AH2942" s="1">
        <v>6277</v>
      </c>
      <c r="AI2942" s="1" t="b">
        <v>1</v>
      </c>
    </row>
    <row r="2943" spans="1:35" x14ac:dyDescent="0.25">
      <c r="A2943" s="1">
        <v>20</v>
      </c>
      <c r="B2943" s="1">
        <v>4</v>
      </c>
      <c r="C2943" s="1">
        <v>2020</v>
      </c>
      <c r="G2943" s="1" t="s">
        <v>40</v>
      </c>
      <c r="H2943" s="2">
        <v>88.06</v>
      </c>
      <c r="I2943" s="1">
        <v>197</v>
      </c>
      <c r="U2943" s="1">
        <v>259</v>
      </c>
      <c r="X2943" s="1">
        <v>235</v>
      </c>
      <c r="AA2943" s="1">
        <v>13</v>
      </c>
      <c r="AB2943" s="1">
        <v>8</v>
      </c>
      <c r="AC2943" s="1">
        <v>9673</v>
      </c>
      <c r="AF2943" s="3">
        <v>2.2371110606404723</v>
      </c>
      <c r="AG2943" s="3">
        <v>10.272059627811462</v>
      </c>
      <c r="AH2943" s="1">
        <v>6277</v>
      </c>
      <c r="AI2943" s="1" t="b">
        <v>1</v>
      </c>
    </row>
    <row r="2944" spans="1:35" x14ac:dyDescent="0.25">
      <c r="A2944" s="1">
        <v>24</v>
      </c>
      <c r="B2944" s="1">
        <v>4</v>
      </c>
      <c r="C2944" s="1">
        <v>2020</v>
      </c>
      <c r="G2944" s="1" t="s">
        <v>40</v>
      </c>
      <c r="H2944" s="2">
        <v>75.87</v>
      </c>
      <c r="I2944" s="1">
        <v>179</v>
      </c>
      <c r="U2944" s="1">
        <v>215</v>
      </c>
      <c r="X2944" s="1">
        <v>201</v>
      </c>
      <c r="AA2944" s="1">
        <v>9</v>
      </c>
      <c r="AB2944" s="1">
        <v>9</v>
      </c>
      <c r="AC2944" s="1">
        <v>8353</v>
      </c>
      <c r="AF2944" s="3">
        <v>2.3592988005799391</v>
      </c>
      <c r="AG2944" s="3">
        <v>8.7753836399986316</v>
      </c>
      <c r="AH2944" s="1">
        <v>6277</v>
      </c>
      <c r="AI2944" s="1" t="b">
        <v>1</v>
      </c>
    </row>
    <row r="2945" spans="1:35" x14ac:dyDescent="0.25">
      <c r="A2945" s="1">
        <v>24</v>
      </c>
      <c r="B2945" s="1">
        <v>4</v>
      </c>
      <c r="C2945" s="1">
        <v>2020</v>
      </c>
      <c r="G2945" s="1" t="s">
        <v>40</v>
      </c>
      <c r="H2945" s="2">
        <v>78.489999999999995</v>
      </c>
      <c r="I2945" s="1">
        <v>205</v>
      </c>
      <c r="U2945" s="1">
        <v>251</v>
      </c>
      <c r="X2945" s="1">
        <v>233</v>
      </c>
      <c r="AA2945" s="1">
        <v>11</v>
      </c>
      <c r="AB2945" s="1">
        <v>8</v>
      </c>
      <c r="AC2945" s="1">
        <v>8489</v>
      </c>
      <c r="AF2945" s="3">
        <v>2.6117976812332784</v>
      </c>
      <c r="AG2945" s="3">
        <v>8.1176532899028295</v>
      </c>
      <c r="AH2945" s="1">
        <v>6277</v>
      </c>
      <c r="AI2945" s="1" t="b">
        <v>1</v>
      </c>
    </row>
    <row r="2946" spans="1:35" x14ac:dyDescent="0.25">
      <c r="A2946" s="1">
        <v>25</v>
      </c>
      <c r="B2946" s="1">
        <v>4</v>
      </c>
      <c r="C2946" s="1">
        <v>2020</v>
      </c>
      <c r="G2946" s="1" t="s">
        <v>40</v>
      </c>
      <c r="H2946" s="2">
        <v>78.44</v>
      </c>
      <c r="I2946" s="1">
        <v>201</v>
      </c>
      <c r="U2946" s="1">
        <v>244</v>
      </c>
      <c r="X2946" s="1">
        <v>223</v>
      </c>
      <c r="AA2946" s="1">
        <v>9</v>
      </c>
      <c r="AB2946" s="1">
        <v>6</v>
      </c>
      <c r="AC2946" s="1">
        <v>8712</v>
      </c>
      <c r="AF2946" s="3">
        <v>2.5624681285058646</v>
      </c>
      <c r="AG2946" s="3">
        <v>8.2702347486311005</v>
      </c>
      <c r="AH2946" s="1">
        <v>6277</v>
      </c>
      <c r="AI2946" s="1" t="b">
        <v>1</v>
      </c>
    </row>
    <row r="2947" spans="1:35" x14ac:dyDescent="0.25">
      <c r="A2947" s="1">
        <v>25</v>
      </c>
      <c r="B2947" s="1">
        <v>4</v>
      </c>
      <c r="C2947" s="1">
        <v>2020</v>
      </c>
      <c r="G2947" s="1" t="s">
        <v>40</v>
      </c>
      <c r="H2947" s="2">
        <v>71.77</v>
      </c>
      <c r="I2947" s="1">
        <v>147</v>
      </c>
      <c r="U2947" s="1">
        <v>204</v>
      </c>
      <c r="X2947" s="1">
        <v>182</v>
      </c>
      <c r="AA2947" s="1">
        <v>14</v>
      </c>
      <c r="AB2947" s="1">
        <v>13</v>
      </c>
      <c r="AC2947" s="1">
        <v>7534</v>
      </c>
      <c r="AF2947" s="3">
        <v>2.0482095583112723</v>
      </c>
      <c r="AG2947" s="3">
        <v>9.7226728736621464</v>
      </c>
      <c r="AH2947" s="1">
        <v>6277</v>
      </c>
      <c r="AI2947" s="1" t="b">
        <v>1</v>
      </c>
    </row>
    <row r="2948" spans="1:35" x14ac:dyDescent="0.25">
      <c r="A2948" s="1">
        <v>25</v>
      </c>
      <c r="B2948" s="1">
        <v>4</v>
      </c>
      <c r="C2948" s="1">
        <v>2020</v>
      </c>
      <c r="G2948" s="1" t="s">
        <v>40</v>
      </c>
      <c r="H2948" s="2">
        <v>77.08</v>
      </c>
      <c r="I2948" s="1">
        <v>160</v>
      </c>
      <c r="U2948" s="1">
        <v>219</v>
      </c>
      <c r="X2948" s="1">
        <v>202</v>
      </c>
      <c r="AA2948" s="1">
        <v>15</v>
      </c>
      <c r="AB2948" s="1">
        <v>13</v>
      </c>
      <c r="AC2948" s="1">
        <v>8847</v>
      </c>
      <c r="AF2948" s="3">
        <v>2.0757654385054489</v>
      </c>
      <c r="AG2948" s="3">
        <v>10.085116456085194</v>
      </c>
      <c r="AH2948" s="1">
        <v>6277</v>
      </c>
      <c r="AI2948" s="1" t="b">
        <v>1</v>
      </c>
    </row>
    <row r="2949" spans="1:35" x14ac:dyDescent="0.25">
      <c r="A2949" s="1">
        <v>27</v>
      </c>
      <c r="B2949" s="1">
        <v>4</v>
      </c>
      <c r="C2949" s="1">
        <v>2020</v>
      </c>
      <c r="G2949" s="1" t="s">
        <v>40</v>
      </c>
      <c r="H2949" s="2">
        <v>67.239999999999995</v>
      </c>
      <c r="I2949" s="1">
        <v>149</v>
      </c>
      <c r="U2949" s="1">
        <v>218</v>
      </c>
      <c r="X2949" s="1">
        <v>198</v>
      </c>
      <c r="AA2949" s="1">
        <v>17</v>
      </c>
      <c r="AB2949" s="1">
        <v>13</v>
      </c>
      <c r="AC2949" s="1">
        <v>7044</v>
      </c>
      <c r="AF2949" s="3">
        <v>2.2159428911362284</v>
      </c>
      <c r="AG2949" s="3">
        <v>8.5858012258476908</v>
      </c>
      <c r="AH2949" s="1">
        <v>6278</v>
      </c>
      <c r="AI2949" s="1" t="b">
        <v>1</v>
      </c>
    </row>
    <row r="2950" spans="1:35" x14ac:dyDescent="0.25">
      <c r="A2950" s="1">
        <v>27</v>
      </c>
      <c r="B2950" s="1">
        <v>4</v>
      </c>
      <c r="C2950" s="1">
        <v>2020</v>
      </c>
      <c r="G2950" s="1" t="s">
        <v>40</v>
      </c>
      <c r="H2950" s="2">
        <v>71.02</v>
      </c>
      <c r="I2950" s="1">
        <v>163</v>
      </c>
      <c r="U2950" s="1">
        <v>221</v>
      </c>
      <c r="X2950" s="1">
        <v>202</v>
      </c>
      <c r="AA2950" s="1">
        <v>14</v>
      </c>
      <c r="AB2950" s="1">
        <v>18</v>
      </c>
      <c r="AC2950" s="1">
        <v>8360</v>
      </c>
      <c r="AF2950" s="3">
        <v>2.2951281329203042</v>
      </c>
      <c r="AG2950" s="3">
        <v>8.6131008257600179</v>
      </c>
      <c r="AH2950" s="1">
        <v>6278</v>
      </c>
      <c r="AI2950" s="1" t="b">
        <v>1</v>
      </c>
    </row>
    <row r="2951" spans="1:35" x14ac:dyDescent="0.25">
      <c r="A2951" s="1">
        <v>28</v>
      </c>
      <c r="B2951" s="1">
        <v>4</v>
      </c>
      <c r="C2951" s="1">
        <v>2020</v>
      </c>
      <c r="G2951" s="1" t="s">
        <v>40</v>
      </c>
      <c r="H2951" s="2">
        <v>78.28</v>
      </c>
      <c r="I2951" s="1">
        <v>187</v>
      </c>
      <c r="U2951" s="1">
        <v>254</v>
      </c>
      <c r="X2951" s="1">
        <v>224</v>
      </c>
      <c r="AA2951" s="1">
        <v>13</v>
      </c>
      <c r="AB2951" s="1">
        <v>5</v>
      </c>
      <c r="AC2951" s="1">
        <v>8843</v>
      </c>
      <c r="AF2951" s="3">
        <v>2.3888605007664792</v>
      </c>
      <c r="AG2951" s="3">
        <v>8.8585936825384834</v>
      </c>
      <c r="AH2951" s="1">
        <v>6278</v>
      </c>
      <c r="AI2951" s="1" t="b">
        <v>1</v>
      </c>
    </row>
    <row r="2952" spans="1:35" x14ac:dyDescent="0.25">
      <c r="A2952" s="1">
        <v>28</v>
      </c>
      <c r="B2952" s="1">
        <v>4</v>
      </c>
      <c r="C2952" s="1">
        <v>2020</v>
      </c>
      <c r="G2952" s="1" t="s">
        <v>40</v>
      </c>
      <c r="H2952" s="2">
        <v>75.430000000000007</v>
      </c>
      <c r="I2952" s="1">
        <v>178</v>
      </c>
      <c r="U2952" s="1">
        <v>242</v>
      </c>
      <c r="X2952" s="1">
        <v>214</v>
      </c>
      <c r="AA2952" s="1">
        <v>14</v>
      </c>
      <c r="AB2952" s="1">
        <v>10</v>
      </c>
      <c r="AC2952" s="1">
        <v>8700</v>
      </c>
      <c r="AF2952" s="3">
        <v>2.3598037915948558</v>
      </c>
      <c r="AG2952" s="3">
        <v>8.737857962780696</v>
      </c>
      <c r="AH2952" s="1">
        <v>6278</v>
      </c>
      <c r="AI2952" s="1" t="b">
        <v>1</v>
      </c>
    </row>
    <row r="2953" spans="1:35" x14ac:dyDescent="0.25">
      <c r="A2953" s="1">
        <v>28</v>
      </c>
      <c r="B2953" s="1">
        <v>4</v>
      </c>
      <c r="C2953" s="1">
        <v>2020</v>
      </c>
      <c r="G2953" s="1" t="s">
        <v>40</v>
      </c>
      <c r="H2953" s="2">
        <v>67.42</v>
      </c>
      <c r="I2953" s="1">
        <v>156</v>
      </c>
      <c r="U2953" s="1">
        <v>211</v>
      </c>
      <c r="X2953" s="1">
        <v>193</v>
      </c>
      <c r="AA2953" s="1">
        <v>11</v>
      </c>
      <c r="AB2953" s="1">
        <v>11</v>
      </c>
      <c r="AC2953" s="1">
        <v>7434</v>
      </c>
      <c r="AF2953" s="3">
        <v>2.3138534559477901</v>
      </c>
      <c r="AG2953" s="3">
        <v>8.2378954061278034</v>
      </c>
      <c r="AH2953" s="1">
        <v>6278</v>
      </c>
      <c r="AI2953" s="1" t="b">
        <v>1</v>
      </c>
    </row>
    <row r="2954" spans="1:35" x14ac:dyDescent="0.25">
      <c r="A2954" s="1">
        <v>28</v>
      </c>
      <c r="B2954" s="1">
        <v>4</v>
      </c>
      <c r="C2954" s="1">
        <v>2020</v>
      </c>
      <c r="G2954" s="1" t="s">
        <v>40</v>
      </c>
      <c r="H2954" s="2">
        <v>77.180000000000007</v>
      </c>
      <c r="I2954" s="1">
        <v>198</v>
      </c>
      <c r="U2954" s="1">
        <v>257</v>
      </c>
      <c r="X2954" s="1">
        <v>234</v>
      </c>
      <c r="AA2954" s="1">
        <v>12</v>
      </c>
      <c r="AB2954" s="1">
        <v>5</v>
      </c>
      <c r="AC2954" s="1">
        <v>9516</v>
      </c>
      <c r="AF2954" s="3">
        <v>2.5654314589271832</v>
      </c>
      <c r="AG2954" s="3">
        <v>8.1675711408559124</v>
      </c>
      <c r="AH2954" s="1">
        <v>6278</v>
      </c>
      <c r="AI2954" s="1" t="b">
        <v>1</v>
      </c>
    </row>
    <row r="2955" spans="1:35" x14ac:dyDescent="0.25">
      <c r="A2955" s="1">
        <v>28</v>
      </c>
      <c r="B2955" s="1">
        <v>4</v>
      </c>
      <c r="C2955" s="1">
        <v>2020</v>
      </c>
      <c r="G2955" s="1" t="s">
        <v>40</v>
      </c>
      <c r="H2955" s="2">
        <v>70.75</v>
      </c>
      <c r="I2955" s="1">
        <v>153</v>
      </c>
      <c r="U2955" s="1">
        <v>210</v>
      </c>
      <c r="X2955" s="1">
        <v>187</v>
      </c>
      <c r="AA2955" s="1">
        <v>16</v>
      </c>
      <c r="AB2955" s="1">
        <v>17</v>
      </c>
      <c r="AC2955" s="1">
        <v>8057</v>
      </c>
      <c r="AF2955" s="3">
        <v>2.1625441696113072</v>
      </c>
      <c r="AG2955" s="3">
        <v>9.1168230233751846</v>
      </c>
      <c r="AH2955" s="1">
        <v>6278</v>
      </c>
      <c r="AI2955" s="1" t="b">
        <v>1</v>
      </c>
    </row>
    <row r="2956" spans="1:35" x14ac:dyDescent="0.25">
      <c r="A2956" s="1">
        <v>28</v>
      </c>
      <c r="B2956" s="1">
        <v>4</v>
      </c>
      <c r="C2956" s="1">
        <v>2020</v>
      </c>
      <c r="G2956" s="1" t="s">
        <v>40</v>
      </c>
      <c r="H2956" s="2">
        <v>77.5</v>
      </c>
      <c r="I2956" s="1">
        <v>190</v>
      </c>
      <c r="U2956" s="1">
        <v>247</v>
      </c>
      <c r="X2956" s="1">
        <v>221</v>
      </c>
      <c r="AA2956" s="1">
        <v>11</v>
      </c>
      <c r="AB2956" s="1">
        <v>5</v>
      </c>
      <c r="AC2956" s="1">
        <v>8383</v>
      </c>
      <c r="AF2956" s="3">
        <v>2.4516129032258065</v>
      </c>
      <c r="AG2956" s="3">
        <v>8.5715486278425406</v>
      </c>
      <c r="AH2956" s="1">
        <v>6278</v>
      </c>
      <c r="AI2956" s="1" t="b">
        <v>1</v>
      </c>
    </row>
    <row r="2957" spans="1:35" x14ac:dyDescent="0.25">
      <c r="A2957" s="1">
        <v>28</v>
      </c>
      <c r="B2957" s="1">
        <v>4</v>
      </c>
      <c r="C2957" s="1">
        <v>2020</v>
      </c>
      <c r="G2957" s="1" t="s">
        <v>40</v>
      </c>
      <c r="H2957" s="2">
        <v>79.040000000000006</v>
      </c>
      <c r="I2957" s="1">
        <v>189</v>
      </c>
      <c r="U2957" s="1">
        <v>258</v>
      </c>
      <c r="X2957" s="1">
        <v>231</v>
      </c>
      <c r="AA2957" s="1">
        <v>18</v>
      </c>
      <c r="AB2957" s="1">
        <v>18</v>
      </c>
      <c r="AC2957" s="1">
        <v>9292</v>
      </c>
      <c r="AF2957" s="3">
        <v>2.3911943319838054</v>
      </c>
      <c r="AG2957" s="3">
        <v>8.9100056516591692</v>
      </c>
      <c r="AH2957" s="1">
        <v>6278</v>
      </c>
      <c r="AI2957" s="1" t="b">
        <v>1</v>
      </c>
    </row>
    <row r="2958" spans="1:35" x14ac:dyDescent="0.25">
      <c r="A2958" s="1">
        <v>29</v>
      </c>
      <c r="B2958" s="1">
        <v>4</v>
      </c>
      <c r="C2958" s="1">
        <v>2020</v>
      </c>
      <c r="G2958" s="1" t="s">
        <v>40</v>
      </c>
      <c r="H2958" s="2">
        <v>68.44</v>
      </c>
      <c r="I2958" s="1">
        <v>168</v>
      </c>
      <c r="U2958" s="1">
        <v>216</v>
      </c>
      <c r="X2958" s="1">
        <v>201</v>
      </c>
      <c r="AA2958" s="1">
        <v>14</v>
      </c>
      <c r="AB2958" s="1">
        <v>9</v>
      </c>
      <c r="AC2958" s="1">
        <v>7501</v>
      </c>
      <c r="AF2958" s="3">
        <v>2.4547048509643483</v>
      </c>
      <c r="AG2958" s="3">
        <v>7.84725417466277</v>
      </c>
      <c r="AH2958" s="1">
        <v>6278</v>
      </c>
      <c r="AI2958" s="1" t="b">
        <v>1</v>
      </c>
    </row>
    <row r="2959" spans="1:35" x14ac:dyDescent="0.25">
      <c r="A2959" s="1">
        <v>29</v>
      </c>
      <c r="B2959" s="1">
        <v>4</v>
      </c>
      <c r="C2959" s="1">
        <v>2020</v>
      </c>
      <c r="G2959" s="1" t="s">
        <v>40</v>
      </c>
      <c r="H2959" s="2">
        <v>81.34</v>
      </c>
      <c r="I2959" s="1">
        <v>179</v>
      </c>
      <c r="U2959" s="1">
        <v>235</v>
      </c>
      <c r="X2959" s="1">
        <v>212</v>
      </c>
      <c r="AA2959" s="1">
        <v>13</v>
      </c>
      <c r="AB2959" s="1">
        <v>6</v>
      </c>
      <c r="AC2959" s="1">
        <v>9026</v>
      </c>
      <c r="AF2959" s="3">
        <v>2.2006392918613229</v>
      </c>
      <c r="AG2959" s="3">
        <v>9.8778870245301711</v>
      </c>
      <c r="AH2959" s="1">
        <v>6278</v>
      </c>
      <c r="AI2959" s="1" t="b">
        <v>1</v>
      </c>
    </row>
    <row r="2960" spans="1:35" x14ac:dyDescent="0.25">
      <c r="A2960" s="1">
        <v>30</v>
      </c>
      <c r="B2960" s="1">
        <v>4</v>
      </c>
      <c r="C2960" s="1">
        <v>2020</v>
      </c>
      <c r="G2960" s="1" t="s">
        <v>40</v>
      </c>
      <c r="H2960" s="2">
        <v>80.39</v>
      </c>
      <c r="I2960" s="1">
        <v>196</v>
      </c>
      <c r="U2960" s="1">
        <v>247</v>
      </c>
      <c r="X2960" s="1">
        <v>221</v>
      </c>
      <c r="AA2960" s="1">
        <v>9</v>
      </c>
      <c r="AB2960" s="1">
        <v>6</v>
      </c>
      <c r="AC2960" s="1">
        <v>8022</v>
      </c>
      <c r="AF2960" s="3">
        <v>2.4381141933076251</v>
      </c>
      <c r="AG2960" s="3">
        <v>8.8427506198950692</v>
      </c>
      <c r="AH2960" s="1">
        <v>6278</v>
      </c>
      <c r="AI2960" s="1" t="b">
        <v>1</v>
      </c>
    </row>
    <row r="2961" spans="1:35" x14ac:dyDescent="0.25">
      <c r="A2961" s="1">
        <v>30</v>
      </c>
      <c r="B2961" s="1">
        <v>4</v>
      </c>
      <c r="C2961" s="1">
        <v>2020</v>
      </c>
      <c r="G2961" s="1" t="s">
        <v>40</v>
      </c>
      <c r="H2961" s="2">
        <v>79.73</v>
      </c>
      <c r="I2961" s="1">
        <v>166</v>
      </c>
      <c r="U2961" s="1">
        <v>208</v>
      </c>
      <c r="X2961" s="1">
        <v>193</v>
      </c>
      <c r="AA2961" s="1">
        <v>12</v>
      </c>
      <c r="AB2961" s="1">
        <v>9</v>
      </c>
      <c r="AC2961" s="1">
        <v>8704</v>
      </c>
      <c r="AF2961" s="3">
        <v>2.0820268405869808</v>
      </c>
      <c r="AG2961" s="3">
        <v>10.295534800412488</v>
      </c>
      <c r="AH2961" s="1">
        <v>6278</v>
      </c>
      <c r="AI2961" s="1" t="b">
        <v>1</v>
      </c>
    </row>
    <row r="2962" spans="1:35" x14ac:dyDescent="0.25">
      <c r="A2962" s="1">
        <v>30</v>
      </c>
      <c r="B2962" s="1">
        <v>4</v>
      </c>
      <c r="C2962" s="1">
        <v>2020</v>
      </c>
      <c r="G2962" s="1" t="s">
        <v>40</v>
      </c>
      <c r="H2962" s="2">
        <v>67.31</v>
      </c>
      <c r="I2962" s="1">
        <v>154</v>
      </c>
      <c r="U2962" s="1">
        <v>219</v>
      </c>
      <c r="X2962" s="1">
        <v>197</v>
      </c>
      <c r="AA2962" s="1">
        <v>17</v>
      </c>
      <c r="AB2962" s="1">
        <v>14</v>
      </c>
      <c r="AC2962" s="1">
        <v>8677</v>
      </c>
      <c r="AF2962" s="3">
        <v>2.2879215569751894</v>
      </c>
      <c r="AG2962" s="3">
        <v>8.3217484369331451</v>
      </c>
      <c r="AH2962" s="1">
        <v>6278</v>
      </c>
      <c r="AI2962" s="1" t="b">
        <v>1</v>
      </c>
    </row>
    <row r="2963" spans="1:35" x14ac:dyDescent="0.25">
      <c r="A2963" s="1">
        <v>30</v>
      </c>
      <c r="B2963" s="1">
        <v>4</v>
      </c>
      <c r="C2963" s="1">
        <v>2020</v>
      </c>
      <c r="G2963" s="1" t="s">
        <v>40</v>
      </c>
      <c r="H2963" s="2">
        <v>65.680000000000007</v>
      </c>
      <c r="I2963" s="1">
        <v>157</v>
      </c>
      <c r="U2963" s="1">
        <v>211</v>
      </c>
      <c r="X2963" s="1">
        <v>187</v>
      </c>
      <c r="AA2963" s="1">
        <v>13</v>
      </c>
      <c r="AB2963" s="1">
        <v>9</v>
      </c>
      <c r="AC2963" s="1">
        <v>7376</v>
      </c>
      <c r="AF2963" s="3">
        <v>2.3903775883069427</v>
      </c>
      <c r="AG2963" s="3">
        <v>7.8295480293806383</v>
      </c>
      <c r="AH2963" s="1">
        <v>6278</v>
      </c>
      <c r="AI2963" s="1" t="b">
        <v>1</v>
      </c>
    </row>
    <row r="2964" spans="1:35" x14ac:dyDescent="0.25">
      <c r="A2964" s="1">
        <v>30</v>
      </c>
      <c r="B2964" s="1">
        <v>4</v>
      </c>
      <c r="C2964" s="1">
        <v>2020</v>
      </c>
      <c r="G2964" s="1" t="s">
        <v>40</v>
      </c>
      <c r="H2964" s="2">
        <v>86.19</v>
      </c>
      <c r="I2964" s="1">
        <v>198</v>
      </c>
      <c r="U2964" s="1">
        <v>238</v>
      </c>
      <c r="X2964" s="1">
        <v>222</v>
      </c>
      <c r="AA2964" s="1">
        <v>10</v>
      </c>
      <c r="AB2964" s="1">
        <v>8</v>
      </c>
      <c r="AC2964" s="1">
        <v>10529</v>
      </c>
      <c r="AF2964" s="3">
        <v>2.297250261051166</v>
      </c>
      <c r="AG2964" s="3">
        <v>9.8539761533933596</v>
      </c>
      <c r="AH2964" s="1">
        <v>6278</v>
      </c>
      <c r="AI2964" s="1" t="b">
        <v>1</v>
      </c>
    </row>
    <row r="2965" spans="1:35" x14ac:dyDescent="0.25">
      <c r="A2965" s="1">
        <v>1</v>
      </c>
      <c r="B2965" s="1">
        <v>5</v>
      </c>
      <c r="C2965" s="1">
        <v>2020</v>
      </c>
      <c r="G2965" s="1" t="s">
        <v>40</v>
      </c>
      <c r="H2965" s="2">
        <v>74.87</v>
      </c>
      <c r="I2965" s="1">
        <v>161</v>
      </c>
      <c r="U2965" s="1">
        <v>219</v>
      </c>
      <c r="X2965" s="1">
        <v>195</v>
      </c>
      <c r="AA2965" s="1">
        <v>14</v>
      </c>
      <c r="AB2965" s="1">
        <v>11</v>
      </c>
      <c r="AC2965" s="1">
        <v>8614</v>
      </c>
      <c r="AF2965" s="3">
        <v>2.1503940162949111</v>
      </c>
      <c r="AG2965" s="3">
        <v>9.5388812064681474</v>
      </c>
      <c r="AH2965" s="1">
        <v>6278</v>
      </c>
      <c r="AI2965" s="1" t="b">
        <v>1</v>
      </c>
    </row>
    <row r="2966" spans="1:35" x14ac:dyDescent="0.25">
      <c r="A2966" s="1">
        <v>1</v>
      </c>
      <c r="B2966" s="1">
        <v>5</v>
      </c>
      <c r="C2966" s="1">
        <v>2020</v>
      </c>
      <c r="G2966" s="1" t="s">
        <v>40</v>
      </c>
      <c r="H2966" s="2">
        <v>91.57</v>
      </c>
      <c r="I2966" s="1">
        <v>187</v>
      </c>
      <c r="U2966" s="1">
        <v>248</v>
      </c>
      <c r="X2966" s="1">
        <v>223</v>
      </c>
      <c r="AA2966" s="1">
        <v>14</v>
      </c>
      <c r="AB2966" s="1">
        <v>8</v>
      </c>
      <c r="AC2966" s="1">
        <v>9951</v>
      </c>
      <c r="AF2966" s="3">
        <v>2.0421535437370317</v>
      </c>
      <c r="AG2966" s="3">
        <v>11.564819466732954</v>
      </c>
      <c r="AH2966" s="1">
        <v>6278</v>
      </c>
      <c r="AI2966" s="1" t="b">
        <v>1</v>
      </c>
    </row>
    <row r="2967" spans="1:35" x14ac:dyDescent="0.25">
      <c r="A2967" s="1">
        <v>1</v>
      </c>
      <c r="B2967" s="1">
        <v>5</v>
      </c>
      <c r="C2967" s="1">
        <v>2020</v>
      </c>
      <c r="G2967" s="1" t="s">
        <v>40</v>
      </c>
      <c r="H2967" s="2">
        <v>67.61</v>
      </c>
      <c r="I2967" s="1">
        <v>162</v>
      </c>
      <c r="U2967" s="1">
        <v>218</v>
      </c>
      <c r="X2967" s="1">
        <v>199</v>
      </c>
      <c r="AA2967" s="1">
        <v>15</v>
      </c>
      <c r="AB2967" s="1">
        <v>15</v>
      </c>
      <c r="AC2967" s="1">
        <v>7705</v>
      </c>
      <c r="AF2967" s="3">
        <v>2.3960952521816301</v>
      </c>
      <c r="AG2967" s="3">
        <v>7.9708305478763037</v>
      </c>
      <c r="AH2967" s="1">
        <v>6278</v>
      </c>
      <c r="AI2967" s="1" t="b">
        <v>1</v>
      </c>
    </row>
    <row r="2968" spans="1:35" x14ac:dyDescent="0.25">
      <c r="A2968" s="1">
        <v>1</v>
      </c>
      <c r="B2968" s="1">
        <v>5</v>
      </c>
      <c r="C2968" s="1">
        <v>2020</v>
      </c>
      <c r="G2968" s="1" t="s">
        <v>40</v>
      </c>
      <c r="H2968" s="2">
        <v>76.290000000000006</v>
      </c>
      <c r="I2968" s="1">
        <v>182</v>
      </c>
      <c r="U2968" s="1">
        <v>250</v>
      </c>
      <c r="X2968" s="1">
        <v>217</v>
      </c>
      <c r="AA2968" s="1">
        <v>15</v>
      </c>
      <c r="AB2968" s="1">
        <v>10</v>
      </c>
      <c r="AC2968" s="1">
        <v>8694</v>
      </c>
      <c r="AF2968" s="3">
        <v>2.3856337658933016</v>
      </c>
      <c r="AG2968" s="3">
        <v>8.7121141546604441</v>
      </c>
      <c r="AH2968" s="1">
        <v>6278</v>
      </c>
      <c r="AI2968" s="1" t="b">
        <v>1</v>
      </c>
    </row>
    <row r="2969" spans="1:35" x14ac:dyDescent="0.25">
      <c r="A2969" s="1">
        <v>1</v>
      </c>
      <c r="B2969" s="1">
        <v>5</v>
      </c>
      <c r="C2969" s="1">
        <v>2020</v>
      </c>
      <c r="G2969" s="1" t="s">
        <v>40</v>
      </c>
      <c r="H2969" s="2">
        <v>73.98</v>
      </c>
      <c r="I2969" s="1">
        <v>179</v>
      </c>
      <c r="U2969" s="1">
        <v>247</v>
      </c>
      <c r="X2969" s="1">
        <v>217</v>
      </c>
      <c r="AA2969" s="1">
        <v>15</v>
      </c>
      <c r="AB2969" s="1">
        <v>10</v>
      </c>
      <c r="AC2969" s="1">
        <v>8523</v>
      </c>
      <c r="AF2969" s="3">
        <v>2.4195728575290616</v>
      </c>
      <c r="AG2969" s="3">
        <v>8.4070053711786024</v>
      </c>
      <c r="AH2969" s="1">
        <v>6278</v>
      </c>
      <c r="AI2969" s="1" t="b">
        <v>1</v>
      </c>
    </row>
    <row r="2970" spans="1:35" x14ac:dyDescent="0.25">
      <c r="A2970" s="1">
        <v>1</v>
      </c>
      <c r="B2970" s="1">
        <v>5</v>
      </c>
      <c r="C2970" s="1">
        <v>2020</v>
      </c>
      <c r="G2970" s="1" t="s">
        <v>40</v>
      </c>
      <c r="H2970" s="2">
        <v>80.47</v>
      </c>
      <c r="I2970" s="1">
        <v>172</v>
      </c>
      <c r="U2970" s="1">
        <v>242</v>
      </c>
      <c r="X2970" s="1">
        <v>211</v>
      </c>
      <c r="AA2970" s="1">
        <v>14</v>
      </c>
      <c r="AB2970" s="1">
        <v>11</v>
      </c>
      <c r="AC2970" s="1">
        <v>8788</v>
      </c>
      <c r="AF2970" s="3">
        <v>2.1374425251646576</v>
      </c>
      <c r="AG2970" s="3">
        <v>10.093675890266713</v>
      </c>
      <c r="AH2970" s="1">
        <v>6278</v>
      </c>
      <c r="AI2970" s="1" t="b">
        <v>1</v>
      </c>
    </row>
    <row r="2971" spans="1:35" x14ac:dyDescent="0.25">
      <c r="A2971" s="1">
        <v>1</v>
      </c>
      <c r="B2971" s="1">
        <v>5</v>
      </c>
      <c r="C2971" s="1">
        <v>2020</v>
      </c>
      <c r="G2971" s="1" t="s">
        <v>40</v>
      </c>
      <c r="H2971" s="2">
        <v>70.3</v>
      </c>
      <c r="I2971" s="1">
        <v>162</v>
      </c>
      <c r="U2971" s="1">
        <v>209</v>
      </c>
      <c r="X2971" s="1">
        <v>186</v>
      </c>
      <c r="AA2971" s="1">
        <v>10</v>
      </c>
      <c r="AB2971" s="1">
        <v>9</v>
      </c>
      <c r="AC2971" s="1">
        <v>7487</v>
      </c>
      <c r="AF2971" s="3">
        <v>2.3044096728307255</v>
      </c>
      <c r="AG2971" s="3">
        <v>8.5174391188556466</v>
      </c>
      <c r="AH2971" s="1">
        <v>6278</v>
      </c>
      <c r="AI2971" s="1" t="b">
        <v>1</v>
      </c>
    </row>
    <row r="2972" spans="1:35" x14ac:dyDescent="0.25">
      <c r="A2972" s="1">
        <v>1</v>
      </c>
      <c r="B2972" s="1">
        <v>5</v>
      </c>
      <c r="C2972" s="1">
        <v>2020</v>
      </c>
      <c r="G2972" s="1" t="s">
        <v>40</v>
      </c>
      <c r="H2972" s="2">
        <v>70.89</v>
      </c>
      <c r="I2972" s="1">
        <v>175</v>
      </c>
      <c r="U2972" s="1">
        <v>221</v>
      </c>
      <c r="X2972" s="1">
        <v>204</v>
      </c>
      <c r="AA2972" s="1">
        <v>11</v>
      </c>
      <c r="AB2972" s="1">
        <v>6</v>
      </c>
      <c r="AC2972" s="1">
        <v>8177</v>
      </c>
      <c r="AF2972" s="3">
        <v>2.4686133446184231</v>
      </c>
      <c r="AG2972" s="3">
        <v>7.9975398197214025</v>
      </c>
      <c r="AH2972" s="1">
        <v>6278</v>
      </c>
      <c r="AI2972" s="1" t="b">
        <v>1</v>
      </c>
    </row>
    <row r="2973" spans="1:35" x14ac:dyDescent="0.25">
      <c r="A2973" s="1">
        <v>1</v>
      </c>
      <c r="B2973" s="1">
        <v>5</v>
      </c>
      <c r="C2973" s="1">
        <v>2020</v>
      </c>
      <c r="G2973" s="1" t="s">
        <v>40</v>
      </c>
      <c r="H2973" s="2">
        <v>75.55</v>
      </c>
      <c r="I2973" s="1">
        <v>151</v>
      </c>
      <c r="U2973" s="1">
        <v>218</v>
      </c>
      <c r="X2973" s="1">
        <v>197</v>
      </c>
      <c r="AA2973" s="1">
        <v>18</v>
      </c>
      <c r="AB2973" s="1">
        <v>12</v>
      </c>
      <c r="AC2973" s="1">
        <v>7957</v>
      </c>
      <c r="AF2973" s="3">
        <v>1.9986763732627399</v>
      </c>
      <c r="AG2973" s="3">
        <v>10.328128899022159</v>
      </c>
      <c r="AH2973" s="1">
        <v>6278</v>
      </c>
      <c r="AI2973" s="1" t="b">
        <v>1</v>
      </c>
    </row>
    <row r="2974" spans="1:35" x14ac:dyDescent="0.25">
      <c r="A2974" s="1">
        <v>3</v>
      </c>
      <c r="B2974" s="1">
        <v>5</v>
      </c>
      <c r="C2974" s="1">
        <v>2020</v>
      </c>
      <c r="G2974" s="1" t="s">
        <v>40</v>
      </c>
      <c r="H2974" s="2">
        <v>71.62</v>
      </c>
      <c r="I2974" s="1">
        <v>186</v>
      </c>
      <c r="U2974" s="1">
        <v>257</v>
      </c>
      <c r="X2974" s="1">
        <v>231</v>
      </c>
      <c r="AA2974" s="1">
        <v>16</v>
      </c>
      <c r="AB2974" s="1">
        <v>8</v>
      </c>
      <c r="AC2974" s="1">
        <v>7980</v>
      </c>
      <c r="AF2974" s="3">
        <v>2.5970399329796146</v>
      </c>
      <c r="AG2974" s="3">
        <v>7.6567663419812</v>
      </c>
      <c r="AH2974" s="1">
        <v>6278</v>
      </c>
      <c r="AI2974" s="1" t="b">
        <v>1</v>
      </c>
    </row>
    <row r="2975" spans="1:35" x14ac:dyDescent="0.25">
      <c r="A2975" s="1">
        <v>3</v>
      </c>
      <c r="B2975" s="1">
        <v>5</v>
      </c>
      <c r="C2975" s="1">
        <v>2020</v>
      </c>
      <c r="G2975" s="1" t="s">
        <v>40</v>
      </c>
      <c r="H2975" s="2">
        <v>69.55</v>
      </c>
      <c r="I2975" s="1">
        <v>165</v>
      </c>
      <c r="U2975" s="1">
        <v>223</v>
      </c>
      <c r="X2975" s="1">
        <v>200</v>
      </c>
      <c r="AA2975" s="1">
        <v>13</v>
      </c>
      <c r="AB2975" s="1">
        <v>7</v>
      </c>
      <c r="AC2975" s="1">
        <v>7872</v>
      </c>
      <c r="AF2975" s="3">
        <v>2.3723939611790081</v>
      </c>
      <c r="AG2975" s="3">
        <v>8.2114751728301218</v>
      </c>
      <c r="AH2975" s="1">
        <v>6278</v>
      </c>
      <c r="AI2975" s="1" t="b">
        <v>1</v>
      </c>
    </row>
    <row r="2976" spans="1:35" x14ac:dyDescent="0.25">
      <c r="A2976" s="1">
        <v>3</v>
      </c>
      <c r="B2976" s="1">
        <v>5</v>
      </c>
      <c r="C2976" s="1">
        <v>2020</v>
      </c>
      <c r="G2976" s="1" t="s">
        <v>40</v>
      </c>
      <c r="H2976" s="2">
        <v>71.33</v>
      </c>
      <c r="I2976" s="1">
        <v>143</v>
      </c>
      <c r="U2976" s="1">
        <v>217</v>
      </c>
      <c r="X2976" s="1">
        <v>191</v>
      </c>
      <c r="AA2976" s="1">
        <v>15</v>
      </c>
      <c r="AB2976" s="1">
        <v>16</v>
      </c>
      <c r="AC2976" s="1">
        <v>7988</v>
      </c>
      <c r="AF2976" s="3">
        <v>2.0047665778774708</v>
      </c>
      <c r="AG2976" s="3">
        <v>9.8906934893386804</v>
      </c>
      <c r="AH2976" s="1">
        <v>6278</v>
      </c>
      <c r="AI2976" s="1" t="b">
        <v>1</v>
      </c>
    </row>
    <row r="2977" spans="1:35" x14ac:dyDescent="0.25">
      <c r="A2977" s="1">
        <v>4</v>
      </c>
      <c r="B2977" s="1">
        <v>5</v>
      </c>
      <c r="C2977" s="1">
        <v>2020</v>
      </c>
      <c r="G2977" s="1" t="s">
        <v>40</v>
      </c>
      <c r="H2977" s="2">
        <v>79.430000000000007</v>
      </c>
      <c r="I2977" s="1">
        <v>186</v>
      </c>
      <c r="U2977" s="1">
        <v>227</v>
      </c>
      <c r="X2977" s="1">
        <v>211</v>
      </c>
      <c r="AA2977" s="1">
        <v>10</v>
      </c>
      <c r="AB2977" s="1">
        <v>8</v>
      </c>
      <c r="AC2977" s="1">
        <v>8962</v>
      </c>
      <c r="AF2977" s="3">
        <v>2.3416845020773005</v>
      </c>
      <c r="AG2977" s="3">
        <v>9.1297905033829476</v>
      </c>
      <c r="AH2977" s="1">
        <v>6279</v>
      </c>
      <c r="AI2977" s="1" t="b">
        <v>1</v>
      </c>
    </row>
    <row r="2978" spans="1:35" x14ac:dyDescent="0.25">
      <c r="A2978" s="1">
        <v>4</v>
      </c>
      <c r="B2978" s="1">
        <v>5</v>
      </c>
      <c r="C2978" s="1">
        <v>2020</v>
      </c>
      <c r="G2978" s="1" t="s">
        <v>40</v>
      </c>
      <c r="H2978" s="2">
        <v>70.23</v>
      </c>
      <c r="I2978" s="1">
        <v>172</v>
      </c>
      <c r="U2978" s="1">
        <v>234</v>
      </c>
      <c r="X2978" s="1">
        <v>210</v>
      </c>
      <c r="AA2978" s="1">
        <v>15</v>
      </c>
      <c r="AB2978" s="1">
        <v>11</v>
      </c>
      <c r="AC2978" s="1">
        <v>8048</v>
      </c>
      <c r="AF2978" s="3">
        <v>2.4490958279937347</v>
      </c>
      <c r="AG2978" s="3">
        <v>8.0086642948687725</v>
      </c>
      <c r="AH2978" s="1">
        <v>6279</v>
      </c>
      <c r="AI2978" s="1" t="b">
        <v>1</v>
      </c>
    </row>
    <row r="2979" spans="1:35" x14ac:dyDescent="0.25">
      <c r="A2979" s="1">
        <v>4</v>
      </c>
      <c r="B2979" s="1">
        <v>5</v>
      </c>
      <c r="C2979" s="1">
        <v>2020</v>
      </c>
      <c r="G2979" s="1" t="s">
        <v>40</v>
      </c>
      <c r="H2979" s="2">
        <v>64.33</v>
      </c>
      <c r="I2979" s="1">
        <v>146</v>
      </c>
      <c r="U2979" s="1">
        <v>216</v>
      </c>
      <c r="X2979" s="1">
        <v>194</v>
      </c>
      <c r="AA2979" s="1">
        <v>19</v>
      </c>
      <c r="AB2979" s="1">
        <v>16</v>
      </c>
      <c r="AC2979" s="1">
        <v>7473</v>
      </c>
      <c r="AF2979" s="3">
        <v>2.2695476449556971</v>
      </c>
      <c r="AG2979" s="3">
        <v>8.1273728081778636</v>
      </c>
      <c r="AH2979" s="1">
        <v>6279</v>
      </c>
      <c r="AI2979" s="1" t="b">
        <v>1</v>
      </c>
    </row>
    <row r="2980" spans="1:35" x14ac:dyDescent="0.25">
      <c r="A2980" s="1">
        <v>5</v>
      </c>
      <c r="B2980" s="1">
        <v>5</v>
      </c>
      <c r="C2980" s="1">
        <v>2020</v>
      </c>
      <c r="G2980" s="1" t="s">
        <v>40</v>
      </c>
      <c r="H2980" s="2">
        <v>66.569999999999993</v>
      </c>
      <c r="I2980" s="1">
        <v>169</v>
      </c>
      <c r="U2980" s="1">
        <v>215</v>
      </c>
      <c r="X2980" s="1">
        <v>200</v>
      </c>
      <c r="AA2980" s="1">
        <v>13</v>
      </c>
      <c r="AB2980" s="1">
        <v>5</v>
      </c>
      <c r="AC2980" s="1">
        <v>7345</v>
      </c>
      <c r="AF2980" s="3">
        <v>2.538681087576987</v>
      </c>
      <c r="AG2980" s="3">
        <v>7.4419516174375486</v>
      </c>
      <c r="AH2980" s="1">
        <v>6279</v>
      </c>
      <c r="AI2980" s="1" t="b">
        <v>1</v>
      </c>
    </row>
    <row r="2981" spans="1:35" x14ac:dyDescent="0.25">
      <c r="A2981" s="1">
        <v>5</v>
      </c>
      <c r="B2981" s="1">
        <v>5</v>
      </c>
      <c r="C2981" s="1">
        <v>2020</v>
      </c>
      <c r="G2981" s="1" t="s">
        <v>40</v>
      </c>
      <c r="H2981" s="2">
        <v>65.03</v>
      </c>
      <c r="I2981" s="1">
        <v>155</v>
      </c>
      <c r="U2981" s="1">
        <v>232</v>
      </c>
      <c r="X2981" s="1">
        <v>198</v>
      </c>
      <c r="AA2981" s="1">
        <v>14</v>
      </c>
      <c r="AB2981" s="1">
        <v>15</v>
      </c>
      <c r="AC2981" s="1">
        <v>7498</v>
      </c>
      <c r="AF2981" s="3">
        <v>2.3835153006304783</v>
      </c>
      <c r="AG2981" s="3">
        <v>7.7976131174276668</v>
      </c>
      <c r="AH2981" s="1">
        <v>6279</v>
      </c>
      <c r="AI2981" s="1" t="b">
        <v>1</v>
      </c>
    </row>
    <row r="2982" spans="1:35" x14ac:dyDescent="0.25">
      <c r="A2982" s="1">
        <v>5</v>
      </c>
      <c r="B2982" s="1">
        <v>5</v>
      </c>
      <c r="C2982" s="1">
        <v>2020</v>
      </c>
      <c r="G2982" s="1" t="s">
        <v>40</v>
      </c>
      <c r="H2982" s="2">
        <v>71.52</v>
      </c>
      <c r="I2982" s="1">
        <v>164</v>
      </c>
      <c r="U2982" s="1">
        <v>215</v>
      </c>
      <c r="X2982" s="1">
        <v>198</v>
      </c>
      <c r="AA2982" s="1">
        <v>13</v>
      </c>
      <c r="AB2982" s="1">
        <v>7</v>
      </c>
      <c r="AC2982" s="1">
        <v>7405</v>
      </c>
      <c r="AF2982" s="3">
        <v>2.2930648769574944</v>
      </c>
      <c r="AG2982" s="3">
        <v>8.6632911833862476</v>
      </c>
      <c r="AH2982" s="1">
        <v>6279</v>
      </c>
      <c r="AI2982" s="1" t="b">
        <v>1</v>
      </c>
    </row>
    <row r="2983" spans="1:35" x14ac:dyDescent="0.25">
      <c r="A2983" s="1">
        <v>5</v>
      </c>
      <c r="B2983" s="1">
        <v>5</v>
      </c>
      <c r="C2983" s="1">
        <v>2020</v>
      </c>
      <c r="G2983" s="1" t="s">
        <v>40</v>
      </c>
      <c r="H2983" s="2">
        <v>72.680000000000007</v>
      </c>
      <c r="I2983" s="1">
        <v>169</v>
      </c>
      <c r="U2983" s="1">
        <v>212</v>
      </c>
      <c r="X2983" s="1">
        <v>192</v>
      </c>
      <c r="AA2983" s="1">
        <v>11</v>
      </c>
      <c r="AB2983" s="1">
        <v>8</v>
      </c>
      <c r="AC2983" s="1">
        <v>8446</v>
      </c>
      <c r="AF2983" s="3">
        <v>2.3252614199229495</v>
      </c>
      <c r="AG2983" s="3">
        <v>8.6400977730267545</v>
      </c>
      <c r="AH2983" s="1">
        <v>6279</v>
      </c>
      <c r="AI2983" s="1" t="b">
        <v>1</v>
      </c>
    </row>
    <row r="2984" spans="1:35" x14ac:dyDescent="0.25">
      <c r="A2984" s="1">
        <v>5</v>
      </c>
      <c r="B2984" s="1">
        <v>5</v>
      </c>
      <c r="C2984" s="1">
        <v>2020</v>
      </c>
      <c r="G2984" s="1" t="s">
        <v>40</v>
      </c>
      <c r="H2984" s="2">
        <v>69.650000000000006</v>
      </c>
      <c r="I2984" s="1">
        <v>160</v>
      </c>
      <c r="U2984" s="1">
        <v>237</v>
      </c>
      <c r="X2984" s="1">
        <v>205</v>
      </c>
      <c r="AA2984" s="1">
        <v>18</v>
      </c>
      <c r="AB2984" s="1">
        <v>14</v>
      </c>
      <c r="AC2984" s="1">
        <v>8321</v>
      </c>
      <c r="AF2984" s="3">
        <v>2.2972002871500359</v>
      </c>
      <c r="AG2984" s="3">
        <v>8.4887925941433373</v>
      </c>
      <c r="AH2984" s="1">
        <v>6279</v>
      </c>
      <c r="AI2984" s="1" t="b">
        <v>1</v>
      </c>
    </row>
    <row r="2985" spans="1:35" x14ac:dyDescent="0.25">
      <c r="A2985" s="1">
        <v>5</v>
      </c>
      <c r="B2985" s="1">
        <v>5</v>
      </c>
      <c r="C2985" s="1">
        <v>2020</v>
      </c>
      <c r="G2985" s="1" t="s">
        <v>40</v>
      </c>
      <c r="H2985" s="2">
        <v>77.819999999999993</v>
      </c>
      <c r="I2985" s="1">
        <v>167</v>
      </c>
      <c r="U2985" s="1">
        <v>227</v>
      </c>
      <c r="X2985" s="1">
        <v>198</v>
      </c>
      <c r="AA2985" s="1">
        <v>13</v>
      </c>
      <c r="AB2985" s="1">
        <v>8</v>
      </c>
      <c r="AC2985" s="1">
        <v>8606</v>
      </c>
      <c r="AF2985" s="3">
        <v>2.1459778977126707</v>
      </c>
      <c r="AG2985" s="3">
        <v>9.8206133769719131</v>
      </c>
      <c r="AH2985" s="1">
        <v>6279</v>
      </c>
      <c r="AI2985" s="1" t="b">
        <v>1</v>
      </c>
    </row>
    <row r="2986" spans="1:35" x14ac:dyDescent="0.25">
      <c r="A2986" s="1">
        <v>5</v>
      </c>
      <c r="B2986" s="1">
        <v>5</v>
      </c>
      <c r="C2986" s="1">
        <v>2020</v>
      </c>
      <c r="G2986" s="1" t="s">
        <v>40</v>
      </c>
      <c r="H2986" s="2">
        <v>62.97</v>
      </c>
      <c r="I2986" s="1">
        <v>163</v>
      </c>
      <c r="U2986" s="1">
        <v>211</v>
      </c>
      <c r="X2986" s="1">
        <v>191</v>
      </c>
      <c r="AA2986" s="1">
        <v>11</v>
      </c>
      <c r="AB2986" s="1">
        <v>11</v>
      </c>
      <c r="AC2986" s="1">
        <v>7326</v>
      </c>
      <c r="AF2986" s="3">
        <v>2.5885342226457042</v>
      </c>
      <c r="AG2986" s="3">
        <v>7.0200414139566663</v>
      </c>
      <c r="AH2986" s="1">
        <v>6279</v>
      </c>
      <c r="AI2986" s="1" t="b">
        <v>1</v>
      </c>
    </row>
    <row r="2987" spans="1:35" x14ac:dyDescent="0.25">
      <c r="A2987" s="1">
        <v>5</v>
      </c>
      <c r="B2987" s="1">
        <v>5</v>
      </c>
      <c r="C2987" s="1">
        <v>2020</v>
      </c>
      <c r="G2987" s="1" t="s">
        <v>40</v>
      </c>
      <c r="H2987" s="2">
        <v>73.430000000000007</v>
      </c>
      <c r="I2987" s="1">
        <v>175</v>
      </c>
      <c r="U2987" s="1">
        <v>228</v>
      </c>
      <c r="X2987" s="1">
        <v>210</v>
      </c>
      <c r="AA2987" s="1">
        <v>14</v>
      </c>
      <c r="AB2987" s="1">
        <v>9</v>
      </c>
      <c r="AC2987" s="1">
        <v>8325</v>
      </c>
      <c r="AF2987" s="3">
        <v>2.3832221163012393</v>
      </c>
      <c r="AG2987" s="3">
        <v>8.4907675072676412</v>
      </c>
      <c r="AH2987" s="1">
        <v>6279</v>
      </c>
      <c r="AI2987" s="1" t="b">
        <v>1</v>
      </c>
    </row>
    <row r="2988" spans="1:35" x14ac:dyDescent="0.25">
      <c r="A2988" s="1">
        <v>5</v>
      </c>
      <c r="B2988" s="1">
        <v>5</v>
      </c>
      <c r="C2988" s="1">
        <v>2020</v>
      </c>
      <c r="G2988" s="1" t="s">
        <v>40</v>
      </c>
      <c r="H2988" s="2">
        <v>74.86</v>
      </c>
      <c r="I2988" s="1">
        <v>183</v>
      </c>
      <c r="U2988" s="1">
        <v>236</v>
      </c>
      <c r="X2988" s="1">
        <v>217</v>
      </c>
      <c r="AA2988" s="1">
        <v>13</v>
      </c>
      <c r="AB2988" s="1">
        <v>14</v>
      </c>
      <c r="AC2988" s="1">
        <v>8737</v>
      </c>
      <c r="AF2988" s="3">
        <v>2.4445631846112743</v>
      </c>
      <c r="AG2988" s="3">
        <v>8.3902250302776693</v>
      </c>
      <c r="AH2988" s="1">
        <v>6279</v>
      </c>
      <c r="AI2988" s="1" t="b">
        <v>1</v>
      </c>
    </row>
    <row r="2989" spans="1:35" x14ac:dyDescent="0.25">
      <c r="A2989" s="1">
        <v>5</v>
      </c>
      <c r="B2989" s="1">
        <v>5</v>
      </c>
      <c r="C2989" s="1">
        <v>2020</v>
      </c>
      <c r="G2989" s="1" t="s">
        <v>40</v>
      </c>
      <c r="H2989" s="2">
        <v>67.14</v>
      </c>
      <c r="I2989" s="1">
        <v>132</v>
      </c>
      <c r="U2989" s="1">
        <v>194</v>
      </c>
      <c r="X2989" s="1">
        <v>174</v>
      </c>
      <c r="AA2989" s="1">
        <v>17</v>
      </c>
      <c r="AB2989" s="1">
        <v>16</v>
      </c>
      <c r="AC2989" s="1">
        <v>7426</v>
      </c>
      <c r="AF2989" s="3">
        <v>1.9660411081322609</v>
      </c>
      <c r="AG2989" s="3">
        <v>9.6670583846934264</v>
      </c>
      <c r="AH2989" s="1">
        <v>6279</v>
      </c>
      <c r="AI2989" s="1" t="b">
        <v>1</v>
      </c>
    </row>
    <row r="2990" spans="1:35" x14ac:dyDescent="0.25">
      <c r="A2990" s="1">
        <v>5</v>
      </c>
      <c r="B2990" s="1">
        <v>5</v>
      </c>
      <c r="C2990" s="1">
        <v>2020</v>
      </c>
      <c r="G2990" s="1" t="s">
        <v>40</v>
      </c>
      <c r="H2990" s="2">
        <v>68.84</v>
      </c>
      <c r="I2990" s="1">
        <v>180</v>
      </c>
      <c r="U2990" s="1">
        <v>239</v>
      </c>
      <c r="X2990" s="1">
        <v>215</v>
      </c>
      <c r="AA2990" s="1">
        <v>13</v>
      </c>
      <c r="AB2990" s="1">
        <v>11</v>
      </c>
      <c r="AC2990" s="1">
        <v>7778</v>
      </c>
      <c r="AF2990" s="3">
        <v>2.6147588611272514</v>
      </c>
      <c r="AG2990" s="3">
        <v>7.397022840401136</v>
      </c>
      <c r="AH2990" s="1">
        <v>6279</v>
      </c>
      <c r="AI2990" s="1" t="b">
        <v>1</v>
      </c>
    </row>
    <row r="2991" spans="1:35" x14ac:dyDescent="0.25">
      <c r="A2991" s="1">
        <v>5</v>
      </c>
      <c r="B2991" s="1">
        <v>5</v>
      </c>
      <c r="C2991" s="1">
        <v>2020</v>
      </c>
      <c r="G2991" s="1" t="s">
        <v>40</v>
      </c>
      <c r="H2991" s="2">
        <v>77.069999999999993</v>
      </c>
      <c r="I2991" s="1">
        <v>192</v>
      </c>
      <c r="U2991" s="1">
        <v>262</v>
      </c>
      <c r="X2991" s="1">
        <v>234</v>
      </c>
      <c r="AA2991" s="1">
        <v>14</v>
      </c>
      <c r="AB2991" s="1">
        <v>9</v>
      </c>
      <c r="AC2991" s="1">
        <v>8844</v>
      </c>
      <c r="AF2991" s="3">
        <v>2.4912417282989492</v>
      </c>
      <c r="AG2991" s="3">
        <v>8.4024102365545605</v>
      </c>
      <c r="AH2991" s="1">
        <v>6279</v>
      </c>
      <c r="AI2991" s="1" t="b">
        <v>1</v>
      </c>
    </row>
    <row r="2992" spans="1:35" x14ac:dyDescent="0.25">
      <c r="A2992" s="1">
        <v>5</v>
      </c>
      <c r="B2992" s="1">
        <v>5</v>
      </c>
      <c r="C2992" s="1">
        <v>2020</v>
      </c>
      <c r="G2992" s="1" t="s">
        <v>40</v>
      </c>
      <c r="H2992" s="2">
        <v>72.05</v>
      </c>
      <c r="I2992" s="1">
        <v>149</v>
      </c>
      <c r="U2992" s="1">
        <v>205</v>
      </c>
      <c r="X2992" s="1">
        <v>184</v>
      </c>
      <c r="AA2992" s="1">
        <v>14</v>
      </c>
      <c r="AB2992" s="1">
        <v>10</v>
      </c>
      <c r="AC2992" s="1">
        <v>8351</v>
      </c>
      <c r="AF2992" s="3">
        <v>2.0680083275503125</v>
      </c>
      <c r="AG2992" s="3">
        <v>9.6558721401183174</v>
      </c>
      <c r="AH2992" s="1">
        <v>6279</v>
      </c>
      <c r="AI2992" s="1" t="b">
        <v>1</v>
      </c>
    </row>
    <row r="2993" spans="1:35" x14ac:dyDescent="0.25">
      <c r="A2993" s="1">
        <v>5</v>
      </c>
      <c r="B2993" s="1">
        <v>5</v>
      </c>
      <c r="C2993" s="1">
        <v>2020</v>
      </c>
      <c r="G2993" s="1" t="s">
        <v>40</v>
      </c>
      <c r="H2993" s="2">
        <v>73.709999999999994</v>
      </c>
      <c r="I2993" s="1">
        <v>185</v>
      </c>
      <c r="U2993" s="1">
        <v>239</v>
      </c>
      <c r="X2993" s="1">
        <v>217</v>
      </c>
      <c r="AA2993" s="1">
        <v>13</v>
      </c>
      <c r="AB2993" s="1">
        <v>16</v>
      </c>
      <c r="AC2993" s="1">
        <v>8457</v>
      </c>
      <c r="AF2993" s="3">
        <v>2.5098358431691765</v>
      </c>
      <c r="AG2993" s="3">
        <v>8.0839416597798781</v>
      </c>
      <c r="AH2993" s="1">
        <v>6279</v>
      </c>
      <c r="AI2993" s="1" t="b">
        <v>1</v>
      </c>
    </row>
    <row r="2994" spans="1:35" x14ac:dyDescent="0.25">
      <c r="A2994" s="1">
        <v>5</v>
      </c>
      <c r="B2994" s="1">
        <v>5</v>
      </c>
      <c r="C2994" s="1">
        <v>2020</v>
      </c>
      <c r="G2994" s="1" t="s">
        <v>40</v>
      </c>
      <c r="H2994" s="2">
        <v>73.22</v>
      </c>
      <c r="I2994" s="1">
        <v>158</v>
      </c>
      <c r="U2994" s="1">
        <v>222</v>
      </c>
      <c r="X2994" s="1">
        <v>194</v>
      </c>
      <c r="AA2994" s="1">
        <v>13</v>
      </c>
      <c r="AB2994" s="1">
        <v>9</v>
      </c>
      <c r="AC2994" s="1">
        <v>8229</v>
      </c>
      <c r="AF2994" s="3">
        <v>2.157880360557225</v>
      </c>
      <c r="AG2994" s="3">
        <v>9.3586551541054632</v>
      </c>
      <c r="AH2994" s="1">
        <v>6279</v>
      </c>
      <c r="AI2994" s="1" t="b">
        <v>1</v>
      </c>
    </row>
    <row r="2995" spans="1:35" x14ac:dyDescent="0.25">
      <c r="A2995" s="1">
        <v>6</v>
      </c>
      <c r="B2995" s="1">
        <v>5</v>
      </c>
      <c r="C2995" s="1">
        <v>2020</v>
      </c>
      <c r="G2995" s="1" t="s">
        <v>40</v>
      </c>
      <c r="H2995" s="2">
        <v>77.69</v>
      </c>
      <c r="I2995" s="1">
        <v>187</v>
      </c>
      <c r="U2995" s="1">
        <v>237</v>
      </c>
      <c r="X2995" s="1">
        <v>219</v>
      </c>
      <c r="AA2995" s="1">
        <v>12</v>
      </c>
      <c r="AB2995" s="1">
        <v>6</v>
      </c>
      <c r="AC2995" s="1">
        <v>8137</v>
      </c>
      <c r="AF2995" s="3">
        <v>2.4070021881838075</v>
      </c>
      <c r="AG2995" s="3">
        <v>8.7453883558029855</v>
      </c>
      <c r="AH2995" s="1">
        <v>6279</v>
      </c>
      <c r="AI2995" s="1" t="b">
        <v>1</v>
      </c>
    </row>
    <row r="2996" spans="1:35" x14ac:dyDescent="0.25">
      <c r="A2996" s="1">
        <v>6</v>
      </c>
      <c r="B2996" s="1">
        <v>5</v>
      </c>
      <c r="C2996" s="1">
        <v>2020</v>
      </c>
      <c r="G2996" s="1" t="s">
        <v>40</v>
      </c>
      <c r="H2996" s="2">
        <v>72.569999999999993</v>
      </c>
      <c r="I2996" s="1">
        <v>170</v>
      </c>
      <c r="U2996" s="1">
        <v>205</v>
      </c>
      <c r="X2996" s="1">
        <v>189</v>
      </c>
      <c r="AA2996" s="1">
        <v>11</v>
      </c>
      <c r="AB2996" s="1">
        <v>9</v>
      </c>
      <c r="AC2996" s="1">
        <v>8279</v>
      </c>
      <c r="AF2996" s="3">
        <v>2.3425657985393413</v>
      </c>
      <c r="AG2996" s="3">
        <v>8.5671858421849922</v>
      </c>
      <c r="AH2996" s="1">
        <v>6279</v>
      </c>
      <c r="AI2996" s="1" t="b">
        <v>1</v>
      </c>
    </row>
    <row r="2997" spans="1:35" x14ac:dyDescent="0.25">
      <c r="A2997" s="1">
        <v>6</v>
      </c>
      <c r="B2997" s="1">
        <v>5</v>
      </c>
      <c r="C2997" s="1">
        <v>2020</v>
      </c>
      <c r="G2997" s="1" t="s">
        <v>40</v>
      </c>
      <c r="H2997" s="2">
        <v>83.99</v>
      </c>
      <c r="I2997" s="1">
        <v>172</v>
      </c>
      <c r="U2997" s="1">
        <v>238</v>
      </c>
      <c r="X2997" s="1">
        <v>215</v>
      </c>
      <c r="AA2997" s="1">
        <v>15</v>
      </c>
      <c r="AB2997" s="1">
        <v>13</v>
      </c>
      <c r="AC2997" s="1">
        <v>9456</v>
      </c>
      <c r="AF2997" s="3">
        <v>2.0478628408143829</v>
      </c>
      <c r="AG2997" s="3">
        <v>10.855715204042371</v>
      </c>
      <c r="AH2997" s="1">
        <v>6279</v>
      </c>
      <c r="AI2997" s="1" t="b">
        <v>1</v>
      </c>
    </row>
    <row r="2998" spans="1:35" x14ac:dyDescent="0.25">
      <c r="A2998" s="1">
        <v>6</v>
      </c>
      <c r="B2998" s="1">
        <v>5</v>
      </c>
      <c r="C2998" s="1">
        <v>2020</v>
      </c>
      <c r="G2998" s="1" t="s">
        <v>40</v>
      </c>
      <c r="H2998" s="2">
        <v>77.459999999999994</v>
      </c>
      <c r="I2998" s="1">
        <v>153</v>
      </c>
      <c r="U2998" s="1">
        <v>215</v>
      </c>
      <c r="X2998" s="1">
        <v>185</v>
      </c>
      <c r="AA2998" s="1">
        <v>13</v>
      </c>
      <c r="AB2998" s="1">
        <v>11</v>
      </c>
      <c r="AC2998" s="1">
        <v>9345</v>
      </c>
      <c r="AF2998" s="3">
        <v>1.975213013168087</v>
      </c>
      <c r="AG2998" s="3">
        <v>10.635068871447091</v>
      </c>
      <c r="AH2998" s="1">
        <v>6279</v>
      </c>
      <c r="AI2998" s="1" t="b">
        <v>1</v>
      </c>
    </row>
    <row r="2999" spans="1:35" x14ac:dyDescent="0.25">
      <c r="A2999" s="1">
        <v>6</v>
      </c>
      <c r="B2999" s="1">
        <v>5</v>
      </c>
      <c r="C2999" s="1">
        <v>2020</v>
      </c>
      <c r="G2999" s="1" t="s">
        <v>40</v>
      </c>
      <c r="H2999" s="2">
        <v>85.45</v>
      </c>
      <c r="I2999" s="1">
        <v>186</v>
      </c>
      <c r="U2999" s="1">
        <v>248</v>
      </c>
      <c r="X2999" s="1">
        <v>221</v>
      </c>
      <c r="AA2999" s="1">
        <v>11</v>
      </c>
      <c r="AB2999" s="1">
        <v>11</v>
      </c>
      <c r="AC2999" s="1">
        <v>9178</v>
      </c>
      <c r="AF2999" s="3">
        <v>2.1767115272088939</v>
      </c>
      <c r="AG2999" s="3">
        <v>10.337072679239101</v>
      </c>
      <c r="AH2999" s="1">
        <v>6279</v>
      </c>
      <c r="AI2999" s="1" t="b">
        <v>1</v>
      </c>
    </row>
    <row r="3000" spans="1:35" x14ac:dyDescent="0.25">
      <c r="A3000" s="1">
        <v>6</v>
      </c>
      <c r="B3000" s="1">
        <v>5</v>
      </c>
      <c r="C3000" s="1">
        <v>2020</v>
      </c>
      <c r="G3000" s="1" t="s">
        <v>40</v>
      </c>
      <c r="H3000" s="2">
        <v>80.14</v>
      </c>
      <c r="I3000" s="1">
        <v>191</v>
      </c>
      <c r="U3000" s="1">
        <v>246</v>
      </c>
      <c r="X3000" s="1">
        <v>223</v>
      </c>
      <c r="AA3000" s="1">
        <v>14</v>
      </c>
      <c r="AB3000" s="1">
        <v>7</v>
      </c>
      <c r="AC3000" s="1">
        <v>8966</v>
      </c>
      <c r="AF3000" s="3">
        <v>2.3833291739455951</v>
      </c>
      <c r="AG3000" s="3">
        <v>9.026315458816395</v>
      </c>
      <c r="AH3000" s="1">
        <v>6279</v>
      </c>
      <c r="AI3000" s="1" t="b">
        <v>1</v>
      </c>
    </row>
    <row r="3001" spans="1:35" x14ac:dyDescent="0.25">
      <c r="A3001" s="1">
        <v>6</v>
      </c>
      <c r="B3001" s="1">
        <v>5</v>
      </c>
      <c r="C3001" s="1">
        <v>2020</v>
      </c>
      <c r="G3001" s="1" t="s">
        <v>40</v>
      </c>
      <c r="H3001" s="2">
        <v>67.290000000000006</v>
      </c>
      <c r="I3001" s="1">
        <v>157</v>
      </c>
      <c r="U3001" s="1">
        <v>221</v>
      </c>
      <c r="X3001" s="1">
        <v>196</v>
      </c>
      <c r="AA3001" s="1">
        <v>16</v>
      </c>
      <c r="AB3001" s="1">
        <v>12</v>
      </c>
      <c r="AC3001" s="1">
        <v>8140</v>
      </c>
      <c r="AF3001" s="3">
        <v>2.3331847228414322</v>
      </c>
      <c r="AG3001" s="3">
        <v>8.1586113589255795</v>
      </c>
      <c r="AH3001" s="1">
        <v>6279</v>
      </c>
      <c r="AI3001" s="1" t="b">
        <v>1</v>
      </c>
    </row>
    <row r="3002" spans="1:35" x14ac:dyDescent="0.25">
      <c r="A3002" s="1">
        <v>6</v>
      </c>
      <c r="B3002" s="1">
        <v>5</v>
      </c>
      <c r="C3002" s="1">
        <v>2020</v>
      </c>
      <c r="G3002" s="1" t="s">
        <v>40</v>
      </c>
      <c r="H3002" s="2">
        <v>69.27</v>
      </c>
      <c r="I3002" s="1">
        <v>143</v>
      </c>
      <c r="U3002" s="1">
        <v>190</v>
      </c>
      <c r="X3002" s="1">
        <v>172</v>
      </c>
      <c r="AA3002" s="1">
        <v>11</v>
      </c>
      <c r="AB3002" s="1">
        <v>13</v>
      </c>
      <c r="AC3002" s="1">
        <v>7700</v>
      </c>
      <c r="AF3002" s="3">
        <v>2.0643857369712721</v>
      </c>
      <c r="AG3002" s="3">
        <v>9.410025092753358</v>
      </c>
      <c r="AH3002" s="1">
        <v>6279</v>
      </c>
      <c r="AI3002" s="1" t="b">
        <v>1</v>
      </c>
    </row>
    <row r="3003" spans="1:35" x14ac:dyDescent="0.25">
      <c r="A3003" s="1">
        <v>6</v>
      </c>
      <c r="B3003" s="1">
        <v>5</v>
      </c>
      <c r="C3003" s="1">
        <v>2020</v>
      </c>
      <c r="G3003" s="1" t="s">
        <v>40</v>
      </c>
      <c r="H3003" s="2">
        <v>78.13</v>
      </c>
      <c r="I3003" s="1">
        <v>171</v>
      </c>
      <c r="U3003" s="1">
        <v>244</v>
      </c>
      <c r="X3003" s="1">
        <v>210</v>
      </c>
      <c r="AA3003" s="1">
        <v>13</v>
      </c>
      <c r="AB3003" s="1">
        <v>10</v>
      </c>
      <c r="AC3003" s="1">
        <v>8133</v>
      </c>
      <c r="AF3003" s="3">
        <v>2.188659925764751</v>
      </c>
      <c r="AG3003" s="3">
        <v>9.6559318280774598</v>
      </c>
      <c r="AH3003" s="1">
        <v>6279</v>
      </c>
      <c r="AI3003" s="1" t="b">
        <v>1</v>
      </c>
    </row>
    <row r="3004" spans="1:35" x14ac:dyDescent="0.25">
      <c r="A3004" s="1">
        <v>6</v>
      </c>
      <c r="B3004" s="1">
        <v>5</v>
      </c>
      <c r="C3004" s="1">
        <v>2020</v>
      </c>
      <c r="G3004" s="1" t="s">
        <v>40</v>
      </c>
      <c r="H3004" s="2">
        <v>73.28</v>
      </c>
      <c r="I3004" s="1">
        <v>167</v>
      </c>
      <c r="U3004" s="1">
        <v>226</v>
      </c>
      <c r="X3004" s="1">
        <v>203</v>
      </c>
      <c r="AA3004" s="1">
        <v>13</v>
      </c>
      <c r="AB3004" s="1">
        <v>15</v>
      </c>
      <c r="AC3004" s="1">
        <v>8243</v>
      </c>
      <c r="AF3004" s="3">
        <v>2.2789301310043668</v>
      </c>
      <c r="AG3004" s="3">
        <v>8.8666346144843686</v>
      </c>
      <c r="AH3004" s="1">
        <v>6279</v>
      </c>
      <c r="AI3004" s="1" t="b">
        <v>1</v>
      </c>
    </row>
    <row r="3005" spans="1:35" x14ac:dyDescent="0.25">
      <c r="A3005" s="1">
        <v>6</v>
      </c>
      <c r="B3005" s="1">
        <v>5</v>
      </c>
      <c r="C3005" s="1">
        <v>2020</v>
      </c>
      <c r="G3005" s="1" t="s">
        <v>40</v>
      </c>
      <c r="H3005" s="2">
        <v>81.09</v>
      </c>
      <c r="I3005" s="1">
        <v>162</v>
      </c>
      <c r="U3005" s="1">
        <v>228</v>
      </c>
      <c r="X3005" s="1">
        <v>202</v>
      </c>
      <c r="AA3005" s="1">
        <v>15</v>
      </c>
      <c r="AB3005" s="1">
        <v>14</v>
      </c>
      <c r="AC3005" s="1">
        <v>9191</v>
      </c>
      <c r="AF3005" s="3">
        <v>1.9977802441731409</v>
      </c>
      <c r="AG3005" s="3">
        <v>10.857488953224303</v>
      </c>
      <c r="AH3005" s="1">
        <v>6279</v>
      </c>
      <c r="AI3005" s="1" t="b">
        <v>1</v>
      </c>
    </row>
    <row r="3006" spans="1:35" x14ac:dyDescent="0.25">
      <c r="A3006" s="1">
        <v>6</v>
      </c>
      <c r="B3006" s="1">
        <v>5</v>
      </c>
      <c r="C3006" s="1">
        <v>2020</v>
      </c>
      <c r="G3006" s="1" t="s">
        <v>40</v>
      </c>
      <c r="H3006" s="2">
        <v>64.680000000000007</v>
      </c>
      <c r="I3006" s="1">
        <v>159</v>
      </c>
      <c r="U3006" s="1">
        <v>198</v>
      </c>
      <c r="X3006" s="1">
        <v>178</v>
      </c>
      <c r="AA3006" s="1">
        <v>11</v>
      </c>
      <c r="AB3006" s="1">
        <v>10</v>
      </c>
      <c r="AC3006" s="1">
        <v>7217</v>
      </c>
      <c r="AF3006" s="3">
        <v>2.458256029684601</v>
      </c>
      <c r="AG3006" s="3">
        <v>7.5320274616467646</v>
      </c>
      <c r="AH3006" s="1">
        <v>6279</v>
      </c>
      <c r="AI3006" s="1" t="b">
        <v>1</v>
      </c>
    </row>
    <row r="3007" spans="1:35" x14ac:dyDescent="0.25">
      <c r="A3007" s="1">
        <v>6</v>
      </c>
      <c r="B3007" s="1">
        <v>5</v>
      </c>
      <c r="C3007" s="1">
        <v>2020</v>
      </c>
      <c r="G3007" s="1" t="s">
        <v>40</v>
      </c>
      <c r="H3007" s="2">
        <v>76.36</v>
      </c>
      <c r="I3007" s="1">
        <v>179</v>
      </c>
      <c r="U3007" s="1">
        <v>247</v>
      </c>
      <c r="X3007" s="1">
        <v>220</v>
      </c>
      <c r="AA3007" s="1">
        <v>15</v>
      </c>
      <c r="AB3007" s="1">
        <v>9</v>
      </c>
      <c r="AC3007" s="1">
        <v>8761</v>
      </c>
      <c r="AF3007" s="3">
        <v>2.3441592456783655</v>
      </c>
      <c r="AG3007" s="3">
        <v>8.8719489166705081</v>
      </c>
      <c r="AH3007" s="1">
        <v>6279</v>
      </c>
      <c r="AI3007" s="1" t="b">
        <v>1</v>
      </c>
    </row>
    <row r="3008" spans="1:35" x14ac:dyDescent="0.25">
      <c r="A3008" s="1">
        <v>6</v>
      </c>
      <c r="B3008" s="1">
        <v>5</v>
      </c>
      <c r="C3008" s="1">
        <v>2020</v>
      </c>
      <c r="G3008" s="1" t="s">
        <v>40</v>
      </c>
      <c r="H3008" s="2">
        <v>79.989999999999995</v>
      </c>
      <c r="I3008" s="1">
        <v>174</v>
      </c>
      <c r="U3008" s="1">
        <v>231</v>
      </c>
      <c r="X3008" s="1">
        <v>209</v>
      </c>
      <c r="AA3008" s="1">
        <v>14</v>
      </c>
      <c r="AB3008" s="1">
        <v>11</v>
      </c>
      <c r="AC3008" s="1">
        <v>9262</v>
      </c>
      <c r="AF3008" s="3">
        <v>2.1752719089886239</v>
      </c>
      <c r="AG3008" s="3">
        <v>9.8766903068062426</v>
      </c>
      <c r="AH3008" s="1">
        <v>6279</v>
      </c>
      <c r="AI3008" s="1" t="b">
        <v>1</v>
      </c>
    </row>
    <row r="3009" spans="1:35" x14ac:dyDescent="0.25">
      <c r="A3009" s="1">
        <v>6</v>
      </c>
      <c r="B3009" s="1">
        <v>5</v>
      </c>
      <c r="C3009" s="1">
        <v>2020</v>
      </c>
      <c r="G3009" s="1" t="s">
        <v>40</v>
      </c>
      <c r="H3009" s="2">
        <v>71.17</v>
      </c>
      <c r="I3009" s="1">
        <v>178</v>
      </c>
      <c r="U3009" s="1">
        <v>221</v>
      </c>
      <c r="X3009" s="1">
        <v>202</v>
      </c>
      <c r="AA3009" s="1">
        <v>9</v>
      </c>
      <c r="AB3009" s="1">
        <v>6</v>
      </c>
      <c r="AC3009" s="1">
        <v>7900</v>
      </c>
      <c r="AF3009" s="3">
        <v>2.5010538148096106</v>
      </c>
      <c r="AG3009" s="3">
        <v>7.9156182220829043</v>
      </c>
      <c r="AH3009" s="1">
        <v>6279</v>
      </c>
      <c r="AI3009" s="1" t="b">
        <v>1</v>
      </c>
    </row>
    <row r="3010" spans="1:35" x14ac:dyDescent="0.25">
      <c r="A3010" s="1">
        <v>6</v>
      </c>
      <c r="B3010" s="1">
        <v>5</v>
      </c>
      <c r="C3010" s="1">
        <v>2020</v>
      </c>
      <c r="G3010" s="1" t="s">
        <v>40</v>
      </c>
      <c r="H3010" s="2">
        <v>83.41</v>
      </c>
      <c r="I3010" s="1">
        <v>205</v>
      </c>
      <c r="U3010" s="1">
        <v>258</v>
      </c>
      <c r="X3010" s="1">
        <v>234</v>
      </c>
      <c r="AA3010" s="1">
        <v>11</v>
      </c>
      <c r="AB3010" s="1">
        <v>8</v>
      </c>
      <c r="AC3010" s="1">
        <v>9673</v>
      </c>
      <c r="AF3010" s="3">
        <v>2.4577388802301883</v>
      </c>
      <c r="AG3010" s="3">
        <v>9.0015426796065707</v>
      </c>
      <c r="AH3010" s="1">
        <v>6279</v>
      </c>
      <c r="AI3010" s="1" t="b">
        <v>1</v>
      </c>
    </row>
    <row r="3011" spans="1:35" x14ac:dyDescent="0.25">
      <c r="A3011" s="1">
        <v>6</v>
      </c>
      <c r="B3011" s="1">
        <v>5</v>
      </c>
      <c r="C3011" s="1">
        <v>2020</v>
      </c>
      <c r="G3011" s="1" t="s">
        <v>40</v>
      </c>
      <c r="H3011" s="2">
        <v>65.819999999999993</v>
      </c>
      <c r="I3011" s="1">
        <v>138</v>
      </c>
      <c r="U3011" s="1">
        <v>220</v>
      </c>
      <c r="X3011" s="1">
        <v>188</v>
      </c>
      <c r="AA3011" s="1">
        <v>18</v>
      </c>
      <c r="AB3011" s="1">
        <v>23</v>
      </c>
      <c r="AC3011" s="1">
        <v>7697</v>
      </c>
      <c r="AF3011" s="3">
        <v>2.0966271649954424</v>
      </c>
      <c r="AG3011" s="3">
        <v>8.9398309429192935</v>
      </c>
      <c r="AH3011" s="1">
        <v>6279</v>
      </c>
      <c r="AI3011" s="1" t="b">
        <v>1</v>
      </c>
    </row>
    <row r="3012" spans="1:35" x14ac:dyDescent="0.25">
      <c r="A3012" s="1">
        <v>6</v>
      </c>
      <c r="B3012" s="1">
        <v>5</v>
      </c>
      <c r="C3012" s="1">
        <v>2020</v>
      </c>
      <c r="G3012" s="1" t="s">
        <v>40</v>
      </c>
      <c r="H3012" s="2">
        <v>67.790000000000006</v>
      </c>
      <c r="I3012" s="1">
        <v>175</v>
      </c>
      <c r="U3012" s="1">
        <v>228</v>
      </c>
      <c r="X3012" s="1">
        <v>211</v>
      </c>
      <c r="AA3012" s="1">
        <v>14</v>
      </c>
      <c r="AB3012" s="1">
        <v>5</v>
      </c>
      <c r="AC3012" s="1">
        <v>7788</v>
      </c>
      <c r="AF3012" s="3">
        <v>2.5815016964154003</v>
      </c>
      <c r="AG3012" s="3">
        <v>7.4121385545985943</v>
      </c>
      <c r="AH3012" s="1">
        <v>6279</v>
      </c>
      <c r="AI3012" s="1" t="b">
        <v>1</v>
      </c>
    </row>
    <row r="3013" spans="1:35" x14ac:dyDescent="0.25">
      <c r="A3013" s="1">
        <v>7</v>
      </c>
      <c r="B3013" s="1">
        <v>5</v>
      </c>
      <c r="C3013" s="1">
        <v>2020</v>
      </c>
      <c r="G3013" s="1" t="s">
        <v>40</v>
      </c>
      <c r="H3013" s="2">
        <v>80.900000000000006</v>
      </c>
      <c r="I3013" s="1">
        <v>183</v>
      </c>
      <c r="U3013" s="1">
        <v>253</v>
      </c>
      <c r="X3013" s="1">
        <v>228</v>
      </c>
      <c r="AA3013" s="1">
        <v>16</v>
      </c>
      <c r="AB3013" s="1">
        <v>11</v>
      </c>
      <c r="AC3013" s="1">
        <v>8954</v>
      </c>
      <c r="AF3013" s="3">
        <v>2.2620519159456118</v>
      </c>
      <c r="AG3013" s="3">
        <v>9.5732940114856682</v>
      </c>
      <c r="AH3013" s="1">
        <v>6279</v>
      </c>
      <c r="AI3013" s="1" t="b">
        <v>1</v>
      </c>
    </row>
    <row r="3014" spans="1:35" x14ac:dyDescent="0.25">
      <c r="A3014" s="1">
        <v>7</v>
      </c>
      <c r="B3014" s="1">
        <v>5</v>
      </c>
      <c r="C3014" s="1">
        <v>2020</v>
      </c>
      <c r="G3014" s="1" t="s">
        <v>40</v>
      </c>
      <c r="H3014" s="2">
        <v>71.87</v>
      </c>
      <c r="I3014" s="1">
        <v>165</v>
      </c>
      <c r="U3014" s="1">
        <v>221</v>
      </c>
      <c r="X3014" s="1">
        <v>196</v>
      </c>
      <c r="AA3014" s="1">
        <v>12</v>
      </c>
      <c r="AB3014" s="1">
        <v>10</v>
      </c>
      <c r="AC3014" s="1">
        <v>7658</v>
      </c>
      <c r="AF3014" s="3">
        <v>2.2958118825657436</v>
      </c>
      <c r="AG3014" s="3">
        <v>8.6825451836732608</v>
      </c>
      <c r="AH3014" s="1">
        <v>6279</v>
      </c>
      <c r="AI3014" s="1" t="b">
        <v>1</v>
      </c>
    </row>
    <row r="3015" spans="1:35" x14ac:dyDescent="0.25">
      <c r="A3015" s="1">
        <v>7</v>
      </c>
      <c r="B3015" s="1">
        <v>5</v>
      </c>
      <c r="C3015" s="1">
        <v>2020</v>
      </c>
      <c r="G3015" s="1" t="s">
        <v>40</v>
      </c>
      <c r="H3015" s="2">
        <v>64.48</v>
      </c>
      <c r="I3015" s="1">
        <v>150</v>
      </c>
      <c r="U3015" s="1">
        <v>204</v>
      </c>
      <c r="X3015" s="1">
        <v>181</v>
      </c>
      <c r="AA3015" s="1">
        <v>16</v>
      </c>
      <c r="AB3015" s="1">
        <v>10</v>
      </c>
      <c r="AC3015" s="1">
        <v>6956</v>
      </c>
      <c r="AF3015" s="3">
        <v>2.3263027295285359</v>
      </c>
      <c r="AG3015" s="3">
        <v>7.9420257331693849</v>
      </c>
      <c r="AH3015" s="1">
        <v>6279</v>
      </c>
      <c r="AI3015" s="1" t="b">
        <v>1</v>
      </c>
    </row>
    <row r="3016" spans="1:35" x14ac:dyDescent="0.25">
      <c r="A3016" s="1">
        <v>7</v>
      </c>
      <c r="B3016" s="1">
        <v>5</v>
      </c>
      <c r="C3016" s="1">
        <v>2020</v>
      </c>
      <c r="G3016" s="1" t="s">
        <v>40</v>
      </c>
      <c r="H3016" s="2">
        <v>76.650000000000006</v>
      </c>
      <c r="I3016" s="1">
        <v>171</v>
      </c>
      <c r="U3016" s="1">
        <v>241</v>
      </c>
      <c r="X3016" s="1">
        <v>205</v>
      </c>
      <c r="AA3016" s="1">
        <v>16</v>
      </c>
      <c r="AB3016" s="1">
        <v>10</v>
      </c>
      <c r="AC3016" s="1">
        <v>9136</v>
      </c>
      <c r="AF3016" s="3">
        <v>2.2309197651663402</v>
      </c>
      <c r="AG3016" s="3">
        <v>9.3470498788768293</v>
      </c>
      <c r="AH3016" s="1">
        <v>6279</v>
      </c>
      <c r="AI3016" s="1" t="b">
        <v>1</v>
      </c>
    </row>
    <row r="3017" spans="1:35" x14ac:dyDescent="0.25">
      <c r="A3017" s="1">
        <v>7</v>
      </c>
      <c r="B3017" s="1">
        <v>5</v>
      </c>
      <c r="C3017" s="1">
        <v>2020</v>
      </c>
      <c r="G3017" s="1" t="s">
        <v>40</v>
      </c>
      <c r="H3017" s="2">
        <v>74.91</v>
      </c>
      <c r="I3017" s="1">
        <v>168</v>
      </c>
      <c r="U3017" s="1">
        <v>247</v>
      </c>
      <c r="X3017" s="1">
        <v>214</v>
      </c>
      <c r="AA3017" s="1">
        <v>15</v>
      </c>
      <c r="AB3017" s="1">
        <v>12</v>
      </c>
      <c r="AC3017" s="1">
        <v>8762</v>
      </c>
      <c r="AF3017" s="3">
        <v>2.2426912294753705</v>
      </c>
      <c r="AG3017" s="3">
        <v>9.1497319943948021</v>
      </c>
      <c r="AH3017" s="1">
        <v>6279</v>
      </c>
      <c r="AI3017" s="1" t="b">
        <v>1</v>
      </c>
    </row>
    <row r="3018" spans="1:35" x14ac:dyDescent="0.25">
      <c r="A3018" s="1">
        <v>7</v>
      </c>
      <c r="B3018" s="1">
        <v>5</v>
      </c>
      <c r="C3018" s="1">
        <v>2020</v>
      </c>
      <c r="G3018" s="1" t="s">
        <v>40</v>
      </c>
      <c r="H3018" s="2">
        <v>79.040000000000006</v>
      </c>
      <c r="I3018" s="1">
        <v>201</v>
      </c>
      <c r="U3018" s="1">
        <v>267</v>
      </c>
      <c r="X3018" s="1">
        <v>237</v>
      </c>
      <c r="AA3018" s="1">
        <v>12</v>
      </c>
      <c r="AB3018" s="1">
        <v>5</v>
      </c>
      <c r="AC3018" s="1">
        <v>8780</v>
      </c>
      <c r="AF3018" s="3">
        <v>2.5430161943319836</v>
      </c>
      <c r="AG3018" s="3">
        <v>8.3780650157392191</v>
      </c>
      <c r="AH3018" s="1">
        <v>6279</v>
      </c>
      <c r="AI3018" s="1" t="b">
        <v>1</v>
      </c>
    </row>
    <row r="3019" spans="1:35" x14ac:dyDescent="0.25">
      <c r="A3019" s="1">
        <v>11</v>
      </c>
      <c r="B3019" s="1">
        <v>5</v>
      </c>
      <c r="C3019" s="1">
        <v>2020</v>
      </c>
      <c r="G3019" s="1" t="s">
        <v>40</v>
      </c>
      <c r="H3019" s="2">
        <v>78.709999999999994</v>
      </c>
      <c r="I3019" s="1">
        <v>187</v>
      </c>
      <c r="U3019" s="1">
        <v>247</v>
      </c>
      <c r="X3019" s="1">
        <v>221</v>
      </c>
      <c r="AA3019" s="1">
        <v>12</v>
      </c>
      <c r="AB3019" s="1">
        <v>10</v>
      </c>
      <c r="AC3019" s="1">
        <v>9129</v>
      </c>
      <c r="AF3019" s="3">
        <v>2.3758099352051838</v>
      </c>
      <c r="AG3019" s="3">
        <v>8.9414766042549108</v>
      </c>
      <c r="AH3019" s="1">
        <v>6280</v>
      </c>
      <c r="AI3019" s="1" t="b">
        <v>1</v>
      </c>
    </row>
    <row r="3020" spans="1:35" x14ac:dyDescent="0.25">
      <c r="A3020" s="1">
        <v>11</v>
      </c>
      <c r="B3020" s="1">
        <v>5</v>
      </c>
      <c r="C3020" s="1">
        <v>2020</v>
      </c>
      <c r="G3020" s="1" t="s">
        <v>40</v>
      </c>
      <c r="H3020" s="2">
        <v>76.930000000000007</v>
      </c>
      <c r="I3020" s="1">
        <v>175</v>
      </c>
      <c r="U3020" s="1">
        <v>246</v>
      </c>
      <c r="X3020" s="1">
        <v>219</v>
      </c>
      <c r="AA3020" s="1">
        <v>15</v>
      </c>
      <c r="AB3020" s="1">
        <v>12</v>
      </c>
      <c r="AC3020" s="1">
        <v>8508</v>
      </c>
      <c r="AF3020" s="3">
        <v>2.2747952684258417</v>
      </c>
      <c r="AG3020" s="3">
        <v>9.1901943651270326</v>
      </c>
      <c r="AH3020" s="1">
        <v>6280</v>
      </c>
      <c r="AI3020" s="1" t="b">
        <v>1</v>
      </c>
    </row>
    <row r="3021" spans="1:35" x14ac:dyDescent="0.25">
      <c r="A3021" s="1">
        <v>11</v>
      </c>
      <c r="B3021" s="1">
        <v>5</v>
      </c>
      <c r="C3021" s="1">
        <v>2020</v>
      </c>
      <c r="G3021" s="1" t="s">
        <v>40</v>
      </c>
      <c r="H3021" s="2">
        <v>76.02</v>
      </c>
      <c r="I3021" s="1">
        <v>147</v>
      </c>
      <c r="U3021" s="1">
        <v>207</v>
      </c>
      <c r="X3021" s="1">
        <v>182</v>
      </c>
      <c r="AA3021" s="1">
        <v>13</v>
      </c>
      <c r="AB3021" s="1">
        <v>8</v>
      </c>
      <c r="AC3021" s="1">
        <v>8304</v>
      </c>
      <c r="AF3021" s="3">
        <v>1.9337016574585637</v>
      </c>
      <c r="AG3021" s="3">
        <v>10.721610754181569</v>
      </c>
      <c r="AH3021" s="1">
        <v>6280</v>
      </c>
      <c r="AI3021" s="1" t="b">
        <v>1</v>
      </c>
    </row>
    <row r="3022" spans="1:35" x14ac:dyDescent="0.25">
      <c r="A3022" s="1">
        <v>13</v>
      </c>
      <c r="B3022" s="1">
        <v>5</v>
      </c>
      <c r="C3022" s="1">
        <v>2020</v>
      </c>
      <c r="G3022" s="1" t="s">
        <v>40</v>
      </c>
      <c r="H3022" s="2">
        <v>71.62</v>
      </c>
      <c r="I3022" s="1">
        <v>154</v>
      </c>
      <c r="U3022" s="1">
        <v>209</v>
      </c>
      <c r="X3022" s="1">
        <v>188</v>
      </c>
      <c r="AA3022" s="1">
        <v>13</v>
      </c>
      <c r="AB3022" s="1">
        <v>11</v>
      </c>
      <c r="AC3022" s="1">
        <v>7402</v>
      </c>
      <c r="AF3022" s="3">
        <v>2.150237363864842</v>
      </c>
      <c r="AG3022" s="3">
        <v>9.2477827247305395</v>
      </c>
      <c r="AH3022" s="1">
        <v>6280</v>
      </c>
      <c r="AI3022" s="1" t="b">
        <v>1</v>
      </c>
    </row>
    <row r="3023" spans="1:35" x14ac:dyDescent="0.25">
      <c r="A3023" s="1">
        <v>16</v>
      </c>
      <c r="B3023" s="1">
        <v>5</v>
      </c>
      <c r="C3023" s="1">
        <v>2020</v>
      </c>
      <c r="G3023" s="1" t="s">
        <v>40</v>
      </c>
      <c r="H3023" s="2">
        <v>81.400000000000006</v>
      </c>
      <c r="I3023" s="1">
        <v>184</v>
      </c>
      <c r="U3023" s="1">
        <v>241</v>
      </c>
      <c r="X3023" s="1">
        <v>217</v>
      </c>
      <c r="AA3023" s="1">
        <v>15</v>
      </c>
      <c r="AB3023" s="1">
        <v>10</v>
      </c>
      <c r="AC3023" s="1">
        <v>8364</v>
      </c>
      <c r="AF3023" s="3">
        <v>2.2604422604422605</v>
      </c>
      <c r="AG3023" s="3">
        <v>9.6215195203785751</v>
      </c>
      <c r="AH3023" s="1">
        <v>6280</v>
      </c>
      <c r="AI3023" s="1" t="b">
        <v>1</v>
      </c>
    </row>
    <row r="3024" spans="1:35" x14ac:dyDescent="0.25">
      <c r="A3024" s="1">
        <v>16</v>
      </c>
      <c r="B3024" s="1">
        <v>5</v>
      </c>
      <c r="C3024" s="1">
        <v>2020</v>
      </c>
      <c r="G3024" s="1" t="s">
        <v>40</v>
      </c>
      <c r="H3024" s="2">
        <v>72.67</v>
      </c>
      <c r="I3024" s="1">
        <v>174</v>
      </c>
      <c r="U3024" s="1">
        <v>242</v>
      </c>
      <c r="X3024" s="1">
        <v>220</v>
      </c>
      <c r="AA3024" s="1">
        <v>15</v>
      </c>
      <c r="AB3024" s="1">
        <v>14</v>
      </c>
      <c r="AC3024" s="1">
        <v>8308</v>
      </c>
      <c r="AF3024" s="3">
        <v>2.3943855786431816</v>
      </c>
      <c r="AG3024" s="3">
        <v>8.389856332337331</v>
      </c>
      <c r="AH3024" s="1">
        <v>6280</v>
      </c>
      <c r="AI3024" s="1" t="b">
        <v>1</v>
      </c>
    </row>
    <row r="3025" spans="1:35" x14ac:dyDescent="0.25">
      <c r="A3025" s="1">
        <v>16</v>
      </c>
      <c r="B3025" s="1">
        <v>5</v>
      </c>
      <c r="C3025" s="1">
        <v>2020</v>
      </c>
      <c r="G3025" s="1" t="s">
        <v>40</v>
      </c>
      <c r="H3025" s="2">
        <v>83.62</v>
      </c>
      <c r="I3025" s="1">
        <v>151</v>
      </c>
      <c r="U3025" s="1">
        <v>223</v>
      </c>
      <c r="X3025" s="1">
        <v>193</v>
      </c>
      <c r="AA3025" s="1">
        <v>16</v>
      </c>
      <c r="AB3025" s="1">
        <v>16</v>
      </c>
      <c r="AC3025" s="1">
        <v>9156</v>
      </c>
      <c r="AF3025" s="3">
        <v>1.8057880889739295</v>
      </c>
      <c r="AG3025" s="3">
        <v>12.272988581795419</v>
      </c>
      <c r="AH3025" s="1">
        <v>6280</v>
      </c>
      <c r="AI3025" s="1" t="b">
        <v>1</v>
      </c>
    </row>
    <row r="3026" spans="1:35" x14ac:dyDescent="0.25">
      <c r="A3026" s="1">
        <v>16</v>
      </c>
      <c r="B3026" s="1">
        <v>5</v>
      </c>
      <c r="C3026" s="1">
        <v>2020</v>
      </c>
      <c r="G3026" s="1" t="s">
        <v>40</v>
      </c>
      <c r="H3026" s="2">
        <v>74.28</v>
      </c>
      <c r="I3026" s="1">
        <v>190</v>
      </c>
      <c r="U3026" s="1">
        <v>262</v>
      </c>
      <c r="X3026" s="1">
        <v>235</v>
      </c>
      <c r="AA3026" s="1">
        <v>15</v>
      </c>
      <c r="AB3026" s="1">
        <v>11</v>
      </c>
      <c r="AC3026" s="1">
        <v>8356</v>
      </c>
      <c r="AF3026" s="3">
        <v>2.5578890683898763</v>
      </c>
      <c r="AG3026" s="3">
        <v>7.9749619688489872</v>
      </c>
      <c r="AH3026" s="1">
        <v>6280</v>
      </c>
      <c r="AI3026" s="1" t="b">
        <v>1</v>
      </c>
    </row>
    <row r="3027" spans="1:35" x14ac:dyDescent="0.25">
      <c r="A3027" s="1">
        <v>16</v>
      </c>
      <c r="B3027" s="1">
        <v>5</v>
      </c>
      <c r="C3027" s="1">
        <v>2020</v>
      </c>
      <c r="G3027" s="1" t="s">
        <v>40</v>
      </c>
      <c r="H3027" s="2">
        <v>78.36</v>
      </c>
      <c r="I3027" s="1">
        <v>179</v>
      </c>
      <c r="U3027" s="1">
        <v>258</v>
      </c>
      <c r="X3027" s="1">
        <v>233</v>
      </c>
      <c r="AA3027" s="1">
        <v>16</v>
      </c>
      <c r="AB3027" s="1">
        <v>13</v>
      </c>
      <c r="AC3027" s="1">
        <v>9137</v>
      </c>
      <c r="AF3027" s="3">
        <v>2.2843287391526288</v>
      </c>
      <c r="AG3027" s="3">
        <v>9.2705925833999672</v>
      </c>
      <c r="AH3027" s="1">
        <v>6280</v>
      </c>
      <c r="AI3027" s="1" t="b">
        <v>1</v>
      </c>
    </row>
    <row r="3028" spans="1:35" x14ac:dyDescent="0.25">
      <c r="A3028" s="1">
        <v>16</v>
      </c>
      <c r="B3028" s="1">
        <v>5</v>
      </c>
      <c r="C3028" s="1">
        <v>2020</v>
      </c>
      <c r="G3028" s="1" t="s">
        <v>40</v>
      </c>
      <c r="H3028" s="2">
        <v>77.22</v>
      </c>
      <c r="I3028" s="1">
        <v>181</v>
      </c>
      <c r="U3028" s="1">
        <v>241</v>
      </c>
      <c r="X3028" s="1">
        <v>222</v>
      </c>
      <c r="AA3028" s="1">
        <v>14</v>
      </c>
      <c r="AB3028" s="1">
        <v>7</v>
      </c>
      <c r="AC3028" s="1">
        <v>8279</v>
      </c>
      <c r="AF3028" s="3">
        <v>2.3439523439523442</v>
      </c>
      <c r="AG3028" s="3">
        <v>8.9425644846401671</v>
      </c>
      <c r="AH3028" s="1">
        <v>6280</v>
      </c>
      <c r="AI3028" s="1" t="b">
        <v>1</v>
      </c>
    </row>
    <row r="3029" spans="1:35" x14ac:dyDescent="0.25">
      <c r="A3029" s="1">
        <v>27</v>
      </c>
      <c r="B3029" s="1">
        <v>5</v>
      </c>
      <c r="C3029" s="1">
        <v>2020</v>
      </c>
      <c r="G3029" s="1" t="s">
        <v>40</v>
      </c>
      <c r="H3029" s="2">
        <v>81.92</v>
      </c>
      <c r="I3029" s="1">
        <v>172</v>
      </c>
      <c r="U3029" s="1">
        <v>237</v>
      </c>
      <c r="X3029" s="1">
        <v>212</v>
      </c>
      <c r="AA3029" s="1">
        <v>13</v>
      </c>
      <c r="AB3029" s="1">
        <v>13</v>
      </c>
      <c r="AC3029" s="1">
        <v>8634</v>
      </c>
      <c r="AF3029" s="3">
        <v>2.099609375</v>
      </c>
      <c r="AG3029" s="3">
        <v>10.404817264166574</v>
      </c>
      <c r="AH3029" s="1">
        <v>6282</v>
      </c>
      <c r="AI3029" s="1" t="b">
        <v>1</v>
      </c>
    </row>
    <row r="3030" spans="1:35" x14ac:dyDescent="0.25">
      <c r="A3030" s="1">
        <v>27</v>
      </c>
      <c r="B3030" s="1">
        <v>5</v>
      </c>
      <c r="C3030" s="1">
        <v>2020</v>
      </c>
      <c r="G3030" s="1" t="s">
        <v>40</v>
      </c>
      <c r="H3030" s="2">
        <v>82.94</v>
      </c>
      <c r="I3030" s="1">
        <v>206</v>
      </c>
      <c r="U3030" s="1">
        <v>260</v>
      </c>
      <c r="X3030" s="1">
        <v>237</v>
      </c>
      <c r="AA3030" s="1">
        <v>11</v>
      </c>
      <c r="AB3030" s="1">
        <v>7</v>
      </c>
      <c r="AC3030" s="1">
        <v>8579</v>
      </c>
      <c r="AF3030" s="3">
        <v>2.4837231733783458</v>
      </c>
      <c r="AG3030" s="3">
        <v>8.8722063150217974</v>
      </c>
      <c r="AH3030" s="1">
        <v>6282</v>
      </c>
      <c r="AI3030" s="1" t="b">
        <v>1</v>
      </c>
    </row>
    <row r="3031" spans="1:35" x14ac:dyDescent="0.25">
      <c r="A3031" s="1">
        <v>27</v>
      </c>
      <c r="B3031" s="1">
        <v>5</v>
      </c>
      <c r="C3031" s="1">
        <v>2020</v>
      </c>
      <c r="G3031" s="1" t="s">
        <v>40</v>
      </c>
      <c r="H3031" s="2">
        <v>85.4</v>
      </c>
      <c r="I3031" s="1">
        <v>160</v>
      </c>
      <c r="U3031" s="1">
        <v>218</v>
      </c>
      <c r="X3031" s="1">
        <v>202</v>
      </c>
      <c r="AA3031" s="1">
        <v>13</v>
      </c>
      <c r="AB3031" s="1">
        <v>15</v>
      </c>
      <c r="AC3031" s="1">
        <v>9327</v>
      </c>
      <c r="AF3031" s="3">
        <v>1.8735362997658078</v>
      </c>
      <c r="AG3031" s="3">
        <v>12.004895874407559</v>
      </c>
      <c r="AH3031" s="1">
        <v>6282</v>
      </c>
      <c r="AI3031" s="1" t="b">
        <v>1</v>
      </c>
    </row>
    <row r="3032" spans="1:35" x14ac:dyDescent="0.25">
      <c r="A3032" s="1">
        <v>27</v>
      </c>
      <c r="B3032" s="1">
        <v>5</v>
      </c>
      <c r="C3032" s="1">
        <v>2020</v>
      </c>
      <c r="G3032" s="1" t="s">
        <v>40</v>
      </c>
      <c r="H3032" s="2">
        <v>80.03</v>
      </c>
      <c r="I3032" s="1">
        <v>180</v>
      </c>
      <c r="U3032" s="1">
        <v>256</v>
      </c>
      <c r="X3032" s="1">
        <v>223</v>
      </c>
      <c r="AA3032" s="1">
        <v>15</v>
      </c>
      <c r="AB3032" s="1">
        <v>10</v>
      </c>
      <c r="AC3032" s="1">
        <v>8910</v>
      </c>
      <c r="AF3032" s="3">
        <v>2.2491565662876423</v>
      </c>
      <c r="AG3032" s="3">
        <v>9.5555850787965273</v>
      </c>
      <c r="AH3032" s="1">
        <v>6282</v>
      </c>
      <c r="AI3032" s="1" t="b">
        <v>1</v>
      </c>
    </row>
    <row r="3033" spans="1:35" x14ac:dyDescent="0.25">
      <c r="A3033" s="1">
        <v>27</v>
      </c>
      <c r="B3033" s="1">
        <v>5</v>
      </c>
      <c r="C3033" s="1">
        <v>2020</v>
      </c>
      <c r="G3033" s="1" t="s">
        <v>40</v>
      </c>
      <c r="H3033" s="2">
        <v>71.13</v>
      </c>
      <c r="I3033" s="1">
        <v>154</v>
      </c>
      <c r="U3033" s="1">
        <v>214</v>
      </c>
      <c r="X3033" s="1">
        <v>192</v>
      </c>
      <c r="AA3033" s="1">
        <v>13</v>
      </c>
      <c r="AB3033" s="1">
        <v>9</v>
      </c>
      <c r="AC3033" s="1">
        <v>7881</v>
      </c>
      <c r="AF3033" s="3">
        <v>2.1650499086180233</v>
      </c>
      <c r="AG3033" s="3">
        <v>9.1404810781662249</v>
      </c>
      <c r="AH3033" s="1">
        <v>6282</v>
      </c>
      <c r="AI3033" s="1" t="b">
        <v>1</v>
      </c>
    </row>
    <row r="3034" spans="1:35" x14ac:dyDescent="0.25">
      <c r="A3034" s="1">
        <v>28</v>
      </c>
      <c r="B3034" s="1">
        <v>5</v>
      </c>
      <c r="C3034" s="1">
        <v>2020</v>
      </c>
      <c r="G3034" s="1" t="s">
        <v>40</v>
      </c>
      <c r="H3034" s="2">
        <v>77.12</v>
      </c>
      <c r="I3034" s="1">
        <v>177</v>
      </c>
      <c r="U3034" s="1">
        <v>237</v>
      </c>
      <c r="X3034" s="1">
        <v>212</v>
      </c>
      <c r="AA3034" s="1">
        <v>14</v>
      </c>
      <c r="AB3034" s="1">
        <v>14</v>
      </c>
      <c r="AC3034" s="1">
        <v>8592</v>
      </c>
      <c r="AF3034" s="3">
        <v>2.2951244813278007</v>
      </c>
      <c r="AG3034" s="3">
        <v>9.1245334823533337</v>
      </c>
      <c r="AH3034" s="1">
        <v>6282</v>
      </c>
      <c r="AI3034" s="1" t="b">
        <v>1</v>
      </c>
    </row>
    <row r="3035" spans="1:35" x14ac:dyDescent="0.25">
      <c r="A3035" s="1">
        <v>28</v>
      </c>
      <c r="B3035" s="1">
        <v>5</v>
      </c>
      <c r="C3035" s="1">
        <v>2020</v>
      </c>
      <c r="G3035" s="1" t="s">
        <v>40</v>
      </c>
      <c r="H3035" s="2">
        <v>66.73</v>
      </c>
      <c r="I3035" s="1">
        <v>143</v>
      </c>
      <c r="U3035" s="1">
        <v>227</v>
      </c>
      <c r="X3035" s="1">
        <v>196</v>
      </c>
      <c r="AA3035" s="1">
        <v>18</v>
      </c>
      <c r="AB3035" s="1">
        <v>19</v>
      </c>
      <c r="AC3035" s="1">
        <v>7725</v>
      </c>
      <c r="AF3035" s="3">
        <v>2.1429641840251761</v>
      </c>
      <c r="AG3035" s="3">
        <v>8.8309997969735754</v>
      </c>
      <c r="AH3035" s="1">
        <v>6282</v>
      </c>
      <c r="AI3035" s="1" t="b">
        <v>1</v>
      </c>
    </row>
    <row r="3036" spans="1:35" x14ac:dyDescent="0.25">
      <c r="A3036" s="1">
        <v>28</v>
      </c>
      <c r="B3036" s="1">
        <v>5</v>
      </c>
      <c r="C3036" s="1">
        <v>2020</v>
      </c>
      <c r="G3036" s="1" t="s">
        <v>40</v>
      </c>
      <c r="H3036" s="2">
        <v>79.55</v>
      </c>
      <c r="I3036" s="1">
        <v>193</v>
      </c>
      <c r="U3036" s="1">
        <v>237</v>
      </c>
      <c r="X3036" s="1">
        <v>215</v>
      </c>
      <c r="AA3036" s="1">
        <v>10</v>
      </c>
      <c r="AB3036" s="1">
        <v>5</v>
      </c>
      <c r="AC3036" s="1">
        <v>8586</v>
      </c>
      <c r="AF3036" s="3">
        <v>2.4261470773098681</v>
      </c>
      <c r="AG3036" s="3">
        <v>8.8212677386223923</v>
      </c>
      <c r="AH3036" s="1">
        <v>6282</v>
      </c>
      <c r="AI3036" s="1" t="b">
        <v>1</v>
      </c>
    </row>
    <row r="3037" spans="1:35" x14ac:dyDescent="0.25">
      <c r="A3037" s="1">
        <v>28</v>
      </c>
      <c r="B3037" s="1">
        <v>5</v>
      </c>
      <c r="C3037" s="1">
        <v>2020</v>
      </c>
      <c r="G3037" s="1" t="s">
        <v>40</v>
      </c>
      <c r="H3037" s="2">
        <v>75.75</v>
      </c>
      <c r="I3037" s="1">
        <v>179</v>
      </c>
      <c r="U3037" s="1">
        <v>241</v>
      </c>
      <c r="X3037" s="1">
        <v>211</v>
      </c>
      <c r="AA3037" s="1">
        <v>13</v>
      </c>
      <c r="AB3037" s="1">
        <v>8</v>
      </c>
      <c r="AC3037" s="1">
        <v>8657</v>
      </c>
      <c r="AF3037" s="3">
        <v>2.3630363036303632</v>
      </c>
      <c r="AG3037" s="3">
        <v>8.7518013663521561</v>
      </c>
      <c r="AH3037" s="1">
        <v>6282</v>
      </c>
      <c r="AI3037" s="1" t="b">
        <v>1</v>
      </c>
    </row>
    <row r="3038" spans="1:35" x14ac:dyDescent="0.25">
      <c r="A3038" s="1">
        <v>28</v>
      </c>
      <c r="B3038" s="1">
        <v>5</v>
      </c>
      <c r="C3038" s="1">
        <v>2020</v>
      </c>
      <c r="G3038" s="1" t="s">
        <v>40</v>
      </c>
      <c r="H3038" s="2">
        <v>73.930000000000007</v>
      </c>
      <c r="I3038" s="1">
        <v>180</v>
      </c>
      <c r="U3038" s="1">
        <v>238</v>
      </c>
      <c r="X3038" s="1">
        <v>215</v>
      </c>
      <c r="AA3038" s="1">
        <v>12</v>
      </c>
      <c r="AB3038" s="1">
        <v>4</v>
      </c>
      <c r="AC3038" s="1">
        <v>8616</v>
      </c>
      <c r="AF3038" s="3">
        <v>2.4347355606654943</v>
      </c>
      <c r="AG3038" s="3">
        <v>8.3506964149846734</v>
      </c>
      <c r="AH3038" s="1">
        <v>6282</v>
      </c>
      <c r="AI3038" s="1" t="b">
        <v>1</v>
      </c>
    </row>
    <row r="3039" spans="1:35" x14ac:dyDescent="0.25">
      <c r="A3039" s="1">
        <v>28</v>
      </c>
      <c r="B3039" s="1">
        <v>5</v>
      </c>
      <c r="C3039" s="1">
        <v>2020</v>
      </c>
      <c r="G3039" s="1" t="s">
        <v>40</v>
      </c>
      <c r="H3039" s="2">
        <v>67.900000000000006</v>
      </c>
      <c r="I3039" s="1">
        <v>191</v>
      </c>
      <c r="U3039" s="1">
        <v>230</v>
      </c>
      <c r="X3039" s="1">
        <v>213</v>
      </c>
      <c r="AA3039" s="1">
        <v>10</v>
      </c>
      <c r="AB3039" s="1">
        <v>10</v>
      </c>
      <c r="AC3039" s="1">
        <v>7635</v>
      </c>
      <c r="AF3039" s="3">
        <v>2.8129602356406478</v>
      </c>
      <c r="AG3039" s="3">
        <v>6.809970788920781</v>
      </c>
      <c r="AH3039" s="1">
        <v>6282</v>
      </c>
      <c r="AI3039" s="1" t="b">
        <v>1</v>
      </c>
    </row>
    <row r="3040" spans="1:35" x14ac:dyDescent="0.25">
      <c r="A3040" s="1">
        <v>29</v>
      </c>
      <c r="B3040" s="1">
        <v>5</v>
      </c>
      <c r="C3040" s="1">
        <v>2020</v>
      </c>
      <c r="G3040" s="1" t="s">
        <v>40</v>
      </c>
      <c r="H3040" s="2">
        <v>74.62</v>
      </c>
      <c r="I3040" s="1">
        <v>166</v>
      </c>
      <c r="U3040" s="1">
        <v>226</v>
      </c>
      <c r="X3040" s="1">
        <v>199</v>
      </c>
      <c r="AA3040" s="1">
        <v>14</v>
      </c>
      <c r="AB3040" s="1">
        <v>11</v>
      </c>
      <c r="AC3040" s="1">
        <v>7493</v>
      </c>
      <c r="AF3040" s="3">
        <v>2.2246046636290537</v>
      </c>
      <c r="AG3040" s="3">
        <v>9.199110337115636</v>
      </c>
      <c r="AH3040" s="1">
        <v>6282</v>
      </c>
      <c r="AI3040" s="1" t="b">
        <v>1</v>
      </c>
    </row>
    <row r="3041" spans="1:35" x14ac:dyDescent="0.25">
      <c r="A3041" s="1">
        <v>29</v>
      </c>
      <c r="B3041" s="1">
        <v>5</v>
      </c>
      <c r="C3041" s="1">
        <v>2020</v>
      </c>
      <c r="G3041" s="1" t="s">
        <v>40</v>
      </c>
      <c r="H3041" s="2">
        <v>74.959999999999994</v>
      </c>
      <c r="I3041" s="1">
        <v>164</v>
      </c>
      <c r="U3041" s="1">
        <v>225</v>
      </c>
      <c r="X3041" s="1">
        <v>205</v>
      </c>
      <c r="AA3041" s="1">
        <v>15</v>
      </c>
      <c r="AB3041" s="1">
        <v>13</v>
      </c>
      <c r="AC3041" s="1">
        <v>7993</v>
      </c>
      <c r="AF3041" s="3">
        <v>2.1878335112059766</v>
      </c>
      <c r="AG3041" s="3">
        <v>9.383534051919014</v>
      </c>
      <c r="AH3041" s="1">
        <v>6282</v>
      </c>
      <c r="AI3041" s="1" t="b">
        <v>1</v>
      </c>
    </row>
    <row r="3042" spans="1:35" x14ac:dyDescent="0.25">
      <c r="A3042" s="1">
        <v>29</v>
      </c>
      <c r="B3042" s="1">
        <v>5</v>
      </c>
      <c r="C3042" s="1">
        <v>2020</v>
      </c>
      <c r="G3042" s="1" t="s">
        <v>40</v>
      </c>
      <c r="H3042" s="2">
        <v>89.27</v>
      </c>
      <c r="I3042" s="1">
        <v>191</v>
      </c>
      <c r="U3042" s="1">
        <v>246</v>
      </c>
      <c r="X3042" s="1">
        <v>221</v>
      </c>
      <c r="AA3042" s="1">
        <v>11</v>
      </c>
      <c r="AB3042" s="1">
        <v>8</v>
      </c>
      <c r="AC3042" s="1">
        <v>9614</v>
      </c>
      <c r="AF3042" s="3">
        <v>2.1395765654755237</v>
      </c>
      <c r="AG3042" s="3">
        <v>10.843414061831735</v>
      </c>
      <c r="AH3042" s="1">
        <v>6282</v>
      </c>
      <c r="AI3042" s="1" t="b">
        <v>1</v>
      </c>
    </row>
    <row r="3043" spans="1:35" x14ac:dyDescent="0.25">
      <c r="A3043" s="1">
        <v>29</v>
      </c>
      <c r="B3043" s="1">
        <v>5</v>
      </c>
      <c r="C3043" s="1">
        <v>2020</v>
      </c>
      <c r="G3043" s="1" t="s">
        <v>40</v>
      </c>
      <c r="H3043" s="2">
        <v>65.94</v>
      </c>
      <c r="I3043" s="1">
        <v>137</v>
      </c>
      <c r="U3043" s="1">
        <v>186</v>
      </c>
      <c r="X3043" s="1">
        <v>162</v>
      </c>
      <c r="AA3043" s="1">
        <v>13</v>
      </c>
      <c r="AB3043" s="1">
        <v>16</v>
      </c>
      <c r="AC3043" s="1">
        <v>6727</v>
      </c>
      <c r="AF3043" s="3">
        <v>2.0776463451622686</v>
      </c>
      <c r="AG3043" s="3">
        <v>9.0330130075136736</v>
      </c>
      <c r="AH3043" s="1">
        <v>6282</v>
      </c>
      <c r="AI3043" s="1" t="b">
        <v>1</v>
      </c>
    </row>
    <row r="3044" spans="1:35" x14ac:dyDescent="0.25">
      <c r="A3044" s="1">
        <v>29</v>
      </c>
      <c r="B3044" s="1">
        <v>5</v>
      </c>
      <c r="C3044" s="1">
        <v>2020</v>
      </c>
      <c r="G3044" s="1" t="s">
        <v>40</v>
      </c>
      <c r="H3044" s="2">
        <v>85.11</v>
      </c>
      <c r="I3044" s="1">
        <v>216</v>
      </c>
      <c r="U3044" s="1">
        <v>279</v>
      </c>
      <c r="X3044" s="1">
        <v>248</v>
      </c>
      <c r="AA3044" s="1">
        <v>11</v>
      </c>
      <c r="AB3044" s="1">
        <v>3</v>
      </c>
      <c r="AC3044" s="1">
        <v>8504</v>
      </c>
      <c r="AF3044" s="3">
        <v>2.5378921395840677</v>
      </c>
      <c r="AG3044" s="3">
        <v>8.8412414830409904</v>
      </c>
      <c r="AH3044" s="1">
        <v>6282</v>
      </c>
      <c r="AI3044" s="1" t="b">
        <v>1</v>
      </c>
    </row>
    <row r="3045" spans="1:35" x14ac:dyDescent="0.25">
      <c r="A3045" s="1">
        <v>29</v>
      </c>
      <c r="B3045" s="1">
        <v>5</v>
      </c>
      <c r="C3045" s="1">
        <v>2020</v>
      </c>
      <c r="G3045" s="1" t="s">
        <v>40</v>
      </c>
      <c r="H3045" s="2">
        <v>68.900000000000006</v>
      </c>
      <c r="I3045" s="1">
        <v>155</v>
      </c>
      <c r="U3045" s="1">
        <v>210</v>
      </c>
      <c r="X3045" s="1">
        <v>193</v>
      </c>
      <c r="AA3045" s="1">
        <v>13</v>
      </c>
      <c r="AB3045" s="1">
        <v>7</v>
      </c>
      <c r="AC3045" s="1">
        <v>7298</v>
      </c>
      <c r="AF3045" s="3">
        <v>2.2496371552975325</v>
      </c>
      <c r="AG3045" s="3">
        <v>8.6028228322865239</v>
      </c>
      <c r="AH3045" s="1">
        <v>6282</v>
      </c>
      <c r="AI3045" s="1" t="b">
        <v>1</v>
      </c>
    </row>
    <row r="3046" spans="1:35" x14ac:dyDescent="0.25">
      <c r="A3046" s="1">
        <v>29</v>
      </c>
      <c r="B3046" s="1">
        <v>5</v>
      </c>
      <c r="C3046" s="1">
        <v>2020</v>
      </c>
      <c r="G3046" s="1" t="s">
        <v>40</v>
      </c>
      <c r="H3046" s="2">
        <v>77.09</v>
      </c>
      <c r="I3046" s="1">
        <v>188</v>
      </c>
      <c r="U3046" s="1">
        <v>243</v>
      </c>
      <c r="X3046" s="1">
        <v>221</v>
      </c>
      <c r="AA3046" s="1">
        <v>13</v>
      </c>
      <c r="AB3046" s="1">
        <v>5</v>
      </c>
      <c r="AC3046" s="1">
        <v>8796</v>
      </c>
      <c r="AF3046" s="3">
        <v>2.4387080036321183</v>
      </c>
      <c r="AG3046" s="3">
        <v>8.5849709194057091</v>
      </c>
      <c r="AH3046" s="1">
        <v>6282</v>
      </c>
      <c r="AI3046" s="1" t="b">
        <v>1</v>
      </c>
    </row>
    <row r="3047" spans="1:35" x14ac:dyDescent="0.25">
      <c r="A3047" s="1">
        <v>29</v>
      </c>
      <c r="B3047" s="1">
        <v>5</v>
      </c>
      <c r="C3047" s="1">
        <v>2020</v>
      </c>
      <c r="G3047" s="1" t="s">
        <v>40</v>
      </c>
      <c r="H3047" s="2">
        <v>62.75</v>
      </c>
      <c r="I3047" s="1">
        <v>131</v>
      </c>
      <c r="U3047" s="1">
        <v>197</v>
      </c>
      <c r="X3047" s="1">
        <v>168</v>
      </c>
      <c r="AA3047" s="1">
        <v>14</v>
      </c>
      <c r="AB3047" s="1">
        <v>17</v>
      </c>
      <c r="AC3047" s="1">
        <v>6571</v>
      </c>
      <c r="AF3047" s="3">
        <v>2.0876494023904382</v>
      </c>
      <c r="AG3047" s="3">
        <v>8.683044876817041</v>
      </c>
      <c r="AH3047" s="1">
        <v>6282</v>
      </c>
      <c r="AI3047" s="1" t="b">
        <v>1</v>
      </c>
    </row>
    <row r="3048" spans="1:35" x14ac:dyDescent="0.25">
      <c r="A3048" s="1">
        <v>30</v>
      </c>
      <c r="B3048" s="1">
        <v>5</v>
      </c>
      <c r="C3048" s="1">
        <v>2020</v>
      </c>
      <c r="G3048" s="1" t="s">
        <v>40</v>
      </c>
      <c r="H3048" s="2">
        <v>77.930000000000007</v>
      </c>
      <c r="I3048" s="1">
        <v>156</v>
      </c>
      <c r="U3048" s="1">
        <v>236</v>
      </c>
      <c r="X3048" s="1">
        <v>204</v>
      </c>
      <c r="AA3048" s="1">
        <v>19</v>
      </c>
      <c r="AB3048" s="1">
        <v>11</v>
      </c>
      <c r="AC3048" s="1">
        <v>7883</v>
      </c>
      <c r="AF3048" s="3">
        <v>2.001796484024124</v>
      </c>
      <c r="AG3048" s="3">
        <v>10.538367785965463</v>
      </c>
      <c r="AH3048" s="1">
        <v>6282</v>
      </c>
      <c r="AI3048" s="1" t="b">
        <v>1</v>
      </c>
    </row>
    <row r="3049" spans="1:35" x14ac:dyDescent="0.25">
      <c r="A3049" s="1">
        <v>30</v>
      </c>
      <c r="B3049" s="1">
        <v>5</v>
      </c>
      <c r="C3049" s="1">
        <v>2020</v>
      </c>
      <c r="G3049" s="1" t="s">
        <v>40</v>
      </c>
      <c r="H3049" s="2">
        <v>68.69</v>
      </c>
      <c r="I3049" s="1">
        <v>142</v>
      </c>
      <c r="U3049" s="1">
        <v>189</v>
      </c>
      <c r="X3049" s="1">
        <v>172</v>
      </c>
      <c r="AA3049" s="1">
        <v>11</v>
      </c>
      <c r="AB3049" s="1">
        <v>12</v>
      </c>
      <c r="AC3049" s="1">
        <v>7509</v>
      </c>
      <c r="AF3049" s="3">
        <v>2.0672586985005097</v>
      </c>
      <c r="AG3049" s="3">
        <v>9.3418014687530775</v>
      </c>
      <c r="AH3049" s="1">
        <v>6282</v>
      </c>
      <c r="AI3049" s="1" t="b">
        <v>1</v>
      </c>
    </row>
    <row r="3050" spans="1:35" x14ac:dyDescent="0.25">
      <c r="A3050" s="1">
        <v>30</v>
      </c>
      <c r="B3050" s="1">
        <v>5</v>
      </c>
      <c r="C3050" s="1">
        <v>2020</v>
      </c>
      <c r="G3050" s="1" t="s">
        <v>40</v>
      </c>
      <c r="H3050" s="2">
        <v>78.3</v>
      </c>
      <c r="I3050" s="1">
        <v>175</v>
      </c>
      <c r="U3050" s="1">
        <v>239</v>
      </c>
      <c r="X3050" s="1">
        <v>211</v>
      </c>
      <c r="AA3050" s="1">
        <v>14</v>
      </c>
      <c r="AB3050" s="1">
        <v>10</v>
      </c>
      <c r="AC3050" s="1">
        <v>7964</v>
      </c>
      <c r="AF3050" s="3">
        <v>2.234993614303959</v>
      </c>
      <c r="AG3050" s="3">
        <v>9.4701519376430205</v>
      </c>
      <c r="AH3050" s="1">
        <v>6282</v>
      </c>
      <c r="AI3050" s="1" t="b">
        <v>1</v>
      </c>
    </row>
    <row r="3051" spans="1:35" x14ac:dyDescent="0.25">
      <c r="A3051" s="1">
        <v>30</v>
      </c>
      <c r="B3051" s="1">
        <v>5</v>
      </c>
      <c r="C3051" s="1">
        <v>2020</v>
      </c>
      <c r="G3051" s="1" t="s">
        <v>40</v>
      </c>
      <c r="H3051" s="2">
        <v>76.08</v>
      </c>
      <c r="I3051" s="1">
        <v>178</v>
      </c>
      <c r="U3051" s="1">
        <v>219</v>
      </c>
      <c r="X3051" s="1">
        <v>205</v>
      </c>
      <c r="AA3051" s="1">
        <v>12</v>
      </c>
      <c r="AB3051" s="1">
        <v>10</v>
      </c>
      <c r="AC3051" s="1">
        <v>9477</v>
      </c>
      <c r="AF3051" s="3">
        <v>2.3396424815983177</v>
      </c>
      <c r="AG3051" s="3">
        <v>8.8662475810823818</v>
      </c>
      <c r="AH3051" s="1">
        <v>6282</v>
      </c>
      <c r="AI3051" s="1" t="b">
        <v>1</v>
      </c>
    </row>
    <row r="3052" spans="1:35" x14ac:dyDescent="0.25">
      <c r="A3052" s="1">
        <v>31</v>
      </c>
      <c r="B3052" s="1">
        <v>5</v>
      </c>
      <c r="C3052" s="1">
        <v>2020</v>
      </c>
      <c r="G3052" s="1" t="s">
        <v>40</v>
      </c>
      <c r="H3052" s="2">
        <v>69.16</v>
      </c>
      <c r="I3052" s="1">
        <v>133</v>
      </c>
      <c r="U3052" s="1">
        <v>188</v>
      </c>
      <c r="X3052" s="1">
        <v>165</v>
      </c>
      <c r="AA3052" s="1">
        <v>15</v>
      </c>
      <c r="AB3052" s="1">
        <v>17</v>
      </c>
      <c r="AC3052" s="1">
        <v>6821</v>
      </c>
      <c r="AF3052" s="3">
        <v>1.9230769230769231</v>
      </c>
      <c r="AG3052" s="3">
        <v>10.090247821498998</v>
      </c>
      <c r="AH3052" s="1">
        <v>6282</v>
      </c>
      <c r="AI3052" s="1" t="b">
        <v>1</v>
      </c>
    </row>
    <row r="3053" spans="1:35" x14ac:dyDescent="0.25">
      <c r="A3053" s="1">
        <v>31</v>
      </c>
      <c r="B3053" s="1">
        <v>5</v>
      </c>
      <c r="C3053" s="1">
        <v>2020</v>
      </c>
      <c r="G3053" s="1" t="s">
        <v>40</v>
      </c>
      <c r="H3053" s="2">
        <v>90.98</v>
      </c>
      <c r="I3053" s="1">
        <v>171</v>
      </c>
      <c r="U3053" s="1">
        <v>242</v>
      </c>
      <c r="X3053" s="1">
        <v>219</v>
      </c>
      <c r="AA3053" s="1">
        <v>18</v>
      </c>
      <c r="AB3053" s="1">
        <v>13</v>
      </c>
      <c r="AC3053" s="1">
        <v>9583</v>
      </c>
      <c r="AF3053" s="3">
        <v>1.8795339635084634</v>
      </c>
      <c r="AG3053" s="3">
        <v>12.508694182529176</v>
      </c>
      <c r="AH3053" s="1">
        <v>6282</v>
      </c>
      <c r="AI3053" s="1" t="b">
        <v>1</v>
      </c>
    </row>
    <row r="3054" spans="1:35" x14ac:dyDescent="0.25">
      <c r="A3054" s="1">
        <v>31</v>
      </c>
      <c r="B3054" s="1">
        <v>5</v>
      </c>
      <c r="C3054" s="1">
        <v>2020</v>
      </c>
      <c r="G3054" s="1" t="s">
        <v>40</v>
      </c>
      <c r="H3054" s="2">
        <v>70.569999999999993</v>
      </c>
      <c r="I3054" s="1">
        <v>150</v>
      </c>
      <c r="U3054" s="1">
        <v>190</v>
      </c>
      <c r="X3054" s="1">
        <v>176</v>
      </c>
      <c r="AA3054" s="1">
        <v>13</v>
      </c>
      <c r="AB3054" s="1">
        <v>10</v>
      </c>
      <c r="AC3054" s="1">
        <v>7912</v>
      </c>
      <c r="AF3054" s="3">
        <v>2.1255491001842146</v>
      </c>
      <c r="AG3054" s="3">
        <v>9.2589756207100127</v>
      </c>
      <c r="AH3054" s="1">
        <v>6282</v>
      </c>
      <c r="AI3054" s="1" t="b">
        <v>1</v>
      </c>
    </row>
    <row r="3055" spans="1:35" x14ac:dyDescent="0.25">
      <c r="A3055" s="1">
        <v>31</v>
      </c>
      <c r="B3055" s="1">
        <v>5</v>
      </c>
      <c r="C3055" s="1">
        <v>2020</v>
      </c>
      <c r="G3055" s="1" t="s">
        <v>40</v>
      </c>
      <c r="H3055" s="2">
        <v>80.569999999999993</v>
      </c>
      <c r="I3055" s="1">
        <v>175</v>
      </c>
      <c r="U3055" s="1">
        <v>253</v>
      </c>
      <c r="X3055" s="1">
        <v>226</v>
      </c>
      <c r="AA3055" s="1">
        <v>19</v>
      </c>
      <c r="AB3055" s="1">
        <v>12</v>
      </c>
      <c r="AC3055" s="1">
        <v>8799</v>
      </c>
      <c r="AF3055" s="3">
        <v>2.1720243266724588</v>
      </c>
      <c r="AG3055" s="3">
        <v>9.9416087944259193</v>
      </c>
      <c r="AH3055" s="1">
        <v>6282</v>
      </c>
      <c r="AI3055" s="1" t="b">
        <v>1</v>
      </c>
    </row>
    <row r="3056" spans="1:35" x14ac:dyDescent="0.25">
      <c r="A3056" s="1">
        <v>31</v>
      </c>
      <c r="B3056" s="1">
        <v>5</v>
      </c>
      <c r="C3056" s="1">
        <v>2020</v>
      </c>
      <c r="G3056" s="1" t="s">
        <v>40</v>
      </c>
      <c r="H3056" s="2">
        <v>66.989999999999995</v>
      </c>
      <c r="I3056" s="1">
        <v>160</v>
      </c>
      <c r="U3056" s="1">
        <v>206</v>
      </c>
      <c r="X3056" s="1">
        <v>187</v>
      </c>
      <c r="AA3056" s="1">
        <v>10</v>
      </c>
      <c r="AB3056" s="1">
        <v>15</v>
      </c>
      <c r="AC3056" s="1">
        <v>7681</v>
      </c>
      <c r="AF3056" s="3">
        <v>2.3884161815196299</v>
      </c>
      <c r="AG3056" s="3">
        <v>7.9450563100834923</v>
      </c>
      <c r="AH3056" s="1">
        <v>6282</v>
      </c>
      <c r="AI3056" s="1" t="b">
        <v>1</v>
      </c>
    </row>
    <row r="3057" spans="1:35" x14ac:dyDescent="0.25">
      <c r="A3057" s="1">
        <v>2</v>
      </c>
      <c r="B3057" s="1">
        <v>6</v>
      </c>
      <c r="C3057" s="1">
        <v>2020</v>
      </c>
      <c r="G3057" s="1" t="s">
        <v>40</v>
      </c>
      <c r="H3057" s="2">
        <v>81.489999999999995</v>
      </c>
      <c r="I3057" s="1">
        <v>174</v>
      </c>
      <c r="U3057" s="1">
        <v>248</v>
      </c>
      <c r="X3057" s="1">
        <v>222</v>
      </c>
      <c r="AA3057" s="1">
        <v>16</v>
      </c>
      <c r="AB3057" s="1">
        <v>9</v>
      </c>
      <c r="AC3057" s="1">
        <v>8548</v>
      </c>
      <c r="AF3057" s="3">
        <v>2.1352313167259789</v>
      </c>
      <c r="AG3057" s="3">
        <v>10.193611835490048</v>
      </c>
      <c r="AH3057" s="1">
        <v>6283</v>
      </c>
      <c r="AI3057" s="1" t="b">
        <v>1</v>
      </c>
    </row>
    <row r="3058" spans="1:35" x14ac:dyDescent="0.25">
      <c r="A3058" s="1">
        <v>6</v>
      </c>
      <c r="B3058" s="1">
        <v>6</v>
      </c>
      <c r="C3058" s="1">
        <v>2020</v>
      </c>
      <c r="G3058" s="1" t="s">
        <v>40</v>
      </c>
      <c r="H3058" s="2">
        <v>61.94</v>
      </c>
      <c r="I3058" s="1">
        <v>138</v>
      </c>
      <c r="U3058" s="1">
        <v>204</v>
      </c>
      <c r="X3058" s="1">
        <v>175</v>
      </c>
      <c r="AA3058" s="1">
        <v>14</v>
      </c>
      <c r="AB3058" s="1">
        <v>14</v>
      </c>
      <c r="AC3058" s="1">
        <v>7314</v>
      </c>
      <c r="AF3058" s="3">
        <v>2.2279625443978044</v>
      </c>
      <c r="AG3058" s="3">
        <v>8.0625413562765402</v>
      </c>
      <c r="AH3058" s="1">
        <v>6283</v>
      </c>
      <c r="AI3058" s="1" t="b">
        <v>1</v>
      </c>
    </row>
    <row r="3059" spans="1:35" x14ac:dyDescent="0.25">
      <c r="A3059" s="1">
        <v>6</v>
      </c>
      <c r="B3059" s="1">
        <v>6</v>
      </c>
      <c r="C3059" s="1">
        <v>2020</v>
      </c>
      <c r="G3059" s="1" t="s">
        <v>40</v>
      </c>
      <c r="H3059" s="2">
        <v>72.42</v>
      </c>
      <c r="I3059" s="1">
        <v>158</v>
      </c>
      <c r="U3059" s="1">
        <v>229</v>
      </c>
      <c r="X3059" s="1">
        <v>201</v>
      </c>
      <c r="AA3059" s="1">
        <v>17</v>
      </c>
      <c r="AB3059" s="1">
        <v>17</v>
      </c>
      <c r="AC3059" s="1">
        <v>8378</v>
      </c>
      <c r="AF3059" s="3">
        <v>2.1817177575255453</v>
      </c>
      <c r="AG3059" s="3">
        <v>9.1854914628158237</v>
      </c>
      <c r="AH3059" s="1">
        <v>6283</v>
      </c>
      <c r="AI3059" s="1" t="b">
        <v>1</v>
      </c>
    </row>
    <row r="3060" spans="1:35" x14ac:dyDescent="0.25">
      <c r="A3060" s="1">
        <v>7</v>
      </c>
      <c r="B3060" s="1">
        <v>6</v>
      </c>
      <c r="C3060" s="1">
        <v>2020</v>
      </c>
      <c r="G3060" s="1" t="s">
        <v>40</v>
      </c>
      <c r="H3060" s="2">
        <v>65.66</v>
      </c>
      <c r="I3060" s="1">
        <v>128</v>
      </c>
      <c r="U3060" s="1">
        <v>183</v>
      </c>
      <c r="X3060" s="1">
        <v>166</v>
      </c>
      <c r="AA3060" s="1">
        <v>14</v>
      </c>
      <c r="AB3060" s="1">
        <v>14</v>
      </c>
      <c r="AC3060" s="1">
        <v>7581</v>
      </c>
      <c r="AF3060" s="3">
        <v>1.9494364910143163</v>
      </c>
      <c r="AG3060" s="3">
        <v>9.5984592097228028</v>
      </c>
      <c r="AH3060" s="1">
        <v>6283</v>
      </c>
      <c r="AI3060" s="1" t="b">
        <v>1</v>
      </c>
    </row>
    <row r="3061" spans="1:35" x14ac:dyDescent="0.25">
      <c r="A3061" s="1">
        <v>7</v>
      </c>
      <c r="B3061" s="1">
        <v>6</v>
      </c>
      <c r="C3061" s="1">
        <v>2020</v>
      </c>
      <c r="G3061" s="1" t="s">
        <v>40</v>
      </c>
      <c r="H3061" s="2">
        <v>80.06</v>
      </c>
      <c r="I3061" s="1">
        <v>205</v>
      </c>
      <c r="U3061" s="1">
        <v>265</v>
      </c>
      <c r="X3061" s="1">
        <v>244</v>
      </c>
      <c r="AA3061" s="1">
        <v>15</v>
      </c>
      <c r="AB3061" s="1">
        <v>7</v>
      </c>
      <c r="AC3061" s="1">
        <v>9219</v>
      </c>
      <c r="AF3061" s="3">
        <v>2.5605795653260053</v>
      </c>
      <c r="AG3061" s="3">
        <v>8.3956173187284762</v>
      </c>
      <c r="AH3061" s="1">
        <v>6283</v>
      </c>
      <c r="AI3061" s="1" t="b">
        <v>1</v>
      </c>
    </row>
    <row r="3062" spans="1:35" x14ac:dyDescent="0.25">
      <c r="A3062" s="1">
        <v>8</v>
      </c>
      <c r="B3062" s="1">
        <v>6</v>
      </c>
      <c r="C3062" s="1">
        <v>2020</v>
      </c>
      <c r="G3062" s="1" t="s">
        <v>40</v>
      </c>
      <c r="H3062" s="2">
        <v>76.290000000000006</v>
      </c>
      <c r="I3062" s="1">
        <v>175</v>
      </c>
      <c r="U3062" s="1">
        <v>225</v>
      </c>
      <c r="X3062" s="1">
        <v>203</v>
      </c>
      <c r="AA3062" s="1">
        <v>13</v>
      </c>
      <c r="AB3062" s="1">
        <v>9</v>
      </c>
      <c r="AC3062" s="1">
        <v>8597</v>
      </c>
      <c r="AF3062" s="3">
        <v>2.2938786210512516</v>
      </c>
      <c r="AG3062" s="3">
        <v>9.0605987208468619</v>
      </c>
      <c r="AH3062" s="1">
        <v>6284</v>
      </c>
      <c r="AI3062" s="1" t="b">
        <v>1</v>
      </c>
    </row>
    <row r="3063" spans="1:35" x14ac:dyDescent="0.25">
      <c r="A3063" s="1">
        <v>9</v>
      </c>
      <c r="B3063" s="1">
        <v>6</v>
      </c>
      <c r="C3063" s="1">
        <v>2020</v>
      </c>
      <c r="G3063" s="1" t="s">
        <v>40</v>
      </c>
      <c r="H3063" s="2">
        <v>65.5</v>
      </c>
      <c r="I3063" s="1">
        <v>148</v>
      </c>
      <c r="U3063" s="1">
        <v>208</v>
      </c>
      <c r="X3063" s="1">
        <v>185</v>
      </c>
      <c r="AA3063" s="1">
        <v>15</v>
      </c>
      <c r="AB3063" s="1">
        <v>16</v>
      </c>
      <c r="AC3063" s="1">
        <v>7428</v>
      </c>
      <c r="AF3063" s="3">
        <v>2.2595419847328246</v>
      </c>
      <c r="AG3063" s="3">
        <v>8.2670106020655627</v>
      </c>
      <c r="AH3063" s="1">
        <v>6284</v>
      </c>
      <c r="AI3063" s="1" t="b">
        <v>1</v>
      </c>
    </row>
    <row r="3064" spans="1:35" x14ac:dyDescent="0.25">
      <c r="A3064" s="1">
        <v>9</v>
      </c>
      <c r="B3064" s="1">
        <v>6</v>
      </c>
      <c r="C3064" s="1">
        <v>2020</v>
      </c>
      <c r="G3064" s="1" t="s">
        <v>40</v>
      </c>
      <c r="H3064" s="2">
        <v>78.77</v>
      </c>
      <c r="I3064" s="1">
        <v>183</v>
      </c>
      <c r="U3064" s="1">
        <v>234</v>
      </c>
      <c r="X3064" s="1">
        <v>210</v>
      </c>
      <c r="AA3064" s="1">
        <v>15</v>
      </c>
      <c r="AB3064" s="1">
        <v>10</v>
      </c>
      <c r="AC3064" s="1">
        <v>8824</v>
      </c>
      <c r="AF3064" s="3">
        <v>2.3232194998095723</v>
      </c>
      <c r="AG3064" s="3">
        <v>9.1487623740694435</v>
      </c>
      <c r="AH3064" s="1">
        <v>6284</v>
      </c>
      <c r="AI3064" s="1" t="b">
        <v>1</v>
      </c>
    </row>
    <row r="3065" spans="1:35" x14ac:dyDescent="0.25">
      <c r="A3065" s="1">
        <v>9</v>
      </c>
      <c r="B3065" s="1">
        <v>6</v>
      </c>
      <c r="C3065" s="1">
        <v>2020</v>
      </c>
      <c r="G3065" s="1" t="s">
        <v>40</v>
      </c>
      <c r="H3065" s="2">
        <v>69.87</v>
      </c>
      <c r="I3065" s="1">
        <v>165</v>
      </c>
      <c r="U3065" s="1">
        <v>229</v>
      </c>
      <c r="X3065" s="1">
        <v>208</v>
      </c>
      <c r="AA3065" s="1">
        <v>16</v>
      </c>
      <c r="AB3065" s="1">
        <v>9</v>
      </c>
      <c r="AC3065" s="1">
        <v>7524</v>
      </c>
      <c r="AF3065" s="3">
        <v>2.3615285530270502</v>
      </c>
      <c r="AG3065" s="3">
        <v>8.2758063403529825</v>
      </c>
      <c r="AH3065" s="1">
        <v>6284</v>
      </c>
      <c r="AI3065" s="1" t="b">
        <v>1</v>
      </c>
    </row>
    <row r="3066" spans="1:35" x14ac:dyDescent="0.25">
      <c r="A3066" s="1">
        <v>11</v>
      </c>
      <c r="B3066" s="1">
        <v>6</v>
      </c>
      <c r="C3066" s="1">
        <v>2020</v>
      </c>
      <c r="G3066" s="1" t="s">
        <v>40</v>
      </c>
      <c r="H3066" s="2">
        <v>75.47</v>
      </c>
      <c r="I3066" s="1">
        <v>191</v>
      </c>
      <c r="U3066" s="1">
        <v>238</v>
      </c>
      <c r="X3066" s="1">
        <v>217</v>
      </c>
      <c r="AA3066" s="1">
        <v>10</v>
      </c>
      <c r="AB3066" s="1">
        <v>8</v>
      </c>
      <c r="AC3066" s="1">
        <v>8551</v>
      </c>
      <c r="AF3066" s="3">
        <v>2.5308069431562212</v>
      </c>
      <c r="AG3066" s="3">
        <v>8.1504770286116877</v>
      </c>
      <c r="AH3066" s="1">
        <v>6284</v>
      </c>
      <c r="AI3066" s="1" t="b">
        <v>1</v>
      </c>
    </row>
    <row r="3067" spans="1:35" x14ac:dyDescent="0.25">
      <c r="A3067" s="1">
        <v>20</v>
      </c>
      <c r="B3067" s="1">
        <v>6</v>
      </c>
      <c r="C3067" s="1">
        <v>2020</v>
      </c>
      <c r="G3067" s="1" t="s">
        <v>40</v>
      </c>
      <c r="H3067" s="2">
        <v>85.7</v>
      </c>
      <c r="I3067" s="1">
        <v>158</v>
      </c>
      <c r="U3067" s="1">
        <v>235</v>
      </c>
      <c r="X3067" s="1">
        <v>207</v>
      </c>
      <c r="AA3067" s="1">
        <v>20</v>
      </c>
      <c r="AB3067" s="1">
        <v>12</v>
      </c>
      <c r="AC3067" s="1">
        <v>9325</v>
      </c>
      <c r="AF3067" s="3">
        <v>1.8436406067677946</v>
      </c>
      <c r="AG3067" s="3">
        <v>12.229545306840286</v>
      </c>
      <c r="AH3067" s="1">
        <v>6285</v>
      </c>
      <c r="AI3067" s="1" t="b">
        <v>1</v>
      </c>
    </row>
    <row r="3068" spans="1:35" x14ac:dyDescent="0.25">
      <c r="A3068" s="1">
        <v>21</v>
      </c>
      <c r="B3068" s="1">
        <v>6</v>
      </c>
      <c r="C3068" s="1">
        <v>2020</v>
      </c>
      <c r="G3068" s="1" t="s">
        <v>40</v>
      </c>
      <c r="H3068" s="2">
        <v>67.11</v>
      </c>
      <c r="I3068" s="1">
        <v>126</v>
      </c>
      <c r="U3068" s="1">
        <v>172</v>
      </c>
      <c r="X3068" s="1">
        <v>156</v>
      </c>
      <c r="AA3068" s="1">
        <v>13</v>
      </c>
      <c r="AB3068" s="1">
        <v>17</v>
      </c>
      <c r="AC3068" s="1">
        <v>7449</v>
      </c>
      <c r="AF3068" s="3">
        <v>1.8775145283862316</v>
      </c>
      <c r="AG3068" s="3">
        <v>10.119702863740189</v>
      </c>
      <c r="AH3068" s="1">
        <v>6285</v>
      </c>
      <c r="AI3068" s="1" t="b">
        <v>1</v>
      </c>
    </row>
    <row r="3069" spans="1:35" x14ac:dyDescent="0.25">
      <c r="A3069" s="1">
        <v>21</v>
      </c>
      <c r="B3069" s="1">
        <v>6</v>
      </c>
      <c r="C3069" s="1">
        <v>2020</v>
      </c>
      <c r="G3069" s="1" t="s">
        <v>40</v>
      </c>
      <c r="H3069" s="2">
        <v>69.680000000000007</v>
      </c>
      <c r="I3069" s="1">
        <v>144</v>
      </c>
      <c r="U3069" s="1">
        <v>202</v>
      </c>
      <c r="X3069" s="1">
        <v>177</v>
      </c>
      <c r="AA3069" s="1">
        <v>13</v>
      </c>
      <c r="AB3069" s="1">
        <v>18</v>
      </c>
      <c r="AC3069" s="1">
        <v>8305</v>
      </c>
      <c r="AF3069" s="3">
        <v>2.0665901262916186</v>
      </c>
      <c r="AG3069" s="3">
        <v>9.4388992241711005</v>
      </c>
      <c r="AH3069" s="1">
        <v>6285</v>
      </c>
      <c r="AI3069" s="1" t="b">
        <v>1</v>
      </c>
    </row>
    <row r="3070" spans="1:35" x14ac:dyDescent="0.25">
      <c r="A3070" s="1">
        <v>21</v>
      </c>
      <c r="B3070" s="1">
        <v>6</v>
      </c>
      <c r="C3070" s="1">
        <v>2020</v>
      </c>
      <c r="G3070" s="1" t="s">
        <v>40</v>
      </c>
      <c r="H3070" s="2">
        <v>85.89</v>
      </c>
      <c r="I3070" s="1">
        <v>187</v>
      </c>
      <c r="U3070" s="1">
        <v>259</v>
      </c>
      <c r="X3070" s="1">
        <v>234</v>
      </c>
      <c r="AA3070" s="1">
        <v>15</v>
      </c>
      <c r="AB3070" s="1">
        <v>6</v>
      </c>
      <c r="AC3070" s="1">
        <v>9783</v>
      </c>
      <c r="AF3070" s="3">
        <v>2.1772033996972873</v>
      </c>
      <c r="AG3070" s="3">
        <v>10.371959639430106</v>
      </c>
      <c r="AH3070" s="1">
        <v>6285</v>
      </c>
      <c r="AI3070" s="1" t="b">
        <v>1</v>
      </c>
    </row>
    <row r="3071" spans="1:35" x14ac:dyDescent="0.25">
      <c r="A3071" s="1">
        <v>21</v>
      </c>
      <c r="B3071" s="1">
        <v>6</v>
      </c>
      <c r="C3071" s="1">
        <v>2020</v>
      </c>
      <c r="G3071" s="1" t="s">
        <v>40</v>
      </c>
      <c r="H3071" s="2">
        <v>77.22</v>
      </c>
      <c r="I3071" s="1">
        <v>196</v>
      </c>
      <c r="U3071" s="1">
        <v>236</v>
      </c>
      <c r="X3071" s="1">
        <v>218</v>
      </c>
      <c r="AA3071" s="1">
        <v>10</v>
      </c>
      <c r="AB3071" s="1">
        <v>5</v>
      </c>
      <c r="AC3071" s="1">
        <v>8383</v>
      </c>
      <c r="AF3071" s="3">
        <v>2.5382025382025382</v>
      </c>
      <c r="AG3071" s="3">
        <v>8.2581845495911743</v>
      </c>
      <c r="AH3071" s="1">
        <v>6285</v>
      </c>
      <c r="AI3071" s="1" t="b">
        <v>1</v>
      </c>
    </row>
    <row r="3072" spans="1:35" x14ac:dyDescent="0.25">
      <c r="A3072" s="1">
        <v>21</v>
      </c>
      <c r="B3072" s="1">
        <v>6</v>
      </c>
      <c r="C3072" s="1">
        <v>2020</v>
      </c>
      <c r="G3072" s="1" t="s">
        <v>40</v>
      </c>
      <c r="H3072" s="2">
        <v>76.13</v>
      </c>
      <c r="I3072" s="1">
        <v>172</v>
      </c>
      <c r="U3072" s="1">
        <v>236</v>
      </c>
      <c r="X3072" s="1">
        <v>213</v>
      </c>
      <c r="AA3072" s="1">
        <v>15</v>
      </c>
      <c r="AB3072" s="1">
        <v>10</v>
      </c>
      <c r="AC3072" s="1">
        <v>8259</v>
      </c>
      <c r="AF3072" s="3">
        <v>2.2592933140680418</v>
      </c>
      <c r="AG3072" s="3">
        <v>9.1857889662340977</v>
      </c>
      <c r="AH3072" s="1">
        <v>6285</v>
      </c>
      <c r="AI3072" s="1" t="b">
        <v>1</v>
      </c>
    </row>
    <row r="3073" spans="1:35" x14ac:dyDescent="0.25">
      <c r="A3073" s="1">
        <v>21</v>
      </c>
      <c r="B3073" s="1">
        <v>6</v>
      </c>
      <c r="C3073" s="1">
        <v>2020</v>
      </c>
      <c r="G3073" s="1" t="s">
        <v>40</v>
      </c>
      <c r="H3073" s="2">
        <v>66</v>
      </c>
      <c r="I3073" s="1">
        <v>157</v>
      </c>
      <c r="U3073" s="1">
        <v>214</v>
      </c>
      <c r="X3073" s="1">
        <v>191</v>
      </c>
      <c r="AA3073" s="1">
        <v>13</v>
      </c>
      <c r="AB3073" s="1">
        <v>17</v>
      </c>
      <c r="AC3073" s="1">
        <v>7535</v>
      </c>
      <c r="AF3073" s="3">
        <v>2.3787878787878789</v>
      </c>
      <c r="AG3073" s="3">
        <v>7.8945074335973979</v>
      </c>
      <c r="AH3073" s="1">
        <v>6285</v>
      </c>
      <c r="AI3073" s="1" t="b">
        <v>1</v>
      </c>
    </row>
    <row r="3074" spans="1:35" x14ac:dyDescent="0.25">
      <c r="A3074" s="1">
        <v>21</v>
      </c>
      <c r="B3074" s="1">
        <v>6</v>
      </c>
      <c r="C3074" s="1">
        <v>2020</v>
      </c>
      <c r="G3074" s="1" t="s">
        <v>40</v>
      </c>
      <c r="H3074" s="2">
        <v>71.22</v>
      </c>
      <c r="I3074" s="1">
        <v>189</v>
      </c>
      <c r="U3074" s="1">
        <v>239</v>
      </c>
      <c r="X3074" s="1">
        <v>221</v>
      </c>
      <c r="AA3074" s="1">
        <v>16</v>
      </c>
      <c r="AB3074" s="1">
        <v>13</v>
      </c>
      <c r="AC3074" s="1">
        <v>8200</v>
      </c>
      <c r="AF3074" s="3">
        <v>2.6537489469250213</v>
      </c>
      <c r="AG3074" s="3">
        <v>7.463826641206281</v>
      </c>
      <c r="AH3074" s="1">
        <v>6285</v>
      </c>
      <c r="AI3074" s="1" t="b">
        <v>1</v>
      </c>
    </row>
    <row r="3075" spans="1:35" x14ac:dyDescent="0.25">
      <c r="A3075" s="1">
        <v>21</v>
      </c>
      <c r="B3075" s="1">
        <v>6</v>
      </c>
      <c r="C3075" s="1">
        <v>2020</v>
      </c>
      <c r="G3075" s="1" t="s">
        <v>40</v>
      </c>
      <c r="H3075" s="2">
        <v>82.25</v>
      </c>
      <c r="I3075" s="1">
        <v>183</v>
      </c>
      <c r="U3075" s="1">
        <v>244</v>
      </c>
      <c r="X3075" s="1">
        <v>223</v>
      </c>
      <c r="AA3075" s="1">
        <v>15</v>
      </c>
      <c r="AB3075" s="1">
        <v>11</v>
      </c>
      <c r="AC3075" s="1">
        <v>9630</v>
      </c>
      <c r="AF3075" s="3">
        <v>2.2249240121580547</v>
      </c>
      <c r="AG3075" s="3">
        <v>9.8464561582194357</v>
      </c>
      <c r="AH3075" s="1">
        <v>6285</v>
      </c>
      <c r="AI3075" s="1" t="b">
        <v>1</v>
      </c>
    </row>
    <row r="3076" spans="1:35" x14ac:dyDescent="0.25">
      <c r="A3076" s="1">
        <v>21</v>
      </c>
      <c r="B3076" s="1">
        <v>6</v>
      </c>
      <c r="C3076" s="1">
        <v>2020</v>
      </c>
      <c r="G3076" s="1" t="s">
        <v>40</v>
      </c>
      <c r="H3076" s="2">
        <v>80.72</v>
      </c>
      <c r="I3076" s="1">
        <v>169</v>
      </c>
      <c r="U3076" s="1">
        <v>220</v>
      </c>
      <c r="X3076" s="1">
        <v>200</v>
      </c>
      <c r="AA3076" s="1">
        <v>13</v>
      </c>
      <c r="AB3076" s="1">
        <v>11</v>
      </c>
      <c r="AC3076" s="1">
        <v>8331</v>
      </c>
      <c r="AF3076" s="3">
        <v>2.0936570862239843</v>
      </c>
      <c r="AG3076" s="3">
        <v>10.327168328009822</v>
      </c>
      <c r="AH3076" s="1">
        <v>6285</v>
      </c>
      <c r="AI3076" s="1" t="b">
        <v>1</v>
      </c>
    </row>
    <row r="3077" spans="1:35" x14ac:dyDescent="0.25">
      <c r="A3077" s="1">
        <v>21</v>
      </c>
      <c r="B3077" s="1">
        <v>6</v>
      </c>
      <c r="C3077" s="1">
        <v>2020</v>
      </c>
      <c r="G3077" s="1" t="s">
        <v>40</v>
      </c>
      <c r="H3077" s="2">
        <v>74.83</v>
      </c>
      <c r="I3077" s="1">
        <v>153</v>
      </c>
      <c r="U3077" s="1">
        <v>207</v>
      </c>
      <c r="X3077" s="1">
        <v>188</v>
      </c>
      <c r="AA3077" s="1">
        <v>16</v>
      </c>
      <c r="AB3077" s="1">
        <v>14</v>
      </c>
      <c r="AC3077" s="1">
        <v>8565</v>
      </c>
      <c r="AF3077" s="3">
        <v>2.044634504877723</v>
      </c>
      <c r="AG3077" s="3">
        <v>10.028531340319445</v>
      </c>
      <c r="AH3077" s="1">
        <v>6285</v>
      </c>
      <c r="AI3077" s="1" t="b">
        <v>1</v>
      </c>
    </row>
    <row r="3078" spans="1:35" x14ac:dyDescent="0.25">
      <c r="A3078" s="1">
        <v>21</v>
      </c>
      <c r="B3078" s="1">
        <v>6</v>
      </c>
      <c r="C3078" s="1">
        <v>2020</v>
      </c>
      <c r="G3078" s="1" t="s">
        <v>40</v>
      </c>
      <c r="H3078" s="2">
        <v>81.47</v>
      </c>
      <c r="I3078" s="1">
        <v>189</v>
      </c>
      <c r="U3078" s="1">
        <v>243</v>
      </c>
      <c r="X3078" s="1">
        <v>217</v>
      </c>
      <c r="AA3078" s="1">
        <v>11</v>
      </c>
      <c r="AB3078" s="1">
        <v>8</v>
      </c>
      <c r="AC3078" s="1">
        <v>9095</v>
      </c>
      <c r="AF3078" s="3">
        <v>2.3198723456487049</v>
      </c>
      <c r="AG3078" s="3">
        <v>9.3806798332927634</v>
      </c>
      <c r="AH3078" s="1">
        <v>6285</v>
      </c>
      <c r="AI3078" s="1" t="b">
        <v>1</v>
      </c>
    </row>
    <row r="3079" spans="1:35" x14ac:dyDescent="0.25">
      <c r="A3079" s="1">
        <v>21</v>
      </c>
      <c r="B3079" s="1">
        <v>6</v>
      </c>
      <c r="C3079" s="1">
        <v>2020</v>
      </c>
      <c r="G3079" s="1" t="s">
        <v>40</v>
      </c>
      <c r="H3079" s="2">
        <v>73.5</v>
      </c>
      <c r="I3079" s="1">
        <v>196</v>
      </c>
      <c r="U3079" s="1">
        <v>232</v>
      </c>
      <c r="X3079" s="1">
        <v>216</v>
      </c>
      <c r="AA3079" s="1">
        <v>8</v>
      </c>
      <c r="AB3079" s="1">
        <v>7</v>
      </c>
      <c r="AC3079" s="1">
        <v>8964</v>
      </c>
      <c r="AF3079" s="3">
        <v>2.6666666666666665</v>
      </c>
      <c r="AG3079" s="3">
        <v>7.5933322853812761</v>
      </c>
      <c r="AH3079" s="1">
        <v>6285</v>
      </c>
      <c r="AI3079" s="1" t="b">
        <v>1</v>
      </c>
    </row>
    <row r="3080" spans="1:35" x14ac:dyDescent="0.25">
      <c r="A3080" s="1">
        <v>21</v>
      </c>
      <c r="B3080" s="1">
        <v>6</v>
      </c>
      <c r="C3080" s="1">
        <v>2020</v>
      </c>
      <c r="G3080" s="1" t="s">
        <v>40</v>
      </c>
      <c r="H3080" s="2">
        <v>79.23</v>
      </c>
      <c r="I3080" s="1">
        <v>180</v>
      </c>
      <c r="U3080" s="1">
        <v>244</v>
      </c>
      <c r="X3080" s="1">
        <v>222</v>
      </c>
      <c r="AA3080" s="1">
        <v>16</v>
      </c>
      <c r="AB3080" s="1">
        <v>12</v>
      </c>
      <c r="AC3080" s="1">
        <v>9260</v>
      </c>
      <c r="AF3080" s="3">
        <v>2.2718667171525935</v>
      </c>
      <c r="AG3080" s="3">
        <v>9.3937697273822902</v>
      </c>
      <c r="AH3080" s="1">
        <v>6285</v>
      </c>
      <c r="AI3080" s="1" t="b">
        <v>1</v>
      </c>
    </row>
    <row r="3081" spans="1:35" x14ac:dyDescent="0.25">
      <c r="A3081" s="1">
        <v>21</v>
      </c>
      <c r="B3081" s="1">
        <v>6</v>
      </c>
      <c r="C3081" s="1">
        <v>2020</v>
      </c>
      <c r="G3081" s="1" t="s">
        <v>40</v>
      </c>
      <c r="H3081" s="2">
        <v>75.930000000000007</v>
      </c>
      <c r="I3081" s="1">
        <v>175</v>
      </c>
      <c r="U3081" s="1">
        <v>229</v>
      </c>
      <c r="X3081" s="1">
        <v>208</v>
      </c>
      <c r="AA3081" s="1">
        <v>13</v>
      </c>
      <c r="AB3081" s="1">
        <v>6</v>
      </c>
      <c r="AC3081" s="1">
        <v>8130</v>
      </c>
      <c r="AF3081" s="3">
        <v>2.3047543790333198</v>
      </c>
      <c r="AG3081" s="3">
        <v>8.9880345071207142</v>
      </c>
      <c r="AH3081" s="1">
        <v>6285</v>
      </c>
      <c r="AI3081" s="1" t="b">
        <v>1</v>
      </c>
    </row>
    <row r="3082" spans="1:35" x14ac:dyDescent="0.25">
      <c r="A3082" s="1">
        <v>21</v>
      </c>
      <c r="B3082" s="1">
        <v>6</v>
      </c>
      <c r="C3082" s="1">
        <v>2020</v>
      </c>
      <c r="G3082" s="1" t="s">
        <v>40</v>
      </c>
      <c r="H3082" s="2">
        <v>77.63</v>
      </c>
      <c r="I3082" s="1">
        <v>164</v>
      </c>
      <c r="U3082" s="1">
        <v>247</v>
      </c>
      <c r="X3082" s="1">
        <v>217</v>
      </c>
      <c r="AA3082" s="1">
        <v>17</v>
      </c>
      <c r="AB3082" s="1">
        <v>13</v>
      </c>
      <c r="AC3082" s="1">
        <v>8723</v>
      </c>
      <c r="AF3082" s="3">
        <v>2.1125853407187942</v>
      </c>
      <c r="AG3082" s="3">
        <v>9.9587871080971269</v>
      </c>
      <c r="AH3082" s="1">
        <v>6285</v>
      </c>
      <c r="AI3082" s="1" t="b">
        <v>1</v>
      </c>
    </row>
    <row r="3083" spans="1:35" x14ac:dyDescent="0.25">
      <c r="A3083" s="1">
        <v>21</v>
      </c>
      <c r="B3083" s="1">
        <v>6</v>
      </c>
      <c r="C3083" s="1">
        <v>2020</v>
      </c>
      <c r="G3083" s="1" t="s">
        <v>40</v>
      </c>
      <c r="H3083" s="2">
        <v>69.489999999999995</v>
      </c>
      <c r="I3083" s="1">
        <v>160</v>
      </c>
      <c r="U3083" s="1">
        <v>232</v>
      </c>
      <c r="X3083" s="1">
        <v>206</v>
      </c>
      <c r="AA3083" s="1">
        <v>17</v>
      </c>
      <c r="AB3083" s="1">
        <v>21</v>
      </c>
      <c r="AC3083" s="1">
        <v>8140</v>
      </c>
      <c r="AF3083" s="3">
        <v>2.3024895668441503</v>
      </c>
      <c r="AG3083" s="3">
        <v>8.4556684776273254</v>
      </c>
      <c r="AH3083" s="1">
        <v>6285</v>
      </c>
      <c r="AI3083" s="1" t="b">
        <v>1</v>
      </c>
    </row>
    <row r="3084" spans="1:35" x14ac:dyDescent="0.25">
      <c r="A3084" s="1">
        <v>21</v>
      </c>
      <c r="B3084" s="1">
        <v>6</v>
      </c>
      <c r="C3084" s="1">
        <v>2020</v>
      </c>
      <c r="G3084" s="1" t="s">
        <v>40</v>
      </c>
      <c r="H3084" s="2">
        <v>72.209999999999994</v>
      </c>
      <c r="I3084" s="1">
        <v>189</v>
      </c>
      <c r="U3084" s="1">
        <v>252</v>
      </c>
      <c r="X3084" s="1">
        <v>230</v>
      </c>
      <c r="AA3084" s="1">
        <v>15</v>
      </c>
      <c r="AB3084" s="1">
        <v>13</v>
      </c>
      <c r="AC3084" s="1">
        <v>8944</v>
      </c>
      <c r="AF3084" s="3">
        <v>2.6173660157872871</v>
      </c>
      <c r="AG3084" s="3">
        <v>7.6410612738998056</v>
      </c>
      <c r="AH3084" s="1">
        <v>6285</v>
      </c>
      <c r="AI3084" s="1" t="b">
        <v>1</v>
      </c>
    </row>
    <row r="3085" spans="1:35" x14ac:dyDescent="0.25">
      <c r="A3085" s="1">
        <v>21</v>
      </c>
      <c r="B3085" s="1">
        <v>6</v>
      </c>
      <c r="C3085" s="1">
        <v>2020</v>
      </c>
      <c r="G3085" s="1" t="s">
        <v>40</v>
      </c>
      <c r="H3085" s="2">
        <v>73.09</v>
      </c>
      <c r="I3085" s="1">
        <v>181</v>
      </c>
      <c r="U3085" s="1">
        <v>241</v>
      </c>
      <c r="X3085" s="1">
        <v>218</v>
      </c>
      <c r="AA3085" s="1">
        <v>15</v>
      </c>
      <c r="AB3085" s="1">
        <v>7</v>
      </c>
      <c r="AC3085" s="1">
        <v>8414</v>
      </c>
      <c r="AF3085" s="3">
        <v>2.4763989601860716</v>
      </c>
      <c r="AG3085" s="3">
        <v>8.1447912961474991</v>
      </c>
      <c r="AH3085" s="1">
        <v>6285</v>
      </c>
      <c r="AI3085" s="1" t="b">
        <v>1</v>
      </c>
    </row>
    <row r="3086" spans="1:35" x14ac:dyDescent="0.25">
      <c r="A3086" s="1">
        <v>21</v>
      </c>
      <c r="B3086" s="1">
        <v>6</v>
      </c>
      <c r="C3086" s="1">
        <v>2020</v>
      </c>
      <c r="G3086" s="1" t="s">
        <v>40</v>
      </c>
      <c r="H3086" s="2">
        <v>84.22</v>
      </c>
      <c r="I3086" s="1">
        <v>204</v>
      </c>
      <c r="U3086" s="1">
        <v>249</v>
      </c>
      <c r="X3086" s="1">
        <v>229</v>
      </c>
      <c r="AA3086" s="1">
        <v>9</v>
      </c>
      <c r="AB3086" s="1">
        <v>5</v>
      </c>
      <c r="AC3086" s="1">
        <v>9362</v>
      </c>
      <c r="AF3086" s="3">
        <v>2.4222274994063167</v>
      </c>
      <c r="AG3086" s="3">
        <v>9.1955081917809256</v>
      </c>
      <c r="AH3086" s="1">
        <v>6285</v>
      </c>
      <c r="AI3086" s="1" t="b">
        <v>1</v>
      </c>
    </row>
    <row r="3087" spans="1:35" x14ac:dyDescent="0.25">
      <c r="A3087" s="1">
        <v>21</v>
      </c>
      <c r="B3087" s="1">
        <v>6</v>
      </c>
      <c r="C3087" s="1">
        <v>2020</v>
      </c>
      <c r="G3087" s="1" t="s">
        <v>40</v>
      </c>
      <c r="H3087" s="2">
        <v>62.85</v>
      </c>
      <c r="I3087" s="1">
        <v>135</v>
      </c>
      <c r="U3087" s="1">
        <v>184</v>
      </c>
      <c r="X3087" s="1">
        <v>166</v>
      </c>
      <c r="AA3087" s="1">
        <v>12</v>
      </c>
      <c r="AB3087" s="1">
        <v>12</v>
      </c>
      <c r="AC3087" s="1">
        <v>7031</v>
      </c>
      <c r="AF3087" s="3">
        <v>2.1479713603818613</v>
      </c>
      <c r="AG3087" s="3">
        <v>8.4486089889267362</v>
      </c>
      <c r="AH3087" s="1">
        <v>6285</v>
      </c>
      <c r="AI3087" s="1" t="b">
        <v>1</v>
      </c>
    </row>
    <row r="3088" spans="1:35" x14ac:dyDescent="0.25">
      <c r="A3088" s="1">
        <v>21</v>
      </c>
      <c r="B3088" s="1">
        <v>6</v>
      </c>
      <c r="C3088" s="1">
        <v>2020</v>
      </c>
      <c r="G3088" s="1" t="s">
        <v>40</v>
      </c>
      <c r="H3088" s="2">
        <v>75.180000000000007</v>
      </c>
      <c r="I3088" s="1">
        <v>169</v>
      </c>
      <c r="U3088" s="1">
        <v>244</v>
      </c>
      <c r="X3088" s="1">
        <v>213</v>
      </c>
      <c r="AA3088" s="1">
        <v>16</v>
      </c>
      <c r="AB3088" s="1">
        <v>13</v>
      </c>
      <c r="AC3088" s="1">
        <v>8970</v>
      </c>
      <c r="AF3088" s="3">
        <v>2.2479382814578344</v>
      </c>
      <c r="AG3088" s="3">
        <v>9.1513937483185117</v>
      </c>
      <c r="AH3088" s="1">
        <v>6285</v>
      </c>
      <c r="AI3088" s="1" t="b">
        <v>1</v>
      </c>
    </row>
    <row r="3089" spans="1:35" x14ac:dyDescent="0.25">
      <c r="A3089" s="1">
        <v>22</v>
      </c>
      <c r="B3089" s="1">
        <v>6</v>
      </c>
      <c r="C3089" s="1">
        <v>2020</v>
      </c>
      <c r="G3089" s="1" t="s">
        <v>40</v>
      </c>
      <c r="H3089" s="2">
        <v>79.28</v>
      </c>
      <c r="I3089" s="1">
        <v>169</v>
      </c>
      <c r="U3089" s="1">
        <v>232</v>
      </c>
      <c r="X3089" s="1">
        <v>202</v>
      </c>
      <c r="AA3089" s="1">
        <v>13</v>
      </c>
      <c r="AB3089" s="1">
        <v>9</v>
      </c>
      <c r="AC3089" s="1">
        <v>9229</v>
      </c>
      <c r="AF3089" s="3">
        <v>2.1316851664984862</v>
      </c>
      <c r="AG3089" s="3">
        <v>10.015934733514033</v>
      </c>
      <c r="AH3089" s="1">
        <v>6286</v>
      </c>
      <c r="AI3089" s="1" t="b">
        <v>1</v>
      </c>
    </row>
    <row r="3090" spans="1:35" x14ac:dyDescent="0.25">
      <c r="A3090" s="1">
        <v>22</v>
      </c>
      <c r="B3090" s="1">
        <v>6</v>
      </c>
      <c r="C3090" s="1">
        <v>2020</v>
      </c>
      <c r="G3090" s="1" t="s">
        <v>40</v>
      </c>
      <c r="H3090" s="2">
        <v>75.989999999999995</v>
      </c>
      <c r="I3090" s="1">
        <v>182</v>
      </c>
      <c r="U3090" s="1">
        <v>257</v>
      </c>
      <c r="X3090" s="1">
        <v>229</v>
      </c>
      <c r="AA3090" s="1">
        <v>16</v>
      </c>
      <c r="AB3090" s="1">
        <v>15</v>
      </c>
      <c r="AC3090" s="1">
        <v>8654</v>
      </c>
      <c r="AF3090" s="3">
        <v>2.3950519805237533</v>
      </c>
      <c r="AG3090" s="3">
        <v>8.6539537071032626</v>
      </c>
      <c r="AH3090" s="1">
        <v>6286</v>
      </c>
      <c r="AI3090" s="1" t="b">
        <v>1</v>
      </c>
    </row>
    <row r="3091" spans="1:35" x14ac:dyDescent="0.25">
      <c r="A3091" s="1">
        <v>22</v>
      </c>
      <c r="B3091" s="1">
        <v>6</v>
      </c>
      <c r="C3091" s="1">
        <v>2020</v>
      </c>
      <c r="G3091" s="1" t="s">
        <v>40</v>
      </c>
      <c r="H3091" s="2">
        <v>76.45</v>
      </c>
      <c r="I3091" s="1">
        <v>173</v>
      </c>
      <c r="U3091" s="1">
        <v>232</v>
      </c>
      <c r="X3091" s="1">
        <v>206</v>
      </c>
      <c r="AA3091" s="1">
        <v>12</v>
      </c>
      <c r="AB3091" s="1">
        <v>11</v>
      </c>
      <c r="AC3091" s="1">
        <v>8938</v>
      </c>
      <c r="AF3091" s="3">
        <v>2.2629169391759318</v>
      </c>
      <c r="AG3091" s="3">
        <v>9.1980471069611944</v>
      </c>
      <c r="AH3091" s="1">
        <v>6286</v>
      </c>
      <c r="AI3091" s="1" t="b">
        <v>1</v>
      </c>
    </row>
    <row r="3092" spans="1:35" x14ac:dyDescent="0.25">
      <c r="A3092" s="1">
        <v>22</v>
      </c>
      <c r="B3092" s="1">
        <v>6</v>
      </c>
      <c r="C3092" s="1">
        <v>2020</v>
      </c>
      <c r="G3092" s="1" t="s">
        <v>40</v>
      </c>
      <c r="H3092" s="2">
        <v>76.52</v>
      </c>
      <c r="I3092" s="1">
        <v>181</v>
      </c>
      <c r="U3092" s="1">
        <v>227</v>
      </c>
      <c r="X3092" s="1">
        <v>207</v>
      </c>
      <c r="AA3092" s="1">
        <v>11</v>
      </c>
      <c r="AB3092" s="1">
        <v>7</v>
      </c>
      <c r="AC3092" s="1">
        <v>8409</v>
      </c>
      <c r="AF3092" s="3">
        <v>2.3653946680606377</v>
      </c>
      <c r="AG3092" s="3">
        <v>8.8051925899837418</v>
      </c>
      <c r="AH3092" s="1">
        <v>6286</v>
      </c>
      <c r="AI3092" s="1" t="b">
        <v>1</v>
      </c>
    </row>
    <row r="3093" spans="1:35" x14ac:dyDescent="0.25">
      <c r="A3093" s="1">
        <v>22</v>
      </c>
      <c r="B3093" s="1">
        <v>6</v>
      </c>
      <c r="C3093" s="1">
        <v>2020</v>
      </c>
      <c r="G3093" s="1" t="s">
        <v>40</v>
      </c>
      <c r="H3093" s="2">
        <v>74.84</v>
      </c>
      <c r="I3093" s="1">
        <v>172</v>
      </c>
      <c r="U3093" s="1">
        <v>227</v>
      </c>
      <c r="X3093" s="1">
        <v>209</v>
      </c>
      <c r="AA3093" s="1">
        <v>13</v>
      </c>
      <c r="AB3093" s="1">
        <v>11</v>
      </c>
      <c r="AC3093" s="1">
        <v>8552</v>
      </c>
      <c r="AF3093" s="3">
        <v>2.298236237306253</v>
      </c>
      <c r="AG3093" s="3">
        <v>8.922755179960804</v>
      </c>
      <c r="AH3093" s="1">
        <v>6286</v>
      </c>
      <c r="AI3093" s="1" t="b">
        <v>1</v>
      </c>
    </row>
    <row r="3094" spans="1:35" x14ac:dyDescent="0.25">
      <c r="A3094" s="1">
        <v>22</v>
      </c>
      <c r="B3094" s="1">
        <v>6</v>
      </c>
      <c r="C3094" s="1">
        <v>2020</v>
      </c>
      <c r="G3094" s="1" t="s">
        <v>40</v>
      </c>
      <c r="H3094" s="2">
        <v>83.5</v>
      </c>
      <c r="I3094" s="1">
        <v>182</v>
      </c>
      <c r="U3094" s="1">
        <v>229</v>
      </c>
      <c r="X3094" s="1">
        <v>210</v>
      </c>
      <c r="AA3094" s="1">
        <v>13</v>
      </c>
      <c r="AB3094" s="1">
        <v>7</v>
      </c>
      <c r="AC3094" s="1">
        <v>9038</v>
      </c>
      <c r="AF3094" s="3">
        <v>2.1796407185628741</v>
      </c>
      <c r="AG3094" s="3">
        <v>10.157705571597061</v>
      </c>
      <c r="AH3094" s="1">
        <v>6286</v>
      </c>
      <c r="AI3094" s="1" t="b">
        <v>1</v>
      </c>
    </row>
    <row r="3095" spans="1:35" x14ac:dyDescent="0.25">
      <c r="A3095" s="1">
        <v>22</v>
      </c>
      <c r="B3095" s="1">
        <v>6</v>
      </c>
      <c r="C3095" s="1">
        <v>2020</v>
      </c>
      <c r="G3095" s="1" t="s">
        <v>40</v>
      </c>
      <c r="H3095" s="2">
        <v>79.430000000000007</v>
      </c>
      <c r="I3095" s="1">
        <v>195</v>
      </c>
      <c r="U3095" s="1">
        <v>245</v>
      </c>
      <c r="X3095" s="1">
        <v>226</v>
      </c>
      <c r="AA3095" s="1">
        <v>10</v>
      </c>
      <c r="AB3095" s="1">
        <v>9</v>
      </c>
      <c r="AC3095" s="1">
        <v>9571</v>
      </c>
      <c r="AF3095" s="3">
        <v>2.4549918166939442</v>
      </c>
      <c r="AG3095" s="3">
        <v>8.708415557072966</v>
      </c>
      <c r="AH3095" s="1">
        <v>6286</v>
      </c>
      <c r="AI3095" s="1" t="b">
        <v>1</v>
      </c>
    </row>
    <row r="3096" spans="1:35" x14ac:dyDescent="0.25">
      <c r="A3096" s="1">
        <v>22</v>
      </c>
      <c r="B3096" s="1">
        <v>6</v>
      </c>
      <c r="C3096" s="1">
        <v>2020</v>
      </c>
      <c r="G3096" s="1" t="s">
        <v>40</v>
      </c>
      <c r="H3096" s="2">
        <v>64.83</v>
      </c>
      <c r="I3096" s="1">
        <v>152</v>
      </c>
      <c r="U3096" s="1">
        <v>209</v>
      </c>
      <c r="X3096" s="1">
        <v>186</v>
      </c>
      <c r="AA3096" s="1">
        <v>13</v>
      </c>
      <c r="AB3096" s="1">
        <v>13</v>
      </c>
      <c r="AC3096" s="1">
        <v>7272</v>
      </c>
      <c r="AF3096" s="3">
        <v>2.3445935523677313</v>
      </c>
      <c r="AG3096" s="3">
        <v>7.9099847969305239</v>
      </c>
      <c r="AH3096" s="1">
        <v>6286</v>
      </c>
      <c r="AI3096" s="1" t="b">
        <v>1</v>
      </c>
    </row>
    <row r="3097" spans="1:35" x14ac:dyDescent="0.25">
      <c r="A3097" s="1">
        <v>22</v>
      </c>
      <c r="B3097" s="1">
        <v>6</v>
      </c>
      <c r="C3097" s="1">
        <v>2020</v>
      </c>
      <c r="G3097" s="1" t="s">
        <v>40</v>
      </c>
      <c r="H3097" s="2">
        <v>72.849999999999994</v>
      </c>
      <c r="I3097" s="1">
        <v>186</v>
      </c>
      <c r="U3097" s="1">
        <v>232</v>
      </c>
      <c r="X3097" s="1">
        <v>218</v>
      </c>
      <c r="AA3097" s="1">
        <v>10</v>
      </c>
      <c r="AB3097" s="1">
        <v>12</v>
      </c>
      <c r="AC3097" s="1">
        <v>8037</v>
      </c>
      <c r="AF3097" s="3">
        <v>2.5531914893617023</v>
      </c>
      <c r="AG3097" s="3">
        <v>7.881652829223893</v>
      </c>
      <c r="AH3097" s="1">
        <v>6286</v>
      </c>
      <c r="AI3097" s="1" t="b">
        <v>1</v>
      </c>
    </row>
    <row r="3098" spans="1:35" x14ac:dyDescent="0.25">
      <c r="A3098" s="1">
        <v>22</v>
      </c>
      <c r="B3098" s="1">
        <v>6</v>
      </c>
      <c r="C3098" s="1">
        <v>2020</v>
      </c>
      <c r="G3098" s="1" t="s">
        <v>40</v>
      </c>
      <c r="H3098" s="2">
        <v>72.900000000000006</v>
      </c>
      <c r="I3098" s="1">
        <v>164</v>
      </c>
      <c r="U3098" s="1">
        <v>225</v>
      </c>
      <c r="X3098" s="1">
        <v>201</v>
      </c>
      <c r="AA3098" s="1">
        <v>18</v>
      </c>
      <c r="AB3098" s="1">
        <v>16</v>
      </c>
      <c r="AC3098" s="1">
        <v>8820</v>
      </c>
      <c r="AF3098" s="3">
        <v>2.249657064471879</v>
      </c>
      <c r="AG3098" s="3">
        <v>8.9493800210886061</v>
      </c>
      <c r="AH3098" s="1">
        <v>6286</v>
      </c>
      <c r="AI3098" s="1" t="b">
        <v>1</v>
      </c>
    </row>
    <row r="3099" spans="1:35" x14ac:dyDescent="0.25">
      <c r="A3099" s="1">
        <v>23</v>
      </c>
      <c r="B3099" s="1">
        <v>6</v>
      </c>
      <c r="C3099" s="1">
        <v>2020</v>
      </c>
      <c r="G3099" s="1" t="s">
        <v>40</v>
      </c>
      <c r="H3099" s="2">
        <v>85.09</v>
      </c>
      <c r="I3099" s="1">
        <v>172</v>
      </c>
      <c r="U3099" s="1">
        <v>236</v>
      </c>
      <c r="X3099" s="1">
        <v>212</v>
      </c>
      <c r="AA3099" s="1">
        <v>16</v>
      </c>
      <c r="AB3099" s="1">
        <v>10</v>
      </c>
      <c r="AC3099" s="1">
        <v>8840</v>
      </c>
      <c r="AF3099" s="3">
        <v>2.0213891174051004</v>
      </c>
      <c r="AG3099" s="3">
        <v>11.098519343586522</v>
      </c>
      <c r="AH3099" s="1">
        <v>6286</v>
      </c>
      <c r="AI3099" s="1" t="b">
        <v>1</v>
      </c>
    </row>
    <row r="3100" spans="1:35" x14ac:dyDescent="0.25">
      <c r="A3100" s="1">
        <v>23</v>
      </c>
      <c r="B3100" s="1">
        <v>6</v>
      </c>
      <c r="C3100" s="1">
        <v>2020</v>
      </c>
      <c r="G3100" s="1" t="s">
        <v>40</v>
      </c>
      <c r="H3100" s="2">
        <v>70.84</v>
      </c>
      <c r="I3100" s="1">
        <v>151</v>
      </c>
      <c r="U3100" s="1">
        <v>240</v>
      </c>
      <c r="X3100" s="1">
        <v>206</v>
      </c>
      <c r="AA3100" s="1">
        <v>17</v>
      </c>
      <c r="AB3100" s="1">
        <v>12</v>
      </c>
      <c r="AC3100" s="1">
        <v>8140</v>
      </c>
      <c r="AF3100" s="3">
        <v>2.1315640880858271</v>
      </c>
      <c r="AG3100" s="3">
        <v>9.2575612046297948</v>
      </c>
      <c r="AH3100" s="1">
        <v>6286</v>
      </c>
      <c r="AI3100" s="1" t="b">
        <v>1</v>
      </c>
    </row>
    <row r="3101" spans="1:35" x14ac:dyDescent="0.25">
      <c r="A3101" s="1">
        <v>23</v>
      </c>
      <c r="B3101" s="1">
        <v>6</v>
      </c>
      <c r="C3101" s="1">
        <v>2020</v>
      </c>
      <c r="G3101" s="1" t="s">
        <v>40</v>
      </c>
      <c r="H3101" s="2">
        <v>70.88</v>
      </c>
      <c r="I3101" s="1">
        <v>163</v>
      </c>
      <c r="U3101" s="1">
        <v>231</v>
      </c>
      <c r="X3101" s="1">
        <v>211</v>
      </c>
      <c r="AA3101" s="1">
        <v>17</v>
      </c>
      <c r="AB3101" s="1">
        <v>16</v>
      </c>
      <c r="AC3101" s="1">
        <v>8484</v>
      </c>
      <c r="AF3101" s="3">
        <v>2.2996613995485329</v>
      </c>
      <c r="AG3101" s="3">
        <v>8.5842567905049716</v>
      </c>
      <c r="AH3101" s="1">
        <v>6286</v>
      </c>
      <c r="AI3101" s="1" t="b">
        <v>1</v>
      </c>
    </row>
    <row r="3102" spans="1:35" x14ac:dyDescent="0.25">
      <c r="A3102" s="1">
        <v>23</v>
      </c>
      <c r="B3102" s="1">
        <v>6</v>
      </c>
      <c r="C3102" s="1">
        <v>2020</v>
      </c>
      <c r="G3102" s="1" t="s">
        <v>40</v>
      </c>
      <c r="H3102" s="2">
        <v>77.28</v>
      </c>
      <c r="I3102" s="1">
        <v>192</v>
      </c>
      <c r="U3102" s="1">
        <v>255</v>
      </c>
      <c r="X3102" s="1">
        <v>225</v>
      </c>
      <c r="AA3102" s="1">
        <v>13</v>
      </c>
      <c r="AB3102" s="1">
        <v>8</v>
      </c>
      <c r="AC3102" s="1">
        <v>8971</v>
      </c>
      <c r="AF3102" s="3">
        <v>2.4844720496894408</v>
      </c>
      <c r="AG3102" s="3">
        <v>8.4413685911316865</v>
      </c>
      <c r="AH3102" s="1">
        <v>6286</v>
      </c>
      <c r="AI3102" s="1" t="b">
        <v>1</v>
      </c>
    </row>
    <row r="3103" spans="1:35" x14ac:dyDescent="0.25">
      <c r="A3103" s="1">
        <v>23</v>
      </c>
      <c r="B3103" s="1">
        <v>6</v>
      </c>
      <c r="C3103" s="1">
        <v>2020</v>
      </c>
      <c r="G3103" s="1" t="s">
        <v>40</v>
      </c>
      <c r="H3103" s="2">
        <v>78.48</v>
      </c>
      <c r="I3103" s="1">
        <v>193</v>
      </c>
      <c r="U3103" s="1">
        <v>258</v>
      </c>
      <c r="X3103" s="1">
        <v>230</v>
      </c>
      <c r="AA3103" s="1">
        <v>13</v>
      </c>
      <c r="AB3103" s="1">
        <v>10</v>
      </c>
      <c r="AC3103" s="1">
        <v>9057</v>
      </c>
      <c r="AF3103" s="3">
        <v>2.4592252803261978</v>
      </c>
      <c r="AG3103" s="3">
        <v>8.6205104256254579</v>
      </c>
      <c r="AH3103" s="1">
        <v>6286</v>
      </c>
      <c r="AI3103" s="1" t="b">
        <v>1</v>
      </c>
    </row>
    <row r="3104" spans="1:35" x14ac:dyDescent="0.25">
      <c r="A3104" s="1">
        <v>23</v>
      </c>
      <c r="B3104" s="1">
        <v>6</v>
      </c>
      <c r="C3104" s="1">
        <v>2020</v>
      </c>
      <c r="G3104" s="1" t="s">
        <v>40</v>
      </c>
      <c r="H3104" s="2">
        <v>70.59</v>
      </c>
      <c r="I3104" s="1">
        <v>183</v>
      </c>
      <c r="U3104" s="1">
        <v>245</v>
      </c>
      <c r="X3104" s="1">
        <v>218</v>
      </c>
      <c r="AA3104" s="1">
        <v>13</v>
      </c>
      <c r="AB3104" s="1">
        <v>12</v>
      </c>
      <c r="AC3104" s="1">
        <v>7493</v>
      </c>
      <c r="AF3104" s="3">
        <v>2.5924351891202719</v>
      </c>
      <c r="AG3104" s="3">
        <v>7.5929811110694798</v>
      </c>
      <c r="AH3104" s="1">
        <v>6286</v>
      </c>
      <c r="AI3104" s="1" t="b">
        <v>1</v>
      </c>
    </row>
    <row r="3105" spans="1:35" x14ac:dyDescent="0.25">
      <c r="A3105" s="1">
        <v>23</v>
      </c>
      <c r="B3105" s="1">
        <v>6</v>
      </c>
      <c r="C3105" s="1">
        <v>2020</v>
      </c>
      <c r="G3105" s="1" t="s">
        <v>40</v>
      </c>
      <c r="H3105" s="2">
        <v>69.98</v>
      </c>
      <c r="I3105" s="1">
        <v>171</v>
      </c>
      <c r="U3105" s="1">
        <v>228</v>
      </c>
      <c r="X3105" s="1">
        <v>206</v>
      </c>
      <c r="AA3105" s="1">
        <v>14</v>
      </c>
      <c r="AB3105" s="1">
        <v>10</v>
      </c>
      <c r="AC3105" s="1">
        <v>8036</v>
      </c>
      <c r="AF3105" s="3">
        <v>2.4435553015147184</v>
      </c>
      <c r="AG3105" s="3">
        <v>8.0068111347454121</v>
      </c>
      <c r="AH3105" s="1">
        <v>6286</v>
      </c>
      <c r="AI3105" s="1" t="b">
        <v>1</v>
      </c>
    </row>
    <row r="3106" spans="1:35" x14ac:dyDescent="0.25">
      <c r="A3106" s="1">
        <v>23</v>
      </c>
      <c r="B3106" s="1">
        <v>6</v>
      </c>
      <c r="C3106" s="1">
        <v>2020</v>
      </c>
      <c r="G3106" s="1" t="s">
        <v>40</v>
      </c>
      <c r="H3106" s="2">
        <v>81.53</v>
      </c>
      <c r="I3106" s="1">
        <v>204</v>
      </c>
      <c r="U3106" s="1">
        <v>272</v>
      </c>
      <c r="X3106" s="1">
        <v>238</v>
      </c>
      <c r="AA3106" s="1">
        <v>14</v>
      </c>
      <c r="AB3106" s="1">
        <v>6</v>
      </c>
      <c r="AC3106" s="1">
        <v>8582</v>
      </c>
      <c r="AF3106" s="3">
        <v>2.5021464491598184</v>
      </c>
      <c r="AG3106" s="3">
        <v>8.7018077575785728</v>
      </c>
      <c r="AH3106" s="1">
        <v>6286</v>
      </c>
      <c r="AI3106" s="1" t="b">
        <v>1</v>
      </c>
    </row>
    <row r="3107" spans="1:35" x14ac:dyDescent="0.25">
      <c r="A3107" s="1">
        <v>24</v>
      </c>
      <c r="B3107" s="1">
        <v>6</v>
      </c>
      <c r="C3107" s="1">
        <v>2020</v>
      </c>
      <c r="G3107" s="1" t="s">
        <v>40</v>
      </c>
      <c r="H3107" s="2">
        <v>69.540000000000006</v>
      </c>
      <c r="I3107" s="1">
        <v>169</v>
      </c>
      <c r="U3107" s="1">
        <v>237</v>
      </c>
      <c r="X3107" s="1">
        <v>210</v>
      </c>
      <c r="AA3107" s="1">
        <v>14</v>
      </c>
      <c r="AB3107" s="1">
        <v>9</v>
      </c>
      <c r="AC3107" s="1">
        <v>7412</v>
      </c>
      <c r="AF3107" s="3">
        <v>2.4302559677883231</v>
      </c>
      <c r="AG3107" s="3">
        <v>8.0151612169417934</v>
      </c>
      <c r="AH3107" s="1">
        <v>6286</v>
      </c>
      <c r="AI3107" s="1" t="b">
        <v>1</v>
      </c>
    </row>
    <row r="3108" spans="1:35" x14ac:dyDescent="0.25">
      <c r="A3108" s="1">
        <v>24</v>
      </c>
      <c r="B3108" s="1">
        <v>6</v>
      </c>
      <c r="C3108" s="1">
        <v>2020</v>
      </c>
      <c r="G3108" s="1" t="s">
        <v>40</v>
      </c>
      <c r="H3108" s="2">
        <v>75.19</v>
      </c>
      <c r="I3108" s="1">
        <v>175</v>
      </c>
      <c r="U3108" s="1">
        <v>226</v>
      </c>
      <c r="X3108" s="1">
        <v>203</v>
      </c>
      <c r="AA3108" s="1">
        <v>13</v>
      </c>
      <c r="AB3108" s="1">
        <v>7</v>
      </c>
      <c r="AC3108" s="1">
        <v>8306</v>
      </c>
      <c r="AF3108" s="3">
        <v>2.3274371591967018</v>
      </c>
      <c r="AG3108" s="3">
        <v>8.8396301703343454</v>
      </c>
      <c r="AH3108" s="1">
        <v>6286</v>
      </c>
      <c r="AI3108" s="1" t="b">
        <v>1</v>
      </c>
    </row>
    <row r="3109" spans="1:35" x14ac:dyDescent="0.25">
      <c r="A3109" s="1">
        <v>25</v>
      </c>
      <c r="B3109" s="1">
        <v>6</v>
      </c>
      <c r="C3109" s="1">
        <v>2020</v>
      </c>
      <c r="G3109" s="1" t="s">
        <v>40</v>
      </c>
      <c r="H3109" s="2">
        <v>67.930000000000007</v>
      </c>
      <c r="I3109" s="1">
        <v>152</v>
      </c>
      <c r="U3109" s="1">
        <v>200</v>
      </c>
      <c r="X3109" s="1">
        <v>186</v>
      </c>
      <c r="AA3109" s="1">
        <v>12</v>
      </c>
      <c r="AB3109" s="1">
        <v>10</v>
      </c>
      <c r="AC3109" s="1">
        <v>7350</v>
      </c>
      <c r="AF3109" s="3">
        <v>2.237597526865891</v>
      </c>
      <c r="AG3109" s="3">
        <v>8.5636943209411314</v>
      </c>
      <c r="AH3109" s="1">
        <v>6286</v>
      </c>
      <c r="AI3109" s="1" t="b">
        <v>1</v>
      </c>
    </row>
    <row r="3110" spans="1:35" x14ac:dyDescent="0.25">
      <c r="A3110" s="1">
        <v>25</v>
      </c>
      <c r="B3110" s="1">
        <v>6</v>
      </c>
      <c r="C3110" s="1">
        <v>2020</v>
      </c>
      <c r="G3110" s="1" t="s">
        <v>40</v>
      </c>
      <c r="H3110" s="2">
        <v>73.75</v>
      </c>
      <c r="I3110" s="1">
        <v>140</v>
      </c>
      <c r="U3110" s="1">
        <v>191</v>
      </c>
      <c r="X3110" s="1">
        <v>175</v>
      </c>
      <c r="AA3110" s="1">
        <v>16</v>
      </c>
      <c r="AB3110" s="1">
        <v>12</v>
      </c>
      <c r="AC3110" s="1">
        <v>7709</v>
      </c>
      <c r="AF3110" s="3">
        <v>1.8983050847457628</v>
      </c>
      <c r="AG3110" s="3">
        <v>10.69220818582944</v>
      </c>
      <c r="AH3110" s="1">
        <v>6286</v>
      </c>
      <c r="AI3110" s="1" t="b">
        <v>1</v>
      </c>
    </row>
    <row r="3111" spans="1:35" x14ac:dyDescent="0.25">
      <c r="A3111" s="1">
        <v>25</v>
      </c>
      <c r="B3111" s="1">
        <v>6</v>
      </c>
      <c r="C3111" s="1">
        <v>2020</v>
      </c>
      <c r="G3111" s="1" t="s">
        <v>40</v>
      </c>
      <c r="H3111" s="2">
        <v>71.75</v>
      </c>
      <c r="I3111" s="1">
        <v>153</v>
      </c>
      <c r="U3111" s="1">
        <v>215</v>
      </c>
      <c r="X3111" s="1">
        <v>185</v>
      </c>
      <c r="AA3111" s="1">
        <v>12</v>
      </c>
      <c r="AB3111" s="1">
        <v>11</v>
      </c>
      <c r="AC3111" s="1">
        <v>8097</v>
      </c>
      <c r="AF3111" s="3">
        <v>2.1324041811846688</v>
      </c>
      <c r="AG3111" s="3">
        <v>9.3369666669071041</v>
      </c>
      <c r="AH3111" s="1">
        <v>6286</v>
      </c>
      <c r="AI3111" s="1" t="b">
        <v>1</v>
      </c>
    </row>
    <row r="3112" spans="1:35" x14ac:dyDescent="0.25">
      <c r="A3112" s="1">
        <v>25</v>
      </c>
      <c r="B3112" s="1">
        <v>6</v>
      </c>
      <c r="C3112" s="1">
        <v>2020</v>
      </c>
      <c r="G3112" s="1" t="s">
        <v>40</v>
      </c>
      <c r="H3112" s="2">
        <v>129.69</v>
      </c>
      <c r="I3112" s="1">
        <v>201</v>
      </c>
      <c r="V3112" s="1">
        <v>324</v>
      </c>
      <c r="X3112" s="1">
        <v>282</v>
      </c>
      <c r="AA3112" s="1">
        <v>14</v>
      </c>
      <c r="AB3112" s="1">
        <v>7</v>
      </c>
      <c r="AC3112" s="1">
        <v>14547</v>
      </c>
      <c r="AF3112" s="3">
        <v>1.549849641452695</v>
      </c>
      <c r="AG3112" s="3">
        <v>19.44218073431465</v>
      </c>
      <c r="AH3112" s="1">
        <v>6286</v>
      </c>
      <c r="AI3112" s="1" t="b">
        <v>1</v>
      </c>
    </row>
    <row r="3113" spans="1:35" x14ac:dyDescent="0.25">
      <c r="A3113" s="1">
        <v>27</v>
      </c>
      <c r="B3113" s="1">
        <v>6</v>
      </c>
      <c r="C3113" s="1">
        <v>2020</v>
      </c>
      <c r="G3113" s="1" t="s">
        <v>40</v>
      </c>
      <c r="H3113" s="2">
        <v>75.95</v>
      </c>
      <c r="I3113" s="1">
        <v>165</v>
      </c>
      <c r="U3113" s="1">
        <v>240</v>
      </c>
      <c r="X3113" s="1">
        <v>209</v>
      </c>
      <c r="AA3113" s="1">
        <v>17</v>
      </c>
      <c r="AB3113" s="1">
        <v>11</v>
      </c>
      <c r="AC3113" s="1">
        <v>8866</v>
      </c>
      <c r="AF3113" s="3">
        <v>2.1724818959842001</v>
      </c>
      <c r="AG3113" s="3">
        <v>9.5370328538168092</v>
      </c>
      <c r="AH3113" s="1">
        <v>6286</v>
      </c>
      <c r="AI3113" s="1" t="b">
        <v>1</v>
      </c>
    </row>
    <row r="3114" spans="1:35" x14ac:dyDescent="0.25">
      <c r="A3114" s="1">
        <v>28</v>
      </c>
      <c r="B3114" s="1">
        <v>6</v>
      </c>
      <c r="C3114" s="1">
        <v>2020</v>
      </c>
      <c r="G3114" s="1" t="s">
        <v>40</v>
      </c>
      <c r="H3114" s="2">
        <v>79.52</v>
      </c>
      <c r="I3114" s="1">
        <v>184</v>
      </c>
      <c r="U3114" s="1">
        <v>251</v>
      </c>
      <c r="X3114" s="1">
        <v>223</v>
      </c>
      <c r="AA3114" s="1">
        <v>14</v>
      </c>
      <c r="AB3114" s="1">
        <v>13</v>
      </c>
      <c r="AC3114" s="1">
        <v>8488</v>
      </c>
      <c r="AF3114" s="3">
        <v>2.313883299798793</v>
      </c>
      <c r="AG3114" s="3">
        <v>9.2468115830840549</v>
      </c>
      <c r="AH3114" s="1">
        <v>6286</v>
      </c>
      <c r="AI3114" s="1" t="b">
        <v>1</v>
      </c>
    </row>
    <row r="3115" spans="1:35" x14ac:dyDescent="0.25">
      <c r="A3115" s="1">
        <v>28</v>
      </c>
      <c r="B3115" s="1">
        <v>6</v>
      </c>
      <c r="C3115" s="1">
        <v>2020</v>
      </c>
      <c r="G3115" s="1" t="s">
        <v>40</v>
      </c>
      <c r="H3115" s="2">
        <v>73.11</v>
      </c>
      <c r="I3115" s="1">
        <v>166</v>
      </c>
      <c r="U3115" s="1">
        <v>215</v>
      </c>
      <c r="X3115" s="1">
        <v>196</v>
      </c>
      <c r="AA3115" s="1">
        <v>13</v>
      </c>
      <c r="AB3115" s="1">
        <v>13</v>
      </c>
      <c r="AC3115" s="1">
        <v>7700</v>
      </c>
      <c r="AF3115" s="3">
        <v>2.2705512241827384</v>
      </c>
      <c r="AG3115" s="3">
        <v>8.8848979630755149</v>
      </c>
      <c r="AH3115" s="1">
        <v>6286</v>
      </c>
      <c r="AI3115" s="1" t="b">
        <v>1</v>
      </c>
    </row>
    <row r="3116" spans="1:35" x14ac:dyDescent="0.25">
      <c r="A3116" s="1">
        <v>30</v>
      </c>
      <c r="B3116" s="1">
        <v>6</v>
      </c>
      <c r="C3116" s="1">
        <v>2020</v>
      </c>
      <c r="G3116" s="1" t="s">
        <v>40</v>
      </c>
      <c r="H3116" s="2">
        <v>69.099999999999994</v>
      </c>
      <c r="I3116" s="1">
        <v>164</v>
      </c>
      <c r="U3116" s="1">
        <v>221</v>
      </c>
      <c r="X3116" s="1">
        <v>199</v>
      </c>
      <c r="AA3116" s="1">
        <v>15</v>
      </c>
      <c r="AB3116" s="1">
        <v>15</v>
      </c>
      <c r="AC3116" s="1">
        <v>7386</v>
      </c>
      <c r="AF3116" s="3">
        <v>2.3733719247467442</v>
      </c>
      <c r="AG3116" s="3">
        <v>8.1708800022973911</v>
      </c>
      <c r="AH3116" s="1">
        <v>6287</v>
      </c>
      <c r="AI3116" s="1" t="b">
        <v>1</v>
      </c>
    </row>
    <row r="3117" spans="1:35" x14ac:dyDescent="0.25">
      <c r="A3117" s="1">
        <v>30</v>
      </c>
      <c r="B3117" s="1">
        <v>6</v>
      </c>
      <c r="C3117" s="1">
        <v>2020</v>
      </c>
      <c r="G3117" s="1" t="s">
        <v>40</v>
      </c>
      <c r="H3117" s="2">
        <v>75.27</v>
      </c>
      <c r="I3117" s="1">
        <v>165</v>
      </c>
      <c r="U3117" s="1">
        <v>236</v>
      </c>
      <c r="X3117" s="1">
        <v>210</v>
      </c>
      <c r="AA3117" s="1">
        <v>16</v>
      </c>
      <c r="AB3117" s="1">
        <v>11</v>
      </c>
      <c r="AC3117" s="1">
        <v>8527</v>
      </c>
      <c r="AF3117" s="3">
        <v>2.1921084097249901</v>
      </c>
      <c r="AG3117" s="3">
        <v>9.3923293493340712</v>
      </c>
      <c r="AH3117" s="1">
        <v>6287</v>
      </c>
      <c r="AI3117" s="1" t="b">
        <v>1</v>
      </c>
    </row>
    <row r="3118" spans="1:35" x14ac:dyDescent="0.25">
      <c r="A3118" s="1">
        <v>30</v>
      </c>
      <c r="B3118" s="1">
        <v>6</v>
      </c>
      <c r="C3118" s="1">
        <v>2020</v>
      </c>
      <c r="G3118" s="1" t="s">
        <v>40</v>
      </c>
      <c r="H3118" s="2">
        <v>68.3</v>
      </c>
      <c r="I3118" s="1">
        <v>161</v>
      </c>
      <c r="U3118" s="1">
        <v>219</v>
      </c>
      <c r="X3118" s="1">
        <v>199</v>
      </c>
      <c r="AA3118" s="1">
        <v>14</v>
      </c>
      <c r="AB3118" s="1">
        <v>9</v>
      </c>
      <c r="AC3118" s="1">
        <v>7053</v>
      </c>
      <c r="AF3118" s="3">
        <v>2.3572474377745243</v>
      </c>
      <c r="AG3118" s="3">
        <v>8.1599842448502997</v>
      </c>
      <c r="AH3118" s="1">
        <v>6287</v>
      </c>
      <c r="AI3118" s="1" t="b">
        <v>1</v>
      </c>
    </row>
    <row r="3119" spans="1:35" x14ac:dyDescent="0.25">
      <c r="A3119" s="1">
        <v>1</v>
      </c>
      <c r="B3119" s="1">
        <v>7</v>
      </c>
      <c r="C3119" s="1">
        <v>2020</v>
      </c>
      <c r="G3119" s="1" t="s">
        <v>40</v>
      </c>
      <c r="H3119" s="2">
        <v>74.44</v>
      </c>
      <c r="I3119" s="1">
        <v>170</v>
      </c>
      <c r="U3119" s="1">
        <v>217</v>
      </c>
      <c r="X3119" s="1">
        <v>201</v>
      </c>
      <c r="AA3119" s="1">
        <v>11</v>
      </c>
      <c r="AB3119" s="1">
        <v>7</v>
      </c>
      <c r="AC3119" s="1">
        <v>7569</v>
      </c>
      <c r="AF3119" s="3">
        <v>2.2837184309511018</v>
      </c>
      <c r="AG3119" s="3">
        <v>8.9458558985897305</v>
      </c>
      <c r="AH3119" s="1">
        <v>6287</v>
      </c>
      <c r="AI3119" s="1" t="b">
        <v>1</v>
      </c>
    </row>
    <row r="3120" spans="1:35" x14ac:dyDescent="0.25">
      <c r="A3120" s="1">
        <v>1</v>
      </c>
      <c r="B3120" s="1">
        <v>7</v>
      </c>
      <c r="C3120" s="1">
        <v>2020</v>
      </c>
      <c r="G3120" s="1" t="s">
        <v>40</v>
      </c>
      <c r="H3120" s="2">
        <v>73.45</v>
      </c>
      <c r="I3120" s="1">
        <v>159</v>
      </c>
      <c r="U3120" s="1">
        <v>227</v>
      </c>
      <c r="X3120" s="1">
        <v>202</v>
      </c>
      <c r="AA3120" s="1">
        <v>16</v>
      </c>
      <c r="AB3120" s="1">
        <v>14</v>
      </c>
      <c r="AC3120" s="1">
        <v>8456</v>
      </c>
      <c r="AF3120" s="3">
        <v>2.164737916950306</v>
      </c>
      <c r="AG3120" s="3">
        <v>9.3495118392671657</v>
      </c>
      <c r="AH3120" s="1">
        <v>6287</v>
      </c>
      <c r="AI3120" s="1" t="b">
        <v>1</v>
      </c>
    </row>
    <row r="3121" spans="1:35" x14ac:dyDescent="0.25">
      <c r="A3121" s="1">
        <v>1</v>
      </c>
      <c r="B3121" s="1">
        <v>7</v>
      </c>
      <c r="C3121" s="1">
        <v>2020</v>
      </c>
      <c r="G3121" s="1" t="s">
        <v>40</v>
      </c>
      <c r="H3121" s="2">
        <v>86.69</v>
      </c>
      <c r="I3121" s="1">
        <v>209</v>
      </c>
      <c r="U3121" s="1">
        <v>281</v>
      </c>
      <c r="X3121" s="1">
        <v>250</v>
      </c>
      <c r="AA3121" s="1">
        <v>15</v>
      </c>
      <c r="AB3121" s="1">
        <v>10</v>
      </c>
      <c r="AC3121" s="1">
        <v>9103</v>
      </c>
      <c r="AF3121" s="3">
        <v>2.4108893759372476</v>
      </c>
      <c r="AG3121" s="3">
        <v>9.4275972035105315</v>
      </c>
      <c r="AH3121" s="1">
        <v>6287</v>
      </c>
      <c r="AI3121" s="1" t="b">
        <v>1</v>
      </c>
    </row>
    <row r="3122" spans="1:35" x14ac:dyDescent="0.25">
      <c r="A3122" s="1">
        <v>1</v>
      </c>
      <c r="B3122" s="1">
        <v>7</v>
      </c>
      <c r="C3122" s="1">
        <v>2020</v>
      </c>
      <c r="G3122" s="1" t="s">
        <v>40</v>
      </c>
      <c r="H3122" s="2">
        <v>74.64</v>
      </c>
      <c r="I3122" s="1">
        <v>155</v>
      </c>
      <c r="U3122" s="1">
        <v>235</v>
      </c>
      <c r="X3122" s="1">
        <v>205</v>
      </c>
      <c r="AA3122" s="1">
        <v>18</v>
      </c>
      <c r="AB3122" s="1">
        <v>15</v>
      </c>
      <c r="AC3122" s="1">
        <v>7891</v>
      </c>
      <c r="AF3122" s="3">
        <v>2.0766345123258305</v>
      </c>
      <c r="AG3122" s="3">
        <v>9.8564398082465026</v>
      </c>
      <c r="AH3122" s="1">
        <v>6287</v>
      </c>
      <c r="AI3122" s="1" t="b">
        <v>1</v>
      </c>
    </row>
    <row r="3123" spans="1:35" x14ac:dyDescent="0.25">
      <c r="A3123" s="1">
        <v>1</v>
      </c>
      <c r="B3123" s="1">
        <v>7</v>
      </c>
      <c r="C3123" s="1">
        <v>2020</v>
      </c>
      <c r="G3123" s="1" t="s">
        <v>40</v>
      </c>
      <c r="H3123" s="2">
        <v>66.33</v>
      </c>
      <c r="I3123" s="1">
        <v>163</v>
      </c>
      <c r="U3123" s="1">
        <v>236</v>
      </c>
      <c r="X3123" s="1">
        <v>206</v>
      </c>
      <c r="AA3123" s="1">
        <v>18</v>
      </c>
      <c r="AB3123" s="1">
        <v>9</v>
      </c>
      <c r="AC3123" s="1">
        <v>6863</v>
      </c>
      <c r="AF3123" s="3">
        <v>2.4574099200964872</v>
      </c>
      <c r="AG3123" s="3">
        <v>7.6686583722506301</v>
      </c>
      <c r="AH3123" s="1">
        <v>6287</v>
      </c>
      <c r="AI3123" s="1" t="b">
        <v>1</v>
      </c>
    </row>
    <row r="3124" spans="1:35" x14ac:dyDescent="0.25">
      <c r="A3124" s="1">
        <v>1</v>
      </c>
      <c r="B3124" s="1">
        <v>7</v>
      </c>
      <c r="C3124" s="1">
        <v>2020</v>
      </c>
      <c r="G3124" s="1" t="s">
        <v>40</v>
      </c>
      <c r="H3124" s="2">
        <v>86.77</v>
      </c>
      <c r="I3124" s="1">
        <v>190</v>
      </c>
      <c r="U3124" s="1">
        <v>241</v>
      </c>
      <c r="X3124" s="1">
        <v>217</v>
      </c>
      <c r="AA3124" s="1">
        <v>13</v>
      </c>
      <c r="AB3124" s="1">
        <v>8</v>
      </c>
      <c r="AC3124" s="1">
        <v>9472</v>
      </c>
      <c r="AF3124" s="3">
        <v>2.1896968998501789</v>
      </c>
      <c r="AG3124" s="3">
        <v>10.386631281163517</v>
      </c>
      <c r="AH3124" s="1">
        <v>6287</v>
      </c>
      <c r="AI3124" s="1" t="b">
        <v>1</v>
      </c>
    </row>
    <row r="3125" spans="1:35" x14ac:dyDescent="0.25">
      <c r="A3125" s="1">
        <v>2</v>
      </c>
      <c r="B3125" s="1">
        <v>7</v>
      </c>
      <c r="C3125" s="1">
        <v>2020</v>
      </c>
      <c r="G3125" s="1" t="s">
        <v>40</v>
      </c>
      <c r="H3125" s="2">
        <v>68.38</v>
      </c>
      <c r="I3125" s="1">
        <v>163</v>
      </c>
      <c r="U3125" s="1">
        <v>228</v>
      </c>
      <c r="X3125" s="1">
        <v>201</v>
      </c>
      <c r="AA3125" s="1">
        <v>16</v>
      </c>
      <c r="AB3125" s="1">
        <v>11</v>
      </c>
      <c r="AC3125" s="1">
        <v>7932</v>
      </c>
      <c r="AF3125" s="3">
        <v>2.3837379350687335</v>
      </c>
      <c r="AG3125" s="3">
        <v>8.0759172367814873</v>
      </c>
      <c r="AH3125" s="1">
        <v>6287</v>
      </c>
      <c r="AI3125" s="1" t="b">
        <v>1</v>
      </c>
    </row>
    <row r="3126" spans="1:35" x14ac:dyDescent="0.25">
      <c r="A3126" s="1">
        <v>2</v>
      </c>
      <c r="B3126" s="1">
        <v>7</v>
      </c>
      <c r="C3126" s="1">
        <v>2020</v>
      </c>
      <c r="G3126" s="1" t="s">
        <v>40</v>
      </c>
      <c r="H3126" s="2">
        <v>72.959999999999994</v>
      </c>
      <c r="I3126" s="1">
        <v>180</v>
      </c>
      <c r="U3126" s="1">
        <v>246</v>
      </c>
      <c r="X3126" s="1">
        <v>223</v>
      </c>
      <c r="AA3126" s="1">
        <v>15</v>
      </c>
      <c r="AB3126" s="1">
        <v>8</v>
      </c>
      <c r="AC3126" s="1">
        <v>7824</v>
      </c>
      <c r="AF3126" s="3">
        <v>2.4671052631578951</v>
      </c>
      <c r="AG3126" s="3">
        <v>8.1652915813545448</v>
      </c>
      <c r="AH3126" s="1">
        <v>6287</v>
      </c>
      <c r="AI3126" s="1" t="b">
        <v>1</v>
      </c>
    </row>
    <row r="3127" spans="1:35" x14ac:dyDescent="0.25">
      <c r="A3127" s="1">
        <v>2</v>
      </c>
      <c r="B3127" s="1">
        <v>7</v>
      </c>
      <c r="C3127" s="1">
        <v>2020</v>
      </c>
      <c r="G3127" s="1" t="s">
        <v>40</v>
      </c>
      <c r="H3127" s="2">
        <v>80</v>
      </c>
      <c r="I3127" s="1">
        <v>178</v>
      </c>
      <c r="U3127" s="1">
        <v>246</v>
      </c>
      <c r="X3127" s="1">
        <v>222</v>
      </c>
      <c r="AA3127" s="1">
        <v>13</v>
      </c>
      <c r="AB3127" s="1">
        <v>10</v>
      </c>
      <c r="AC3127" s="1">
        <v>9359</v>
      </c>
      <c r="AF3127" s="3">
        <v>2.2250000000000001</v>
      </c>
      <c r="AG3127" s="3">
        <v>9.6567941890101139</v>
      </c>
      <c r="AH3127" s="1">
        <v>6287</v>
      </c>
      <c r="AI3127" s="1" t="b">
        <v>1</v>
      </c>
    </row>
    <row r="3128" spans="1:35" x14ac:dyDescent="0.25">
      <c r="A3128" s="1">
        <v>2</v>
      </c>
      <c r="B3128" s="1">
        <v>7</v>
      </c>
      <c r="C3128" s="1">
        <v>2020</v>
      </c>
      <c r="G3128" s="1" t="s">
        <v>40</v>
      </c>
      <c r="H3128" s="2">
        <v>73.03</v>
      </c>
      <c r="I3128" s="1">
        <v>170</v>
      </c>
      <c r="U3128" s="1">
        <v>240</v>
      </c>
      <c r="X3128" s="1">
        <v>210</v>
      </c>
      <c r="AA3128" s="1">
        <v>14</v>
      </c>
      <c r="AB3128" s="1">
        <v>13</v>
      </c>
      <c r="AC3128" s="1">
        <v>8474</v>
      </c>
      <c r="AF3128" s="3">
        <v>2.3278104888402025</v>
      </c>
      <c r="AG3128" s="3">
        <v>8.6597088292805413</v>
      </c>
      <c r="AH3128" s="1">
        <v>6287</v>
      </c>
      <c r="AI3128" s="1" t="b">
        <v>1</v>
      </c>
    </row>
    <row r="3129" spans="1:35" x14ac:dyDescent="0.25">
      <c r="A3129" s="1">
        <v>2</v>
      </c>
      <c r="B3129" s="1">
        <v>7</v>
      </c>
      <c r="C3129" s="1">
        <v>2020</v>
      </c>
      <c r="G3129" s="1" t="s">
        <v>40</v>
      </c>
      <c r="H3129" s="2">
        <v>81.56</v>
      </c>
      <c r="I3129" s="1">
        <v>176</v>
      </c>
      <c r="U3129" s="1">
        <v>226</v>
      </c>
      <c r="X3129" s="1">
        <v>210</v>
      </c>
      <c r="AA3129" s="1">
        <v>12</v>
      </c>
      <c r="AB3129" s="1">
        <v>8</v>
      </c>
      <c r="AC3129" s="1">
        <v>9313</v>
      </c>
      <c r="AF3129" s="3">
        <v>2.1579205492888671</v>
      </c>
      <c r="AG3129" s="3">
        <v>10.092496355775747</v>
      </c>
      <c r="AH3129" s="1">
        <v>6287</v>
      </c>
      <c r="AI3129" s="1" t="b">
        <v>1</v>
      </c>
    </row>
    <row r="3130" spans="1:35" x14ac:dyDescent="0.25">
      <c r="A3130" s="1">
        <v>5</v>
      </c>
      <c r="B3130" s="1">
        <v>7</v>
      </c>
      <c r="C3130" s="1">
        <v>2020</v>
      </c>
      <c r="G3130" s="1" t="s">
        <v>40</v>
      </c>
      <c r="H3130" s="2">
        <v>75.47</v>
      </c>
      <c r="I3130" s="1">
        <v>156</v>
      </c>
      <c r="U3130" s="1">
        <v>228</v>
      </c>
      <c r="X3130" s="1">
        <v>196</v>
      </c>
      <c r="AA3130" s="1">
        <v>17</v>
      </c>
      <c r="AB3130" s="1">
        <v>17</v>
      </c>
      <c r="AC3130" s="1">
        <v>8288</v>
      </c>
      <c r="AF3130" s="3">
        <v>2.0670465085464422</v>
      </c>
      <c r="AG3130" s="3">
        <v>9.9791096952873879</v>
      </c>
      <c r="AH3130" s="1">
        <v>6287</v>
      </c>
      <c r="AI3130" s="1" t="b">
        <v>1</v>
      </c>
    </row>
    <row r="3131" spans="1:35" x14ac:dyDescent="0.25">
      <c r="A3131" s="1">
        <v>5</v>
      </c>
      <c r="B3131" s="1">
        <v>7</v>
      </c>
      <c r="C3131" s="1">
        <v>2020</v>
      </c>
      <c r="G3131" s="1" t="s">
        <v>40</v>
      </c>
      <c r="H3131" s="2">
        <v>78.61</v>
      </c>
      <c r="I3131" s="1">
        <v>179</v>
      </c>
      <c r="U3131" s="1">
        <v>244</v>
      </c>
      <c r="X3131" s="1">
        <v>220</v>
      </c>
      <c r="AA3131" s="1">
        <v>13</v>
      </c>
      <c r="AB3131" s="1">
        <v>14</v>
      </c>
      <c r="AC3131" s="1">
        <v>9464</v>
      </c>
      <c r="AF3131" s="3">
        <v>2.277063986770131</v>
      </c>
      <c r="AG3131" s="3">
        <v>9.320929490162694</v>
      </c>
      <c r="AH3131" s="1">
        <v>6287</v>
      </c>
      <c r="AI3131" s="1" t="b">
        <v>1</v>
      </c>
    </row>
    <row r="3132" spans="1:35" x14ac:dyDescent="0.25">
      <c r="A3132" s="1">
        <v>6</v>
      </c>
      <c r="B3132" s="1">
        <v>7</v>
      </c>
      <c r="C3132" s="1">
        <v>2020</v>
      </c>
      <c r="G3132" s="1" t="s">
        <v>40</v>
      </c>
      <c r="H3132" s="2">
        <v>74.13</v>
      </c>
      <c r="I3132" s="1">
        <v>154</v>
      </c>
      <c r="U3132" s="1">
        <v>209</v>
      </c>
      <c r="X3132" s="1">
        <v>189</v>
      </c>
      <c r="AA3132" s="1">
        <v>14</v>
      </c>
      <c r="AB3132" s="1">
        <v>12</v>
      </c>
      <c r="AC3132" s="1">
        <v>8029</v>
      </c>
      <c r="AF3132" s="3">
        <v>2.0774315391879132</v>
      </c>
      <c r="AG3132" s="3">
        <v>9.8054849935201602</v>
      </c>
      <c r="AH3132" s="1">
        <v>6288</v>
      </c>
      <c r="AI3132" s="1" t="b">
        <v>1</v>
      </c>
    </row>
    <row r="3133" spans="1:35" x14ac:dyDescent="0.25">
      <c r="A3133" s="1">
        <v>7</v>
      </c>
      <c r="B3133" s="1">
        <v>7</v>
      </c>
      <c r="C3133" s="1">
        <v>2020</v>
      </c>
      <c r="G3133" s="1" t="s">
        <v>40</v>
      </c>
      <c r="H3133" s="2">
        <v>70.55</v>
      </c>
      <c r="I3133" s="1">
        <v>158</v>
      </c>
      <c r="U3133" s="1">
        <v>225</v>
      </c>
      <c r="X3133" s="1">
        <v>199</v>
      </c>
      <c r="AA3133" s="1">
        <v>16</v>
      </c>
      <c r="AB3133" s="1">
        <v>15</v>
      </c>
      <c r="AC3133" s="1">
        <v>7606</v>
      </c>
      <c r="AF3133" s="3">
        <v>2.23954642097803</v>
      </c>
      <c r="AG3133" s="3">
        <v>8.7859321242603112</v>
      </c>
      <c r="AH3133" s="1">
        <v>6288</v>
      </c>
      <c r="AI3133" s="1" t="b">
        <v>1</v>
      </c>
    </row>
    <row r="3134" spans="1:35" x14ac:dyDescent="0.25">
      <c r="A3134" s="1">
        <v>7</v>
      </c>
      <c r="B3134" s="1">
        <v>7</v>
      </c>
      <c r="C3134" s="1">
        <v>2020</v>
      </c>
      <c r="G3134" s="1" t="s">
        <v>40</v>
      </c>
      <c r="H3134" s="2">
        <v>72.47</v>
      </c>
      <c r="I3134" s="1">
        <v>161</v>
      </c>
      <c r="U3134" s="1">
        <v>212</v>
      </c>
      <c r="X3134" s="1">
        <v>197</v>
      </c>
      <c r="AA3134" s="1">
        <v>14</v>
      </c>
      <c r="AB3134" s="1">
        <v>10</v>
      </c>
      <c r="AC3134" s="1">
        <v>8444</v>
      </c>
      <c r="AF3134" s="3">
        <v>2.2216089416310196</v>
      </c>
      <c r="AG3134" s="3">
        <v>9.0249159966170502</v>
      </c>
      <c r="AH3134" s="1">
        <v>6288</v>
      </c>
      <c r="AI3134" s="1" t="b">
        <v>1</v>
      </c>
    </row>
    <row r="3135" spans="1:35" x14ac:dyDescent="0.25">
      <c r="A3135" s="1">
        <v>8</v>
      </c>
      <c r="B3135" s="1">
        <v>7</v>
      </c>
      <c r="C3135" s="1">
        <v>2020</v>
      </c>
      <c r="G3135" s="1" t="s">
        <v>40</v>
      </c>
      <c r="H3135" s="2">
        <v>82.93</v>
      </c>
      <c r="I3135" s="1">
        <v>190</v>
      </c>
      <c r="U3135" s="1">
        <v>243</v>
      </c>
      <c r="X3135" s="1">
        <v>221</v>
      </c>
      <c r="AA3135" s="1">
        <v>13</v>
      </c>
      <c r="AB3135" s="1">
        <v>7</v>
      </c>
      <c r="AC3135" s="1">
        <v>8920</v>
      </c>
      <c r="AF3135" s="3">
        <v>2.291088870131436</v>
      </c>
      <c r="AG3135" s="3">
        <v>9.6173679101467044</v>
      </c>
      <c r="AH3135" s="1">
        <v>6288</v>
      </c>
      <c r="AI3135" s="1" t="b">
        <v>1</v>
      </c>
    </row>
    <row r="3136" spans="1:35" x14ac:dyDescent="0.25">
      <c r="A3136" s="1">
        <v>8</v>
      </c>
      <c r="B3136" s="1">
        <v>7</v>
      </c>
      <c r="C3136" s="1">
        <v>2020</v>
      </c>
      <c r="G3136" s="1" t="s">
        <v>40</v>
      </c>
      <c r="H3136" s="2">
        <v>73.13</v>
      </c>
      <c r="I3136" s="1">
        <v>170</v>
      </c>
      <c r="U3136" s="1">
        <v>229</v>
      </c>
      <c r="X3136" s="1">
        <v>209</v>
      </c>
      <c r="AA3136" s="1">
        <v>15</v>
      </c>
      <c r="AB3136" s="1">
        <v>10</v>
      </c>
      <c r="AC3136" s="1">
        <v>7649</v>
      </c>
      <c r="AF3136" s="3">
        <v>2.3246273759059211</v>
      </c>
      <c r="AG3136" s="3">
        <v>8.6798766499028606</v>
      </c>
      <c r="AH3136" s="1">
        <v>6288</v>
      </c>
      <c r="AI3136" s="1" t="b">
        <v>1</v>
      </c>
    </row>
    <row r="3137" spans="1:35" x14ac:dyDescent="0.25">
      <c r="A3137" s="1">
        <v>8</v>
      </c>
      <c r="B3137" s="1">
        <v>7</v>
      </c>
      <c r="C3137" s="1">
        <v>2020</v>
      </c>
      <c r="G3137" s="1" t="s">
        <v>40</v>
      </c>
      <c r="H3137" s="2">
        <v>76.760000000000005</v>
      </c>
      <c r="I3137" s="1">
        <v>186</v>
      </c>
      <c r="U3137" s="1">
        <v>250</v>
      </c>
      <c r="X3137" s="1">
        <v>227</v>
      </c>
      <c r="AA3137" s="1">
        <v>15</v>
      </c>
      <c r="AB3137" s="1">
        <v>10</v>
      </c>
      <c r="AC3137" s="1">
        <v>8783</v>
      </c>
      <c r="AF3137" s="3">
        <v>2.4231370505471599</v>
      </c>
      <c r="AG3137" s="3">
        <v>8.614230691108741</v>
      </c>
      <c r="AH3137" s="1">
        <v>6288</v>
      </c>
      <c r="AI3137" s="1" t="b">
        <v>1</v>
      </c>
    </row>
    <row r="3138" spans="1:35" x14ac:dyDescent="0.25">
      <c r="A3138" s="1">
        <v>9</v>
      </c>
      <c r="B3138" s="1">
        <v>7</v>
      </c>
      <c r="C3138" s="1">
        <v>2020</v>
      </c>
      <c r="G3138" s="1" t="s">
        <v>40</v>
      </c>
      <c r="H3138" s="2">
        <v>76.33</v>
      </c>
      <c r="I3138" s="1">
        <v>167</v>
      </c>
      <c r="U3138" s="1">
        <v>232</v>
      </c>
      <c r="X3138" s="1">
        <v>208</v>
      </c>
      <c r="AA3138" s="1">
        <v>15</v>
      </c>
      <c r="AB3138" s="1">
        <v>12</v>
      </c>
      <c r="AC3138" s="1">
        <v>8500</v>
      </c>
      <c r="AF3138" s="3">
        <v>2.1878684658718721</v>
      </c>
      <c r="AG3138" s="3">
        <v>9.5031038420502991</v>
      </c>
      <c r="AH3138" s="1">
        <v>6288</v>
      </c>
      <c r="AI3138" s="1" t="b">
        <v>1</v>
      </c>
    </row>
    <row r="3139" spans="1:35" x14ac:dyDescent="0.25">
      <c r="A3139" s="1">
        <v>9</v>
      </c>
      <c r="B3139" s="1">
        <v>7</v>
      </c>
      <c r="C3139" s="1">
        <v>2020</v>
      </c>
      <c r="G3139" s="1" t="s">
        <v>40</v>
      </c>
      <c r="H3139" s="2">
        <v>73.680000000000007</v>
      </c>
      <c r="I3139" s="1">
        <v>161</v>
      </c>
      <c r="U3139" s="1">
        <v>217</v>
      </c>
      <c r="X3139" s="1">
        <v>195</v>
      </c>
      <c r="AA3139" s="1">
        <v>13</v>
      </c>
      <c r="AB3139" s="1">
        <v>11</v>
      </c>
      <c r="AC3139" s="1">
        <v>7987</v>
      </c>
      <c r="AF3139" s="3">
        <v>2.1851248642779586</v>
      </c>
      <c r="AG3139" s="3">
        <v>9.2825751352393571</v>
      </c>
      <c r="AH3139" s="1">
        <v>6288</v>
      </c>
      <c r="AI3139" s="1" t="b">
        <v>1</v>
      </c>
    </row>
    <row r="3140" spans="1:35" x14ac:dyDescent="0.25">
      <c r="A3140" s="1">
        <v>9</v>
      </c>
      <c r="B3140" s="1">
        <v>7</v>
      </c>
      <c r="C3140" s="1">
        <v>2020</v>
      </c>
      <c r="G3140" s="1" t="s">
        <v>40</v>
      </c>
      <c r="H3140" s="2">
        <v>73.97</v>
      </c>
      <c r="I3140" s="1">
        <v>182</v>
      </c>
      <c r="U3140" s="1">
        <v>239</v>
      </c>
      <c r="X3140" s="1">
        <v>217</v>
      </c>
      <c r="AA3140" s="1">
        <v>12</v>
      </c>
      <c r="AB3140" s="1">
        <v>9</v>
      </c>
      <c r="AC3140" s="1">
        <v>7879</v>
      </c>
      <c r="AF3140" s="3">
        <v>2.4604569420035149</v>
      </c>
      <c r="AG3140" s="3">
        <v>8.2665284321264316</v>
      </c>
      <c r="AH3140" s="1">
        <v>6288</v>
      </c>
      <c r="AI3140" s="1" t="b">
        <v>1</v>
      </c>
    </row>
    <row r="3141" spans="1:35" x14ac:dyDescent="0.25">
      <c r="A3141" s="1">
        <v>9</v>
      </c>
      <c r="B3141" s="1">
        <v>7</v>
      </c>
      <c r="C3141" s="1">
        <v>2020</v>
      </c>
      <c r="G3141" s="1" t="s">
        <v>40</v>
      </c>
      <c r="H3141" s="2">
        <v>86.18</v>
      </c>
      <c r="I3141" s="1">
        <v>205</v>
      </c>
      <c r="U3141" s="1">
        <v>269</v>
      </c>
      <c r="X3141" s="1">
        <v>242</v>
      </c>
      <c r="AA3141" s="1">
        <v>13</v>
      </c>
      <c r="AB3141" s="1">
        <v>9</v>
      </c>
      <c r="AC3141" s="1">
        <v>9558</v>
      </c>
      <c r="AF3141" s="3">
        <v>2.3787421675562772</v>
      </c>
      <c r="AG3141" s="3">
        <v>9.515621776396479</v>
      </c>
      <c r="AH3141" s="1">
        <v>6288</v>
      </c>
      <c r="AI3141" s="1" t="b">
        <v>1</v>
      </c>
    </row>
    <row r="3142" spans="1:35" x14ac:dyDescent="0.25">
      <c r="A3142" s="1">
        <v>9</v>
      </c>
      <c r="B3142" s="1">
        <v>7</v>
      </c>
      <c r="C3142" s="1">
        <v>2020</v>
      </c>
      <c r="G3142" s="1" t="s">
        <v>40</v>
      </c>
      <c r="H3142" s="2">
        <v>76.569999999999993</v>
      </c>
      <c r="I3142" s="1">
        <v>152</v>
      </c>
      <c r="U3142" s="1">
        <v>223</v>
      </c>
      <c r="X3142" s="1">
        <v>199</v>
      </c>
      <c r="AA3142" s="1">
        <v>18</v>
      </c>
      <c r="AB3142" s="1">
        <v>19</v>
      </c>
      <c r="AC3142" s="1">
        <v>8913</v>
      </c>
      <c r="AF3142" s="3">
        <v>1.9851116625310175</v>
      </c>
      <c r="AG3142" s="3">
        <v>10.496780413586835</v>
      </c>
      <c r="AH3142" s="1">
        <v>6288</v>
      </c>
      <c r="AI3142" s="1" t="b">
        <v>1</v>
      </c>
    </row>
    <row r="3143" spans="1:35" x14ac:dyDescent="0.25">
      <c r="A3143" s="1">
        <v>11</v>
      </c>
      <c r="B3143" s="1">
        <v>7</v>
      </c>
      <c r="C3143" s="1">
        <v>2020</v>
      </c>
      <c r="G3143" s="1" t="s">
        <v>40</v>
      </c>
      <c r="H3143" s="2">
        <v>83.6</v>
      </c>
      <c r="I3143" s="1">
        <v>178</v>
      </c>
      <c r="U3143" s="1">
        <v>253</v>
      </c>
      <c r="X3143" s="1">
        <v>224</v>
      </c>
      <c r="AA3143" s="1">
        <v>16</v>
      </c>
      <c r="AB3143" s="1">
        <v>13</v>
      </c>
      <c r="AC3143" s="1">
        <v>9209</v>
      </c>
      <c r="AF3143" s="3">
        <v>2.1291866028708135</v>
      </c>
      <c r="AG3143" s="3">
        <v>10.407122566107782</v>
      </c>
      <c r="AH3143" s="1">
        <v>6288</v>
      </c>
      <c r="AI3143" s="1" t="b">
        <v>1</v>
      </c>
    </row>
    <row r="3144" spans="1:35" x14ac:dyDescent="0.25">
      <c r="A3144" s="1">
        <v>12</v>
      </c>
      <c r="B3144" s="1">
        <v>7</v>
      </c>
      <c r="C3144" s="1">
        <v>2020</v>
      </c>
      <c r="G3144" s="1" t="s">
        <v>40</v>
      </c>
      <c r="H3144" s="2">
        <v>72.69</v>
      </c>
      <c r="I3144" s="1">
        <v>166</v>
      </c>
      <c r="U3144" s="1">
        <v>243</v>
      </c>
      <c r="X3144" s="1">
        <v>210</v>
      </c>
      <c r="AA3144" s="1">
        <v>16</v>
      </c>
      <c r="AB3144" s="1">
        <v>12</v>
      </c>
      <c r="AC3144" s="1">
        <v>8038</v>
      </c>
      <c r="AF3144" s="3">
        <v>2.2836703810702987</v>
      </c>
      <c r="AG3144" s="3">
        <v>8.7983016768119651</v>
      </c>
      <c r="AH3144" s="1">
        <v>6288</v>
      </c>
      <c r="AI3144" s="1" t="b">
        <v>1</v>
      </c>
    </row>
    <row r="3145" spans="1:35" x14ac:dyDescent="0.25">
      <c r="A3145" s="1">
        <v>12</v>
      </c>
      <c r="B3145" s="1">
        <v>7</v>
      </c>
      <c r="C3145" s="1">
        <v>2020</v>
      </c>
      <c r="G3145" s="1" t="s">
        <v>40</v>
      </c>
      <c r="H3145" s="2">
        <v>78.03</v>
      </c>
      <c r="I3145" s="1">
        <v>193</v>
      </c>
      <c r="U3145" s="1">
        <v>248</v>
      </c>
      <c r="X3145" s="1">
        <v>224</v>
      </c>
      <c r="AA3145" s="1">
        <v>10</v>
      </c>
      <c r="AB3145" s="1">
        <v>7</v>
      </c>
      <c r="AC3145" s="1">
        <v>9098</v>
      </c>
      <c r="AF3145" s="3">
        <v>2.4734076637190823</v>
      </c>
      <c r="AG3145" s="3">
        <v>8.536648956264786</v>
      </c>
      <c r="AH3145" s="1">
        <v>6288</v>
      </c>
      <c r="AI3145" s="1" t="b">
        <v>1</v>
      </c>
    </row>
    <row r="3146" spans="1:35" x14ac:dyDescent="0.25">
      <c r="A3146" s="1">
        <v>12</v>
      </c>
      <c r="B3146" s="1">
        <v>7</v>
      </c>
      <c r="C3146" s="1">
        <v>2020</v>
      </c>
      <c r="G3146" s="1" t="s">
        <v>40</v>
      </c>
      <c r="H3146" s="2">
        <v>67.010000000000005</v>
      </c>
      <c r="I3146" s="1">
        <v>152</v>
      </c>
      <c r="U3146" s="1">
        <v>216</v>
      </c>
      <c r="X3146" s="1">
        <v>191</v>
      </c>
      <c r="AA3146" s="1">
        <v>15</v>
      </c>
      <c r="AB3146" s="1">
        <v>13</v>
      </c>
      <c r="AC3146" s="1">
        <v>7700</v>
      </c>
      <c r="AF3146" s="3">
        <v>2.2683181614684376</v>
      </c>
      <c r="AG3146" s="3">
        <v>8.3674622662163856</v>
      </c>
      <c r="AH3146" s="1">
        <v>6288</v>
      </c>
      <c r="AI3146" s="1" t="b">
        <v>1</v>
      </c>
    </row>
    <row r="3147" spans="1:35" x14ac:dyDescent="0.25">
      <c r="A3147" s="1">
        <v>12</v>
      </c>
      <c r="B3147" s="1">
        <v>7</v>
      </c>
      <c r="C3147" s="1">
        <v>2020</v>
      </c>
      <c r="G3147" s="1" t="s">
        <v>40</v>
      </c>
      <c r="H3147" s="2">
        <v>65.56</v>
      </c>
      <c r="I3147" s="1">
        <v>165</v>
      </c>
      <c r="U3147" s="1">
        <v>206</v>
      </c>
      <c r="X3147" s="1">
        <v>191</v>
      </c>
      <c r="AA3147" s="1">
        <v>10</v>
      </c>
      <c r="AB3147" s="1">
        <v>8</v>
      </c>
      <c r="AC3147" s="1">
        <v>6733</v>
      </c>
      <c r="AF3147" s="3">
        <v>2.5167785234899327</v>
      </c>
      <c r="AG3147" s="3">
        <v>7.4268091211320568</v>
      </c>
      <c r="AH3147" s="1">
        <v>6288</v>
      </c>
      <c r="AI3147" s="1" t="b">
        <v>1</v>
      </c>
    </row>
    <row r="3148" spans="1:35" x14ac:dyDescent="0.25">
      <c r="A3148" s="1">
        <v>12</v>
      </c>
      <c r="B3148" s="1">
        <v>7</v>
      </c>
      <c r="C3148" s="1">
        <v>2020</v>
      </c>
      <c r="G3148" s="1" t="s">
        <v>40</v>
      </c>
      <c r="H3148" s="2">
        <v>77.53</v>
      </c>
      <c r="I3148" s="1">
        <v>176</v>
      </c>
      <c r="U3148" s="1">
        <v>239</v>
      </c>
      <c r="X3148" s="1">
        <v>208</v>
      </c>
      <c r="AA3148" s="1">
        <v>13</v>
      </c>
      <c r="AB3148" s="1">
        <v>7</v>
      </c>
      <c r="AC3148" s="1">
        <v>8778</v>
      </c>
      <c r="AF3148" s="3">
        <v>2.2700889978073002</v>
      </c>
      <c r="AG3148" s="3">
        <v>9.2594665032119128</v>
      </c>
      <c r="AH3148" s="1">
        <v>6288</v>
      </c>
      <c r="AI3148" s="1" t="b">
        <v>1</v>
      </c>
    </row>
    <row r="3149" spans="1:35" x14ac:dyDescent="0.25">
      <c r="A3149" s="1">
        <v>12</v>
      </c>
      <c r="B3149" s="1">
        <v>7</v>
      </c>
      <c r="C3149" s="1">
        <v>2020</v>
      </c>
      <c r="G3149" s="1" t="s">
        <v>40</v>
      </c>
      <c r="H3149" s="2">
        <v>71.86</v>
      </c>
      <c r="I3149" s="1">
        <v>159</v>
      </c>
      <c r="U3149" s="1">
        <v>223</v>
      </c>
      <c r="X3149" s="1">
        <v>199</v>
      </c>
      <c r="AA3149" s="1">
        <v>15</v>
      </c>
      <c r="AB3149" s="1">
        <v>17</v>
      </c>
      <c r="AC3149" s="1">
        <v>7980</v>
      </c>
      <c r="AF3149" s="3">
        <v>2.2126356804898415</v>
      </c>
      <c r="AG3149" s="3">
        <v>9.0080572482519994</v>
      </c>
      <c r="AH3149" s="1">
        <v>6288</v>
      </c>
      <c r="AI3149" s="1" t="b">
        <v>1</v>
      </c>
    </row>
    <row r="3150" spans="1:35" x14ac:dyDescent="0.25">
      <c r="A3150" s="1">
        <v>16</v>
      </c>
      <c r="B3150" s="1">
        <v>7</v>
      </c>
      <c r="C3150" s="1">
        <v>2020</v>
      </c>
      <c r="G3150" s="1" t="s">
        <v>40</v>
      </c>
      <c r="H3150" s="2">
        <v>65.13</v>
      </c>
      <c r="I3150" s="1">
        <v>170</v>
      </c>
      <c r="U3150" s="1">
        <v>208</v>
      </c>
      <c r="X3150" s="1">
        <v>191</v>
      </c>
      <c r="AA3150" s="1">
        <v>8</v>
      </c>
      <c r="AB3150" s="1">
        <v>8</v>
      </c>
      <c r="AC3150" s="1">
        <v>7162</v>
      </c>
      <c r="AF3150" s="3">
        <v>2.6101642868109938</v>
      </c>
      <c r="AG3150" s="3">
        <v>7.1281841623161952</v>
      </c>
      <c r="AH3150" s="1">
        <v>6289</v>
      </c>
      <c r="AI3150" s="1" t="b">
        <v>1</v>
      </c>
    </row>
    <row r="3151" spans="1:35" x14ac:dyDescent="0.25">
      <c r="A3151" s="1">
        <v>16</v>
      </c>
      <c r="B3151" s="1">
        <v>7</v>
      </c>
      <c r="C3151" s="1">
        <v>2020</v>
      </c>
      <c r="G3151" s="1" t="s">
        <v>40</v>
      </c>
      <c r="H3151" s="2">
        <v>79.44</v>
      </c>
      <c r="I3151" s="1">
        <v>203</v>
      </c>
      <c r="U3151" s="1">
        <v>255</v>
      </c>
      <c r="X3151" s="1">
        <v>236</v>
      </c>
      <c r="AA3151" s="1">
        <v>12</v>
      </c>
      <c r="AB3151" s="1">
        <v>11</v>
      </c>
      <c r="AC3151" s="1">
        <v>8831</v>
      </c>
      <c r="AF3151" s="3">
        <v>2.5553877139979861</v>
      </c>
      <c r="AG3151" s="3">
        <v>8.3670172125892712</v>
      </c>
      <c r="AH3151" s="1">
        <v>6289</v>
      </c>
      <c r="AI3151" s="1" t="b">
        <v>1</v>
      </c>
    </row>
    <row r="3152" spans="1:35" x14ac:dyDescent="0.25">
      <c r="A3152" s="1">
        <v>16</v>
      </c>
      <c r="B3152" s="1">
        <v>7</v>
      </c>
      <c r="C3152" s="1">
        <v>2020</v>
      </c>
      <c r="G3152" s="1" t="s">
        <v>40</v>
      </c>
      <c r="H3152" s="2">
        <v>71.67</v>
      </c>
      <c r="I3152" s="1">
        <v>174</v>
      </c>
      <c r="U3152" s="1">
        <v>229</v>
      </c>
      <c r="X3152" s="1">
        <v>203</v>
      </c>
      <c r="AA3152" s="1">
        <v>13</v>
      </c>
      <c r="AB3152" s="1">
        <v>9</v>
      </c>
      <c r="AC3152" s="1">
        <v>7545</v>
      </c>
      <c r="AF3152" s="3">
        <v>2.4277940560904145</v>
      </c>
      <c r="AG3152" s="3">
        <v>8.1945354681150455</v>
      </c>
      <c r="AH3152" s="1">
        <v>6289</v>
      </c>
      <c r="AI3152" s="1" t="b">
        <v>1</v>
      </c>
    </row>
    <row r="3153" spans="1:35" x14ac:dyDescent="0.25">
      <c r="A3153" s="1">
        <v>16</v>
      </c>
      <c r="B3153" s="1">
        <v>7</v>
      </c>
      <c r="C3153" s="1">
        <v>2020</v>
      </c>
      <c r="G3153" s="1" t="s">
        <v>40</v>
      </c>
      <c r="H3153" s="2">
        <v>65.03</v>
      </c>
      <c r="I3153" s="1">
        <v>142</v>
      </c>
      <c r="U3153" s="1">
        <v>200</v>
      </c>
      <c r="X3153" s="1">
        <v>175</v>
      </c>
      <c r="AA3153" s="1">
        <v>15</v>
      </c>
      <c r="AB3153" s="1">
        <v>15</v>
      </c>
      <c r="AC3153" s="1">
        <v>6913</v>
      </c>
      <c r="AF3153" s="3">
        <v>2.1836075657388898</v>
      </c>
      <c r="AG3153" s="3">
        <v>8.5114791070513274</v>
      </c>
      <c r="AH3153" s="1">
        <v>6289</v>
      </c>
      <c r="AI3153" s="1" t="b">
        <v>1</v>
      </c>
    </row>
    <row r="3154" spans="1:35" x14ac:dyDescent="0.25">
      <c r="A3154" s="1">
        <v>17</v>
      </c>
      <c r="B3154" s="1">
        <v>7</v>
      </c>
      <c r="C3154" s="1">
        <v>2020</v>
      </c>
      <c r="G3154" s="1" t="s">
        <v>40</v>
      </c>
      <c r="H3154" s="2">
        <v>78.27</v>
      </c>
      <c r="I3154" s="1">
        <v>152</v>
      </c>
      <c r="U3154" s="1">
        <v>222</v>
      </c>
      <c r="X3154" s="1">
        <v>194</v>
      </c>
      <c r="AA3154" s="1">
        <v>16</v>
      </c>
      <c r="AB3154" s="1">
        <v>18</v>
      </c>
      <c r="AC3154" s="1">
        <v>8496</v>
      </c>
      <c r="AF3154" s="3">
        <v>1.9419956560623484</v>
      </c>
      <c r="AG3154" s="3">
        <v>10.896034747781162</v>
      </c>
      <c r="AH3154" s="1">
        <v>6289</v>
      </c>
      <c r="AI3154" s="1" t="b">
        <v>1</v>
      </c>
    </row>
    <row r="3155" spans="1:35" x14ac:dyDescent="0.25">
      <c r="A3155" s="1">
        <v>17</v>
      </c>
      <c r="B3155" s="1">
        <v>7</v>
      </c>
      <c r="C3155" s="1">
        <v>2020</v>
      </c>
      <c r="G3155" s="1" t="s">
        <v>40</v>
      </c>
      <c r="H3155" s="2">
        <v>75.099999999999994</v>
      </c>
      <c r="I3155" s="1">
        <v>185</v>
      </c>
      <c r="U3155" s="1">
        <v>237</v>
      </c>
      <c r="X3155" s="1">
        <v>215</v>
      </c>
      <c r="AA3155" s="1">
        <v>12</v>
      </c>
      <c r="AB3155" s="1">
        <v>12</v>
      </c>
      <c r="AC3155" s="1">
        <v>7896</v>
      </c>
      <c r="AF3155" s="3">
        <v>2.463382157123835</v>
      </c>
      <c r="AG3155" s="3">
        <v>8.3448044598895823</v>
      </c>
      <c r="AH3155" s="1">
        <v>6289</v>
      </c>
      <c r="AI3155" s="1" t="b">
        <v>1</v>
      </c>
    </row>
    <row r="3156" spans="1:35" x14ac:dyDescent="0.25">
      <c r="A3156" s="1">
        <v>17</v>
      </c>
      <c r="B3156" s="1">
        <v>7</v>
      </c>
      <c r="C3156" s="1">
        <v>2020</v>
      </c>
      <c r="G3156" s="1" t="s">
        <v>40</v>
      </c>
      <c r="H3156" s="2">
        <v>82.65</v>
      </c>
      <c r="I3156" s="1">
        <v>185</v>
      </c>
      <c r="U3156" s="1">
        <v>234</v>
      </c>
      <c r="X3156" s="1">
        <v>216</v>
      </c>
      <c r="AA3156" s="1">
        <v>13</v>
      </c>
      <c r="AB3156" s="1">
        <v>10</v>
      </c>
      <c r="AC3156" s="1">
        <v>8674</v>
      </c>
      <c r="AF3156" s="3">
        <v>2.2383545069570476</v>
      </c>
      <c r="AG3156" s="3">
        <v>9.8206702752810635</v>
      </c>
      <c r="AH3156" s="1">
        <v>6289</v>
      </c>
      <c r="AI3156" s="1" t="b">
        <v>1</v>
      </c>
    </row>
    <row r="3157" spans="1:35" x14ac:dyDescent="0.25">
      <c r="A3157" s="1">
        <v>17</v>
      </c>
      <c r="B3157" s="1">
        <v>7</v>
      </c>
      <c r="C3157" s="1">
        <v>2020</v>
      </c>
      <c r="G3157" s="1" t="s">
        <v>40</v>
      </c>
      <c r="H3157" s="2">
        <v>73.56</v>
      </c>
      <c r="I3157" s="1">
        <v>179</v>
      </c>
      <c r="U3157" s="1">
        <v>247</v>
      </c>
      <c r="X3157" s="1">
        <v>218</v>
      </c>
      <c r="AA3157" s="1">
        <v>15</v>
      </c>
      <c r="AB3157" s="1">
        <v>12</v>
      </c>
      <c r="AC3157" s="1">
        <v>8075</v>
      </c>
      <c r="AF3157" s="3">
        <v>2.4333877107123434</v>
      </c>
      <c r="AG3157" s="3">
        <v>8.3260285160815037</v>
      </c>
      <c r="AH3157" s="1">
        <v>6289</v>
      </c>
      <c r="AI3157" s="1" t="b">
        <v>1</v>
      </c>
    </row>
    <row r="3158" spans="1:35" x14ac:dyDescent="0.25">
      <c r="A3158" s="1">
        <v>17</v>
      </c>
      <c r="B3158" s="1">
        <v>7</v>
      </c>
      <c r="C3158" s="1">
        <v>2020</v>
      </c>
      <c r="G3158" s="1" t="s">
        <v>40</v>
      </c>
      <c r="H3158" s="2">
        <v>80.08</v>
      </c>
      <c r="I3158" s="1">
        <v>214</v>
      </c>
      <c r="U3158" s="1">
        <v>271</v>
      </c>
      <c r="X3158" s="1">
        <v>243</v>
      </c>
      <c r="AA3158" s="1">
        <v>11</v>
      </c>
      <c r="AB3158" s="1">
        <v>6</v>
      </c>
      <c r="AC3158" s="1">
        <v>8563</v>
      </c>
      <c r="AF3158" s="3">
        <v>2.6723276723276723</v>
      </c>
      <c r="AG3158" s="3">
        <v>8.0459464215618013</v>
      </c>
      <c r="AH3158" s="1">
        <v>6289</v>
      </c>
      <c r="AI3158" s="1" t="b">
        <v>1</v>
      </c>
    </row>
    <row r="3159" spans="1:35" x14ac:dyDescent="0.25">
      <c r="A3159" s="1">
        <v>17</v>
      </c>
      <c r="B3159" s="1">
        <v>7</v>
      </c>
      <c r="C3159" s="1">
        <v>2020</v>
      </c>
      <c r="G3159" s="1" t="s">
        <v>40</v>
      </c>
      <c r="H3159" s="2">
        <v>73.09</v>
      </c>
      <c r="I3159" s="1">
        <v>172</v>
      </c>
      <c r="U3159" s="1">
        <v>233</v>
      </c>
      <c r="X3159" s="1">
        <v>211</v>
      </c>
      <c r="AA3159" s="1">
        <v>13</v>
      </c>
      <c r="AB3159" s="1">
        <v>8</v>
      </c>
      <c r="AC3159" s="1">
        <v>8277</v>
      </c>
      <c r="AF3159" s="3">
        <v>2.3532631002873168</v>
      </c>
      <c r="AG3159" s="3">
        <v>8.5709722360621932</v>
      </c>
      <c r="AH3159" s="1">
        <v>6289</v>
      </c>
      <c r="AI3159" s="1" t="b">
        <v>1</v>
      </c>
    </row>
    <row r="3160" spans="1:35" x14ac:dyDescent="0.25">
      <c r="A3160" s="1">
        <v>17</v>
      </c>
      <c r="B3160" s="1">
        <v>7</v>
      </c>
      <c r="C3160" s="1">
        <v>2020</v>
      </c>
      <c r="G3160" s="1" t="s">
        <v>40</v>
      </c>
      <c r="H3160" s="2">
        <v>65.430000000000007</v>
      </c>
      <c r="I3160" s="1">
        <v>143</v>
      </c>
      <c r="U3160" s="1">
        <v>204</v>
      </c>
      <c r="X3160" s="1">
        <v>185</v>
      </c>
      <c r="AA3160" s="1">
        <v>14</v>
      </c>
      <c r="AB3160" s="1">
        <v>12</v>
      </c>
      <c r="AC3160" s="1">
        <v>7774</v>
      </c>
      <c r="AF3160" s="3">
        <v>2.1855418003973712</v>
      </c>
      <c r="AG3160" s="3">
        <v>8.5405281217171627</v>
      </c>
      <c r="AH3160" s="1">
        <v>6289</v>
      </c>
      <c r="AI3160" s="1" t="b">
        <v>1</v>
      </c>
    </row>
    <row r="3161" spans="1:35" x14ac:dyDescent="0.25">
      <c r="A3161" s="1">
        <v>19</v>
      </c>
      <c r="B3161" s="1">
        <v>7</v>
      </c>
      <c r="C3161" s="1">
        <v>2020</v>
      </c>
      <c r="G3161" s="1" t="s">
        <v>40</v>
      </c>
      <c r="H3161" s="2">
        <v>77.19</v>
      </c>
      <c r="I3161" s="1">
        <v>175</v>
      </c>
      <c r="U3161" s="1">
        <v>240</v>
      </c>
      <c r="X3161" s="1">
        <v>214</v>
      </c>
      <c r="AA3161" s="1">
        <v>15</v>
      </c>
      <c r="AB3161" s="1">
        <v>11</v>
      </c>
      <c r="AC3161" s="1">
        <v>8333</v>
      </c>
      <c r="AF3161" s="3">
        <v>2.2671330483223215</v>
      </c>
      <c r="AG3161" s="3">
        <v>9.2430589079418972</v>
      </c>
      <c r="AH3161" s="1">
        <v>6289</v>
      </c>
      <c r="AI3161" s="1" t="b">
        <v>1</v>
      </c>
    </row>
    <row r="3162" spans="1:35" x14ac:dyDescent="0.25">
      <c r="A3162" s="1">
        <v>19</v>
      </c>
      <c r="B3162" s="1">
        <v>7</v>
      </c>
      <c r="C3162" s="1">
        <v>2020</v>
      </c>
      <c r="G3162" s="1" t="s">
        <v>40</v>
      </c>
      <c r="H3162" s="2">
        <v>71.17</v>
      </c>
      <c r="I3162" s="1">
        <v>178</v>
      </c>
      <c r="U3162" s="1">
        <v>240</v>
      </c>
      <c r="X3162" s="1">
        <v>217</v>
      </c>
      <c r="AA3162" s="1">
        <v>16</v>
      </c>
      <c r="AB3162" s="1">
        <v>10</v>
      </c>
      <c r="AC3162" s="1">
        <v>8630</v>
      </c>
      <c r="AF3162" s="3">
        <v>2.5010538148096106</v>
      </c>
      <c r="AG3162" s="3">
        <v>7.9156182220829043</v>
      </c>
      <c r="AH3162" s="1">
        <v>6289</v>
      </c>
      <c r="AI3162" s="1" t="b">
        <v>1</v>
      </c>
    </row>
    <row r="3163" spans="1:35" x14ac:dyDescent="0.25">
      <c r="A3163" s="1">
        <v>19</v>
      </c>
      <c r="B3163" s="1">
        <v>7</v>
      </c>
      <c r="C3163" s="1">
        <v>2020</v>
      </c>
      <c r="G3163" s="1" t="s">
        <v>40</v>
      </c>
      <c r="H3163" s="2">
        <v>84.92</v>
      </c>
      <c r="I3163" s="1">
        <v>183</v>
      </c>
      <c r="U3163" s="1">
        <v>247</v>
      </c>
      <c r="X3163" s="1">
        <v>222</v>
      </c>
      <c r="AA3163" s="1">
        <v>15</v>
      </c>
      <c r="AB3163" s="1">
        <v>11</v>
      </c>
      <c r="AC3163" s="1">
        <v>9699</v>
      </c>
      <c r="AF3163" s="3">
        <v>2.1549693829486576</v>
      </c>
      <c r="AG3163" s="3">
        <v>10.395990778740957</v>
      </c>
      <c r="AH3163" s="1">
        <v>6289</v>
      </c>
      <c r="AI3163" s="1" t="b">
        <v>1</v>
      </c>
    </row>
    <row r="3164" spans="1:35" x14ac:dyDescent="0.25">
      <c r="A3164" s="1">
        <v>20</v>
      </c>
      <c r="B3164" s="1">
        <v>7</v>
      </c>
      <c r="C3164" s="1">
        <v>2020</v>
      </c>
      <c r="G3164" s="1" t="s">
        <v>40</v>
      </c>
      <c r="H3164" s="2">
        <v>69.06</v>
      </c>
      <c r="I3164" s="1">
        <v>148</v>
      </c>
      <c r="U3164" s="1">
        <v>218</v>
      </c>
      <c r="X3164" s="1">
        <v>194</v>
      </c>
      <c r="AA3164" s="1">
        <v>17</v>
      </c>
      <c r="AB3164" s="1">
        <v>16</v>
      </c>
      <c r="AC3164" s="1">
        <v>7748</v>
      </c>
      <c r="AF3164" s="3">
        <v>2.1430640023168257</v>
      </c>
      <c r="AG3164" s="3">
        <v>9.045310101597142</v>
      </c>
      <c r="AH3164" s="1">
        <v>6290</v>
      </c>
      <c r="AI3164" s="1" t="b">
        <v>1</v>
      </c>
    </row>
    <row r="3165" spans="1:35" x14ac:dyDescent="0.25">
      <c r="A3165" s="1">
        <v>20</v>
      </c>
      <c r="B3165" s="1">
        <v>7</v>
      </c>
      <c r="C3165" s="1">
        <v>2020</v>
      </c>
      <c r="G3165" s="1" t="s">
        <v>40</v>
      </c>
      <c r="H3165" s="2">
        <v>79.59</v>
      </c>
      <c r="I3165" s="1">
        <v>183</v>
      </c>
      <c r="U3165" s="1">
        <v>225</v>
      </c>
      <c r="X3165" s="1">
        <v>208</v>
      </c>
      <c r="AA3165" s="1">
        <v>10</v>
      </c>
      <c r="AB3165" s="1">
        <v>8</v>
      </c>
      <c r="AC3165" s="1">
        <v>8561</v>
      </c>
      <c r="AF3165" s="3">
        <v>2.2992838296268374</v>
      </c>
      <c r="AG3165" s="3">
        <v>9.311258168208429</v>
      </c>
      <c r="AH3165" s="1">
        <v>6290</v>
      </c>
      <c r="AI3165" s="1" t="b">
        <v>1</v>
      </c>
    </row>
    <row r="3166" spans="1:35" x14ac:dyDescent="0.25">
      <c r="A3166" s="1">
        <v>20</v>
      </c>
      <c r="B3166" s="1">
        <v>7</v>
      </c>
      <c r="C3166" s="1">
        <v>2020</v>
      </c>
      <c r="G3166" s="1" t="s">
        <v>40</v>
      </c>
      <c r="H3166" s="2">
        <v>68.099999999999994</v>
      </c>
      <c r="I3166" s="1">
        <v>132</v>
      </c>
      <c r="U3166" s="1">
        <v>206</v>
      </c>
      <c r="X3166" s="1">
        <v>180</v>
      </c>
      <c r="AA3166" s="1">
        <v>15</v>
      </c>
      <c r="AB3166" s="1">
        <v>15</v>
      </c>
      <c r="AC3166" s="1">
        <v>8010</v>
      </c>
      <c r="AF3166" s="3">
        <v>1.9383259911894275</v>
      </c>
      <c r="AG3166" s="3">
        <v>9.9032138896682174</v>
      </c>
      <c r="AH3166" s="1">
        <v>6290</v>
      </c>
      <c r="AI3166" s="1" t="b">
        <v>1</v>
      </c>
    </row>
    <row r="3167" spans="1:35" x14ac:dyDescent="0.25">
      <c r="A3167" s="1">
        <v>20</v>
      </c>
      <c r="B3167" s="1">
        <v>7</v>
      </c>
      <c r="C3167" s="1">
        <v>2020</v>
      </c>
      <c r="G3167" s="1" t="s">
        <v>40</v>
      </c>
      <c r="H3167" s="2">
        <v>74.099999999999994</v>
      </c>
      <c r="I3167" s="1">
        <v>170</v>
      </c>
      <c r="U3167" s="1">
        <v>237</v>
      </c>
      <c r="X3167" s="1">
        <v>210</v>
      </c>
      <c r="AA3167" s="1">
        <v>13</v>
      </c>
      <c r="AB3167" s="1">
        <v>10</v>
      </c>
      <c r="AC3167" s="1">
        <v>8454</v>
      </c>
      <c r="AF3167" s="3">
        <v>2.2941970310391366</v>
      </c>
      <c r="AG3167" s="3">
        <v>8.8765056161499469</v>
      </c>
      <c r="AH3167" s="1">
        <v>6290</v>
      </c>
      <c r="AI3167" s="1" t="b">
        <v>1</v>
      </c>
    </row>
    <row r="3168" spans="1:35" x14ac:dyDescent="0.25">
      <c r="A3168" s="1">
        <v>20</v>
      </c>
      <c r="B3168" s="1">
        <v>7</v>
      </c>
      <c r="C3168" s="1">
        <v>2020</v>
      </c>
      <c r="G3168" s="1" t="s">
        <v>40</v>
      </c>
      <c r="H3168" s="2">
        <v>79.819999999999993</v>
      </c>
      <c r="I3168" s="1">
        <v>183</v>
      </c>
      <c r="U3168" s="1">
        <v>241</v>
      </c>
      <c r="X3168" s="1">
        <v>219</v>
      </c>
      <c r="AA3168" s="1">
        <v>13</v>
      </c>
      <c r="AB3168" s="1">
        <v>14</v>
      </c>
      <c r="AC3168" s="1">
        <v>8714</v>
      </c>
      <c r="AF3168" s="3">
        <v>2.2926584815835631</v>
      </c>
      <c r="AG3168" s="3">
        <v>9.3570476293079103</v>
      </c>
      <c r="AH3168" s="1">
        <v>6290</v>
      </c>
      <c r="AI3168" s="1" t="b">
        <v>1</v>
      </c>
    </row>
    <row r="3169" spans="1:35" x14ac:dyDescent="0.25">
      <c r="A3169" s="1">
        <v>20</v>
      </c>
      <c r="B3169" s="1">
        <v>7</v>
      </c>
      <c r="C3169" s="1">
        <v>2020</v>
      </c>
      <c r="G3169" s="1" t="s">
        <v>40</v>
      </c>
      <c r="H3169" s="2">
        <v>80.8</v>
      </c>
      <c r="I3169" s="1">
        <v>192</v>
      </c>
      <c r="U3169" s="1">
        <v>249</v>
      </c>
      <c r="X3169" s="1">
        <v>222</v>
      </c>
      <c r="AA3169" s="1">
        <v>13</v>
      </c>
      <c r="AB3169" s="1">
        <v>10</v>
      </c>
      <c r="AC3169" s="1">
        <v>9204</v>
      </c>
      <c r="AF3169" s="3">
        <v>2.3762376237623761</v>
      </c>
      <c r="AG3169" s="3">
        <v>9.1053801980352436</v>
      </c>
      <c r="AH3169" s="1">
        <v>6290</v>
      </c>
      <c r="AI3169" s="1" t="b">
        <v>1</v>
      </c>
    </row>
    <row r="3170" spans="1:35" x14ac:dyDescent="0.25">
      <c r="A3170" s="1">
        <v>23</v>
      </c>
      <c r="B3170" s="1">
        <v>7</v>
      </c>
      <c r="C3170" s="1">
        <v>2020</v>
      </c>
      <c r="G3170" s="1" t="s">
        <v>40</v>
      </c>
      <c r="H3170" s="2">
        <v>70.790000000000006</v>
      </c>
      <c r="I3170" s="1">
        <v>131</v>
      </c>
      <c r="U3170" s="1">
        <v>186</v>
      </c>
      <c r="X3170" s="1">
        <v>165</v>
      </c>
      <c r="AA3170" s="1">
        <v>12</v>
      </c>
      <c r="AB3170" s="1">
        <v>13</v>
      </c>
      <c r="AC3170" s="1">
        <v>7423</v>
      </c>
      <c r="AF3170" s="3">
        <v>1.8505438621274191</v>
      </c>
      <c r="AG3170" s="3">
        <v>10.658128580599541</v>
      </c>
      <c r="AH3170" s="1">
        <v>6290</v>
      </c>
      <c r="AI3170" s="1" t="b">
        <v>1</v>
      </c>
    </row>
    <row r="3171" spans="1:35" x14ac:dyDescent="0.25">
      <c r="A3171" s="1">
        <v>23</v>
      </c>
      <c r="B3171" s="1">
        <v>7</v>
      </c>
      <c r="C3171" s="1">
        <v>2020</v>
      </c>
      <c r="G3171" s="1" t="s">
        <v>40</v>
      </c>
      <c r="H3171" s="2">
        <v>70.16</v>
      </c>
      <c r="I3171" s="1">
        <v>174</v>
      </c>
      <c r="U3171" s="1">
        <v>227</v>
      </c>
      <c r="X3171" s="1">
        <v>210</v>
      </c>
      <c r="AA3171" s="1">
        <v>13</v>
      </c>
      <c r="AB3171" s="1">
        <v>11</v>
      </c>
      <c r="AC3171" s="1">
        <v>7429</v>
      </c>
      <c r="AF3171" s="3">
        <v>2.4800456100342076</v>
      </c>
      <c r="AG3171" s="3">
        <v>7.9032011992792404</v>
      </c>
      <c r="AH3171" s="1">
        <v>6290</v>
      </c>
      <c r="AI3171" s="1" t="b">
        <v>1</v>
      </c>
    </row>
    <row r="3172" spans="1:35" x14ac:dyDescent="0.25">
      <c r="A3172" s="1">
        <v>26</v>
      </c>
      <c r="B3172" s="1">
        <v>7</v>
      </c>
      <c r="C3172" s="1">
        <v>2020</v>
      </c>
      <c r="G3172" s="1" t="s">
        <v>40</v>
      </c>
      <c r="H3172" s="2">
        <v>72.91</v>
      </c>
      <c r="I3172" s="1">
        <v>177</v>
      </c>
      <c r="U3172" s="1">
        <v>226</v>
      </c>
      <c r="X3172" s="1">
        <v>211</v>
      </c>
      <c r="AA3172" s="1">
        <v>13</v>
      </c>
      <c r="AB3172" s="1">
        <v>9</v>
      </c>
      <c r="AC3172" s="1">
        <v>7403</v>
      </c>
      <c r="AF3172" s="3">
        <v>2.4276505280482787</v>
      </c>
      <c r="AG3172" s="3">
        <v>8.2940146977536688</v>
      </c>
      <c r="AH3172" s="1">
        <v>6290</v>
      </c>
      <c r="AI3172" s="1" t="b">
        <v>1</v>
      </c>
    </row>
    <row r="3173" spans="1:35" x14ac:dyDescent="0.25">
      <c r="A3173" s="1">
        <v>29</v>
      </c>
      <c r="B3173" s="1">
        <v>7</v>
      </c>
      <c r="C3173" s="1">
        <v>2020</v>
      </c>
      <c r="G3173" s="1" t="s">
        <v>40</v>
      </c>
      <c r="H3173" s="2">
        <v>69.59</v>
      </c>
      <c r="I3173" s="1">
        <v>163</v>
      </c>
      <c r="U3173" s="1">
        <v>219</v>
      </c>
      <c r="X3173" s="1">
        <v>189</v>
      </c>
      <c r="AA3173" s="1">
        <v>11</v>
      </c>
      <c r="AB3173" s="1">
        <v>11</v>
      </c>
      <c r="AC3173" s="1">
        <v>8002</v>
      </c>
      <c r="AF3173" s="3">
        <v>2.3422905589883602</v>
      </c>
      <c r="AG3173" s="3">
        <v>8.320358087331897</v>
      </c>
      <c r="AH3173" s="1">
        <v>6291</v>
      </c>
      <c r="AI3173" s="1" t="b">
        <v>1</v>
      </c>
    </row>
    <row r="3174" spans="1:35" x14ac:dyDescent="0.25">
      <c r="A3174" s="1">
        <v>30</v>
      </c>
      <c r="B3174" s="1">
        <v>7</v>
      </c>
      <c r="C3174" s="1">
        <v>2020</v>
      </c>
      <c r="G3174" s="1" t="s">
        <v>40</v>
      </c>
      <c r="H3174" s="2">
        <v>66.5</v>
      </c>
      <c r="I3174" s="1">
        <v>150</v>
      </c>
      <c r="V3174" s="1">
        <v>226</v>
      </c>
      <c r="X3174" s="1">
        <v>203</v>
      </c>
      <c r="AA3174" s="1">
        <v>17</v>
      </c>
      <c r="AB3174" s="1">
        <v>18</v>
      </c>
      <c r="AC3174" s="1">
        <v>7681</v>
      </c>
      <c r="AF3174" s="3">
        <v>2.255639097744361</v>
      </c>
      <c r="AG3174" s="3">
        <v>8.3696160972220373</v>
      </c>
      <c r="AH3174" s="1">
        <v>6291</v>
      </c>
      <c r="AI3174" s="1" t="b">
        <v>1</v>
      </c>
    </row>
    <row r="3175" spans="1:35" x14ac:dyDescent="0.25">
      <c r="A3175" s="1">
        <v>30</v>
      </c>
      <c r="B3175" s="1">
        <v>7</v>
      </c>
      <c r="C3175" s="1">
        <v>2020</v>
      </c>
      <c r="G3175" s="1" t="s">
        <v>40</v>
      </c>
      <c r="H3175" s="2">
        <v>70.84</v>
      </c>
      <c r="I3175" s="1">
        <v>154</v>
      </c>
      <c r="U3175" s="1">
        <v>210</v>
      </c>
      <c r="X3175" s="1">
        <v>186</v>
      </c>
      <c r="AA3175" s="1">
        <v>12</v>
      </c>
      <c r="AB3175" s="1">
        <v>11</v>
      </c>
      <c r="AC3175" s="1">
        <v>7480</v>
      </c>
      <c r="AF3175" s="3">
        <v>2.1739130434782608</v>
      </c>
      <c r="AG3175" s="3">
        <v>9.0772191032409033</v>
      </c>
      <c r="AH3175" s="1">
        <v>6291</v>
      </c>
      <c r="AI3175" s="1" t="b">
        <v>1</v>
      </c>
    </row>
    <row r="3176" spans="1:35" x14ac:dyDescent="0.25">
      <c r="A3176" s="1">
        <v>30</v>
      </c>
      <c r="B3176" s="1">
        <v>7</v>
      </c>
      <c r="C3176" s="1">
        <v>2020</v>
      </c>
      <c r="G3176" s="1" t="s">
        <v>40</v>
      </c>
      <c r="H3176" s="2">
        <v>71.7</v>
      </c>
      <c r="I3176" s="1">
        <v>166</v>
      </c>
      <c r="U3176" s="1">
        <v>238</v>
      </c>
      <c r="X3176" s="1">
        <v>211</v>
      </c>
      <c r="AA3176" s="1">
        <v>17</v>
      </c>
      <c r="AB3176" s="1">
        <v>13</v>
      </c>
      <c r="AC3176" s="1">
        <v>8296</v>
      </c>
      <c r="AF3176" s="3">
        <v>2.3152022315202232</v>
      </c>
      <c r="AG3176" s="3">
        <v>8.5955659455609315</v>
      </c>
      <c r="AH3176" s="1">
        <v>6291</v>
      </c>
      <c r="AI3176" s="1" t="b">
        <v>1</v>
      </c>
    </row>
    <row r="3177" spans="1:35" x14ac:dyDescent="0.25">
      <c r="A3177" s="1">
        <v>2</v>
      </c>
      <c r="B3177" s="1">
        <v>8</v>
      </c>
      <c r="C3177" s="1">
        <v>2020</v>
      </c>
      <c r="G3177" s="1" t="s">
        <v>40</v>
      </c>
      <c r="H3177" s="2">
        <v>62.14</v>
      </c>
      <c r="I3177" s="1">
        <v>131</v>
      </c>
      <c r="U3177" s="1">
        <v>187</v>
      </c>
      <c r="X3177" s="1">
        <v>167</v>
      </c>
      <c r="AA3177" s="1">
        <v>13</v>
      </c>
      <c r="AB3177" s="1">
        <v>17</v>
      </c>
      <c r="AC3177" s="1">
        <v>6595</v>
      </c>
      <c r="AF3177" s="3">
        <v>2.1081429031219825</v>
      </c>
      <c r="AG3177" s="3">
        <v>8.5400384790952035</v>
      </c>
      <c r="AH3177" s="1">
        <v>6291</v>
      </c>
      <c r="AI3177" s="1" t="b">
        <v>1</v>
      </c>
    </row>
    <row r="3178" spans="1:35" x14ac:dyDescent="0.25">
      <c r="A3178" s="1">
        <v>3</v>
      </c>
      <c r="B3178" s="1">
        <v>8</v>
      </c>
      <c r="C3178" s="1">
        <v>2020</v>
      </c>
      <c r="G3178" s="1" t="s">
        <v>40</v>
      </c>
      <c r="H3178" s="2">
        <v>75.48</v>
      </c>
      <c r="I3178" s="1">
        <v>188</v>
      </c>
      <c r="U3178" s="1">
        <v>242</v>
      </c>
      <c r="X3178" s="1">
        <v>218</v>
      </c>
      <c r="AA3178" s="1">
        <v>11</v>
      </c>
      <c r="AB3178" s="1">
        <v>8</v>
      </c>
      <c r="AC3178" s="1">
        <v>8613</v>
      </c>
      <c r="AF3178" s="3">
        <v>2.4907260201377848</v>
      </c>
      <c r="AG3178" s="3">
        <v>8.2824031518751955</v>
      </c>
      <c r="AH3178" s="1">
        <v>6292</v>
      </c>
      <c r="AI3178" s="1" t="b">
        <v>1</v>
      </c>
    </row>
    <row r="3179" spans="1:35" x14ac:dyDescent="0.25">
      <c r="A3179" s="1">
        <v>3</v>
      </c>
      <c r="B3179" s="1">
        <v>8</v>
      </c>
      <c r="C3179" s="1">
        <v>2020</v>
      </c>
      <c r="G3179" s="1" t="s">
        <v>40</v>
      </c>
      <c r="H3179" s="2">
        <v>76.709999999999994</v>
      </c>
      <c r="I3179" s="1">
        <v>181</v>
      </c>
      <c r="U3179" s="1">
        <v>237</v>
      </c>
      <c r="X3179" s="1">
        <v>214</v>
      </c>
      <c r="AA3179" s="1">
        <v>14</v>
      </c>
      <c r="AB3179" s="1">
        <v>7</v>
      </c>
      <c r="AC3179" s="1">
        <v>8023</v>
      </c>
      <c r="AF3179" s="3">
        <v>2.3595359144831183</v>
      </c>
      <c r="AG3179" s="3">
        <v>8.8423926455191335</v>
      </c>
      <c r="AH3179" s="1">
        <v>6292</v>
      </c>
      <c r="AI3179" s="1" t="b">
        <v>1</v>
      </c>
    </row>
    <row r="3180" spans="1:35" x14ac:dyDescent="0.25">
      <c r="A3180" s="1">
        <v>8</v>
      </c>
      <c r="B3180" s="1">
        <v>8</v>
      </c>
      <c r="C3180" s="1">
        <v>2020</v>
      </c>
      <c r="G3180" s="1" t="s">
        <v>40</v>
      </c>
      <c r="H3180" s="2">
        <v>78.92</v>
      </c>
      <c r="I3180" s="1">
        <v>184</v>
      </c>
      <c r="U3180" s="1">
        <v>250</v>
      </c>
      <c r="X3180" s="1">
        <v>228</v>
      </c>
      <c r="AA3180" s="1">
        <v>16</v>
      </c>
      <c r="AB3180" s="1">
        <v>12</v>
      </c>
      <c r="AC3180" s="1">
        <v>8907</v>
      </c>
      <c r="AF3180" s="3">
        <v>2.331474911302585</v>
      </c>
      <c r="AG3180" s="3">
        <v>9.128516547996318</v>
      </c>
      <c r="AH3180" s="1">
        <v>6292</v>
      </c>
      <c r="AI3180" s="1" t="b">
        <v>1</v>
      </c>
    </row>
    <row r="3181" spans="1:35" x14ac:dyDescent="0.25">
      <c r="A3181" s="1">
        <v>9</v>
      </c>
      <c r="B3181" s="1">
        <v>8</v>
      </c>
      <c r="C3181" s="1">
        <v>2020</v>
      </c>
      <c r="G3181" s="1" t="s">
        <v>40</v>
      </c>
      <c r="H3181" s="2">
        <v>72.099999999999994</v>
      </c>
      <c r="I3181" s="1">
        <v>150</v>
      </c>
      <c r="U3181" s="1">
        <v>202</v>
      </c>
      <c r="X3181" s="1">
        <v>183</v>
      </c>
      <c r="AA3181" s="1">
        <v>14</v>
      </c>
      <c r="AB3181" s="1">
        <v>12</v>
      </c>
      <c r="AC3181" s="1">
        <v>8035</v>
      </c>
      <c r="AF3181" s="3">
        <v>2.0804438280166435</v>
      </c>
      <c r="AG3181" s="3">
        <v>9.6028178476296695</v>
      </c>
      <c r="AH3181" s="1">
        <v>6292</v>
      </c>
      <c r="AI3181" s="1" t="b">
        <v>1</v>
      </c>
    </row>
    <row r="3182" spans="1:35" x14ac:dyDescent="0.25">
      <c r="A3182" s="1">
        <v>9</v>
      </c>
      <c r="B3182" s="1">
        <v>8</v>
      </c>
      <c r="C3182" s="1">
        <v>2020</v>
      </c>
      <c r="G3182" s="1" t="s">
        <v>40</v>
      </c>
      <c r="H3182" s="2">
        <v>79.11</v>
      </c>
      <c r="I3182" s="1">
        <v>175</v>
      </c>
      <c r="U3182" s="1">
        <v>251</v>
      </c>
      <c r="X3182" s="1">
        <v>226</v>
      </c>
      <c r="AA3182" s="1">
        <v>16</v>
      </c>
      <c r="AB3182" s="1">
        <v>11</v>
      </c>
      <c r="AC3182" s="1">
        <v>8558</v>
      </c>
      <c r="AF3182" s="3">
        <v>2.2121097206421441</v>
      </c>
      <c r="AG3182" s="3">
        <v>9.6372983715736762</v>
      </c>
      <c r="AH3182" s="1">
        <v>6292</v>
      </c>
      <c r="AI3182" s="1" t="b">
        <v>1</v>
      </c>
    </row>
    <row r="3183" spans="1:35" x14ac:dyDescent="0.25">
      <c r="A3183" s="1">
        <v>9</v>
      </c>
      <c r="B3183" s="1">
        <v>8</v>
      </c>
      <c r="C3183" s="1">
        <v>2020</v>
      </c>
      <c r="G3183" s="1" t="s">
        <v>40</v>
      </c>
      <c r="H3183" s="2">
        <v>70.38</v>
      </c>
      <c r="I3183" s="1">
        <v>142</v>
      </c>
      <c r="U3183" s="1">
        <v>213</v>
      </c>
      <c r="X3183" s="1">
        <v>189</v>
      </c>
      <c r="AA3183" s="1">
        <v>17</v>
      </c>
      <c r="AB3183" s="1">
        <v>15</v>
      </c>
      <c r="AC3183" s="1">
        <v>7445</v>
      </c>
      <c r="AF3183" s="3">
        <v>2.0176186416595625</v>
      </c>
      <c r="AG3183" s="3">
        <v>9.7358842487255401</v>
      </c>
      <c r="AH3183" s="1">
        <v>6292</v>
      </c>
      <c r="AI3183" s="1" t="b">
        <v>1</v>
      </c>
    </row>
    <row r="3184" spans="1:35" x14ac:dyDescent="0.25">
      <c r="A3184" s="1">
        <v>9</v>
      </c>
      <c r="B3184" s="1">
        <v>8</v>
      </c>
      <c r="C3184" s="1">
        <v>2020</v>
      </c>
      <c r="G3184" s="1" t="s">
        <v>40</v>
      </c>
      <c r="H3184" s="2">
        <v>68.25</v>
      </c>
      <c r="I3184" s="1">
        <v>151</v>
      </c>
      <c r="U3184" s="1">
        <v>200</v>
      </c>
      <c r="X3184" s="1">
        <v>185</v>
      </c>
      <c r="AA3184" s="1">
        <v>12</v>
      </c>
      <c r="AB3184" s="1">
        <v>11</v>
      </c>
      <c r="AC3184" s="1">
        <v>7655</v>
      </c>
      <c r="AF3184" s="3">
        <v>2.2124542124542126</v>
      </c>
      <c r="AG3184" s="3">
        <v>8.6895556205643043</v>
      </c>
      <c r="AH3184" s="1">
        <v>6292</v>
      </c>
      <c r="AI3184" s="1" t="b">
        <v>1</v>
      </c>
    </row>
    <row r="3185" spans="1:35" x14ac:dyDescent="0.25">
      <c r="A3185" s="1">
        <v>9</v>
      </c>
      <c r="B3185" s="1">
        <v>8</v>
      </c>
      <c r="C3185" s="1">
        <v>2020</v>
      </c>
      <c r="G3185" s="1" t="s">
        <v>40</v>
      </c>
      <c r="H3185" s="2">
        <v>65.7</v>
      </c>
      <c r="I3185" s="1">
        <v>153</v>
      </c>
      <c r="U3185" s="1">
        <v>201</v>
      </c>
      <c r="X3185" s="1">
        <v>178</v>
      </c>
      <c r="AA3185" s="1">
        <v>10</v>
      </c>
      <c r="AB3185" s="1">
        <v>9</v>
      </c>
      <c r="AC3185" s="1">
        <v>7154</v>
      </c>
      <c r="AF3185" s="3">
        <v>2.3287671232876712</v>
      </c>
      <c r="AG3185" s="3">
        <v>8.0384015556708306</v>
      </c>
      <c r="AH3185" s="1">
        <v>6292</v>
      </c>
      <c r="AI3185" s="1" t="b">
        <v>1</v>
      </c>
    </row>
    <row r="3186" spans="1:35" x14ac:dyDescent="0.25">
      <c r="A3186" s="1">
        <v>9</v>
      </c>
      <c r="B3186" s="1">
        <v>8</v>
      </c>
      <c r="C3186" s="1">
        <v>2020</v>
      </c>
      <c r="G3186" s="1" t="s">
        <v>40</v>
      </c>
      <c r="H3186" s="2">
        <v>69.86</v>
      </c>
      <c r="I3186" s="1">
        <v>187</v>
      </c>
      <c r="U3186" s="1">
        <v>240</v>
      </c>
      <c r="X3186" s="1">
        <v>224</v>
      </c>
      <c r="AA3186" s="1">
        <v>13</v>
      </c>
      <c r="AB3186" s="1">
        <v>7</v>
      </c>
      <c r="AC3186" s="1">
        <v>7764</v>
      </c>
      <c r="AF3186" s="3">
        <v>2.6767821356999715</v>
      </c>
      <c r="AG3186" s="3">
        <v>7.3004054673844045</v>
      </c>
      <c r="AH3186" s="1">
        <v>6292</v>
      </c>
      <c r="AI3186" s="1" t="b">
        <v>1</v>
      </c>
    </row>
    <row r="3187" spans="1:35" x14ac:dyDescent="0.25">
      <c r="A3187" s="1">
        <v>11</v>
      </c>
      <c r="B3187" s="1">
        <v>8</v>
      </c>
      <c r="C3187" s="1">
        <v>2020</v>
      </c>
      <c r="G3187" s="1" t="s">
        <v>40</v>
      </c>
      <c r="H3187" s="2">
        <v>81.84</v>
      </c>
      <c r="I3187" s="1">
        <v>170</v>
      </c>
      <c r="U3187" s="1">
        <v>226</v>
      </c>
      <c r="X3187" s="1">
        <v>200</v>
      </c>
      <c r="AA3187" s="1">
        <v>12</v>
      </c>
      <c r="AB3187" s="1">
        <v>14</v>
      </c>
      <c r="AC3187" s="1">
        <v>9869</v>
      </c>
      <c r="AF3187" s="3">
        <v>2.0772238514173997</v>
      </c>
      <c r="AG3187" s="3">
        <v>10.509756011654066</v>
      </c>
      <c r="AH3187" s="1">
        <v>6293</v>
      </c>
      <c r="AI3187" s="1" t="b">
        <v>1</v>
      </c>
    </row>
    <row r="3188" spans="1:35" x14ac:dyDescent="0.25">
      <c r="A3188" s="1">
        <v>11</v>
      </c>
      <c r="B3188" s="1">
        <v>8</v>
      </c>
      <c r="C3188" s="1">
        <v>2020</v>
      </c>
      <c r="G3188" s="1" t="s">
        <v>40</v>
      </c>
      <c r="H3188" s="2">
        <v>64.38</v>
      </c>
      <c r="I3188" s="1">
        <v>137</v>
      </c>
      <c r="U3188" s="1">
        <v>208</v>
      </c>
      <c r="X3188" s="1">
        <v>182</v>
      </c>
      <c r="AA3188" s="1">
        <v>16</v>
      </c>
      <c r="AB3188" s="1">
        <v>14</v>
      </c>
      <c r="AC3188" s="1">
        <v>7541</v>
      </c>
      <c r="AF3188" s="3">
        <v>2.1279900590245417</v>
      </c>
      <c r="AG3188" s="3">
        <v>8.6727351865609563</v>
      </c>
      <c r="AH3188" s="1">
        <v>6293</v>
      </c>
      <c r="AI3188" s="1" t="b">
        <v>1</v>
      </c>
    </row>
    <row r="3189" spans="1:35" x14ac:dyDescent="0.25">
      <c r="A3189" s="1">
        <v>11</v>
      </c>
      <c r="B3189" s="1">
        <v>8</v>
      </c>
      <c r="C3189" s="1">
        <v>2020</v>
      </c>
      <c r="G3189" s="1" t="s">
        <v>40</v>
      </c>
      <c r="H3189" s="2">
        <v>62.08</v>
      </c>
      <c r="I3189" s="1">
        <v>151</v>
      </c>
      <c r="U3189" s="1">
        <v>215</v>
      </c>
      <c r="X3189" s="1">
        <v>196</v>
      </c>
      <c r="AA3189" s="1">
        <v>15</v>
      </c>
      <c r="AB3189" s="1">
        <v>12</v>
      </c>
      <c r="AC3189" s="1">
        <v>7053</v>
      </c>
      <c r="AF3189" s="3">
        <v>2.4323453608247423</v>
      </c>
      <c r="AG3189" s="3">
        <v>7.3967502782908703</v>
      </c>
      <c r="AH3189" s="1">
        <v>6293</v>
      </c>
      <c r="AI3189" s="1" t="b">
        <v>1</v>
      </c>
    </row>
    <row r="3190" spans="1:35" x14ac:dyDescent="0.25">
      <c r="A3190" s="1">
        <v>14</v>
      </c>
      <c r="B3190" s="1">
        <v>8</v>
      </c>
      <c r="C3190" s="1">
        <v>2020</v>
      </c>
      <c r="G3190" s="1" t="s">
        <v>40</v>
      </c>
      <c r="H3190" s="2">
        <v>73.260000000000005</v>
      </c>
      <c r="I3190" s="1">
        <v>173</v>
      </c>
      <c r="U3190" s="1">
        <v>215</v>
      </c>
      <c r="X3190" s="1">
        <v>198</v>
      </c>
      <c r="AA3190" s="1">
        <v>10</v>
      </c>
      <c r="AB3190" s="1">
        <v>4</v>
      </c>
      <c r="AC3190" s="1">
        <v>7906</v>
      </c>
      <c r="AF3190" s="3">
        <v>2.3614523614523613</v>
      </c>
      <c r="AG3190" s="3">
        <v>8.5551504465945296</v>
      </c>
      <c r="AH3190" s="1">
        <v>6293</v>
      </c>
      <c r="AI3190" s="1" t="b">
        <v>1</v>
      </c>
    </row>
    <row r="3191" spans="1:35" x14ac:dyDescent="0.25">
      <c r="A3191" s="1">
        <v>14</v>
      </c>
      <c r="B3191" s="1">
        <v>8</v>
      </c>
      <c r="C3191" s="1">
        <v>2020</v>
      </c>
      <c r="G3191" s="1" t="s">
        <v>40</v>
      </c>
      <c r="H3191" s="2">
        <v>71.48</v>
      </c>
      <c r="I3191" s="1">
        <v>168</v>
      </c>
      <c r="U3191" s="1">
        <v>211</v>
      </c>
      <c r="X3191" s="1">
        <v>194</v>
      </c>
      <c r="AA3191" s="1">
        <v>12</v>
      </c>
      <c r="AB3191" s="1">
        <v>12</v>
      </c>
      <c r="AC3191" s="1">
        <v>7651</v>
      </c>
      <c r="AF3191" s="3">
        <v>2.3503077783995523</v>
      </c>
      <c r="AG3191" s="3">
        <v>8.4489831266973887</v>
      </c>
      <c r="AH3191" s="1">
        <v>6293</v>
      </c>
      <c r="AI3191" s="1" t="b">
        <v>1</v>
      </c>
    </row>
    <row r="3192" spans="1:35" x14ac:dyDescent="0.25">
      <c r="A3192" s="1">
        <v>14</v>
      </c>
      <c r="B3192" s="1">
        <v>8</v>
      </c>
      <c r="C3192" s="1">
        <v>2020</v>
      </c>
      <c r="G3192" s="1" t="s">
        <v>40</v>
      </c>
      <c r="H3192" s="2">
        <v>66.569999999999993</v>
      </c>
      <c r="I3192" s="1">
        <v>147</v>
      </c>
      <c r="U3192" s="1">
        <v>201</v>
      </c>
      <c r="X3192" s="1">
        <v>182</v>
      </c>
      <c r="AA3192" s="1">
        <v>14</v>
      </c>
      <c r="AB3192" s="1">
        <v>11</v>
      </c>
      <c r="AC3192" s="1">
        <v>7519</v>
      </c>
      <c r="AF3192" s="3">
        <v>2.2082018927444795</v>
      </c>
      <c r="AG3192" s="3">
        <v>8.5557130839928277</v>
      </c>
      <c r="AH3192" s="1">
        <v>6293</v>
      </c>
      <c r="AI3192" s="1" t="b">
        <v>1</v>
      </c>
    </row>
    <row r="3193" spans="1:35" x14ac:dyDescent="0.25">
      <c r="A3193" s="1">
        <v>14</v>
      </c>
      <c r="B3193" s="1">
        <v>8</v>
      </c>
      <c r="C3193" s="1">
        <v>2020</v>
      </c>
      <c r="G3193" s="1" t="s">
        <v>40</v>
      </c>
      <c r="H3193" s="2">
        <v>91.24</v>
      </c>
      <c r="I3193" s="1">
        <v>178</v>
      </c>
      <c r="U3193" s="1">
        <v>237</v>
      </c>
      <c r="X3193" s="1">
        <v>214</v>
      </c>
      <c r="AA3193" s="1">
        <v>13</v>
      </c>
      <c r="AB3193" s="1">
        <v>7</v>
      </c>
      <c r="AC3193" s="1">
        <v>11157</v>
      </c>
      <c r="AF3193" s="3">
        <v>1.950898728627795</v>
      </c>
      <c r="AG3193" s="3">
        <v>12.075217663216586</v>
      </c>
      <c r="AH3193" s="1">
        <v>6293</v>
      </c>
      <c r="AI3193" s="1" t="b">
        <v>1</v>
      </c>
    </row>
    <row r="3194" spans="1:35" x14ac:dyDescent="0.25">
      <c r="A3194" s="1">
        <v>14</v>
      </c>
      <c r="B3194" s="1">
        <v>8</v>
      </c>
      <c r="C3194" s="1">
        <v>2020</v>
      </c>
      <c r="G3194" s="1" t="s">
        <v>40</v>
      </c>
      <c r="H3194" s="2">
        <v>76.040000000000006</v>
      </c>
      <c r="I3194" s="1">
        <v>191</v>
      </c>
      <c r="U3194" s="1">
        <v>245</v>
      </c>
      <c r="X3194" s="1">
        <v>227</v>
      </c>
      <c r="AA3194" s="1">
        <v>14</v>
      </c>
      <c r="AB3194" s="1">
        <v>7</v>
      </c>
      <c r="AC3194" s="1">
        <v>8645</v>
      </c>
      <c r="AF3194" s="3">
        <v>2.5118358758548132</v>
      </c>
      <c r="AG3194" s="3">
        <v>8.2554018180710056</v>
      </c>
      <c r="AH3194" s="1">
        <v>6293</v>
      </c>
      <c r="AI3194" s="1" t="b">
        <v>1</v>
      </c>
    </row>
    <row r="3195" spans="1:35" x14ac:dyDescent="0.25">
      <c r="A3195" s="1">
        <v>14</v>
      </c>
      <c r="B3195" s="1">
        <v>8</v>
      </c>
      <c r="C3195" s="1">
        <v>2020</v>
      </c>
      <c r="G3195" s="1" t="s">
        <v>40</v>
      </c>
      <c r="H3195" s="2">
        <v>67.94</v>
      </c>
      <c r="I3195" s="1">
        <v>159</v>
      </c>
      <c r="U3195" s="1">
        <v>209</v>
      </c>
      <c r="X3195" s="1">
        <v>192</v>
      </c>
      <c r="AA3195" s="1">
        <v>13</v>
      </c>
      <c r="AB3195" s="1">
        <v>9</v>
      </c>
      <c r="AC3195" s="1">
        <v>7989</v>
      </c>
      <c r="AF3195" s="3">
        <v>2.3403002649396529</v>
      </c>
      <c r="AG3195" s="3">
        <v>8.1887252156470964</v>
      </c>
      <c r="AH3195" s="1">
        <v>6293</v>
      </c>
      <c r="AI3195" s="1" t="b">
        <v>1</v>
      </c>
    </row>
    <row r="3196" spans="1:35" x14ac:dyDescent="0.25">
      <c r="A3196" s="1">
        <v>14</v>
      </c>
      <c r="B3196" s="1">
        <v>8</v>
      </c>
      <c r="C3196" s="1">
        <v>2020</v>
      </c>
      <c r="G3196" s="1" t="s">
        <v>40</v>
      </c>
      <c r="H3196" s="2">
        <v>76.069999999999993</v>
      </c>
      <c r="I3196" s="1">
        <v>175</v>
      </c>
      <c r="U3196" s="1">
        <v>236</v>
      </c>
      <c r="X3196" s="1">
        <v>216</v>
      </c>
      <c r="AA3196" s="1">
        <v>13</v>
      </c>
      <c r="AB3196" s="1">
        <v>10</v>
      </c>
      <c r="AC3196" s="1">
        <v>9187</v>
      </c>
      <c r="AF3196" s="3">
        <v>2.3005126856842386</v>
      </c>
      <c r="AG3196" s="3">
        <v>9.0162253726552475</v>
      </c>
      <c r="AH3196" s="1">
        <v>6293</v>
      </c>
      <c r="AI3196" s="1" t="b">
        <v>1</v>
      </c>
    </row>
    <row r="3197" spans="1:35" x14ac:dyDescent="0.25">
      <c r="A3197" s="1">
        <v>14</v>
      </c>
      <c r="B3197" s="1">
        <v>8</v>
      </c>
      <c r="C3197" s="1">
        <v>2020</v>
      </c>
      <c r="G3197" s="1" t="s">
        <v>40</v>
      </c>
      <c r="H3197" s="2">
        <v>81.39</v>
      </c>
      <c r="I3197" s="1">
        <v>211</v>
      </c>
      <c r="U3197" s="1">
        <v>267</v>
      </c>
      <c r="X3197" s="1">
        <v>242</v>
      </c>
      <c r="AA3197" s="1">
        <v>12</v>
      </c>
      <c r="AB3197" s="1">
        <v>8</v>
      </c>
      <c r="AC3197" s="1">
        <v>10171</v>
      </c>
      <c r="AF3197" s="3">
        <v>2.5924560756849737</v>
      </c>
      <c r="AG3197" s="3">
        <v>8.3885776138801535</v>
      </c>
      <c r="AH3197" s="1">
        <v>6293</v>
      </c>
      <c r="AI3197" s="1" t="b">
        <v>1</v>
      </c>
    </row>
    <row r="3198" spans="1:35" x14ac:dyDescent="0.25">
      <c r="A3198" s="1">
        <v>14</v>
      </c>
      <c r="B3198" s="1">
        <v>8</v>
      </c>
      <c r="C3198" s="1">
        <v>2020</v>
      </c>
      <c r="G3198" s="1" t="s">
        <v>40</v>
      </c>
      <c r="H3198" s="2">
        <v>75</v>
      </c>
      <c r="I3198" s="1">
        <v>182</v>
      </c>
      <c r="U3198" s="1">
        <v>243</v>
      </c>
      <c r="X3198" s="1">
        <v>213</v>
      </c>
      <c r="AA3198" s="1">
        <v>12</v>
      </c>
      <c r="AB3198" s="1">
        <v>7</v>
      </c>
      <c r="AC3198" s="1">
        <v>9731</v>
      </c>
      <c r="AF3198" s="3">
        <v>2.4266666666666667</v>
      </c>
      <c r="AG3198" s="3">
        <v>8.463164058935206</v>
      </c>
      <c r="AH3198" s="1">
        <v>6293</v>
      </c>
      <c r="AI3198" s="1" t="b">
        <v>1</v>
      </c>
    </row>
    <row r="3199" spans="1:35" x14ac:dyDescent="0.25">
      <c r="A3199" s="1">
        <v>14</v>
      </c>
      <c r="B3199" s="1">
        <v>8</v>
      </c>
      <c r="C3199" s="1">
        <v>2020</v>
      </c>
      <c r="G3199" s="1" t="s">
        <v>40</v>
      </c>
      <c r="H3199" s="2">
        <v>69.3</v>
      </c>
      <c r="I3199" s="1">
        <v>157</v>
      </c>
      <c r="U3199" s="1">
        <v>235</v>
      </c>
      <c r="X3199" s="1">
        <v>210</v>
      </c>
      <c r="AA3199" s="1">
        <v>19</v>
      </c>
      <c r="AB3199" s="1">
        <v>12</v>
      </c>
      <c r="AC3199" s="1">
        <v>8595</v>
      </c>
      <c r="AF3199" s="3">
        <v>2.2655122655122657</v>
      </c>
      <c r="AG3199" s="3">
        <v>8.5772258626275093</v>
      </c>
      <c r="AH3199" s="1">
        <v>6293</v>
      </c>
      <c r="AI3199" s="1" t="b">
        <v>1</v>
      </c>
    </row>
    <row r="3200" spans="1:35" x14ac:dyDescent="0.25">
      <c r="A3200" s="1">
        <v>14</v>
      </c>
      <c r="B3200" s="1">
        <v>8</v>
      </c>
      <c r="C3200" s="1">
        <v>2020</v>
      </c>
      <c r="G3200" s="1" t="s">
        <v>40</v>
      </c>
      <c r="H3200" s="2">
        <v>78.489999999999995</v>
      </c>
      <c r="I3200" s="1">
        <v>178</v>
      </c>
      <c r="U3200" s="1">
        <v>244</v>
      </c>
      <c r="X3200" s="1">
        <v>218</v>
      </c>
      <c r="AA3200" s="1">
        <v>16</v>
      </c>
      <c r="AB3200" s="1">
        <v>11</v>
      </c>
      <c r="AC3200" s="1">
        <v>8911</v>
      </c>
      <c r="AF3200" s="3">
        <v>2.267804815900115</v>
      </c>
      <c r="AG3200" s="3">
        <v>9.348982721517304</v>
      </c>
      <c r="AH3200" s="1">
        <v>6293</v>
      </c>
      <c r="AI3200" s="1" t="b">
        <v>1</v>
      </c>
    </row>
    <row r="3201" spans="1:35" x14ac:dyDescent="0.25">
      <c r="A3201" s="1">
        <v>14</v>
      </c>
      <c r="B3201" s="1">
        <v>8</v>
      </c>
      <c r="C3201" s="1">
        <v>2020</v>
      </c>
      <c r="G3201" s="1" t="s">
        <v>40</v>
      </c>
      <c r="H3201" s="2">
        <v>81.209999999999994</v>
      </c>
      <c r="I3201" s="1">
        <v>175</v>
      </c>
      <c r="U3201" s="1">
        <v>243</v>
      </c>
      <c r="X3201" s="1">
        <v>215</v>
      </c>
      <c r="AA3201" s="1">
        <v>16</v>
      </c>
      <c r="AB3201" s="1">
        <v>10</v>
      </c>
      <c r="AC3201" s="1">
        <v>8951</v>
      </c>
      <c r="AF3201" s="3">
        <v>2.1549070311537988</v>
      </c>
      <c r="AG3201" s="3">
        <v>10.076231090535583</v>
      </c>
      <c r="AH3201" s="1">
        <v>6293</v>
      </c>
      <c r="AI3201" s="1" t="b">
        <v>1</v>
      </c>
    </row>
    <row r="3202" spans="1:35" x14ac:dyDescent="0.25">
      <c r="A3202" s="1">
        <v>15</v>
      </c>
      <c r="B3202" s="1">
        <v>8</v>
      </c>
      <c r="C3202" s="1">
        <v>2020</v>
      </c>
      <c r="G3202" s="1" t="s">
        <v>40</v>
      </c>
      <c r="H3202" s="2">
        <v>69.86</v>
      </c>
      <c r="I3202" s="1">
        <v>157</v>
      </c>
      <c r="U3202" s="1">
        <v>214</v>
      </c>
      <c r="X3202" s="1">
        <v>191</v>
      </c>
      <c r="AA3202" s="1">
        <v>16</v>
      </c>
      <c r="AB3202" s="1">
        <v>8</v>
      </c>
      <c r="AC3202" s="1">
        <v>7468</v>
      </c>
      <c r="AF3202" s="3">
        <v>2.2473518465502433</v>
      </c>
      <c r="AG3202" s="3">
        <v>8.6953874038272847</v>
      </c>
      <c r="AH3202" s="1">
        <v>6293</v>
      </c>
      <c r="AI3202" s="1" t="b">
        <v>1</v>
      </c>
    </row>
    <row r="3203" spans="1:35" x14ac:dyDescent="0.25">
      <c r="A3203" s="1">
        <v>15</v>
      </c>
      <c r="B3203" s="1">
        <v>8</v>
      </c>
      <c r="C3203" s="1">
        <v>2020</v>
      </c>
      <c r="G3203" s="1" t="s">
        <v>40</v>
      </c>
      <c r="H3203" s="2">
        <v>72.62</v>
      </c>
      <c r="I3203" s="1">
        <v>183</v>
      </c>
      <c r="U3203" s="1">
        <v>235</v>
      </c>
      <c r="X3203" s="1">
        <v>218</v>
      </c>
      <c r="AA3203" s="1">
        <v>13</v>
      </c>
      <c r="AB3203" s="1">
        <v>13</v>
      </c>
      <c r="AC3203" s="1">
        <v>8032</v>
      </c>
      <c r="AF3203" s="3">
        <v>2.5199669512530982</v>
      </c>
      <c r="AG3203" s="3">
        <v>7.9679119465392834</v>
      </c>
      <c r="AH3203" s="1">
        <v>6293</v>
      </c>
      <c r="AI3203" s="1" t="b">
        <v>1</v>
      </c>
    </row>
    <row r="3204" spans="1:35" x14ac:dyDescent="0.25">
      <c r="A3204" s="1">
        <v>15</v>
      </c>
      <c r="B3204" s="1">
        <v>8</v>
      </c>
      <c r="C3204" s="1">
        <v>2020</v>
      </c>
      <c r="G3204" s="1" t="s">
        <v>40</v>
      </c>
      <c r="H3204" s="2">
        <v>62.44</v>
      </c>
      <c r="I3204" s="1">
        <v>143</v>
      </c>
      <c r="U3204" s="1">
        <v>202</v>
      </c>
      <c r="X3204" s="1">
        <v>178</v>
      </c>
      <c r="AA3204" s="1">
        <v>15</v>
      </c>
      <c r="AB3204" s="1">
        <v>12</v>
      </c>
      <c r="AC3204" s="1">
        <v>7248</v>
      </c>
      <c r="AF3204" s="3">
        <v>2.2901985906470212</v>
      </c>
      <c r="AG3204" s="3">
        <v>7.8877090568016728</v>
      </c>
      <c r="AH3204" s="1">
        <v>6293</v>
      </c>
      <c r="AI3204" s="1" t="b">
        <v>1</v>
      </c>
    </row>
    <row r="3205" spans="1:35" x14ac:dyDescent="0.25">
      <c r="A3205" s="1">
        <v>15</v>
      </c>
      <c r="B3205" s="1">
        <v>8</v>
      </c>
      <c r="C3205" s="1">
        <v>2020</v>
      </c>
      <c r="G3205" s="1" t="s">
        <v>40</v>
      </c>
      <c r="H3205" s="2">
        <v>71.91</v>
      </c>
      <c r="I3205" s="1">
        <v>163</v>
      </c>
      <c r="U3205" s="1">
        <v>248</v>
      </c>
      <c r="X3205" s="1">
        <v>215</v>
      </c>
      <c r="AA3205" s="1">
        <v>17</v>
      </c>
      <c r="AB3205" s="1">
        <v>13</v>
      </c>
      <c r="AC3205" s="1">
        <v>8198</v>
      </c>
      <c r="AF3205" s="3">
        <v>2.266722291753581</v>
      </c>
      <c r="AG3205" s="3">
        <v>8.7973969121510489</v>
      </c>
      <c r="AH3205" s="1">
        <v>6293</v>
      </c>
      <c r="AI3205" s="1" t="b">
        <v>1</v>
      </c>
    </row>
    <row r="3206" spans="1:35" x14ac:dyDescent="0.25">
      <c r="A3206" s="1">
        <v>15</v>
      </c>
      <c r="B3206" s="1">
        <v>8</v>
      </c>
      <c r="C3206" s="1">
        <v>2020</v>
      </c>
      <c r="G3206" s="1" t="s">
        <v>40</v>
      </c>
      <c r="H3206" s="2">
        <v>66.709999999999994</v>
      </c>
      <c r="I3206" s="1">
        <v>155</v>
      </c>
      <c r="U3206" s="1">
        <v>188</v>
      </c>
      <c r="X3206" s="1">
        <v>174</v>
      </c>
      <c r="AA3206" s="1">
        <v>8</v>
      </c>
      <c r="AB3206" s="1">
        <v>8</v>
      </c>
      <c r="AC3206" s="1">
        <v>8415</v>
      </c>
      <c r="AF3206" s="3">
        <v>2.3234897316744116</v>
      </c>
      <c r="AG3206" s="3">
        <v>8.1431587413698576</v>
      </c>
      <c r="AH3206" s="1">
        <v>6293</v>
      </c>
      <c r="AI3206" s="1" t="b">
        <v>1</v>
      </c>
    </row>
    <row r="3207" spans="1:35" x14ac:dyDescent="0.25">
      <c r="A3207" s="1">
        <v>15</v>
      </c>
      <c r="B3207" s="1">
        <v>8</v>
      </c>
      <c r="C3207" s="1">
        <v>2020</v>
      </c>
      <c r="G3207" s="1" t="s">
        <v>40</v>
      </c>
      <c r="H3207" s="2">
        <v>77.61</v>
      </c>
      <c r="I3207" s="1">
        <v>188</v>
      </c>
      <c r="U3207" s="1">
        <v>253</v>
      </c>
      <c r="X3207" s="1">
        <v>227</v>
      </c>
      <c r="AA3207" s="1">
        <v>14</v>
      </c>
      <c r="AB3207" s="1">
        <v>8</v>
      </c>
      <c r="AC3207" s="1">
        <v>8297</v>
      </c>
      <c r="AF3207" s="3">
        <v>2.4223682515139804</v>
      </c>
      <c r="AG3207" s="3">
        <v>8.6836480396304925</v>
      </c>
      <c r="AH3207" s="1">
        <v>6293</v>
      </c>
      <c r="AI3207" s="1" t="b">
        <v>1</v>
      </c>
    </row>
    <row r="3208" spans="1:35" x14ac:dyDescent="0.25">
      <c r="A3208" s="1">
        <v>15</v>
      </c>
      <c r="B3208" s="1">
        <v>8</v>
      </c>
      <c r="C3208" s="1">
        <v>2020</v>
      </c>
      <c r="G3208" s="1" t="s">
        <v>40</v>
      </c>
      <c r="H3208" s="2">
        <v>81.92</v>
      </c>
      <c r="I3208" s="1">
        <v>203</v>
      </c>
      <c r="U3208" s="1">
        <v>269</v>
      </c>
      <c r="X3208" s="1">
        <v>238</v>
      </c>
      <c r="AA3208" s="1">
        <v>15</v>
      </c>
      <c r="AB3208" s="1">
        <v>8</v>
      </c>
      <c r="AC3208" s="1">
        <v>9086</v>
      </c>
      <c r="AF3208" s="3">
        <v>2.47802734375</v>
      </c>
      <c r="AG3208" s="3">
        <v>8.8159042829391669</v>
      </c>
      <c r="AH3208" s="1">
        <v>6293</v>
      </c>
      <c r="AI3208" s="1" t="b">
        <v>1</v>
      </c>
    </row>
    <row r="3209" spans="1:35" x14ac:dyDescent="0.25">
      <c r="A3209" s="1">
        <v>16</v>
      </c>
      <c r="B3209" s="1">
        <v>8</v>
      </c>
      <c r="C3209" s="1">
        <v>2020</v>
      </c>
      <c r="G3209" s="1" t="s">
        <v>40</v>
      </c>
      <c r="H3209" s="2">
        <v>67.31</v>
      </c>
      <c r="I3209" s="1">
        <v>170</v>
      </c>
      <c r="U3209" s="1">
        <v>208</v>
      </c>
      <c r="X3209" s="1">
        <v>193</v>
      </c>
      <c r="AA3209" s="1">
        <v>10</v>
      </c>
      <c r="AB3209" s="1">
        <v>13</v>
      </c>
      <c r="AC3209" s="1">
        <v>7848</v>
      </c>
      <c r="AF3209" s="3">
        <v>2.5256276927648194</v>
      </c>
      <c r="AG3209" s="3">
        <v>7.5385250546335545</v>
      </c>
      <c r="AH3209" s="1">
        <v>6293</v>
      </c>
      <c r="AI3209" s="1" t="b">
        <v>1</v>
      </c>
    </row>
    <row r="3210" spans="1:35" x14ac:dyDescent="0.25">
      <c r="A3210" s="1">
        <v>16</v>
      </c>
      <c r="B3210" s="1">
        <v>8</v>
      </c>
      <c r="C3210" s="1">
        <v>2020</v>
      </c>
      <c r="G3210" s="1" t="s">
        <v>40</v>
      </c>
      <c r="H3210" s="2">
        <v>71.98</v>
      </c>
      <c r="I3210" s="1">
        <v>190</v>
      </c>
      <c r="U3210" s="1">
        <v>249</v>
      </c>
      <c r="X3210" s="1">
        <v>222</v>
      </c>
      <c r="AA3210" s="1">
        <v>12</v>
      </c>
      <c r="AB3210" s="1">
        <v>5</v>
      </c>
      <c r="AC3210" s="1">
        <v>8666</v>
      </c>
      <c r="AF3210" s="3">
        <v>2.6396221172547927</v>
      </c>
      <c r="AG3210" s="3">
        <v>7.5597342869582427</v>
      </c>
      <c r="AH3210" s="1">
        <v>6293</v>
      </c>
      <c r="AI3210" s="1" t="b">
        <v>1</v>
      </c>
    </row>
    <row r="3211" spans="1:35" x14ac:dyDescent="0.25">
      <c r="A3211" s="1">
        <v>16</v>
      </c>
      <c r="B3211" s="1">
        <v>8</v>
      </c>
      <c r="C3211" s="1">
        <v>2020</v>
      </c>
      <c r="G3211" s="1" t="s">
        <v>40</v>
      </c>
      <c r="H3211" s="2">
        <v>60.46</v>
      </c>
      <c r="I3211" s="1">
        <v>152</v>
      </c>
      <c r="U3211" s="1">
        <v>210</v>
      </c>
      <c r="X3211" s="1">
        <v>189</v>
      </c>
      <c r="AA3211" s="1">
        <v>13</v>
      </c>
      <c r="AB3211" s="1">
        <v>9</v>
      </c>
      <c r="AC3211" s="1">
        <v>6845</v>
      </c>
      <c r="AF3211" s="3">
        <v>2.5140588819053922</v>
      </c>
      <c r="AG3211" s="3">
        <v>7.0250958626178495</v>
      </c>
      <c r="AH3211" s="1">
        <v>6293</v>
      </c>
      <c r="AI3211" s="1" t="b">
        <v>1</v>
      </c>
    </row>
    <row r="3212" spans="1:35" x14ac:dyDescent="0.25">
      <c r="A3212" s="1">
        <v>16</v>
      </c>
      <c r="B3212" s="1">
        <v>8</v>
      </c>
      <c r="C3212" s="1">
        <v>2020</v>
      </c>
      <c r="G3212" s="1" t="s">
        <v>40</v>
      </c>
      <c r="H3212" s="2">
        <v>65.650000000000006</v>
      </c>
      <c r="I3212" s="1">
        <v>171</v>
      </c>
      <c r="U3212" s="1">
        <v>240</v>
      </c>
      <c r="X3212" s="1">
        <v>217</v>
      </c>
      <c r="AA3212" s="1">
        <v>15</v>
      </c>
      <c r="AB3212" s="1">
        <v>13</v>
      </c>
      <c r="AC3212" s="1">
        <v>7865</v>
      </c>
      <c r="AF3212" s="3">
        <v>2.6047220106626043</v>
      </c>
      <c r="AG3212" s="3">
        <v>7.1829514551345603</v>
      </c>
      <c r="AH3212" s="1">
        <v>6293</v>
      </c>
      <c r="AI3212" s="1" t="b">
        <v>1</v>
      </c>
    </row>
    <row r="3213" spans="1:35" x14ac:dyDescent="0.25">
      <c r="A3213" s="1">
        <v>16</v>
      </c>
      <c r="B3213" s="1">
        <v>8</v>
      </c>
      <c r="C3213" s="1">
        <v>2020</v>
      </c>
      <c r="G3213" s="1" t="s">
        <v>40</v>
      </c>
      <c r="H3213" s="2">
        <v>66.540000000000006</v>
      </c>
      <c r="I3213" s="1">
        <v>161</v>
      </c>
      <c r="U3213" s="1">
        <v>230</v>
      </c>
      <c r="X3213" s="1">
        <v>204</v>
      </c>
      <c r="AA3213" s="1">
        <v>17</v>
      </c>
      <c r="AB3213" s="1">
        <v>12</v>
      </c>
      <c r="AC3213" s="1">
        <v>7640</v>
      </c>
      <c r="AF3213" s="3">
        <v>2.4195972347460173</v>
      </c>
      <c r="AG3213" s="3">
        <v>7.8057543198570931</v>
      </c>
      <c r="AH3213" s="1">
        <v>6293</v>
      </c>
      <c r="AI3213" s="1" t="b">
        <v>1</v>
      </c>
    </row>
    <row r="3214" spans="1:35" x14ac:dyDescent="0.25">
      <c r="A3214" s="1">
        <v>16</v>
      </c>
      <c r="B3214" s="1">
        <v>8</v>
      </c>
      <c r="C3214" s="1">
        <v>2020</v>
      </c>
      <c r="G3214" s="1" t="s">
        <v>40</v>
      </c>
      <c r="H3214" s="2">
        <v>83.1</v>
      </c>
      <c r="I3214" s="1">
        <v>236</v>
      </c>
      <c r="U3214" s="1">
        <v>294</v>
      </c>
      <c r="X3214" s="1">
        <v>263</v>
      </c>
      <c r="AA3214" s="1">
        <v>9</v>
      </c>
      <c r="AB3214" s="1">
        <v>3</v>
      </c>
      <c r="AC3214" s="1">
        <v>10247</v>
      </c>
      <c r="AF3214" s="3">
        <v>2.8399518652226234</v>
      </c>
      <c r="AG3214" s="3">
        <v>7.7697981672305625</v>
      </c>
      <c r="AH3214" s="1">
        <v>6293</v>
      </c>
      <c r="AI3214" s="1" t="b">
        <v>1</v>
      </c>
    </row>
    <row r="3215" spans="1:35" x14ac:dyDescent="0.25">
      <c r="A3215" s="1">
        <v>16</v>
      </c>
      <c r="B3215" s="1">
        <v>8</v>
      </c>
      <c r="C3215" s="1">
        <v>2020</v>
      </c>
      <c r="G3215" s="1" t="s">
        <v>40</v>
      </c>
      <c r="H3215" s="2">
        <v>82.2</v>
      </c>
      <c r="I3215" s="1">
        <v>206</v>
      </c>
      <c r="U3215" s="1">
        <v>254</v>
      </c>
      <c r="X3215" s="1">
        <v>234</v>
      </c>
      <c r="AA3215" s="1">
        <v>10</v>
      </c>
      <c r="AB3215" s="1">
        <v>3</v>
      </c>
      <c r="AC3215" s="1">
        <v>9037</v>
      </c>
      <c r="AF3215" s="3">
        <v>2.5060827250608271</v>
      </c>
      <c r="AG3215" s="3">
        <v>8.7380569211496812</v>
      </c>
      <c r="AH3215" s="1">
        <v>6293</v>
      </c>
      <c r="AI3215" s="1" t="b">
        <v>1</v>
      </c>
    </row>
    <row r="3216" spans="1:35" x14ac:dyDescent="0.25">
      <c r="A3216" s="1">
        <v>16</v>
      </c>
      <c r="B3216" s="1">
        <v>8</v>
      </c>
      <c r="C3216" s="1">
        <v>2020</v>
      </c>
      <c r="G3216" s="1" t="s">
        <v>40</v>
      </c>
      <c r="H3216" s="2">
        <v>71.680000000000007</v>
      </c>
      <c r="I3216" s="1">
        <v>156</v>
      </c>
      <c r="U3216" s="1">
        <v>235</v>
      </c>
      <c r="X3216" s="1">
        <v>206</v>
      </c>
      <c r="AA3216" s="1">
        <v>17</v>
      </c>
      <c r="AB3216" s="1">
        <v>17</v>
      </c>
      <c r="AC3216" s="1">
        <v>9316</v>
      </c>
      <c r="AF3216" s="3">
        <v>2.1763392857142856</v>
      </c>
      <c r="AG3216" s="3">
        <v>9.1422269033636763</v>
      </c>
      <c r="AH3216" s="1">
        <v>6293</v>
      </c>
      <c r="AI3216" s="1" t="b">
        <v>1</v>
      </c>
    </row>
    <row r="3217" spans="1:35" x14ac:dyDescent="0.25">
      <c r="A3217" s="1">
        <v>16</v>
      </c>
      <c r="B3217" s="1">
        <v>8</v>
      </c>
      <c r="C3217" s="1">
        <v>2020</v>
      </c>
      <c r="G3217" s="1" t="s">
        <v>40</v>
      </c>
      <c r="H3217" s="2">
        <v>70.760000000000005</v>
      </c>
      <c r="I3217" s="1">
        <v>169</v>
      </c>
      <c r="U3217" s="1">
        <v>223</v>
      </c>
      <c r="X3217" s="1">
        <v>201</v>
      </c>
      <c r="AA3217" s="1">
        <v>11</v>
      </c>
      <c r="AB3217" s="1">
        <v>5</v>
      </c>
      <c r="AC3217" s="1">
        <v>8136</v>
      </c>
      <c r="AF3217" s="3">
        <v>2.3883550028264553</v>
      </c>
      <c r="AG3217" s="3">
        <v>8.2556751669159212</v>
      </c>
      <c r="AH3217" s="1">
        <v>6293</v>
      </c>
      <c r="AI3217" s="1" t="b">
        <v>1</v>
      </c>
    </row>
    <row r="3218" spans="1:35" x14ac:dyDescent="0.25">
      <c r="A3218" s="1">
        <v>16</v>
      </c>
      <c r="B3218" s="1">
        <v>8</v>
      </c>
      <c r="C3218" s="1">
        <v>2020</v>
      </c>
      <c r="G3218" s="1" t="s">
        <v>40</v>
      </c>
      <c r="H3218" s="2">
        <v>70.53</v>
      </c>
      <c r="I3218" s="1">
        <v>194</v>
      </c>
      <c r="U3218" s="1">
        <v>248</v>
      </c>
      <c r="X3218" s="1">
        <v>227</v>
      </c>
      <c r="AA3218" s="1">
        <v>12</v>
      </c>
      <c r="AB3218" s="1">
        <v>10</v>
      </c>
      <c r="AC3218" s="1">
        <v>8787</v>
      </c>
      <c r="AF3218" s="3">
        <v>2.7506025804622145</v>
      </c>
      <c r="AG3218" s="3">
        <v>7.1521048500870332</v>
      </c>
      <c r="AH3218" s="1">
        <v>6293</v>
      </c>
      <c r="AI3218" s="1" t="b">
        <v>1</v>
      </c>
    </row>
    <row r="3219" spans="1:35" x14ac:dyDescent="0.25">
      <c r="A3219" s="1">
        <v>16</v>
      </c>
      <c r="B3219" s="1">
        <v>8</v>
      </c>
      <c r="C3219" s="1">
        <v>2020</v>
      </c>
      <c r="G3219" s="1" t="s">
        <v>40</v>
      </c>
      <c r="H3219" s="2">
        <v>77.78</v>
      </c>
      <c r="I3219" s="1">
        <v>149</v>
      </c>
      <c r="U3219" s="1">
        <v>218</v>
      </c>
      <c r="X3219" s="1">
        <v>195</v>
      </c>
      <c r="AA3219" s="1">
        <v>16</v>
      </c>
      <c r="AB3219" s="1">
        <v>12</v>
      </c>
      <c r="AC3219" s="1">
        <v>9802</v>
      </c>
      <c r="AF3219" s="3">
        <v>1.9156595525842119</v>
      </c>
      <c r="AG3219" s="3">
        <v>10.997379893117214</v>
      </c>
      <c r="AH3219" s="1">
        <v>6293</v>
      </c>
      <c r="AI3219" s="1" t="b">
        <v>1</v>
      </c>
    </row>
    <row r="3220" spans="1:35" x14ac:dyDescent="0.25">
      <c r="A3220" s="1">
        <v>16</v>
      </c>
      <c r="B3220" s="1">
        <v>8</v>
      </c>
      <c r="C3220" s="1">
        <v>2020</v>
      </c>
      <c r="G3220" s="1" t="s">
        <v>40</v>
      </c>
      <c r="H3220" s="2">
        <v>70.97</v>
      </c>
      <c r="I3220" s="1">
        <v>189</v>
      </c>
      <c r="U3220" s="1">
        <v>248</v>
      </c>
      <c r="X3220" s="1">
        <v>221</v>
      </c>
      <c r="AA3220" s="1">
        <v>14</v>
      </c>
      <c r="AB3220" s="1">
        <v>11</v>
      </c>
      <c r="AC3220" s="1">
        <v>8387</v>
      </c>
      <c r="AF3220" s="3">
        <v>2.6630970832746232</v>
      </c>
      <c r="AG3220" s="3">
        <v>7.4193415567040013</v>
      </c>
      <c r="AH3220" s="1">
        <v>6293</v>
      </c>
      <c r="AI3220" s="1" t="b">
        <v>1</v>
      </c>
    </row>
    <row r="3221" spans="1:35" x14ac:dyDescent="0.25">
      <c r="A3221" s="1">
        <v>17</v>
      </c>
      <c r="B3221" s="1">
        <v>8</v>
      </c>
      <c r="C3221" s="1">
        <v>2020</v>
      </c>
      <c r="G3221" s="1" t="s">
        <v>40</v>
      </c>
      <c r="H3221" s="2">
        <v>69.91</v>
      </c>
      <c r="I3221" s="1">
        <v>165</v>
      </c>
      <c r="U3221" s="1">
        <v>227</v>
      </c>
      <c r="X3221" s="1">
        <v>204</v>
      </c>
      <c r="AA3221" s="1">
        <v>16</v>
      </c>
      <c r="AB3221" s="1">
        <v>10</v>
      </c>
      <c r="AC3221" s="1">
        <v>7733</v>
      </c>
      <c r="AF3221" s="3">
        <v>2.3601773709054501</v>
      </c>
      <c r="AG3221" s="3">
        <v>8.283862266860325</v>
      </c>
      <c r="AH3221" s="1">
        <v>6294</v>
      </c>
      <c r="AI3221" s="1" t="b">
        <v>1</v>
      </c>
    </row>
    <row r="3222" spans="1:35" x14ac:dyDescent="0.25">
      <c r="A3222" s="1">
        <v>17</v>
      </c>
      <c r="B3222" s="1">
        <v>8</v>
      </c>
      <c r="C3222" s="1">
        <v>2020</v>
      </c>
      <c r="G3222" s="1" t="s">
        <v>40</v>
      </c>
      <c r="H3222" s="2">
        <v>69.84</v>
      </c>
      <c r="I3222" s="1">
        <v>184</v>
      </c>
      <c r="U3222" s="1">
        <v>250</v>
      </c>
      <c r="X3222" s="1">
        <v>220</v>
      </c>
      <c r="AA3222" s="1">
        <v>17</v>
      </c>
      <c r="AB3222" s="1">
        <v>11</v>
      </c>
      <c r="AC3222" s="1">
        <v>8166</v>
      </c>
      <c r="AF3222" s="3">
        <v>2.6345933562428407</v>
      </c>
      <c r="AG3222" s="3">
        <v>7.415823232333989</v>
      </c>
      <c r="AH3222" s="1">
        <v>6294</v>
      </c>
      <c r="AI3222" s="1" t="b">
        <v>1</v>
      </c>
    </row>
    <row r="3223" spans="1:35" x14ac:dyDescent="0.25">
      <c r="A3223" s="1">
        <v>17</v>
      </c>
      <c r="B3223" s="1">
        <v>8</v>
      </c>
      <c r="C3223" s="1">
        <v>2020</v>
      </c>
      <c r="G3223" s="1" t="s">
        <v>40</v>
      </c>
      <c r="H3223" s="2">
        <v>69.31</v>
      </c>
      <c r="I3223" s="1">
        <v>166</v>
      </c>
      <c r="U3223" s="1">
        <v>232</v>
      </c>
      <c r="X3223" s="1">
        <v>203</v>
      </c>
      <c r="AA3223" s="1">
        <v>13</v>
      </c>
      <c r="AB3223" s="1">
        <v>15</v>
      </c>
      <c r="AC3223" s="1">
        <v>8015</v>
      </c>
      <c r="AF3223" s="3">
        <v>2.3950367912278168</v>
      </c>
      <c r="AG3223" s="3">
        <v>8.1141856499571414</v>
      </c>
      <c r="AH3223" s="1">
        <v>6294</v>
      </c>
      <c r="AI3223" s="1" t="b">
        <v>1</v>
      </c>
    </row>
    <row r="3224" spans="1:35" x14ac:dyDescent="0.25">
      <c r="A3224" s="1">
        <v>18</v>
      </c>
      <c r="B3224" s="1">
        <v>8</v>
      </c>
      <c r="C3224" s="1">
        <v>2020</v>
      </c>
      <c r="G3224" s="1" t="s">
        <v>40</v>
      </c>
      <c r="H3224" s="2">
        <v>64.09</v>
      </c>
      <c r="I3224" s="1">
        <v>155</v>
      </c>
      <c r="U3224" s="1">
        <v>199</v>
      </c>
      <c r="X3224" s="1">
        <v>184</v>
      </c>
      <c r="AA3224" s="1">
        <v>12</v>
      </c>
      <c r="AB3224" s="1">
        <v>11</v>
      </c>
      <c r="AC3224" s="1">
        <v>7409</v>
      </c>
      <c r="AF3224" s="3">
        <v>2.4184740209080977</v>
      </c>
      <c r="AG3224" s="3">
        <v>7.6069710511831321</v>
      </c>
      <c r="AH3224" s="1">
        <v>6294</v>
      </c>
      <c r="AI3224" s="1" t="b">
        <v>1</v>
      </c>
    </row>
    <row r="3225" spans="1:35" x14ac:dyDescent="0.25">
      <c r="A3225" s="1">
        <v>18</v>
      </c>
      <c r="B3225" s="1">
        <v>8</v>
      </c>
      <c r="C3225" s="1">
        <v>2020</v>
      </c>
      <c r="G3225" s="1" t="s">
        <v>40</v>
      </c>
      <c r="H3225" s="2">
        <v>77.72</v>
      </c>
      <c r="I3225" s="1">
        <v>188</v>
      </c>
      <c r="U3225" s="1">
        <v>245</v>
      </c>
      <c r="X3225" s="1">
        <v>220</v>
      </c>
      <c r="AA3225" s="1">
        <v>12</v>
      </c>
      <c r="AB3225" s="1">
        <v>9</v>
      </c>
      <c r="AC3225" s="1">
        <v>9366</v>
      </c>
      <c r="AF3225" s="3">
        <v>2.4189397838394235</v>
      </c>
      <c r="AG3225" s="3">
        <v>8.704581522542945</v>
      </c>
      <c r="AH3225" s="1">
        <v>6294</v>
      </c>
      <c r="AI3225" s="1" t="b">
        <v>1</v>
      </c>
    </row>
    <row r="3226" spans="1:35" x14ac:dyDescent="0.25">
      <c r="A3226" s="1">
        <v>18</v>
      </c>
      <c r="B3226" s="1">
        <v>8</v>
      </c>
      <c r="C3226" s="1">
        <v>2020</v>
      </c>
      <c r="G3226" s="1" t="s">
        <v>40</v>
      </c>
      <c r="H3226" s="2">
        <v>60.28</v>
      </c>
      <c r="I3226" s="1">
        <v>147</v>
      </c>
      <c r="U3226" s="1">
        <v>197</v>
      </c>
      <c r="X3226" s="1">
        <v>184</v>
      </c>
      <c r="AA3226" s="1">
        <v>12</v>
      </c>
      <c r="AB3226" s="1">
        <v>11</v>
      </c>
      <c r="AC3226" s="1">
        <v>7389</v>
      </c>
      <c r="AF3226" s="3">
        <v>2.4386197743861975</v>
      </c>
      <c r="AG3226" s="3">
        <v>7.227318257416294</v>
      </c>
      <c r="AH3226" s="1">
        <v>6294</v>
      </c>
      <c r="AI3226" s="1" t="b">
        <v>1</v>
      </c>
    </row>
    <row r="3227" spans="1:35" x14ac:dyDescent="0.25">
      <c r="A3227" s="1">
        <v>18</v>
      </c>
      <c r="B3227" s="1">
        <v>8</v>
      </c>
      <c r="C3227" s="1">
        <v>2020</v>
      </c>
      <c r="G3227" s="1" t="s">
        <v>40</v>
      </c>
      <c r="H3227" s="2">
        <v>68.34</v>
      </c>
      <c r="I3227" s="1">
        <v>162</v>
      </c>
      <c r="U3227" s="1">
        <v>222</v>
      </c>
      <c r="X3227" s="1">
        <v>201</v>
      </c>
      <c r="AA3227" s="1">
        <v>15</v>
      </c>
      <c r="AB3227" s="1">
        <v>13</v>
      </c>
      <c r="AC3227" s="1">
        <v>8579</v>
      </c>
      <c r="AF3227" s="3">
        <v>2.3705004389815625</v>
      </c>
      <c r="AG3227" s="3">
        <v>8.1176896200409256</v>
      </c>
      <c r="AH3227" s="1">
        <v>6294</v>
      </c>
      <c r="AI3227" s="1" t="b">
        <v>1</v>
      </c>
    </row>
    <row r="3228" spans="1:35" x14ac:dyDescent="0.25">
      <c r="A3228" s="1">
        <v>18</v>
      </c>
      <c r="B3228" s="1">
        <v>8</v>
      </c>
      <c r="C3228" s="1">
        <v>2020</v>
      </c>
      <c r="G3228" s="1" t="s">
        <v>40</v>
      </c>
      <c r="H3228" s="2">
        <v>60.75</v>
      </c>
      <c r="I3228" s="1">
        <v>154</v>
      </c>
      <c r="U3228" s="1">
        <v>204</v>
      </c>
      <c r="X3228" s="1">
        <v>188</v>
      </c>
      <c r="AA3228" s="1">
        <v>13</v>
      </c>
      <c r="AB3228" s="1">
        <v>13</v>
      </c>
      <c r="AC3228" s="1">
        <v>7041</v>
      </c>
      <c r="AF3228" s="3">
        <v>2.5349794238683128</v>
      </c>
      <c r="AG3228" s="3">
        <v>6.9904954765589915</v>
      </c>
      <c r="AH3228" s="1">
        <v>6294</v>
      </c>
      <c r="AI3228" s="1" t="b">
        <v>1</v>
      </c>
    </row>
    <row r="3229" spans="1:35" x14ac:dyDescent="0.25">
      <c r="A3229" s="1">
        <v>18</v>
      </c>
      <c r="B3229" s="1">
        <v>8</v>
      </c>
      <c r="C3229" s="1">
        <v>2020</v>
      </c>
      <c r="G3229" s="1" t="s">
        <v>40</v>
      </c>
      <c r="H3229" s="2">
        <v>77.099999999999994</v>
      </c>
      <c r="I3229" s="1">
        <v>186</v>
      </c>
      <c r="U3229" s="1">
        <v>242</v>
      </c>
      <c r="X3229" s="1">
        <v>219</v>
      </c>
      <c r="AA3229" s="1">
        <v>13</v>
      </c>
      <c r="AB3229" s="1">
        <v>6</v>
      </c>
      <c r="AC3229" s="1">
        <v>9008</v>
      </c>
      <c r="AF3229" s="3">
        <v>2.4124513618677046</v>
      </c>
      <c r="AG3229" s="3">
        <v>8.6791960486082971</v>
      </c>
      <c r="AH3229" s="1">
        <v>6294</v>
      </c>
      <c r="AI3229" s="1" t="b">
        <v>1</v>
      </c>
    </row>
    <row r="3230" spans="1:35" x14ac:dyDescent="0.25">
      <c r="A3230" s="1">
        <v>18</v>
      </c>
      <c r="B3230" s="1">
        <v>8</v>
      </c>
      <c r="C3230" s="1">
        <v>2020</v>
      </c>
      <c r="G3230" s="1" t="s">
        <v>40</v>
      </c>
      <c r="H3230" s="2">
        <v>65.540000000000006</v>
      </c>
      <c r="I3230" s="1">
        <v>157</v>
      </c>
      <c r="U3230" s="1">
        <v>232</v>
      </c>
      <c r="X3230" s="1">
        <v>200</v>
      </c>
      <c r="AA3230" s="1">
        <v>16</v>
      </c>
      <c r="AB3230" s="1">
        <v>10</v>
      </c>
      <c r="AC3230" s="1">
        <v>7934</v>
      </c>
      <c r="AF3230" s="3">
        <v>2.3954836740921572</v>
      </c>
      <c r="AG3230" s="3">
        <v>7.8011978171897693</v>
      </c>
      <c r="AH3230" s="1">
        <v>6294</v>
      </c>
      <c r="AI3230" s="1" t="b">
        <v>1</v>
      </c>
    </row>
    <row r="3231" spans="1:35" x14ac:dyDescent="0.25">
      <c r="A3231" s="1">
        <v>18</v>
      </c>
      <c r="B3231" s="1">
        <v>8</v>
      </c>
      <c r="C3231" s="1">
        <v>2020</v>
      </c>
      <c r="G3231" s="1" t="s">
        <v>40</v>
      </c>
      <c r="H3231" s="2">
        <v>81.739999999999995</v>
      </c>
      <c r="I3231" s="1">
        <v>207</v>
      </c>
      <c r="U3231" s="1">
        <v>260</v>
      </c>
      <c r="X3231" s="1">
        <v>235</v>
      </c>
      <c r="AA3231" s="1">
        <v>13</v>
      </c>
      <c r="AB3231" s="1">
        <v>6</v>
      </c>
      <c r="AC3231" s="1">
        <v>9563</v>
      </c>
      <c r="AF3231" s="3">
        <v>2.5324198678737462</v>
      </c>
      <c r="AG3231" s="3">
        <v>8.6132793220435637</v>
      </c>
      <c r="AH3231" s="1">
        <v>6294</v>
      </c>
      <c r="AI3231" s="1" t="b">
        <v>1</v>
      </c>
    </row>
    <row r="3232" spans="1:35" x14ac:dyDescent="0.25">
      <c r="A3232" s="1">
        <v>18</v>
      </c>
      <c r="B3232" s="1">
        <v>8</v>
      </c>
      <c r="C3232" s="1">
        <v>2020</v>
      </c>
      <c r="G3232" s="1" t="s">
        <v>40</v>
      </c>
      <c r="H3232" s="2">
        <v>81.39</v>
      </c>
      <c r="I3232" s="1">
        <v>167</v>
      </c>
      <c r="U3232" s="1">
        <v>212</v>
      </c>
      <c r="X3232" s="1">
        <v>194</v>
      </c>
      <c r="AA3232" s="1">
        <v>11</v>
      </c>
      <c r="AB3232" s="1">
        <v>7</v>
      </c>
      <c r="AC3232" s="1">
        <v>8833</v>
      </c>
      <c r="AF3232" s="3">
        <v>2.0518491215136994</v>
      </c>
      <c r="AG3232" s="3">
        <v>10.598741775621033</v>
      </c>
      <c r="AH3232" s="1">
        <v>6294</v>
      </c>
      <c r="AI3232" s="1" t="b">
        <v>1</v>
      </c>
    </row>
    <row r="3233" spans="1:35" x14ac:dyDescent="0.25">
      <c r="A3233" s="1">
        <v>18</v>
      </c>
      <c r="B3233" s="1">
        <v>8</v>
      </c>
      <c r="C3233" s="1">
        <v>2020</v>
      </c>
      <c r="G3233" s="1" t="s">
        <v>40</v>
      </c>
      <c r="H3233" s="2">
        <v>75.41</v>
      </c>
      <c r="I3233" s="1">
        <v>191</v>
      </c>
      <c r="U3233" s="1">
        <v>249</v>
      </c>
      <c r="X3233" s="1">
        <v>222</v>
      </c>
      <c r="AA3233" s="1">
        <v>13</v>
      </c>
      <c r="AB3233" s="1">
        <v>8</v>
      </c>
      <c r="AC3233" s="1">
        <v>8637</v>
      </c>
      <c r="AF3233" s="3">
        <v>2.5328205808248243</v>
      </c>
      <c r="AG3233" s="3">
        <v>8.1394644764644255</v>
      </c>
      <c r="AH3233" s="1">
        <v>6294</v>
      </c>
      <c r="AI3233" s="1" t="b">
        <v>1</v>
      </c>
    </row>
    <row r="3234" spans="1:35" x14ac:dyDescent="0.25">
      <c r="A3234" s="1">
        <v>20</v>
      </c>
      <c r="B3234" s="1">
        <v>8</v>
      </c>
      <c r="C3234" s="1">
        <v>2020</v>
      </c>
      <c r="G3234" s="1" t="s">
        <v>40</v>
      </c>
      <c r="H3234" s="2">
        <v>78.3</v>
      </c>
      <c r="I3234" s="1">
        <v>184</v>
      </c>
      <c r="U3234" s="1">
        <v>248</v>
      </c>
      <c r="X3234" s="1">
        <v>222</v>
      </c>
      <c r="AA3234" s="1">
        <v>12</v>
      </c>
      <c r="AB3234" s="1">
        <v>8</v>
      </c>
      <c r="AC3234" s="1">
        <v>9105</v>
      </c>
      <c r="AF3234" s="3">
        <v>2.3499361430395913</v>
      </c>
      <c r="AG3234" s="3">
        <v>9.0069379841713495</v>
      </c>
      <c r="AH3234" s="1">
        <v>6294</v>
      </c>
      <c r="AI3234" s="1" t="b">
        <v>1</v>
      </c>
    </row>
    <row r="3235" spans="1:35" x14ac:dyDescent="0.25">
      <c r="A3235" s="1">
        <v>20</v>
      </c>
      <c r="B3235" s="1">
        <v>8</v>
      </c>
      <c r="C3235" s="1">
        <v>2020</v>
      </c>
      <c r="G3235" s="1" t="s">
        <v>40</v>
      </c>
      <c r="H3235" s="2">
        <v>68.680000000000007</v>
      </c>
      <c r="I3235" s="1">
        <v>176</v>
      </c>
      <c r="U3235" s="1">
        <v>231</v>
      </c>
      <c r="X3235" s="1">
        <v>212</v>
      </c>
      <c r="AA3235" s="1">
        <v>14</v>
      </c>
      <c r="AB3235" s="1">
        <v>11</v>
      </c>
      <c r="AC3235" s="1">
        <v>7953</v>
      </c>
      <c r="AF3235" s="3">
        <v>2.56260920209668</v>
      </c>
      <c r="AG3235" s="3">
        <v>7.5352700150311822</v>
      </c>
      <c r="AH3235" s="1">
        <v>6294</v>
      </c>
      <c r="AI3235" s="1" t="b">
        <v>1</v>
      </c>
    </row>
    <row r="3236" spans="1:35" x14ac:dyDescent="0.25">
      <c r="A3236" s="1">
        <v>20</v>
      </c>
      <c r="B3236" s="1">
        <v>8</v>
      </c>
      <c r="C3236" s="1">
        <v>2020</v>
      </c>
      <c r="G3236" s="1" t="s">
        <v>40</v>
      </c>
      <c r="H3236" s="2">
        <v>71.92</v>
      </c>
      <c r="I3236" s="1">
        <v>186</v>
      </c>
      <c r="U3236" s="1">
        <v>230</v>
      </c>
      <c r="X3236" s="1">
        <v>207</v>
      </c>
      <c r="AA3236" s="1">
        <v>11</v>
      </c>
      <c r="AB3236" s="1">
        <v>8</v>
      </c>
      <c r="AC3236" s="1">
        <v>8185</v>
      </c>
      <c r="AF3236" s="3">
        <v>2.5862068965517242</v>
      </c>
      <c r="AG3236" s="3">
        <v>7.7113694329407627</v>
      </c>
      <c r="AH3236" s="1">
        <v>6294</v>
      </c>
      <c r="AI3236" s="1" t="b">
        <v>1</v>
      </c>
    </row>
    <row r="3237" spans="1:35" x14ac:dyDescent="0.25">
      <c r="A3237" s="1">
        <v>21</v>
      </c>
      <c r="B3237" s="1">
        <v>8</v>
      </c>
      <c r="C3237" s="1">
        <v>2020</v>
      </c>
      <c r="G3237" s="1" t="s">
        <v>40</v>
      </c>
      <c r="H3237" s="2">
        <v>65.67</v>
      </c>
      <c r="I3237" s="1">
        <v>162</v>
      </c>
      <c r="U3237" s="1">
        <v>217</v>
      </c>
      <c r="X3237" s="1">
        <v>198</v>
      </c>
      <c r="AA3237" s="1">
        <v>13</v>
      </c>
      <c r="AB3237" s="1">
        <v>13</v>
      </c>
      <c r="AC3237" s="1">
        <v>7585</v>
      </c>
      <c r="AF3237" s="3">
        <v>2.4668798538145271</v>
      </c>
      <c r="AG3237" s="3">
        <v>7.5859314368721327</v>
      </c>
      <c r="AH3237" s="1">
        <v>6294</v>
      </c>
      <c r="AI3237" s="1" t="b">
        <v>1</v>
      </c>
    </row>
    <row r="3238" spans="1:35" x14ac:dyDescent="0.25">
      <c r="A3238" s="1">
        <v>21</v>
      </c>
      <c r="B3238" s="1">
        <v>8</v>
      </c>
      <c r="C3238" s="1">
        <v>2020</v>
      </c>
      <c r="G3238" s="1" t="s">
        <v>40</v>
      </c>
      <c r="H3238" s="2">
        <v>72.66</v>
      </c>
      <c r="I3238" s="1">
        <v>201</v>
      </c>
      <c r="U3238" s="1">
        <v>251</v>
      </c>
      <c r="X3238" s="1">
        <v>235</v>
      </c>
      <c r="AA3238" s="1">
        <v>12</v>
      </c>
      <c r="AB3238" s="1">
        <v>6</v>
      </c>
      <c r="AC3238" s="1">
        <v>8716</v>
      </c>
      <c r="AF3238" s="3">
        <v>2.7663088356729975</v>
      </c>
      <c r="AG3238" s="3">
        <v>7.2611617557595354</v>
      </c>
      <c r="AH3238" s="1">
        <v>6294</v>
      </c>
      <c r="AI3238" s="1" t="b">
        <v>1</v>
      </c>
    </row>
    <row r="3239" spans="1:35" x14ac:dyDescent="0.25">
      <c r="A3239" s="1">
        <v>21</v>
      </c>
      <c r="B3239" s="1">
        <v>8</v>
      </c>
      <c r="C3239" s="1">
        <v>2020</v>
      </c>
      <c r="G3239" s="1" t="s">
        <v>40</v>
      </c>
      <c r="H3239" s="2">
        <v>70.430000000000007</v>
      </c>
      <c r="I3239" s="1">
        <v>197</v>
      </c>
      <c r="U3239" s="1">
        <v>254</v>
      </c>
      <c r="X3239" s="1">
        <v>228</v>
      </c>
      <c r="AA3239" s="1">
        <v>12</v>
      </c>
      <c r="AB3239" s="1">
        <v>7</v>
      </c>
      <c r="AC3239" s="1">
        <v>8466</v>
      </c>
      <c r="AF3239" s="3">
        <v>2.7971035070282548</v>
      </c>
      <c r="AG3239" s="3">
        <v>7.0262216197358605</v>
      </c>
      <c r="AH3239" s="1">
        <v>6294</v>
      </c>
      <c r="AI3239" s="1" t="b">
        <v>1</v>
      </c>
    </row>
    <row r="3240" spans="1:35" x14ac:dyDescent="0.25">
      <c r="A3240" s="1">
        <v>21</v>
      </c>
      <c r="B3240" s="1">
        <v>8</v>
      </c>
      <c r="C3240" s="1">
        <v>2020</v>
      </c>
      <c r="G3240" s="1" t="s">
        <v>40</v>
      </c>
      <c r="H3240" s="2">
        <v>72.5</v>
      </c>
      <c r="I3240" s="1">
        <v>181</v>
      </c>
      <c r="U3240" s="1">
        <v>243</v>
      </c>
      <c r="X3240" s="1">
        <v>220</v>
      </c>
      <c r="AA3240" s="1">
        <v>13</v>
      </c>
      <c r="AB3240" s="1">
        <v>11</v>
      </c>
      <c r="AC3240" s="1">
        <v>7829</v>
      </c>
      <c r="AF3240" s="3">
        <v>2.4965517241379311</v>
      </c>
      <c r="AG3240" s="3">
        <v>8.0333379289535571</v>
      </c>
      <c r="AH3240" s="1">
        <v>6294</v>
      </c>
      <c r="AI3240" s="1" t="b">
        <v>1</v>
      </c>
    </row>
    <row r="3241" spans="1:35" x14ac:dyDescent="0.25">
      <c r="A3241" s="1">
        <v>21</v>
      </c>
      <c r="B3241" s="1">
        <v>8</v>
      </c>
      <c r="C3241" s="1">
        <v>2020</v>
      </c>
      <c r="G3241" s="1" t="s">
        <v>40</v>
      </c>
      <c r="H3241" s="2">
        <v>61.27</v>
      </c>
      <c r="I3241" s="1">
        <v>140</v>
      </c>
      <c r="U3241" s="1">
        <v>187</v>
      </c>
      <c r="X3241" s="1">
        <v>165</v>
      </c>
      <c r="AA3241" s="1">
        <v>11</v>
      </c>
      <c r="AB3241" s="1">
        <v>12</v>
      </c>
      <c r="AC3241" s="1">
        <v>7269</v>
      </c>
      <c r="AF3241" s="3">
        <v>2.2849681736575809</v>
      </c>
      <c r="AG3241" s="3">
        <v>7.8017739150479963</v>
      </c>
      <c r="AH3241" s="1">
        <v>6294</v>
      </c>
      <c r="AI3241" s="1" t="b">
        <v>1</v>
      </c>
    </row>
    <row r="3242" spans="1:35" x14ac:dyDescent="0.25">
      <c r="A3242" s="1">
        <v>21</v>
      </c>
      <c r="B3242" s="1">
        <v>8</v>
      </c>
      <c r="C3242" s="1">
        <v>2020</v>
      </c>
      <c r="G3242" s="1" t="s">
        <v>40</v>
      </c>
      <c r="H3242" s="2">
        <v>59.17</v>
      </c>
      <c r="I3242" s="1">
        <v>146</v>
      </c>
      <c r="U3242" s="1">
        <v>208</v>
      </c>
      <c r="X3242" s="1">
        <v>183</v>
      </c>
      <c r="AA3242" s="1">
        <v>14</v>
      </c>
      <c r="AB3242" s="1">
        <v>15</v>
      </c>
      <c r="AC3242" s="1">
        <v>7361</v>
      </c>
      <c r="AF3242" s="3">
        <v>2.467466621598783</v>
      </c>
      <c r="AG3242" s="3">
        <v>7.0504982963677278</v>
      </c>
      <c r="AH3242" s="1">
        <v>6294</v>
      </c>
      <c r="AI3242" s="1" t="b">
        <v>1</v>
      </c>
    </row>
    <row r="3243" spans="1:35" x14ac:dyDescent="0.25">
      <c r="A3243" s="1">
        <v>21</v>
      </c>
      <c r="B3243" s="1">
        <v>8</v>
      </c>
      <c r="C3243" s="1">
        <v>2020</v>
      </c>
      <c r="G3243" s="1" t="s">
        <v>40</v>
      </c>
      <c r="H3243" s="2">
        <v>77.44</v>
      </c>
      <c r="I3243" s="1">
        <v>176</v>
      </c>
      <c r="U3243" s="1">
        <v>216</v>
      </c>
      <c r="X3243" s="1">
        <v>200</v>
      </c>
      <c r="AA3243" s="1">
        <v>11</v>
      </c>
      <c r="AB3243" s="1">
        <v>4</v>
      </c>
      <c r="AC3243" s="1">
        <v>7818</v>
      </c>
      <c r="AF3243" s="3">
        <v>2.2727272727272729</v>
      </c>
      <c r="AG3243" s="3">
        <v>9.2412010226028496</v>
      </c>
      <c r="AH3243" s="1">
        <v>6294</v>
      </c>
      <c r="AI3243" s="1" t="b">
        <v>1</v>
      </c>
    </row>
    <row r="3244" spans="1:35" x14ac:dyDescent="0.25">
      <c r="A3244" s="1">
        <v>21</v>
      </c>
      <c r="B3244" s="1">
        <v>8</v>
      </c>
      <c r="C3244" s="1">
        <v>2020</v>
      </c>
      <c r="G3244" s="1" t="s">
        <v>40</v>
      </c>
      <c r="H3244" s="2">
        <v>73.77</v>
      </c>
      <c r="I3244" s="1">
        <v>185</v>
      </c>
      <c r="U3244" s="1">
        <v>244</v>
      </c>
      <c r="X3244" s="1">
        <v>221</v>
      </c>
      <c r="AA3244" s="1">
        <v>12</v>
      </c>
      <c r="AB3244" s="1">
        <v>11</v>
      </c>
      <c r="AC3244" s="1">
        <v>8896</v>
      </c>
      <c r="AF3244" s="3">
        <v>2.5077944964077541</v>
      </c>
      <c r="AG3244" s="3">
        <v>8.0951314162327748</v>
      </c>
      <c r="AH3244" s="1">
        <v>6294</v>
      </c>
      <c r="AI3244" s="1" t="b">
        <v>1</v>
      </c>
    </row>
    <row r="3245" spans="1:35" x14ac:dyDescent="0.25">
      <c r="A3245" s="1">
        <v>23</v>
      </c>
      <c r="B3245" s="1">
        <v>8</v>
      </c>
      <c r="C3245" s="1">
        <v>2020</v>
      </c>
      <c r="G3245" s="1" t="s">
        <v>40</v>
      </c>
      <c r="H3245" s="2">
        <v>62.18</v>
      </c>
      <c r="I3245" s="1">
        <v>139</v>
      </c>
      <c r="U3245" s="1">
        <v>194</v>
      </c>
      <c r="X3245" s="1">
        <v>175</v>
      </c>
      <c r="AA3245" s="1">
        <v>12</v>
      </c>
      <c r="AB3245" s="1">
        <v>10</v>
      </c>
      <c r="AC3245" s="1">
        <v>7074</v>
      </c>
      <c r="AF3245" s="3">
        <v>2.2354454808620137</v>
      </c>
      <c r="AG3245" s="3">
        <v>8.0573349843627948</v>
      </c>
      <c r="AH3245" s="1">
        <v>6294</v>
      </c>
      <c r="AI3245" s="1" t="b">
        <v>1</v>
      </c>
    </row>
    <row r="3246" spans="1:35" x14ac:dyDescent="0.25">
      <c r="A3246" s="1">
        <v>23</v>
      </c>
      <c r="B3246" s="1">
        <v>8</v>
      </c>
      <c r="C3246" s="1">
        <v>2020</v>
      </c>
      <c r="G3246" s="1" t="s">
        <v>40</v>
      </c>
      <c r="H3246" s="2">
        <v>74.47</v>
      </c>
      <c r="I3246" s="1">
        <v>184</v>
      </c>
      <c r="U3246" s="1">
        <v>254</v>
      </c>
      <c r="X3246" s="1">
        <v>219</v>
      </c>
      <c r="AA3246" s="1">
        <v>15</v>
      </c>
      <c r="AB3246" s="1">
        <v>7</v>
      </c>
      <c r="AC3246" s="1">
        <v>9077</v>
      </c>
      <c r="AF3246" s="3">
        <v>2.4707936081643616</v>
      </c>
      <c r="AG3246" s="3">
        <v>8.2708563605237746</v>
      </c>
      <c r="AH3246" s="1">
        <v>6294</v>
      </c>
      <c r="AI3246" s="1" t="b">
        <v>1</v>
      </c>
    </row>
    <row r="3247" spans="1:35" x14ac:dyDescent="0.25">
      <c r="A3247" s="1">
        <v>23</v>
      </c>
      <c r="B3247" s="1">
        <v>8</v>
      </c>
      <c r="C3247" s="1">
        <v>2020</v>
      </c>
      <c r="G3247" s="1" t="s">
        <v>40</v>
      </c>
      <c r="H3247" s="2">
        <v>69.94</v>
      </c>
      <c r="I3247" s="1">
        <v>178</v>
      </c>
      <c r="U3247" s="1">
        <v>232</v>
      </c>
      <c r="X3247" s="1">
        <v>207</v>
      </c>
      <c r="AA3247" s="1">
        <v>11</v>
      </c>
      <c r="AB3247" s="1">
        <v>7</v>
      </c>
      <c r="AC3247" s="1">
        <v>8291</v>
      </c>
      <c r="AF3247" s="3">
        <v>2.5450386045181586</v>
      </c>
      <c r="AG3247" s="3">
        <v>7.6844637324928664</v>
      </c>
      <c r="AH3247" s="1">
        <v>6294</v>
      </c>
      <c r="AI3247" s="1" t="b">
        <v>1</v>
      </c>
    </row>
    <row r="3248" spans="1:35" x14ac:dyDescent="0.25">
      <c r="A3248" s="1">
        <v>24</v>
      </c>
      <c r="B3248" s="1">
        <v>8</v>
      </c>
      <c r="C3248" s="1">
        <v>2020</v>
      </c>
      <c r="G3248" s="1" t="s">
        <v>40</v>
      </c>
      <c r="H3248" s="2">
        <v>65.12</v>
      </c>
      <c r="I3248" s="1">
        <v>174</v>
      </c>
      <c r="U3248" s="1">
        <v>220</v>
      </c>
      <c r="X3248" s="1">
        <v>196</v>
      </c>
      <c r="AA3248" s="1">
        <v>11</v>
      </c>
      <c r="AB3248" s="1">
        <v>8</v>
      </c>
      <c r="AC3248" s="1">
        <v>7606</v>
      </c>
      <c r="AF3248" s="3">
        <v>2.671990171990172</v>
      </c>
      <c r="AG3248" s="3">
        <v>6.9625001560460076</v>
      </c>
      <c r="AH3248" s="1">
        <v>6295</v>
      </c>
      <c r="AI3248" s="1" t="b">
        <v>1</v>
      </c>
    </row>
    <row r="3249" spans="1:35" x14ac:dyDescent="0.25">
      <c r="A3249" s="1">
        <v>25</v>
      </c>
      <c r="B3249" s="1">
        <v>8</v>
      </c>
      <c r="C3249" s="1">
        <v>2020</v>
      </c>
      <c r="G3249" s="1" t="s">
        <v>40</v>
      </c>
      <c r="H3249" s="2">
        <v>74.58</v>
      </c>
      <c r="I3249" s="1">
        <v>161</v>
      </c>
      <c r="U3249" s="1">
        <v>222</v>
      </c>
      <c r="X3249" s="1">
        <v>199</v>
      </c>
      <c r="AA3249" s="1">
        <v>15</v>
      </c>
      <c r="AB3249" s="1">
        <v>13</v>
      </c>
      <c r="AC3249" s="1">
        <v>8248</v>
      </c>
      <c r="AF3249" s="3">
        <v>2.1587556985787075</v>
      </c>
      <c r="AG3249" s="3">
        <v>9.4761552730669258</v>
      </c>
      <c r="AH3249" s="1">
        <v>6295</v>
      </c>
      <c r="AI3249" s="1" t="b">
        <v>1</v>
      </c>
    </row>
    <row r="3250" spans="1:35" x14ac:dyDescent="0.25">
      <c r="A3250" s="1">
        <v>25</v>
      </c>
      <c r="B3250" s="1">
        <v>8</v>
      </c>
      <c r="C3250" s="1">
        <v>2020</v>
      </c>
      <c r="G3250" s="1" t="s">
        <v>40</v>
      </c>
      <c r="H3250" s="2">
        <v>75.69</v>
      </c>
      <c r="I3250" s="1">
        <v>198</v>
      </c>
      <c r="U3250" s="1">
        <v>261</v>
      </c>
      <c r="X3250" s="1">
        <v>226</v>
      </c>
      <c r="AA3250" s="1">
        <v>12</v>
      </c>
      <c r="AB3250" s="1">
        <v>4</v>
      </c>
      <c r="AC3250" s="1">
        <v>8519</v>
      </c>
      <c r="AF3250" s="3">
        <v>2.615933412604043</v>
      </c>
      <c r="AG3250" s="3">
        <v>7.9013312390705099</v>
      </c>
      <c r="AH3250" s="1">
        <v>6295</v>
      </c>
      <c r="AI3250" s="1" t="b">
        <v>1</v>
      </c>
    </row>
    <row r="3251" spans="1:35" x14ac:dyDescent="0.25">
      <c r="A3251" s="1">
        <v>26</v>
      </c>
      <c r="B3251" s="1">
        <v>8</v>
      </c>
      <c r="C3251" s="1">
        <v>2020</v>
      </c>
      <c r="G3251" s="1" t="s">
        <v>40</v>
      </c>
      <c r="H3251" s="2">
        <v>71.39</v>
      </c>
      <c r="I3251" s="1">
        <v>164</v>
      </c>
      <c r="U3251" s="1">
        <v>239</v>
      </c>
      <c r="X3251" s="1">
        <v>210</v>
      </c>
      <c r="AA3251" s="1">
        <v>14</v>
      </c>
      <c r="AB3251" s="1">
        <v>10</v>
      </c>
      <c r="AC3251" s="1">
        <v>7950</v>
      </c>
      <c r="AF3251" s="3">
        <v>2.2972405098753326</v>
      </c>
      <c r="AG3251" s="3">
        <v>8.636538259771342</v>
      </c>
      <c r="AH3251" s="1">
        <v>6295</v>
      </c>
      <c r="AI3251" s="1" t="b">
        <v>1</v>
      </c>
    </row>
    <row r="3252" spans="1:35" x14ac:dyDescent="0.25">
      <c r="A3252" s="1">
        <v>26</v>
      </c>
      <c r="B3252" s="1">
        <v>8</v>
      </c>
      <c r="C3252" s="1">
        <v>2020</v>
      </c>
      <c r="G3252" s="1" t="s">
        <v>40</v>
      </c>
      <c r="H3252" s="2">
        <v>73.41</v>
      </c>
      <c r="I3252" s="1">
        <v>181</v>
      </c>
      <c r="U3252" s="1">
        <v>250</v>
      </c>
      <c r="X3252" s="1">
        <v>226</v>
      </c>
      <c r="AA3252" s="1">
        <v>16</v>
      </c>
      <c r="AB3252" s="1">
        <v>14</v>
      </c>
      <c r="AC3252" s="1">
        <v>8353</v>
      </c>
      <c r="AF3252" s="3">
        <v>2.4656041411251874</v>
      </c>
      <c r="AG3252" s="3">
        <v>8.205504841289109</v>
      </c>
      <c r="AH3252" s="1">
        <v>6295</v>
      </c>
      <c r="AI3252" s="1" t="b">
        <v>1</v>
      </c>
    </row>
    <row r="3253" spans="1:35" x14ac:dyDescent="0.25">
      <c r="A3253" s="1">
        <v>27</v>
      </c>
      <c r="B3253" s="1">
        <v>8</v>
      </c>
      <c r="C3253" s="1">
        <v>2020</v>
      </c>
      <c r="G3253" s="1" t="s">
        <v>40</v>
      </c>
      <c r="H3253" s="2">
        <v>76.53</v>
      </c>
      <c r="I3253" s="1">
        <v>165</v>
      </c>
      <c r="U3253" s="1">
        <v>231</v>
      </c>
      <c r="X3253" s="1">
        <v>205</v>
      </c>
      <c r="AA3253" s="1">
        <v>14</v>
      </c>
      <c r="AB3253" s="1">
        <v>8</v>
      </c>
      <c r="AC3253" s="1">
        <v>8409</v>
      </c>
      <c r="AF3253" s="3">
        <v>2.1560172481379851</v>
      </c>
      <c r="AG3253" s="3">
        <v>9.6611754353165971</v>
      </c>
      <c r="AH3253" s="1">
        <v>6295</v>
      </c>
      <c r="AI3253" s="1" t="b">
        <v>1</v>
      </c>
    </row>
    <row r="3254" spans="1:35" x14ac:dyDescent="0.25">
      <c r="A3254" s="1">
        <v>27</v>
      </c>
      <c r="B3254" s="1">
        <v>8</v>
      </c>
      <c r="C3254" s="1">
        <v>2020</v>
      </c>
      <c r="G3254" s="1" t="s">
        <v>40</v>
      </c>
      <c r="H3254" s="2">
        <v>81.510000000000005</v>
      </c>
      <c r="I3254" s="1">
        <v>170</v>
      </c>
      <c r="U3254" s="1">
        <v>228</v>
      </c>
      <c r="X3254" s="1">
        <v>207</v>
      </c>
      <c r="AA3254" s="1">
        <v>14</v>
      </c>
      <c r="AB3254" s="1">
        <v>16</v>
      </c>
      <c r="AC3254" s="1">
        <v>9775</v>
      </c>
      <c r="AF3254" s="3">
        <v>2.0856336645810329</v>
      </c>
      <c r="AG3254" s="3">
        <v>10.437815043507571</v>
      </c>
      <c r="AH3254" s="1">
        <v>6295</v>
      </c>
      <c r="AI3254" s="1" t="b">
        <v>1</v>
      </c>
    </row>
    <row r="3255" spans="1:35" x14ac:dyDescent="0.25">
      <c r="A3255" s="1">
        <v>27</v>
      </c>
      <c r="B3255" s="1">
        <v>8</v>
      </c>
      <c r="C3255" s="1">
        <v>2020</v>
      </c>
      <c r="G3255" s="1" t="s">
        <v>40</v>
      </c>
      <c r="H3255" s="2">
        <v>61.85</v>
      </c>
      <c r="I3255" s="1">
        <v>145</v>
      </c>
      <c r="U3255" s="1">
        <v>197</v>
      </c>
      <c r="X3255" s="1">
        <v>179</v>
      </c>
      <c r="AA3255" s="1">
        <v>11</v>
      </c>
      <c r="AB3255" s="1">
        <v>16</v>
      </c>
      <c r="AC3255" s="1">
        <v>7069</v>
      </c>
      <c r="AF3255" s="3">
        <v>2.3443815683104283</v>
      </c>
      <c r="AG3255" s="3">
        <v>7.6543707580342346</v>
      </c>
      <c r="AH3255" s="1">
        <v>6295</v>
      </c>
      <c r="AI3255" s="1" t="b">
        <v>1</v>
      </c>
    </row>
    <row r="3256" spans="1:35" x14ac:dyDescent="0.25">
      <c r="A3256" s="1">
        <v>27</v>
      </c>
      <c r="B3256" s="1">
        <v>8</v>
      </c>
      <c r="C3256" s="1">
        <v>2020</v>
      </c>
      <c r="G3256" s="1" t="s">
        <v>40</v>
      </c>
      <c r="H3256" s="2">
        <v>75.81</v>
      </c>
      <c r="I3256" s="1">
        <v>188</v>
      </c>
      <c r="U3256" s="1">
        <v>240</v>
      </c>
      <c r="X3256" s="1">
        <v>217</v>
      </c>
      <c r="AA3256" s="1">
        <v>12</v>
      </c>
      <c r="AB3256" s="1">
        <v>9</v>
      </c>
      <c r="AC3256" s="1">
        <v>8206</v>
      </c>
      <c r="AF3256" s="3">
        <v>2.4798839203271337</v>
      </c>
      <c r="AG3256" s="3">
        <v>8.3440557096324142</v>
      </c>
      <c r="AH3256" s="1">
        <v>6295</v>
      </c>
      <c r="AI3256" s="1" t="b">
        <v>1</v>
      </c>
    </row>
    <row r="3257" spans="1:35" x14ac:dyDescent="0.25">
      <c r="A3257" s="1">
        <v>27</v>
      </c>
      <c r="B3257" s="1">
        <v>8</v>
      </c>
      <c r="C3257" s="1">
        <v>2020</v>
      </c>
      <c r="G3257" s="1" t="s">
        <v>40</v>
      </c>
      <c r="H3257" s="2">
        <v>77.150000000000006</v>
      </c>
      <c r="I3257" s="1">
        <v>157</v>
      </c>
      <c r="U3257" s="1">
        <v>235</v>
      </c>
      <c r="X3257" s="1">
        <v>205</v>
      </c>
      <c r="AA3257" s="1">
        <v>16</v>
      </c>
      <c r="AB3257" s="1">
        <v>9</v>
      </c>
      <c r="AC3257" s="1">
        <v>9166</v>
      </c>
      <c r="AF3257" s="3">
        <v>2.0349967595592999</v>
      </c>
      <c r="AG3257" s="3">
        <v>10.293698157547238</v>
      </c>
      <c r="AH3257" s="1">
        <v>6295</v>
      </c>
      <c r="AI3257" s="1" t="b">
        <v>1</v>
      </c>
    </row>
    <row r="3258" spans="1:35" x14ac:dyDescent="0.25">
      <c r="A3258" s="1">
        <v>28</v>
      </c>
      <c r="B3258" s="1">
        <v>8</v>
      </c>
      <c r="C3258" s="1">
        <v>2020</v>
      </c>
      <c r="G3258" s="1" t="s">
        <v>40</v>
      </c>
      <c r="H3258" s="2">
        <v>85.99</v>
      </c>
      <c r="I3258" s="1">
        <v>186</v>
      </c>
      <c r="U3258" s="1">
        <v>270</v>
      </c>
      <c r="X3258" s="1">
        <v>236</v>
      </c>
      <c r="AA3258" s="1">
        <v>16</v>
      </c>
      <c r="AB3258" s="1">
        <v>12</v>
      </c>
      <c r="AC3258" s="1">
        <v>9150</v>
      </c>
      <c r="AF3258" s="3">
        <v>2.1630422142109551</v>
      </c>
      <c r="AG3258" s="3">
        <v>10.448370612507196</v>
      </c>
      <c r="AH3258" s="1">
        <v>6295</v>
      </c>
      <c r="AI3258" s="1" t="b">
        <v>1</v>
      </c>
    </row>
    <row r="3259" spans="1:35" x14ac:dyDescent="0.25">
      <c r="A3259" s="1">
        <v>28</v>
      </c>
      <c r="B3259" s="1">
        <v>8</v>
      </c>
      <c r="C3259" s="1">
        <v>2020</v>
      </c>
      <c r="G3259" s="1" t="s">
        <v>40</v>
      </c>
      <c r="H3259" s="2">
        <v>82.63</v>
      </c>
      <c r="I3259" s="1">
        <v>177</v>
      </c>
      <c r="U3259" s="1">
        <v>231</v>
      </c>
      <c r="X3259" s="1">
        <v>212</v>
      </c>
      <c r="AA3259" s="1">
        <v>14</v>
      </c>
      <c r="AB3259" s="1">
        <v>10</v>
      </c>
      <c r="AC3259" s="1">
        <v>8378</v>
      </c>
      <c r="AF3259" s="3">
        <v>2.1420791480091976</v>
      </c>
      <c r="AG3259" s="3">
        <v>10.260320177486648</v>
      </c>
      <c r="AH3259" s="1">
        <v>6295</v>
      </c>
      <c r="AI3259" s="1" t="b">
        <v>1</v>
      </c>
    </row>
    <row r="3260" spans="1:35" x14ac:dyDescent="0.25">
      <c r="A3260" s="1">
        <v>28</v>
      </c>
      <c r="B3260" s="1">
        <v>8</v>
      </c>
      <c r="C3260" s="1">
        <v>2020</v>
      </c>
      <c r="G3260" s="1" t="s">
        <v>40</v>
      </c>
      <c r="H3260" s="2">
        <v>68.989999999999995</v>
      </c>
      <c r="I3260" s="1">
        <v>160</v>
      </c>
      <c r="U3260" s="1">
        <v>203</v>
      </c>
      <c r="X3260" s="1">
        <v>182</v>
      </c>
      <c r="AA3260" s="1">
        <v>10</v>
      </c>
      <c r="AB3260" s="1">
        <v>12</v>
      </c>
      <c r="AC3260" s="1">
        <v>7734</v>
      </c>
      <c r="AF3260" s="3">
        <v>2.3191766922742429</v>
      </c>
      <c r="AG3260" s="3">
        <v>8.3524996046430058</v>
      </c>
      <c r="AH3260" s="1">
        <v>6295</v>
      </c>
      <c r="AI3260" s="1" t="b">
        <v>1</v>
      </c>
    </row>
    <row r="3261" spans="1:35" x14ac:dyDescent="0.25">
      <c r="A3261" s="1">
        <v>28</v>
      </c>
      <c r="B3261" s="1">
        <v>8</v>
      </c>
      <c r="C3261" s="1">
        <v>2020</v>
      </c>
      <c r="G3261" s="1" t="s">
        <v>40</v>
      </c>
      <c r="H3261" s="2">
        <v>63.79</v>
      </c>
      <c r="I3261" s="1">
        <v>143</v>
      </c>
      <c r="U3261" s="1">
        <v>203</v>
      </c>
      <c r="X3261" s="1">
        <v>179</v>
      </c>
      <c r="AA3261" s="1">
        <v>14</v>
      </c>
      <c r="AB3261" s="1">
        <v>12</v>
      </c>
      <c r="AC3261" s="1">
        <v>7266</v>
      </c>
      <c r="AF3261" s="3">
        <v>2.2417306787897791</v>
      </c>
      <c r="AG3261" s="3">
        <v>8.1798132049371244</v>
      </c>
      <c r="AH3261" s="1">
        <v>6295</v>
      </c>
      <c r="AI3261" s="1" t="b">
        <v>1</v>
      </c>
    </row>
    <row r="3262" spans="1:35" x14ac:dyDescent="0.25">
      <c r="A3262" s="1">
        <v>30</v>
      </c>
      <c r="B3262" s="1">
        <v>8</v>
      </c>
      <c r="C3262" s="1">
        <v>2020</v>
      </c>
      <c r="G3262" s="1" t="s">
        <v>40</v>
      </c>
      <c r="H3262" s="2">
        <v>69.87</v>
      </c>
      <c r="I3262" s="1">
        <v>152</v>
      </c>
      <c r="U3262" s="1">
        <v>228</v>
      </c>
      <c r="X3262" s="1">
        <v>198</v>
      </c>
      <c r="AA3262" s="1">
        <v>18</v>
      </c>
      <c r="AB3262" s="1">
        <v>12</v>
      </c>
      <c r="AC3262" s="1">
        <v>7538</v>
      </c>
      <c r="AF3262" s="3">
        <v>2.1754687276370399</v>
      </c>
      <c r="AG3262" s="3">
        <v>8.9836055668305406</v>
      </c>
      <c r="AH3262" s="1">
        <v>6295</v>
      </c>
      <c r="AI3262" s="1" t="b">
        <v>1</v>
      </c>
    </row>
    <row r="3263" spans="1:35" x14ac:dyDescent="0.25">
      <c r="A3263" s="1">
        <v>30</v>
      </c>
      <c r="B3263" s="1">
        <v>8</v>
      </c>
      <c r="C3263" s="1">
        <v>2020</v>
      </c>
      <c r="G3263" s="1" t="s">
        <v>40</v>
      </c>
      <c r="H3263" s="2">
        <v>74.39</v>
      </c>
      <c r="I3263" s="1">
        <v>189</v>
      </c>
      <c r="U3263" s="1">
        <v>242</v>
      </c>
      <c r="X3263" s="1">
        <v>223</v>
      </c>
      <c r="AA3263" s="1">
        <v>13</v>
      </c>
      <c r="AB3263" s="1">
        <v>9</v>
      </c>
      <c r="AC3263" s="1">
        <v>8112</v>
      </c>
      <c r="AF3263" s="3">
        <v>2.5406640677510417</v>
      </c>
      <c r="AG3263" s="3">
        <v>8.0373511992991507</v>
      </c>
      <c r="AH3263" s="1">
        <v>6295</v>
      </c>
      <c r="AI3263" s="1" t="b">
        <v>1</v>
      </c>
    </row>
    <row r="3264" spans="1:35" x14ac:dyDescent="0.25">
      <c r="A3264" s="1">
        <v>30</v>
      </c>
      <c r="B3264" s="1">
        <v>8</v>
      </c>
      <c r="C3264" s="1">
        <v>2020</v>
      </c>
      <c r="G3264" s="1" t="s">
        <v>40</v>
      </c>
      <c r="H3264" s="2">
        <v>74.22</v>
      </c>
      <c r="I3264" s="1">
        <v>156</v>
      </c>
      <c r="U3264" s="1">
        <v>232</v>
      </c>
      <c r="X3264" s="1">
        <v>205</v>
      </c>
      <c r="AA3264" s="1">
        <v>17</v>
      </c>
      <c r="AB3264" s="1">
        <v>13</v>
      </c>
      <c r="AC3264" s="1">
        <v>8717</v>
      </c>
      <c r="AF3264" s="3">
        <v>2.1018593371059016</v>
      </c>
      <c r="AG3264" s="3">
        <v>9.6997606245717325</v>
      </c>
      <c r="AH3264" s="1">
        <v>6295</v>
      </c>
      <c r="AI3264" s="1" t="b">
        <v>1</v>
      </c>
    </row>
    <row r="3265" spans="1:35" x14ac:dyDescent="0.25">
      <c r="A3265" s="1">
        <v>30</v>
      </c>
      <c r="B3265" s="1">
        <v>8</v>
      </c>
      <c r="C3265" s="1">
        <v>2020</v>
      </c>
      <c r="G3265" s="1" t="s">
        <v>40</v>
      </c>
      <c r="H3265" s="2">
        <v>76.08</v>
      </c>
      <c r="I3265" s="1">
        <v>194</v>
      </c>
      <c r="U3265" s="1">
        <v>244</v>
      </c>
      <c r="X3265" s="1">
        <v>230</v>
      </c>
      <c r="AA3265" s="1">
        <v>11</v>
      </c>
      <c r="AB3265" s="1">
        <v>11</v>
      </c>
      <c r="AC3265" s="1">
        <v>8410</v>
      </c>
      <c r="AF3265" s="3">
        <v>2.5499474237644586</v>
      </c>
      <c r="AG3265" s="3">
        <v>8.1350106671786797</v>
      </c>
      <c r="AH3265" s="1">
        <v>6295</v>
      </c>
      <c r="AI3265" s="1" t="b">
        <v>1</v>
      </c>
    </row>
    <row r="3266" spans="1:35" x14ac:dyDescent="0.25">
      <c r="A3266" s="1">
        <v>30</v>
      </c>
      <c r="B3266" s="1">
        <v>8</v>
      </c>
      <c r="C3266" s="1">
        <v>2020</v>
      </c>
      <c r="G3266" s="1" t="s">
        <v>40</v>
      </c>
      <c r="H3266" s="2">
        <v>63.97</v>
      </c>
      <c r="I3266" s="1">
        <v>173</v>
      </c>
      <c r="U3266" s="1">
        <v>232</v>
      </c>
      <c r="X3266" s="1">
        <v>208</v>
      </c>
      <c r="AA3266" s="1">
        <v>16</v>
      </c>
      <c r="AB3266" s="1">
        <v>8</v>
      </c>
      <c r="AC3266" s="1">
        <v>7268</v>
      </c>
      <c r="AF3266" s="3">
        <v>2.7043926840706582</v>
      </c>
      <c r="AG3266" s="3">
        <v>6.7938146326502196</v>
      </c>
      <c r="AH3266" s="1">
        <v>6295</v>
      </c>
      <c r="AI3266" s="1" t="b">
        <v>1</v>
      </c>
    </row>
    <row r="3267" spans="1:35" x14ac:dyDescent="0.25">
      <c r="A3267" s="1">
        <v>30</v>
      </c>
      <c r="B3267" s="1">
        <v>8</v>
      </c>
      <c r="C3267" s="1">
        <v>2020</v>
      </c>
      <c r="G3267" s="1" t="s">
        <v>40</v>
      </c>
      <c r="H3267" s="2">
        <v>61.93</v>
      </c>
      <c r="I3267" s="1">
        <v>141</v>
      </c>
      <c r="U3267" s="1">
        <v>191</v>
      </c>
      <c r="X3267" s="1">
        <v>176</v>
      </c>
      <c r="AA3267" s="1">
        <v>13</v>
      </c>
      <c r="AB3267" s="1">
        <v>18</v>
      </c>
      <c r="AC3267" s="1">
        <v>7085</v>
      </c>
      <c r="AF3267" s="3">
        <v>2.2767640884870013</v>
      </c>
      <c r="AG3267" s="3">
        <v>7.8888322889307707</v>
      </c>
      <c r="AH3267" s="1">
        <v>6295</v>
      </c>
      <c r="AI3267" s="1" t="b">
        <v>1</v>
      </c>
    </row>
    <row r="3268" spans="1:35" x14ac:dyDescent="0.25">
      <c r="A3268" s="1">
        <v>30</v>
      </c>
      <c r="B3268" s="1">
        <v>8</v>
      </c>
      <c r="C3268" s="1">
        <v>2020</v>
      </c>
      <c r="G3268" s="1" t="s">
        <v>40</v>
      </c>
      <c r="H3268" s="2">
        <v>67.459999999999994</v>
      </c>
      <c r="I3268" s="1">
        <v>178</v>
      </c>
      <c r="U3268" s="1">
        <v>235</v>
      </c>
      <c r="X3268" s="1">
        <v>208</v>
      </c>
      <c r="AA3268" s="1">
        <v>13</v>
      </c>
      <c r="AB3268" s="1">
        <v>12</v>
      </c>
      <c r="AC3268" s="1">
        <v>8249</v>
      </c>
      <c r="AF3268" s="3">
        <v>2.6386006522383636</v>
      </c>
      <c r="AG3268" s="3">
        <v>7.2270119085449789</v>
      </c>
      <c r="AH3268" s="1">
        <v>6295</v>
      </c>
      <c r="AI3268" s="1" t="b">
        <v>1</v>
      </c>
    </row>
    <row r="3269" spans="1:35" x14ac:dyDescent="0.25">
      <c r="A3269" s="1">
        <v>31</v>
      </c>
      <c r="B3269" s="1">
        <v>8</v>
      </c>
      <c r="C3269" s="1">
        <v>2020</v>
      </c>
      <c r="G3269" s="1" t="s">
        <v>40</v>
      </c>
      <c r="H3269" s="2">
        <v>75.31</v>
      </c>
      <c r="I3269" s="1">
        <v>176</v>
      </c>
      <c r="U3269" s="1">
        <v>237</v>
      </c>
      <c r="X3269" s="1">
        <v>207</v>
      </c>
      <c r="AA3269" s="1">
        <v>13</v>
      </c>
      <c r="AB3269" s="1">
        <v>10</v>
      </c>
      <c r="AC3269" s="1">
        <v>8381</v>
      </c>
      <c r="AF3269" s="3">
        <v>2.3370070375780108</v>
      </c>
      <c r="AG3269" s="3">
        <v>8.8132650870134182</v>
      </c>
      <c r="AH3269" s="1">
        <v>6296</v>
      </c>
      <c r="AI3269" s="1" t="b">
        <v>1</v>
      </c>
    </row>
    <row r="3270" spans="1:35" x14ac:dyDescent="0.25">
      <c r="A3270" s="1">
        <v>31</v>
      </c>
      <c r="B3270" s="1">
        <v>8</v>
      </c>
      <c r="C3270" s="1">
        <v>2020</v>
      </c>
      <c r="G3270" s="1" t="s">
        <v>40</v>
      </c>
      <c r="H3270" s="2">
        <v>66.180000000000007</v>
      </c>
      <c r="I3270" s="1">
        <v>165</v>
      </c>
      <c r="U3270" s="1">
        <v>236</v>
      </c>
      <c r="X3270" s="1">
        <v>204</v>
      </c>
      <c r="AA3270" s="1">
        <v>13</v>
      </c>
      <c r="AB3270" s="1">
        <v>12</v>
      </c>
      <c r="AC3270" s="1">
        <v>7427</v>
      </c>
      <c r="AF3270" s="3">
        <v>2.4932003626473254</v>
      </c>
      <c r="AG3270" s="3">
        <v>7.5466038459952651</v>
      </c>
      <c r="AH3270" s="1">
        <v>6296</v>
      </c>
      <c r="AI3270" s="1" t="b">
        <v>1</v>
      </c>
    </row>
    <row r="3271" spans="1:35" x14ac:dyDescent="0.25">
      <c r="A3271" s="1">
        <v>31</v>
      </c>
      <c r="B3271" s="1">
        <v>8</v>
      </c>
      <c r="C3271" s="1">
        <v>2020</v>
      </c>
      <c r="G3271" s="1" t="s">
        <v>40</v>
      </c>
      <c r="H3271" s="2">
        <v>73.25</v>
      </c>
      <c r="I3271" s="1">
        <v>180</v>
      </c>
      <c r="U3271" s="1">
        <v>237</v>
      </c>
      <c r="X3271" s="1">
        <v>214</v>
      </c>
      <c r="AA3271" s="1">
        <v>14</v>
      </c>
      <c r="AB3271" s="1">
        <v>9</v>
      </c>
      <c r="AC3271" s="1">
        <v>8149</v>
      </c>
      <c r="AF3271" s="3">
        <v>2.4573378839590445</v>
      </c>
      <c r="AG3271" s="3">
        <v>8.2205422211405832</v>
      </c>
      <c r="AH3271" s="1">
        <v>6296</v>
      </c>
      <c r="AI3271" s="1" t="b">
        <v>1</v>
      </c>
    </row>
    <row r="3272" spans="1:35" x14ac:dyDescent="0.25">
      <c r="A3272" s="1">
        <v>31</v>
      </c>
      <c r="B3272" s="1">
        <v>8</v>
      </c>
      <c r="C3272" s="1">
        <v>2020</v>
      </c>
      <c r="G3272" s="1" t="s">
        <v>40</v>
      </c>
      <c r="H3272" s="2">
        <v>69.56</v>
      </c>
      <c r="I3272" s="1">
        <v>175</v>
      </c>
      <c r="U3272" s="1">
        <v>226</v>
      </c>
      <c r="X3272" s="1">
        <v>206</v>
      </c>
      <c r="AA3272" s="1">
        <v>11</v>
      </c>
      <c r="AB3272" s="1">
        <v>6</v>
      </c>
      <c r="AC3272" s="1">
        <v>8569</v>
      </c>
      <c r="AF3272" s="3">
        <v>2.5158136860264517</v>
      </c>
      <c r="AG3272" s="3">
        <v>7.7441405411571722</v>
      </c>
      <c r="AH3272" s="1">
        <v>6296</v>
      </c>
      <c r="AI3272" s="1" t="b">
        <v>1</v>
      </c>
    </row>
    <row r="3273" spans="1:35" x14ac:dyDescent="0.25">
      <c r="A3273" s="1">
        <v>31</v>
      </c>
      <c r="B3273" s="1">
        <v>8</v>
      </c>
      <c r="C3273" s="1">
        <v>2020</v>
      </c>
      <c r="G3273" s="1" t="s">
        <v>40</v>
      </c>
      <c r="H3273" s="2">
        <v>72.010000000000005</v>
      </c>
      <c r="I3273" s="1">
        <v>178</v>
      </c>
      <c r="U3273" s="1">
        <v>234</v>
      </c>
      <c r="X3273" s="1">
        <v>206</v>
      </c>
      <c r="AA3273" s="1">
        <v>12</v>
      </c>
      <c r="AB3273" s="1">
        <v>5</v>
      </c>
      <c r="AC3273" s="1">
        <v>8387</v>
      </c>
      <c r="AF3273" s="3">
        <v>2.4718789057075403</v>
      </c>
      <c r="AG3273" s="3">
        <v>8.0750975275522414</v>
      </c>
      <c r="AH3273" s="1">
        <v>6296</v>
      </c>
      <c r="AI3273" s="1" t="b">
        <v>1</v>
      </c>
    </row>
    <row r="3274" spans="1:35" x14ac:dyDescent="0.25">
      <c r="A3274" s="1">
        <v>1</v>
      </c>
      <c r="B3274" s="1">
        <v>9</v>
      </c>
      <c r="C3274" s="1">
        <v>2020</v>
      </c>
      <c r="G3274" s="1" t="s">
        <v>40</v>
      </c>
      <c r="H3274" s="2">
        <v>68.34</v>
      </c>
      <c r="I3274" s="1">
        <v>170</v>
      </c>
      <c r="U3274" s="1">
        <v>218</v>
      </c>
      <c r="X3274" s="1">
        <v>204</v>
      </c>
      <c r="AA3274" s="1">
        <v>12</v>
      </c>
      <c r="AB3274" s="1">
        <v>7</v>
      </c>
      <c r="AC3274" s="1">
        <v>7896</v>
      </c>
      <c r="AF3274" s="3">
        <v>2.4875621890547261</v>
      </c>
      <c r="AG3274" s="3">
        <v>7.7356806967448817</v>
      </c>
      <c r="AH3274" s="1">
        <v>6296</v>
      </c>
      <c r="AI3274" s="1" t="b">
        <v>1</v>
      </c>
    </row>
    <row r="3275" spans="1:35" x14ac:dyDescent="0.25">
      <c r="A3275" s="1">
        <v>1</v>
      </c>
      <c r="B3275" s="1">
        <v>9</v>
      </c>
      <c r="C3275" s="1">
        <v>2020</v>
      </c>
      <c r="G3275" s="1" t="s">
        <v>40</v>
      </c>
      <c r="H3275" s="2">
        <v>71.11</v>
      </c>
      <c r="I3275" s="1">
        <v>161</v>
      </c>
      <c r="U3275" s="1">
        <v>212</v>
      </c>
      <c r="X3275" s="1">
        <v>199</v>
      </c>
      <c r="AA3275" s="1">
        <v>12</v>
      </c>
      <c r="AB3275" s="1">
        <v>11</v>
      </c>
      <c r="AC3275" s="1">
        <v>7593</v>
      </c>
      <c r="AF3275" s="3">
        <v>2.2640978765293207</v>
      </c>
      <c r="AG3275" s="3">
        <v>8.7388900989602476</v>
      </c>
      <c r="AH3275" s="1">
        <v>6296</v>
      </c>
      <c r="AI3275" s="1" t="b">
        <v>1</v>
      </c>
    </row>
    <row r="3276" spans="1:35" x14ac:dyDescent="0.25">
      <c r="A3276" s="1">
        <v>1</v>
      </c>
      <c r="B3276" s="1">
        <v>9</v>
      </c>
      <c r="C3276" s="1">
        <v>2020</v>
      </c>
      <c r="G3276" s="1" t="s">
        <v>40</v>
      </c>
      <c r="H3276" s="2">
        <v>82.84</v>
      </c>
      <c r="I3276" s="1">
        <v>218</v>
      </c>
      <c r="U3276" s="1">
        <v>270</v>
      </c>
      <c r="X3276" s="1">
        <v>247</v>
      </c>
      <c r="AA3276" s="1">
        <v>10</v>
      </c>
      <c r="AB3276" s="1">
        <v>6</v>
      </c>
      <c r="AC3276" s="1">
        <v>8631</v>
      </c>
      <c r="AF3276" s="3">
        <v>2.6315789473684208</v>
      </c>
      <c r="AG3276" s="3">
        <v>8.3666511200576572</v>
      </c>
      <c r="AH3276" s="1">
        <v>6296</v>
      </c>
      <c r="AI3276" s="1" t="b">
        <v>1</v>
      </c>
    </row>
    <row r="3277" spans="1:35" x14ac:dyDescent="0.25">
      <c r="A3277" s="1">
        <v>1</v>
      </c>
      <c r="B3277" s="1">
        <v>9</v>
      </c>
      <c r="C3277" s="1">
        <v>2020</v>
      </c>
      <c r="G3277" s="1" t="s">
        <v>40</v>
      </c>
      <c r="H3277" s="2">
        <v>79.66</v>
      </c>
      <c r="I3277" s="1">
        <v>156</v>
      </c>
      <c r="U3277" s="1">
        <v>223</v>
      </c>
      <c r="X3277" s="1">
        <v>198</v>
      </c>
      <c r="AA3277" s="1">
        <v>16</v>
      </c>
      <c r="AB3277" s="1">
        <v>13</v>
      </c>
      <c r="AC3277" s="1">
        <v>8923</v>
      </c>
      <c r="AF3277" s="3">
        <v>1.9583228722068793</v>
      </c>
      <c r="AG3277" s="3">
        <v>10.939158505002244</v>
      </c>
      <c r="AH3277" s="1">
        <v>6296</v>
      </c>
      <c r="AI3277" s="1" t="b">
        <v>1</v>
      </c>
    </row>
    <row r="3278" spans="1:35" x14ac:dyDescent="0.25">
      <c r="A3278" s="1">
        <v>1</v>
      </c>
      <c r="B3278" s="1">
        <v>9</v>
      </c>
      <c r="C3278" s="1">
        <v>2020</v>
      </c>
      <c r="G3278" s="1" t="s">
        <v>40</v>
      </c>
      <c r="H3278" s="2">
        <v>72.56</v>
      </c>
      <c r="I3278" s="1">
        <v>159</v>
      </c>
      <c r="U3278" s="1">
        <v>224</v>
      </c>
      <c r="X3278" s="1">
        <v>200</v>
      </c>
      <c r="AA3278" s="1">
        <v>15</v>
      </c>
      <c r="AB3278" s="1">
        <v>8</v>
      </c>
      <c r="AC3278" s="1">
        <v>8599</v>
      </c>
      <c r="AF3278" s="3">
        <v>2.1912899669239247</v>
      </c>
      <c r="AG3278" s="3">
        <v>9.157738574120307</v>
      </c>
      <c r="AH3278" s="1">
        <v>6296</v>
      </c>
      <c r="AI3278" s="1" t="b">
        <v>1</v>
      </c>
    </row>
    <row r="3279" spans="1:35" x14ac:dyDescent="0.25">
      <c r="A3279" s="1">
        <v>1</v>
      </c>
      <c r="B3279" s="1">
        <v>9</v>
      </c>
      <c r="C3279" s="1">
        <v>2020</v>
      </c>
      <c r="G3279" s="1" t="s">
        <v>40</v>
      </c>
      <c r="H3279" s="2">
        <v>78.7</v>
      </c>
      <c r="I3279" s="1">
        <v>161</v>
      </c>
      <c r="U3279" s="1">
        <v>222</v>
      </c>
      <c r="X3279" s="1">
        <v>192</v>
      </c>
      <c r="AA3279" s="1">
        <v>13</v>
      </c>
      <c r="AB3279" s="1">
        <v>13</v>
      </c>
      <c r="AC3279" s="1">
        <v>10017</v>
      </c>
      <c r="AF3279" s="3">
        <v>2.04574332909784</v>
      </c>
      <c r="AG3279" s="3">
        <v>10.383198793927352</v>
      </c>
      <c r="AH3279" s="1">
        <v>6296</v>
      </c>
      <c r="AI3279" s="1" t="b">
        <v>1</v>
      </c>
    </row>
    <row r="3280" spans="1:35" x14ac:dyDescent="0.25">
      <c r="A3280" s="1">
        <v>1</v>
      </c>
      <c r="B3280" s="1">
        <v>9</v>
      </c>
      <c r="C3280" s="1">
        <v>2020</v>
      </c>
      <c r="G3280" s="1" t="s">
        <v>40</v>
      </c>
      <c r="H3280" s="2">
        <v>64.64</v>
      </c>
      <c r="I3280" s="1">
        <v>156</v>
      </c>
      <c r="U3280" s="1">
        <v>201</v>
      </c>
      <c r="X3280" s="1">
        <v>179</v>
      </c>
      <c r="AA3280" s="1">
        <v>10</v>
      </c>
      <c r="AB3280" s="1">
        <v>12</v>
      </c>
      <c r="AC3280" s="1">
        <v>7552</v>
      </c>
      <c r="AF3280" s="3">
        <v>2.4133663366336635</v>
      </c>
      <c r="AG3280" s="3">
        <v>7.6688049654657178</v>
      </c>
      <c r="AH3280" s="1">
        <v>6296</v>
      </c>
      <c r="AI3280" s="1" t="b">
        <v>1</v>
      </c>
    </row>
    <row r="3281" spans="1:35" x14ac:dyDescent="0.25">
      <c r="A3281" s="1">
        <v>8</v>
      </c>
      <c r="B3281" s="1">
        <v>9</v>
      </c>
      <c r="C3281" s="1">
        <v>2020</v>
      </c>
      <c r="G3281" s="1" t="s">
        <v>40</v>
      </c>
      <c r="H3281" s="2">
        <v>69.53</v>
      </c>
      <c r="I3281" s="1">
        <v>165</v>
      </c>
      <c r="U3281" s="1">
        <v>222</v>
      </c>
      <c r="X3281" s="1">
        <v>199</v>
      </c>
      <c r="AA3281" s="1">
        <v>16</v>
      </c>
      <c r="AB3281" s="1">
        <v>9</v>
      </c>
      <c r="AC3281" s="1">
        <v>8075</v>
      </c>
      <c r="AF3281" s="3">
        <v>2.3730763699122681</v>
      </c>
      <c r="AG3281" s="3">
        <v>8.2074613402577015</v>
      </c>
      <c r="AH3281" s="1">
        <v>6297</v>
      </c>
      <c r="AI3281" s="1" t="b">
        <v>1</v>
      </c>
    </row>
    <row r="3282" spans="1:35" x14ac:dyDescent="0.25">
      <c r="A3282" s="1">
        <v>9</v>
      </c>
      <c r="B3282" s="1">
        <v>9</v>
      </c>
      <c r="C3282" s="1">
        <v>2020</v>
      </c>
      <c r="G3282" s="1" t="s">
        <v>40</v>
      </c>
      <c r="H3282" s="2">
        <v>71.099999999999994</v>
      </c>
      <c r="I3282" s="1">
        <v>190</v>
      </c>
      <c r="U3282" s="1">
        <v>235</v>
      </c>
      <c r="X3282" s="1">
        <v>218</v>
      </c>
      <c r="AA3282" s="1">
        <v>11</v>
      </c>
      <c r="AB3282" s="1">
        <v>5</v>
      </c>
      <c r="AC3282" s="1">
        <v>8593</v>
      </c>
      <c r="AF3282" s="3">
        <v>2.6722925457102673</v>
      </c>
      <c r="AG3282" s="3">
        <v>7.4032892923441196</v>
      </c>
      <c r="AH3282" s="1">
        <v>6297</v>
      </c>
      <c r="AI3282" s="1" t="b">
        <v>1</v>
      </c>
    </row>
    <row r="3283" spans="1:35" x14ac:dyDescent="0.25">
      <c r="A3283" s="1">
        <v>9</v>
      </c>
      <c r="B3283" s="1">
        <v>9</v>
      </c>
      <c r="C3283" s="1">
        <v>2020</v>
      </c>
      <c r="G3283" s="1" t="s">
        <v>40</v>
      </c>
      <c r="H3283" s="2">
        <v>80.099999999999994</v>
      </c>
      <c r="I3283" s="1">
        <v>177</v>
      </c>
      <c r="U3283" s="1">
        <v>245</v>
      </c>
      <c r="X3283" s="1">
        <v>217</v>
      </c>
      <c r="AA3283" s="1">
        <v>14</v>
      </c>
      <c r="AB3283" s="1">
        <v>13</v>
      </c>
      <c r="AC3283" s="1">
        <v>9736</v>
      </c>
      <c r="AF3283" s="3">
        <v>2.2097378277153559</v>
      </c>
      <c r="AG3283" s="3">
        <v>9.7319979994049106</v>
      </c>
      <c r="AH3283" s="1">
        <v>6297</v>
      </c>
      <c r="AI3283" s="1" t="b">
        <v>1</v>
      </c>
    </row>
    <row r="3284" spans="1:35" x14ac:dyDescent="0.25">
      <c r="A3284" s="1">
        <v>9</v>
      </c>
      <c r="B3284" s="1">
        <v>9</v>
      </c>
      <c r="C3284" s="1">
        <v>2020</v>
      </c>
      <c r="G3284" s="1" t="s">
        <v>40</v>
      </c>
      <c r="H3284" s="2">
        <v>66.47</v>
      </c>
      <c r="I3284" s="1">
        <v>156</v>
      </c>
      <c r="U3284" s="1">
        <v>214</v>
      </c>
      <c r="X3284" s="1">
        <v>190</v>
      </c>
      <c r="AA3284" s="1">
        <v>13</v>
      </c>
      <c r="AB3284" s="1">
        <v>12</v>
      </c>
      <c r="AC3284" s="1">
        <v>7615</v>
      </c>
      <c r="AF3284" s="3">
        <v>2.3469234241010981</v>
      </c>
      <c r="AG3284" s="3">
        <v>8.0415368340772559</v>
      </c>
      <c r="AH3284" s="1">
        <v>6297</v>
      </c>
      <c r="AI3284" s="1" t="b">
        <v>1</v>
      </c>
    </row>
    <row r="3285" spans="1:35" x14ac:dyDescent="0.25">
      <c r="A3285" s="1">
        <v>9</v>
      </c>
      <c r="B3285" s="1">
        <v>9</v>
      </c>
      <c r="C3285" s="1">
        <v>2020</v>
      </c>
      <c r="G3285" s="1" t="s">
        <v>40</v>
      </c>
      <c r="H3285" s="2">
        <v>70.16</v>
      </c>
      <c r="I3285" s="1">
        <v>188</v>
      </c>
      <c r="U3285" s="1">
        <v>235</v>
      </c>
      <c r="X3285" s="1">
        <v>217</v>
      </c>
      <c r="AA3285" s="1">
        <v>12</v>
      </c>
      <c r="AB3285" s="1">
        <v>9</v>
      </c>
      <c r="AC3285" s="1">
        <v>8220</v>
      </c>
      <c r="AF3285" s="3">
        <v>2.6795895096921325</v>
      </c>
      <c r="AG3285" s="3">
        <v>7.3146649397584458</v>
      </c>
      <c r="AH3285" s="1">
        <v>6297</v>
      </c>
      <c r="AI3285" s="1" t="b">
        <v>1</v>
      </c>
    </row>
    <row r="3286" spans="1:35" x14ac:dyDescent="0.25">
      <c r="A3286" s="1">
        <v>9</v>
      </c>
      <c r="B3286" s="1">
        <v>9</v>
      </c>
      <c r="C3286" s="1">
        <v>2020</v>
      </c>
      <c r="G3286" s="1" t="s">
        <v>40</v>
      </c>
      <c r="H3286" s="2">
        <v>69.17</v>
      </c>
      <c r="I3286" s="1">
        <v>145</v>
      </c>
      <c r="U3286" s="1">
        <v>208</v>
      </c>
      <c r="X3286" s="1">
        <v>179</v>
      </c>
      <c r="AA3286" s="1">
        <v>14</v>
      </c>
      <c r="AB3286" s="1">
        <v>13</v>
      </c>
      <c r="AC3286" s="1">
        <v>8037</v>
      </c>
      <c r="AF3286" s="3">
        <v>2.0962845164088475</v>
      </c>
      <c r="AG3286" s="3">
        <v>9.2574679340662058</v>
      </c>
      <c r="AH3286" s="1">
        <v>6297</v>
      </c>
      <c r="AI3286" s="1" t="b">
        <v>1</v>
      </c>
    </row>
    <row r="3287" spans="1:35" x14ac:dyDescent="0.25">
      <c r="A3287" s="1">
        <v>10</v>
      </c>
      <c r="B3287" s="1">
        <v>9</v>
      </c>
      <c r="C3287" s="1">
        <v>2020</v>
      </c>
      <c r="G3287" s="1" t="s">
        <v>40</v>
      </c>
      <c r="H3287" s="2">
        <v>67.95</v>
      </c>
      <c r="I3287" s="1">
        <v>171</v>
      </c>
      <c r="U3287" s="1">
        <v>221</v>
      </c>
      <c r="X3287" s="1">
        <v>199</v>
      </c>
      <c r="AA3287" s="1">
        <v>11</v>
      </c>
      <c r="AB3287" s="1">
        <v>7</v>
      </c>
      <c r="AC3287" s="1">
        <v>7246</v>
      </c>
      <c r="AF3287" s="3">
        <v>2.5165562913907285</v>
      </c>
      <c r="AG3287" s="3">
        <v>7.6159831307571677</v>
      </c>
      <c r="AH3287" s="1">
        <v>6297</v>
      </c>
      <c r="AI3287" s="1" t="b">
        <v>1</v>
      </c>
    </row>
    <row r="3288" spans="1:35" x14ac:dyDescent="0.25">
      <c r="A3288" s="1">
        <v>10</v>
      </c>
      <c r="B3288" s="1">
        <v>9</v>
      </c>
      <c r="C3288" s="1">
        <v>2020</v>
      </c>
      <c r="G3288" s="1" t="s">
        <v>40</v>
      </c>
      <c r="H3288" s="2">
        <v>70.989999999999995</v>
      </c>
      <c r="I3288" s="1">
        <v>146</v>
      </c>
      <c r="U3288" s="1">
        <v>232</v>
      </c>
      <c r="X3288" s="1">
        <v>196</v>
      </c>
      <c r="AA3288" s="1">
        <v>19</v>
      </c>
      <c r="AB3288" s="1">
        <v>18</v>
      </c>
      <c r="AC3288" s="1">
        <v>8374</v>
      </c>
      <c r="AF3288" s="3">
        <v>2.0566276940414143</v>
      </c>
      <c r="AG3288" s="3">
        <v>9.6090918286909712</v>
      </c>
      <c r="AH3288" s="1">
        <v>6297</v>
      </c>
      <c r="AI3288" s="1" t="b">
        <v>1</v>
      </c>
    </row>
    <row r="3289" spans="1:35" x14ac:dyDescent="0.25">
      <c r="A3289" s="1">
        <v>10</v>
      </c>
      <c r="B3289" s="1">
        <v>9</v>
      </c>
      <c r="C3289" s="1">
        <v>2020</v>
      </c>
      <c r="G3289" s="1" t="s">
        <v>40</v>
      </c>
      <c r="H3289" s="2">
        <v>66.17</v>
      </c>
      <c r="I3289" s="1">
        <v>176</v>
      </c>
      <c r="U3289" s="1">
        <v>230</v>
      </c>
      <c r="X3289" s="1">
        <v>208</v>
      </c>
      <c r="AA3289" s="1">
        <v>12</v>
      </c>
      <c r="AB3289" s="1">
        <v>11</v>
      </c>
      <c r="AC3289" s="1">
        <v>7517</v>
      </c>
      <c r="AF3289" s="3">
        <v>2.6598156264168051</v>
      </c>
      <c r="AG3289" s="3">
        <v>7.0731238249031154</v>
      </c>
      <c r="AH3289" s="1">
        <v>6297</v>
      </c>
      <c r="AI3289" s="1" t="b">
        <v>1</v>
      </c>
    </row>
    <row r="3290" spans="1:35" x14ac:dyDescent="0.25">
      <c r="A3290" s="1">
        <v>10</v>
      </c>
      <c r="B3290" s="1">
        <v>9</v>
      </c>
      <c r="C3290" s="1">
        <v>2020</v>
      </c>
      <c r="G3290" s="1" t="s">
        <v>40</v>
      </c>
      <c r="H3290" s="2">
        <v>72.17</v>
      </c>
      <c r="I3290" s="1">
        <v>181</v>
      </c>
      <c r="U3290" s="1">
        <v>230</v>
      </c>
      <c r="X3290" s="1">
        <v>214</v>
      </c>
      <c r="AA3290" s="1">
        <v>14</v>
      </c>
      <c r="AB3290" s="1">
        <v>10</v>
      </c>
      <c r="AC3290" s="1">
        <v>8578</v>
      </c>
      <c r="AF3290" s="3">
        <v>2.5079672994318969</v>
      </c>
      <c r="AG3290" s="3">
        <v>7.9712755887893483</v>
      </c>
      <c r="AH3290" s="1">
        <v>6297</v>
      </c>
      <c r="AI3290" s="1" t="b">
        <v>1</v>
      </c>
    </row>
    <row r="3291" spans="1:35" x14ac:dyDescent="0.25">
      <c r="A3291" s="1">
        <v>10</v>
      </c>
      <c r="B3291" s="1">
        <v>9</v>
      </c>
      <c r="C3291" s="1">
        <v>2020</v>
      </c>
      <c r="G3291" s="1" t="s">
        <v>40</v>
      </c>
      <c r="H3291" s="2">
        <v>72.67</v>
      </c>
      <c r="I3291" s="1">
        <v>168</v>
      </c>
      <c r="U3291" s="1">
        <v>230</v>
      </c>
      <c r="X3291" s="1">
        <v>206</v>
      </c>
      <c r="AA3291" s="1">
        <v>14</v>
      </c>
      <c r="AB3291" s="1">
        <v>12</v>
      </c>
      <c r="AC3291" s="1">
        <v>10138</v>
      </c>
      <c r="AF3291" s="3">
        <v>2.3118205586899685</v>
      </c>
      <c r="AG3291" s="3">
        <v>8.6894940584922349</v>
      </c>
      <c r="AH3291" s="1">
        <v>6297</v>
      </c>
      <c r="AI3291" s="1" t="b">
        <v>1</v>
      </c>
    </row>
    <row r="3292" spans="1:35" x14ac:dyDescent="0.25">
      <c r="A3292" s="1">
        <v>10</v>
      </c>
      <c r="B3292" s="1">
        <v>9</v>
      </c>
      <c r="C3292" s="1">
        <v>2020</v>
      </c>
      <c r="G3292" s="1" t="s">
        <v>40</v>
      </c>
      <c r="H3292" s="2">
        <v>66.45</v>
      </c>
      <c r="I3292" s="1">
        <v>136</v>
      </c>
      <c r="U3292" s="1">
        <v>200</v>
      </c>
      <c r="X3292" s="1">
        <v>177</v>
      </c>
      <c r="AA3292" s="1">
        <v>17</v>
      </c>
      <c r="AB3292" s="1">
        <v>13</v>
      </c>
      <c r="AC3292" s="1">
        <v>8275</v>
      </c>
      <c r="AF3292" s="3">
        <v>2.0466516177577123</v>
      </c>
      <c r="AG3292" s="3">
        <v>9.2193980593682845</v>
      </c>
      <c r="AH3292" s="1">
        <v>6297</v>
      </c>
      <c r="AI3292" s="1" t="b">
        <v>1</v>
      </c>
    </row>
    <row r="3293" spans="1:35" x14ac:dyDescent="0.25">
      <c r="A3293" s="1">
        <v>10</v>
      </c>
      <c r="B3293" s="1">
        <v>9</v>
      </c>
      <c r="C3293" s="1">
        <v>2020</v>
      </c>
      <c r="G3293" s="1" t="s">
        <v>40</v>
      </c>
      <c r="H3293" s="2">
        <v>72.56</v>
      </c>
      <c r="I3293" s="1">
        <v>178</v>
      </c>
      <c r="U3293" s="1">
        <v>227</v>
      </c>
      <c r="X3293" s="1">
        <v>205</v>
      </c>
      <c r="AA3293" s="1">
        <v>12</v>
      </c>
      <c r="AB3293" s="1">
        <v>9</v>
      </c>
      <c r="AC3293" s="1">
        <v>8191</v>
      </c>
      <c r="AF3293" s="3">
        <v>2.4531422271223815</v>
      </c>
      <c r="AG3293" s="3">
        <v>8.1802271532872393</v>
      </c>
      <c r="AH3293" s="1">
        <v>6297</v>
      </c>
      <c r="AI3293" s="1" t="b">
        <v>1</v>
      </c>
    </row>
    <row r="3294" spans="1:35" x14ac:dyDescent="0.25">
      <c r="A3294" s="1">
        <v>10</v>
      </c>
      <c r="B3294" s="1">
        <v>9</v>
      </c>
      <c r="C3294" s="1">
        <v>2020</v>
      </c>
      <c r="G3294" s="1" t="s">
        <v>40</v>
      </c>
      <c r="H3294" s="2">
        <v>81.88</v>
      </c>
      <c r="I3294" s="1">
        <v>193</v>
      </c>
      <c r="U3294" s="1">
        <v>253</v>
      </c>
      <c r="X3294" s="1">
        <v>226</v>
      </c>
      <c r="AA3294" s="1">
        <v>13</v>
      </c>
      <c r="AB3294" s="1">
        <v>11</v>
      </c>
      <c r="AC3294" s="1">
        <v>9955</v>
      </c>
      <c r="AF3294" s="3">
        <v>2.3571079628724965</v>
      </c>
      <c r="AG3294" s="3">
        <v>9.2649911492057058</v>
      </c>
      <c r="AH3294" s="1">
        <v>6297</v>
      </c>
      <c r="AI3294" s="1" t="b">
        <v>1</v>
      </c>
    </row>
    <row r="3295" spans="1:35" x14ac:dyDescent="0.25">
      <c r="A3295" s="1">
        <v>10</v>
      </c>
      <c r="B3295" s="1">
        <v>9</v>
      </c>
      <c r="C3295" s="1">
        <v>2020</v>
      </c>
      <c r="G3295" s="1" t="s">
        <v>40</v>
      </c>
      <c r="H3295" s="2">
        <v>70.62</v>
      </c>
      <c r="I3295" s="1">
        <v>187</v>
      </c>
      <c r="U3295" s="1">
        <v>241</v>
      </c>
      <c r="X3295" s="1">
        <v>220</v>
      </c>
      <c r="AA3295" s="1">
        <v>13</v>
      </c>
      <c r="AB3295" s="1">
        <v>12</v>
      </c>
      <c r="AC3295" s="1">
        <v>8535</v>
      </c>
      <c r="AF3295" s="3">
        <v>2.6479750778816196</v>
      </c>
      <c r="AG3295" s="3">
        <v>7.435933649883955</v>
      </c>
      <c r="AH3295" s="1">
        <v>6297</v>
      </c>
      <c r="AI3295" s="1" t="b">
        <v>1</v>
      </c>
    </row>
    <row r="3296" spans="1:35" x14ac:dyDescent="0.25">
      <c r="A3296" s="1">
        <v>15</v>
      </c>
      <c r="B3296" s="1">
        <v>9</v>
      </c>
      <c r="C3296" s="1">
        <v>2020</v>
      </c>
      <c r="G3296" s="1" t="s">
        <v>40</v>
      </c>
      <c r="H3296" s="2">
        <v>73.48</v>
      </c>
      <c r="I3296" s="1">
        <v>186</v>
      </c>
      <c r="U3296" s="1">
        <v>244</v>
      </c>
      <c r="X3296" s="1">
        <v>217</v>
      </c>
      <c r="AA3296" s="1">
        <v>16</v>
      </c>
      <c r="AB3296" s="1">
        <v>9</v>
      </c>
      <c r="AC3296" s="1">
        <v>8319</v>
      </c>
      <c r="AF3296" s="3">
        <v>2.5313010342950459</v>
      </c>
      <c r="AG3296" s="3">
        <v>7.9978748998770337</v>
      </c>
      <c r="AH3296" s="1">
        <v>6298</v>
      </c>
      <c r="AI3296" s="1" t="b">
        <v>1</v>
      </c>
    </row>
    <row r="3297" spans="1:35" x14ac:dyDescent="0.25">
      <c r="A3297" s="1">
        <v>15</v>
      </c>
      <c r="B3297" s="1">
        <v>9</v>
      </c>
      <c r="C3297" s="1">
        <v>2020</v>
      </c>
      <c r="G3297" s="1" t="s">
        <v>40</v>
      </c>
      <c r="H3297" s="2">
        <v>73.569999999999993</v>
      </c>
      <c r="I3297" s="1">
        <v>198</v>
      </c>
      <c r="U3297" s="1">
        <v>260</v>
      </c>
      <c r="X3297" s="1">
        <v>232</v>
      </c>
      <c r="AA3297" s="1">
        <v>13</v>
      </c>
      <c r="AB3297" s="1">
        <v>12</v>
      </c>
      <c r="AC3297" s="1">
        <v>8622</v>
      </c>
      <c r="AF3297" s="3">
        <v>2.6913143944542615</v>
      </c>
      <c r="AG3297" s="3">
        <v>7.5288058005520222</v>
      </c>
      <c r="AH3297" s="1">
        <v>6298</v>
      </c>
      <c r="AI3297" s="1" t="b">
        <v>1</v>
      </c>
    </row>
    <row r="3298" spans="1:35" x14ac:dyDescent="0.25">
      <c r="A3298" s="1">
        <v>15</v>
      </c>
      <c r="B3298" s="1">
        <v>9</v>
      </c>
      <c r="C3298" s="1">
        <v>2020</v>
      </c>
      <c r="G3298" s="1" t="s">
        <v>40</v>
      </c>
      <c r="H3298" s="2">
        <v>68.77</v>
      </c>
      <c r="I3298" s="1">
        <v>155</v>
      </c>
      <c r="U3298" s="1">
        <v>226</v>
      </c>
      <c r="X3298" s="1">
        <v>205</v>
      </c>
      <c r="AA3298" s="1">
        <v>16</v>
      </c>
      <c r="AB3298" s="1">
        <v>15</v>
      </c>
      <c r="AC3298" s="1">
        <v>8602</v>
      </c>
      <c r="AF3298" s="3">
        <v>2.2538897775192672</v>
      </c>
      <c r="AG3298" s="3">
        <v>8.5752470981251712</v>
      </c>
      <c r="AH3298" s="1">
        <v>6298</v>
      </c>
      <c r="AI3298" s="1" t="b">
        <v>1</v>
      </c>
    </row>
    <row r="3299" spans="1:35" x14ac:dyDescent="0.25">
      <c r="A3299" s="1">
        <v>15</v>
      </c>
      <c r="B3299" s="1">
        <v>9</v>
      </c>
      <c r="C3299" s="1">
        <v>2020</v>
      </c>
      <c r="G3299" s="1" t="s">
        <v>40</v>
      </c>
      <c r="H3299" s="2">
        <v>74.319999999999993</v>
      </c>
      <c r="I3299" s="1">
        <v>172</v>
      </c>
      <c r="U3299" s="1">
        <v>238</v>
      </c>
      <c r="X3299" s="1">
        <v>212</v>
      </c>
      <c r="AA3299" s="1">
        <v>14</v>
      </c>
      <c r="AB3299" s="1">
        <v>10</v>
      </c>
      <c r="AC3299" s="1">
        <v>9559</v>
      </c>
      <c r="AF3299" s="3">
        <v>2.3143164693218519</v>
      </c>
      <c r="AG3299" s="3">
        <v>8.8176172798606327</v>
      </c>
      <c r="AH3299" s="1">
        <v>6298</v>
      </c>
      <c r="AI3299" s="1" t="b">
        <v>1</v>
      </c>
    </row>
    <row r="3300" spans="1:35" x14ac:dyDescent="0.25">
      <c r="A3300" s="1">
        <v>16</v>
      </c>
      <c r="B3300" s="1">
        <v>9</v>
      </c>
      <c r="C3300" s="1">
        <v>2020</v>
      </c>
      <c r="G3300" s="1" t="s">
        <v>40</v>
      </c>
      <c r="H3300" s="2">
        <v>73.099999999999994</v>
      </c>
      <c r="I3300" s="1">
        <v>202</v>
      </c>
      <c r="U3300" s="1">
        <v>258</v>
      </c>
      <c r="X3300" s="1">
        <v>240</v>
      </c>
      <c r="AA3300" s="1">
        <v>13</v>
      </c>
      <c r="AB3300" s="1">
        <v>6</v>
      </c>
      <c r="AC3300" s="1">
        <v>8531</v>
      </c>
      <c r="AF3300" s="3">
        <v>2.7633378932968538</v>
      </c>
      <c r="AG3300" s="3">
        <v>7.2997531030584319</v>
      </c>
      <c r="AH3300" s="1">
        <v>6298</v>
      </c>
      <c r="AI3300" s="1" t="b">
        <v>1</v>
      </c>
    </row>
    <row r="3301" spans="1:35" x14ac:dyDescent="0.25">
      <c r="A3301" s="1">
        <v>16</v>
      </c>
      <c r="B3301" s="1">
        <v>9</v>
      </c>
      <c r="C3301" s="1">
        <v>2020</v>
      </c>
      <c r="G3301" s="1" t="s">
        <v>40</v>
      </c>
      <c r="H3301" s="2">
        <v>72.040000000000006</v>
      </c>
      <c r="I3301" s="1">
        <v>175</v>
      </c>
      <c r="U3301" s="1">
        <v>239</v>
      </c>
      <c r="X3301" s="1">
        <v>214</v>
      </c>
      <c r="AA3301" s="1">
        <v>14</v>
      </c>
      <c r="AB3301" s="1">
        <v>11</v>
      </c>
      <c r="AC3301" s="1">
        <v>9069</v>
      </c>
      <c r="AF3301" s="3">
        <v>2.4292059966685171</v>
      </c>
      <c r="AG3301" s="3">
        <v>8.2193457266295233</v>
      </c>
      <c r="AH3301" s="1">
        <v>6298</v>
      </c>
      <c r="AI3301" s="1" t="b">
        <v>1</v>
      </c>
    </row>
    <row r="3302" spans="1:35" x14ac:dyDescent="0.25">
      <c r="A3302" s="1">
        <v>16</v>
      </c>
      <c r="B3302" s="1">
        <v>9</v>
      </c>
      <c r="C3302" s="1">
        <v>2020</v>
      </c>
      <c r="G3302" s="1" t="s">
        <v>40</v>
      </c>
      <c r="H3302" s="2">
        <v>71.739999999999995</v>
      </c>
      <c r="I3302" s="1">
        <v>186</v>
      </c>
      <c r="U3302" s="1">
        <v>249</v>
      </c>
      <c r="X3302" s="1">
        <v>216</v>
      </c>
      <c r="AA3302" s="1">
        <v>13</v>
      </c>
      <c r="AB3302" s="1">
        <v>6</v>
      </c>
      <c r="AC3302" s="1">
        <v>8371</v>
      </c>
      <c r="AF3302" s="3">
        <v>2.5926958461109564</v>
      </c>
      <c r="AG3302" s="3">
        <v>7.6785884052310847</v>
      </c>
      <c r="AH3302" s="1">
        <v>6298</v>
      </c>
      <c r="AI3302" s="1" t="b">
        <v>1</v>
      </c>
    </row>
    <row r="3303" spans="1:35" x14ac:dyDescent="0.25">
      <c r="A3303" s="1">
        <v>16</v>
      </c>
      <c r="B3303" s="1">
        <v>9</v>
      </c>
      <c r="C3303" s="1">
        <v>2020</v>
      </c>
      <c r="G3303" s="1" t="s">
        <v>40</v>
      </c>
      <c r="H3303" s="2">
        <v>73.84</v>
      </c>
      <c r="I3303" s="1">
        <v>139</v>
      </c>
      <c r="U3303" s="1">
        <v>192</v>
      </c>
      <c r="X3303" s="1">
        <v>173</v>
      </c>
      <c r="AA3303" s="1">
        <v>14</v>
      </c>
      <c r="AB3303" s="1">
        <v>11</v>
      </c>
      <c r="AC3303" s="1">
        <v>8369</v>
      </c>
      <c r="AF3303" s="3">
        <v>1.8824485373781148</v>
      </c>
      <c r="AG3303" s="3">
        <v>10.791481470829481</v>
      </c>
      <c r="AH3303" s="1">
        <v>6298</v>
      </c>
      <c r="AI3303" s="1" t="b">
        <v>1</v>
      </c>
    </row>
    <row r="3304" spans="1:35" x14ac:dyDescent="0.25">
      <c r="A3304" s="1">
        <v>16</v>
      </c>
      <c r="B3304" s="1">
        <v>9</v>
      </c>
      <c r="C3304" s="1">
        <v>2020</v>
      </c>
      <c r="G3304" s="1" t="s">
        <v>40</v>
      </c>
      <c r="H3304" s="2">
        <v>75.930000000000007</v>
      </c>
      <c r="I3304" s="1">
        <v>170</v>
      </c>
      <c r="U3304" s="1">
        <v>239</v>
      </c>
      <c r="X3304" s="1">
        <v>212</v>
      </c>
      <c r="AA3304" s="1">
        <v>16</v>
      </c>
      <c r="AB3304" s="1">
        <v>15</v>
      </c>
      <c r="AC3304" s="1">
        <v>9458</v>
      </c>
      <c r="AF3304" s="3">
        <v>2.2389042539180823</v>
      </c>
      <c r="AG3304" s="3">
        <v>9.2523884632124993</v>
      </c>
      <c r="AH3304" s="1">
        <v>6298</v>
      </c>
      <c r="AI3304" s="1" t="b">
        <v>1</v>
      </c>
    </row>
    <row r="3305" spans="1:35" x14ac:dyDescent="0.25">
      <c r="A3305" s="1">
        <v>16</v>
      </c>
      <c r="B3305" s="1">
        <v>9</v>
      </c>
      <c r="C3305" s="1">
        <v>2020</v>
      </c>
      <c r="G3305" s="1" t="s">
        <v>40</v>
      </c>
      <c r="H3305" s="2">
        <v>65.09</v>
      </c>
      <c r="I3305" s="1">
        <v>146</v>
      </c>
      <c r="U3305" s="1">
        <v>217</v>
      </c>
      <c r="X3305" s="1">
        <v>194</v>
      </c>
      <c r="AA3305" s="1">
        <v>18</v>
      </c>
      <c r="AB3305" s="1">
        <v>11</v>
      </c>
      <c r="AC3305" s="1">
        <v>7573</v>
      </c>
      <c r="AF3305" s="3">
        <v>2.2430480872637886</v>
      </c>
      <c r="AG3305" s="3">
        <v>8.2912766425430959</v>
      </c>
      <c r="AH3305" s="1">
        <v>6298</v>
      </c>
      <c r="AI3305" s="1" t="b">
        <v>1</v>
      </c>
    </row>
    <row r="3306" spans="1:35" x14ac:dyDescent="0.25">
      <c r="A3306" s="1">
        <v>18</v>
      </c>
      <c r="B3306" s="1">
        <v>9</v>
      </c>
      <c r="C3306" s="1">
        <v>2020</v>
      </c>
      <c r="G3306" s="1" t="s">
        <v>40</v>
      </c>
      <c r="H3306" s="2">
        <v>84.96</v>
      </c>
      <c r="I3306" s="1">
        <v>216</v>
      </c>
      <c r="U3306" s="1">
        <v>276</v>
      </c>
      <c r="X3306" s="1">
        <v>252</v>
      </c>
      <c r="AA3306" s="1">
        <v>11</v>
      </c>
      <c r="AB3306" s="1">
        <v>8</v>
      </c>
      <c r="AC3306" s="1">
        <v>9381</v>
      </c>
      <c r="AF3306" s="3">
        <v>2.5423728813559325</v>
      </c>
      <c r="AG3306" s="3">
        <v>8.814768381911561</v>
      </c>
      <c r="AH3306" s="1">
        <v>6298</v>
      </c>
      <c r="AI3306" s="1" t="b">
        <v>1</v>
      </c>
    </row>
    <row r="3307" spans="1:35" x14ac:dyDescent="0.25">
      <c r="A3307" s="1">
        <v>18</v>
      </c>
      <c r="B3307" s="1">
        <v>9</v>
      </c>
      <c r="C3307" s="1">
        <v>2020</v>
      </c>
      <c r="G3307" s="1" t="s">
        <v>40</v>
      </c>
      <c r="H3307" s="2">
        <v>75.900000000000006</v>
      </c>
      <c r="I3307" s="1">
        <v>175</v>
      </c>
      <c r="U3307" s="1">
        <v>249</v>
      </c>
      <c r="X3307" s="1">
        <v>223</v>
      </c>
      <c r="AA3307" s="1">
        <v>19</v>
      </c>
      <c r="AB3307" s="1">
        <v>14</v>
      </c>
      <c r="AC3307" s="1">
        <v>9460</v>
      </c>
      <c r="AF3307" s="3">
        <v>2.3056653491436099</v>
      </c>
      <c r="AG3307" s="3">
        <v>8.9819983373747636</v>
      </c>
      <c r="AH3307" s="1">
        <v>6298</v>
      </c>
      <c r="AI3307" s="1" t="b">
        <v>1</v>
      </c>
    </row>
    <row r="3308" spans="1:35" x14ac:dyDescent="0.25">
      <c r="A3308" s="1">
        <v>18</v>
      </c>
      <c r="B3308" s="1">
        <v>9</v>
      </c>
      <c r="C3308" s="1">
        <v>2020</v>
      </c>
      <c r="G3308" s="1" t="s">
        <v>40</v>
      </c>
      <c r="H3308" s="2">
        <v>81.209999999999994</v>
      </c>
      <c r="I3308" s="1">
        <v>220</v>
      </c>
      <c r="U3308" s="1">
        <v>281</v>
      </c>
      <c r="X3308" s="1">
        <v>255</v>
      </c>
      <c r="AA3308" s="1">
        <v>13</v>
      </c>
      <c r="AB3308" s="1">
        <v>5</v>
      </c>
      <c r="AC3308" s="1">
        <v>9322</v>
      </c>
      <c r="AF3308" s="3">
        <v>2.7090259820219189</v>
      </c>
      <c r="AG3308" s="3">
        <v>8.0151838220169402</v>
      </c>
      <c r="AH3308" s="1">
        <v>6298</v>
      </c>
      <c r="AI3308" s="1" t="b">
        <v>1</v>
      </c>
    </row>
    <row r="3309" spans="1:35" x14ac:dyDescent="0.25">
      <c r="A3309" s="1">
        <v>18</v>
      </c>
      <c r="B3309" s="1">
        <v>9</v>
      </c>
      <c r="C3309" s="1">
        <v>2020</v>
      </c>
      <c r="G3309" s="1" t="s">
        <v>40</v>
      </c>
      <c r="H3309" s="2">
        <v>73.81</v>
      </c>
      <c r="I3309" s="1">
        <v>196</v>
      </c>
      <c r="U3309" s="1">
        <v>259</v>
      </c>
      <c r="X3309" s="1">
        <v>236</v>
      </c>
      <c r="AA3309" s="1">
        <v>13</v>
      </c>
      <c r="AB3309" s="1">
        <v>8</v>
      </c>
      <c r="AC3309" s="1">
        <v>9319</v>
      </c>
      <c r="AF3309" s="3">
        <v>2.655466738924265</v>
      </c>
      <c r="AG3309" s="3">
        <v>7.647857331330143</v>
      </c>
      <c r="AH3309" s="1">
        <v>6298</v>
      </c>
      <c r="AI3309" s="1" t="b">
        <v>1</v>
      </c>
    </row>
    <row r="3310" spans="1:35" x14ac:dyDescent="0.25">
      <c r="A3310" s="1">
        <v>18</v>
      </c>
      <c r="B3310" s="1">
        <v>9</v>
      </c>
      <c r="C3310" s="1">
        <v>2020</v>
      </c>
      <c r="G3310" s="1" t="s">
        <v>40</v>
      </c>
      <c r="H3310" s="2">
        <v>68.41</v>
      </c>
      <c r="I3310" s="1">
        <v>170</v>
      </c>
      <c r="U3310" s="1">
        <v>236</v>
      </c>
      <c r="X3310" s="1">
        <v>214</v>
      </c>
      <c r="AA3310" s="1">
        <v>15</v>
      </c>
      <c r="AB3310" s="1">
        <v>12</v>
      </c>
      <c r="AC3310" s="1">
        <v>8500</v>
      </c>
      <c r="AF3310" s="3">
        <v>2.4850168104078354</v>
      </c>
      <c r="AG3310" s="3">
        <v>7.7491556160651074</v>
      </c>
      <c r="AH3310" s="1">
        <v>6298</v>
      </c>
      <c r="AI3310" s="1" t="b">
        <v>1</v>
      </c>
    </row>
    <row r="3311" spans="1:35" x14ac:dyDescent="0.25">
      <c r="A3311" s="1">
        <v>19</v>
      </c>
      <c r="B3311" s="1">
        <v>9</v>
      </c>
      <c r="C3311" s="1">
        <v>2020</v>
      </c>
      <c r="G3311" s="1" t="s">
        <v>40</v>
      </c>
      <c r="H3311" s="2">
        <v>68.290000000000006</v>
      </c>
      <c r="I3311" s="1">
        <v>157</v>
      </c>
      <c r="U3311" s="1">
        <v>212</v>
      </c>
      <c r="X3311" s="1">
        <v>189</v>
      </c>
      <c r="AA3311" s="1">
        <v>13</v>
      </c>
      <c r="AB3311" s="1">
        <v>11</v>
      </c>
      <c r="AC3311" s="1">
        <v>7180</v>
      </c>
      <c r="AF3311" s="3">
        <v>2.2990188900278223</v>
      </c>
      <c r="AG3311" s="3">
        <v>8.365799257609698</v>
      </c>
      <c r="AH3311" s="1">
        <v>6298</v>
      </c>
      <c r="AI3311" s="1" t="b">
        <v>1</v>
      </c>
    </row>
    <row r="3312" spans="1:35" x14ac:dyDescent="0.25">
      <c r="A3312" s="1">
        <v>19</v>
      </c>
      <c r="B3312" s="1">
        <v>9</v>
      </c>
      <c r="C3312" s="1">
        <v>2020</v>
      </c>
      <c r="G3312" s="1" t="s">
        <v>40</v>
      </c>
      <c r="H3312" s="2">
        <v>65.61</v>
      </c>
      <c r="I3312" s="1">
        <v>139</v>
      </c>
      <c r="U3312" s="1">
        <v>205</v>
      </c>
      <c r="X3312" s="1">
        <v>185</v>
      </c>
      <c r="AA3312" s="1">
        <v>18</v>
      </c>
      <c r="AB3312" s="1">
        <v>14</v>
      </c>
      <c r="AC3312" s="1">
        <v>7347</v>
      </c>
      <c r="AF3312" s="3">
        <v>2.1185794848346289</v>
      </c>
      <c r="AG3312" s="3">
        <v>8.8274296252916713</v>
      </c>
      <c r="AH3312" s="1">
        <v>6298</v>
      </c>
      <c r="AI3312" s="1" t="b">
        <v>1</v>
      </c>
    </row>
    <row r="3313" spans="1:35" x14ac:dyDescent="0.25">
      <c r="A3313" s="1">
        <v>19</v>
      </c>
      <c r="B3313" s="1">
        <v>9</v>
      </c>
      <c r="C3313" s="1">
        <v>2020</v>
      </c>
      <c r="G3313" s="1" t="s">
        <v>40</v>
      </c>
      <c r="H3313" s="2">
        <v>73.62</v>
      </c>
      <c r="I3313" s="1">
        <v>189</v>
      </c>
      <c r="U3313" s="1">
        <v>239</v>
      </c>
      <c r="X3313" s="1">
        <v>213</v>
      </c>
      <c r="AA3313" s="1">
        <v>9</v>
      </c>
      <c r="AB3313" s="1">
        <v>9</v>
      </c>
      <c r="AC3313" s="1">
        <v>8955</v>
      </c>
      <c r="AF3313" s="3">
        <v>2.5672371638141809</v>
      </c>
      <c r="AG3313" s="3">
        <v>7.8964352420866808</v>
      </c>
      <c r="AH3313" s="1">
        <v>6298</v>
      </c>
      <c r="AI3313" s="1" t="b">
        <v>1</v>
      </c>
    </row>
    <row r="3314" spans="1:35" x14ac:dyDescent="0.25">
      <c r="A3314" s="1">
        <v>20</v>
      </c>
      <c r="B3314" s="1">
        <v>9</v>
      </c>
      <c r="C3314" s="1">
        <v>2020</v>
      </c>
      <c r="G3314" s="1" t="s">
        <v>40</v>
      </c>
      <c r="H3314" s="2">
        <v>92.09</v>
      </c>
      <c r="I3314" s="1">
        <v>187</v>
      </c>
      <c r="U3314" s="1">
        <v>244</v>
      </c>
      <c r="X3314" s="1">
        <v>221</v>
      </c>
      <c r="AA3314" s="1">
        <v>13</v>
      </c>
      <c r="AB3314" s="1">
        <v>8</v>
      </c>
      <c r="AC3314" s="1">
        <v>11390</v>
      </c>
      <c r="AF3314" s="3">
        <v>2.0306222173960253</v>
      </c>
      <c r="AG3314" s="3">
        <v>11.676685888235449</v>
      </c>
      <c r="AH3314" s="1">
        <v>6298</v>
      </c>
      <c r="AI3314" s="1" t="b">
        <v>1</v>
      </c>
    </row>
    <row r="3315" spans="1:35" x14ac:dyDescent="0.25">
      <c r="A3315" s="1">
        <v>20</v>
      </c>
      <c r="B3315" s="1">
        <v>9</v>
      </c>
      <c r="C3315" s="1">
        <v>2020</v>
      </c>
      <c r="G3315" s="1" t="s">
        <v>40</v>
      </c>
      <c r="H3315" s="2">
        <v>69.28</v>
      </c>
      <c r="I3315" s="1">
        <v>181</v>
      </c>
      <c r="U3315" s="1">
        <v>240</v>
      </c>
      <c r="X3315" s="1">
        <v>221</v>
      </c>
      <c r="AA3315" s="1">
        <v>16</v>
      </c>
      <c r="AB3315" s="1">
        <v>14</v>
      </c>
      <c r="AC3315" s="1">
        <v>8286</v>
      </c>
      <c r="AF3315" s="3">
        <v>2.6125866050808315</v>
      </c>
      <c r="AG3315" s="3">
        <v>7.4362643404226345</v>
      </c>
      <c r="AH3315" s="1">
        <v>6298</v>
      </c>
      <c r="AI3315" s="1" t="b">
        <v>1</v>
      </c>
    </row>
    <row r="3316" spans="1:35" x14ac:dyDescent="0.25">
      <c r="A3316" s="1">
        <v>20</v>
      </c>
      <c r="B3316" s="1">
        <v>9</v>
      </c>
      <c r="C3316" s="1">
        <v>2020</v>
      </c>
      <c r="G3316" s="1" t="s">
        <v>40</v>
      </c>
      <c r="H3316" s="2">
        <v>66.47</v>
      </c>
      <c r="I3316" s="1">
        <v>149</v>
      </c>
      <c r="U3316" s="1">
        <v>217</v>
      </c>
      <c r="X3316" s="1">
        <v>193</v>
      </c>
      <c r="AA3316" s="1">
        <v>18</v>
      </c>
      <c r="AB3316" s="1">
        <v>16</v>
      </c>
      <c r="AC3316" s="1">
        <v>8630</v>
      </c>
      <c r="AF3316" s="3">
        <v>2.2416127576350235</v>
      </c>
      <c r="AG3316" s="3">
        <v>8.4193271551412892</v>
      </c>
      <c r="AH3316" s="1">
        <v>6298</v>
      </c>
      <c r="AI3316" s="1" t="b">
        <v>1</v>
      </c>
    </row>
    <row r="3317" spans="1:35" x14ac:dyDescent="0.25">
      <c r="A3317" s="1">
        <v>20</v>
      </c>
      <c r="B3317" s="1">
        <v>9</v>
      </c>
      <c r="C3317" s="1">
        <v>2020</v>
      </c>
      <c r="G3317" s="1" t="s">
        <v>40</v>
      </c>
      <c r="H3317" s="2">
        <v>67.319999999999993</v>
      </c>
      <c r="I3317" s="1">
        <v>145</v>
      </c>
      <c r="U3317" s="1">
        <v>191</v>
      </c>
      <c r="X3317" s="1">
        <v>173</v>
      </c>
      <c r="AA3317" s="1">
        <v>12</v>
      </c>
      <c r="AB3317" s="1">
        <v>9</v>
      </c>
      <c r="AC3317" s="1">
        <v>7816</v>
      </c>
      <c r="AF3317" s="3">
        <v>2.1538918597742129</v>
      </c>
      <c r="AG3317" s="3">
        <v>8.8405030879151134</v>
      </c>
      <c r="AH3317" s="1">
        <v>6298</v>
      </c>
      <c r="AI3317" s="1" t="b">
        <v>1</v>
      </c>
    </row>
    <row r="3318" spans="1:35" x14ac:dyDescent="0.25">
      <c r="A3318" s="1">
        <v>20</v>
      </c>
      <c r="B3318" s="1">
        <v>9</v>
      </c>
      <c r="C3318" s="1">
        <v>2020</v>
      </c>
      <c r="G3318" s="1" t="s">
        <v>40</v>
      </c>
      <c r="H3318" s="2">
        <v>68.7</v>
      </c>
      <c r="I3318" s="1">
        <v>141</v>
      </c>
      <c r="U3318" s="1">
        <v>205</v>
      </c>
      <c r="X3318" s="1">
        <v>183</v>
      </c>
      <c r="AA3318" s="1">
        <v>16</v>
      </c>
      <c r="AB3318" s="1">
        <v>12</v>
      </c>
      <c r="AC3318" s="1">
        <v>8028</v>
      </c>
      <c r="AF3318" s="3">
        <v>2.052401746724891</v>
      </c>
      <c r="AG3318" s="3">
        <v>9.4103838860763354</v>
      </c>
      <c r="AH3318" s="1">
        <v>6298</v>
      </c>
      <c r="AI3318" s="1" t="b">
        <v>1</v>
      </c>
    </row>
    <row r="3319" spans="1:35" x14ac:dyDescent="0.25">
      <c r="A3319" s="1">
        <v>20</v>
      </c>
      <c r="B3319" s="1">
        <v>9</v>
      </c>
      <c r="C3319" s="1">
        <v>2020</v>
      </c>
      <c r="G3319" s="1" t="s">
        <v>40</v>
      </c>
      <c r="H3319" s="2">
        <v>70</v>
      </c>
      <c r="I3319" s="1">
        <v>176</v>
      </c>
      <c r="U3319" s="1">
        <v>247</v>
      </c>
      <c r="X3319" s="1">
        <v>224</v>
      </c>
      <c r="AA3319" s="1">
        <v>15</v>
      </c>
      <c r="AB3319" s="1">
        <v>11</v>
      </c>
      <c r="AC3319" s="1">
        <v>8152</v>
      </c>
      <c r="AF3319" s="3">
        <v>2.5142857142857142</v>
      </c>
      <c r="AG3319" s="3">
        <v>7.7831249062326657</v>
      </c>
      <c r="AH3319" s="1">
        <v>6298</v>
      </c>
      <c r="AI3319" s="1" t="b">
        <v>1</v>
      </c>
    </row>
    <row r="3320" spans="1:35" x14ac:dyDescent="0.25">
      <c r="A3320" s="1">
        <v>20</v>
      </c>
      <c r="B3320" s="1">
        <v>9</v>
      </c>
      <c r="C3320" s="1">
        <v>2020</v>
      </c>
      <c r="G3320" s="1" t="s">
        <v>40</v>
      </c>
      <c r="H3320" s="2">
        <v>72.760000000000005</v>
      </c>
      <c r="I3320" s="1">
        <v>165</v>
      </c>
      <c r="U3320" s="1">
        <v>210</v>
      </c>
      <c r="X3320" s="1">
        <v>192</v>
      </c>
      <c r="AA3320" s="1">
        <v>12</v>
      </c>
      <c r="AB3320" s="1">
        <v>10</v>
      </c>
      <c r="AC3320" s="1">
        <v>9837</v>
      </c>
      <c r="AF3320" s="3">
        <v>2.267729521715228</v>
      </c>
      <c r="AG3320" s="3">
        <v>8.86612049846015</v>
      </c>
      <c r="AH3320" s="1">
        <v>6298</v>
      </c>
      <c r="AI3320" s="1" t="b">
        <v>1</v>
      </c>
    </row>
    <row r="3321" spans="1:35" x14ac:dyDescent="0.25">
      <c r="A3321" s="1">
        <v>21</v>
      </c>
      <c r="B3321" s="1">
        <v>9</v>
      </c>
      <c r="C3321" s="1">
        <v>2020</v>
      </c>
      <c r="G3321" s="1" t="s">
        <v>40</v>
      </c>
      <c r="H3321" s="2">
        <v>68.98</v>
      </c>
      <c r="I3321" s="1">
        <v>180</v>
      </c>
      <c r="U3321" s="1">
        <v>248</v>
      </c>
      <c r="X3321" s="1">
        <v>221</v>
      </c>
      <c r="AA3321" s="1">
        <v>15</v>
      </c>
      <c r="AB3321" s="1">
        <v>11</v>
      </c>
      <c r="AC3321" s="1">
        <v>7828</v>
      </c>
      <c r="AF3321" s="3">
        <v>2.6094520150768337</v>
      </c>
      <c r="AG3321" s="3">
        <v>7.4226147098253641</v>
      </c>
      <c r="AH3321" s="1">
        <v>6299</v>
      </c>
      <c r="AI3321" s="1" t="b">
        <v>1</v>
      </c>
    </row>
    <row r="3322" spans="1:35" x14ac:dyDescent="0.25">
      <c r="A3322" s="1">
        <v>21</v>
      </c>
      <c r="B3322" s="1">
        <v>9</v>
      </c>
      <c r="C3322" s="1">
        <v>2020</v>
      </c>
      <c r="G3322" s="1" t="s">
        <v>40</v>
      </c>
      <c r="H3322" s="2">
        <v>78.930000000000007</v>
      </c>
      <c r="I3322" s="1">
        <v>141</v>
      </c>
      <c r="U3322" s="1">
        <v>188</v>
      </c>
      <c r="X3322" s="1">
        <v>170</v>
      </c>
      <c r="AA3322" s="1">
        <v>11</v>
      </c>
      <c r="AB3322" s="1">
        <v>10</v>
      </c>
      <c r="AC3322" s="1">
        <v>12941</v>
      </c>
      <c r="AF3322" s="3">
        <v>1.7863930064614213</v>
      </c>
      <c r="AG3322" s="3">
        <v>11.914956526958537</v>
      </c>
      <c r="AH3322" s="1">
        <v>6299</v>
      </c>
      <c r="AI3322" s="1" t="b">
        <v>1</v>
      </c>
    </row>
    <row r="3323" spans="1:35" x14ac:dyDescent="0.25">
      <c r="A3323" s="1">
        <v>21</v>
      </c>
      <c r="B3323" s="1">
        <v>9</v>
      </c>
      <c r="C3323" s="1">
        <v>2020</v>
      </c>
      <c r="G3323" s="1" t="s">
        <v>40</v>
      </c>
      <c r="H3323" s="2">
        <v>71.75</v>
      </c>
      <c r="I3323" s="1">
        <v>185</v>
      </c>
      <c r="U3323" s="1">
        <v>242</v>
      </c>
      <c r="X3323" s="1">
        <v>219</v>
      </c>
      <c r="AA3323" s="1">
        <v>14</v>
      </c>
      <c r="AB3323" s="1">
        <v>5</v>
      </c>
      <c r="AC3323" s="1">
        <v>8604</v>
      </c>
      <c r="AF3323" s="3">
        <v>2.5783972125435541</v>
      </c>
      <c r="AG3323" s="3">
        <v>7.721923783982632</v>
      </c>
      <c r="AH3323" s="1">
        <v>6299</v>
      </c>
      <c r="AI3323" s="1" t="b">
        <v>1</v>
      </c>
    </row>
    <row r="3324" spans="1:35" x14ac:dyDescent="0.25">
      <c r="A3324" s="1">
        <v>21</v>
      </c>
      <c r="B3324" s="1">
        <v>9</v>
      </c>
      <c r="C3324" s="1">
        <v>2020</v>
      </c>
      <c r="G3324" s="1" t="s">
        <v>40</v>
      </c>
      <c r="H3324" s="2">
        <v>71.459999999999994</v>
      </c>
      <c r="I3324" s="1">
        <v>175</v>
      </c>
      <c r="U3324" s="1">
        <v>230</v>
      </c>
      <c r="X3324" s="1">
        <v>207</v>
      </c>
      <c r="AA3324" s="1">
        <v>15</v>
      </c>
      <c r="AB3324" s="1">
        <v>12</v>
      </c>
      <c r="AC3324" s="1">
        <v>9924</v>
      </c>
      <c r="AF3324" s="3">
        <v>2.4489224741113911</v>
      </c>
      <c r="AG3324" s="3">
        <v>8.1071661099393246</v>
      </c>
      <c r="AH3324" s="1">
        <v>6299</v>
      </c>
      <c r="AI3324" s="1" t="b">
        <v>1</v>
      </c>
    </row>
    <row r="3325" spans="1:35" x14ac:dyDescent="0.25">
      <c r="A3325" s="1">
        <v>21</v>
      </c>
      <c r="B3325" s="1">
        <v>9</v>
      </c>
      <c r="C3325" s="1">
        <v>2020</v>
      </c>
      <c r="G3325" s="1" t="s">
        <v>40</v>
      </c>
      <c r="H3325" s="2">
        <v>67.930000000000007</v>
      </c>
      <c r="I3325" s="1">
        <v>157</v>
      </c>
      <c r="U3325" s="1">
        <v>202</v>
      </c>
      <c r="X3325" s="1">
        <v>188</v>
      </c>
      <c r="AA3325" s="1">
        <v>14</v>
      </c>
      <c r="AB3325" s="1">
        <v>11</v>
      </c>
      <c r="AC3325" s="1">
        <v>8350</v>
      </c>
      <c r="AF3325" s="3">
        <v>2.3112027086706903</v>
      </c>
      <c r="AG3325" s="3">
        <v>8.2909652024398213</v>
      </c>
      <c r="AH3325" s="1">
        <v>6299</v>
      </c>
      <c r="AI3325" s="1" t="b">
        <v>1</v>
      </c>
    </row>
    <row r="3326" spans="1:35" x14ac:dyDescent="0.25">
      <c r="A3326" s="1">
        <v>21</v>
      </c>
      <c r="B3326" s="1">
        <v>9</v>
      </c>
      <c r="C3326" s="1">
        <v>2020</v>
      </c>
      <c r="G3326" s="1" t="s">
        <v>40</v>
      </c>
      <c r="H3326" s="2">
        <v>72.16</v>
      </c>
      <c r="I3326" s="1">
        <v>165</v>
      </c>
      <c r="U3326" s="1">
        <v>228</v>
      </c>
      <c r="X3326" s="1">
        <v>206</v>
      </c>
      <c r="AA3326" s="1">
        <v>15</v>
      </c>
      <c r="AB3326" s="1">
        <v>8</v>
      </c>
      <c r="AC3326" s="1">
        <v>9002</v>
      </c>
      <c r="AF3326" s="3">
        <v>2.2865853658536586</v>
      </c>
      <c r="AG3326" s="3">
        <v>8.7421881162327715</v>
      </c>
      <c r="AH3326" s="1">
        <v>6299</v>
      </c>
      <c r="AI3326" s="1" t="b">
        <v>1</v>
      </c>
    </row>
    <row r="3327" spans="1:35" x14ac:dyDescent="0.25">
      <c r="A3327" s="1">
        <v>21</v>
      </c>
      <c r="B3327" s="1">
        <v>9</v>
      </c>
      <c r="C3327" s="1">
        <v>2020</v>
      </c>
      <c r="G3327" s="1" t="s">
        <v>40</v>
      </c>
      <c r="H3327" s="2">
        <v>73.569999999999993</v>
      </c>
      <c r="I3327" s="1">
        <v>146</v>
      </c>
      <c r="U3327" s="1">
        <v>224</v>
      </c>
      <c r="X3327" s="1">
        <v>192</v>
      </c>
      <c r="AA3327" s="1">
        <v>18</v>
      </c>
      <c r="AB3327" s="1">
        <v>18</v>
      </c>
      <c r="AC3327" s="1">
        <v>8586</v>
      </c>
      <c r="AF3327" s="3">
        <v>1.9845045534864756</v>
      </c>
      <c r="AG3327" s="3">
        <v>10.210298277460961</v>
      </c>
      <c r="AH3327" s="1">
        <v>6299</v>
      </c>
      <c r="AI3327" s="1" t="b">
        <v>1</v>
      </c>
    </row>
    <row r="3328" spans="1:35" x14ac:dyDescent="0.25">
      <c r="A3328" s="1">
        <v>21</v>
      </c>
      <c r="B3328" s="1">
        <v>9</v>
      </c>
      <c r="C3328" s="1">
        <v>2020</v>
      </c>
      <c r="G3328" s="1" t="s">
        <v>40</v>
      </c>
      <c r="H3328" s="2">
        <v>64.59</v>
      </c>
      <c r="I3328" s="1">
        <v>145</v>
      </c>
      <c r="U3328" s="1">
        <v>194</v>
      </c>
      <c r="X3328" s="1">
        <v>178</v>
      </c>
      <c r="AA3328" s="1">
        <v>10</v>
      </c>
      <c r="AB3328" s="1">
        <v>10</v>
      </c>
      <c r="AC3328" s="1">
        <v>7173</v>
      </c>
      <c r="AF3328" s="3">
        <v>2.2449295556587705</v>
      </c>
      <c r="AG3328" s="3">
        <v>8.2397300103872873</v>
      </c>
      <c r="AH3328" s="1">
        <v>6299</v>
      </c>
      <c r="AI3328" s="1" t="b">
        <v>1</v>
      </c>
    </row>
    <row r="3329" spans="1:35" x14ac:dyDescent="0.25">
      <c r="A3329" s="1">
        <v>21</v>
      </c>
      <c r="B3329" s="1">
        <v>9</v>
      </c>
      <c r="C3329" s="1">
        <v>2020</v>
      </c>
      <c r="G3329" s="1" t="s">
        <v>40</v>
      </c>
      <c r="H3329" s="2">
        <v>77.39</v>
      </c>
      <c r="I3329" s="1">
        <v>197</v>
      </c>
      <c r="U3329" s="1">
        <v>261</v>
      </c>
      <c r="X3329" s="1">
        <v>240</v>
      </c>
      <c r="AA3329" s="1">
        <v>15</v>
      </c>
      <c r="AB3329" s="1">
        <v>11</v>
      </c>
      <c r="AC3329" s="1">
        <v>8649</v>
      </c>
      <c r="AF3329" s="3">
        <v>2.5455485204806823</v>
      </c>
      <c r="AG3329" s="3">
        <v>8.2470383320693603</v>
      </c>
      <c r="AH3329" s="1">
        <v>6299</v>
      </c>
      <c r="AI3329" s="1" t="b">
        <v>1</v>
      </c>
    </row>
    <row r="3330" spans="1:35" x14ac:dyDescent="0.25">
      <c r="A3330" s="1">
        <v>22</v>
      </c>
      <c r="B3330" s="1">
        <v>9</v>
      </c>
      <c r="C3330" s="1">
        <v>2020</v>
      </c>
      <c r="G3330" s="1" t="s">
        <v>40</v>
      </c>
      <c r="H3330" s="2">
        <v>68.11</v>
      </c>
      <c r="I3330" s="1">
        <v>171</v>
      </c>
      <c r="U3330" s="1">
        <v>224</v>
      </c>
      <c r="X3330" s="1">
        <v>205</v>
      </c>
      <c r="AA3330" s="1">
        <v>14</v>
      </c>
      <c r="AB3330" s="1">
        <v>11</v>
      </c>
      <c r="AC3330" s="1">
        <v>8179</v>
      </c>
      <c r="AF3330" s="3">
        <v>2.5106445455880193</v>
      </c>
      <c r="AG3330" s="3">
        <v>7.6464945986808859</v>
      </c>
      <c r="AH3330" s="1">
        <v>6299</v>
      </c>
      <c r="AI3330" s="1" t="b">
        <v>1</v>
      </c>
    </row>
    <row r="3331" spans="1:35" x14ac:dyDescent="0.25">
      <c r="A3331" s="1">
        <v>22</v>
      </c>
      <c r="B3331" s="1">
        <v>9</v>
      </c>
      <c r="C3331" s="1">
        <v>2020</v>
      </c>
      <c r="G3331" s="1" t="s">
        <v>40</v>
      </c>
      <c r="H3331" s="2">
        <v>68.27</v>
      </c>
      <c r="I3331" s="1">
        <v>169</v>
      </c>
      <c r="U3331" s="1">
        <v>230</v>
      </c>
      <c r="X3331" s="1">
        <v>209</v>
      </c>
      <c r="AA3331" s="1">
        <v>14</v>
      </c>
      <c r="AB3331" s="1">
        <v>11</v>
      </c>
      <c r="AC3331" s="1">
        <v>7735</v>
      </c>
      <c r="AF3331" s="3">
        <v>2.4754650651823642</v>
      </c>
      <c r="AG3331" s="3">
        <v>7.7679090179821433</v>
      </c>
      <c r="AH3331" s="1">
        <v>6299</v>
      </c>
      <c r="AI3331" s="1" t="b">
        <v>1</v>
      </c>
    </row>
    <row r="3332" spans="1:35" x14ac:dyDescent="0.25">
      <c r="A3332" s="1">
        <v>22</v>
      </c>
      <c r="B3332" s="1">
        <v>9</v>
      </c>
      <c r="C3332" s="1">
        <v>2020</v>
      </c>
      <c r="G3332" s="1" t="s">
        <v>40</v>
      </c>
      <c r="H3332" s="2">
        <v>74.58</v>
      </c>
      <c r="I3332" s="1">
        <v>179</v>
      </c>
      <c r="U3332" s="1">
        <v>258</v>
      </c>
      <c r="X3332" s="1">
        <v>230</v>
      </c>
      <c r="AA3332" s="1">
        <v>18</v>
      </c>
      <c r="AB3332" s="1">
        <v>17</v>
      </c>
      <c r="AC3332" s="1">
        <v>8567</v>
      </c>
      <c r="AF3332" s="3">
        <v>2.4001072673639046</v>
      </c>
      <c r="AG3332" s="3">
        <v>8.5232458042668995</v>
      </c>
      <c r="AH3332" s="1">
        <v>6299</v>
      </c>
      <c r="AI3332" s="1" t="b">
        <v>1</v>
      </c>
    </row>
    <row r="3333" spans="1:35" x14ac:dyDescent="0.25">
      <c r="A3333" s="1">
        <v>22</v>
      </c>
      <c r="B3333" s="1">
        <v>9</v>
      </c>
      <c r="C3333" s="1">
        <v>2020</v>
      </c>
      <c r="G3333" s="1" t="s">
        <v>40</v>
      </c>
      <c r="H3333" s="2">
        <v>62.63</v>
      </c>
      <c r="I3333" s="1">
        <v>160</v>
      </c>
      <c r="U3333" s="1">
        <v>215</v>
      </c>
      <c r="X3333" s="1">
        <v>199</v>
      </c>
      <c r="AA3333" s="1">
        <v>15</v>
      </c>
      <c r="AB3333" s="1">
        <v>11</v>
      </c>
      <c r="AC3333" s="1">
        <v>7818</v>
      </c>
      <c r="AF3333" s="3">
        <v>2.5546862525946032</v>
      </c>
      <c r="AG3333" s="3">
        <v>7.0861463446750816</v>
      </c>
      <c r="AH3333" s="1">
        <v>6299</v>
      </c>
      <c r="AI3333" s="1" t="b">
        <v>1</v>
      </c>
    </row>
    <row r="3334" spans="1:35" x14ac:dyDescent="0.25">
      <c r="A3334" s="1">
        <v>22</v>
      </c>
      <c r="B3334" s="1">
        <v>9</v>
      </c>
      <c r="C3334" s="1">
        <v>2020</v>
      </c>
      <c r="G3334" s="1" t="s">
        <v>40</v>
      </c>
      <c r="H3334" s="2">
        <v>63.73</v>
      </c>
      <c r="I3334" s="1">
        <v>180</v>
      </c>
      <c r="U3334" s="1">
        <v>225</v>
      </c>
      <c r="X3334" s="1">
        <v>211</v>
      </c>
      <c r="AA3334" s="1">
        <v>11</v>
      </c>
      <c r="AB3334" s="1">
        <v>8</v>
      </c>
      <c r="AC3334" s="1">
        <v>7668</v>
      </c>
      <c r="AF3334" s="3">
        <v>2.8244155029028715</v>
      </c>
      <c r="AG3334" s="3">
        <v>6.4880196466748759</v>
      </c>
      <c r="AH3334" s="1">
        <v>6299</v>
      </c>
      <c r="AI3334" s="1" t="b">
        <v>1</v>
      </c>
    </row>
    <row r="3335" spans="1:35" x14ac:dyDescent="0.25">
      <c r="A3335" s="1">
        <v>22</v>
      </c>
      <c r="B3335" s="1">
        <v>9</v>
      </c>
      <c r="C3335" s="1">
        <v>2020</v>
      </c>
      <c r="G3335" s="1" t="s">
        <v>40</v>
      </c>
      <c r="H3335" s="2">
        <v>76</v>
      </c>
      <c r="I3335" s="1">
        <v>179</v>
      </c>
      <c r="U3335" s="1">
        <v>240</v>
      </c>
      <c r="X3335" s="1">
        <v>215</v>
      </c>
      <c r="AA3335" s="1">
        <v>13</v>
      </c>
      <c r="AB3335" s="1">
        <v>10</v>
      </c>
      <c r="AC3335" s="1">
        <v>8628</v>
      </c>
      <c r="AF3335" s="3">
        <v>2.3552631578947367</v>
      </c>
      <c r="AG3335" s="3">
        <v>8.8009605826476545</v>
      </c>
      <c r="AH3335" s="1">
        <v>6299</v>
      </c>
      <c r="AI3335" s="1" t="b">
        <v>1</v>
      </c>
    </row>
    <row r="3336" spans="1:35" x14ac:dyDescent="0.25">
      <c r="A3336" s="1">
        <v>22</v>
      </c>
      <c r="B3336" s="1">
        <v>9</v>
      </c>
      <c r="C3336" s="1">
        <v>2020</v>
      </c>
      <c r="G3336" s="1" t="s">
        <v>40</v>
      </c>
      <c r="H3336" s="2">
        <v>70.67</v>
      </c>
      <c r="I3336" s="1">
        <v>173</v>
      </c>
      <c r="U3336" s="1">
        <v>243</v>
      </c>
      <c r="X3336" s="1">
        <v>216</v>
      </c>
      <c r="AA3336" s="1">
        <v>17</v>
      </c>
      <c r="AB3336" s="1">
        <v>10</v>
      </c>
      <c r="AC3336" s="1">
        <v>8456</v>
      </c>
      <c r="AF3336" s="3">
        <v>2.4479977359558509</v>
      </c>
      <c r="AG3336" s="3">
        <v>8.0473622626320118</v>
      </c>
      <c r="AH3336" s="1">
        <v>6299</v>
      </c>
      <c r="AI3336" s="1" t="b">
        <v>1</v>
      </c>
    </row>
    <row r="3337" spans="1:35" x14ac:dyDescent="0.25">
      <c r="A3337" s="1">
        <v>22</v>
      </c>
      <c r="B3337" s="1">
        <v>9</v>
      </c>
      <c r="C3337" s="1">
        <v>2020</v>
      </c>
      <c r="G3337" s="1" t="s">
        <v>40</v>
      </c>
      <c r="H3337" s="2">
        <v>67.08</v>
      </c>
      <c r="I3337" s="1">
        <v>139</v>
      </c>
      <c r="U3337" s="1">
        <v>206</v>
      </c>
      <c r="X3337" s="1">
        <v>184</v>
      </c>
      <c r="AA3337" s="1">
        <v>15</v>
      </c>
      <c r="AB3337" s="1">
        <v>15</v>
      </c>
      <c r="AC3337" s="1">
        <v>8059</v>
      </c>
      <c r="AF3337" s="3">
        <v>2.0721526535480024</v>
      </c>
      <c r="AG3337" s="3">
        <v>9.1662857417253605</v>
      </c>
      <c r="AH3337" s="1">
        <v>6299</v>
      </c>
      <c r="AI3337" s="1" t="b">
        <v>1</v>
      </c>
    </row>
    <row r="3338" spans="1:35" x14ac:dyDescent="0.25">
      <c r="A3338" s="1">
        <v>22</v>
      </c>
      <c r="B3338" s="1">
        <v>9</v>
      </c>
      <c r="C3338" s="1">
        <v>2020</v>
      </c>
      <c r="G3338" s="1" t="s">
        <v>40</v>
      </c>
      <c r="H3338" s="2">
        <v>78.67</v>
      </c>
      <c r="I3338" s="1">
        <v>147</v>
      </c>
      <c r="U3338" s="1">
        <v>216</v>
      </c>
      <c r="X3338" s="1">
        <v>189</v>
      </c>
      <c r="AA3338" s="1">
        <v>13</v>
      </c>
      <c r="AB3338" s="1">
        <v>17</v>
      </c>
      <c r="AC3338" s="1">
        <v>10363</v>
      </c>
      <c r="AF3338" s="3">
        <v>1.8685648913181645</v>
      </c>
      <c r="AG3338" s="3">
        <v>11.364706401481568</v>
      </c>
      <c r="AH3338" s="1">
        <v>6299</v>
      </c>
      <c r="AI3338" s="1" t="b">
        <v>1</v>
      </c>
    </row>
    <row r="3339" spans="1:35" x14ac:dyDescent="0.25">
      <c r="A3339" s="1">
        <v>22</v>
      </c>
      <c r="B3339" s="1">
        <v>9</v>
      </c>
      <c r="C3339" s="1">
        <v>2020</v>
      </c>
      <c r="G3339" s="1" t="s">
        <v>40</v>
      </c>
      <c r="H3339" s="2">
        <v>67.67</v>
      </c>
      <c r="I3339" s="1">
        <v>174</v>
      </c>
      <c r="U3339" s="1">
        <v>227</v>
      </c>
      <c r="X3339" s="1">
        <v>205</v>
      </c>
      <c r="AA3339" s="1">
        <v>16</v>
      </c>
      <c r="AB3339" s="1">
        <v>14</v>
      </c>
      <c r="AC3339" s="1">
        <v>8145</v>
      </c>
      <c r="AF3339" s="3">
        <v>2.5713019063100337</v>
      </c>
      <c r="AG3339" s="3">
        <v>7.4323174623484656</v>
      </c>
      <c r="AH3339" s="1">
        <v>6299</v>
      </c>
      <c r="AI3339" s="1" t="b">
        <v>1</v>
      </c>
    </row>
    <row r="3340" spans="1:35" x14ac:dyDescent="0.25">
      <c r="A3340" s="1">
        <v>22</v>
      </c>
      <c r="B3340" s="1">
        <v>9</v>
      </c>
      <c r="C3340" s="1">
        <v>2020</v>
      </c>
      <c r="G3340" s="1" t="s">
        <v>40</v>
      </c>
      <c r="H3340" s="2">
        <v>81.22</v>
      </c>
      <c r="I3340" s="1">
        <v>200</v>
      </c>
      <c r="U3340" s="1">
        <v>248</v>
      </c>
      <c r="X3340" s="1">
        <v>226</v>
      </c>
      <c r="AA3340" s="1">
        <v>10</v>
      </c>
      <c r="AB3340" s="1">
        <v>6</v>
      </c>
      <c r="AC3340" s="1">
        <v>9736</v>
      </c>
      <c r="AF3340" s="3">
        <v>2.4624476729869489</v>
      </c>
      <c r="AG3340" s="3">
        <v>8.8185479177651356</v>
      </c>
      <c r="AH3340" s="1">
        <v>6299</v>
      </c>
      <c r="AI3340" s="1" t="b">
        <v>1</v>
      </c>
    </row>
    <row r="3341" spans="1:35" x14ac:dyDescent="0.25">
      <c r="A3341" s="1">
        <v>23</v>
      </c>
      <c r="B3341" s="1">
        <v>9</v>
      </c>
      <c r="C3341" s="1">
        <v>2020</v>
      </c>
      <c r="G3341" s="1" t="s">
        <v>40</v>
      </c>
      <c r="H3341" s="2">
        <v>75.680000000000007</v>
      </c>
      <c r="I3341" s="1">
        <v>165</v>
      </c>
      <c r="U3341" s="1">
        <v>236</v>
      </c>
      <c r="X3341" s="1">
        <v>213</v>
      </c>
      <c r="AA3341" s="1">
        <v>18</v>
      </c>
      <c r="AB3341" s="1">
        <v>11</v>
      </c>
      <c r="AC3341" s="1">
        <v>8828</v>
      </c>
      <c r="AF3341" s="3">
        <v>2.1802325581395348</v>
      </c>
      <c r="AG3341" s="3">
        <v>9.4794680153073454</v>
      </c>
      <c r="AH3341" s="1">
        <v>6299</v>
      </c>
      <c r="AI3341" s="1" t="b">
        <v>1</v>
      </c>
    </row>
    <row r="3342" spans="1:35" x14ac:dyDescent="0.25">
      <c r="A3342" s="1">
        <v>23</v>
      </c>
      <c r="B3342" s="1">
        <v>9</v>
      </c>
      <c r="C3342" s="1">
        <v>2020</v>
      </c>
      <c r="G3342" s="1" t="s">
        <v>40</v>
      </c>
      <c r="H3342" s="2">
        <v>77.91</v>
      </c>
      <c r="I3342" s="1">
        <v>199</v>
      </c>
      <c r="U3342" s="1">
        <v>274</v>
      </c>
      <c r="X3342" s="1">
        <v>244</v>
      </c>
      <c r="AA3342" s="1">
        <v>15</v>
      </c>
      <c r="AB3342" s="1">
        <v>9</v>
      </c>
      <c r="AC3342" s="1">
        <v>8815</v>
      </c>
      <c r="AF3342" s="3">
        <v>2.5542292388653576</v>
      </c>
      <c r="AG3342" s="3">
        <v>8.2576290770912149</v>
      </c>
      <c r="AH3342" s="1">
        <v>6299</v>
      </c>
      <c r="AI3342" s="1" t="b">
        <v>1</v>
      </c>
    </row>
    <row r="3343" spans="1:35" x14ac:dyDescent="0.25">
      <c r="A3343" s="1">
        <v>23</v>
      </c>
      <c r="B3343" s="1">
        <v>9</v>
      </c>
      <c r="C3343" s="1">
        <v>2020</v>
      </c>
      <c r="G3343" s="1" t="s">
        <v>40</v>
      </c>
      <c r="H3343" s="2">
        <v>63.13</v>
      </c>
      <c r="I3343" s="1">
        <v>161</v>
      </c>
      <c r="U3343" s="1">
        <v>199</v>
      </c>
      <c r="X3343" s="1">
        <v>182</v>
      </c>
      <c r="AA3343" s="1">
        <v>10</v>
      </c>
      <c r="AB3343" s="1">
        <v>11</v>
      </c>
      <c r="AC3343" s="1">
        <v>8127</v>
      </c>
      <c r="AF3343" s="3">
        <v>2.5502930460953586</v>
      </c>
      <c r="AG3343" s="3">
        <v>7.1379740676415455</v>
      </c>
      <c r="AH3343" s="1">
        <v>6299</v>
      </c>
      <c r="AI3343" s="1" t="b">
        <v>1</v>
      </c>
    </row>
    <row r="3344" spans="1:35" x14ac:dyDescent="0.25">
      <c r="A3344" s="1">
        <v>23</v>
      </c>
      <c r="B3344" s="1">
        <v>9</v>
      </c>
      <c r="C3344" s="1">
        <v>2020</v>
      </c>
      <c r="G3344" s="1" t="s">
        <v>40</v>
      </c>
      <c r="H3344" s="2">
        <v>72.14</v>
      </c>
      <c r="I3344" s="1">
        <v>191</v>
      </c>
      <c r="U3344" s="1">
        <v>246</v>
      </c>
      <c r="X3344" s="1">
        <v>228</v>
      </c>
      <c r="AA3344" s="1">
        <v>10</v>
      </c>
      <c r="AB3344" s="1">
        <v>7</v>
      </c>
      <c r="AC3344" s="1">
        <v>8804</v>
      </c>
      <c r="AF3344" s="3">
        <v>2.6476296090934293</v>
      </c>
      <c r="AG3344" s="3">
        <v>7.5485939962878028</v>
      </c>
      <c r="AH3344" s="1">
        <v>6299</v>
      </c>
      <c r="AI3344" s="1" t="b">
        <v>1</v>
      </c>
    </row>
    <row r="3345" spans="1:35" x14ac:dyDescent="0.25">
      <c r="A3345" s="1">
        <v>23</v>
      </c>
      <c r="B3345" s="1">
        <v>9</v>
      </c>
      <c r="C3345" s="1">
        <v>2020</v>
      </c>
      <c r="G3345" s="1" t="s">
        <v>40</v>
      </c>
      <c r="H3345" s="2">
        <v>69.53</v>
      </c>
      <c r="I3345" s="1">
        <v>160</v>
      </c>
      <c r="U3345" s="1">
        <v>213</v>
      </c>
      <c r="X3345" s="1">
        <v>192</v>
      </c>
      <c r="AA3345" s="1">
        <v>12</v>
      </c>
      <c r="AB3345" s="1">
        <v>8</v>
      </c>
      <c r="AC3345" s="1">
        <v>7708</v>
      </c>
      <c r="AF3345" s="3">
        <v>2.3011649647634114</v>
      </c>
      <c r="AG3345" s="3">
        <v>8.4639445071407557</v>
      </c>
      <c r="AH3345" s="1">
        <v>6299</v>
      </c>
      <c r="AI3345" s="1" t="b">
        <v>1</v>
      </c>
    </row>
    <row r="3346" spans="1:35" x14ac:dyDescent="0.25">
      <c r="A3346" s="1">
        <v>23</v>
      </c>
      <c r="B3346" s="1">
        <v>9</v>
      </c>
      <c r="C3346" s="1">
        <v>2020</v>
      </c>
      <c r="G3346" s="1" t="s">
        <v>40</v>
      </c>
      <c r="H3346" s="2">
        <v>69.16</v>
      </c>
      <c r="I3346" s="1">
        <v>158</v>
      </c>
      <c r="U3346" s="1">
        <v>219</v>
      </c>
      <c r="X3346" s="1">
        <v>204</v>
      </c>
      <c r="AA3346" s="1">
        <v>16</v>
      </c>
      <c r="AB3346" s="1">
        <v>19</v>
      </c>
      <c r="AC3346" s="1">
        <v>7586</v>
      </c>
      <c r="AF3346" s="3">
        <v>2.2845575477154427</v>
      </c>
      <c r="AG3346" s="3">
        <v>8.4936896218947258</v>
      </c>
      <c r="AH3346" s="1">
        <v>6299</v>
      </c>
      <c r="AI3346" s="1" t="b">
        <v>1</v>
      </c>
    </row>
    <row r="3347" spans="1:35" x14ac:dyDescent="0.25">
      <c r="A3347" s="1">
        <v>24</v>
      </c>
      <c r="B3347" s="1">
        <v>9</v>
      </c>
      <c r="C3347" s="1">
        <v>2020</v>
      </c>
      <c r="G3347" s="1" t="s">
        <v>40</v>
      </c>
      <c r="H3347" s="2">
        <v>62.62</v>
      </c>
      <c r="I3347" s="1">
        <v>158</v>
      </c>
      <c r="U3347" s="1">
        <v>206</v>
      </c>
      <c r="X3347" s="1">
        <v>189</v>
      </c>
      <c r="AA3347" s="1">
        <v>12</v>
      </c>
      <c r="AB3347" s="1">
        <v>7</v>
      </c>
      <c r="AC3347" s="1">
        <v>7767</v>
      </c>
      <c r="AF3347" s="3">
        <v>2.523155541360588</v>
      </c>
      <c r="AG3347" s="3">
        <v>7.1738967302240333</v>
      </c>
      <c r="AH3347" s="1">
        <v>6299</v>
      </c>
      <c r="AI3347" s="1" t="b">
        <v>1</v>
      </c>
    </row>
    <row r="3348" spans="1:35" x14ac:dyDescent="0.25">
      <c r="A3348" s="1">
        <v>24</v>
      </c>
      <c r="B3348" s="1">
        <v>9</v>
      </c>
      <c r="C3348" s="1">
        <v>2020</v>
      </c>
      <c r="G3348" s="1" t="s">
        <v>40</v>
      </c>
      <c r="H3348" s="2">
        <v>67.84</v>
      </c>
      <c r="I3348" s="1">
        <v>173</v>
      </c>
      <c r="U3348" s="1">
        <v>225</v>
      </c>
      <c r="X3348" s="1">
        <v>206</v>
      </c>
      <c r="AA3348" s="1">
        <v>12</v>
      </c>
      <c r="AB3348" s="1">
        <v>7</v>
      </c>
      <c r="AC3348" s="1">
        <v>7921</v>
      </c>
      <c r="AF3348" s="3">
        <v>2.5501179245283017</v>
      </c>
      <c r="AG3348" s="3">
        <v>7.5072317629362333</v>
      </c>
      <c r="AH3348" s="1">
        <v>6299</v>
      </c>
      <c r="AI3348" s="1" t="b">
        <v>1</v>
      </c>
    </row>
    <row r="3349" spans="1:35" x14ac:dyDescent="0.25">
      <c r="A3349" s="1">
        <v>24</v>
      </c>
      <c r="B3349" s="1">
        <v>9</v>
      </c>
      <c r="C3349" s="1">
        <v>2020</v>
      </c>
      <c r="G3349" s="1" t="s">
        <v>40</v>
      </c>
      <c r="H3349" s="2">
        <v>68.27</v>
      </c>
      <c r="I3349" s="1">
        <v>161</v>
      </c>
      <c r="U3349" s="1">
        <v>207</v>
      </c>
      <c r="X3349" s="1">
        <v>188</v>
      </c>
      <c r="AA3349" s="1">
        <v>13</v>
      </c>
      <c r="AB3349" s="1">
        <v>11</v>
      </c>
      <c r="AC3349" s="1">
        <v>7983</v>
      </c>
      <c r="AF3349" s="3">
        <v>2.3582832869488795</v>
      </c>
      <c r="AG3349" s="3">
        <v>8.1538920747762873</v>
      </c>
      <c r="AH3349" s="1">
        <v>6299</v>
      </c>
      <c r="AI3349" s="1" t="b">
        <v>1</v>
      </c>
    </row>
    <row r="3350" spans="1:35" x14ac:dyDescent="0.25">
      <c r="A3350" s="1">
        <v>24</v>
      </c>
      <c r="B3350" s="1">
        <v>9</v>
      </c>
      <c r="C3350" s="1">
        <v>2020</v>
      </c>
      <c r="G3350" s="1" t="s">
        <v>40</v>
      </c>
      <c r="H3350" s="2">
        <v>68.599999999999994</v>
      </c>
      <c r="I3350" s="1">
        <v>181</v>
      </c>
      <c r="U3350" s="1">
        <v>234</v>
      </c>
      <c r="X3350" s="1">
        <v>208</v>
      </c>
      <c r="AA3350" s="1">
        <v>11</v>
      </c>
      <c r="AB3350" s="1">
        <v>9</v>
      </c>
      <c r="AC3350" s="1">
        <v>8295</v>
      </c>
      <c r="AF3350" s="3">
        <v>2.6384839650145775</v>
      </c>
      <c r="AG3350" s="3">
        <v>7.3126101652534663</v>
      </c>
      <c r="AH3350" s="1">
        <v>6299</v>
      </c>
      <c r="AI3350" s="1" t="b">
        <v>1</v>
      </c>
    </row>
    <row r="3351" spans="1:35" x14ac:dyDescent="0.25">
      <c r="A3351" s="1">
        <v>24</v>
      </c>
      <c r="B3351" s="1">
        <v>9</v>
      </c>
      <c r="C3351" s="1">
        <v>2020</v>
      </c>
      <c r="G3351" s="1" t="s">
        <v>40</v>
      </c>
      <c r="H3351" s="2">
        <v>60.62</v>
      </c>
      <c r="I3351" s="1">
        <v>141</v>
      </c>
      <c r="U3351" s="1">
        <v>210</v>
      </c>
      <c r="X3351" s="1">
        <v>188</v>
      </c>
      <c r="AA3351" s="1">
        <v>17</v>
      </c>
      <c r="AB3351" s="1">
        <v>16</v>
      </c>
      <c r="AC3351" s="1">
        <v>7462</v>
      </c>
      <c r="AF3351" s="3">
        <v>2.3259650280435502</v>
      </c>
      <c r="AG3351" s="3">
        <v>7.6072549557459261</v>
      </c>
      <c r="AH3351" s="1">
        <v>6299</v>
      </c>
      <c r="AI3351" s="1" t="b">
        <v>1</v>
      </c>
    </row>
    <row r="3352" spans="1:35" x14ac:dyDescent="0.25">
      <c r="A3352" s="1">
        <v>24</v>
      </c>
      <c r="B3352" s="1">
        <v>9</v>
      </c>
      <c r="C3352" s="1">
        <v>2020</v>
      </c>
      <c r="G3352" s="1" t="s">
        <v>40</v>
      </c>
      <c r="H3352" s="2">
        <v>82.9</v>
      </c>
      <c r="I3352" s="1">
        <v>184</v>
      </c>
      <c r="U3352" s="1">
        <v>240</v>
      </c>
      <c r="X3352" s="1">
        <v>216</v>
      </c>
      <c r="AA3352" s="1">
        <v>12</v>
      </c>
      <c r="AB3352" s="1">
        <v>7</v>
      </c>
      <c r="AC3352" s="1">
        <v>9803</v>
      </c>
      <c r="AF3352" s="3">
        <v>2.2195416164053072</v>
      </c>
      <c r="AG3352" s="3">
        <v>9.9248711888053904</v>
      </c>
      <c r="AH3352" s="1">
        <v>6299</v>
      </c>
      <c r="AI3352" s="1" t="b">
        <v>1</v>
      </c>
    </row>
    <row r="3353" spans="1:35" x14ac:dyDescent="0.25">
      <c r="A3353" s="1">
        <v>24</v>
      </c>
      <c r="B3353" s="1">
        <v>9</v>
      </c>
      <c r="C3353" s="1">
        <v>2020</v>
      </c>
      <c r="G3353" s="1" t="s">
        <v>40</v>
      </c>
      <c r="H3353" s="2">
        <v>77.540000000000006</v>
      </c>
      <c r="I3353" s="1">
        <v>182</v>
      </c>
      <c r="U3353" s="1">
        <v>249</v>
      </c>
      <c r="X3353" s="1">
        <v>223</v>
      </c>
      <c r="AA3353" s="1">
        <v>15</v>
      </c>
      <c r="AB3353" s="1">
        <v>10</v>
      </c>
      <c r="AC3353" s="1">
        <v>9741</v>
      </c>
      <c r="AF3353" s="3">
        <v>2.3471756512767601</v>
      </c>
      <c r="AG3353" s="3">
        <v>8.9561728435067192</v>
      </c>
      <c r="AH3353" s="1">
        <v>6299</v>
      </c>
      <c r="AI3353" s="1" t="b">
        <v>1</v>
      </c>
    </row>
    <row r="3354" spans="1:35" x14ac:dyDescent="0.25">
      <c r="A3354" s="1">
        <v>24</v>
      </c>
      <c r="B3354" s="1">
        <v>9</v>
      </c>
      <c r="C3354" s="1">
        <v>2020</v>
      </c>
      <c r="G3354" s="1" t="s">
        <v>40</v>
      </c>
      <c r="H3354" s="2">
        <v>65.95</v>
      </c>
      <c r="I3354" s="1">
        <v>181</v>
      </c>
      <c r="U3354" s="1">
        <v>252</v>
      </c>
      <c r="X3354" s="1">
        <v>221</v>
      </c>
      <c r="AA3354" s="1">
        <v>16</v>
      </c>
      <c r="AB3354" s="1">
        <v>7</v>
      </c>
      <c r="AC3354" s="1">
        <v>8345</v>
      </c>
      <c r="AF3354" s="3">
        <v>2.7445034116755118</v>
      </c>
      <c r="AG3354" s="3">
        <v>6.8389052202952909</v>
      </c>
      <c r="AH3354" s="1">
        <v>6299</v>
      </c>
      <c r="AI3354" s="1" t="b">
        <v>1</v>
      </c>
    </row>
    <row r="3355" spans="1:35" x14ac:dyDescent="0.25">
      <c r="A3355" s="1">
        <v>24</v>
      </c>
      <c r="B3355" s="1">
        <v>9</v>
      </c>
      <c r="C3355" s="1">
        <v>2020</v>
      </c>
      <c r="G3355" s="1" t="s">
        <v>40</v>
      </c>
      <c r="H3355" s="2">
        <v>69.459999999999994</v>
      </c>
      <c r="I3355" s="1">
        <v>157</v>
      </c>
      <c r="U3355" s="1">
        <v>231</v>
      </c>
      <c r="X3355" s="1">
        <v>200</v>
      </c>
      <c r="AA3355" s="1">
        <v>19</v>
      </c>
      <c r="AB3355" s="1">
        <v>17</v>
      </c>
      <c r="AC3355" s="1">
        <v>9043</v>
      </c>
      <c r="AF3355" s="3">
        <v>2.2602936942124967</v>
      </c>
      <c r="AG3355" s="3">
        <v>8.6109183627228827</v>
      </c>
      <c r="AH3355" s="1">
        <v>6299</v>
      </c>
      <c r="AI3355" s="1" t="b">
        <v>1</v>
      </c>
    </row>
    <row r="3356" spans="1:35" x14ac:dyDescent="0.25">
      <c r="A3356" s="1">
        <v>25</v>
      </c>
      <c r="B3356" s="1">
        <v>9</v>
      </c>
      <c r="C3356" s="1">
        <v>2020</v>
      </c>
      <c r="G3356" s="1" t="s">
        <v>40</v>
      </c>
      <c r="H3356" s="2">
        <v>66.010000000000005</v>
      </c>
      <c r="I3356" s="1">
        <v>137</v>
      </c>
      <c r="U3356" s="1">
        <v>192</v>
      </c>
      <c r="X3356" s="1">
        <v>172</v>
      </c>
      <c r="AA3356" s="1">
        <v>15</v>
      </c>
      <c r="AB3356" s="1">
        <v>12</v>
      </c>
      <c r="AC3356" s="1">
        <v>8255</v>
      </c>
      <c r="AF3356" s="3">
        <v>2.0754431146795937</v>
      </c>
      <c r="AG3356" s="3">
        <v>9.0493206795655183</v>
      </c>
      <c r="AH3356" s="1">
        <v>6299</v>
      </c>
      <c r="AI3356" s="1" t="b">
        <v>1</v>
      </c>
    </row>
    <row r="3357" spans="1:35" x14ac:dyDescent="0.25">
      <c r="A3357" s="1">
        <v>25</v>
      </c>
      <c r="B3357" s="1">
        <v>9</v>
      </c>
      <c r="C3357" s="1">
        <v>2020</v>
      </c>
      <c r="G3357" s="1" t="s">
        <v>40</v>
      </c>
      <c r="H3357" s="2">
        <v>59.01</v>
      </c>
      <c r="I3357" s="1">
        <v>142</v>
      </c>
      <c r="U3357" s="1">
        <v>190</v>
      </c>
      <c r="X3357" s="1">
        <v>175</v>
      </c>
      <c r="AA3357" s="1">
        <v>12</v>
      </c>
      <c r="AB3357" s="1">
        <v>9</v>
      </c>
      <c r="AC3357" s="1">
        <v>8255</v>
      </c>
      <c r="AF3357" s="3">
        <v>2.4063718013895952</v>
      </c>
      <c r="AG3357" s="3">
        <v>7.2158118485423923</v>
      </c>
      <c r="AH3357" s="1">
        <v>6299</v>
      </c>
      <c r="AI3357" s="1" t="b">
        <v>1</v>
      </c>
    </row>
    <row r="3358" spans="1:35" x14ac:dyDescent="0.25">
      <c r="A3358" s="1">
        <v>25</v>
      </c>
      <c r="B3358" s="1">
        <v>9</v>
      </c>
      <c r="C3358" s="1">
        <v>2020</v>
      </c>
      <c r="G3358" s="1" t="s">
        <v>40</v>
      </c>
      <c r="H3358" s="2">
        <v>66.760000000000005</v>
      </c>
      <c r="I3358" s="1">
        <v>158</v>
      </c>
      <c r="U3358" s="1">
        <v>215</v>
      </c>
      <c r="X3358" s="1">
        <v>192</v>
      </c>
      <c r="AA3358" s="1">
        <v>13</v>
      </c>
      <c r="AB3358" s="1">
        <v>12</v>
      </c>
      <c r="AC3358" s="1">
        <v>7881</v>
      </c>
      <c r="AF3358" s="3">
        <v>2.3666866387058119</v>
      </c>
      <c r="AG3358" s="3">
        <v>7.9987232478308528</v>
      </c>
      <c r="AH3358" s="1">
        <v>6299</v>
      </c>
      <c r="AI3358" s="1" t="b">
        <v>1</v>
      </c>
    </row>
    <row r="3359" spans="1:35" x14ac:dyDescent="0.25">
      <c r="A3359" s="1">
        <v>25</v>
      </c>
      <c r="B3359" s="1">
        <v>9</v>
      </c>
      <c r="C3359" s="1">
        <v>2020</v>
      </c>
      <c r="G3359" s="1" t="s">
        <v>40</v>
      </c>
      <c r="H3359" s="2">
        <v>58.3</v>
      </c>
      <c r="I3359" s="1">
        <v>141</v>
      </c>
      <c r="U3359" s="1">
        <v>184</v>
      </c>
      <c r="X3359" s="1">
        <v>165</v>
      </c>
      <c r="AA3359" s="1">
        <v>11</v>
      </c>
      <c r="AB3359" s="1">
        <v>11</v>
      </c>
      <c r="AC3359" s="1">
        <v>6762</v>
      </c>
      <c r="AF3359" s="3">
        <v>2.4185248713550602</v>
      </c>
      <c r="AG3359" s="3">
        <v>7.1189743873509777</v>
      </c>
      <c r="AH3359" s="1">
        <v>6299</v>
      </c>
      <c r="AI3359" s="1" t="b">
        <v>1</v>
      </c>
    </row>
    <row r="3360" spans="1:35" x14ac:dyDescent="0.25">
      <c r="A3360" s="1">
        <v>26</v>
      </c>
      <c r="B3360" s="1">
        <v>9</v>
      </c>
      <c r="C3360" s="1">
        <v>2020</v>
      </c>
      <c r="G3360" s="1" t="s">
        <v>40</v>
      </c>
      <c r="H3360" s="2">
        <v>97.27</v>
      </c>
      <c r="I3360" s="1">
        <v>194</v>
      </c>
      <c r="V3360" s="1">
        <v>290</v>
      </c>
      <c r="X3360" s="1">
        <v>224</v>
      </c>
      <c r="AA3360" s="1">
        <v>15</v>
      </c>
      <c r="AB3360" s="1">
        <v>11</v>
      </c>
      <c r="AC3360" s="1">
        <v>9376</v>
      </c>
      <c r="AF3360" s="3">
        <v>1.9944484424796958</v>
      </c>
      <c r="AG3360" s="3">
        <v>12.352715156448905</v>
      </c>
      <c r="AH3360" s="1">
        <v>6299</v>
      </c>
      <c r="AI3360" s="1" t="b">
        <v>1</v>
      </c>
    </row>
    <row r="3361" spans="1:35" x14ac:dyDescent="0.25">
      <c r="A3361" s="1">
        <v>26</v>
      </c>
      <c r="B3361" s="1">
        <v>9</v>
      </c>
      <c r="C3361" s="1">
        <v>2020</v>
      </c>
      <c r="G3361" s="1" t="s">
        <v>40</v>
      </c>
      <c r="H3361" s="2">
        <v>81.069999999999993</v>
      </c>
      <c r="I3361" s="1">
        <v>191</v>
      </c>
      <c r="V3361" s="1">
        <v>270</v>
      </c>
      <c r="X3361" s="1">
        <v>200</v>
      </c>
      <c r="AA3361" s="1">
        <v>9</v>
      </c>
      <c r="AB3361" s="1">
        <v>7</v>
      </c>
      <c r="AC3361" s="1">
        <v>8815</v>
      </c>
      <c r="AF3361" s="3">
        <v>2.3559886517824107</v>
      </c>
      <c r="AG3361" s="3">
        <v>9.2051088181736525</v>
      </c>
      <c r="AH3361" s="1">
        <v>6299</v>
      </c>
      <c r="AI3361" s="1" t="b">
        <v>1</v>
      </c>
    </row>
    <row r="3362" spans="1:35" x14ac:dyDescent="0.25">
      <c r="A3362" s="1">
        <v>26</v>
      </c>
      <c r="B3362" s="1">
        <v>9</v>
      </c>
      <c r="C3362" s="1">
        <v>2020</v>
      </c>
      <c r="G3362" s="1" t="s">
        <v>40</v>
      </c>
      <c r="H3362" s="2">
        <v>77.790000000000006</v>
      </c>
      <c r="I3362" s="1">
        <v>183</v>
      </c>
      <c r="V3362" s="1">
        <v>278</v>
      </c>
      <c r="X3362" s="1">
        <v>211</v>
      </c>
      <c r="AA3362" s="1">
        <v>12</v>
      </c>
      <c r="AB3362" s="1">
        <v>9</v>
      </c>
      <c r="AC3362" s="1">
        <v>9079</v>
      </c>
      <c r="AF3362" s="3">
        <v>2.3524874662553024</v>
      </c>
      <c r="AG3362" s="3">
        <v>8.9561079956262777</v>
      </c>
      <c r="AH3362" s="1">
        <v>6299</v>
      </c>
      <c r="AI3362" s="1" t="b">
        <v>1</v>
      </c>
    </row>
    <row r="3363" spans="1:35" x14ac:dyDescent="0.25">
      <c r="A3363" s="1">
        <v>29</v>
      </c>
      <c r="B3363" s="1">
        <v>9</v>
      </c>
      <c r="C3363" s="1">
        <v>2020</v>
      </c>
      <c r="G3363" s="1" t="s">
        <v>40</v>
      </c>
      <c r="H3363" s="2">
        <v>78.42</v>
      </c>
      <c r="I3363" s="1">
        <v>164</v>
      </c>
      <c r="V3363" s="1">
        <v>228</v>
      </c>
      <c r="X3363" s="1">
        <v>197</v>
      </c>
      <c r="AA3363" s="1">
        <v>14</v>
      </c>
      <c r="AB3363" s="1">
        <v>11</v>
      </c>
      <c r="AC3363" s="1">
        <v>9261</v>
      </c>
      <c r="AF3363" s="3">
        <v>2.0913032389696506</v>
      </c>
      <c r="AG3363" s="3">
        <v>10.131687277662165</v>
      </c>
      <c r="AH3363" s="1">
        <v>6300</v>
      </c>
      <c r="AI3363" s="1" t="b">
        <v>1</v>
      </c>
    </row>
    <row r="3364" spans="1:35" x14ac:dyDescent="0.25">
      <c r="A3364" s="1">
        <v>3</v>
      </c>
      <c r="B3364" s="1">
        <v>10</v>
      </c>
      <c r="C3364" s="1">
        <v>2020</v>
      </c>
      <c r="G3364" s="1" t="s">
        <v>40</v>
      </c>
      <c r="H3364" s="2">
        <v>80.84</v>
      </c>
      <c r="I3364" s="1">
        <v>199</v>
      </c>
      <c r="V3364" s="1">
        <v>240</v>
      </c>
      <c r="X3364" s="1">
        <v>219</v>
      </c>
      <c r="AA3364" s="1">
        <v>16</v>
      </c>
      <c r="AB3364" s="1">
        <v>7</v>
      </c>
      <c r="AC3364" s="1">
        <v>8511</v>
      </c>
      <c r="AF3364" s="3">
        <v>2.4616526472043541</v>
      </c>
      <c r="AG3364" s="3">
        <v>8.7924851162419984</v>
      </c>
      <c r="AH3364" s="1">
        <v>6300</v>
      </c>
      <c r="AI3364" s="1" t="b">
        <v>1</v>
      </c>
    </row>
    <row r="3365" spans="1:35" x14ac:dyDescent="0.25">
      <c r="A3365" s="1">
        <v>3</v>
      </c>
      <c r="B3365" s="1">
        <v>10</v>
      </c>
      <c r="C3365" s="1">
        <v>2020</v>
      </c>
      <c r="G3365" s="1" t="s">
        <v>40</v>
      </c>
      <c r="H3365" s="2">
        <v>69.28</v>
      </c>
      <c r="I3365" s="1">
        <v>160</v>
      </c>
      <c r="V3365" s="1">
        <v>205</v>
      </c>
      <c r="X3365" s="1">
        <v>176</v>
      </c>
      <c r="AA3365" s="1">
        <v>18</v>
      </c>
      <c r="AB3365" s="1">
        <v>13</v>
      </c>
      <c r="AC3365" s="1">
        <v>7923</v>
      </c>
      <c r="AF3365" s="3">
        <v>2.3094688221709005</v>
      </c>
      <c r="AG3365" s="3">
        <v>8.4122740351031062</v>
      </c>
      <c r="AH3365" s="1">
        <v>6300</v>
      </c>
      <c r="AI3365" s="1" t="b">
        <v>1</v>
      </c>
    </row>
    <row r="3366" spans="1:35" x14ac:dyDescent="0.25">
      <c r="A3366" s="1">
        <v>3</v>
      </c>
      <c r="B3366" s="1">
        <v>10</v>
      </c>
      <c r="C3366" s="1">
        <v>2020</v>
      </c>
      <c r="G3366" s="1" t="s">
        <v>40</v>
      </c>
      <c r="H3366" s="2">
        <v>76.47</v>
      </c>
      <c r="I3366" s="1">
        <v>195</v>
      </c>
      <c r="V3366" s="1">
        <v>236</v>
      </c>
      <c r="X3366" s="1">
        <v>202</v>
      </c>
      <c r="AA3366" s="1">
        <v>12</v>
      </c>
      <c r="AB3366" s="1">
        <v>10</v>
      </c>
      <c r="AC3366" s="1">
        <v>8921</v>
      </c>
      <c r="AF3366" s="3">
        <v>2.5500196155355042</v>
      </c>
      <c r="AG3366" s="3">
        <v>8.1639482280282021</v>
      </c>
      <c r="AH3366" s="1">
        <v>6300</v>
      </c>
      <c r="AI3366" s="1" t="b">
        <v>1</v>
      </c>
    </row>
    <row r="3367" spans="1:35" x14ac:dyDescent="0.25">
      <c r="A3367" s="1">
        <v>11</v>
      </c>
      <c r="B3367" s="1">
        <v>10</v>
      </c>
      <c r="C3367" s="1">
        <v>2020</v>
      </c>
      <c r="G3367" s="1" t="s">
        <v>40</v>
      </c>
      <c r="H3367" s="2">
        <v>81.83</v>
      </c>
      <c r="I3367" s="1">
        <v>200</v>
      </c>
      <c r="V3367" s="1">
        <v>233</v>
      </c>
      <c r="X3367" s="1">
        <v>213</v>
      </c>
      <c r="AA3367" s="1">
        <v>15</v>
      </c>
      <c r="AB3367" s="1">
        <v>8</v>
      </c>
      <c r="AC3367" s="1">
        <v>8948</v>
      </c>
      <c r="AF3367" s="3">
        <v>2.4440914090186974</v>
      </c>
      <c r="AG3367" s="3">
        <v>8.9314370444180256</v>
      </c>
      <c r="AH3367" s="1">
        <v>6301</v>
      </c>
      <c r="AI3367" s="1" t="b">
        <v>1</v>
      </c>
    </row>
    <row r="3368" spans="1:35" x14ac:dyDescent="0.25">
      <c r="A3368" s="1">
        <v>11</v>
      </c>
      <c r="B3368" s="1">
        <v>10</v>
      </c>
      <c r="C3368" s="1">
        <v>2020</v>
      </c>
      <c r="G3368" s="1" t="s">
        <v>40</v>
      </c>
      <c r="H3368" s="2">
        <v>66.41</v>
      </c>
      <c r="I3368" s="1">
        <v>144</v>
      </c>
      <c r="V3368" s="1">
        <v>203</v>
      </c>
      <c r="X3368" s="1">
        <v>173</v>
      </c>
      <c r="AA3368" s="1">
        <v>13</v>
      </c>
      <c r="AB3368" s="1">
        <v>14</v>
      </c>
      <c r="AC3368" s="1">
        <v>7313</v>
      </c>
      <c r="AF3368" s="3">
        <v>2.1683481403403104</v>
      </c>
      <c r="AG3368" s="3">
        <v>8.6983008436941383</v>
      </c>
      <c r="AH3368" s="1">
        <v>6301</v>
      </c>
      <c r="AI3368" s="1" t="b">
        <v>1</v>
      </c>
    </row>
    <row r="3369" spans="1:35" x14ac:dyDescent="0.25">
      <c r="A3369" s="1">
        <v>11</v>
      </c>
      <c r="B3369" s="1">
        <v>10</v>
      </c>
      <c r="C3369" s="1">
        <v>2020</v>
      </c>
      <c r="G3369" s="1" t="s">
        <v>40</v>
      </c>
      <c r="H3369" s="2">
        <v>87.21</v>
      </c>
      <c r="I3369" s="1">
        <v>156</v>
      </c>
      <c r="V3369" s="1">
        <v>214</v>
      </c>
      <c r="X3369" s="1">
        <v>189</v>
      </c>
      <c r="AA3369" s="1">
        <v>15</v>
      </c>
      <c r="AB3369" s="1">
        <v>20</v>
      </c>
      <c r="AC3369" s="1">
        <v>10507</v>
      </c>
      <c r="AF3369" s="3">
        <v>1.7887856897144825</v>
      </c>
      <c r="AG3369" s="3">
        <v>12.759630224895627</v>
      </c>
      <c r="AH3369" s="1">
        <v>6301</v>
      </c>
      <c r="AI3369" s="1" t="b">
        <v>1</v>
      </c>
    </row>
    <row r="3370" spans="1:35" x14ac:dyDescent="0.25">
      <c r="A3370" s="1">
        <v>13</v>
      </c>
      <c r="B3370" s="1">
        <v>10</v>
      </c>
      <c r="C3370" s="1">
        <v>2020</v>
      </c>
      <c r="G3370" s="1" t="s">
        <v>40</v>
      </c>
      <c r="H3370" s="2">
        <v>70.930000000000007</v>
      </c>
      <c r="I3370" s="1">
        <v>148</v>
      </c>
      <c r="V3370" s="1">
        <v>180</v>
      </c>
      <c r="X3370" s="1">
        <v>166</v>
      </c>
      <c r="AA3370" s="1">
        <v>13</v>
      </c>
      <c r="AB3370" s="1">
        <v>14</v>
      </c>
      <c r="AC3370" s="1">
        <v>7364</v>
      </c>
      <c r="AF3370" s="3">
        <v>2.0865642182433382</v>
      </c>
      <c r="AG3370" s="3">
        <v>9.4656232854556439</v>
      </c>
      <c r="AH3370" s="1">
        <v>6302</v>
      </c>
      <c r="AI3370" s="1" t="b">
        <v>1</v>
      </c>
    </row>
    <row r="3371" spans="1:35" x14ac:dyDescent="0.25">
      <c r="A3371" s="1">
        <v>23</v>
      </c>
      <c r="B3371" s="1">
        <v>10</v>
      </c>
      <c r="C3371" s="1">
        <v>2020</v>
      </c>
      <c r="G3371" s="1" t="s">
        <v>40</v>
      </c>
      <c r="H3371" s="2">
        <v>85.23</v>
      </c>
      <c r="I3371" s="1">
        <v>188</v>
      </c>
      <c r="V3371" s="1">
        <v>265</v>
      </c>
      <c r="X3371" s="1">
        <v>202</v>
      </c>
      <c r="AA3371" s="1">
        <v>12</v>
      </c>
      <c r="AB3371" s="1">
        <v>12</v>
      </c>
      <c r="AC3371" s="1">
        <v>9439</v>
      </c>
      <c r="AF3371" s="3">
        <v>2.2057960811920685</v>
      </c>
      <c r="AG3371" s="3">
        <v>10.182381887124388</v>
      </c>
      <c r="AH3371" s="1">
        <v>6303</v>
      </c>
      <c r="AI3371" s="1" t="b">
        <v>1</v>
      </c>
    </row>
    <row r="3372" spans="1:35" x14ac:dyDescent="0.25">
      <c r="A3372" s="1">
        <v>23</v>
      </c>
      <c r="B3372" s="1">
        <v>10</v>
      </c>
      <c r="C3372" s="1">
        <v>2020</v>
      </c>
      <c r="G3372" s="1" t="s">
        <v>40</v>
      </c>
      <c r="H3372" s="2">
        <v>96.31</v>
      </c>
      <c r="I3372" s="1">
        <v>189</v>
      </c>
      <c r="V3372" s="1">
        <v>285</v>
      </c>
      <c r="X3372" s="1">
        <v>221</v>
      </c>
      <c r="AA3372" s="1">
        <v>13</v>
      </c>
      <c r="AB3372" s="1">
        <v>10</v>
      </c>
      <c r="AC3372" s="1">
        <v>10150</v>
      </c>
      <c r="AF3372" s="3">
        <v>1.962413041221057</v>
      </c>
      <c r="AG3372" s="3">
        <v>12.46750487449337</v>
      </c>
      <c r="AH3372" s="1">
        <v>6303</v>
      </c>
      <c r="AI3372" s="1" t="b">
        <v>1</v>
      </c>
    </row>
    <row r="3373" spans="1:35" x14ac:dyDescent="0.25">
      <c r="A3373" s="1">
        <v>23</v>
      </c>
      <c r="B3373" s="1">
        <v>10</v>
      </c>
      <c r="C3373" s="1">
        <v>2020</v>
      </c>
      <c r="G3373" s="1" t="s">
        <v>40</v>
      </c>
      <c r="H3373" s="2">
        <v>81.739999999999995</v>
      </c>
      <c r="I3373" s="1">
        <v>168</v>
      </c>
      <c r="V3373" s="1">
        <v>231</v>
      </c>
      <c r="X3373" s="1">
        <v>194</v>
      </c>
      <c r="AA3373" s="1">
        <v>18</v>
      </c>
      <c r="AB3373" s="1">
        <v>8</v>
      </c>
      <c r="AC3373" s="1">
        <v>8395</v>
      </c>
      <c r="AF3373" s="3">
        <v>2.0552972840714463</v>
      </c>
      <c r="AG3373" s="3">
        <v>10.612790593232248</v>
      </c>
      <c r="AH3373" s="1">
        <v>6303</v>
      </c>
      <c r="AI3373" s="1" t="b">
        <v>1</v>
      </c>
    </row>
    <row r="3374" spans="1:35" x14ac:dyDescent="0.25">
      <c r="A3374" s="1">
        <v>23</v>
      </c>
      <c r="B3374" s="1">
        <v>10</v>
      </c>
      <c r="C3374" s="1">
        <v>2020</v>
      </c>
      <c r="G3374" s="1" t="s">
        <v>40</v>
      </c>
      <c r="H3374" s="2">
        <v>87.28</v>
      </c>
      <c r="I3374" s="1">
        <v>167</v>
      </c>
      <c r="V3374" s="1">
        <v>229</v>
      </c>
      <c r="X3374" s="1">
        <v>194</v>
      </c>
      <c r="AA3374" s="1">
        <v>13</v>
      </c>
      <c r="AB3374" s="1">
        <v>14</v>
      </c>
      <c r="AC3374" s="1">
        <v>9097</v>
      </c>
      <c r="AF3374" s="3">
        <v>1.9133822181484876</v>
      </c>
      <c r="AG3374" s="3">
        <v>11.935444090332538</v>
      </c>
      <c r="AH3374" s="1">
        <v>6303</v>
      </c>
      <c r="AI3374" s="1" t="b">
        <v>1</v>
      </c>
    </row>
    <row r="3375" spans="1:35" x14ac:dyDescent="0.25">
      <c r="A3375" s="1">
        <v>25</v>
      </c>
      <c r="B3375" s="1">
        <v>10</v>
      </c>
      <c r="C3375" s="1">
        <v>2020</v>
      </c>
      <c r="G3375" s="1" t="s">
        <v>40</v>
      </c>
      <c r="H3375" s="2">
        <v>66.31</v>
      </c>
      <c r="I3375" s="1">
        <v>155</v>
      </c>
      <c r="V3375" s="1">
        <v>198</v>
      </c>
      <c r="X3375" s="1">
        <v>179</v>
      </c>
      <c r="AA3375" s="1">
        <v>11</v>
      </c>
      <c r="AB3375" s="1">
        <v>13</v>
      </c>
      <c r="AC3375" s="1">
        <v>7395</v>
      </c>
      <c r="AF3375" s="3">
        <v>2.3375056552556175</v>
      </c>
      <c r="AG3375" s="3">
        <v>8.0603267808631056</v>
      </c>
      <c r="AH3375" s="1">
        <v>6303</v>
      </c>
      <c r="AI3375" s="1" t="b">
        <v>1</v>
      </c>
    </row>
    <row r="3376" spans="1:35" x14ac:dyDescent="0.25">
      <c r="A3376" s="1">
        <v>25</v>
      </c>
      <c r="B3376" s="1">
        <v>10</v>
      </c>
      <c r="C3376" s="1">
        <v>2020</v>
      </c>
      <c r="G3376" s="1" t="s">
        <v>40</v>
      </c>
      <c r="H3376" s="2">
        <v>73.010000000000005</v>
      </c>
      <c r="I3376" s="1">
        <v>153</v>
      </c>
      <c r="V3376" s="1">
        <v>189</v>
      </c>
      <c r="X3376" s="1">
        <v>168</v>
      </c>
      <c r="AA3376" s="1">
        <v>11</v>
      </c>
      <c r="AB3376" s="1">
        <v>14</v>
      </c>
      <c r="AC3376" s="1">
        <v>7888</v>
      </c>
      <c r="AF3376" s="3">
        <v>2.0956033420079438</v>
      </c>
      <c r="AG3376" s="3">
        <v>9.6174195372428493</v>
      </c>
      <c r="AH3376" s="1">
        <v>6303</v>
      </c>
      <c r="AI3376" s="1" t="b">
        <v>1</v>
      </c>
    </row>
    <row r="3377" spans="1:35" x14ac:dyDescent="0.25">
      <c r="A3377" s="1">
        <v>25</v>
      </c>
      <c r="B3377" s="1">
        <v>10</v>
      </c>
      <c r="C3377" s="1">
        <v>2020</v>
      </c>
      <c r="G3377" s="1" t="s">
        <v>40</v>
      </c>
      <c r="H3377" s="2">
        <v>68.69</v>
      </c>
      <c r="I3377" s="1">
        <v>162</v>
      </c>
      <c r="V3377" s="1">
        <v>214</v>
      </c>
      <c r="X3377" s="1">
        <v>179</v>
      </c>
      <c r="AA3377" s="1">
        <v>15</v>
      </c>
      <c r="AB3377" s="1">
        <v>12</v>
      </c>
      <c r="AC3377" s="1">
        <v>7725</v>
      </c>
      <c r="AF3377" s="3">
        <v>2.3584218954724125</v>
      </c>
      <c r="AG3377" s="3">
        <v>8.1884926454502285</v>
      </c>
      <c r="AH3377" s="1">
        <v>6303</v>
      </c>
      <c r="AI3377" s="1" t="b">
        <v>1</v>
      </c>
    </row>
    <row r="3378" spans="1:35" x14ac:dyDescent="0.25">
      <c r="A3378" s="1">
        <v>25</v>
      </c>
      <c r="B3378" s="1">
        <v>10</v>
      </c>
      <c r="C3378" s="1">
        <v>2020</v>
      </c>
      <c r="G3378" s="1" t="s">
        <v>40</v>
      </c>
      <c r="H3378" s="2">
        <v>70.33</v>
      </c>
      <c r="I3378" s="1">
        <v>148</v>
      </c>
      <c r="V3378" s="1">
        <v>216</v>
      </c>
      <c r="X3378" s="1">
        <v>180</v>
      </c>
      <c r="AA3378" s="1">
        <v>13</v>
      </c>
      <c r="AB3378" s="1">
        <v>14</v>
      </c>
      <c r="AC3378" s="1">
        <v>7732</v>
      </c>
      <c r="AF3378" s="3">
        <v>2.1043651357884259</v>
      </c>
      <c r="AG3378" s="3">
        <v>9.3299074181276893</v>
      </c>
      <c r="AH3378" s="1">
        <v>6303</v>
      </c>
      <c r="AI3378" s="1" t="b">
        <v>1</v>
      </c>
    </row>
    <row r="3379" spans="1:35" x14ac:dyDescent="0.25">
      <c r="A3379" s="1">
        <v>29</v>
      </c>
      <c r="B3379" s="1">
        <v>10</v>
      </c>
      <c r="C3379" s="1">
        <v>2020</v>
      </c>
      <c r="G3379" s="1" t="s">
        <v>40</v>
      </c>
      <c r="H3379" s="2">
        <v>77.81</v>
      </c>
      <c r="I3379" s="1">
        <v>179</v>
      </c>
      <c r="V3379" s="1">
        <v>230</v>
      </c>
      <c r="X3379" s="1">
        <v>209</v>
      </c>
      <c r="AA3379" s="1">
        <v>18</v>
      </c>
      <c r="AB3379" s="1">
        <v>9</v>
      </c>
      <c r="AC3379" s="1">
        <v>7923</v>
      </c>
      <c r="AF3379" s="3">
        <v>2.3004755172856957</v>
      </c>
      <c r="AG3379" s="3">
        <v>9.1602468052557207</v>
      </c>
      <c r="AH3379" s="1">
        <v>6304</v>
      </c>
      <c r="AI3379" s="1" t="b">
        <v>1</v>
      </c>
    </row>
    <row r="3380" spans="1:35" x14ac:dyDescent="0.25">
      <c r="A3380" s="1">
        <v>29</v>
      </c>
      <c r="B3380" s="1">
        <v>10</v>
      </c>
      <c r="C3380" s="1">
        <v>2020</v>
      </c>
      <c r="G3380" s="1" t="s">
        <v>40</v>
      </c>
      <c r="H3380" s="2">
        <v>75.58</v>
      </c>
      <c r="I3380" s="1">
        <v>169</v>
      </c>
      <c r="V3380" s="1">
        <v>228</v>
      </c>
      <c r="X3380" s="1">
        <v>182</v>
      </c>
      <c r="AA3380" s="1">
        <v>14</v>
      </c>
      <c r="AB3380" s="1">
        <v>12</v>
      </c>
      <c r="AC3380" s="1">
        <v>7950</v>
      </c>
      <c r="AF3380" s="3">
        <v>2.2360412807621066</v>
      </c>
      <c r="AG3380" s="3">
        <v>9.2343217870376737</v>
      </c>
      <c r="AH3380" s="1">
        <v>6304</v>
      </c>
      <c r="AI3380" s="1" t="b">
        <v>1</v>
      </c>
    </row>
    <row r="3381" spans="1:35" x14ac:dyDescent="0.25">
      <c r="A3381" s="1">
        <v>29</v>
      </c>
      <c r="B3381" s="1">
        <v>10</v>
      </c>
      <c r="C3381" s="1">
        <v>2020</v>
      </c>
      <c r="G3381" s="1" t="s">
        <v>40</v>
      </c>
      <c r="H3381" s="2">
        <v>65.88</v>
      </c>
      <c r="I3381" s="1">
        <v>148</v>
      </c>
      <c r="V3381" s="1">
        <v>202</v>
      </c>
      <c r="X3381" s="1">
        <v>173</v>
      </c>
      <c r="AA3381" s="1">
        <v>15</v>
      </c>
      <c r="AB3381" s="1">
        <v>11</v>
      </c>
      <c r="AC3381" s="1">
        <v>7109</v>
      </c>
      <c r="AF3381" s="3">
        <v>2.2465088038858534</v>
      </c>
      <c r="AG3381" s="3">
        <v>8.3487102450521604</v>
      </c>
      <c r="AH3381" s="1">
        <v>6304</v>
      </c>
      <c r="AI3381" s="1" t="b">
        <v>1</v>
      </c>
    </row>
    <row r="3382" spans="1:35" x14ac:dyDescent="0.25">
      <c r="A3382" s="1">
        <v>30</v>
      </c>
      <c r="B3382" s="1">
        <v>10</v>
      </c>
      <c r="C3382" s="1">
        <v>2020</v>
      </c>
      <c r="G3382" s="1" t="s">
        <v>40</v>
      </c>
      <c r="H3382" s="2">
        <v>112.69</v>
      </c>
      <c r="I3382" s="1">
        <v>194</v>
      </c>
      <c r="V3382" s="1">
        <v>235</v>
      </c>
      <c r="X3382" s="1">
        <v>198</v>
      </c>
      <c r="AA3382" s="1">
        <v>12</v>
      </c>
      <c r="AB3382" s="1">
        <v>12</v>
      </c>
      <c r="AC3382" s="1">
        <v>12756</v>
      </c>
      <c r="AF3382" s="3">
        <v>1.7215369598012247</v>
      </c>
      <c r="AG3382" s="3">
        <v>15.863660765605031</v>
      </c>
      <c r="AH3382" s="1">
        <v>6304</v>
      </c>
      <c r="AI3382" s="1" t="b">
        <v>1</v>
      </c>
    </row>
    <row r="3383" spans="1:35" x14ac:dyDescent="0.25">
      <c r="A3383" s="1">
        <v>31</v>
      </c>
      <c r="B3383" s="1">
        <v>10</v>
      </c>
      <c r="C3383" s="1">
        <v>2020</v>
      </c>
      <c r="G3383" s="1" t="s">
        <v>40</v>
      </c>
      <c r="H3383" s="2">
        <v>74.010000000000005</v>
      </c>
      <c r="I3383" s="1">
        <v>181</v>
      </c>
      <c r="V3383" s="1">
        <v>255</v>
      </c>
      <c r="X3383" s="1">
        <v>202</v>
      </c>
      <c r="AA3383" s="1">
        <v>12</v>
      </c>
      <c r="AB3383" s="1">
        <v>6</v>
      </c>
      <c r="AC3383" s="1">
        <v>8436</v>
      </c>
      <c r="AF3383" s="3">
        <v>2.4456154573706255</v>
      </c>
      <c r="AG3383" s="3">
        <v>8.3198426416422926</v>
      </c>
      <c r="AH3383" s="1">
        <v>6304</v>
      </c>
      <c r="AI3383" s="1" t="b">
        <v>1</v>
      </c>
    </row>
    <row r="3384" spans="1:35" x14ac:dyDescent="0.25">
      <c r="A3384" s="1">
        <v>31</v>
      </c>
      <c r="B3384" s="1">
        <v>10</v>
      </c>
      <c r="C3384" s="1">
        <v>2020</v>
      </c>
      <c r="G3384" s="1" t="s">
        <v>40</v>
      </c>
      <c r="H3384" s="2">
        <v>70.42</v>
      </c>
      <c r="I3384" s="1">
        <v>154</v>
      </c>
      <c r="V3384" s="1">
        <v>228</v>
      </c>
      <c r="X3384" s="1">
        <v>189</v>
      </c>
      <c r="AA3384" s="1">
        <v>14</v>
      </c>
      <c r="AB3384" s="1">
        <v>12</v>
      </c>
      <c r="AC3384" s="1">
        <v>8175</v>
      </c>
      <c r="AF3384" s="3">
        <v>2.1868787276341948</v>
      </c>
      <c r="AG3384" s="3">
        <v>8.9859193085457481</v>
      </c>
      <c r="AH3384" s="1">
        <v>6304</v>
      </c>
      <c r="AI3384" s="1" t="b">
        <v>1</v>
      </c>
    </row>
    <row r="3385" spans="1:35" x14ac:dyDescent="0.25">
      <c r="A3385" s="1">
        <v>2</v>
      </c>
      <c r="B3385" s="1">
        <v>11</v>
      </c>
      <c r="C3385" s="1">
        <v>2020</v>
      </c>
      <c r="G3385" s="1" t="s">
        <v>40</v>
      </c>
      <c r="H3385" s="2">
        <v>63.63</v>
      </c>
      <c r="I3385" s="1">
        <v>151</v>
      </c>
      <c r="U3385" s="1">
        <v>207</v>
      </c>
      <c r="X3385" s="1">
        <v>187</v>
      </c>
      <c r="AA3385" s="1">
        <v>14</v>
      </c>
      <c r="AB3385" s="1">
        <v>14</v>
      </c>
      <c r="AC3385" s="1">
        <v>8242</v>
      </c>
      <c r="AF3385" s="3">
        <v>2.3730944523023729</v>
      </c>
      <c r="AG3385" s="3">
        <v>7.7134438461651351</v>
      </c>
      <c r="AH3385" s="1">
        <v>6305</v>
      </c>
      <c r="AI3385" s="1" t="b">
        <v>1</v>
      </c>
    </row>
    <row r="3386" spans="1:35" x14ac:dyDescent="0.25">
      <c r="A3386" s="1">
        <v>2</v>
      </c>
      <c r="B3386" s="1">
        <v>11</v>
      </c>
      <c r="C3386" s="1">
        <v>2020</v>
      </c>
      <c r="G3386" s="1" t="s">
        <v>40</v>
      </c>
      <c r="H3386" s="2">
        <v>85.04</v>
      </c>
      <c r="I3386" s="1">
        <v>204</v>
      </c>
      <c r="U3386" s="1">
        <v>267</v>
      </c>
      <c r="X3386" s="1">
        <v>243</v>
      </c>
      <c r="AA3386" s="1">
        <v>14</v>
      </c>
      <c r="AB3386" s="1">
        <v>10</v>
      </c>
      <c r="AC3386" s="1">
        <v>9997</v>
      </c>
      <c r="AF3386" s="3">
        <v>2.3988711194731889</v>
      </c>
      <c r="AG3386" s="3">
        <v>9.3482293778352759</v>
      </c>
      <c r="AH3386" s="1">
        <v>6305</v>
      </c>
      <c r="AI3386" s="1" t="b">
        <v>1</v>
      </c>
    </row>
    <row r="3387" spans="1:35" x14ac:dyDescent="0.25">
      <c r="A3387" s="1">
        <v>2</v>
      </c>
      <c r="B3387" s="1">
        <v>11</v>
      </c>
      <c r="C3387" s="1">
        <v>2020</v>
      </c>
      <c r="G3387" s="1" t="s">
        <v>40</v>
      </c>
      <c r="H3387" s="2">
        <v>66.98</v>
      </c>
      <c r="I3387" s="1">
        <v>174</v>
      </c>
      <c r="V3387" s="1">
        <v>226</v>
      </c>
      <c r="X3387" s="1">
        <v>193</v>
      </c>
      <c r="AA3387" s="1">
        <v>14</v>
      </c>
      <c r="AB3387" s="1">
        <v>13</v>
      </c>
      <c r="AC3387" s="1">
        <v>7755</v>
      </c>
      <c r="AF3387" s="3">
        <v>2.5977903851896085</v>
      </c>
      <c r="AG3387" s="3">
        <v>7.3039450158052732</v>
      </c>
      <c r="AH3387" s="1">
        <v>6305</v>
      </c>
      <c r="AI3387" s="1" t="b">
        <v>1</v>
      </c>
    </row>
    <row r="3388" spans="1:35" x14ac:dyDescent="0.25">
      <c r="A3388" s="1">
        <v>3</v>
      </c>
      <c r="B3388" s="1">
        <v>11</v>
      </c>
      <c r="C3388" s="1">
        <v>2020</v>
      </c>
      <c r="G3388" s="1" t="s">
        <v>40</v>
      </c>
      <c r="H3388" s="2">
        <v>81.02</v>
      </c>
      <c r="I3388" s="1">
        <v>185</v>
      </c>
      <c r="V3388" s="1">
        <v>250</v>
      </c>
      <c r="X3388" s="1">
        <v>215</v>
      </c>
      <c r="AA3388" s="1">
        <v>14</v>
      </c>
      <c r="AB3388" s="1">
        <v>11</v>
      </c>
      <c r="AC3388" s="1">
        <v>9317</v>
      </c>
      <c r="AF3388" s="3">
        <v>2.2833868180696126</v>
      </c>
      <c r="AG3388" s="3">
        <v>9.4936906811130353</v>
      </c>
      <c r="AH3388" s="1">
        <v>6305</v>
      </c>
      <c r="AI3388" s="1" t="b">
        <v>1</v>
      </c>
    </row>
    <row r="3389" spans="1:35" x14ac:dyDescent="0.25">
      <c r="A3389" s="1">
        <v>6</v>
      </c>
      <c r="B3389" s="1">
        <v>11</v>
      </c>
      <c r="C3389" s="1">
        <v>2020</v>
      </c>
      <c r="G3389" s="1" t="s">
        <v>40</v>
      </c>
      <c r="H3389" s="2">
        <v>78.099999999999994</v>
      </c>
      <c r="I3389" s="1">
        <v>206</v>
      </c>
      <c r="V3389" s="1">
        <v>253</v>
      </c>
      <c r="X3389" s="1">
        <v>232</v>
      </c>
      <c r="AA3389" s="1">
        <v>13</v>
      </c>
      <c r="AB3389" s="1">
        <v>7</v>
      </c>
      <c r="AC3389" s="1">
        <v>9068</v>
      </c>
      <c r="AF3389" s="3">
        <v>2.6376440460947506</v>
      </c>
      <c r="AG3389" s="3">
        <v>8.0101294968563614</v>
      </c>
      <c r="AH3389" s="1">
        <v>6305</v>
      </c>
      <c r="AI3389" s="1" t="b">
        <v>1</v>
      </c>
    </row>
    <row r="3390" spans="1:35" x14ac:dyDescent="0.25">
      <c r="A3390" s="1">
        <v>6</v>
      </c>
      <c r="B3390" s="1">
        <v>11</v>
      </c>
      <c r="C3390" s="1">
        <v>2020</v>
      </c>
      <c r="G3390" s="1" t="s">
        <v>40</v>
      </c>
      <c r="H3390" s="2">
        <v>78.91</v>
      </c>
      <c r="I3390" s="1">
        <v>180</v>
      </c>
      <c r="V3390" s="1">
        <v>215</v>
      </c>
      <c r="X3390" s="1">
        <v>179</v>
      </c>
      <c r="AA3390" s="1">
        <v>11</v>
      </c>
      <c r="AB3390" s="1">
        <v>9</v>
      </c>
      <c r="AC3390" s="1">
        <v>7638</v>
      </c>
      <c r="AF3390" s="3">
        <v>2.2810797110632368</v>
      </c>
      <c r="AG3390" s="3">
        <v>9.32936250807251</v>
      </c>
      <c r="AH3390" s="1">
        <v>6305</v>
      </c>
      <c r="AI3390" s="1" t="b">
        <v>1</v>
      </c>
    </row>
    <row r="3391" spans="1:35" x14ac:dyDescent="0.25">
      <c r="A3391" s="1">
        <v>6</v>
      </c>
      <c r="B3391" s="1">
        <v>11</v>
      </c>
      <c r="C3391" s="1">
        <v>2020</v>
      </c>
      <c r="G3391" s="1" t="s">
        <v>40</v>
      </c>
      <c r="H3391" s="2">
        <v>75.58</v>
      </c>
      <c r="I3391" s="1">
        <v>165</v>
      </c>
      <c r="V3391" s="1">
        <v>219</v>
      </c>
      <c r="X3391" s="1">
        <v>188</v>
      </c>
      <c r="AA3391" s="1">
        <v>19</v>
      </c>
      <c r="AB3391" s="1">
        <v>11</v>
      </c>
      <c r="AC3391" s="1">
        <v>7949</v>
      </c>
      <c r="AF3391" s="3">
        <v>2.1831172267795713</v>
      </c>
      <c r="AG3391" s="3">
        <v>9.4581841333901036</v>
      </c>
      <c r="AH3391" s="1">
        <v>6305</v>
      </c>
      <c r="AI3391" s="1" t="b">
        <v>1</v>
      </c>
    </row>
    <row r="3392" spans="1:35" x14ac:dyDescent="0.25">
      <c r="A3392" s="1">
        <v>6</v>
      </c>
      <c r="B3392" s="1">
        <v>11</v>
      </c>
      <c r="C3392" s="1">
        <v>2020</v>
      </c>
      <c r="G3392" s="1" t="s">
        <v>40</v>
      </c>
      <c r="H3392" s="2">
        <v>75.25</v>
      </c>
      <c r="I3392" s="1">
        <v>162</v>
      </c>
      <c r="V3392" s="1">
        <v>214</v>
      </c>
      <c r="X3392" s="1">
        <v>191</v>
      </c>
      <c r="AA3392" s="1">
        <v>13</v>
      </c>
      <c r="AB3392" s="1">
        <v>11</v>
      </c>
      <c r="AC3392" s="1">
        <v>8035</v>
      </c>
      <c r="AF3392" s="3">
        <v>2.1528239202657806</v>
      </c>
      <c r="AG3392" s="3">
        <v>9.5619406271730742</v>
      </c>
      <c r="AH3392" s="1">
        <v>6305</v>
      </c>
      <c r="AI3392" s="1" t="b">
        <v>1</v>
      </c>
    </row>
    <row r="3393" spans="1:35" x14ac:dyDescent="0.25">
      <c r="A3393" s="1">
        <v>6</v>
      </c>
      <c r="B3393" s="1">
        <v>11</v>
      </c>
      <c r="C3393" s="1">
        <v>2020</v>
      </c>
      <c r="G3393" s="1" t="s">
        <v>40</v>
      </c>
      <c r="H3393" s="2">
        <v>68.61</v>
      </c>
      <c r="I3393" s="1">
        <v>164</v>
      </c>
      <c r="V3393" s="1">
        <v>193</v>
      </c>
      <c r="X3393" s="1">
        <v>175</v>
      </c>
      <c r="AA3393" s="1">
        <v>11</v>
      </c>
      <c r="AB3393" s="1">
        <v>10</v>
      </c>
      <c r="AC3393" s="1">
        <v>6889</v>
      </c>
      <c r="AF3393" s="3">
        <v>2.3903221104795218</v>
      </c>
      <c r="AG3393" s="3">
        <v>8.07262474466269</v>
      </c>
      <c r="AH3393" s="1">
        <v>6305</v>
      </c>
      <c r="AI3393" s="1" t="b">
        <v>1</v>
      </c>
    </row>
    <row r="3394" spans="1:35" x14ac:dyDescent="0.25">
      <c r="A3394" s="1">
        <v>6</v>
      </c>
      <c r="B3394" s="1">
        <v>11</v>
      </c>
      <c r="C3394" s="1">
        <v>2020</v>
      </c>
      <c r="G3394" s="1" t="s">
        <v>40</v>
      </c>
      <c r="H3394" s="2">
        <v>70.2</v>
      </c>
      <c r="I3394" s="1">
        <v>145</v>
      </c>
      <c r="V3394" s="1">
        <v>197</v>
      </c>
      <c r="X3394" s="1">
        <v>168</v>
      </c>
      <c r="AA3394" s="1">
        <v>12</v>
      </c>
      <c r="AB3394" s="1">
        <v>9</v>
      </c>
      <c r="AC3394" s="1">
        <v>7450</v>
      </c>
      <c r="AF3394" s="3">
        <v>2.0655270655270654</v>
      </c>
      <c r="AG3394" s="3">
        <v>9.4930351377757649</v>
      </c>
      <c r="AH3394" s="1">
        <v>6305</v>
      </c>
      <c r="AI3394" s="1" t="b">
        <v>1</v>
      </c>
    </row>
    <row r="3395" spans="1:35" x14ac:dyDescent="0.25">
      <c r="A3395" s="1">
        <v>9</v>
      </c>
      <c r="B3395" s="1">
        <v>11</v>
      </c>
      <c r="C3395" s="1">
        <v>2020</v>
      </c>
      <c r="G3395" s="1" t="s">
        <v>40</v>
      </c>
      <c r="H3395" s="2">
        <v>73.2</v>
      </c>
      <c r="I3395" s="1">
        <v>162</v>
      </c>
      <c r="V3395" s="1">
        <v>194</v>
      </c>
      <c r="X3395" s="1">
        <v>183</v>
      </c>
      <c r="AA3395" s="1">
        <v>13</v>
      </c>
      <c r="AB3395" s="1">
        <v>14</v>
      </c>
      <c r="AC3395" s="1">
        <v>7697</v>
      </c>
      <c r="AF3395" s="3">
        <v>2.2131147540983607</v>
      </c>
      <c r="AG3395" s="3">
        <v>9.1233392272593701</v>
      </c>
      <c r="AH3395" s="1">
        <v>6306</v>
      </c>
      <c r="AI3395" s="1" t="b">
        <v>1</v>
      </c>
    </row>
    <row r="3396" spans="1:35" x14ac:dyDescent="0.25">
      <c r="A3396" s="1">
        <v>9</v>
      </c>
      <c r="B3396" s="1">
        <v>11</v>
      </c>
      <c r="C3396" s="1">
        <v>2020</v>
      </c>
      <c r="G3396" s="1" t="s">
        <v>40</v>
      </c>
      <c r="H3396" s="2">
        <v>69.27</v>
      </c>
      <c r="I3396" s="1">
        <v>153</v>
      </c>
      <c r="V3396" s="1">
        <v>200</v>
      </c>
      <c r="X3396" s="1">
        <v>174</v>
      </c>
      <c r="AA3396" s="1">
        <v>14</v>
      </c>
      <c r="AB3396" s="1">
        <v>12</v>
      </c>
      <c r="AC3396" s="1">
        <v>7147</v>
      </c>
      <c r="AF3396" s="3">
        <v>2.2087483759203121</v>
      </c>
      <c r="AG3396" s="3">
        <v>8.7949907729655568</v>
      </c>
      <c r="AH3396" s="1">
        <v>6306</v>
      </c>
      <c r="AI3396" s="1" t="b">
        <v>1</v>
      </c>
    </row>
    <row r="3397" spans="1:35" x14ac:dyDescent="0.25">
      <c r="A3397" s="1">
        <v>9</v>
      </c>
      <c r="B3397" s="1">
        <v>11</v>
      </c>
      <c r="C3397" s="1">
        <v>2020</v>
      </c>
      <c r="G3397" s="1" t="s">
        <v>40</v>
      </c>
      <c r="H3397" s="2">
        <v>68.040000000000006</v>
      </c>
      <c r="I3397" s="1">
        <v>149</v>
      </c>
      <c r="V3397" s="1">
        <v>178</v>
      </c>
      <c r="X3397" s="1">
        <v>163</v>
      </c>
      <c r="AA3397" s="1">
        <v>8</v>
      </c>
      <c r="AB3397" s="1">
        <v>11</v>
      </c>
      <c r="AC3397" s="1">
        <v>8060</v>
      </c>
      <c r="AF3397" s="3">
        <v>2.1898883009994119</v>
      </c>
      <c r="AG3397" s="3">
        <v>8.7601804044502067</v>
      </c>
      <c r="AH3397" s="1">
        <v>6306</v>
      </c>
      <c r="AI3397" s="1" t="b">
        <v>1</v>
      </c>
    </row>
    <row r="3398" spans="1:35" x14ac:dyDescent="0.25">
      <c r="A3398" s="1">
        <v>9</v>
      </c>
      <c r="B3398" s="1">
        <v>11</v>
      </c>
      <c r="C3398" s="1">
        <v>2020</v>
      </c>
      <c r="G3398" s="1" t="s">
        <v>40</v>
      </c>
      <c r="H3398" s="2">
        <v>68.849999999999994</v>
      </c>
      <c r="I3398" s="1">
        <v>153</v>
      </c>
      <c r="V3398" s="1">
        <v>206</v>
      </c>
      <c r="X3398" s="1">
        <v>185</v>
      </c>
      <c r="AA3398" s="1">
        <v>14</v>
      </c>
      <c r="AB3398" s="1">
        <v>9</v>
      </c>
      <c r="AC3398" s="1">
        <v>7296</v>
      </c>
      <c r="AF3398" s="3">
        <v>2.2222222222222223</v>
      </c>
      <c r="AG3398" s="3">
        <v>8.70452896938896</v>
      </c>
      <c r="AH3398" s="1">
        <v>6306</v>
      </c>
      <c r="AI3398" s="1" t="b">
        <v>1</v>
      </c>
    </row>
    <row r="3399" spans="1:35" x14ac:dyDescent="0.25">
      <c r="A3399" s="1">
        <v>9</v>
      </c>
      <c r="B3399" s="1">
        <v>11</v>
      </c>
      <c r="C3399" s="1">
        <v>2020</v>
      </c>
      <c r="G3399" s="1" t="s">
        <v>40</v>
      </c>
      <c r="H3399" s="2">
        <v>80.239999999999995</v>
      </c>
      <c r="I3399" s="1">
        <v>202</v>
      </c>
      <c r="V3399" s="1">
        <v>247</v>
      </c>
      <c r="X3399" s="1">
        <v>221</v>
      </c>
      <c r="AA3399" s="1">
        <v>15</v>
      </c>
      <c r="AB3399" s="1">
        <v>7</v>
      </c>
      <c r="AC3399" s="1">
        <v>8955</v>
      </c>
      <c r="AF3399" s="3">
        <v>2.5174476570289133</v>
      </c>
      <c r="AG3399" s="3">
        <v>8.5528960663836493</v>
      </c>
      <c r="AH3399" s="1">
        <v>6306</v>
      </c>
      <c r="AI3399" s="1" t="b">
        <v>1</v>
      </c>
    </row>
    <row r="3400" spans="1:35" x14ac:dyDescent="0.25">
      <c r="A3400" s="1">
        <v>9</v>
      </c>
      <c r="B3400" s="1">
        <v>11</v>
      </c>
      <c r="C3400" s="1">
        <v>2020</v>
      </c>
      <c r="G3400" s="1" t="s">
        <v>40</v>
      </c>
      <c r="H3400" s="2">
        <v>67.06</v>
      </c>
      <c r="I3400" s="1">
        <v>161</v>
      </c>
      <c r="V3400" s="1">
        <v>196</v>
      </c>
      <c r="X3400" s="1">
        <v>183</v>
      </c>
      <c r="AA3400" s="1">
        <v>14</v>
      </c>
      <c r="AB3400" s="1">
        <v>9</v>
      </c>
      <c r="AC3400" s="1">
        <v>7561</v>
      </c>
      <c r="AF3400" s="3">
        <v>2.4008350730688934</v>
      </c>
      <c r="AG3400" s="3">
        <v>7.9097390771392071</v>
      </c>
      <c r="AH3400" s="1">
        <v>6306</v>
      </c>
      <c r="AI3400" s="1" t="b">
        <v>1</v>
      </c>
    </row>
    <row r="3401" spans="1:35" x14ac:dyDescent="0.25">
      <c r="A3401" s="1">
        <v>10</v>
      </c>
      <c r="B3401" s="1">
        <v>11</v>
      </c>
      <c r="C3401" s="1">
        <v>2020</v>
      </c>
      <c r="G3401" s="1" t="s">
        <v>40</v>
      </c>
      <c r="H3401" s="2">
        <v>81.510000000000005</v>
      </c>
      <c r="I3401" s="1">
        <v>221</v>
      </c>
      <c r="V3401" s="1">
        <v>255</v>
      </c>
      <c r="X3401" s="1">
        <v>225</v>
      </c>
      <c r="AA3401" s="1">
        <v>14</v>
      </c>
      <c r="AB3401" s="1">
        <v>8</v>
      </c>
      <c r="AC3401" s="1">
        <v>8885</v>
      </c>
      <c r="AF3401" s="3">
        <v>2.7113237639553427</v>
      </c>
      <c r="AG3401" s="3">
        <v>8.0290884950058246</v>
      </c>
      <c r="AH3401" s="1">
        <v>6306</v>
      </c>
      <c r="AI3401" s="1" t="b">
        <v>1</v>
      </c>
    </row>
    <row r="3402" spans="1:35" x14ac:dyDescent="0.25">
      <c r="A3402" s="1">
        <v>10</v>
      </c>
      <c r="B3402" s="1">
        <v>11</v>
      </c>
      <c r="C3402" s="1">
        <v>2020</v>
      </c>
      <c r="G3402" s="1" t="s">
        <v>40</v>
      </c>
      <c r="H3402" s="2">
        <v>93.67</v>
      </c>
      <c r="I3402" s="1">
        <v>153</v>
      </c>
      <c r="V3402" s="1">
        <v>208</v>
      </c>
      <c r="X3402" s="1">
        <v>184</v>
      </c>
      <c r="AA3402" s="1">
        <v>18</v>
      </c>
      <c r="AB3402" s="1">
        <v>15</v>
      </c>
      <c r="AC3402" s="1">
        <v>11072</v>
      </c>
      <c r="AF3402" s="3">
        <v>1.6333938294010888</v>
      </c>
      <c r="AG3402" s="3">
        <v>14.690259026610597</v>
      </c>
      <c r="AH3402" s="1">
        <v>6306</v>
      </c>
      <c r="AI3402" s="1" t="b">
        <v>1</v>
      </c>
    </row>
    <row r="3403" spans="1:35" x14ac:dyDescent="0.25">
      <c r="A3403" s="1">
        <v>11</v>
      </c>
      <c r="B3403" s="1">
        <v>11</v>
      </c>
      <c r="C3403" s="1">
        <v>2020</v>
      </c>
      <c r="G3403" s="1" t="s">
        <v>40</v>
      </c>
      <c r="H3403" s="2">
        <v>81.84</v>
      </c>
      <c r="I3403" s="1">
        <v>201</v>
      </c>
      <c r="V3403" s="1">
        <v>231</v>
      </c>
      <c r="X3403" s="1">
        <v>199</v>
      </c>
      <c r="AA3403" s="1">
        <v>12</v>
      </c>
      <c r="AB3403" s="1">
        <v>10</v>
      </c>
      <c r="AC3403" s="1">
        <v>8688</v>
      </c>
      <c r="AF3403" s="3">
        <v>2.4560117302052786</v>
      </c>
      <c r="AG3403" s="3">
        <v>8.8888483680656272</v>
      </c>
      <c r="AH3403" s="1">
        <v>6306</v>
      </c>
      <c r="AI3403" s="1" t="b">
        <v>1</v>
      </c>
    </row>
    <row r="3404" spans="1:35" x14ac:dyDescent="0.25">
      <c r="A3404" s="1">
        <v>11</v>
      </c>
      <c r="B3404" s="1">
        <v>11</v>
      </c>
      <c r="C3404" s="1">
        <v>2020</v>
      </c>
      <c r="G3404" s="1" t="s">
        <v>40</v>
      </c>
      <c r="H3404" s="2">
        <v>74.83</v>
      </c>
      <c r="I3404" s="1">
        <v>180</v>
      </c>
      <c r="V3404" s="1">
        <v>221</v>
      </c>
      <c r="X3404" s="1">
        <v>198</v>
      </c>
      <c r="AA3404" s="1">
        <v>13</v>
      </c>
      <c r="AB3404" s="1">
        <v>11</v>
      </c>
      <c r="AC3404" s="1">
        <v>8383</v>
      </c>
      <c r="AF3404" s="3">
        <v>2.4054523586796739</v>
      </c>
      <c r="AG3404" s="3">
        <v>8.5242516392715277</v>
      </c>
      <c r="AH3404" s="1">
        <v>6306</v>
      </c>
      <c r="AI3404" s="1" t="b">
        <v>1</v>
      </c>
    </row>
    <row r="3405" spans="1:35" x14ac:dyDescent="0.25">
      <c r="A3405" s="1">
        <v>11</v>
      </c>
      <c r="B3405" s="1">
        <v>11</v>
      </c>
      <c r="C3405" s="1">
        <v>2020</v>
      </c>
      <c r="G3405" s="1" t="s">
        <v>40</v>
      </c>
      <c r="H3405" s="2">
        <v>73.97</v>
      </c>
      <c r="I3405" s="1">
        <v>158</v>
      </c>
      <c r="V3405" s="1">
        <v>188</v>
      </c>
      <c r="X3405" s="1">
        <v>176</v>
      </c>
      <c r="AA3405" s="1">
        <v>14</v>
      </c>
      <c r="AB3405" s="1">
        <v>13</v>
      </c>
      <c r="AC3405" s="1">
        <v>9165</v>
      </c>
      <c r="AF3405" s="3">
        <v>2.1360010815195349</v>
      </c>
      <c r="AG3405" s="3">
        <v>9.5222036370063954</v>
      </c>
      <c r="AH3405" s="1">
        <v>6306</v>
      </c>
      <c r="AI3405" s="1" t="b">
        <v>1</v>
      </c>
    </row>
    <row r="3406" spans="1:35" x14ac:dyDescent="0.25">
      <c r="A3406" s="1">
        <v>11</v>
      </c>
      <c r="B3406" s="1">
        <v>11</v>
      </c>
      <c r="C3406" s="1">
        <v>2020</v>
      </c>
      <c r="G3406" s="1" t="s">
        <v>40</v>
      </c>
      <c r="H3406" s="2">
        <v>70.38</v>
      </c>
      <c r="I3406" s="1">
        <v>172</v>
      </c>
      <c r="V3406" s="1">
        <v>195</v>
      </c>
      <c r="X3406" s="1">
        <v>175</v>
      </c>
      <c r="AA3406" s="1">
        <v>14</v>
      </c>
      <c r="AB3406" s="1">
        <v>10</v>
      </c>
      <c r="AC3406" s="1">
        <v>7528</v>
      </c>
      <c r="AF3406" s="3">
        <v>2.4438761011651038</v>
      </c>
      <c r="AG3406" s="3">
        <v>8.0377649030175959</v>
      </c>
      <c r="AH3406" s="1">
        <v>6306</v>
      </c>
      <c r="AI3406" s="1" t="b">
        <v>1</v>
      </c>
    </row>
    <row r="3407" spans="1:35" x14ac:dyDescent="0.25">
      <c r="A3407" s="1">
        <v>11</v>
      </c>
      <c r="B3407" s="1">
        <v>11</v>
      </c>
      <c r="C3407" s="1">
        <v>2020</v>
      </c>
      <c r="G3407" s="1" t="s">
        <v>40</v>
      </c>
      <c r="H3407" s="2">
        <v>76.27</v>
      </c>
      <c r="I3407" s="1">
        <v>172</v>
      </c>
      <c r="V3407" s="1">
        <v>201</v>
      </c>
      <c r="X3407" s="1">
        <v>183</v>
      </c>
      <c r="AA3407" s="1">
        <v>14</v>
      </c>
      <c r="AB3407" s="1">
        <v>11</v>
      </c>
      <c r="AC3407" s="1">
        <v>8556</v>
      </c>
      <c r="AF3407" s="3">
        <v>2.2551461911629738</v>
      </c>
      <c r="AG3407" s="3">
        <v>9.2145243483904995</v>
      </c>
      <c r="AH3407" s="1">
        <v>6306</v>
      </c>
      <c r="AI3407" s="1" t="b">
        <v>1</v>
      </c>
    </row>
    <row r="3408" spans="1:35" x14ac:dyDescent="0.25">
      <c r="A3408" s="1">
        <v>11</v>
      </c>
      <c r="B3408" s="1">
        <v>11</v>
      </c>
      <c r="C3408" s="1">
        <v>2020</v>
      </c>
      <c r="G3408" s="1" t="s">
        <v>40</v>
      </c>
      <c r="H3408" s="2">
        <v>72.680000000000007</v>
      </c>
      <c r="I3408" s="1">
        <v>153</v>
      </c>
      <c r="V3408" s="1">
        <v>207</v>
      </c>
      <c r="X3408" s="1">
        <v>183</v>
      </c>
      <c r="AA3408" s="1">
        <v>18</v>
      </c>
      <c r="AB3408" s="1">
        <v>13</v>
      </c>
      <c r="AC3408" s="1">
        <v>7574</v>
      </c>
      <c r="AF3408" s="3">
        <v>2.1051183269124931</v>
      </c>
      <c r="AG3408" s="3">
        <v>9.5436374094217093</v>
      </c>
      <c r="AH3408" s="1">
        <v>6306</v>
      </c>
      <c r="AI3408" s="1" t="b">
        <v>1</v>
      </c>
    </row>
    <row r="3409" spans="1:35" x14ac:dyDescent="0.25">
      <c r="A3409" s="1">
        <v>11</v>
      </c>
      <c r="B3409" s="1">
        <v>11</v>
      </c>
      <c r="C3409" s="1">
        <v>2020</v>
      </c>
      <c r="G3409" s="1" t="s">
        <v>40</v>
      </c>
      <c r="H3409" s="2">
        <v>75.88</v>
      </c>
      <c r="I3409" s="1">
        <v>172</v>
      </c>
      <c r="V3409" s="1">
        <v>212</v>
      </c>
      <c r="X3409" s="1">
        <v>191</v>
      </c>
      <c r="AA3409" s="1">
        <v>15</v>
      </c>
      <c r="AB3409" s="1">
        <v>7</v>
      </c>
      <c r="AC3409" s="1">
        <v>8728</v>
      </c>
      <c r="AF3409" s="3">
        <v>2.2667369530838166</v>
      </c>
      <c r="AG3409" s="3">
        <v>9.134567741754724</v>
      </c>
      <c r="AH3409" s="1">
        <v>6306</v>
      </c>
      <c r="AI3409" s="1" t="b">
        <v>1</v>
      </c>
    </row>
    <row r="3410" spans="1:35" x14ac:dyDescent="0.25">
      <c r="A3410" s="1">
        <v>12</v>
      </c>
      <c r="B3410" s="1">
        <v>11</v>
      </c>
      <c r="C3410" s="1">
        <v>2020</v>
      </c>
      <c r="G3410" s="1" t="s">
        <v>40</v>
      </c>
      <c r="H3410" s="2">
        <v>77.41</v>
      </c>
      <c r="I3410" s="1">
        <v>148</v>
      </c>
      <c r="V3410" s="1">
        <v>196</v>
      </c>
      <c r="X3410" s="1">
        <v>180</v>
      </c>
      <c r="AA3410" s="1">
        <v>18</v>
      </c>
      <c r="AB3410" s="1">
        <v>20</v>
      </c>
      <c r="AC3410" s="1">
        <v>8693</v>
      </c>
      <c r="AF3410" s="3">
        <v>1.9118976876372562</v>
      </c>
      <c r="AG3410" s="3">
        <v>10.982299905464977</v>
      </c>
      <c r="AH3410" s="1">
        <v>6306</v>
      </c>
      <c r="AI3410" s="1" t="b">
        <v>1</v>
      </c>
    </row>
    <row r="3411" spans="1:35" x14ac:dyDescent="0.25">
      <c r="A3411" s="1">
        <v>12</v>
      </c>
      <c r="B3411" s="1">
        <v>11</v>
      </c>
      <c r="C3411" s="1">
        <v>2020</v>
      </c>
      <c r="G3411" s="1" t="s">
        <v>40</v>
      </c>
      <c r="H3411" s="2">
        <v>82.98</v>
      </c>
      <c r="I3411" s="1">
        <v>186</v>
      </c>
      <c r="V3411" s="1">
        <v>222</v>
      </c>
      <c r="X3411" s="1">
        <v>195</v>
      </c>
      <c r="AA3411" s="1">
        <v>10</v>
      </c>
      <c r="AB3411" s="1">
        <v>7</v>
      </c>
      <c r="AC3411" s="1">
        <v>8537</v>
      </c>
      <c r="AF3411" s="3">
        <v>2.2415039768618943</v>
      </c>
      <c r="AG3411" s="3">
        <v>9.8342645640720789</v>
      </c>
      <c r="AH3411" s="1">
        <v>6306</v>
      </c>
      <c r="AI3411" s="1" t="b">
        <v>1</v>
      </c>
    </row>
    <row r="3412" spans="1:35" x14ac:dyDescent="0.25">
      <c r="A3412" s="1">
        <v>12</v>
      </c>
      <c r="B3412" s="1">
        <v>11</v>
      </c>
      <c r="C3412" s="1">
        <v>2020</v>
      </c>
      <c r="G3412" s="1" t="s">
        <v>40</v>
      </c>
      <c r="H3412" s="2">
        <v>67.150000000000006</v>
      </c>
      <c r="I3412" s="1">
        <v>144</v>
      </c>
      <c r="V3412" s="1">
        <v>179</v>
      </c>
      <c r="X3412" s="1">
        <v>160</v>
      </c>
      <c r="AA3412" s="1">
        <v>12</v>
      </c>
      <c r="AB3412" s="1">
        <v>13</v>
      </c>
      <c r="AC3412" s="1">
        <v>7026</v>
      </c>
      <c r="AF3412" s="3">
        <v>2.1444527177959789</v>
      </c>
      <c r="AG3412" s="3">
        <v>8.86371404724615</v>
      </c>
      <c r="AH3412" s="1">
        <v>6306</v>
      </c>
      <c r="AI3412" s="1" t="b">
        <v>1</v>
      </c>
    </row>
    <row r="3413" spans="1:35" x14ac:dyDescent="0.25">
      <c r="A3413" s="1">
        <v>12</v>
      </c>
      <c r="B3413" s="1">
        <v>11</v>
      </c>
      <c r="C3413" s="1">
        <v>2020</v>
      </c>
      <c r="G3413" s="1" t="s">
        <v>40</v>
      </c>
      <c r="H3413" s="2">
        <v>81.459999999999994</v>
      </c>
      <c r="I3413" s="1">
        <v>156</v>
      </c>
      <c r="V3413" s="1">
        <v>180</v>
      </c>
      <c r="X3413" s="1">
        <v>167</v>
      </c>
      <c r="AA3413" s="1">
        <v>15</v>
      </c>
      <c r="AB3413" s="1">
        <v>15</v>
      </c>
      <c r="AC3413" s="1">
        <v>11313</v>
      </c>
      <c r="AF3413" s="3">
        <v>1.915050331451019</v>
      </c>
      <c r="AG3413" s="3">
        <v>11.362683017503661</v>
      </c>
      <c r="AH3413" s="1">
        <v>6306</v>
      </c>
      <c r="AI3413" s="1" t="b">
        <v>1</v>
      </c>
    </row>
    <row r="3414" spans="1:35" x14ac:dyDescent="0.25">
      <c r="A3414" s="1">
        <v>12</v>
      </c>
      <c r="B3414" s="1">
        <v>11</v>
      </c>
      <c r="C3414" s="1">
        <v>2020</v>
      </c>
      <c r="G3414" s="1" t="s">
        <v>40</v>
      </c>
      <c r="H3414" s="2">
        <v>72.11</v>
      </c>
      <c r="I3414" s="1">
        <v>184</v>
      </c>
      <c r="V3414" s="1">
        <v>216</v>
      </c>
      <c r="X3414" s="1">
        <v>198</v>
      </c>
      <c r="AA3414" s="1">
        <v>12</v>
      </c>
      <c r="AB3414" s="1">
        <v>8</v>
      </c>
      <c r="AC3414" s="1">
        <v>7921</v>
      </c>
      <c r="AF3414" s="3">
        <v>2.5516571904035503</v>
      </c>
      <c r="AG3414" s="3">
        <v>7.830230009370152</v>
      </c>
      <c r="AH3414" s="1">
        <v>6306</v>
      </c>
      <c r="AI3414" s="1" t="b">
        <v>1</v>
      </c>
    </row>
    <row r="3415" spans="1:35" x14ac:dyDescent="0.25">
      <c r="A3415" s="1">
        <v>12</v>
      </c>
      <c r="B3415" s="1">
        <v>11</v>
      </c>
      <c r="C3415" s="1">
        <v>2020</v>
      </c>
      <c r="G3415" s="1" t="s">
        <v>40</v>
      </c>
      <c r="H3415" s="2">
        <v>71.98</v>
      </c>
      <c r="I3415" s="1">
        <v>163</v>
      </c>
      <c r="V3415" s="1">
        <v>213</v>
      </c>
      <c r="X3415" s="1">
        <v>191</v>
      </c>
      <c r="AA3415" s="1">
        <v>13</v>
      </c>
      <c r="AB3415" s="1">
        <v>11</v>
      </c>
      <c r="AC3415" s="1">
        <v>8999</v>
      </c>
      <c r="AF3415" s="3">
        <v>2.2645179216449014</v>
      </c>
      <c r="AG3415" s="3">
        <v>8.811960211791817</v>
      </c>
      <c r="AH3415" s="1">
        <v>6306</v>
      </c>
      <c r="AI3415" s="1" t="b">
        <v>1</v>
      </c>
    </row>
    <row r="3416" spans="1:35" x14ac:dyDescent="0.25">
      <c r="A3416" s="1">
        <v>12</v>
      </c>
      <c r="B3416" s="1">
        <v>11</v>
      </c>
      <c r="C3416" s="1">
        <v>2020</v>
      </c>
      <c r="G3416" s="1" t="s">
        <v>40</v>
      </c>
      <c r="H3416" s="2">
        <v>67.069999999999993</v>
      </c>
      <c r="I3416" s="1">
        <v>154</v>
      </c>
      <c r="V3416" s="1">
        <v>183</v>
      </c>
      <c r="X3416" s="1">
        <v>166</v>
      </c>
      <c r="AA3416" s="1">
        <v>11</v>
      </c>
      <c r="AB3416" s="1">
        <v>9</v>
      </c>
      <c r="AC3416" s="1">
        <v>7174</v>
      </c>
      <c r="AF3416" s="3">
        <v>2.2961085433129567</v>
      </c>
      <c r="AG3416" s="3">
        <v>8.2713690773456232</v>
      </c>
      <c r="AH3416" s="1">
        <v>6306</v>
      </c>
      <c r="AI3416" s="1" t="b">
        <v>1</v>
      </c>
    </row>
    <row r="3417" spans="1:35" x14ac:dyDescent="0.25">
      <c r="A3417" s="1">
        <v>12</v>
      </c>
      <c r="B3417" s="1">
        <v>11</v>
      </c>
      <c r="C3417" s="1">
        <v>2020</v>
      </c>
      <c r="G3417" s="1" t="s">
        <v>40</v>
      </c>
      <c r="H3417" s="2">
        <v>75.680000000000007</v>
      </c>
      <c r="I3417" s="1">
        <v>156</v>
      </c>
      <c r="V3417" s="1">
        <v>198</v>
      </c>
      <c r="X3417" s="1">
        <v>176</v>
      </c>
      <c r="AA3417" s="1">
        <v>14</v>
      </c>
      <c r="AB3417" s="1">
        <v>14</v>
      </c>
      <c r="AC3417" s="1">
        <v>8902</v>
      </c>
      <c r="AF3417" s="3">
        <v>2.0613107822410148</v>
      </c>
      <c r="AG3417" s="3">
        <v>10.026360400805846</v>
      </c>
      <c r="AH3417" s="1">
        <v>6306</v>
      </c>
      <c r="AI3417" s="1" t="b">
        <v>1</v>
      </c>
    </row>
    <row r="3418" spans="1:35" x14ac:dyDescent="0.25">
      <c r="A3418" s="1">
        <v>12</v>
      </c>
      <c r="B3418" s="1">
        <v>11</v>
      </c>
      <c r="C3418" s="1">
        <v>2020</v>
      </c>
      <c r="G3418" s="1" t="s">
        <v>40</v>
      </c>
      <c r="H3418" s="2">
        <v>81.06</v>
      </c>
      <c r="I3418" s="1">
        <v>194</v>
      </c>
      <c r="V3418" s="1">
        <v>218</v>
      </c>
      <c r="X3418" s="1">
        <v>205</v>
      </c>
      <c r="AA3418" s="1">
        <v>11</v>
      </c>
      <c r="AB3418" s="1">
        <v>9</v>
      </c>
      <c r="AC3418" s="1">
        <v>9275</v>
      </c>
      <c r="AF3418" s="3">
        <v>2.3932889217863309</v>
      </c>
      <c r="AG3418" s="3">
        <v>9.060861437864645</v>
      </c>
      <c r="AH3418" s="1">
        <v>6306</v>
      </c>
      <c r="AI3418" s="1" t="b">
        <v>1</v>
      </c>
    </row>
    <row r="3419" spans="1:35" x14ac:dyDescent="0.25">
      <c r="A3419" s="1">
        <v>13</v>
      </c>
      <c r="B3419" s="1">
        <v>11</v>
      </c>
      <c r="C3419" s="1">
        <v>2020</v>
      </c>
      <c r="G3419" s="1" t="s">
        <v>40</v>
      </c>
      <c r="H3419" s="2">
        <v>78.400000000000006</v>
      </c>
      <c r="I3419" s="1">
        <v>162</v>
      </c>
      <c r="V3419" s="1">
        <v>210</v>
      </c>
      <c r="X3419" s="1">
        <v>186</v>
      </c>
      <c r="AA3419" s="1">
        <v>19</v>
      </c>
      <c r="AB3419" s="1">
        <v>16</v>
      </c>
      <c r="AC3419" s="1">
        <v>7935</v>
      </c>
      <c r="AF3419" s="3">
        <v>2.0663265306122449</v>
      </c>
      <c r="AG3419" s="3">
        <v>10.25232327907143</v>
      </c>
      <c r="AH3419" s="1">
        <v>6306</v>
      </c>
      <c r="AI3419" s="1" t="b">
        <v>1</v>
      </c>
    </row>
    <row r="3420" spans="1:35" x14ac:dyDescent="0.25">
      <c r="A3420" s="1">
        <v>13</v>
      </c>
      <c r="B3420" s="1">
        <v>11</v>
      </c>
      <c r="C3420" s="1">
        <v>2020</v>
      </c>
      <c r="G3420" s="1" t="s">
        <v>40</v>
      </c>
      <c r="H3420" s="2">
        <v>67.489999999999995</v>
      </c>
      <c r="I3420" s="1">
        <v>142</v>
      </c>
      <c r="V3420" s="1">
        <v>184</v>
      </c>
      <c r="X3420" s="1">
        <v>163</v>
      </c>
      <c r="AA3420" s="1">
        <v>13</v>
      </c>
      <c r="AB3420" s="1">
        <v>12</v>
      </c>
      <c r="AC3420" s="1">
        <v>7594</v>
      </c>
      <c r="AF3420" s="3">
        <v>2.1040154096903247</v>
      </c>
      <c r="AG3420" s="3">
        <v>9.0660619732493046</v>
      </c>
      <c r="AH3420" s="1">
        <v>6306</v>
      </c>
      <c r="AI3420" s="1" t="b">
        <v>1</v>
      </c>
    </row>
    <row r="3421" spans="1:35" x14ac:dyDescent="0.25">
      <c r="A3421" s="1">
        <v>14</v>
      </c>
      <c r="B3421" s="1">
        <v>11</v>
      </c>
      <c r="C3421" s="1">
        <v>2020</v>
      </c>
      <c r="G3421" s="1" t="s">
        <v>40</v>
      </c>
      <c r="H3421" s="2">
        <v>88.09</v>
      </c>
      <c r="I3421" s="1">
        <v>193</v>
      </c>
      <c r="V3421" s="1">
        <v>251</v>
      </c>
      <c r="X3421" s="1">
        <v>220</v>
      </c>
      <c r="AA3421" s="1">
        <v>17</v>
      </c>
      <c r="AB3421" s="1">
        <v>11</v>
      </c>
      <c r="AC3421" s="1">
        <v>9759</v>
      </c>
      <c r="AF3421" s="3">
        <v>2.1909410829833122</v>
      </c>
      <c r="AG3421" s="3">
        <v>10.491025145411424</v>
      </c>
      <c r="AH3421" s="1">
        <v>6306</v>
      </c>
      <c r="AI3421" s="1" t="b">
        <v>1</v>
      </c>
    </row>
    <row r="3422" spans="1:35" x14ac:dyDescent="0.25">
      <c r="A3422" s="1">
        <v>14</v>
      </c>
      <c r="B3422" s="1">
        <v>11</v>
      </c>
      <c r="C3422" s="1">
        <v>2020</v>
      </c>
      <c r="G3422" s="1" t="s">
        <v>40</v>
      </c>
      <c r="H3422" s="2">
        <v>84.77</v>
      </c>
      <c r="I3422" s="1">
        <v>190</v>
      </c>
      <c r="V3422" s="1">
        <v>232</v>
      </c>
      <c r="X3422" s="1">
        <v>203</v>
      </c>
      <c r="AA3422" s="1">
        <v>12</v>
      </c>
      <c r="AB3422" s="1">
        <v>9</v>
      </c>
      <c r="AC3422" s="1">
        <v>9217</v>
      </c>
      <c r="AF3422" s="3">
        <v>2.2413589713341984</v>
      </c>
      <c r="AG3422" s="3">
        <v>9.9829319435229991</v>
      </c>
      <c r="AH3422" s="1">
        <v>6306</v>
      </c>
      <c r="AI3422" s="1" t="b">
        <v>1</v>
      </c>
    </row>
    <row r="3423" spans="1:35" x14ac:dyDescent="0.25">
      <c r="A3423" s="1">
        <v>14</v>
      </c>
      <c r="B3423" s="1">
        <v>11</v>
      </c>
      <c r="C3423" s="1">
        <v>2020</v>
      </c>
      <c r="G3423" s="1" t="s">
        <v>40</v>
      </c>
      <c r="H3423" s="2">
        <v>75.7</v>
      </c>
      <c r="I3423" s="1">
        <v>174</v>
      </c>
      <c r="V3423" s="1">
        <v>217</v>
      </c>
      <c r="X3423" s="1">
        <v>192</v>
      </c>
      <c r="AA3423" s="1">
        <v>14</v>
      </c>
      <c r="AB3423" s="1">
        <v>9</v>
      </c>
      <c r="AC3423" s="1">
        <v>8432</v>
      </c>
      <c r="AF3423" s="3">
        <v>2.2985468956406869</v>
      </c>
      <c r="AG3423" s="3">
        <v>8.9931895439231155</v>
      </c>
      <c r="AH3423" s="1">
        <v>6306</v>
      </c>
      <c r="AI3423" s="1" t="b">
        <v>1</v>
      </c>
    </row>
    <row r="3424" spans="1:35" x14ac:dyDescent="0.25">
      <c r="A3424" s="1">
        <v>14</v>
      </c>
      <c r="B3424" s="1">
        <v>11</v>
      </c>
      <c r="C3424" s="1">
        <v>2020</v>
      </c>
      <c r="G3424" s="1" t="s">
        <v>40</v>
      </c>
      <c r="H3424" s="2">
        <v>76.52</v>
      </c>
      <c r="I3424" s="1">
        <v>179</v>
      </c>
      <c r="V3424" s="1">
        <v>233</v>
      </c>
      <c r="X3424" s="1">
        <v>210</v>
      </c>
      <c r="AA3424" s="1">
        <v>17</v>
      </c>
      <c r="AB3424" s="1">
        <v>13</v>
      </c>
      <c r="AC3424" s="1">
        <v>9206</v>
      </c>
      <c r="AF3424" s="3">
        <v>2.3392577104025092</v>
      </c>
      <c r="AG3424" s="3">
        <v>8.9035746300952923</v>
      </c>
      <c r="AH3424" s="1">
        <v>6306</v>
      </c>
      <c r="AI3424" s="1" t="b">
        <v>1</v>
      </c>
    </row>
    <row r="3425" spans="1:35" x14ac:dyDescent="0.25">
      <c r="A3425" s="1">
        <v>14</v>
      </c>
      <c r="B3425" s="1">
        <v>11</v>
      </c>
      <c r="C3425" s="1">
        <v>2020</v>
      </c>
      <c r="G3425" s="1" t="s">
        <v>40</v>
      </c>
      <c r="H3425" s="2">
        <v>79.23</v>
      </c>
      <c r="I3425" s="1">
        <v>192</v>
      </c>
      <c r="V3425" s="1">
        <v>239</v>
      </c>
      <c r="X3425" s="1">
        <v>211</v>
      </c>
      <c r="AA3425" s="1">
        <v>15</v>
      </c>
      <c r="AB3425" s="1">
        <v>10</v>
      </c>
      <c r="AC3425" s="1">
        <v>8739</v>
      </c>
      <c r="AF3425" s="3">
        <v>2.4233244982961</v>
      </c>
      <c r="AG3425" s="3">
        <v>8.8066591194208979</v>
      </c>
      <c r="AH3425" s="1">
        <v>6306</v>
      </c>
      <c r="AI3425" s="1" t="b">
        <v>1</v>
      </c>
    </row>
    <row r="3426" spans="1:35" x14ac:dyDescent="0.25">
      <c r="A3426" s="1">
        <v>14</v>
      </c>
      <c r="B3426" s="1">
        <v>11</v>
      </c>
      <c r="C3426" s="1">
        <v>2020</v>
      </c>
      <c r="G3426" s="1" t="s">
        <v>40</v>
      </c>
      <c r="H3426" s="2">
        <v>80.61</v>
      </c>
      <c r="I3426" s="1">
        <v>185</v>
      </c>
      <c r="V3426" s="1">
        <v>240</v>
      </c>
      <c r="X3426" s="1">
        <v>211</v>
      </c>
      <c r="AA3426" s="1">
        <v>16</v>
      </c>
      <c r="AB3426" s="1">
        <v>8</v>
      </c>
      <c r="AC3426" s="1">
        <v>9246</v>
      </c>
      <c r="AF3426" s="3">
        <v>2.2950006202704381</v>
      </c>
      <c r="AG3426" s="3">
        <v>9.4121629538036302</v>
      </c>
      <c r="AH3426" s="1">
        <v>6306</v>
      </c>
      <c r="AI3426" s="1" t="b">
        <v>1</v>
      </c>
    </row>
    <row r="3427" spans="1:35" x14ac:dyDescent="0.25">
      <c r="A3427" s="1">
        <v>14</v>
      </c>
      <c r="B3427" s="1">
        <v>11</v>
      </c>
      <c r="C3427" s="1">
        <v>2020</v>
      </c>
      <c r="G3427" s="1" t="s">
        <v>40</v>
      </c>
      <c r="H3427" s="2">
        <v>69.58</v>
      </c>
      <c r="I3427" s="1">
        <v>188</v>
      </c>
      <c r="V3427" s="1">
        <v>203</v>
      </c>
      <c r="X3427" s="1">
        <v>184</v>
      </c>
      <c r="AA3427" s="1">
        <v>6</v>
      </c>
      <c r="AB3427" s="1">
        <v>9</v>
      </c>
      <c r="AC3427" s="1">
        <v>7863</v>
      </c>
      <c r="AF3427" s="3">
        <v>2.7019258407588387</v>
      </c>
      <c r="AG3427" s="3">
        <v>7.2121653035266311</v>
      </c>
      <c r="AH3427" s="1">
        <v>6306</v>
      </c>
      <c r="AI3427" s="1" t="b">
        <v>1</v>
      </c>
    </row>
    <row r="3428" spans="1:35" x14ac:dyDescent="0.25">
      <c r="A3428" s="1">
        <v>15</v>
      </c>
      <c r="B3428" s="1">
        <v>11</v>
      </c>
      <c r="C3428" s="1">
        <v>2020</v>
      </c>
      <c r="G3428" s="1" t="s">
        <v>40</v>
      </c>
      <c r="H3428" s="2">
        <v>74.209999999999994</v>
      </c>
      <c r="I3428" s="1">
        <v>170</v>
      </c>
      <c r="V3428" s="1">
        <v>204</v>
      </c>
      <c r="X3428" s="1">
        <v>180</v>
      </c>
      <c r="AA3428" s="1">
        <v>12</v>
      </c>
      <c r="AB3428" s="1">
        <v>9</v>
      </c>
      <c r="AC3428" s="1">
        <v>9627</v>
      </c>
      <c r="AF3428" s="3">
        <v>2.2907963886268701</v>
      </c>
      <c r="AG3428" s="3">
        <v>8.8989181513298714</v>
      </c>
      <c r="AH3428" s="1">
        <v>6306</v>
      </c>
      <c r="AI3428" s="1" t="b">
        <v>1</v>
      </c>
    </row>
    <row r="3429" spans="1:35" x14ac:dyDescent="0.25">
      <c r="A3429" s="1">
        <v>15</v>
      </c>
      <c r="B3429" s="1">
        <v>11</v>
      </c>
      <c r="C3429" s="1">
        <v>2020</v>
      </c>
      <c r="G3429" s="1" t="s">
        <v>40</v>
      </c>
      <c r="H3429" s="2">
        <v>85.75</v>
      </c>
      <c r="I3429" s="1">
        <v>200</v>
      </c>
      <c r="V3429" s="1">
        <v>238</v>
      </c>
      <c r="X3429" s="1">
        <v>220</v>
      </c>
      <c r="AA3429" s="1">
        <v>12</v>
      </c>
      <c r="AB3429" s="1">
        <v>6</v>
      </c>
      <c r="AC3429" s="1">
        <v>9799</v>
      </c>
      <c r="AF3429" s="3">
        <v>2.3323615160349855</v>
      </c>
      <c r="AG3429" s="3">
        <v>9.6709251757181729</v>
      </c>
      <c r="AH3429" s="1">
        <v>6306</v>
      </c>
      <c r="AI3429" s="1" t="b">
        <v>1</v>
      </c>
    </row>
    <row r="3430" spans="1:35" x14ac:dyDescent="0.25">
      <c r="A3430" s="1">
        <v>15</v>
      </c>
      <c r="B3430" s="1">
        <v>11</v>
      </c>
      <c r="C3430" s="1">
        <v>2020</v>
      </c>
      <c r="G3430" s="1" t="s">
        <v>40</v>
      </c>
      <c r="H3430" s="2">
        <v>69.319999999999993</v>
      </c>
      <c r="I3430" s="1">
        <v>160</v>
      </c>
      <c r="V3430" s="1">
        <v>199</v>
      </c>
      <c r="X3430" s="1">
        <v>166</v>
      </c>
      <c r="AA3430" s="1">
        <v>11</v>
      </c>
      <c r="AB3430" s="1">
        <v>9</v>
      </c>
      <c r="AC3430" s="1">
        <v>7289</v>
      </c>
      <c r="AF3430" s="3">
        <v>2.3081361800346221</v>
      </c>
      <c r="AG3430" s="3">
        <v>8.4205325544972673</v>
      </c>
      <c r="AH3430" s="1">
        <v>6306</v>
      </c>
      <c r="AI3430" s="1" t="b">
        <v>1</v>
      </c>
    </row>
    <row r="3431" spans="1:35" x14ac:dyDescent="0.25">
      <c r="A3431" s="1">
        <v>18</v>
      </c>
      <c r="B3431" s="1">
        <v>11</v>
      </c>
      <c r="C3431" s="1">
        <v>2020</v>
      </c>
      <c r="G3431" s="1" t="s">
        <v>40</v>
      </c>
      <c r="H3431" s="2">
        <v>78.47</v>
      </c>
      <c r="I3431" s="1">
        <v>182</v>
      </c>
      <c r="V3431" s="1">
        <v>230</v>
      </c>
      <c r="X3431" s="1">
        <v>201</v>
      </c>
      <c r="AA3431" s="1">
        <v>13</v>
      </c>
      <c r="AB3431" s="1">
        <v>12</v>
      </c>
      <c r="AC3431" s="1">
        <v>8753</v>
      </c>
      <c r="AF3431" s="3">
        <v>2.3193577163247103</v>
      </c>
      <c r="AG3431" s="3">
        <v>9.1395501758614159</v>
      </c>
      <c r="AH3431" s="1">
        <v>6307</v>
      </c>
      <c r="AI3431" s="1" t="b">
        <v>1</v>
      </c>
    </row>
    <row r="3432" spans="1:35" x14ac:dyDescent="0.25">
      <c r="A3432" s="1">
        <v>18</v>
      </c>
      <c r="B3432" s="1">
        <v>11</v>
      </c>
      <c r="C3432" s="1">
        <v>2020</v>
      </c>
      <c r="G3432" s="1" t="s">
        <v>40</v>
      </c>
      <c r="H3432" s="2">
        <v>67.89</v>
      </c>
      <c r="I3432" s="1">
        <v>156</v>
      </c>
      <c r="V3432" s="1">
        <v>204</v>
      </c>
      <c r="X3432" s="1">
        <v>187</v>
      </c>
      <c r="AA3432" s="1">
        <v>14</v>
      </c>
      <c r="AB3432" s="1">
        <v>17</v>
      </c>
      <c r="AC3432" s="1">
        <v>7980</v>
      </c>
      <c r="AF3432" s="3">
        <v>2.2978347326557667</v>
      </c>
      <c r="AG3432" s="3">
        <v>8.335761426031155</v>
      </c>
      <c r="AH3432" s="1">
        <v>6307</v>
      </c>
      <c r="AI3432" s="1" t="b">
        <v>1</v>
      </c>
    </row>
    <row r="3433" spans="1:35" x14ac:dyDescent="0.25">
      <c r="A3433" s="1">
        <v>18</v>
      </c>
      <c r="B3433" s="1">
        <v>11</v>
      </c>
      <c r="C3433" s="1">
        <v>2020</v>
      </c>
      <c r="G3433" s="1" t="s">
        <v>40</v>
      </c>
      <c r="H3433" s="2">
        <v>65.91</v>
      </c>
      <c r="I3433" s="1">
        <v>151</v>
      </c>
      <c r="V3433" s="1">
        <v>180</v>
      </c>
      <c r="X3433" s="1">
        <v>159</v>
      </c>
      <c r="AA3433" s="1">
        <v>12</v>
      </c>
      <c r="AB3433" s="1">
        <v>9</v>
      </c>
      <c r="AC3433" s="1">
        <v>7818</v>
      </c>
      <c r="AF3433" s="3">
        <v>2.2910028827188591</v>
      </c>
      <c r="AG3433" s="3">
        <v>8.18917746170378</v>
      </c>
      <c r="AH3433" s="1">
        <v>6307</v>
      </c>
      <c r="AI3433" s="1" t="b">
        <v>1</v>
      </c>
    </row>
    <row r="3434" spans="1:35" x14ac:dyDescent="0.25">
      <c r="A3434" s="1">
        <v>19</v>
      </c>
      <c r="B3434" s="1">
        <v>11</v>
      </c>
      <c r="C3434" s="1">
        <v>2020</v>
      </c>
      <c r="G3434" s="1" t="s">
        <v>40</v>
      </c>
      <c r="H3434" s="2">
        <v>75.63</v>
      </c>
      <c r="I3434" s="1">
        <v>201</v>
      </c>
      <c r="V3434" s="1">
        <v>236</v>
      </c>
      <c r="X3434" s="1">
        <v>204</v>
      </c>
      <c r="AA3434" s="1">
        <v>13</v>
      </c>
      <c r="AB3434" s="1">
        <v>9</v>
      </c>
      <c r="AC3434" s="1">
        <v>8251</v>
      </c>
      <c r="AF3434" s="3">
        <v>2.6576755255850855</v>
      </c>
      <c r="AG3434" s="3">
        <v>7.7729149053021667</v>
      </c>
      <c r="AH3434" s="1">
        <v>6307</v>
      </c>
      <c r="AI3434" s="1" t="b">
        <v>1</v>
      </c>
    </row>
    <row r="3435" spans="1:35" x14ac:dyDescent="0.25">
      <c r="A3435" s="1">
        <v>2</v>
      </c>
      <c r="B3435" s="1">
        <v>12</v>
      </c>
      <c r="C3435" s="1">
        <v>2020</v>
      </c>
      <c r="G3435" s="1" t="s">
        <v>40</v>
      </c>
      <c r="H3435" s="2">
        <v>77.459999999999994</v>
      </c>
      <c r="I3435" s="1">
        <v>186</v>
      </c>
      <c r="V3435" s="1">
        <v>223</v>
      </c>
      <c r="X3435" s="1">
        <v>201</v>
      </c>
      <c r="AA3435" s="1">
        <v>13</v>
      </c>
      <c r="AB3435" s="1">
        <v>5</v>
      </c>
      <c r="AC3435" s="1">
        <v>7858</v>
      </c>
      <c r="AF3435" s="3">
        <v>2.401239349341596</v>
      </c>
      <c r="AG3435" s="3">
        <v>8.7482018136097039</v>
      </c>
      <c r="AH3435" s="1">
        <v>6309</v>
      </c>
      <c r="AI3435" s="1" t="b">
        <v>1</v>
      </c>
    </row>
    <row r="3436" spans="1:35" x14ac:dyDescent="0.25">
      <c r="A3436" s="1">
        <v>2</v>
      </c>
      <c r="B3436" s="1">
        <v>12</v>
      </c>
      <c r="C3436" s="1">
        <v>2020</v>
      </c>
      <c r="G3436" s="1" t="s">
        <v>40</v>
      </c>
      <c r="H3436" s="2">
        <v>65.510000000000005</v>
      </c>
      <c r="I3436" s="1">
        <v>166</v>
      </c>
      <c r="V3436" s="1">
        <v>193</v>
      </c>
      <c r="X3436" s="1">
        <v>180</v>
      </c>
      <c r="AA3436" s="1">
        <v>13</v>
      </c>
      <c r="AB3436" s="1">
        <v>8</v>
      </c>
      <c r="AC3436" s="1">
        <v>7661</v>
      </c>
      <c r="AF3436" s="3">
        <v>2.533964280262555</v>
      </c>
      <c r="AG3436" s="3">
        <v>7.3725008448929499</v>
      </c>
      <c r="AH3436" s="1">
        <v>6309</v>
      </c>
      <c r="AI3436" s="1" t="b">
        <v>1</v>
      </c>
    </row>
    <row r="3437" spans="1:35" x14ac:dyDescent="0.25">
      <c r="A3437" s="1">
        <v>2</v>
      </c>
      <c r="B3437" s="1">
        <v>12</v>
      </c>
      <c r="C3437" s="1">
        <v>2020</v>
      </c>
      <c r="G3437" s="1" t="s">
        <v>40</v>
      </c>
      <c r="H3437" s="2">
        <v>80.86</v>
      </c>
      <c r="I3437" s="1">
        <v>181</v>
      </c>
      <c r="V3437" s="1">
        <v>231</v>
      </c>
      <c r="X3437" s="1">
        <v>203</v>
      </c>
      <c r="AA3437" s="1">
        <v>11</v>
      </c>
      <c r="AB3437" s="1">
        <v>6</v>
      </c>
      <c r="AC3437" s="1">
        <v>8833</v>
      </c>
      <c r="AF3437" s="3">
        <v>2.2384368043532032</v>
      </c>
      <c r="AG3437" s="3">
        <v>9.6709419854002032</v>
      </c>
      <c r="AH3437" s="1">
        <v>6309</v>
      </c>
      <c r="AI3437" s="1" t="b">
        <v>1</v>
      </c>
    </row>
    <row r="3438" spans="1:35" x14ac:dyDescent="0.25">
      <c r="A3438" s="1">
        <v>2</v>
      </c>
      <c r="B3438" s="1">
        <v>12</v>
      </c>
      <c r="C3438" s="1">
        <v>2020</v>
      </c>
      <c r="G3438" s="1" t="s">
        <v>40</v>
      </c>
      <c r="H3438" s="2">
        <v>75.45</v>
      </c>
      <c r="I3438" s="1">
        <v>193</v>
      </c>
      <c r="V3438" s="1">
        <v>233</v>
      </c>
      <c r="X3438" s="1">
        <v>204</v>
      </c>
      <c r="AA3438" s="1">
        <v>13</v>
      </c>
      <c r="AB3438" s="1">
        <v>7</v>
      </c>
      <c r="AC3438" s="1">
        <v>8395</v>
      </c>
      <c r="AF3438" s="3">
        <v>2.5579854208084822</v>
      </c>
      <c r="AG3438" s="3">
        <v>8.062382641788199</v>
      </c>
      <c r="AH3438" s="1">
        <v>6309</v>
      </c>
      <c r="AI3438" s="1" t="b">
        <v>1</v>
      </c>
    </row>
    <row r="3439" spans="1:35" x14ac:dyDescent="0.25">
      <c r="A3439" s="1">
        <v>2</v>
      </c>
      <c r="B3439" s="1">
        <v>12</v>
      </c>
      <c r="C3439" s="1">
        <v>2020</v>
      </c>
      <c r="G3439" s="1" t="s">
        <v>40</v>
      </c>
      <c r="H3439" s="2">
        <v>59.06</v>
      </c>
      <c r="I3439" s="1">
        <v>150</v>
      </c>
      <c r="V3439" s="1">
        <v>188</v>
      </c>
      <c r="X3439" s="1">
        <v>171</v>
      </c>
      <c r="AA3439" s="1">
        <v>13</v>
      </c>
      <c r="AB3439" s="1">
        <v>12</v>
      </c>
      <c r="AC3439" s="1">
        <v>6656</v>
      </c>
      <c r="AF3439" s="3">
        <v>2.5397900440230274</v>
      </c>
      <c r="AG3439" s="3">
        <v>6.8408110258800479</v>
      </c>
      <c r="AH3439" s="1">
        <v>6309</v>
      </c>
      <c r="AI3439" s="1" t="b">
        <v>1</v>
      </c>
    </row>
    <row r="3440" spans="1:35" x14ac:dyDescent="0.25">
      <c r="A3440" s="1">
        <v>2</v>
      </c>
      <c r="B3440" s="1">
        <v>12</v>
      </c>
      <c r="C3440" s="1">
        <v>2020</v>
      </c>
      <c r="G3440" s="1" t="s">
        <v>40</v>
      </c>
      <c r="H3440" s="2">
        <v>80.37</v>
      </c>
      <c r="I3440" s="1">
        <v>160</v>
      </c>
      <c r="V3440" s="1">
        <v>212</v>
      </c>
      <c r="X3440" s="1">
        <v>187</v>
      </c>
      <c r="AA3440" s="1">
        <v>17</v>
      </c>
      <c r="AB3440" s="1">
        <v>7</v>
      </c>
      <c r="AC3440" s="1">
        <v>8815</v>
      </c>
      <c r="AF3440" s="3">
        <v>1.9907925842976233</v>
      </c>
      <c r="AG3440" s="3">
        <v>10.827788485704804</v>
      </c>
      <c r="AH3440" s="1">
        <v>6309</v>
      </c>
      <c r="AI3440" s="1" t="b">
        <v>1</v>
      </c>
    </row>
    <row r="3441" spans="1:35" x14ac:dyDescent="0.25">
      <c r="A3441" s="1">
        <v>2</v>
      </c>
      <c r="B3441" s="1">
        <v>12</v>
      </c>
      <c r="C3441" s="1">
        <v>2020</v>
      </c>
      <c r="G3441" s="1" t="s">
        <v>40</v>
      </c>
      <c r="H3441" s="2">
        <v>73.81</v>
      </c>
      <c r="I3441" s="1">
        <v>168</v>
      </c>
      <c r="V3441" s="1">
        <v>245</v>
      </c>
      <c r="X3441" s="1">
        <v>213</v>
      </c>
      <c r="AA3441" s="1">
        <v>20</v>
      </c>
      <c r="AB3441" s="1">
        <v>15</v>
      </c>
      <c r="AC3441" s="1">
        <v>8418</v>
      </c>
      <c r="AF3441" s="3">
        <v>2.2761143476493699</v>
      </c>
      <c r="AG3441" s="3">
        <v>8.9225002198851673</v>
      </c>
      <c r="AH3441" s="1">
        <v>6309</v>
      </c>
      <c r="AI3441" s="1" t="b">
        <v>1</v>
      </c>
    </row>
    <row r="3442" spans="1:35" x14ac:dyDescent="0.25">
      <c r="A3442" s="1">
        <v>2</v>
      </c>
      <c r="B3442" s="1">
        <v>12</v>
      </c>
      <c r="C3442" s="1">
        <v>2020</v>
      </c>
      <c r="G3442" s="1" t="s">
        <v>40</v>
      </c>
      <c r="H3442" s="2">
        <v>78.17</v>
      </c>
      <c r="I3442" s="1">
        <v>214</v>
      </c>
      <c r="V3442" s="1">
        <v>233</v>
      </c>
      <c r="X3442" s="1">
        <v>209</v>
      </c>
      <c r="AA3442" s="1">
        <v>12</v>
      </c>
      <c r="AB3442" s="1">
        <v>9</v>
      </c>
      <c r="AC3442" s="1">
        <v>8748</v>
      </c>
      <c r="AF3442" s="3">
        <v>2.7376231290776514</v>
      </c>
      <c r="AG3442" s="3">
        <v>7.7224377643325672</v>
      </c>
      <c r="AH3442" s="1">
        <v>6309</v>
      </c>
      <c r="AI3442" s="1" t="b">
        <v>1</v>
      </c>
    </row>
    <row r="3443" spans="1:35" x14ac:dyDescent="0.25">
      <c r="A3443" s="1">
        <v>2</v>
      </c>
      <c r="B3443" s="1">
        <v>12</v>
      </c>
      <c r="C3443" s="1">
        <v>2020</v>
      </c>
      <c r="G3443" s="1" t="s">
        <v>40</v>
      </c>
      <c r="H3443" s="2">
        <v>83.5</v>
      </c>
      <c r="I3443" s="1">
        <v>177</v>
      </c>
      <c r="V3443" s="1">
        <v>228</v>
      </c>
      <c r="X3443" s="1">
        <v>201</v>
      </c>
      <c r="AA3443" s="1">
        <v>16</v>
      </c>
      <c r="AB3443" s="1">
        <v>9</v>
      </c>
      <c r="AC3443" s="1">
        <v>9188</v>
      </c>
      <c r="AF3443" s="3">
        <v>2.1197604790419162</v>
      </c>
      <c r="AG3443" s="3">
        <v>10.444646406952911</v>
      </c>
      <c r="AH3443" s="1">
        <v>6309</v>
      </c>
      <c r="AI3443" s="1" t="b">
        <v>1</v>
      </c>
    </row>
    <row r="3444" spans="1:35" x14ac:dyDescent="0.25">
      <c r="A3444" s="1">
        <v>3</v>
      </c>
      <c r="B3444" s="1">
        <v>12</v>
      </c>
      <c r="C3444" s="1">
        <v>2020</v>
      </c>
      <c r="G3444" s="1" t="s">
        <v>40</v>
      </c>
      <c r="H3444" s="2">
        <v>83.41</v>
      </c>
      <c r="I3444" s="1">
        <v>196</v>
      </c>
      <c r="V3444" s="1">
        <v>248</v>
      </c>
      <c r="X3444" s="1">
        <v>218</v>
      </c>
      <c r="AA3444" s="1">
        <v>16</v>
      </c>
      <c r="AB3444" s="1">
        <v>10</v>
      </c>
      <c r="AC3444" s="1">
        <v>10112</v>
      </c>
      <c r="AF3444" s="3">
        <v>2.3498381489030091</v>
      </c>
      <c r="AG3444" s="3">
        <v>9.4148788230578919</v>
      </c>
      <c r="AH3444" s="1">
        <v>6309</v>
      </c>
      <c r="AI3444" s="1" t="b">
        <v>1</v>
      </c>
    </row>
    <row r="3445" spans="1:35" x14ac:dyDescent="0.25">
      <c r="A3445" s="1">
        <v>12</v>
      </c>
      <c r="B3445" s="1">
        <v>12</v>
      </c>
      <c r="C3445" s="1">
        <v>2020</v>
      </c>
      <c r="G3445" s="1" t="s">
        <v>40</v>
      </c>
      <c r="H3445" s="2">
        <v>80.92</v>
      </c>
      <c r="I3445" s="1">
        <v>193</v>
      </c>
      <c r="V3445" s="1">
        <v>237</v>
      </c>
      <c r="X3445" s="1">
        <v>217</v>
      </c>
      <c r="AA3445" s="1">
        <v>12</v>
      </c>
      <c r="AB3445" s="1">
        <v>10</v>
      </c>
      <c r="AC3445" s="1">
        <v>9139</v>
      </c>
      <c r="AF3445" s="3">
        <v>2.3850716757291153</v>
      </c>
      <c r="AG3445" s="3">
        <v>9.0810836663322902</v>
      </c>
      <c r="AH3445" s="1">
        <v>6310</v>
      </c>
      <c r="AI3445" s="1" t="b">
        <v>1</v>
      </c>
    </row>
    <row r="3446" spans="1:35" x14ac:dyDescent="0.25">
      <c r="A3446" s="1">
        <v>12</v>
      </c>
      <c r="B3446" s="1">
        <v>12</v>
      </c>
      <c r="C3446" s="1">
        <v>2020</v>
      </c>
      <c r="G3446" s="1" t="s">
        <v>40</v>
      </c>
      <c r="H3446" s="2">
        <v>69.09</v>
      </c>
      <c r="I3446" s="1">
        <v>165</v>
      </c>
      <c r="V3446" s="1">
        <v>219</v>
      </c>
      <c r="X3446" s="1">
        <v>189</v>
      </c>
      <c r="AA3446" s="1">
        <v>14</v>
      </c>
      <c r="AB3446" s="1">
        <v>9</v>
      </c>
      <c r="AC3446" s="1">
        <v>7435</v>
      </c>
      <c r="AF3446" s="3">
        <v>2.3881893182805034</v>
      </c>
      <c r="AG3446" s="3">
        <v>8.1193615996545407</v>
      </c>
      <c r="AH3446" s="1">
        <v>6310</v>
      </c>
      <c r="AI3446" s="1" t="b">
        <v>1</v>
      </c>
    </row>
    <row r="3447" spans="1:35" x14ac:dyDescent="0.25">
      <c r="A3447" s="1">
        <v>12</v>
      </c>
      <c r="B3447" s="1">
        <v>12</v>
      </c>
      <c r="C3447" s="1">
        <v>2020</v>
      </c>
      <c r="G3447" s="1" t="s">
        <v>40</v>
      </c>
      <c r="H3447" s="2">
        <v>67.290000000000006</v>
      </c>
      <c r="I3447" s="1">
        <v>138</v>
      </c>
      <c r="V3447" s="1">
        <v>164</v>
      </c>
      <c r="X3447" s="1">
        <v>148</v>
      </c>
      <c r="AA3447" s="1">
        <v>11</v>
      </c>
      <c r="AB3447" s="1">
        <v>8</v>
      </c>
      <c r="AC3447" s="1">
        <v>8179</v>
      </c>
      <c r="AF3447" s="3">
        <v>2.0508247882300488</v>
      </c>
      <c r="AG3447" s="3">
        <v>9.2818984300820002</v>
      </c>
      <c r="AH3447" s="1">
        <v>6310</v>
      </c>
      <c r="AI3447" s="1" t="b">
        <v>1</v>
      </c>
    </row>
    <row r="3448" spans="1:35" x14ac:dyDescent="0.25">
      <c r="A3448" s="1">
        <v>12</v>
      </c>
      <c r="B3448" s="1">
        <v>12</v>
      </c>
      <c r="C3448" s="1">
        <v>2020</v>
      </c>
      <c r="G3448" s="1" t="s">
        <v>40</v>
      </c>
      <c r="H3448" s="2">
        <v>68.349999999999994</v>
      </c>
      <c r="I3448" s="1">
        <v>181</v>
      </c>
      <c r="V3448" s="1">
        <v>218</v>
      </c>
      <c r="X3448" s="1">
        <v>196</v>
      </c>
      <c r="AA3448" s="1">
        <v>13</v>
      </c>
      <c r="AB3448" s="1">
        <v>8</v>
      </c>
      <c r="AC3448" s="1">
        <v>7785</v>
      </c>
      <c r="AF3448" s="3">
        <v>2.6481346013167522</v>
      </c>
      <c r="AG3448" s="3">
        <v>7.2673639004196779</v>
      </c>
      <c r="AH3448" s="1">
        <v>6310</v>
      </c>
      <c r="AI3448" s="1" t="b">
        <v>1</v>
      </c>
    </row>
    <row r="3449" spans="1:35" x14ac:dyDescent="0.25">
      <c r="A3449" s="1">
        <v>12</v>
      </c>
      <c r="B3449" s="1">
        <v>12</v>
      </c>
      <c r="C3449" s="1">
        <v>2020</v>
      </c>
      <c r="G3449" s="1" t="s">
        <v>40</v>
      </c>
      <c r="H3449" s="2">
        <v>72.12</v>
      </c>
      <c r="I3449" s="1">
        <v>176</v>
      </c>
      <c r="V3449" s="1">
        <v>219</v>
      </c>
      <c r="X3449" s="1">
        <v>197</v>
      </c>
      <c r="AA3449" s="1">
        <v>13</v>
      </c>
      <c r="AB3449" s="1">
        <v>9</v>
      </c>
      <c r="AC3449" s="1">
        <v>8558</v>
      </c>
      <c r="AF3449" s="3">
        <v>2.4403771491957849</v>
      </c>
      <c r="AG3449" s="3">
        <v>8.1880795413408816</v>
      </c>
      <c r="AH3449" s="1">
        <v>6310</v>
      </c>
      <c r="AI3449" s="1" t="b">
        <v>1</v>
      </c>
    </row>
    <row r="3450" spans="1:35" x14ac:dyDescent="0.25">
      <c r="A3450" s="1">
        <v>12</v>
      </c>
      <c r="B3450" s="1">
        <v>12</v>
      </c>
      <c r="C3450" s="1">
        <v>2020</v>
      </c>
      <c r="G3450" s="1" t="s">
        <v>40</v>
      </c>
      <c r="H3450" s="2">
        <v>57.36</v>
      </c>
      <c r="I3450" s="1">
        <v>125</v>
      </c>
      <c r="V3450" s="1">
        <v>154</v>
      </c>
      <c r="X3450" s="1">
        <v>139</v>
      </c>
      <c r="AA3450" s="1">
        <v>13</v>
      </c>
      <c r="AB3450" s="1">
        <v>14</v>
      </c>
      <c r="AC3450" s="1">
        <v>6725</v>
      </c>
      <c r="AF3450" s="3">
        <v>2.179218967921897</v>
      </c>
      <c r="AG3450" s="3">
        <v>7.8113397840535219</v>
      </c>
      <c r="AH3450" s="1">
        <v>6310</v>
      </c>
      <c r="AI3450" s="1" t="b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rgb="FFFF6969"/>
  </sheetPr>
  <dimension ref="A1:D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3.2" x14ac:dyDescent="0.25"/>
  <cols>
    <col min="1" max="1" width="4.6640625" style="521" bestFit="1" customWidth="1"/>
    <col min="2" max="2" width="2.77734375" style="521" bestFit="1" customWidth="1"/>
    <col min="3" max="3" width="5" style="521" bestFit="1" customWidth="1"/>
    <col min="4" max="4" width="3.88671875" style="521" bestFit="1" customWidth="1"/>
    <col min="5" max="5" width="3.33203125" style="521" bestFit="1" customWidth="1"/>
    <col min="6" max="8" width="4.77734375" style="521" bestFit="1" customWidth="1"/>
    <col min="9" max="9" width="4.88671875" style="527" bestFit="1" customWidth="1"/>
    <col min="10" max="11" width="4.88671875" style="532" bestFit="1" customWidth="1"/>
    <col min="12" max="12" width="4.77734375" style="528" bestFit="1" customWidth="1"/>
    <col min="13" max="13" width="4.109375" style="522" bestFit="1" customWidth="1"/>
    <col min="14" max="14" width="4.6640625" style="522" bestFit="1" customWidth="1"/>
    <col min="15" max="15" width="2.33203125" style="521" bestFit="1" customWidth="1"/>
    <col min="16" max="16" width="2" style="524" bestFit="1" customWidth="1"/>
    <col min="17" max="17" width="2.88671875" style="534" bestFit="1" customWidth="1"/>
    <col min="18" max="18" width="3.77734375" style="523" bestFit="1" customWidth="1"/>
    <col min="19" max="19" width="3.77734375" style="533" bestFit="1" customWidth="1"/>
    <col min="20" max="20" width="3.77734375" style="530" bestFit="1" customWidth="1"/>
    <col min="21" max="21" width="3.77734375" style="521" bestFit="1" customWidth="1"/>
    <col min="22" max="22" width="2.77734375" style="521" bestFit="1" customWidth="1"/>
    <col min="23" max="23" width="5" style="521" bestFit="1" customWidth="1"/>
    <col min="24" max="24" width="3.88671875" style="521" bestFit="1" customWidth="1"/>
    <col min="25" max="25" width="3.33203125" style="521" bestFit="1" customWidth="1"/>
    <col min="26" max="28" width="4.77734375" style="521" bestFit="1" customWidth="1"/>
    <col min="29" max="29" width="4.88671875" style="528" bestFit="1" customWidth="1"/>
    <col min="30" max="31" width="4.88671875" style="532" bestFit="1" customWidth="1"/>
    <col min="32" max="32" width="4.77734375" style="528" bestFit="1" customWidth="1"/>
    <col min="33" max="33" width="4.109375" style="522" bestFit="1" customWidth="1"/>
    <col min="34" max="34" width="4.6640625" style="522" bestFit="1" customWidth="1"/>
    <col min="35" max="35" width="2.33203125" style="521" bestFit="1" customWidth="1"/>
    <col min="36" max="36" width="2" style="524" bestFit="1" customWidth="1"/>
    <col min="37" max="37" width="2.88671875" style="534" bestFit="1" customWidth="1"/>
    <col min="38" max="38" width="3.77734375" style="523" bestFit="1" customWidth="1"/>
    <col min="39" max="39" width="3.77734375" style="533" bestFit="1" customWidth="1"/>
    <col min="40" max="40" width="3.77734375" style="530" bestFit="1" customWidth="1"/>
    <col min="41" max="41" width="3.77734375" style="521" bestFit="1" customWidth="1"/>
    <col min="42" max="42" width="2.77734375" style="521" bestFit="1" customWidth="1"/>
    <col min="43" max="43" width="5" style="521" bestFit="1" customWidth="1"/>
    <col min="44" max="44" width="3.88671875" style="521" bestFit="1" customWidth="1"/>
    <col min="45" max="45" width="3.33203125" style="521" bestFit="1" customWidth="1"/>
    <col min="46" max="48" width="4.77734375" style="521" bestFit="1" customWidth="1"/>
    <col min="49" max="49" width="4.88671875" style="529" bestFit="1" customWidth="1"/>
    <col min="50" max="51" width="4.88671875" style="532" bestFit="1" customWidth="1"/>
    <col min="52" max="52" width="4.77734375" style="529" bestFit="1" customWidth="1"/>
    <col min="53" max="53" width="4.109375" style="522" bestFit="1" customWidth="1"/>
    <col min="54" max="54" width="4.6640625" style="522" bestFit="1" customWidth="1"/>
    <col min="55" max="55" width="2.33203125" style="521" bestFit="1" customWidth="1"/>
    <col min="56" max="56" width="2" style="524" bestFit="1" customWidth="1"/>
    <col min="57" max="57" width="2.88671875" style="534" bestFit="1" customWidth="1"/>
    <col min="58" max="58" width="3.77734375" style="523" bestFit="1" customWidth="1"/>
    <col min="59" max="59" width="3.77734375" style="533" bestFit="1" customWidth="1"/>
    <col min="60" max="60" width="3.77734375" style="530" bestFit="1" customWidth="1"/>
    <col min="61" max="61" width="3.77734375" style="521" bestFit="1" customWidth="1"/>
    <col min="62" max="65" width="3.33203125" style="526" bestFit="1" customWidth="1"/>
    <col min="66" max="69" width="2.88671875" style="526" bestFit="1" customWidth="1"/>
    <col min="70" max="73" width="3.33203125" style="521" bestFit="1" customWidth="1"/>
    <col min="74" max="77" width="3.77734375" style="33" bestFit="1" customWidth="1"/>
    <col min="78" max="81" width="3.21875" style="33" bestFit="1" customWidth="1"/>
    <col min="82" max="85" width="3.77734375" style="33" bestFit="1" customWidth="1"/>
    <col min="86" max="89" width="3.77734375" style="21" bestFit="1" customWidth="1"/>
    <col min="90" max="93" width="3.21875" style="21" bestFit="1" customWidth="1"/>
    <col min="94" max="97" width="3.77734375" style="21" bestFit="1" customWidth="1"/>
    <col min="98" max="16384" width="9" style="19"/>
  </cols>
  <sheetData>
    <row r="1" spans="1:106" x14ac:dyDescent="0.25">
      <c r="A1" s="6" t="s">
        <v>608</v>
      </c>
      <c r="B1" s="6" t="s">
        <v>609</v>
      </c>
      <c r="C1" s="6" t="s">
        <v>610</v>
      </c>
      <c r="D1" s="6" t="s">
        <v>611</v>
      </c>
      <c r="E1" s="6" t="s">
        <v>612</v>
      </c>
      <c r="F1" s="6" t="s">
        <v>598</v>
      </c>
      <c r="G1" s="6" t="s">
        <v>599</v>
      </c>
      <c r="H1" s="6" t="s">
        <v>621</v>
      </c>
      <c r="I1" s="6" t="s">
        <v>613</v>
      </c>
      <c r="J1" s="6" t="s">
        <v>598</v>
      </c>
      <c r="K1" s="6" t="s">
        <v>599</v>
      </c>
      <c r="L1" s="6" t="s">
        <v>621</v>
      </c>
      <c r="M1" s="41" t="s">
        <v>614</v>
      </c>
      <c r="N1" s="41" t="s">
        <v>615</v>
      </c>
      <c r="O1" s="6" t="s">
        <v>616</v>
      </c>
      <c r="P1" s="518" t="s">
        <v>617</v>
      </c>
      <c r="Q1" s="535" t="s">
        <v>618</v>
      </c>
      <c r="R1" s="520" t="s">
        <v>619</v>
      </c>
      <c r="S1" s="536" t="s">
        <v>633</v>
      </c>
      <c r="T1" s="310" t="s">
        <v>620</v>
      </c>
      <c r="U1" s="6" t="s">
        <v>631</v>
      </c>
      <c r="V1" s="6" t="s">
        <v>609</v>
      </c>
      <c r="W1" s="6" t="s">
        <v>610</v>
      </c>
      <c r="X1" s="6" t="s">
        <v>611</v>
      </c>
      <c r="Y1" s="6" t="s">
        <v>612</v>
      </c>
      <c r="Z1" s="6" t="s">
        <v>598</v>
      </c>
      <c r="AA1" s="6" t="s">
        <v>599</v>
      </c>
      <c r="AB1" s="6" t="s">
        <v>621</v>
      </c>
      <c r="AC1" s="6" t="s">
        <v>613</v>
      </c>
      <c r="AD1" s="6" t="s">
        <v>598</v>
      </c>
      <c r="AE1" s="6" t="s">
        <v>599</v>
      </c>
      <c r="AF1" s="6" t="s">
        <v>621</v>
      </c>
      <c r="AG1" s="41" t="s">
        <v>614</v>
      </c>
      <c r="AH1" s="41" t="s">
        <v>615</v>
      </c>
      <c r="AI1" s="6" t="s">
        <v>616</v>
      </c>
      <c r="AJ1" s="518" t="s">
        <v>617</v>
      </c>
      <c r="AK1" s="535" t="s">
        <v>618</v>
      </c>
      <c r="AL1" s="520" t="s">
        <v>619</v>
      </c>
      <c r="AM1" s="536" t="s">
        <v>633</v>
      </c>
      <c r="AN1" s="310" t="s">
        <v>620</v>
      </c>
      <c r="AO1" s="6" t="s">
        <v>631</v>
      </c>
      <c r="AP1" s="6" t="s">
        <v>609</v>
      </c>
      <c r="AQ1" s="6" t="s">
        <v>610</v>
      </c>
      <c r="AR1" s="6" t="s">
        <v>611</v>
      </c>
      <c r="AS1" s="6" t="s">
        <v>612</v>
      </c>
      <c r="AT1" s="6" t="s">
        <v>598</v>
      </c>
      <c r="AU1" s="6" t="s">
        <v>599</v>
      </c>
      <c r="AV1" s="6" t="s">
        <v>621</v>
      </c>
      <c r="AW1" s="6" t="s">
        <v>613</v>
      </c>
      <c r="AX1" s="6" t="s">
        <v>598</v>
      </c>
      <c r="AY1" s="6" t="s">
        <v>599</v>
      </c>
      <c r="AZ1" s="6" t="s">
        <v>621</v>
      </c>
      <c r="BA1" s="41" t="s">
        <v>614</v>
      </c>
      <c r="BB1" s="41" t="s">
        <v>615</v>
      </c>
      <c r="BC1" s="6" t="s">
        <v>616</v>
      </c>
      <c r="BD1" s="518" t="s">
        <v>617</v>
      </c>
      <c r="BE1" s="535" t="s">
        <v>618</v>
      </c>
      <c r="BF1" s="520" t="s">
        <v>619</v>
      </c>
      <c r="BG1" s="536" t="s">
        <v>633</v>
      </c>
      <c r="BH1" s="310" t="s">
        <v>620</v>
      </c>
      <c r="BI1" s="6" t="s">
        <v>631</v>
      </c>
      <c r="BJ1" s="6" t="s">
        <v>622</v>
      </c>
      <c r="BK1" s="6" t="s">
        <v>622</v>
      </c>
      <c r="BL1" s="6" t="s">
        <v>622</v>
      </c>
      <c r="BM1" s="6" t="s">
        <v>622</v>
      </c>
      <c r="BN1" s="6" t="s">
        <v>623</v>
      </c>
      <c r="BO1" s="6" t="s">
        <v>623</v>
      </c>
      <c r="BP1" s="6" t="s">
        <v>623</v>
      </c>
      <c r="BQ1" s="6" t="s">
        <v>623</v>
      </c>
      <c r="BR1" s="6" t="s">
        <v>624</v>
      </c>
      <c r="BS1" s="6" t="s">
        <v>624</v>
      </c>
      <c r="BT1" s="6" t="s">
        <v>624</v>
      </c>
      <c r="BU1" s="6" t="s">
        <v>624</v>
      </c>
      <c r="BV1" s="525" t="s">
        <v>625</v>
      </c>
      <c r="BW1" s="531" t="s">
        <v>625</v>
      </c>
      <c r="BX1" s="531" t="s">
        <v>625</v>
      </c>
      <c r="BY1" s="531" t="s">
        <v>625</v>
      </c>
      <c r="BZ1" s="525" t="s">
        <v>626</v>
      </c>
      <c r="CA1" s="531" t="s">
        <v>626</v>
      </c>
      <c r="CB1" s="531" t="s">
        <v>626</v>
      </c>
      <c r="CC1" s="531" t="s">
        <v>626</v>
      </c>
      <c r="CD1" s="525" t="s">
        <v>627</v>
      </c>
      <c r="CE1" s="531" t="s">
        <v>627</v>
      </c>
      <c r="CF1" s="531" t="s">
        <v>627</v>
      </c>
      <c r="CG1" s="531" t="s">
        <v>627</v>
      </c>
      <c r="CH1" s="25" t="s">
        <v>628</v>
      </c>
      <c r="CI1" s="25" t="s">
        <v>628</v>
      </c>
      <c r="CJ1" s="25" t="s">
        <v>628</v>
      </c>
      <c r="CK1" s="25" t="s">
        <v>628</v>
      </c>
      <c r="CL1" s="25" t="s">
        <v>629</v>
      </c>
      <c r="CM1" s="25" t="s">
        <v>629</v>
      </c>
      <c r="CN1" s="25" t="s">
        <v>629</v>
      </c>
      <c r="CO1" s="25" t="s">
        <v>629</v>
      </c>
      <c r="CP1" s="25" t="s">
        <v>630</v>
      </c>
      <c r="CQ1" s="25" t="s">
        <v>630</v>
      </c>
      <c r="CR1" s="25" t="s">
        <v>630</v>
      </c>
      <c r="CS1" s="25" t="s">
        <v>630</v>
      </c>
      <c r="CT1" s="19" t="s">
        <v>634</v>
      </c>
      <c r="CU1" s="19" t="s">
        <v>634</v>
      </c>
      <c r="CV1" s="19" t="s">
        <v>634</v>
      </c>
      <c r="CW1" s="19" t="s">
        <v>634</v>
      </c>
      <c r="CY1" s="19" t="s">
        <v>635</v>
      </c>
      <c r="CZ1" s="19" t="s">
        <v>635</v>
      </c>
      <c r="DA1" s="19" t="s">
        <v>635</v>
      </c>
      <c r="DB1" s="19" t="s">
        <v>635</v>
      </c>
    </row>
  </sheetData>
  <phoneticPr fontId="1" type="noConversion"/>
  <conditionalFormatting sqref="CH1:CS1048576">
    <cfRule type="expression" dxfId="881" priority="126">
      <formula>CH1&gt;=187.5</formula>
    </cfRule>
    <cfRule type="expression" dxfId="880" priority="127">
      <formula>CH1&gt;=175</formula>
    </cfRule>
    <cfRule type="expression" dxfId="879" priority="128">
      <formula>CH1&gt;=162.5</formula>
    </cfRule>
    <cfRule type="expression" dxfId="878" priority="129">
      <formula>CH1&gt;=150</formula>
    </cfRule>
    <cfRule type="expression" dxfId="877" priority="130">
      <formula>CH1&gt;=137.5</formula>
    </cfRule>
    <cfRule type="expression" dxfId="876" priority="131">
      <formula>CH1&gt;=125</formula>
    </cfRule>
    <cfRule type="expression" dxfId="875" priority="132">
      <formula>CH1&gt;=112.5</formula>
    </cfRule>
    <cfRule type="expression" dxfId="874" priority="133">
      <formula>CH1&gt;=100</formula>
    </cfRule>
    <cfRule type="expression" dxfId="873" priority="134">
      <formula>CH1&gt;=87.5</formula>
    </cfRule>
    <cfRule type="expression" dxfId="872" priority="135">
      <formula>CH1&gt;=75</formula>
    </cfRule>
    <cfRule type="expression" dxfId="871" priority="136">
      <formula>CH1&gt;=62.5</formula>
    </cfRule>
    <cfRule type="expression" dxfId="870" priority="137">
      <formula>CH1&gt;=50</formula>
    </cfRule>
    <cfRule type="expression" dxfId="869" priority="138">
      <formula>CH1&gt;=37.5</formula>
    </cfRule>
    <cfRule type="expression" dxfId="868" priority="139">
      <formula>CH1&gt;=0</formula>
    </cfRule>
  </conditionalFormatting>
  <conditionalFormatting sqref="BV1:CG1048576">
    <cfRule type="expression" dxfId="867" priority="112">
      <formula>BV1&gt;=7.5</formula>
    </cfRule>
    <cfRule type="expression" dxfId="866" priority="113">
      <formula>BV1&gt;=7</formula>
    </cfRule>
    <cfRule type="expression" dxfId="865" priority="114">
      <formula>BV1&gt;=6.5</formula>
    </cfRule>
    <cfRule type="expression" dxfId="864" priority="115">
      <formula>BV1&gt;=6</formula>
    </cfRule>
    <cfRule type="expression" dxfId="863" priority="116">
      <formula>BV1&gt;=5.5</formula>
    </cfRule>
    <cfRule type="expression" dxfId="862" priority="117">
      <formula>BV1&gt;=5</formula>
    </cfRule>
    <cfRule type="expression" dxfId="861" priority="118">
      <formula>BV1&gt;=4.5</formula>
    </cfRule>
    <cfRule type="expression" dxfId="860" priority="119">
      <formula>BV1&gt;=4</formula>
    </cfRule>
    <cfRule type="expression" dxfId="859" priority="120">
      <formula>BV1&gt;=3.5</formula>
    </cfRule>
    <cfRule type="expression" dxfId="858" priority="121">
      <formula>BV1&gt;=3</formula>
    </cfRule>
    <cfRule type="expression" dxfId="857" priority="122">
      <formula>BV1&gt;=2.5</formula>
    </cfRule>
    <cfRule type="expression" dxfId="856" priority="123">
      <formula>BV1&gt;=2</formula>
    </cfRule>
    <cfRule type="expression" dxfId="855" priority="124">
      <formula>BV1&gt;=1.5</formula>
    </cfRule>
    <cfRule type="expression" dxfId="854" priority="125">
      <formula>BV1&gt;=0</formula>
    </cfRule>
  </conditionalFormatting>
  <conditionalFormatting sqref="BR1:BU1048576">
    <cfRule type="cellIs" dxfId="853" priority="66" operator="lessThan">
      <formula>36</formula>
    </cfRule>
    <cfRule type="cellIs" dxfId="852" priority="94" operator="lessThan">
      <formula>39</formula>
    </cfRule>
    <cfRule type="cellIs" dxfId="851" priority="95" operator="lessThan">
      <formula>42</formula>
    </cfRule>
    <cfRule type="cellIs" dxfId="850" priority="96" operator="lessThan">
      <formula>45</formula>
    </cfRule>
    <cfRule type="cellIs" dxfId="849" priority="97" operator="lessThan">
      <formula>48</formula>
    </cfRule>
  </conditionalFormatting>
  <conditionalFormatting sqref="BN1:BQ1048576">
    <cfRule type="cellIs" dxfId="848" priority="64" operator="lessThan">
      <formula>9</formula>
    </cfRule>
    <cfRule type="cellIs" dxfId="847" priority="65" operator="lessThan">
      <formula>10</formula>
    </cfRule>
    <cfRule type="cellIs" dxfId="846" priority="73" operator="lessThan">
      <formula>11</formula>
    </cfRule>
    <cfRule type="cellIs" dxfId="845" priority="74" operator="lessThan">
      <formula>12</formula>
    </cfRule>
    <cfRule type="cellIs" dxfId="844" priority="77" operator="lessThan">
      <formula>13</formula>
    </cfRule>
  </conditionalFormatting>
  <conditionalFormatting sqref="BJ1:BM1048576">
    <cfRule type="cellIs" dxfId="843" priority="63" operator="lessThan">
      <formula>1.6</formula>
    </cfRule>
    <cfRule type="cellIs" dxfId="842" priority="71" operator="lessThan">
      <formula>1.8</formula>
    </cfRule>
    <cfRule type="cellIs" dxfId="841" priority="72" operator="lessThan">
      <formula>2</formula>
    </cfRule>
    <cfRule type="cellIs" dxfId="840" priority="75" operator="lessThan">
      <formula>2.2</formula>
    </cfRule>
    <cfRule type="cellIs" dxfId="839" priority="76" operator="lessThan">
      <formula>2.4</formula>
    </cfRule>
  </conditionalFormatting>
  <conditionalFormatting sqref="I1:L1048576">
    <cfRule type="cellIs" dxfId="838" priority="13" operator="greaterThanOrEqual">
      <formula>0.128</formula>
    </cfRule>
    <cfRule type="cellIs" dxfId="837" priority="14" operator="greaterThanOrEqual">
      <formula>0.064</formula>
    </cfRule>
    <cfRule type="cellIs" dxfId="836" priority="15" operator="greaterThanOrEqual">
      <formula>0.032</formula>
    </cfRule>
    <cfRule type="cellIs" dxfId="835" priority="16" operator="greaterThanOrEqual">
      <formula>0.016</formula>
    </cfRule>
    <cfRule type="cellIs" dxfId="834" priority="17" operator="greaterThanOrEqual">
      <formula>0.008</formula>
    </cfRule>
    <cfRule type="cellIs" dxfId="833" priority="18" operator="greaterThanOrEqual">
      <formula>0.004</formula>
    </cfRule>
  </conditionalFormatting>
  <conditionalFormatting sqref="AC1:AF1048576">
    <cfRule type="cellIs" dxfId="832" priority="7" operator="greaterThanOrEqual">
      <formula>0.128</formula>
    </cfRule>
    <cfRule type="cellIs" dxfId="831" priority="8" operator="greaterThanOrEqual">
      <formula>0.064</formula>
    </cfRule>
    <cfRule type="cellIs" dxfId="830" priority="9" operator="greaterThanOrEqual">
      <formula>0.032</formula>
    </cfRule>
    <cfRule type="cellIs" dxfId="829" priority="10" operator="greaterThanOrEqual">
      <formula>0.016</formula>
    </cfRule>
    <cfRule type="cellIs" dxfId="828" priority="11" operator="greaterThanOrEqual">
      <formula>0.008</formula>
    </cfRule>
    <cfRule type="cellIs" dxfId="827" priority="12" operator="greaterThanOrEqual">
      <formula>0.004</formula>
    </cfRule>
  </conditionalFormatting>
  <conditionalFormatting sqref="AW1:AZ1048576">
    <cfRule type="cellIs" dxfId="826" priority="1" operator="greaterThanOrEqual">
      <formula>0.128</formula>
    </cfRule>
    <cfRule type="cellIs" dxfId="825" priority="2" operator="greaterThanOrEqual">
      <formula>0.064</formula>
    </cfRule>
    <cfRule type="cellIs" dxfId="824" priority="3" operator="greaterThanOrEqual">
      <formula>0.032</formula>
    </cfRule>
    <cfRule type="cellIs" dxfId="823" priority="4" operator="greaterThanOrEqual">
      <formula>0.016</formula>
    </cfRule>
    <cfRule type="cellIs" dxfId="822" priority="5" operator="greaterThanOrEqual">
      <formula>0.008</formula>
    </cfRule>
    <cfRule type="cellIs" dxfId="821" priority="6" operator="greaterThanOrEqual">
      <formula>0.004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7030A0"/>
  </sheetPr>
  <dimension ref="A1:IS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6.6640625" defaultRowHeight="13.2" x14ac:dyDescent="0.25"/>
  <cols>
    <col min="1" max="1" width="8.6640625" style="10" bestFit="1" customWidth="1"/>
    <col min="2" max="41" width="5.5546875" style="11" bestFit="1" customWidth="1"/>
    <col min="42" max="70" width="6.5546875" style="11" bestFit="1" customWidth="1"/>
    <col min="71" max="71" width="7.5546875" style="11" bestFit="1" customWidth="1"/>
    <col min="72" max="72" width="6.5546875" style="11" bestFit="1" customWidth="1"/>
    <col min="73" max="73" width="7.5546875" style="11" bestFit="1" customWidth="1"/>
    <col min="74" max="75" width="6.5546875" style="11" bestFit="1" customWidth="1"/>
    <col min="76" max="149" width="5.77734375" style="12" bestFit="1" customWidth="1"/>
    <col min="150" max="151" width="7.5546875" style="11" bestFit="1" customWidth="1"/>
    <col min="152" max="152" width="8.5546875" style="11" bestFit="1" customWidth="1"/>
    <col min="153" max="155" width="6.77734375" style="12" bestFit="1" customWidth="1"/>
    <col min="156" max="156" width="8.5546875" style="11" bestFit="1" customWidth="1"/>
    <col min="157" max="157" width="7.77734375" style="12" bestFit="1" customWidth="1"/>
    <col min="158" max="158" width="7.5546875" style="11" bestFit="1" customWidth="1"/>
    <col min="159" max="160" width="8.5546875" style="11" bestFit="1" customWidth="1"/>
    <col min="161" max="161" width="7.77734375" style="12" bestFit="1" customWidth="1"/>
    <col min="162" max="163" width="6.77734375" style="12" bestFit="1" customWidth="1"/>
    <col min="164" max="164" width="8.5546875" style="11" bestFit="1" customWidth="1"/>
    <col min="165" max="165" width="7.77734375" style="12" bestFit="1" customWidth="1"/>
    <col min="166" max="174" width="4.44140625" style="13" bestFit="1" customWidth="1"/>
    <col min="175" max="205" width="5.44140625" style="13" bestFit="1" customWidth="1"/>
    <col min="206" max="214" width="4.21875" style="13" bestFit="1" customWidth="1"/>
    <col min="215" max="229" width="4.88671875" style="13" bestFit="1" customWidth="1"/>
    <col min="230" max="238" width="4.44140625" style="13" bestFit="1" customWidth="1"/>
    <col min="239" max="239" width="5.44140625" style="13" bestFit="1" customWidth="1"/>
    <col min="240" max="241" width="6.21875" style="13" bestFit="1" customWidth="1"/>
    <col min="242" max="242" width="6" style="13" bestFit="1" customWidth="1"/>
    <col min="243" max="243" width="6.21875" style="13" bestFit="1" customWidth="1"/>
    <col min="244" max="244" width="5.44140625" style="13" bestFit="1" customWidth="1"/>
    <col min="245" max="245" width="5.21875" style="13" bestFit="1" customWidth="1"/>
    <col min="246" max="246" width="7.109375" style="8" bestFit="1" customWidth="1"/>
    <col min="247" max="247" width="6.5546875" style="8" bestFit="1" customWidth="1"/>
    <col min="248" max="248" width="6.109375" style="8" bestFit="1" customWidth="1"/>
    <col min="249" max="250" width="7.109375" style="8" bestFit="1" customWidth="1"/>
    <col min="251" max="251" width="6.5546875" style="8" bestFit="1" customWidth="1"/>
    <col min="252" max="253" width="7.109375" style="8" bestFit="1" customWidth="1"/>
    <col min="254" max="16384" width="6.6640625" style="12"/>
  </cols>
  <sheetData>
    <row r="1" spans="1:253" s="10" customFormat="1" x14ac:dyDescent="0.25">
      <c r="A1" s="7" t="str">
        <f>IF(Arb!$AJ$28=1,"Week","周期")</f>
        <v>周期</v>
      </c>
      <c r="B1" s="4" t="s">
        <v>108</v>
      </c>
      <c r="C1" s="4" t="s">
        <v>109</v>
      </c>
      <c r="D1" s="4" t="s">
        <v>110</v>
      </c>
      <c r="E1" s="4" t="s">
        <v>111</v>
      </c>
      <c r="F1" s="4" t="s">
        <v>112</v>
      </c>
      <c r="G1" s="4" t="s">
        <v>113</v>
      </c>
      <c r="H1" s="4" t="s">
        <v>114</v>
      </c>
      <c r="I1" s="4" t="s">
        <v>115</v>
      </c>
      <c r="J1" s="4" t="s">
        <v>116</v>
      </c>
      <c r="K1" s="4" t="s">
        <v>117</v>
      </c>
      <c r="L1" s="4" t="s">
        <v>118</v>
      </c>
      <c r="M1" s="4" t="s">
        <v>119</v>
      </c>
      <c r="N1" s="4" t="s">
        <v>120</v>
      </c>
      <c r="O1" s="4" t="s">
        <v>121</v>
      </c>
      <c r="P1" s="4" t="s">
        <v>122</v>
      </c>
      <c r="Q1" s="4" t="s">
        <v>123</v>
      </c>
      <c r="R1" s="4" t="s">
        <v>124</v>
      </c>
      <c r="S1" s="4" t="s">
        <v>125</v>
      </c>
      <c r="T1" s="4" t="s">
        <v>126</v>
      </c>
      <c r="U1" s="4" t="s">
        <v>127</v>
      </c>
      <c r="V1" s="4" t="s">
        <v>178</v>
      </c>
      <c r="W1" s="4" t="s">
        <v>179</v>
      </c>
      <c r="X1" s="4" t="s">
        <v>180</v>
      </c>
      <c r="Y1" s="4" t="s">
        <v>181</v>
      </c>
      <c r="Z1" s="4" t="s">
        <v>182</v>
      </c>
      <c r="AA1" s="4" t="s">
        <v>183</v>
      </c>
      <c r="AB1" s="4" t="s">
        <v>184</v>
      </c>
      <c r="AC1" s="4" t="s">
        <v>185</v>
      </c>
      <c r="AD1" s="4" t="s">
        <v>186</v>
      </c>
      <c r="AE1" s="4" t="s">
        <v>187</v>
      </c>
      <c r="AF1" s="4" t="s">
        <v>188</v>
      </c>
      <c r="AG1" s="4" t="s">
        <v>189</v>
      </c>
      <c r="AH1" s="4" t="s">
        <v>190</v>
      </c>
      <c r="AI1" s="4" t="s">
        <v>191</v>
      </c>
      <c r="AJ1" s="4" t="s">
        <v>192</v>
      </c>
      <c r="AK1" s="4" t="s">
        <v>193</v>
      </c>
      <c r="AL1" s="4" t="s">
        <v>194</v>
      </c>
      <c r="AM1" s="4" t="s">
        <v>195</v>
      </c>
      <c r="AN1" s="4" t="s">
        <v>196</v>
      </c>
      <c r="AO1" s="4" t="s">
        <v>197</v>
      </c>
      <c r="AP1" s="4" t="s">
        <v>128</v>
      </c>
      <c r="AQ1" s="4" t="s">
        <v>129</v>
      </c>
      <c r="AR1" s="4" t="s">
        <v>130</v>
      </c>
      <c r="AS1" s="4" t="s">
        <v>131</v>
      </c>
      <c r="AT1" s="4" t="s">
        <v>132</v>
      </c>
      <c r="AU1" s="4" t="s">
        <v>133</v>
      </c>
      <c r="AV1" s="4" t="s">
        <v>134</v>
      </c>
      <c r="AW1" s="4" t="s">
        <v>135</v>
      </c>
      <c r="AX1" s="4" t="s">
        <v>136</v>
      </c>
      <c r="AY1" s="4" t="s">
        <v>137</v>
      </c>
      <c r="AZ1" s="4" t="s">
        <v>138</v>
      </c>
      <c r="BA1" s="4" t="s">
        <v>139</v>
      </c>
      <c r="BB1" s="4" t="s">
        <v>198</v>
      </c>
      <c r="BC1" s="4" t="s">
        <v>199</v>
      </c>
      <c r="BD1" s="4" t="s">
        <v>200</v>
      </c>
      <c r="BE1" s="4" t="s">
        <v>201</v>
      </c>
      <c r="BF1" s="4" t="s">
        <v>202</v>
      </c>
      <c r="BG1" s="4" t="s">
        <v>203</v>
      </c>
      <c r="BH1" s="4" t="s">
        <v>204</v>
      </c>
      <c r="BI1" s="4" t="s">
        <v>205</v>
      </c>
      <c r="BJ1" s="4" t="s">
        <v>206</v>
      </c>
      <c r="BK1" s="4" t="s">
        <v>207</v>
      </c>
      <c r="BL1" s="4" t="s">
        <v>208</v>
      </c>
      <c r="BM1" s="4" t="s">
        <v>209</v>
      </c>
      <c r="BN1" s="4" t="s">
        <v>210</v>
      </c>
      <c r="BO1" s="4" t="s">
        <v>140</v>
      </c>
      <c r="BP1" s="4" t="s">
        <v>141</v>
      </c>
      <c r="BQ1" s="4" t="s">
        <v>142</v>
      </c>
      <c r="BR1" s="4" t="s">
        <v>143</v>
      </c>
      <c r="BS1" s="4" t="s">
        <v>211</v>
      </c>
      <c r="BT1" s="4" t="s">
        <v>212</v>
      </c>
      <c r="BU1" s="4" t="s">
        <v>213</v>
      </c>
      <c r="BV1" s="4" t="s">
        <v>214</v>
      </c>
      <c r="BW1" s="4" t="s">
        <v>215</v>
      </c>
      <c r="BX1" s="8" t="s">
        <v>216</v>
      </c>
      <c r="BY1" s="8" t="s">
        <v>175</v>
      </c>
      <c r="BZ1" s="8" t="s">
        <v>176</v>
      </c>
      <c r="CA1" s="8" t="s">
        <v>177</v>
      </c>
      <c r="CB1" s="8" t="s">
        <v>144</v>
      </c>
      <c r="CC1" s="8" t="s">
        <v>145</v>
      </c>
      <c r="CD1" s="8" t="s">
        <v>146</v>
      </c>
      <c r="CE1" s="8" t="s">
        <v>147</v>
      </c>
      <c r="CF1" s="8" t="s">
        <v>148</v>
      </c>
      <c r="CG1" s="8" t="s">
        <v>149</v>
      </c>
      <c r="CH1" s="8" t="s">
        <v>150</v>
      </c>
      <c r="CI1" s="8" t="s">
        <v>151</v>
      </c>
      <c r="CJ1" s="8" t="s">
        <v>152</v>
      </c>
      <c r="CK1" s="8" t="s">
        <v>153</v>
      </c>
      <c r="CL1" s="8" t="s">
        <v>154</v>
      </c>
      <c r="CM1" s="8" t="s">
        <v>155</v>
      </c>
      <c r="CN1" s="8" t="s">
        <v>156</v>
      </c>
      <c r="CO1" s="8" t="s">
        <v>157</v>
      </c>
      <c r="CP1" s="8" t="s">
        <v>158</v>
      </c>
      <c r="CQ1" s="8" t="s">
        <v>159</v>
      </c>
      <c r="CR1" s="8" t="s">
        <v>217</v>
      </c>
      <c r="CS1" s="8" t="s">
        <v>218</v>
      </c>
      <c r="CT1" s="8" t="s">
        <v>219</v>
      </c>
      <c r="CU1" s="8" t="s">
        <v>220</v>
      </c>
      <c r="CV1" s="8" t="s">
        <v>221</v>
      </c>
      <c r="CW1" s="8" t="s">
        <v>222</v>
      </c>
      <c r="CX1" s="8" t="s">
        <v>223</v>
      </c>
      <c r="CY1" s="8" t="s">
        <v>224</v>
      </c>
      <c r="CZ1" s="8" t="s">
        <v>225</v>
      </c>
      <c r="DA1" s="8" t="s">
        <v>226</v>
      </c>
      <c r="DB1" s="8" t="s">
        <v>227</v>
      </c>
      <c r="DC1" s="8" t="s">
        <v>228</v>
      </c>
      <c r="DD1" s="8" t="s">
        <v>229</v>
      </c>
      <c r="DE1" s="8" t="s">
        <v>230</v>
      </c>
      <c r="DF1" s="8" t="s">
        <v>231</v>
      </c>
      <c r="DG1" s="8" t="s">
        <v>232</v>
      </c>
      <c r="DH1" s="8" t="s">
        <v>233</v>
      </c>
      <c r="DI1" s="8" t="s">
        <v>234</v>
      </c>
      <c r="DJ1" s="8" t="s">
        <v>235</v>
      </c>
      <c r="DK1" s="8" t="s">
        <v>236</v>
      </c>
      <c r="DL1" s="8" t="s">
        <v>237</v>
      </c>
      <c r="DM1" s="8" t="s">
        <v>160</v>
      </c>
      <c r="DN1" s="8" t="s">
        <v>161</v>
      </c>
      <c r="DO1" s="8" t="s">
        <v>162</v>
      </c>
      <c r="DP1" s="8" t="s">
        <v>163</v>
      </c>
      <c r="DQ1" s="8" t="s">
        <v>164</v>
      </c>
      <c r="DR1" s="8" t="s">
        <v>165</v>
      </c>
      <c r="DS1" s="8" t="s">
        <v>166</v>
      </c>
      <c r="DT1" s="8" t="s">
        <v>167</v>
      </c>
      <c r="DU1" s="8" t="s">
        <v>168</v>
      </c>
      <c r="DV1" s="8" t="s">
        <v>169</v>
      </c>
      <c r="DW1" s="8" t="s">
        <v>170</v>
      </c>
      <c r="DX1" s="8" t="s">
        <v>238</v>
      </c>
      <c r="DY1" s="8" t="s">
        <v>239</v>
      </c>
      <c r="DZ1" s="8" t="s">
        <v>240</v>
      </c>
      <c r="EA1" s="8" t="s">
        <v>241</v>
      </c>
      <c r="EB1" s="8" t="s">
        <v>242</v>
      </c>
      <c r="EC1" s="8" t="s">
        <v>243</v>
      </c>
      <c r="ED1" s="8" t="s">
        <v>244</v>
      </c>
      <c r="EE1" s="8" t="s">
        <v>245</v>
      </c>
      <c r="EF1" s="8" t="s">
        <v>246</v>
      </c>
      <c r="EG1" s="8" t="s">
        <v>247</v>
      </c>
      <c r="EH1" s="8" t="s">
        <v>248</v>
      </c>
      <c r="EI1" s="8" t="s">
        <v>249</v>
      </c>
      <c r="EJ1" s="8" t="s">
        <v>250</v>
      </c>
      <c r="EK1" s="8" t="s">
        <v>171</v>
      </c>
      <c r="EL1" s="8" t="s">
        <v>172</v>
      </c>
      <c r="EM1" s="8" t="s">
        <v>173</v>
      </c>
      <c r="EN1" s="8" t="s">
        <v>174</v>
      </c>
      <c r="EO1" s="8" t="s">
        <v>251</v>
      </c>
      <c r="EP1" s="8" t="s">
        <v>252</v>
      </c>
      <c r="EQ1" s="8" t="s">
        <v>253</v>
      </c>
      <c r="ER1" s="8" t="s">
        <v>254</v>
      </c>
      <c r="ES1" s="8" t="s">
        <v>255</v>
      </c>
      <c r="ET1" s="4" t="s">
        <v>256</v>
      </c>
      <c r="EU1" s="4" t="s">
        <v>257</v>
      </c>
      <c r="EV1" s="4" t="s">
        <v>258</v>
      </c>
      <c r="EW1" s="8" t="s">
        <v>259</v>
      </c>
      <c r="EX1" s="8" t="s">
        <v>260</v>
      </c>
      <c r="EY1" s="8" t="s">
        <v>261</v>
      </c>
      <c r="EZ1" s="4" t="s">
        <v>262</v>
      </c>
      <c r="FA1" s="8" t="s">
        <v>263</v>
      </c>
      <c r="FB1" s="4" t="s">
        <v>264</v>
      </c>
      <c r="FC1" s="4" t="s">
        <v>265</v>
      </c>
      <c r="FD1" s="4" t="s">
        <v>266</v>
      </c>
      <c r="FE1" s="8" t="s">
        <v>267</v>
      </c>
      <c r="FF1" s="8" t="s">
        <v>268</v>
      </c>
      <c r="FG1" s="8" t="s">
        <v>269</v>
      </c>
      <c r="FH1" s="4" t="s">
        <v>270</v>
      </c>
      <c r="FI1" s="8" t="s">
        <v>271</v>
      </c>
      <c r="FJ1" s="9" t="s">
        <v>291</v>
      </c>
      <c r="FK1" s="9" t="s">
        <v>292</v>
      </c>
      <c r="FL1" s="9" t="s">
        <v>293</v>
      </c>
      <c r="FM1" s="9" t="s">
        <v>294</v>
      </c>
      <c r="FN1" s="9" t="s">
        <v>295</v>
      </c>
      <c r="FO1" s="9" t="s">
        <v>296</v>
      </c>
      <c r="FP1" s="9" t="s">
        <v>297</v>
      </c>
      <c r="FQ1" s="9" t="s">
        <v>298</v>
      </c>
      <c r="FR1" s="9" t="s">
        <v>299</v>
      </c>
      <c r="FS1" s="9" t="s">
        <v>300</v>
      </c>
      <c r="FT1" s="9" t="s">
        <v>301</v>
      </c>
      <c r="FU1" s="9" t="s">
        <v>302</v>
      </c>
      <c r="FV1" s="9" t="s">
        <v>303</v>
      </c>
      <c r="FW1" s="9" t="s">
        <v>304</v>
      </c>
      <c r="FX1" s="9" t="s">
        <v>305</v>
      </c>
      <c r="FY1" s="9" t="s">
        <v>306</v>
      </c>
      <c r="FZ1" s="9" t="s">
        <v>307</v>
      </c>
      <c r="GA1" s="9" t="s">
        <v>308</v>
      </c>
      <c r="GB1" s="9" t="s">
        <v>309</v>
      </c>
      <c r="GC1" s="9" t="s">
        <v>310</v>
      </c>
      <c r="GD1" s="9" t="s">
        <v>311</v>
      </c>
      <c r="GE1" s="9" t="s">
        <v>312</v>
      </c>
      <c r="GF1" s="9" t="s">
        <v>313</v>
      </c>
      <c r="GG1" s="9" t="s">
        <v>314</v>
      </c>
      <c r="GH1" s="9" t="s">
        <v>315</v>
      </c>
      <c r="GI1" s="9" t="s">
        <v>316</v>
      </c>
      <c r="GJ1" s="9" t="s">
        <v>317</v>
      </c>
      <c r="GK1" s="9" t="s">
        <v>318</v>
      </c>
      <c r="GL1" s="9" t="s">
        <v>319</v>
      </c>
      <c r="GM1" s="9" t="s">
        <v>320</v>
      </c>
      <c r="GN1" s="9" t="s">
        <v>321</v>
      </c>
      <c r="GO1" s="9" t="s">
        <v>322</v>
      </c>
      <c r="GP1" s="9" t="s">
        <v>323</v>
      </c>
      <c r="GQ1" s="9" t="s">
        <v>324</v>
      </c>
      <c r="GR1" s="9" t="s">
        <v>325</v>
      </c>
      <c r="GS1" s="9" t="s">
        <v>326</v>
      </c>
      <c r="GT1" s="9" t="s">
        <v>327</v>
      </c>
      <c r="GU1" s="9" t="s">
        <v>328</v>
      </c>
      <c r="GV1" s="9" t="s">
        <v>329</v>
      </c>
      <c r="GW1" s="9" t="s">
        <v>330</v>
      </c>
      <c r="GX1" s="9" t="s">
        <v>331</v>
      </c>
      <c r="GY1" s="9" t="s">
        <v>332</v>
      </c>
      <c r="GZ1" s="9" t="s">
        <v>333</v>
      </c>
      <c r="HA1" s="9" t="s">
        <v>334</v>
      </c>
      <c r="HB1" s="9" t="s">
        <v>335</v>
      </c>
      <c r="HC1" s="9" t="s">
        <v>336</v>
      </c>
      <c r="HD1" s="9" t="s">
        <v>337</v>
      </c>
      <c r="HE1" s="9" t="s">
        <v>338</v>
      </c>
      <c r="HF1" s="9" t="s">
        <v>339</v>
      </c>
      <c r="HG1" s="9" t="s">
        <v>340</v>
      </c>
      <c r="HH1" s="9" t="s">
        <v>341</v>
      </c>
      <c r="HI1" s="9" t="s">
        <v>342</v>
      </c>
      <c r="HJ1" s="9" t="s">
        <v>343</v>
      </c>
      <c r="HK1" s="9" t="s">
        <v>344</v>
      </c>
      <c r="HL1" s="9" t="s">
        <v>345</v>
      </c>
      <c r="HM1" s="9" t="s">
        <v>346</v>
      </c>
      <c r="HN1" s="9" t="s">
        <v>347</v>
      </c>
      <c r="HO1" s="9" t="s">
        <v>348</v>
      </c>
      <c r="HP1" s="9" t="s">
        <v>349</v>
      </c>
      <c r="HQ1" s="9" t="s">
        <v>350</v>
      </c>
      <c r="HR1" s="9" t="s">
        <v>351</v>
      </c>
      <c r="HS1" s="9" t="s">
        <v>352</v>
      </c>
      <c r="HT1" s="9" t="s">
        <v>353</v>
      </c>
      <c r="HU1" s="9" t="s">
        <v>354</v>
      </c>
      <c r="HV1" s="9" t="s">
        <v>355</v>
      </c>
      <c r="HW1" s="9" t="s">
        <v>356</v>
      </c>
      <c r="HX1" s="9" t="s">
        <v>357</v>
      </c>
      <c r="HY1" s="9" t="s">
        <v>358</v>
      </c>
      <c r="HZ1" s="9" t="s">
        <v>359</v>
      </c>
      <c r="IA1" s="9" t="s">
        <v>360</v>
      </c>
      <c r="IB1" s="9" t="s">
        <v>361</v>
      </c>
      <c r="IC1" s="9" t="s">
        <v>362</v>
      </c>
      <c r="ID1" s="9" t="s">
        <v>363</v>
      </c>
      <c r="IE1" s="9" t="s">
        <v>364</v>
      </c>
      <c r="IF1" s="9" t="s">
        <v>281</v>
      </c>
      <c r="IG1" s="9" t="s">
        <v>282</v>
      </c>
      <c r="IH1" s="9" t="s">
        <v>283</v>
      </c>
      <c r="II1" s="9" t="s">
        <v>278</v>
      </c>
      <c r="IJ1" s="9" t="s">
        <v>279</v>
      </c>
      <c r="IK1" s="9" t="s">
        <v>280</v>
      </c>
      <c r="IL1" s="8" t="s">
        <v>284</v>
      </c>
      <c r="IM1" s="8" t="s">
        <v>285</v>
      </c>
      <c r="IN1" s="8" t="s">
        <v>286</v>
      </c>
      <c r="IO1" s="8" t="s">
        <v>399</v>
      </c>
      <c r="IP1" s="8" t="s">
        <v>365</v>
      </c>
      <c r="IQ1" s="8" t="s">
        <v>366</v>
      </c>
      <c r="IR1" s="8" t="s">
        <v>367</v>
      </c>
      <c r="IS1" s="8" t="s">
        <v>400</v>
      </c>
    </row>
    <row r="2" spans="1:253" x14ac:dyDescent="0.25">
      <c r="A2" s="10">
        <v>44172</v>
      </c>
      <c r="B2" s="660">
        <v>10</v>
      </c>
      <c r="C2" s="660">
        <v>10</v>
      </c>
      <c r="D2" s="660">
        <v>10</v>
      </c>
      <c r="E2" s="660">
        <v>10</v>
      </c>
      <c r="F2" s="660">
        <v>10</v>
      </c>
      <c r="G2" s="660">
        <v>10</v>
      </c>
      <c r="H2" s="660">
        <v>10</v>
      </c>
      <c r="I2" s="660">
        <v>10</v>
      </c>
      <c r="J2" s="660">
        <v>10</v>
      </c>
      <c r="K2" s="660">
        <v>10</v>
      </c>
      <c r="L2" s="660">
        <v>10</v>
      </c>
      <c r="M2" s="660">
        <v>10</v>
      </c>
      <c r="N2" s="660">
        <v>10</v>
      </c>
      <c r="O2" s="660">
        <v>10</v>
      </c>
      <c r="P2" s="660">
        <v>10</v>
      </c>
      <c r="Q2" s="660">
        <v>10</v>
      </c>
      <c r="R2" s="660">
        <v>10</v>
      </c>
      <c r="S2" s="660">
        <v>10</v>
      </c>
      <c r="T2" s="660">
        <v>10</v>
      </c>
      <c r="U2" s="660">
        <v>10</v>
      </c>
      <c r="V2" s="660">
        <v>10</v>
      </c>
      <c r="W2" s="660">
        <v>10</v>
      </c>
      <c r="X2" s="660">
        <v>10</v>
      </c>
      <c r="Y2" s="660">
        <v>10</v>
      </c>
      <c r="Z2" s="660">
        <v>10</v>
      </c>
      <c r="AA2" s="660">
        <v>10</v>
      </c>
      <c r="AB2" s="660">
        <v>10</v>
      </c>
      <c r="AC2" s="660">
        <v>10</v>
      </c>
      <c r="AD2" s="660">
        <v>10</v>
      </c>
      <c r="AE2" s="660">
        <v>10</v>
      </c>
      <c r="AF2" s="660">
        <v>10</v>
      </c>
      <c r="AG2" s="660">
        <v>10</v>
      </c>
      <c r="AH2" s="660">
        <v>10</v>
      </c>
      <c r="AI2" s="660">
        <v>10</v>
      </c>
      <c r="AJ2" s="660">
        <v>10</v>
      </c>
      <c r="AK2" s="660">
        <v>10</v>
      </c>
      <c r="AL2" s="660">
        <v>10</v>
      </c>
      <c r="AM2" s="660">
        <v>10</v>
      </c>
      <c r="AN2" s="660">
        <v>10</v>
      </c>
      <c r="AO2" s="660">
        <v>10</v>
      </c>
      <c r="AP2" s="11">
        <v>60</v>
      </c>
      <c r="AQ2" s="11">
        <v>60</v>
      </c>
      <c r="AR2" s="11">
        <v>60</v>
      </c>
      <c r="AS2" s="11">
        <v>60</v>
      </c>
      <c r="AT2" s="11">
        <v>60</v>
      </c>
      <c r="AU2" s="11">
        <v>60</v>
      </c>
      <c r="AV2" s="11">
        <v>60</v>
      </c>
      <c r="AW2" s="11">
        <v>60</v>
      </c>
      <c r="AX2" s="11">
        <v>60</v>
      </c>
      <c r="AY2" s="11">
        <v>60</v>
      </c>
      <c r="AZ2" s="11">
        <v>60</v>
      </c>
      <c r="BA2" s="11">
        <v>60</v>
      </c>
      <c r="BB2" s="11">
        <v>60</v>
      </c>
      <c r="BC2" s="11">
        <v>60</v>
      </c>
      <c r="BD2" s="11">
        <v>60</v>
      </c>
      <c r="BE2" s="11">
        <v>60</v>
      </c>
      <c r="BF2" s="11">
        <v>60</v>
      </c>
      <c r="BG2" s="11">
        <v>60</v>
      </c>
      <c r="BH2" s="11">
        <v>60</v>
      </c>
      <c r="BI2" s="11">
        <v>60</v>
      </c>
      <c r="BJ2" s="11">
        <v>60</v>
      </c>
      <c r="BK2" s="11">
        <v>60</v>
      </c>
      <c r="BL2" s="11">
        <v>60</v>
      </c>
      <c r="BM2" s="11">
        <v>60</v>
      </c>
      <c r="BN2" s="552">
        <v>57.36</v>
      </c>
      <c r="BO2" s="300">
        <v>67.290000000000006</v>
      </c>
      <c r="BP2" s="300">
        <v>68.349999999999994</v>
      </c>
      <c r="BQ2" s="301">
        <v>69.09</v>
      </c>
      <c r="BR2" s="301">
        <v>72.12</v>
      </c>
      <c r="BS2" s="660">
        <v>80.92</v>
      </c>
      <c r="BT2" s="11">
        <v>240</v>
      </c>
      <c r="BU2" s="11">
        <v>240</v>
      </c>
      <c r="BV2" s="11">
        <v>240</v>
      </c>
      <c r="BW2" s="11">
        <v>240</v>
      </c>
      <c r="BX2" s="12">
        <v>0</v>
      </c>
      <c r="BY2" s="12">
        <v>0</v>
      </c>
      <c r="BZ2" s="12">
        <v>0</v>
      </c>
      <c r="CA2" s="12">
        <v>0</v>
      </c>
      <c r="CB2" s="12">
        <v>0</v>
      </c>
      <c r="CC2" s="12">
        <v>0</v>
      </c>
      <c r="CD2" s="12">
        <v>0</v>
      </c>
      <c r="CE2" s="12">
        <v>0</v>
      </c>
      <c r="CF2" s="12">
        <v>0</v>
      </c>
      <c r="CG2" s="12">
        <v>0</v>
      </c>
      <c r="CH2" s="12">
        <v>0</v>
      </c>
      <c r="CI2" s="12">
        <v>0</v>
      </c>
      <c r="CJ2" s="12">
        <v>0</v>
      </c>
      <c r="CK2" s="12">
        <v>0</v>
      </c>
      <c r="CL2" s="12">
        <v>0</v>
      </c>
      <c r="CM2" s="12">
        <v>0</v>
      </c>
      <c r="CN2" s="12">
        <v>0</v>
      </c>
      <c r="CO2" s="12">
        <v>0</v>
      </c>
      <c r="CP2" s="12">
        <v>0</v>
      </c>
      <c r="CQ2" s="12">
        <v>0</v>
      </c>
      <c r="CR2" s="12">
        <v>0</v>
      </c>
      <c r="CS2" s="12">
        <v>0</v>
      </c>
      <c r="CT2" s="12">
        <v>0</v>
      </c>
      <c r="CU2" s="12">
        <v>0</v>
      </c>
      <c r="CV2" s="12">
        <v>0</v>
      </c>
      <c r="CW2" s="12">
        <v>0</v>
      </c>
      <c r="CX2" s="12">
        <v>0</v>
      </c>
      <c r="CY2" s="12">
        <v>0</v>
      </c>
      <c r="CZ2" s="12">
        <v>0</v>
      </c>
      <c r="DA2" s="12">
        <v>0</v>
      </c>
      <c r="DB2" s="12">
        <v>0</v>
      </c>
      <c r="DC2" s="12">
        <v>0</v>
      </c>
      <c r="DD2" s="12">
        <v>0</v>
      </c>
      <c r="DE2" s="12">
        <v>0</v>
      </c>
      <c r="DF2" s="12">
        <v>0</v>
      </c>
      <c r="DG2" s="12">
        <v>0</v>
      </c>
      <c r="DH2" s="12">
        <v>0</v>
      </c>
      <c r="DI2" s="12">
        <v>0</v>
      </c>
      <c r="DJ2" s="12">
        <v>0</v>
      </c>
      <c r="DK2" s="12">
        <v>0</v>
      </c>
      <c r="DL2" s="12">
        <v>0</v>
      </c>
      <c r="DM2" s="12">
        <v>0</v>
      </c>
      <c r="DN2" s="12">
        <v>0</v>
      </c>
      <c r="DO2" s="12">
        <v>0</v>
      </c>
      <c r="DP2" s="12">
        <v>0</v>
      </c>
      <c r="DQ2" s="12">
        <v>0</v>
      </c>
      <c r="DR2" s="12">
        <v>0</v>
      </c>
      <c r="DS2" s="12">
        <v>0</v>
      </c>
      <c r="DT2" s="12">
        <v>0</v>
      </c>
      <c r="DU2" s="12">
        <v>0</v>
      </c>
      <c r="DV2" s="12">
        <v>0</v>
      </c>
      <c r="DW2" s="12">
        <v>0</v>
      </c>
      <c r="DX2" s="12">
        <v>0</v>
      </c>
      <c r="DY2" s="12">
        <v>0</v>
      </c>
      <c r="DZ2" s="12">
        <v>0</v>
      </c>
      <c r="EA2" s="12">
        <v>0</v>
      </c>
      <c r="EB2" s="12">
        <v>0</v>
      </c>
      <c r="EC2" s="12">
        <v>0</v>
      </c>
      <c r="ED2" s="12">
        <v>0</v>
      </c>
      <c r="EE2" s="12">
        <v>0</v>
      </c>
      <c r="EF2" s="12">
        <v>0</v>
      </c>
      <c r="EG2" s="12">
        <v>0</v>
      </c>
      <c r="EH2" s="12">
        <v>0</v>
      </c>
      <c r="EI2" s="12">
        <v>0</v>
      </c>
      <c r="EJ2" s="730">
        <v>2.6481346013167522</v>
      </c>
      <c r="EK2" s="731">
        <v>2.4403771491957849</v>
      </c>
      <c r="EL2" s="731">
        <v>2.3881893182805034</v>
      </c>
      <c r="EM2" s="731">
        <v>2.3850716757291153</v>
      </c>
      <c r="EN2" s="732">
        <v>2.179218967921897</v>
      </c>
      <c r="EO2" s="732">
        <v>2.0508247882300488</v>
      </c>
      <c r="EP2" s="12">
        <v>0</v>
      </c>
      <c r="EQ2" s="12">
        <v>0</v>
      </c>
      <c r="ER2" s="12">
        <v>0</v>
      </c>
      <c r="ES2" s="12">
        <v>0</v>
      </c>
      <c r="ET2" s="660">
        <v>200</v>
      </c>
      <c r="EU2" s="11">
        <v>720</v>
      </c>
      <c r="EV2" s="300">
        <v>334.21000000000004</v>
      </c>
      <c r="EW2" s="12">
        <v>0</v>
      </c>
      <c r="EX2" s="12">
        <v>0</v>
      </c>
      <c r="EY2" s="731">
        <v>12.040991712444054</v>
      </c>
      <c r="EZ2" s="11">
        <v>1254.21</v>
      </c>
      <c r="FA2" s="742">
        <v>12.040991712444054</v>
      </c>
      <c r="FB2" s="660">
        <v>400</v>
      </c>
      <c r="FC2" s="11">
        <v>1440</v>
      </c>
      <c r="FD2" s="11">
        <v>1375.13</v>
      </c>
      <c r="FE2" s="12">
        <v>0</v>
      </c>
      <c r="FF2" s="12">
        <v>0</v>
      </c>
      <c r="FG2" s="744">
        <v>14.091816500674103</v>
      </c>
      <c r="FH2" s="11">
        <v>3215.13</v>
      </c>
      <c r="FI2" s="742">
        <v>14.091816500674103</v>
      </c>
      <c r="FJ2" s="13">
        <v>0</v>
      </c>
      <c r="FK2" s="13">
        <v>0</v>
      </c>
      <c r="FL2" s="13">
        <v>0</v>
      </c>
      <c r="FM2" s="13">
        <v>0</v>
      </c>
      <c r="FN2" s="13">
        <v>0</v>
      </c>
      <c r="FO2" s="13">
        <v>0</v>
      </c>
      <c r="FP2" s="13">
        <v>0</v>
      </c>
      <c r="FQ2" s="13">
        <v>0</v>
      </c>
      <c r="FR2" s="13">
        <v>0</v>
      </c>
      <c r="FS2" s="13">
        <v>0</v>
      </c>
      <c r="FT2" s="13">
        <v>0</v>
      </c>
      <c r="FU2" s="13">
        <v>0</v>
      </c>
      <c r="FV2" s="13">
        <v>0</v>
      </c>
      <c r="FW2" s="13">
        <v>0</v>
      </c>
      <c r="FX2" s="13">
        <v>0</v>
      </c>
      <c r="FY2" s="13">
        <v>0</v>
      </c>
      <c r="FZ2" s="13">
        <v>0</v>
      </c>
      <c r="GA2" s="13">
        <v>0</v>
      </c>
      <c r="GB2" s="13">
        <v>0</v>
      </c>
      <c r="GC2" s="13">
        <v>0</v>
      </c>
      <c r="GD2" s="13">
        <v>0</v>
      </c>
      <c r="GE2" s="13">
        <v>0</v>
      </c>
      <c r="GF2" s="13">
        <v>0</v>
      </c>
      <c r="GG2" s="13">
        <v>0</v>
      </c>
      <c r="GH2" s="13">
        <v>0</v>
      </c>
      <c r="GI2" s="13">
        <v>0</v>
      </c>
      <c r="GJ2" s="13">
        <v>0</v>
      </c>
      <c r="GK2" s="13">
        <v>0</v>
      </c>
      <c r="GL2" s="13">
        <v>0</v>
      </c>
      <c r="GM2" s="13">
        <v>0</v>
      </c>
      <c r="GN2" s="13">
        <v>0</v>
      </c>
      <c r="GO2" s="13">
        <v>0</v>
      </c>
      <c r="GP2" s="13">
        <v>0</v>
      </c>
      <c r="GQ2" s="13">
        <v>0</v>
      </c>
      <c r="GR2" s="13">
        <v>0</v>
      </c>
      <c r="GS2" s="13">
        <v>0</v>
      </c>
      <c r="GT2" s="13">
        <v>0</v>
      </c>
      <c r="GU2" s="13">
        <v>0</v>
      </c>
      <c r="GV2" s="13">
        <v>0</v>
      </c>
      <c r="GW2" s="13">
        <v>0</v>
      </c>
      <c r="GX2" s="13">
        <v>0</v>
      </c>
      <c r="GY2" s="13">
        <v>0</v>
      </c>
      <c r="GZ2" s="13">
        <v>0</v>
      </c>
      <c r="HA2" s="13">
        <v>0</v>
      </c>
      <c r="HB2" s="13">
        <v>0</v>
      </c>
      <c r="HC2" s="13">
        <v>0</v>
      </c>
      <c r="HD2" s="13">
        <v>0</v>
      </c>
      <c r="HE2" s="13">
        <v>0</v>
      </c>
      <c r="HF2" s="13">
        <v>0</v>
      </c>
      <c r="HG2" s="13">
        <v>0</v>
      </c>
      <c r="HH2" s="13">
        <v>0</v>
      </c>
      <c r="HI2" s="13">
        <v>0</v>
      </c>
      <c r="HJ2" s="13">
        <v>0</v>
      </c>
      <c r="HK2" s="13">
        <v>0</v>
      </c>
      <c r="HL2" s="13">
        <v>0</v>
      </c>
      <c r="HM2" s="13">
        <v>0</v>
      </c>
      <c r="HN2" s="13">
        <v>0</v>
      </c>
      <c r="HO2" s="13">
        <v>0</v>
      </c>
      <c r="HP2" s="13">
        <v>0</v>
      </c>
      <c r="HQ2" s="13">
        <v>0</v>
      </c>
      <c r="HR2" s="13">
        <v>0</v>
      </c>
      <c r="HS2" s="13">
        <v>0</v>
      </c>
      <c r="HT2" s="13">
        <v>0</v>
      </c>
      <c r="HU2" s="13">
        <v>0</v>
      </c>
      <c r="HV2" s="745">
        <v>59.856779701767707</v>
      </c>
      <c r="HW2" s="746">
        <v>55.688398152649022</v>
      </c>
      <c r="HX2" s="746">
        <v>53.575763889923095</v>
      </c>
      <c r="HY2" s="746">
        <v>53.126132666850488</v>
      </c>
      <c r="HZ2" s="747">
        <v>47.901882196366792</v>
      </c>
      <c r="IA2" s="747">
        <v>46.865520375679978</v>
      </c>
      <c r="IB2" s="13">
        <v>0</v>
      </c>
      <c r="IC2" s="13">
        <v>0</v>
      </c>
      <c r="ID2" s="13">
        <v>0</v>
      </c>
      <c r="IE2" s="13">
        <v>0</v>
      </c>
      <c r="IF2" s="13">
        <v>0</v>
      </c>
      <c r="IG2" s="13">
        <v>0</v>
      </c>
      <c r="IH2" s="751">
        <v>317.01447698323705</v>
      </c>
      <c r="II2" s="13">
        <v>0</v>
      </c>
      <c r="IJ2" s="13">
        <v>0</v>
      </c>
      <c r="IK2" s="746">
        <v>270.14895660755707</v>
      </c>
      <c r="IL2" s="8">
        <v>0</v>
      </c>
      <c r="IM2" s="8">
        <v>0</v>
      </c>
      <c r="IN2" s="8">
        <v>1.946597257794203</v>
      </c>
      <c r="IO2" s="8">
        <v>0</v>
      </c>
      <c r="IP2" s="8">
        <v>0</v>
      </c>
      <c r="IQ2" s="8">
        <v>0</v>
      </c>
      <c r="IR2" s="8">
        <v>0.32486454645778584</v>
      </c>
      <c r="IS2" s="8">
        <v>0</v>
      </c>
    </row>
    <row r="3" spans="1:253" x14ac:dyDescent="0.25">
      <c r="A3" s="10">
        <v>44165</v>
      </c>
      <c r="B3" s="293">
        <v>3.23</v>
      </c>
      <c r="C3" s="293">
        <v>3.38</v>
      </c>
      <c r="D3" s="293">
        <v>3.45</v>
      </c>
      <c r="E3" s="551">
        <v>3.51</v>
      </c>
      <c r="F3" s="551">
        <v>3.56</v>
      </c>
      <c r="G3" s="551">
        <v>3.59</v>
      </c>
      <c r="H3" s="551">
        <v>3.66</v>
      </c>
      <c r="I3" s="551">
        <v>3.67</v>
      </c>
      <c r="J3" s="551">
        <v>3.8</v>
      </c>
      <c r="K3" s="555">
        <v>4.03</v>
      </c>
      <c r="L3" s="555">
        <v>4.07</v>
      </c>
      <c r="M3" s="555">
        <v>4.08</v>
      </c>
      <c r="N3" s="555">
        <v>4.13</v>
      </c>
      <c r="O3" s="555">
        <v>4.1900000000000004</v>
      </c>
      <c r="P3" s="555">
        <v>4.3</v>
      </c>
      <c r="Q3" s="553">
        <v>4.51</v>
      </c>
      <c r="R3" s="553">
        <v>4.62</v>
      </c>
      <c r="S3" s="553">
        <v>4.62</v>
      </c>
      <c r="T3" s="553">
        <v>4.6399999999999997</v>
      </c>
      <c r="U3" s="553">
        <v>4.6900000000000004</v>
      </c>
      <c r="V3" s="553">
        <v>4.71</v>
      </c>
      <c r="W3" s="553">
        <v>4.72</v>
      </c>
      <c r="X3" s="553">
        <v>4.76</v>
      </c>
      <c r="Y3" s="553">
        <v>4.79</v>
      </c>
      <c r="Z3" s="553">
        <v>4.82</v>
      </c>
      <c r="AA3" s="553">
        <v>4.91</v>
      </c>
      <c r="AB3" s="553">
        <v>4.93</v>
      </c>
      <c r="AC3" s="553">
        <v>4.97</v>
      </c>
      <c r="AD3" s="553">
        <v>4.9800000000000004</v>
      </c>
      <c r="AE3" s="553">
        <v>4.9800000000000004</v>
      </c>
      <c r="AF3" s="556">
        <v>5.01</v>
      </c>
      <c r="AG3" s="556">
        <v>5.03</v>
      </c>
      <c r="AH3" s="556">
        <v>5.0599999999999996</v>
      </c>
      <c r="AI3" s="556">
        <v>5.07</v>
      </c>
      <c r="AJ3" s="556">
        <v>5.2</v>
      </c>
      <c r="AK3" s="556">
        <v>5.26</v>
      </c>
      <c r="AL3" s="556">
        <v>5.42</v>
      </c>
      <c r="AM3" s="556">
        <v>5.49</v>
      </c>
      <c r="AN3" s="552">
        <v>5.52</v>
      </c>
      <c r="AO3" s="552">
        <v>5.58</v>
      </c>
      <c r="AP3" s="551">
        <v>13.41</v>
      </c>
      <c r="AQ3" s="301">
        <v>22.2</v>
      </c>
      <c r="AR3" s="301">
        <v>22.43</v>
      </c>
      <c r="AS3" s="301">
        <v>22.82</v>
      </c>
      <c r="AT3" s="301">
        <v>22.84</v>
      </c>
      <c r="AU3" s="301">
        <v>22.95</v>
      </c>
      <c r="AV3" s="301">
        <v>23.13</v>
      </c>
      <c r="AW3" s="302">
        <v>25</v>
      </c>
      <c r="AX3" s="302">
        <v>25.36</v>
      </c>
      <c r="AY3" s="660">
        <v>26.59</v>
      </c>
      <c r="AZ3" s="660">
        <v>27.28</v>
      </c>
      <c r="BA3" s="660">
        <v>27.92</v>
      </c>
      <c r="BB3" s="659">
        <v>28.3</v>
      </c>
      <c r="BC3" s="659">
        <v>28.68</v>
      </c>
      <c r="BD3" s="659">
        <v>29.36</v>
      </c>
      <c r="BE3" s="11">
        <v>30.26</v>
      </c>
      <c r="BF3" s="11">
        <v>60</v>
      </c>
      <c r="BG3" s="11">
        <v>60</v>
      </c>
      <c r="BH3" s="11">
        <v>60</v>
      </c>
      <c r="BI3" s="11">
        <v>60</v>
      </c>
      <c r="BJ3" s="11">
        <v>60</v>
      </c>
      <c r="BK3" s="11">
        <v>60</v>
      </c>
      <c r="BL3" s="11">
        <v>60</v>
      </c>
      <c r="BM3" s="11">
        <v>60</v>
      </c>
      <c r="BN3" s="297">
        <v>59.06</v>
      </c>
      <c r="BO3" s="299">
        <v>65.510000000000005</v>
      </c>
      <c r="BP3" s="301">
        <v>73.81</v>
      </c>
      <c r="BQ3" s="302">
        <v>75.45</v>
      </c>
      <c r="BR3" s="302">
        <v>77.459999999999994</v>
      </c>
      <c r="BS3" s="302">
        <v>78.17</v>
      </c>
      <c r="BT3" s="660">
        <v>80.37</v>
      </c>
      <c r="BU3" s="660">
        <v>80.86</v>
      </c>
      <c r="BV3" s="660">
        <v>83.41</v>
      </c>
      <c r="BW3" s="660">
        <v>83.5</v>
      </c>
      <c r="BX3" s="733">
        <v>4.3343653250773997</v>
      </c>
      <c r="BY3" s="14">
        <v>4.1420118343195265</v>
      </c>
      <c r="BZ3" s="734">
        <v>3.9419087136929458</v>
      </c>
      <c r="CA3" s="734">
        <v>3.8768529076396807</v>
      </c>
      <c r="CB3" s="734">
        <v>3.8216560509554141</v>
      </c>
      <c r="CC3" s="734">
        <v>3.8147138964577656</v>
      </c>
      <c r="CD3" s="734">
        <v>3.7868162692847127</v>
      </c>
      <c r="CE3" s="735">
        <v>3.7220843672456572</v>
      </c>
      <c r="CF3" s="735">
        <v>3.6809815950920246</v>
      </c>
      <c r="CG3" s="735">
        <v>3.664921465968586</v>
      </c>
      <c r="CH3" s="735">
        <v>3.6390101892285296</v>
      </c>
      <c r="CI3" s="735">
        <v>3.5842293906810037</v>
      </c>
      <c r="CJ3" s="735">
        <v>3.5493827160493825</v>
      </c>
      <c r="CK3" s="735">
        <v>3.5476718403547673</v>
      </c>
      <c r="CL3" s="735">
        <v>3.5398230088495573</v>
      </c>
      <c r="CM3" s="736">
        <v>3.4883720930232558</v>
      </c>
      <c r="CN3" s="736">
        <v>3.4482758620689653</v>
      </c>
      <c r="CO3" s="736">
        <v>3.3773861967694567</v>
      </c>
      <c r="CP3" s="736">
        <v>3.3141210374639769</v>
      </c>
      <c r="CQ3" s="736">
        <v>3.2608695652173916</v>
      </c>
      <c r="CR3" s="736">
        <v>3.2586558044806515</v>
      </c>
      <c r="CS3" s="737">
        <v>3.2467532467532467</v>
      </c>
      <c r="CT3" s="737">
        <v>3.2467532467532467</v>
      </c>
      <c r="CU3" s="737">
        <v>3.2128514056224895</v>
      </c>
      <c r="CV3" s="737">
        <v>3.1855955678670362</v>
      </c>
      <c r="CW3" s="737">
        <v>3.180914512922465</v>
      </c>
      <c r="CX3" s="737">
        <v>3.1634446397188047</v>
      </c>
      <c r="CY3" s="737">
        <v>3.1531531531531529</v>
      </c>
      <c r="CZ3" s="737">
        <v>3.1298904538341161</v>
      </c>
      <c r="DA3" s="737">
        <v>3.125</v>
      </c>
      <c r="DB3" s="737">
        <v>3.1205673758865249</v>
      </c>
      <c r="DC3" s="737">
        <v>3.0959752321981426</v>
      </c>
      <c r="DD3" s="737">
        <v>3.0640668523676879</v>
      </c>
      <c r="DE3" s="737">
        <v>3.0562347188264058</v>
      </c>
      <c r="DF3" s="737">
        <v>3.0497592295345104</v>
      </c>
      <c r="DG3" s="737">
        <v>3.0456852791878171</v>
      </c>
      <c r="DH3" s="737">
        <v>3.0450669914738122</v>
      </c>
      <c r="DI3" s="737">
        <v>3.0441400304414001</v>
      </c>
      <c r="DJ3" s="737">
        <v>3.018108651911469</v>
      </c>
      <c r="DK3" s="737">
        <v>3.0054644808743167</v>
      </c>
      <c r="DL3" s="737">
        <v>3.0802292263610314</v>
      </c>
      <c r="DM3" s="738">
        <v>2.9411764705882351</v>
      </c>
      <c r="DN3" s="738">
        <v>2.88</v>
      </c>
      <c r="DO3" s="738">
        <v>2.8458844133099825</v>
      </c>
      <c r="DP3" s="738">
        <v>2.8322440087145972</v>
      </c>
      <c r="DQ3" s="738">
        <v>2.8102031993082579</v>
      </c>
      <c r="DR3" s="738">
        <v>2.7561837455830389</v>
      </c>
      <c r="DS3" s="730">
        <v>2.7492668621700878</v>
      </c>
      <c r="DT3" s="730">
        <v>2.7196652719665271</v>
      </c>
      <c r="DU3" s="730">
        <v>2.6576576576576576</v>
      </c>
      <c r="DV3" s="730">
        <v>2.6304057066428892</v>
      </c>
      <c r="DW3" s="731">
        <v>2.4842271293375395</v>
      </c>
      <c r="DX3" s="731">
        <v>2.4821361414065439</v>
      </c>
      <c r="DY3" s="731">
        <v>2.3225241016652061</v>
      </c>
      <c r="DZ3" s="731">
        <v>2.2820163487738419</v>
      </c>
      <c r="EA3" s="732">
        <v>2.2371364653243848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730">
        <v>2.7376231290776514</v>
      </c>
      <c r="EK3" s="730">
        <v>2.5579854208084822</v>
      </c>
      <c r="EL3" s="730">
        <v>2.5397900440230274</v>
      </c>
      <c r="EM3" s="730">
        <v>2.533964280262555</v>
      </c>
      <c r="EN3" s="731">
        <v>2.401239349341596</v>
      </c>
      <c r="EO3" s="731">
        <v>2.3498381489030091</v>
      </c>
      <c r="EP3" s="731">
        <v>2.2761143476493699</v>
      </c>
      <c r="EQ3" s="732">
        <v>2.2384368043532032</v>
      </c>
      <c r="ER3" s="732">
        <v>2.1197604790419162</v>
      </c>
      <c r="ES3" s="739">
        <v>1.9907925842976233</v>
      </c>
      <c r="ET3" s="551">
        <v>79.72999999999999</v>
      </c>
      <c r="EU3" s="301">
        <v>281.93</v>
      </c>
      <c r="EV3" s="301">
        <v>351.28999999999996</v>
      </c>
      <c r="EW3" s="735">
        <v>73.53545432544</v>
      </c>
      <c r="EX3" s="738">
        <v>33.387143691639842</v>
      </c>
      <c r="EY3" s="730">
        <v>12.770602223513313</v>
      </c>
      <c r="EZ3" s="299">
        <v>712.94999999999993</v>
      </c>
      <c r="FA3" s="737">
        <v>119.69320024059316</v>
      </c>
      <c r="FB3" s="553">
        <v>180.94</v>
      </c>
      <c r="FC3" s="11">
        <v>878.53</v>
      </c>
      <c r="FD3" s="302">
        <v>757.59999999999991</v>
      </c>
      <c r="FE3" s="736">
        <v>135.98353519924731</v>
      </c>
      <c r="FF3" s="739">
        <v>42.710956748809821</v>
      </c>
      <c r="FG3" s="731">
        <v>23.745544587758431</v>
      </c>
      <c r="FH3" s="660">
        <v>1817.07</v>
      </c>
      <c r="FI3" s="730">
        <v>202.44003653581558</v>
      </c>
      <c r="FJ3" s="748">
        <v>90.226831533127054</v>
      </c>
      <c r="FK3" s="749">
        <v>83.525984670035925</v>
      </c>
      <c r="FL3" s="750">
        <v>66.362790514966761</v>
      </c>
      <c r="FM3" s="745">
        <v>62.004840531454725</v>
      </c>
      <c r="FN3" s="745">
        <v>61.092644106441497</v>
      </c>
      <c r="FO3" s="745">
        <v>59.435626311843862</v>
      </c>
      <c r="FP3" s="745">
        <v>59.235775910526037</v>
      </c>
      <c r="FQ3" s="745">
        <v>58.461751207643687</v>
      </c>
      <c r="FR3" s="745">
        <v>57.618174868702965</v>
      </c>
      <c r="FS3" s="745">
        <v>57.322721208994281</v>
      </c>
      <c r="FT3" s="745">
        <v>57.057446914571834</v>
      </c>
      <c r="FU3" s="746">
        <v>55.953835400403605</v>
      </c>
      <c r="FV3" s="746">
        <v>54.624435559237625</v>
      </c>
      <c r="FW3" s="746">
        <v>53.77897615352893</v>
      </c>
      <c r="FX3" s="746">
        <v>52.608008240236074</v>
      </c>
      <c r="FY3" s="746">
        <v>52.608008240236074</v>
      </c>
      <c r="FZ3" s="746">
        <v>51.075002472529881</v>
      </c>
      <c r="GA3" s="746">
        <v>50.886644765490416</v>
      </c>
      <c r="GB3" s="746">
        <v>50.598006323416776</v>
      </c>
      <c r="GC3" s="747">
        <v>49.39489412719351</v>
      </c>
      <c r="GD3" s="747">
        <v>48.563096096082205</v>
      </c>
      <c r="GE3" s="747">
        <v>46.864316557658505</v>
      </c>
      <c r="GF3" s="747">
        <v>46.679861227632038</v>
      </c>
      <c r="GG3" s="747">
        <v>46.647463322995016</v>
      </c>
      <c r="GH3" s="747">
        <v>46.466221373377614</v>
      </c>
      <c r="GI3" s="747">
        <v>46.175288951887218</v>
      </c>
      <c r="GJ3" s="747">
        <v>45.83730590910794</v>
      </c>
      <c r="GK3" s="747">
        <v>45.549205388541822</v>
      </c>
      <c r="GL3" s="747">
        <v>45.383949256682754</v>
      </c>
      <c r="GM3" s="747">
        <v>45.285954132315617</v>
      </c>
      <c r="GN3" s="747">
        <v>45.260020289004274</v>
      </c>
      <c r="GO3" s="747">
        <v>44.70197264183588</v>
      </c>
      <c r="GP3" s="747">
        <v>44.66481244051338</v>
      </c>
      <c r="GQ3" s="747">
        <v>44.30304850463564</v>
      </c>
      <c r="GR3" s="747">
        <v>43.963667394453807</v>
      </c>
      <c r="GS3" s="747">
        <v>43.850315363150827</v>
      </c>
      <c r="GT3" s="747">
        <v>43.505229425473317</v>
      </c>
      <c r="GU3" s="747">
        <v>43.324113177104735</v>
      </c>
      <c r="GV3" s="747">
        <v>42.065312149912714</v>
      </c>
      <c r="GW3" s="747">
        <v>41.92436214138727</v>
      </c>
      <c r="GX3" s="746">
        <v>55.879300319657602</v>
      </c>
      <c r="GY3" s="747">
        <v>48.965321970813235</v>
      </c>
      <c r="GZ3" s="747">
        <v>48.567014901888946</v>
      </c>
      <c r="HA3" s="747">
        <v>47.926245504251376</v>
      </c>
      <c r="HB3" s="747">
        <v>46.6455890985522</v>
      </c>
      <c r="HC3" s="747">
        <v>46.515008951538185</v>
      </c>
      <c r="HD3" s="747">
        <v>46.046950580477159</v>
      </c>
      <c r="HE3" s="747">
        <v>45.835383957364655</v>
      </c>
      <c r="HF3" s="747">
        <v>41.771922963545954</v>
      </c>
      <c r="HG3" s="747">
        <v>41.559610011653056</v>
      </c>
      <c r="HH3" s="747">
        <v>40.814670004188038</v>
      </c>
      <c r="HI3" s="747">
        <v>39.985074418355779</v>
      </c>
      <c r="HJ3" s="747">
        <v>39.899612691577076</v>
      </c>
      <c r="HK3" s="747">
        <v>39.723312145472796</v>
      </c>
      <c r="HL3" s="747">
        <v>38.395593869082433</v>
      </c>
      <c r="HM3" s="751">
        <v>32.934277672695337</v>
      </c>
      <c r="HN3" s="13">
        <v>0</v>
      </c>
      <c r="HO3" s="13">
        <v>0</v>
      </c>
      <c r="HP3" s="13">
        <v>0</v>
      </c>
      <c r="HQ3" s="13">
        <v>0</v>
      </c>
      <c r="HR3" s="13">
        <v>0</v>
      </c>
      <c r="HS3" s="13">
        <v>0</v>
      </c>
      <c r="HT3" s="13">
        <v>0</v>
      </c>
      <c r="HU3" s="13">
        <v>0</v>
      </c>
      <c r="HV3" s="750">
        <v>63.589097601777198</v>
      </c>
      <c r="HW3" s="745">
        <v>59.003180759393494</v>
      </c>
      <c r="HX3" s="745">
        <v>56.329492483465309</v>
      </c>
      <c r="HY3" s="746">
        <v>53.954397766405044</v>
      </c>
      <c r="HZ3" s="747">
        <v>49.724618758024377</v>
      </c>
      <c r="IA3" s="747">
        <v>48.753263018199</v>
      </c>
      <c r="IB3" s="747">
        <v>46.203568646538827</v>
      </c>
      <c r="IC3" s="747">
        <v>44.980209855120826</v>
      </c>
      <c r="ID3" s="747">
        <v>41.648226569970198</v>
      </c>
      <c r="IE3" s="747">
        <v>40.174501060332155</v>
      </c>
      <c r="IF3" s="746">
        <v>2084.8879148043343</v>
      </c>
      <c r="IG3" s="751">
        <v>701.46488906111381</v>
      </c>
      <c r="IH3" s="746">
        <v>504.36055651922641</v>
      </c>
      <c r="II3" s="745">
        <v>1183.8723990605818</v>
      </c>
      <c r="IJ3" s="747">
        <v>550.51209268228615</v>
      </c>
      <c r="IK3" s="745">
        <v>282.60078736906542</v>
      </c>
      <c r="IL3" s="8">
        <v>0.70082963512983165</v>
      </c>
      <c r="IM3" s="8">
        <v>1.1019875115117264</v>
      </c>
      <c r="IN3" s="8">
        <v>2.0547025213026275</v>
      </c>
      <c r="IO3" s="8">
        <v>1.1663960177538146</v>
      </c>
      <c r="IP3" s="8">
        <v>0.50284832103664112</v>
      </c>
      <c r="IQ3" s="8">
        <v>0.28822422525476143</v>
      </c>
      <c r="IR3" s="8">
        <v>1.5808231366333088</v>
      </c>
      <c r="IS3" s="8">
        <v>0.61190441887767444</v>
      </c>
    </row>
    <row r="4" spans="1:253" x14ac:dyDescent="0.25">
      <c r="A4" s="10">
        <v>44158</v>
      </c>
      <c r="B4" s="299">
        <v>7.03</v>
      </c>
      <c r="C4" s="660">
        <v>10</v>
      </c>
      <c r="D4" s="660">
        <v>10</v>
      </c>
      <c r="E4" s="660">
        <v>10</v>
      </c>
      <c r="F4" s="660">
        <v>10</v>
      </c>
      <c r="G4" s="660">
        <v>10</v>
      </c>
      <c r="H4" s="660">
        <v>10</v>
      </c>
      <c r="I4" s="660">
        <v>10</v>
      </c>
      <c r="J4" s="660">
        <v>10</v>
      </c>
      <c r="K4" s="660">
        <v>10</v>
      </c>
      <c r="L4" s="660">
        <v>10</v>
      </c>
      <c r="M4" s="660">
        <v>10</v>
      </c>
      <c r="N4" s="660">
        <v>10</v>
      </c>
      <c r="O4" s="660">
        <v>10</v>
      </c>
      <c r="P4" s="660">
        <v>10</v>
      </c>
      <c r="Q4" s="660">
        <v>10</v>
      </c>
      <c r="R4" s="660">
        <v>10</v>
      </c>
      <c r="S4" s="660">
        <v>10</v>
      </c>
      <c r="T4" s="660">
        <v>10</v>
      </c>
      <c r="U4" s="660">
        <v>10</v>
      </c>
      <c r="V4" s="660">
        <v>10</v>
      </c>
      <c r="W4" s="660">
        <v>10</v>
      </c>
      <c r="X4" s="660">
        <v>10</v>
      </c>
      <c r="Y4" s="660">
        <v>10</v>
      </c>
      <c r="Z4" s="660">
        <v>10</v>
      </c>
      <c r="AA4" s="660">
        <v>10</v>
      </c>
      <c r="AB4" s="660">
        <v>10</v>
      </c>
      <c r="AC4" s="660">
        <v>10</v>
      </c>
      <c r="AD4" s="660">
        <v>10</v>
      </c>
      <c r="AE4" s="660">
        <v>10</v>
      </c>
      <c r="AF4" s="660">
        <v>10</v>
      </c>
      <c r="AG4" s="660">
        <v>10</v>
      </c>
      <c r="AH4" s="660">
        <v>10</v>
      </c>
      <c r="AI4" s="660">
        <v>10</v>
      </c>
      <c r="AJ4" s="660">
        <v>10</v>
      </c>
      <c r="AK4" s="660">
        <v>10</v>
      </c>
      <c r="AL4" s="660">
        <v>10</v>
      </c>
      <c r="AM4" s="660">
        <v>10</v>
      </c>
      <c r="AN4" s="660">
        <v>10</v>
      </c>
      <c r="AO4" s="660">
        <v>10</v>
      </c>
      <c r="AP4" s="11">
        <v>60</v>
      </c>
      <c r="AQ4" s="11">
        <v>60</v>
      </c>
      <c r="AR4" s="11">
        <v>60</v>
      </c>
      <c r="AS4" s="11">
        <v>60</v>
      </c>
      <c r="AT4" s="11">
        <v>60</v>
      </c>
      <c r="AU4" s="11">
        <v>60</v>
      </c>
      <c r="AV4" s="11">
        <v>60</v>
      </c>
      <c r="AW4" s="11">
        <v>60</v>
      </c>
      <c r="AX4" s="11">
        <v>60</v>
      </c>
      <c r="AY4" s="11">
        <v>60</v>
      </c>
      <c r="AZ4" s="11">
        <v>60</v>
      </c>
      <c r="BA4" s="11">
        <v>60</v>
      </c>
      <c r="BB4" s="11">
        <v>60</v>
      </c>
      <c r="BC4" s="11">
        <v>60</v>
      </c>
      <c r="BD4" s="11">
        <v>60</v>
      </c>
      <c r="BE4" s="11">
        <v>60</v>
      </c>
      <c r="BF4" s="11">
        <v>60</v>
      </c>
      <c r="BG4" s="11">
        <v>60</v>
      </c>
      <c r="BH4" s="11">
        <v>60</v>
      </c>
      <c r="BI4" s="11">
        <v>60</v>
      </c>
      <c r="BJ4" s="11">
        <v>60</v>
      </c>
      <c r="BK4" s="11">
        <v>60</v>
      </c>
      <c r="BL4" s="11">
        <v>60</v>
      </c>
      <c r="BM4" s="11">
        <v>60</v>
      </c>
      <c r="BN4" s="11">
        <v>240</v>
      </c>
      <c r="BO4" s="11">
        <v>240</v>
      </c>
      <c r="BP4" s="11">
        <v>240</v>
      </c>
      <c r="BQ4" s="11">
        <v>240</v>
      </c>
      <c r="BR4" s="11">
        <v>240</v>
      </c>
      <c r="BS4" s="11">
        <v>240</v>
      </c>
      <c r="BT4" s="11">
        <v>240</v>
      </c>
      <c r="BU4" s="11">
        <v>240</v>
      </c>
      <c r="BV4" s="11">
        <v>240</v>
      </c>
      <c r="BW4" s="11">
        <v>240</v>
      </c>
      <c r="BX4" s="739">
        <v>1.7069701280227596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302">
        <v>197.03</v>
      </c>
      <c r="EU4" s="11">
        <v>720</v>
      </c>
      <c r="EV4" s="11">
        <v>1200</v>
      </c>
      <c r="EW4" s="742">
        <v>1.7069701280227596</v>
      </c>
      <c r="EX4" s="12">
        <v>0</v>
      </c>
      <c r="EY4" s="12">
        <v>0</v>
      </c>
      <c r="EZ4" s="11">
        <v>2117.0299999999997</v>
      </c>
      <c r="FA4" s="742">
        <v>1.7069701280227596</v>
      </c>
      <c r="FB4" s="302">
        <v>397.03</v>
      </c>
      <c r="FC4" s="11">
        <v>1440</v>
      </c>
      <c r="FD4" s="11">
        <v>2400</v>
      </c>
      <c r="FE4" s="742">
        <v>1.7069701280227596</v>
      </c>
      <c r="FF4" s="12">
        <v>0</v>
      </c>
      <c r="FG4" s="12">
        <v>0</v>
      </c>
      <c r="FH4" s="11">
        <v>4237.03</v>
      </c>
      <c r="FI4" s="742">
        <v>1.7069701280227596</v>
      </c>
      <c r="FJ4" s="752">
        <v>20.616225337511317</v>
      </c>
      <c r="FK4" s="13">
        <v>0</v>
      </c>
      <c r="FL4" s="13">
        <v>0</v>
      </c>
      <c r="FM4" s="13">
        <v>0</v>
      </c>
      <c r="FN4" s="13">
        <v>0</v>
      </c>
      <c r="FO4" s="13">
        <v>0</v>
      </c>
      <c r="FP4" s="13">
        <v>0</v>
      </c>
      <c r="FQ4" s="13">
        <v>0</v>
      </c>
      <c r="FR4" s="13">
        <v>0</v>
      </c>
      <c r="FS4" s="13">
        <v>0</v>
      </c>
      <c r="FT4" s="13">
        <v>0</v>
      </c>
      <c r="FU4" s="13">
        <v>0</v>
      </c>
      <c r="FV4" s="13">
        <v>0</v>
      </c>
      <c r="FW4" s="13">
        <v>0</v>
      </c>
      <c r="FX4" s="13">
        <v>0</v>
      </c>
      <c r="FY4" s="13">
        <v>0</v>
      </c>
      <c r="FZ4" s="13">
        <v>0</v>
      </c>
      <c r="GA4" s="13">
        <v>0</v>
      </c>
      <c r="GB4" s="13">
        <v>0</v>
      </c>
      <c r="GC4" s="13">
        <v>0</v>
      </c>
      <c r="GD4" s="13">
        <v>0</v>
      </c>
      <c r="GE4" s="13">
        <v>0</v>
      </c>
      <c r="GF4" s="13">
        <v>0</v>
      </c>
      <c r="GG4" s="13">
        <v>0</v>
      </c>
      <c r="GH4" s="13">
        <v>0</v>
      </c>
      <c r="GI4" s="13">
        <v>0</v>
      </c>
      <c r="GJ4" s="13">
        <v>0</v>
      </c>
      <c r="GK4" s="13">
        <v>0</v>
      </c>
      <c r="GL4" s="13">
        <v>0</v>
      </c>
      <c r="GM4" s="13">
        <v>0</v>
      </c>
      <c r="GN4" s="13">
        <v>0</v>
      </c>
      <c r="GO4" s="13">
        <v>0</v>
      </c>
      <c r="GP4" s="13">
        <v>0</v>
      </c>
      <c r="GQ4" s="13">
        <v>0</v>
      </c>
      <c r="GR4" s="13">
        <v>0</v>
      </c>
      <c r="GS4" s="13">
        <v>0</v>
      </c>
      <c r="GT4" s="13">
        <v>0</v>
      </c>
      <c r="GU4" s="13">
        <v>0</v>
      </c>
      <c r="GV4" s="13">
        <v>0</v>
      </c>
      <c r="GW4" s="13">
        <v>0</v>
      </c>
      <c r="GX4" s="13">
        <v>0</v>
      </c>
      <c r="GY4" s="13">
        <v>0</v>
      </c>
      <c r="GZ4" s="13">
        <v>0</v>
      </c>
      <c r="HA4" s="13">
        <v>0</v>
      </c>
      <c r="HB4" s="13">
        <v>0</v>
      </c>
      <c r="HC4" s="13">
        <v>0</v>
      </c>
      <c r="HD4" s="13">
        <v>0</v>
      </c>
      <c r="HE4" s="13">
        <v>0</v>
      </c>
      <c r="HF4" s="13">
        <v>0</v>
      </c>
      <c r="HG4" s="13">
        <v>0</v>
      </c>
      <c r="HH4" s="13">
        <v>0</v>
      </c>
      <c r="HI4" s="13">
        <v>0</v>
      </c>
      <c r="HJ4" s="13">
        <v>0</v>
      </c>
      <c r="HK4" s="13">
        <v>0</v>
      </c>
      <c r="HL4" s="13">
        <v>0</v>
      </c>
      <c r="HM4" s="13">
        <v>0</v>
      </c>
      <c r="HN4" s="13">
        <v>0</v>
      </c>
      <c r="HO4" s="13">
        <v>0</v>
      </c>
      <c r="HP4" s="13">
        <v>0</v>
      </c>
      <c r="HQ4" s="13">
        <v>0</v>
      </c>
      <c r="HR4" s="13">
        <v>0</v>
      </c>
      <c r="HS4" s="13">
        <v>0</v>
      </c>
      <c r="HT4" s="13">
        <v>0</v>
      </c>
      <c r="HU4" s="13">
        <v>0</v>
      </c>
      <c r="HV4" s="13">
        <v>0</v>
      </c>
      <c r="HW4" s="13">
        <v>0</v>
      </c>
      <c r="HX4" s="13">
        <v>0</v>
      </c>
      <c r="HY4" s="13">
        <v>0</v>
      </c>
      <c r="HZ4" s="13">
        <v>0</v>
      </c>
      <c r="IA4" s="13">
        <v>0</v>
      </c>
      <c r="IB4" s="13">
        <v>0</v>
      </c>
      <c r="IC4" s="13">
        <v>0</v>
      </c>
      <c r="ID4" s="13">
        <v>0</v>
      </c>
      <c r="IE4" s="13">
        <v>0</v>
      </c>
      <c r="IF4" s="754">
        <v>20.616225337511317</v>
      </c>
      <c r="IG4" s="13">
        <v>0</v>
      </c>
      <c r="IH4" s="13">
        <v>0</v>
      </c>
      <c r="II4" s="754">
        <v>20.616225337511317</v>
      </c>
      <c r="IJ4" s="13">
        <v>0</v>
      </c>
      <c r="IK4" s="13">
        <v>0</v>
      </c>
      <c r="IL4" s="8">
        <v>1.1463975857829512E-4</v>
      </c>
      <c r="IM4" s="8">
        <v>0</v>
      </c>
      <c r="IN4" s="8">
        <v>0</v>
      </c>
      <c r="IO4" s="8">
        <v>0</v>
      </c>
      <c r="IP4" s="8">
        <v>2.8445547732767653E-5</v>
      </c>
      <c r="IQ4" s="8">
        <v>0</v>
      </c>
      <c r="IR4" s="8">
        <v>0</v>
      </c>
      <c r="IS4" s="8">
        <v>0</v>
      </c>
    </row>
    <row r="5" spans="1:253" x14ac:dyDescent="0.25">
      <c r="A5" s="10">
        <v>44151</v>
      </c>
      <c r="B5" s="660">
        <v>10</v>
      </c>
      <c r="C5" s="660">
        <v>10</v>
      </c>
      <c r="D5" s="660">
        <v>10</v>
      </c>
      <c r="E5" s="660">
        <v>10</v>
      </c>
      <c r="F5" s="660">
        <v>10</v>
      </c>
      <c r="G5" s="660">
        <v>10</v>
      </c>
      <c r="H5" s="660">
        <v>10</v>
      </c>
      <c r="I5" s="660">
        <v>10</v>
      </c>
      <c r="J5" s="660">
        <v>10</v>
      </c>
      <c r="K5" s="660">
        <v>10</v>
      </c>
      <c r="L5" s="660">
        <v>10</v>
      </c>
      <c r="M5" s="660">
        <v>10</v>
      </c>
      <c r="N5" s="660">
        <v>10</v>
      </c>
      <c r="O5" s="660">
        <v>10</v>
      </c>
      <c r="P5" s="660">
        <v>10</v>
      </c>
      <c r="Q5" s="660">
        <v>10</v>
      </c>
      <c r="R5" s="660">
        <v>10</v>
      </c>
      <c r="S5" s="660">
        <v>10</v>
      </c>
      <c r="T5" s="660">
        <v>10</v>
      </c>
      <c r="U5" s="660">
        <v>10</v>
      </c>
      <c r="V5" s="660">
        <v>10</v>
      </c>
      <c r="W5" s="660">
        <v>10</v>
      </c>
      <c r="X5" s="660">
        <v>10</v>
      </c>
      <c r="Y5" s="660">
        <v>10</v>
      </c>
      <c r="Z5" s="660">
        <v>10</v>
      </c>
      <c r="AA5" s="660">
        <v>10</v>
      </c>
      <c r="AB5" s="660">
        <v>10</v>
      </c>
      <c r="AC5" s="660">
        <v>10</v>
      </c>
      <c r="AD5" s="660">
        <v>10</v>
      </c>
      <c r="AE5" s="660">
        <v>10</v>
      </c>
      <c r="AF5" s="660">
        <v>10</v>
      </c>
      <c r="AG5" s="660">
        <v>10</v>
      </c>
      <c r="AH5" s="660">
        <v>10</v>
      </c>
      <c r="AI5" s="660">
        <v>10</v>
      </c>
      <c r="AJ5" s="660">
        <v>10</v>
      </c>
      <c r="AK5" s="660">
        <v>10</v>
      </c>
      <c r="AL5" s="660">
        <v>10</v>
      </c>
      <c r="AM5" s="660">
        <v>10</v>
      </c>
      <c r="AN5" s="660">
        <v>10</v>
      </c>
      <c r="AO5" s="660">
        <v>10</v>
      </c>
      <c r="AP5" s="11">
        <v>60</v>
      </c>
      <c r="AQ5" s="11">
        <v>60</v>
      </c>
      <c r="AR5" s="11">
        <v>60</v>
      </c>
      <c r="AS5" s="11">
        <v>60</v>
      </c>
      <c r="AT5" s="11">
        <v>60</v>
      </c>
      <c r="AU5" s="11">
        <v>60</v>
      </c>
      <c r="AV5" s="11">
        <v>60</v>
      </c>
      <c r="AW5" s="11">
        <v>60</v>
      </c>
      <c r="AX5" s="11">
        <v>60</v>
      </c>
      <c r="AY5" s="11">
        <v>60</v>
      </c>
      <c r="AZ5" s="11">
        <v>60</v>
      </c>
      <c r="BA5" s="11">
        <v>60</v>
      </c>
      <c r="BB5" s="11">
        <v>60</v>
      </c>
      <c r="BC5" s="11">
        <v>60</v>
      </c>
      <c r="BD5" s="11">
        <v>60</v>
      </c>
      <c r="BE5" s="11">
        <v>60</v>
      </c>
      <c r="BF5" s="11">
        <v>60</v>
      </c>
      <c r="BG5" s="11">
        <v>60</v>
      </c>
      <c r="BH5" s="11">
        <v>60</v>
      </c>
      <c r="BI5" s="11">
        <v>60</v>
      </c>
      <c r="BJ5" s="11">
        <v>60</v>
      </c>
      <c r="BK5" s="11">
        <v>60</v>
      </c>
      <c r="BL5" s="11">
        <v>60</v>
      </c>
      <c r="BM5" s="11">
        <v>60</v>
      </c>
      <c r="BN5" s="299">
        <v>65.91</v>
      </c>
      <c r="BO5" s="300">
        <v>67.89</v>
      </c>
      <c r="BP5" s="302">
        <v>75.63</v>
      </c>
      <c r="BQ5" s="302">
        <v>78.47</v>
      </c>
      <c r="BR5" s="11">
        <v>240</v>
      </c>
      <c r="BS5" s="11">
        <v>240</v>
      </c>
      <c r="BT5" s="11">
        <v>240</v>
      </c>
      <c r="BU5" s="11">
        <v>240</v>
      </c>
      <c r="BV5" s="11">
        <v>240</v>
      </c>
      <c r="BW5" s="11">
        <v>240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730">
        <v>2.6576755255850855</v>
      </c>
      <c r="EK5" s="731">
        <v>2.3193577163247103</v>
      </c>
      <c r="EL5" s="731">
        <v>2.2978347326557667</v>
      </c>
      <c r="EM5" s="731">
        <v>2.2910028827188591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660">
        <v>200</v>
      </c>
      <c r="EU5" s="11">
        <v>720</v>
      </c>
      <c r="EV5" s="11">
        <v>527.9</v>
      </c>
      <c r="EW5" s="12">
        <v>0</v>
      </c>
      <c r="EX5" s="12">
        <v>0</v>
      </c>
      <c r="EY5" s="739">
        <v>9.5658708572844215</v>
      </c>
      <c r="EZ5" s="11">
        <v>1447.9</v>
      </c>
      <c r="FA5" s="742">
        <v>9.5658708572844215</v>
      </c>
      <c r="FB5" s="660">
        <v>400</v>
      </c>
      <c r="FC5" s="11">
        <v>1440</v>
      </c>
      <c r="FD5" s="11">
        <v>1727.9</v>
      </c>
      <c r="FE5" s="12">
        <v>0</v>
      </c>
      <c r="FF5" s="12">
        <v>0</v>
      </c>
      <c r="FG5" s="743">
        <v>9.5658708572844215</v>
      </c>
      <c r="FH5" s="11">
        <v>3567.9</v>
      </c>
      <c r="FI5" s="742">
        <v>9.5658708572844215</v>
      </c>
      <c r="FJ5" s="13">
        <v>0</v>
      </c>
      <c r="FK5" s="13">
        <v>0</v>
      </c>
      <c r="FL5" s="13">
        <v>0</v>
      </c>
      <c r="FM5" s="13">
        <v>0</v>
      </c>
      <c r="FN5" s="13">
        <v>0</v>
      </c>
      <c r="FO5" s="13">
        <v>0</v>
      </c>
      <c r="FP5" s="13">
        <v>0</v>
      </c>
      <c r="FQ5" s="13">
        <v>0</v>
      </c>
      <c r="FR5" s="13">
        <v>0</v>
      </c>
      <c r="FS5" s="13">
        <v>0</v>
      </c>
      <c r="FT5" s="13">
        <v>0</v>
      </c>
      <c r="FU5" s="13">
        <v>0</v>
      </c>
      <c r="FV5" s="13">
        <v>0</v>
      </c>
      <c r="FW5" s="13">
        <v>0</v>
      </c>
      <c r="FX5" s="13">
        <v>0</v>
      </c>
      <c r="FY5" s="13">
        <v>0</v>
      </c>
      <c r="FZ5" s="13">
        <v>0</v>
      </c>
      <c r="GA5" s="13">
        <v>0</v>
      </c>
      <c r="GB5" s="13">
        <v>0</v>
      </c>
      <c r="GC5" s="13">
        <v>0</v>
      </c>
      <c r="GD5" s="13">
        <v>0</v>
      </c>
      <c r="GE5" s="13">
        <v>0</v>
      </c>
      <c r="GF5" s="13">
        <v>0</v>
      </c>
      <c r="GG5" s="13">
        <v>0</v>
      </c>
      <c r="GH5" s="13">
        <v>0</v>
      </c>
      <c r="GI5" s="13">
        <v>0</v>
      </c>
      <c r="GJ5" s="13">
        <v>0</v>
      </c>
      <c r="GK5" s="13">
        <v>0</v>
      </c>
      <c r="GL5" s="13">
        <v>0</v>
      </c>
      <c r="GM5" s="13">
        <v>0</v>
      </c>
      <c r="GN5" s="13">
        <v>0</v>
      </c>
      <c r="GO5" s="13">
        <v>0</v>
      </c>
      <c r="GP5" s="13">
        <v>0</v>
      </c>
      <c r="GQ5" s="13">
        <v>0</v>
      </c>
      <c r="GR5" s="13">
        <v>0</v>
      </c>
      <c r="GS5" s="13">
        <v>0</v>
      </c>
      <c r="GT5" s="13">
        <v>0</v>
      </c>
      <c r="GU5" s="13">
        <v>0</v>
      </c>
      <c r="GV5" s="13">
        <v>0</v>
      </c>
      <c r="GW5" s="13">
        <v>0</v>
      </c>
      <c r="GX5" s="13">
        <v>0</v>
      </c>
      <c r="GY5" s="13">
        <v>0</v>
      </c>
      <c r="GZ5" s="13">
        <v>0</v>
      </c>
      <c r="HA5" s="13">
        <v>0</v>
      </c>
      <c r="HB5" s="13">
        <v>0</v>
      </c>
      <c r="HC5" s="13">
        <v>0</v>
      </c>
      <c r="HD5" s="13">
        <v>0</v>
      </c>
      <c r="HE5" s="13">
        <v>0</v>
      </c>
      <c r="HF5" s="13">
        <v>0</v>
      </c>
      <c r="HG5" s="13">
        <v>0</v>
      </c>
      <c r="HH5" s="13">
        <v>0</v>
      </c>
      <c r="HI5" s="13">
        <v>0</v>
      </c>
      <c r="HJ5" s="13">
        <v>0</v>
      </c>
      <c r="HK5" s="13">
        <v>0</v>
      </c>
      <c r="HL5" s="13">
        <v>0</v>
      </c>
      <c r="HM5" s="13">
        <v>0</v>
      </c>
      <c r="HN5" s="13">
        <v>0</v>
      </c>
      <c r="HO5" s="13">
        <v>0</v>
      </c>
      <c r="HP5" s="13">
        <v>0</v>
      </c>
      <c r="HQ5" s="13">
        <v>0</v>
      </c>
      <c r="HR5" s="13">
        <v>0</v>
      </c>
      <c r="HS5" s="13">
        <v>0</v>
      </c>
      <c r="HT5" s="13">
        <v>0</v>
      </c>
      <c r="HU5" s="13">
        <v>0</v>
      </c>
      <c r="HV5" s="746">
        <v>55.963689979838989</v>
      </c>
      <c r="HW5" s="746">
        <v>53.119010063496276</v>
      </c>
      <c r="HX5" s="746">
        <v>52.184914822725894</v>
      </c>
      <c r="HY5" s="747">
        <v>47.595449626053451</v>
      </c>
      <c r="HZ5" s="13">
        <v>0</v>
      </c>
      <c r="IA5" s="13">
        <v>0</v>
      </c>
      <c r="IB5" s="13">
        <v>0</v>
      </c>
      <c r="IC5" s="13">
        <v>0</v>
      </c>
      <c r="ID5" s="13">
        <v>0</v>
      </c>
      <c r="IE5" s="13">
        <v>0</v>
      </c>
      <c r="IF5" s="13">
        <v>0</v>
      </c>
      <c r="IG5" s="13">
        <v>0</v>
      </c>
      <c r="IH5" s="752">
        <v>208.86306449211463</v>
      </c>
      <c r="II5" s="13">
        <v>0</v>
      </c>
      <c r="IJ5" s="13">
        <v>0</v>
      </c>
      <c r="IK5" s="747">
        <v>208.86306449211463</v>
      </c>
      <c r="IL5" s="8">
        <v>0</v>
      </c>
      <c r="IM5" s="8">
        <v>0</v>
      </c>
      <c r="IN5" s="8">
        <v>0.75694529334655658</v>
      </c>
      <c r="IO5" s="8">
        <v>0</v>
      </c>
      <c r="IP5" s="8">
        <v>0</v>
      </c>
      <c r="IQ5" s="8">
        <v>0</v>
      </c>
      <c r="IR5" s="8">
        <v>0.11562920896974568</v>
      </c>
      <c r="IS5" s="8">
        <v>0</v>
      </c>
    </row>
    <row r="6" spans="1:253" x14ac:dyDescent="0.25">
      <c r="A6" s="10">
        <v>44144</v>
      </c>
      <c r="B6" s="299">
        <v>7.05</v>
      </c>
      <c r="C6" s="660">
        <v>10</v>
      </c>
      <c r="D6" s="660">
        <v>10</v>
      </c>
      <c r="E6" s="660">
        <v>10</v>
      </c>
      <c r="F6" s="660">
        <v>10</v>
      </c>
      <c r="G6" s="660">
        <v>10</v>
      </c>
      <c r="H6" s="660">
        <v>10</v>
      </c>
      <c r="I6" s="660">
        <v>10</v>
      </c>
      <c r="J6" s="660">
        <v>10</v>
      </c>
      <c r="K6" s="660">
        <v>10</v>
      </c>
      <c r="L6" s="660">
        <v>10</v>
      </c>
      <c r="M6" s="660">
        <v>10</v>
      </c>
      <c r="N6" s="660">
        <v>10</v>
      </c>
      <c r="O6" s="660">
        <v>10</v>
      </c>
      <c r="P6" s="660">
        <v>10</v>
      </c>
      <c r="Q6" s="660">
        <v>10</v>
      </c>
      <c r="R6" s="660">
        <v>10</v>
      </c>
      <c r="S6" s="660">
        <v>10</v>
      </c>
      <c r="T6" s="660">
        <v>10</v>
      </c>
      <c r="U6" s="660">
        <v>10</v>
      </c>
      <c r="V6" s="660">
        <v>10</v>
      </c>
      <c r="W6" s="660">
        <v>10</v>
      </c>
      <c r="X6" s="660">
        <v>10</v>
      </c>
      <c r="Y6" s="660">
        <v>10</v>
      </c>
      <c r="Z6" s="660">
        <v>10</v>
      </c>
      <c r="AA6" s="660">
        <v>10</v>
      </c>
      <c r="AB6" s="660">
        <v>10</v>
      </c>
      <c r="AC6" s="660">
        <v>10</v>
      </c>
      <c r="AD6" s="660">
        <v>10</v>
      </c>
      <c r="AE6" s="660">
        <v>10</v>
      </c>
      <c r="AF6" s="660">
        <v>10</v>
      </c>
      <c r="AG6" s="660">
        <v>10</v>
      </c>
      <c r="AH6" s="660">
        <v>10</v>
      </c>
      <c r="AI6" s="660">
        <v>10</v>
      </c>
      <c r="AJ6" s="660">
        <v>10</v>
      </c>
      <c r="AK6" s="660">
        <v>10</v>
      </c>
      <c r="AL6" s="660">
        <v>10</v>
      </c>
      <c r="AM6" s="660">
        <v>10</v>
      </c>
      <c r="AN6" s="660">
        <v>10</v>
      </c>
      <c r="AO6" s="660">
        <v>10</v>
      </c>
      <c r="AP6" s="11">
        <v>60</v>
      </c>
      <c r="AQ6" s="11">
        <v>60</v>
      </c>
      <c r="AR6" s="11">
        <v>60</v>
      </c>
      <c r="AS6" s="11">
        <v>60</v>
      </c>
      <c r="AT6" s="11">
        <v>60</v>
      </c>
      <c r="AU6" s="11">
        <v>60</v>
      </c>
      <c r="AV6" s="11">
        <v>60</v>
      </c>
      <c r="AW6" s="11">
        <v>60</v>
      </c>
      <c r="AX6" s="11">
        <v>60</v>
      </c>
      <c r="AY6" s="11">
        <v>60</v>
      </c>
      <c r="AZ6" s="11">
        <v>60</v>
      </c>
      <c r="BA6" s="11">
        <v>60</v>
      </c>
      <c r="BB6" s="11">
        <v>60</v>
      </c>
      <c r="BC6" s="11">
        <v>60</v>
      </c>
      <c r="BD6" s="11">
        <v>60</v>
      </c>
      <c r="BE6" s="11">
        <v>60</v>
      </c>
      <c r="BF6" s="11">
        <v>60</v>
      </c>
      <c r="BG6" s="11">
        <v>60</v>
      </c>
      <c r="BH6" s="11">
        <v>60</v>
      </c>
      <c r="BI6" s="11">
        <v>60</v>
      </c>
      <c r="BJ6" s="11">
        <v>60</v>
      </c>
      <c r="BK6" s="11">
        <v>60</v>
      </c>
      <c r="BL6" s="11">
        <v>60</v>
      </c>
      <c r="BM6" s="11">
        <v>60</v>
      </c>
      <c r="BN6" s="300">
        <v>67.06</v>
      </c>
      <c r="BO6" s="300">
        <v>67.069999999999993</v>
      </c>
      <c r="BP6" s="300">
        <v>67.150000000000006</v>
      </c>
      <c r="BQ6" s="300">
        <v>67.489999999999995</v>
      </c>
      <c r="BR6" s="300">
        <v>68.040000000000006</v>
      </c>
      <c r="BS6" s="300">
        <v>68.849999999999994</v>
      </c>
      <c r="BT6" s="301">
        <v>69.27</v>
      </c>
      <c r="BU6" s="301">
        <v>69.319999999999993</v>
      </c>
      <c r="BV6" s="301">
        <v>69.58</v>
      </c>
      <c r="BW6" s="301">
        <v>70.38</v>
      </c>
      <c r="BX6" s="738">
        <v>2.8368794326241136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730">
        <v>2.7113237639553427</v>
      </c>
      <c r="EK6" s="730">
        <v>2.7019258407588387</v>
      </c>
      <c r="EL6" s="730">
        <v>2.5516571904035503</v>
      </c>
      <c r="EM6" s="730">
        <v>2.5174476570289133</v>
      </c>
      <c r="EN6" s="731">
        <v>2.4560117302052786</v>
      </c>
      <c r="EO6" s="731">
        <v>2.4438761011651038</v>
      </c>
      <c r="EP6" s="731">
        <v>2.4233244982961</v>
      </c>
      <c r="EQ6" s="731">
        <v>2.4054523586796739</v>
      </c>
      <c r="ER6" s="731">
        <v>2.4008350730688934</v>
      </c>
      <c r="ES6" s="731">
        <v>2.3932889217863309</v>
      </c>
      <c r="ET6" s="302">
        <v>197.05</v>
      </c>
      <c r="EU6" s="11">
        <v>720</v>
      </c>
      <c r="EV6" s="300">
        <v>336.81</v>
      </c>
      <c r="EW6" s="742">
        <v>2.8368794326241136</v>
      </c>
      <c r="EX6" s="12">
        <v>0</v>
      </c>
      <c r="EY6" s="730">
        <v>12.938366182351924</v>
      </c>
      <c r="EZ6" s="11">
        <v>1253.8599999999999</v>
      </c>
      <c r="FA6" s="742">
        <v>15.775245614976038</v>
      </c>
      <c r="FB6" s="302">
        <v>397.05</v>
      </c>
      <c r="FC6" s="11">
        <v>1440</v>
      </c>
      <c r="FD6" s="300">
        <v>684.21</v>
      </c>
      <c r="FE6" s="742">
        <v>2.8368794326241136</v>
      </c>
      <c r="FF6" s="12">
        <v>0</v>
      </c>
      <c r="FG6" s="730">
        <v>25.005143135348028</v>
      </c>
      <c r="FH6" s="11">
        <v>2521.2600000000002</v>
      </c>
      <c r="FI6" s="742">
        <v>27.84202256797214</v>
      </c>
      <c r="FJ6" s="751">
        <v>34.1948305309636</v>
      </c>
      <c r="FK6" s="13">
        <v>0</v>
      </c>
      <c r="FL6" s="13">
        <v>0</v>
      </c>
      <c r="FM6" s="13">
        <v>0</v>
      </c>
      <c r="FN6" s="13">
        <v>0</v>
      </c>
      <c r="FO6" s="13">
        <v>0</v>
      </c>
      <c r="FP6" s="13">
        <v>0</v>
      </c>
      <c r="FQ6" s="13">
        <v>0</v>
      </c>
      <c r="FR6" s="13">
        <v>0</v>
      </c>
      <c r="FS6" s="13">
        <v>0</v>
      </c>
      <c r="FT6" s="13">
        <v>0</v>
      </c>
      <c r="FU6" s="13">
        <v>0</v>
      </c>
      <c r="FV6" s="13">
        <v>0</v>
      </c>
      <c r="FW6" s="13">
        <v>0</v>
      </c>
      <c r="FX6" s="13">
        <v>0</v>
      </c>
      <c r="FY6" s="13">
        <v>0</v>
      </c>
      <c r="FZ6" s="13">
        <v>0</v>
      </c>
      <c r="GA6" s="13">
        <v>0</v>
      </c>
      <c r="GB6" s="13">
        <v>0</v>
      </c>
      <c r="GC6" s="13">
        <v>0</v>
      </c>
      <c r="GD6" s="13">
        <v>0</v>
      </c>
      <c r="GE6" s="13">
        <v>0</v>
      </c>
      <c r="GF6" s="13">
        <v>0</v>
      </c>
      <c r="GG6" s="13">
        <v>0</v>
      </c>
      <c r="GH6" s="13">
        <v>0</v>
      </c>
      <c r="GI6" s="13">
        <v>0</v>
      </c>
      <c r="GJ6" s="13">
        <v>0</v>
      </c>
      <c r="GK6" s="13">
        <v>0</v>
      </c>
      <c r="GL6" s="13">
        <v>0</v>
      </c>
      <c r="GM6" s="13">
        <v>0</v>
      </c>
      <c r="GN6" s="13">
        <v>0</v>
      </c>
      <c r="GO6" s="13">
        <v>0</v>
      </c>
      <c r="GP6" s="13">
        <v>0</v>
      </c>
      <c r="GQ6" s="13">
        <v>0</v>
      </c>
      <c r="GR6" s="13">
        <v>0</v>
      </c>
      <c r="GS6" s="13">
        <v>0</v>
      </c>
      <c r="GT6" s="13">
        <v>0</v>
      </c>
      <c r="GU6" s="13">
        <v>0</v>
      </c>
      <c r="GV6" s="13">
        <v>0</v>
      </c>
      <c r="GW6" s="13">
        <v>0</v>
      </c>
      <c r="GX6" s="13">
        <v>0</v>
      </c>
      <c r="GY6" s="13">
        <v>0</v>
      </c>
      <c r="GZ6" s="13">
        <v>0</v>
      </c>
      <c r="HA6" s="13">
        <v>0</v>
      </c>
      <c r="HB6" s="13">
        <v>0</v>
      </c>
      <c r="HC6" s="13">
        <v>0</v>
      </c>
      <c r="HD6" s="13">
        <v>0</v>
      </c>
      <c r="HE6" s="13">
        <v>0</v>
      </c>
      <c r="HF6" s="13">
        <v>0</v>
      </c>
      <c r="HG6" s="13">
        <v>0</v>
      </c>
      <c r="HH6" s="13">
        <v>0</v>
      </c>
      <c r="HI6" s="13">
        <v>0</v>
      </c>
      <c r="HJ6" s="13">
        <v>0</v>
      </c>
      <c r="HK6" s="13">
        <v>0</v>
      </c>
      <c r="HL6" s="13">
        <v>0</v>
      </c>
      <c r="HM6" s="13">
        <v>0</v>
      </c>
      <c r="HN6" s="13">
        <v>0</v>
      </c>
      <c r="HO6" s="13">
        <v>0</v>
      </c>
      <c r="HP6" s="13">
        <v>0</v>
      </c>
      <c r="HQ6" s="13">
        <v>0</v>
      </c>
      <c r="HR6" s="13">
        <v>0</v>
      </c>
      <c r="HS6" s="13">
        <v>0</v>
      </c>
      <c r="HT6" s="13">
        <v>0</v>
      </c>
      <c r="HU6" s="13">
        <v>0</v>
      </c>
      <c r="HV6" s="745">
        <v>60.314895969909564</v>
      </c>
      <c r="HW6" s="746">
        <v>55.554051347080488</v>
      </c>
      <c r="HX6" s="746">
        <v>54.995619420271829</v>
      </c>
      <c r="HY6" s="746">
        <v>54.178129967128278</v>
      </c>
      <c r="HZ6" s="746">
        <v>54.119647097004389</v>
      </c>
      <c r="IA6" s="746">
        <v>52.591172746893889</v>
      </c>
      <c r="IB6" s="746">
        <v>51.659559200643805</v>
      </c>
      <c r="IC6" s="746">
        <v>51.030989981095239</v>
      </c>
      <c r="ID6" s="746">
        <v>50.860082552590619</v>
      </c>
      <c r="IE6" s="747">
        <v>49.974099865685915</v>
      </c>
      <c r="IF6" s="754">
        <v>34.1948305309636</v>
      </c>
      <c r="IG6" s="13">
        <v>0</v>
      </c>
      <c r="IH6" s="746">
        <v>535.27824814830399</v>
      </c>
      <c r="II6" s="754">
        <v>34.1948305309636</v>
      </c>
      <c r="IJ6" s="13">
        <v>0</v>
      </c>
      <c r="IK6" s="746">
        <v>279.16234380139451</v>
      </c>
      <c r="IL6" s="8">
        <v>3.1597843361389779E-4</v>
      </c>
      <c r="IM6" s="8">
        <v>0</v>
      </c>
      <c r="IN6" s="8">
        <v>2.1447727967851691</v>
      </c>
      <c r="IO6" s="8">
        <v>0</v>
      </c>
      <c r="IP6" s="8">
        <v>7.8407694677771778E-5</v>
      </c>
      <c r="IQ6" s="8">
        <v>0</v>
      </c>
      <c r="IR6" s="8">
        <v>1.9562282358028504</v>
      </c>
      <c r="IS6" s="8">
        <v>0</v>
      </c>
    </row>
    <row r="7" spans="1:253" x14ac:dyDescent="0.25">
      <c r="A7" s="10">
        <v>44137</v>
      </c>
      <c r="B7" s="660">
        <v>10</v>
      </c>
      <c r="C7" s="660">
        <v>10</v>
      </c>
      <c r="D7" s="660">
        <v>10</v>
      </c>
      <c r="E7" s="660">
        <v>10</v>
      </c>
      <c r="F7" s="660">
        <v>10</v>
      </c>
      <c r="G7" s="660">
        <v>10</v>
      </c>
      <c r="H7" s="660">
        <v>10</v>
      </c>
      <c r="I7" s="660">
        <v>10</v>
      </c>
      <c r="J7" s="660">
        <v>10</v>
      </c>
      <c r="K7" s="660">
        <v>10</v>
      </c>
      <c r="L7" s="660">
        <v>10</v>
      </c>
      <c r="M7" s="660">
        <v>10</v>
      </c>
      <c r="N7" s="660">
        <v>10</v>
      </c>
      <c r="O7" s="660">
        <v>10</v>
      </c>
      <c r="P7" s="660">
        <v>10</v>
      </c>
      <c r="Q7" s="660">
        <v>10</v>
      </c>
      <c r="R7" s="660">
        <v>10</v>
      </c>
      <c r="S7" s="660">
        <v>10</v>
      </c>
      <c r="T7" s="660">
        <v>10</v>
      </c>
      <c r="U7" s="660">
        <v>10</v>
      </c>
      <c r="V7" s="660">
        <v>10</v>
      </c>
      <c r="W7" s="660">
        <v>10</v>
      </c>
      <c r="X7" s="660">
        <v>10</v>
      </c>
      <c r="Y7" s="660">
        <v>10</v>
      </c>
      <c r="Z7" s="660">
        <v>10</v>
      </c>
      <c r="AA7" s="660">
        <v>10</v>
      </c>
      <c r="AB7" s="660">
        <v>10</v>
      </c>
      <c r="AC7" s="660">
        <v>10</v>
      </c>
      <c r="AD7" s="660">
        <v>10</v>
      </c>
      <c r="AE7" s="660">
        <v>10</v>
      </c>
      <c r="AF7" s="660">
        <v>10</v>
      </c>
      <c r="AG7" s="660">
        <v>10</v>
      </c>
      <c r="AH7" s="660">
        <v>10</v>
      </c>
      <c r="AI7" s="660">
        <v>10</v>
      </c>
      <c r="AJ7" s="660">
        <v>10</v>
      </c>
      <c r="AK7" s="660">
        <v>10</v>
      </c>
      <c r="AL7" s="660">
        <v>10</v>
      </c>
      <c r="AM7" s="660">
        <v>10</v>
      </c>
      <c r="AN7" s="660">
        <v>10</v>
      </c>
      <c r="AO7" s="660">
        <v>10</v>
      </c>
      <c r="AP7" s="11">
        <v>60</v>
      </c>
      <c r="AQ7" s="11">
        <v>60</v>
      </c>
      <c r="AR7" s="11">
        <v>60</v>
      </c>
      <c r="AS7" s="11">
        <v>60</v>
      </c>
      <c r="AT7" s="11">
        <v>60</v>
      </c>
      <c r="AU7" s="11">
        <v>60</v>
      </c>
      <c r="AV7" s="11">
        <v>60</v>
      </c>
      <c r="AW7" s="11">
        <v>60</v>
      </c>
      <c r="AX7" s="11">
        <v>60</v>
      </c>
      <c r="AY7" s="11">
        <v>60</v>
      </c>
      <c r="AZ7" s="11">
        <v>60</v>
      </c>
      <c r="BA7" s="11">
        <v>60</v>
      </c>
      <c r="BB7" s="11">
        <v>60</v>
      </c>
      <c r="BC7" s="11">
        <v>60</v>
      </c>
      <c r="BD7" s="11">
        <v>60</v>
      </c>
      <c r="BE7" s="11">
        <v>60</v>
      </c>
      <c r="BF7" s="11">
        <v>60</v>
      </c>
      <c r="BG7" s="11">
        <v>60</v>
      </c>
      <c r="BH7" s="11">
        <v>60</v>
      </c>
      <c r="BI7" s="11">
        <v>60</v>
      </c>
      <c r="BJ7" s="11">
        <v>60</v>
      </c>
      <c r="BK7" s="11">
        <v>60</v>
      </c>
      <c r="BL7" s="11">
        <v>60</v>
      </c>
      <c r="BM7" s="11">
        <v>60</v>
      </c>
      <c r="BN7" s="298">
        <v>63.63</v>
      </c>
      <c r="BO7" s="300">
        <v>66.98</v>
      </c>
      <c r="BP7" s="300">
        <v>68.61</v>
      </c>
      <c r="BQ7" s="301">
        <v>70.2</v>
      </c>
      <c r="BR7" s="302">
        <v>75.25</v>
      </c>
      <c r="BS7" s="302">
        <v>75.58</v>
      </c>
      <c r="BT7" s="302">
        <v>78.099999999999994</v>
      </c>
      <c r="BU7" s="302">
        <v>78.91</v>
      </c>
      <c r="BV7" s="660">
        <v>81.02</v>
      </c>
      <c r="BW7" s="659">
        <v>85.04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730">
        <v>2.6376440460947506</v>
      </c>
      <c r="EK7" s="730">
        <v>2.5977903851896085</v>
      </c>
      <c r="EL7" s="731">
        <v>2.3988711194731889</v>
      </c>
      <c r="EM7" s="731">
        <v>2.3903221104795218</v>
      </c>
      <c r="EN7" s="731">
        <v>2.3730944523023729</v>
      </c>
      <c r="EO7" s="731">
        <v>2.2833868180696126</v>
      </c>
      <c r="EP7" s="731">
        <v>2.2810797110632368</v>
      </c>
      <c r="EQ7" s="732">
        <v>2.1831172267795713</v>
      </c>
      <c r="ER7" s="732">
        <v>2.1528239202657806</v>
      </c>
      <c r="ES7" s="732">
        <v>2.0655270655270654</v>
      </c>
      <c r="ET7" s="660">
        <v>200</v>
      </c>
      <c r="EU7" s="11">
        <v>720</v>
      </c>
      <c r="EV7" s="300">
        <v>344.67</v>
      </c>
      <c r="EW7" s="12">
        <v>0</v>
      </c>
      <c r="EX7" s="12">
        <v>0</v>
      </c>
      <c r="EY7" s="731">
        <v>12.397722113539443</v>
      </c>
      <c r="EZ7" s="11">
        <v>1264.67</v>
      </c>
      <c r="FA7" s="742">
        <v>12.397722113539443</v>
      </c>
      <c r="FB7" s="660">
        <v>400</v>
      </c>
      <c r="FC7" s="11">
        <v>1440</v>
      </c>
      <c r="FD7" s="302">
        <v>743.31999999999994</v>
      </c>
      <c r="FE7" s="12">
        <v>0</v>
      </c>
      <c r="FF7" s="12">
        <v>0</v>
      </c>
      <c r="FG7" s="731">
        <v>23.363656855244709</v>
      </c>
      <c r="FH7" s="11">
        <v>2583.3199999999997</v>
      </c>
      <c r="FI7" s="742">
        <v>23.363656855244709</v>
      </c>
      <c r="FJ7" s="13">
        <v>0</v>
      </c>
      <c r="FK7" s="13">
        <v>0</v>
      </c>
      <c r="FL7" s="13">
        <v>0</v>
      </c>
      <c r="FM7" s="13">
        <v>0</v>
      </c>
      <c r="FN7" s="13">
        <v>0</v>
      </c>
      <c r="FO7" s="13">
        <v>0</v>
      </c>
      <c r="FP7" s="13">
        <v>0</v>
      </c>
      <c r="FQ7" s="13">
        <v>0</v>
      </c>
      <c r="FR7" s="13">
        <v>0</v>
      </c>
      <c r="FS7" s="13">
        <v>0</v>
      </c>
      <c r="FT7" s="13">
        <v>0</v>
      </c>
      <c r="FU7" s="13">
        <v>0</v>
      </c>
      <c r="FV7" s="13">
        <v>0</v>
      </c>
      <c r="FW7" s="13">
        <v>0</v>
      </c>
      <c r="FX7" s="13">
        <v>0</v>
      </c>
      <c r="FY7" s="13">
        <v>0</v>
      </c>
      <c r="FZ7" s="13">
        <v>0</v>
      </c>
      <c r="GA7" s="13">
        <v>0</v>
      </c>
      <c r="GB7" s="13">
        <v>0</v>
      </c>
      <c r="GC7" s="13">
        <v>0</v>
      </c>
      <c r="GD7" s="13">
        <v>0</v>
      </c>
      <c r="GE7" s="13">
        <v>0</v>
      </c>
      <c r="GF7" s="13">
        <v>0</v>
      </c>
      <c r="GG7" s="13">
        <v>0</v>
      </c>
      <c r="GH7" s="13">
        <v>0</v>
      </c>
      <c r="GI7" s="13">
        <v>0</v>
      </c>
      <c r="GJ7" s="13">
        <v>0</v>
      </c>
      <c r="GK7" s="13">
        <v>0</v>
      </c>
      <c r="GL7" s="13">
        <v>0</v>
      </c>
      <c r="GM7" s="13">
        <v>0</v>
      </c>
      <c r="GN7" s="13">
        <v>0</v>
      </c>
      <c r="GO7" s="13">
        <v>0</v>
      </c>
      <c r="GP7" s="13">
        <v>0</v>
      </c>
      <c r="GQ7" s="13">
        <v>0</v>
      </c>
      <c r="GR7" s="13">
        <v>0</v>
      </c>
      <c r="GS7" s="13">
        <v>0</v>
      </c>
      <c r="GT7" s="13">
        <v>0</v>
      </c>
      <c r="GU7" s="13">
        <v>0</v>
      </c>
      <c r="GV7" s="13">
        <v>0</v>
      </c>
      <c r="GW7" s="13">
        <v>0</v>
      </c>
      <c r="GX7" s="13">
        <v>0</v>
      </c>
      <c r="GY7" s="13">
        <v>0</v>
      </c>
      <c r="GZ7" s="13">
        <v>0</v>
      </c>
      <c r="HA7" s="13">
        <v>0</v>
      </c>
      <c r="HB7" s="13">
        <v>0</v>
      </c>
      <c r="HC7" s="13">
        <v>0</v>
      </c>
      <c r="HD7" s="13">
        <v>0</v>
      </c>
      <c r="HE7" s="13">
        <v>0</v>
      </c>
      <c r="HF7" s="13">
        <v>0</v>
      </c>
      <c r="HG7" s="13">
        <v>0</v>
      </c>
      <c r="HH7" s="13">
        <v>0</v>
      </c>
      <c r="HI7" s="13">
        <v>0</v>
      </c>
      <c r="HJ7" s="13">
        <v>0</v>
      </c>
      <c r="HK7" s="13">
        <v>0</v>
      </c>
      <c r="HL7" s="13">
        <v>0</v>
      </c>
      <c r="HM7" s="13">
        <v>0</v>
      </c>
      <c r="HN7" s="13">
        <v>0</v>
      </c>
      <c r="HO7" s="13">
        <v>0</v>
      </c>
      <c r="HP7" s="13">
        <v>0</v>
      </c>
      <c r="HQ7" s="13">
        <v>0</v>
      </c>
      <c r="HR7" s="13">
        <v>0</v>
      </c>
      <c r="HS7" s="13">
        <v>0</v>
      </c>
      <c r="HT7" s="13">
        <v>0</v>
      </c>
      <c r="HU7" s="13">
        <v>0</v>
      </c>
      <c r="HV7" s="745">
        <v>59.556992701709206</v>
      </c>
      <c r="HW7" s="745">
        <v>56.395172983111536</v>
      </c>
      <c r="HX7" s="746">
        <v>54.306362983359953</v>
      </c>
      <c r="HY7" s="746">
        <v>53.885943390048688</v>
      </c>
      <c r="HZ7" s="747">
        <v>46.627087287432808</v>
      </c>
      <c r="IA7" s="747">
        <v>46.532983137040979</v>
      </c>
      <c r="IB7" s="747">
        <v>45.99202065270876</v>
      </c>
      <c r="IC7" s="747">
        <v>45.823173904518114</v>
      </c>
      <c r="ID7" s="747">
        <v>45.820009795073787</v>
      </c>
      <c r="IE7" s="747">
        <v>45.492961832853922</v>
      </c>
      <c r="IF7" s="13">
        <v>0</v>
      </c>
      <c r="IG7" s="13">
        <v>0</v>
      </c>
      <c r="IH7" s="746">
        <v>500.4327086678577</v>
      </c>
      <c r="II7" s="13">
        <v>0</v>
      </c>
      <c r="IJ7" s="13">
        <v>0</v>
      </c>
      <c r="IK7" s="746">
        <v>270.77155934566218</v>
      </c>
      <c r="IL7" s="8">
        <v>0</v>
      </c>
      <c r="IM7" s="8">
        <v>0</v>
      </c>
      <c r="IN7" s="8">
        <v>1.9479215185640022</v>
      </c>
      <c r="IO7" s="8">
        <v>0</v>
      </c>
      <c r="IP7" s="8">
        <v>0</v>
      </c>
      <c r="IQ7" s="8">
        <v>0</v>
      </c>
      <c r="IR7" s="8">
        <v>1.5729346828359889</v>
      </c>
      <c r="IS7" s="8">
        <v>0</v>
      </c>
    </row>
    <row r="8" spans="1:253" x14ac:dyDescent="0.25">
      <c r="A8" s="10">
        <v>44130</v>
      </c>
      <c r="B8" s="556">
        <v>5.01</v>
      </c>
      <c r="C8" s="297">
        <v>6.14</v>
      </c>
      <c r="D8" s="297">
        <v>6.27</v>
      </c>
      <c r="E8" s="297">
        <v>6.49</v>
      </c>
      <c r="F8" s="298">
        <v>6.64</v>
      </c>
      <c r="G8" s="298">
        <v>6.69</v>
      </c>
      <c r="H8" s="298">
        <v>6.7</v>
      </c>
      <c r="I8" s="298">
        <v>6.74</v>
      </c>
      <c r="J8" s="300">
        <v>7.88</v>
      </c>
      <c r="K8" s="301">
        <v>8.51</v>
      </c>
      <c r="L8" s="302">
        <v>9.9499999999999993</v>
      </c>
      <c r="M8" s="660">
        <v>10</v>
      </c>
      <c r="N8" s="660">
        <v>10</v>
      </c>
      <c r="O8" s="660">
        <v>10</v>
      </c>
      <c r="P8" s="660">
        <v>10</v>
      </c>
      <c r="Q8" s="660">
        <v>10</v>
      </c>
      <c r="R8" s="660">
        <v>10</v>
      </c>
      <c r="S8" s="660">
        <v>10</v>
      </c>
      <c r="T8" s="660">
        <v>10</v>
      </c>
      <c r="U8" s="660">
        <v>10</v>
      </c>
      <c r="V8" s="660">
        <v>10</v>
      </c>
      <c r="W8" s="660">
        <v>10</v>
      </c>
      <c r="X8" s="660">
        <v>10</v>
      </c>
      <c r="Y8" s="660">
        <v>10</v>
      </c>
      <c r="Z8" s="660">
        <v>10</v>
      </c>
      <c r="AA8" s="660">
        <v>10</v>
      </c>
      <c r="AB8" s="660">
        <v>10</v>
      </c>
      <c r="AC8" s="660">
        <v>10</v>
      </c>
      <c r="AD8" s="660">
        <v>10</v>
      </c>
      <c r="AE8" s="660">
        <v>10</v>
      </c>
      <c r="AF8" s="660">
        <v>10</v>
      </c>
      <c r="AG8" s="660">
        <v>10</v>
      </c>
      <c r="AH8" s="660">
        <v>10</v>
      </c>
      <c r="AI8" s="660">
        <v>10</v>
      </c>
      <c r="AJ8" s="660">
        <v>10</v>
      </c>
      <c r="AK8" s="660">
        <v>10</v>
      </c>
      <c r="AL8" s="660">
        <v>10</v>
      </c>
      <c r="AM8" s="660">
        <v>10</v>
      </c>
      <c r="AN8" s="660">
        <v>10</v>
      </c>
      <c r="AO8" s="660">
        <v>10</v>
      </c>
      <c r="AP8" s="298">
        <v>19.940000000000001</v>
      </c>
      <c r="AQ8" s="302">
        <v>24</v>
      </c>
      <c r="AR8" s="302">
        <v>24.18</v>
      </c>
      <c r="AS8" s="11">
        <v>60</v>
      </c>
      <c r="AT8" s="11">
        <v>60</v>
      </c>
      <c r="AU8" s="11">
        <v>60</v>
      </c>
      <c r="AV8" s="11">
        <v>60</v>
      </c>
      <c r="AW8" s="11">
        <v>60</v>
      </c>
      <c r="AX8" s="11">
        <v>60</v>
      </c>
      <c r="AY8" s="11">
        <v>60</v>
      </c>
      <c r="AZ8" s="11">
        <v>60</v>
      </c>
      <c r="BA8" s="11">
        <v>60</v>
      </c>
      <c r="BB8" s="11">
        <v>60</v>
      </c>
      <c r="BC8" s="11">
        <v>60</v>
      </c>
      <c r="BD8" s="11">
        <v>60</v>
      </c>
      <c r="BE8" s="11">
        <v>60</v>
      </c>
      <c r="BF8" s="11">
        <v>60</v>
      </c>
      <c r="BG8" s="11">
        <v>60</v>
      </c>
      <c r="BH8" s="11">
        <v>60</v>
      </c>
      <c r="BI8" s="11">
        <v>60</v>
      </c>
      <c r="BJ8" s="11">
        <v>60</v>
      </c>
      <c r="BK8" s="11">
        <v>60</v>
      </c>
      <c r="BL8" s="11">
        <v>60</v>
      </c>
      <c r="BM8" s="11">
        <v>60</v>
      </c>
      <c r="BN8" s="299">
        <v>65.88</v>
      </c>
      <c r="BO8" s="301">
        <v>70.42</v>
      </c>
      <c r="BP8" s="302">
        <v>74.010000000000005</v>
      </c>
      <c r="BQ8" s="302">
        <v>75.58</v>
      </c>
      <c r="BR8" s="302">
        <v>77.81</v>
      </c>
      <c r="BS8" s="11">
        <v>112.69</v>
      </c>
      <c r="BT8" s="11">
        <v>240</v>
      </c>
      <c r="BU8" s="11">
        <v>240</v>
      </c>
      <c r="BV8" s="11">
        <v>240</v>
      </c>
      <c r="BW8" s="11">
        <v>240</v>
      </c>
      <c r="BX8" s="734">
        <v>3.8190954773869348</v>
      </c>
      <c r="BY8" s="736">
        <v>3.3932135728542914</v>
      </c>
      <c r="BZ8" s="737">
        <v>3.1157270029673589</v>
      </c>
      <c r="CA8" s="737">
        <v>3.0816640986132509</v>
      </c>
      <c r="CB8" s="738">
        <v>2.8708133971291869</v>
      </c>
      <c r="CC8" s="738">
        <v>2.7918781725888326</v>
      </c>
      <c r="CD8" s="730">
        <v>2.7108433734939759</v>
      </c>
      <c r="CE8" s="730">
        <v>2.6905829596412554</v>
      </c>
      <c r="CF8" s="732">
        <v>2.1172638436482085</v>
      </c>
      <c r="CG8" s="739">
        <v>1.9976498237367804</v>
      </c>
      <c r="CH8" s="739">
        <v>1.791044776119403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731">
        <v>2.3986765922249793</v>
      </c>
      <c r="DM8" s="732">
        <v>2.125</v>
      </c>
      <c r="DN8" s="732">
        <v>2.1063189568706115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731">
        <v>2.4456154573706255</v>
      </c>
      <c r="EK8" s="731">
        <v>2.3004755172856957</v>
      </c>
      <c r="EL8" s="732">
        <v>2.2465088038858534</v>
      </c>
      <c r="EM8" s="732">
        <v>2.2360412807621066</v>
      </c>
      <c r="EN8" s="732">
        <v>2.1868787276341948</v>
      </c>
      <c r="EO8" s="739">
        <v>1.7215369598012247</v>
      </c>
      <c r="EP8" s="12">
        <v>0</v>
      </c>
      <c r="EQ8" s="12">
        <v>0</v>
      </c>
      <c r="ER8" s="12">
        <v>0</v>
      </c>
      <c r="ES8" s="12">
        <v>0</v>
      </c>
      <c r="ET8" s="301">
        <v>167.02</v>
      </c>
      <c r="EU8" s="11">
        <v>608.12</v>
      </c>
      <c r="EV8" s="301">
        <v>363.7</v>
      </c>
      <c r="EW8" s="739">
        <v>30.379776498179478</v>
      </c>
      <c r="EX8" s="743">
        <v>6.6299955490955913</v>
      </c>
      <c r="EY8" s="731">
        <v>11.415519786938475</v>
      </c>
      <c r="EZ8" s="11">
        <v>1138.8399999999999</v>
      </c>
      <c r="FA8" s="744">
        <v>48.425291834213546</v>
      </c>
      <c r="FB8" s="302">
        <v>367.02</v>
      </c>
      <c r="FC8" s="11">
        <v>1328.12</v>
      </c>
      <c r="FD8" s="11">
        <v>1436.3899999999999</v>
      </c>
      <c r="FE8" s="743">
        <v>30.379776498179478</v>
      </c>
      <c r="FF8" s="742">
        <v>6.6299955490955913</v>
      </c>
      <c r="FG8" s="744">
        <v>13.137056746739699</v>
      </c>
      <c r="FH8" s="11">
        <v>3131.5299999999997</v>
      </c>
      <c r="FI8" s="743">
        <v>50.146828794014766</v>
      </c>
      <c r="FJ8" s="746">
        <v>51.948946696989005</v>
      </c>
      <c r="FK8" s="747">
        <v>39.360986089697775</v>
      </c>
      <c r="FL8" s="747">
        <v>38.756935443733255</v>
      </c>
      <c r="FM8" s="747">
        <v>37.563810816262311</v>
      </c>
      <c r="FN8" s="751">
        <v>36.16898473674032</v>
      </c>
      <c r="FO8" s="751">
        <v>34.075224759738973</v>
      </c>
      <c r="FP8" s="751">
        <v>33.643414309590781</v>
      </c>
      <c r="FQ8" s="751">
        <v>31.130068048744914</v>
      </c>
      <c r="FR8" s="751">
        <v>28.113122196419855</v>
      </c>
      <c r="FS8" s="752">
        <v>22.372063348180557</v>
      </c>
      <c r="FT8" s="752">
        <v>21.106714134386753</v>
      </c>
      <c r="FU8" s="13">
        <v>0</v>
      </c>
      <c r="FV8" s="13">
        <v>0</v>
      </c>
      <c r="FW8" s="13">
        <v>0</v>
      </c>
      <c r="FX8" s="13">
        <v>0</v>
      </c>
      <c r="FY8" s="13">
        <v>0</v>
      </c>
      <c r="FZ8" s="13">
        <v>0</v>
      </c>
      <c r="GA8" s="13">
        <v>0</v>
      </c>
      <c r="GB8" s="13">
        <v>0</v>
      </c>
      <c r="GC8" s="13">
        <v>0</v>
      </c>
      <c r="GD8" s="13">
        <v>0</v>
      </c>
      <c r="GE8" s="13">
        <v>0</v>
      </c>
      <c r="GF8" s="13">
        <v>0</v>
      </c>
      <c r="GG8" s="13">
        <v>0</v>
      </c>
      <c r="GH8" s="13">
        <v>0</v>
      </c>
      <c r="GI8" s="13">
        <v>0</v>
      </c>
      <c r="GJ8" s="13">
        <v>0</v>
      </c>
      <c r="GK8" s="13">
        <v>0</v>
      </c>
      <c r="GL8" s="13">
        <v>0</v>
      </c>
      <c r="GM8" s="13">
        <v>0</v>
      </c>
      <c r="GN8" s="13">
        <v>0</v>
      </c>
      <c r="GO8" s="13">
        <v>0</v>
      </c>
      <c r="GP8" s="13">
        <v>0</v>
      </c>
      <c r="GQ8" s="13">
        <v>0</v>
      </c>
      <c r="GR8" s="13">
        <v>0</v>
      </c>
      <c r="GS8" s="13">
        <v>0</v>
      </c>
      <c r="GT8" s="13">
        <v>0</v>
      </c>
      <c r="GU8" s="13">
        <v>0</v>
      </c>
      <c r="GV8" s="13">
        <v>0</v>
      </c>
      <c r="GW8" s="13">
        <v>0</v>
      </c>
      <c r="GX8" s="747">
        <v>39.854297267718955</v>
      </c>
      <c r="GY8" s="747">
        <v>39.656183605141493</v>
      </c>
      <c r="GZ8" s="751">
        <v>35.315852344748023</v>
      </c>
      <c r="HA8" s="13">
        <v>0</v>
      </c>
      <c r="HB8" s="13">
        <v>0</v>
      </c>
      <c r="HC8" s="13">
        <v>0</v>
      </c>
      <c r="HD8" s="13">
        <v>0</v>
      </c>
      <c r="HE8" s="13">
        <v>0</v>
      </c>
      <c r="HF8" s="13">
        <v>0</v>
      </c>
      <c r="HG8" s="13">
        <v>0</v>
      </c>
      <c r="HH8" s="13">
        <v>0</v>
      </c>
      <c r="HI8" s="13">
        <v>0</v>
      </c>
      <c r="HJ8" s="13">
        <v>0</v>
      </c>
      <c r="HK8" s="13">
        <v>0</v>
      </c>
      <c r="HL8" s="13">
        <v>0</v>
      </c>
      <c r="HM8" s="13">
        <v>0</v>
      </c>
      <c r="HN8" s="13">
        <v>0</v>
      </c>
      <c r="HO8" s="13">
        <v>0</v>
      </c>
      <c r="HP8" s="13">
        <v>0</v>
      </c>
      <c r="HQ8" s="13">
        <v>0</v>
      </c>
      <c r="HR8" s="13">
        <v>0</v>
      </c>
      <c r="HS8" s="13">
        <v>0</v>
      </c>
      <c r="HT8" s="13">
        <v>0</v>
      </c>
      <c r="HU8" s="13">
        <v>0</v>
      </c>
      <c r="HV8" s="746">
        <v>52.284762913993418</v>
      </c>
      <c r="HW8" s="746">
        <v>52.103976210912592</v>
      </c>
      <c r="HX8" s="747">
        <v>48.409181638912258</v>
      </c>
      <c r="HY8" s="747">
        <v>47.487912634670145</v>
      </c>
      <c r="HZ8" s="747">
        <v>47.106978729138071</v>
      </c>
      <c r="IA8" s="751">
        <v>27.421224295413083</v>
      </c>
      <c r="IB8" s="13">
        <v>0</v>
      </c>
      <c r="IC8" s="13">
        <v>0</v>
      </c>
      <c r="ID8" s="13">
        <v>0</v>
      </c>
      <c r="IE8" s="13">
        <v>0</v>
      </c>
      <c r="IF8" s="754">
        <v>374.24027058048455</v>
      </c>
      <c r="IG8" s="754">
        <v>114.82633321760848</v>
      </c>
      <c r="IH8" s="751">
        <v>274.81403642303957</v>
      </c>
      <c r="II8" s="752">
        <v>374.24027058048455</v>
      </c>
      <c r="IJ8" s="754">
        <v>114.82633321760848</v>
      </c>
      <c r="IK8" s="747">
        <v>247.39281212762648</v>
      </c>
      <c r="IL8" s="8">
        <v>4.3691721855904239E-2</v>
      </c>
      <c r="IM8" s="8">
        <v>2.1161053309992673E-2</v>
      </c>
      <c r="IN8" s="8">
        <v>1.5529928743410903</v>
      </c>
      <c r="IO8" s="8">
        <v>0.11281546423575084</v>
      </c>
      <c r="IP8" s="8">
        <v>9.9414083488272159E-3</v>
      </c>
      <c r="IQ8" s="8">
        <v>4.8446148461256302E-3</v>
      </c>
      <c r="IR8" s="8">
        <v>0.25134173805791338</v>
      </c>
      <c r="IS8" s="8">
        <v>2.2960989196727274E-2</v>
      </c>
    </row>
    <row r="9" spans="1:253" x14ac:dyDescent="0.25">
      <c r="A9" s="10">
        <v>44123</v>
      </c>
      <c r="B9" s="660">
        <v>10</v>
      </c>
      <c r="C9" s="660">
        <v>10</v>
      </c>
      <c r="D9" s="660">
        <v>10</v>
      </c>
      <c r="E9" s="660">
        <v>10</v>
      </c>
      <c r="F9" s="660">
        <v>10</v>
      </c>
      <c r="G9" s="660">
        <v>10</v>
      </c>
      <c r="H9" s="660">
        <v>10</v>
      </c>
      <c r="I9" s="660">
        <v>10</v>
      </c>
      <c r="J9" s="660">
        <v>10</v>
      </c>
      <c r="K9" s="660">
        <v>10</v>
      </c>
      <c r="L9" s="660">
        <v>10</v>
      </c>
      <c r="M9" s="660">
        <v>10</v>
      </c>
      <c r="N9" s="660">
        <v>10</v>
      </c>
      <c r="O9" s="660">
        <v>10</v>
      </c>
      <c r="P9" s="660">
        <v>10</v>
      </c>
      <c r="Q9" s="660">
        <v>10</v>
      </c>
      <c r="R9" s="660">
        <v>10</v>
      </c>
      <c r="S9" s="660">
        <v>10</v>
      </c>
      <c r="T9" s="660">
        <v>10</v>
      </c>
      <c r="U9" s="660">
        <v>10</v>
      </c>
      <c r="V9" s="660">
        <v>10</v>
      </c>
      <c r="W9" s="660">
        <v>10</v>
      </c>
      <c r="X9" s="660">
        <v>10</v>
      </c>
      <c r="Y9" s="660">
        <v>10</v>
      </c>
      <c r="Z9" s="660">
        <v>10</v>
      </c>
      <c r="AA9" s="660">
        <v>10</v>
      </c>
      <c r="AB9" s="660">
        <v>10</v>
      </c>
      <c r="AC9" s="660">
        <v>10</v>
      </c>
      <c r="AD9" s="660">
        <v>10</v>
      </c>
      <c r="AE9" s="660">
        <v>10</v>
      </c>
      <c r="AF9" s="660">
        <v>10</v>
      </c>
      <c r="AG9" s="660">
        <v>10</v>
      </c>
      <c r="AH9" s="660">
        <v>10</v>
      </c>
      <c r="AI9" s="660">
        <v>10</v>
      </c>
      <c r="AJ9" s="660">
        <v>10</v>
      </c>
      <c r="AK9" s="660">
        <v>10</v>
      </c>
      <c r="AL9" s="660">
        <v>10</v>
      </c>
      <c r="AM9" s="660">
        <v>10</v>
      </c>
      <c r="AN9" s="660">
        <v>10</v>
      </c>
      <c r="AO9" s="660">
        <v>10</v>
      </c>
      <c r="AP9" s="11">
        <v>60</v>
      </c>
      <c r="AQ9" s="11">
        <v>60</v>
      </c>
      <c r="AR9" s="11">
        <v>60</v>
      </c>
      <c r="AS9" s="11">
        <v>60</v>
      </c>
      <c r="AT9" s="11">
        <v>60</v>
      </c>
      <c r="AU9" s="11">
        <v>60</v>
      </c>
      <c r="AV9" s="11">
        <v>60</v>
      </c>
      <c r="AW9" s="11">
        <v>60</v>
      </c>
      <c r="AX9" s="11">
        <v>60</v>
      </c>
      <c r="AY9" s="11">
        <v>60</v>
      </c>
      <c r="AZ9" s="11">
        <v>60</v>
      </c>
      <c r="BA9" s="11">
        <v>60</v>
      </c>
      <c r="BB9" s="11">
        <v>60</v>
      </c>
      <c r="BC9" s="11">
        <v>60</v>
      </c>
      <c r="BD9" s="11">
        <v>60</v>
      </c>
      <c r="BE9" s="11">
        <v>60</v>
      </c>
      <c r="BF9" s="11">
        <v>60</v>
      </c>
      <c r="BG9" s="11">
        <v>60</v>
      </c>
      <c r="BH9" s="11">
        <v>60</v>
      </c>
      <c r="BI9" s="11">
        <v>60</v>
      </c>
      <c r="BJ9" s="11">
        <v>60</v>
      </c>
      <c r="BK9" s="11">
        <v>60</v>
      </c>
      <c r="BL9" s="11">
        <v>60</v>
      </c>
      <c r="BM9" s="11">
        <v>60</v>
      </c>
      <c r="BN9" s="299">
        <v>66.31</v>
      </c>
      <c r="BO9" s="300">
        <v>68.69</v>
      </c>
      <c r="BP9" s="301">
        <v>70.33</v>
      </c>
      <c r="BQ9" s="301">
        <v>73.010000000000005</v>
      </c>
      <c r="BR9" s="660">
        <v>81.739999999999995</v>
      </c>
      <c r="BS9" s="659">
        <v>85.23</v>
      </c>
      <c r="BT9" s="659">
        <v>87.28</v>
      </c>
      <c r="BU9" s="11">
        <v>96.31</v>
      </c>
      <c r="BV9" s="11">
        <v>240</v>
      </c>
      <c r="BW9" s="11">
        <v>240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731">
        <v>2.3584218954724125</v>
      </c>
      <c r="EK9" s="731">
        <v>2.3375056552556175</v>
      </c>
      <c r="EL9" s="732">
        <v>2.2057960811920685</v>
      </c>
      <c r="EM9" s="732">
        <v>2.1043651357884259</v>
      </c>
      <c r="EN9" s="732">
        <v>2.0956033420079438</v>
      </c>
      <c r="EO9" s="732">
        <v>2.0552972840714463</v>
      </c>
      <c r="EP9" s="739">
        <v>1.962413041221057</v>
      </c>
      <c r="EQ9" s="739">
        <v>1.9133822181484876</v>
      </c>
      <c r="ER9" s="12">
        <v>0</v>
      </c>
      <c r="ES9" s="12">
        <v>0</v>
      </c>
      <c r="ET9" s="660">
        <v>200</v>
      </c>
      <c r="EU9" s="11">
        <v>720</v>
      </c>
      <c r="EV9" s="301">
        <v>360.08</v>
      </c>
      <c r="EW9" s="12">
        <v>0</v>
      </c>
      <c r="EX9" s="12">
        <v>0</v>
      </c>
      <c r="EY9" s="732">
        <v>11.101692109716469</v>
      </c>
      <c r="EZ9" s="11">
        <v>1280.08</v>
      </c>
      <c r="FA9" s="742">
        <v>11.101692109716469</v>
      </c>
      <c r="FB9" s="660">
        <v>400</v>
      </c>
      <c r="FC9" s="11">
        <v>1440</v>
      </c>
      <c r="FD9" s="11">
        <v>1108.9000000000001</v>
      </c>
      <c r="FE9" s="12">
        <v>0</v>
      </c>
      <c r="FF9" s="12">
        <v>0</v>
      </c>
      <c r="FG9" s="739">
        <v>17.03278465315746</v>
      </c>
      <c r="FH9" s="11">
        <v>2948.9</v>
      </c>
      <c r="FI9" s="742">
        <v>17.03278465315746</v>
      </c>
      <c r="FJ9" s="13">
        <v>0</v>
      </c>
      <c r="FK9" s="13">
        <v>0</v>
      </c>
      <c r="FL9" s="13">
        <v>0</v>
      </c>
      <c r="FM9" s="13">
        <v>0</v>
      </c>
      <c r="FN9" s="13">
        <v>0</v>
      </c>
      <c r="FO9" s="13">
        <v>0</v>
      </c>
      <c r="FP9" s="13">
        <v>0</v>
      </c>
      <c r="FQ9" s="13">
        <v>0</v>
      </c>
      <c r="FR9" s="13">
        <v>0</v>
      </c>
      <c r="FS9" s="13">
        <v>0</v>
      </c>
      <c r="FT9" s="13">
        <v>0</v>
      </c>
      <c r="FU9" s="13">
        <v>0</v>
      </c>
      <c r="FV9" s="13">
        <v>0</v>
      </c>
      <c r="FW9" s="13">
        <v>0</v>
      </c>
      <c r="FX9" s="13">
        <v>0</v>
      </c>
      <c r="FY9" s="13">
        <v>0</v>
      </c>
      <c r="FZ9" s="13">
        <v>0</v>
      </c>
      <c r="GA9" s="13">
        <v>0</v>
      </c>
      <c r="GB9" s="13">
        <v>0</v>
      </c>
      <c r="GC9" s="13">
        <v>0</v>
      </c>
      <c r="GD9" s="13">
        <v>0</v>
      </c>
      <c r="GE9" s="13">
        <v>0</v>
      </c>
      <c r="GF9" s="13">
        <v>0</v>
      </c>
      <c r="GG9" s="13">
        <v>0</v>
      </c>
      <c r="GH9" s="13">
        <v>0</v>
      </c>
      <c r="GI9" s="13">
        <v>0</v>
      </c>
      <c r="GJ9" s="13">
        <v>0</v>
      </c>
      <c r="GK9" s="13">
        <v>0</v>
      </c>
      <c r="GL9" s="13">
        <v>0</v>
      </c>
      <c r="GM9" s="13">
        <v>0</v>
      </c>
      <c r="GN9" s="13">
        <v>0</v>
      </c>
      <c r="GO9" s="13">
        <v>0</v>
      </c>
      <c r="GP9" s="13">
        <v>0</v>
      </c>
      <c r="GQ9" s="13">
        <v>0</v>
      </c>
      <c r="GR9" s="13">
        <v>0</v>
      </c>
      <c r="GS9" s="13">
        <v>0</v>
      </c>
      <c r="GT9" s="13">
        <v>0</v>
      </c>
      <c r="GU9" s="13">
        <v>0</v>
      </c>
      <c r="GV9" s="13">
        <v>0</v>
      </c>
      <c r="GW9" s="13">
        <v>0</v>
      </c>
      <c r="GX9" s="13">
        <v>0</v>
      </c>
      <c r="GY9" s="13">
        <v>0</v>
      </c>
      <c r="GZ9" s="13">
        <v>0</v>
      </c>
      <c r="HA9" s="13">
        <v>0</v>
      </c>
      <c r="HB9" s="13">
        <v>0</v>
      </c>
      <c r="HC9" s="13">
        <v>0</v>
      </c>
      <c r="HD9" s="13">
        <v>0</v>
      </c>
      <c r="HE9" s="13">
        <v>0</v>
      </c>
      <c r="HF9" s="13">
        <v>0</v>
      </c>
      <c r="HG9" s="13">
        <v>0</v>
      </c>
      <c r="HH9" s="13">
        <v>0</v>
      </c>
      <c r="HI9" s="13">
        <v>0</v>
      </c>
      <c r="HJ9" s="13">
        <v>0</v>
      </c>
      <c r="HK9" s="13">
        <v>0</v>
      </c>
      <c r="HL9" s="13">
        <v>0</v>
      </c>
      <c r="HM9" s="13">
        <v>0</v>
      </c>
      <c r="HN9" s="13">
        <v>0</v>
      </c>
      <c r="HO9" s="13">
        <v>0</v>
      </c>
      <c r="HP9" s="13">
        <v>0</v>
      </c>
      <c r="HQ9" s="13">
        <v>0</v>
      </c>
      <c r="HR9" s="13">
        <v>0</v>
      </c>
      <c r="HS9" s="13">
        <v>0</v>
      </c>
      <c r="HT9" s="13">
        <v>0</v>
      </c>
      <c r="HU9" s="13">
        <v>0</v>
      </c>
      <c r="HV9" s="746">
        <v>53.968159334778207</v>
      </c>
      <c r="HW9" s="746">
        <v>53.123452488132791</v>
      </c>
      <c r="HX9" s="747">
        <v>46.624364048329994</v>
      </c>
      <c r="HY9" s="747">
        <v>45.230531777831473</v>
      </c>
      <c r="HZ9" s="747">
        <v>42.720947301147518</v>
      </c>
      <c r="IA9" s="747">
        <v>40.988371171423957</v>
      </c>
      <c r="IB9" s="751">
        <v>36.44615120373625</v>
      </c>
      <c r="IC9" s="751">
        <v>34.89078242832263</v>
      </c>
      <c r="ID9" s="13">
        <v>0</v>
      </c>
      <c r="IE9" s="13">
        <v>0</v>
      </c>
      <c r="IF9" s="13">
        <v>0</v>
      </c>
      <c r="IG9" s="13">
        <v>0</v>
      </c>
      <c r="IH9" s="751">
        <v>353.99275975370284</v>
      </c>
      <c r="II9" s="13">
        <v>0</v>
      </c>
      <c r="IJ9" s="13">
        <v>0</v>
      </c>
      <c r="IK9" s="747">
        <v>241.66745495022002</v>
      </c>
      <c r="IL9" s="8">
        <v>0</v>
      </c>
      <c r="IM9" s="8">
        <v>0</v>
      </c>
      <c r="IN9" s="8">
        <v>1.4901786701822473</v>
      </c>
      <c r="IO9" s="8">
        <v>0</v>
      </c>
      <c r="IP9" s="8">
        <v>0</v>
      </c>
      <c r="IQ9" s="8">
        <v>0</v>
      </c>
      <c r="IR9" s="8">
        <v>0.54373545366234333</v>
      </c>
      <c r="IS9" s="8">
        <v>0</v>
      </c>
    </row>
    <row r="10" spans="1:253" x14ac:dyDescent="0.25">
      <c r="A10" s="10">
        <v>44116</v>
      </c>
      <c r="B10" s="556">
        <v>5.35</v>
      </c>
      <c r="C10" s="552">
        <v>5.84</v>
      </c>
      <c r="D10" s="552">
        <v>5.9</v>
      </c>
      <c r="E10" s="297">
        <v>6.31</v>
      </c>
      <c r="F10" s="298">
        <v>6.94</v>
      </c>
      <c r="G10" s="299">
        <v>7.04</v>
      </c>
      <c r="H10" s="300">
        <v>7.8</v>
      </c>
      <c r="I10" s="660">
        <v>10</v>
      </c>
      <c r="J10" s="660">
        <v>10</v>
      </c>
      <c r="K10" s="660">
        <v>10</v>
      </c>
      <c r="L10" s="660">
        <v>10</v>
      </c>
      <c r="M10" s="660">
        <v>10</v>
      </c>
      <c r="N10" s="660">
        <v>10</v>
      </c>
      <c r="O10" s="660">
        <v>10</v>
      </c>
      <c r="P10" s="660">
        <v>10</v>
      </c>
      <c r="Q10" s="660">
        <v>10</v>
      </c>
      <c r="R10" s="660">
        <v>10</v>
      </c>
      <c r="S10" s="660">
        <v>10</v>
      </c>
      <c r="T10" s="660">
        <v>10</v>
      </c>
      <c r="U10" s="660">
        <v>10</v>
      </c>
      <c r="V10" s="660">
        <v>10</v>
      </c>
      <c r="W10" s="660">
        <v>10</v>
      </c>
      <c r="X10" s="660">
        <v>10</v>
      </c>
      <c r="Y10" s="660">
        <v>10</v>
      </c>
      <c r="Z10" s="660">
        <v>10</v>
      </c>
      <c r="AA10" s="660">
        <v>10</v>
      </c>
      <c r="AB10" s="660">
        <v>10</v>
      </c>
      <c r="AC10" s="660">
        <v>10</v>
      </c>
      <c r="AD10" s="660">
        <v>10</v>
      </c>
      <c r="AE10" s="660">
        <v>10</v>
      </c>
      <c r="AF10" s="660">
        <v>10</v>
      </c>
      <c r="AG10" s="660">
        <v>10</v>
      </c>
      <c r="AH10" s="660">
        <v>10</v>
      </c>
      <c r="AI10" s="660">
        <v>10</v>
      </c>
      <c r="AJ10" s="660">
        <v>10</v>
      </c>
      <c r="AK10" s="660">
        <v>10</v>
      </c>
      <c r="AL10" s="660">
        <v>10</v>
      </c>
      <c r="AM10" s="660">
        <v>10</v>
      </c>
      <c r="AN10" s="660">
        <v>10</v>
      </c>
      <c r="AO10" s="660">
        <v>10</v>
      </c>
      <c r="AP10" s="299">
        <v>20.84</v>
      </c>
      <c r="AQ10" s="300">
        <v>21.75</v>
      </c>
      <c r="AR10" s="300">
        <v>21.77</v>
      </c>
      <c r="AS10" s="301">
        <v>22.22</v>
      </c>
      <c r="AT10" s="301">
        <v>22.91</v>
      </c>
      <c r="AU10" s="301">
        <v>23</v>
      </c>
      <c r="AV10" s="302">
        <v>24.75</v>
      </c>
      <c r="AW10" s="302">
        <v>25.44</v>
      </c>
      <c r="AX10" s="660">
        <v>26.08</v>
      </c>
      <c r="AY10" s="660">
        <v>26.19</v>
      </c>
      <c r="AZ10" s="660">
        <v>26.98</v>
      </c>
      <c r="BA10" s="659">
        <v>29.32</v>
      </c>
      <c r="BB10" s="11">
        <v>60</v>
      </c>
      <c r="BC10" s="11">
        <v>60</v>
      </c>
      <c r="BD10" s="11">
        <v>60</v>
      </c>
      <c r="BE10" s="11">
        <v>60</v>
      </c>
      <c r="BF10" s="11">
        <v>60</v>
      </c>
      <c r="BG10" s="11">
        <v>60</v>
      </c>
      <c r="BH10" s="11">
        <v>60</v>
      </c>
      <c r="BI10" s="11">
        <v>60</v>
      </c>
      <c r="BJ10" s="11">
        <v>60</v>
      </c>
      <c r="BK10" s="11">
        <v>60</v>
      </c>
      <c r="BL10" s="11">
        <v>60</v>
      </c>
      <c r="BM10" s="11">
        <v>60</v>
      </c>
      <c r="BN10" s="301">
        <v>70.930000000000007</v>
      </c>
      <c r="BO10" s="11">
        <v>240</v>
      </c>
      <c r="BP10" s="11">
        <v>240</v>
      </c>
      <c r="BQ10" s="11">
        <v>240</v>
      </c>
      <c r="BR10" s="11">
        <v>240</v>
      </c>
      <c r="BS10" s="11">
        <v>240</v>
      </c>
      <c r="BT10" s="11">
        <v>240</v>
      </c>
      <c r="BU10" s="11">
        <v>240</v>
      </c>
      <c r="BV10" s="11">
        <v>240</v>
      </c>
      <c r="BW10" s="11">
        <v>240</v>
      </c>
      <c r="BX10" s="738">
        <v>2.8205128205128207</v>
      </c>
      <c r="BY10" s="730">
        <v>2.7118644067796609</v>
      </c>
      <c r="BZ10" s="730">
        <v>2.6988636363636362</v>
      </c>
      <c r="CA10" s="730">
        <v>2.6168224299065423</v>
      </c>
      <c r="CB10" s="730">
        <v>2.5936599423631121</v>
      </c>
      <c r="CC10" s="731">
        <v>2.3771790808240887</v>
      </c>
      <c r="CD10" s="732">
        <v>2.0547945205479454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738">
        <v>2.9782359679266892</v>
      </c>
      <c r="DM10" s="730">
        <v>2.5747126436781609</v>
      </c>
      <c r="DN10" s="731">
        <v>2.4215552523874488</v>
      </c>
      <c r="DO10" s="731">
        <v>2.4156441717791415</v>
      </c>
      <c r="DP10" s="731">
        <v>2.3721275018532246</v>
      </c>
      <c r="DQ10" s="731">
        <v>2.3584905660377355</v>
      </c>
      <c r="DR10" s="731">
        <v>2.3570493234395462</v>
      </c>
      <c r="DS10" s="731">
        <v>2.3512476007677545</v>
      </c>
      <c r="DT10" s="731">
        <v>2.2508038585209005</v>
      </c>
      <c r="DU10" s="732">
        <v>2.0702070207020702</v>
      </c>
      <c r="DV10" s="739">
        <v>1.9565217391304348</v>
      </c>
      <c r="DW10" s="739">
        <v>1.898989898989899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732">
        <v>2.0865642182433382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301">
        <v>175.18</v>
      </c>
      <c r="EU10" s="302">
        <v>291.25</v>
      </c>
      <c r="EV10" s="11">
        <v>1030.93</v>
      </c>
      <c r="EW10" s="743">
        <v>17.873696837297807</v>
      </c>
      <c r="EX10" s="731">
        <v>28.005585545213005</v>
      </c>
      <c r="EY10" s="742">
        <v>2.0865642182433382</v>
      </c>
      <c r="EZ10" s="11">
        <v>1497.3600000000001</v>
      </c>
      <c r="FA10" s="744">
        <v>47.965846600754148</v>
      </c>
      <c r="FB10" s="302">
        <v>375.18</v>
      </c>
      <c r="FC10" s="11">
        <v>1011.25</v>
      </c>
      <c r="FD10" s="11">
        <v>2230.9300000000003</v>
      </c>
      <c r="FE10" s="742">
        <v>17.873696837297807</v>
      </c>
      <c r="FF10" s="744">
        <v>28.005585545213005</v>
      </c>
      <c r="FG10" s="742">
        <v>2.0865642182433382</v>
      </c>
      <c r="FH10" s="11">
        <v>3617.3600000000006</v>
      </c>
      <c r="FI10" s="743">
        <v>47.965846600754148</v>
      </c>
      <c r="FJ10" s="747">
        <v>38.262960125614498</v>
      </c>
      <c r="FK10" s="751">
        <v>37.027425926423199</v>
      </c>
      <c r="FL10" s="751">
        <v>32.563572105050113</v>
      </c>
      <c r="FM10" s="751">
        <v>31.674795174085844</v>
      </c>
      <c r="FN10" s="751">
        <v>31.609189802214203</v>
      </c>
      <c r="FO10" s="751">
        <v>30.966584525697122</v>
      </c>
      <c r="FP10" s="751">
        <v>28.257345706061002</v>
      </c>
      <c r="FQ10" s="13">
        <v>0</v>
      </c>
      <c r="FR10" s="13">
        <v>0</v>
      </c>
      <c r="FS10" s="13">
        <v>0</v>
      </c>
      <c r="FT10" s="13">
        <v>0</v>
      </c>
      <c r="FU10" s="13">
        <v>0</v>
      </c>
      <c r="FV10" s="13">
        <v>0</v>
      </c>
      <c r="FW10" s="13">
        <v>0</v>
      </c>
      <c r="FX10" s="13">
        <v>0</v>
      </c>
      <c r="FY10" s="13">
        <v>0</v>
      </c>
      <c r="FZ10" s="13">
        <v>0</v>
      </c>
      <c r="GA10" s="13">
        <v>0</v>
      </c>
      <c r="GB10" s="13">
        <v>0</v>
      </c>
      <c r="GC10" s="13">
        <v>0</v>
      </c>
      <c r="GD10" s="13">
        <v>0</v>
      </c>
      <c r="GE10" s="13">
        <v>0</v>
      </c>
      <c r="GF10" s="13">
        <v>0</v>
      </c>
      <c r="GG10" s="13">
        <v>0</v>
      </c>
      <c r="GH10" s="13">
        <v>0</v>
      </c>
      <c r="GI10" s="13">
        <v>0</v>
      </c>
      <c r="GJ10" s="13">
        <v>0</v>
      </c>
      <c r="GK10" s="13">
        <v>0</v>
      </c>
      <c r="GL10" s="13">
        <v>0</v>
      </c>
      <c r="GM10" s="13">
        <v>0</v>
      </c>
      <c r="GN10" s="13">
        <v>0</v>
      </c>
      <c r="GO10" s="13">
        <v>0</v>
      </c>
      <c r="GP10" s="13">
        <v>0</v>
      </c>
      <c r="GQ10" s="13">
        <v>0</v>
      </c>
      <c r="GR10" s="13">
        <v>0</v>
      </c>
      <c r="GS10" s="13">
        <v>0</v>
      </c>
      <c r="GT10" s="13">
        <v>0</v>
      </c>
      <c r="GU10" s="13">
        <v>0</v>
      </c>
      <c r="GV10" s="13">
        <v>0</v>
      </c>
      <c r="GW10" s="13">
        <v>0</v>
      </c>
      <c r="GX10" s="747">
        <v>46.561062544268076</v>
      </c>
      <c r="GY10" s="747">
        <v>45.842248389980334</v>
      </c>
      <c r="GZ10" s="747">
        <v>43.134879817508505</v>
      </c>
      <c r="HA10" s="747">
        <v>40.467813084969777</v>
      </c>
      <c r="HB10" s="747">
        <v>40.04934132716815</v>
      </c>
      <c r="HC10" s="747">
        <v>37.877061459298872</v>
      </c>
      <c r="HD10" s="747">
        <v>37.629703444368992</v>
      </c>
      <c r="HE10" s="751">
        <v>36.321794260517336</v>
      </c>
      <c r="HF10" s="751">
        <v>36.312116746895825</v>
      </c>
      <c r="HG10" s="751">
        <v>34.981484353364046</v>
      </c>
      <c r="HH10" s="751">
        <v>33.499152486993218</v>
      </c>
      <c r="HI10" s="751">
        <v>30.887207064180014</v>
      </c>
      <c r="HJ10" s="13">
        <v>0</v>
      </c>
      <c r="HK10" s="13">
        <v>0</v>
      </c>
      <c r="HL10" s="13">
        <v>0</v>
      </c>
      <c r="HM10" s="13">
        <v>0</v>
      </c>
      <c r="HN10" s="13">
        <v>0</v>
      </c>
      <c r="HO10" s="13">
        <v>0</v>
      </c>
      <c r="HP10" s="13">
        <v>0</v>
      </c>
      <c r="HQ10" s="13">
        <v>0</v>
      </c>
      <c r="HR10" s="13">
        <v>0</v>
      </c>
      <c r="HS10" s="13">
        <v>0</v>
      </c>
      <c r="HT10" s="13">
        <v>0</v>
      </c>
      <c r="HU10" s="13">
        <v>0</v>
      </c>
      <c r="HV10" s="747">
        <v>45.955874946808692</v>
      </c>
      <c r="HW10" s="13">
        <v>0</v>
      </c>
      <c r="HX10" s="13">
        <v>0</v>
      </c>
      <c r="HY10" s="13">
        <v>0</v>
      </c>
      <c r="HZ10" s="13">
        <v>0</v>
      </c>
      <c r="IA10" s="13">
        <v>0</v>
      </c>
      <c r="IB10" s="13">
        <v>0</v>
      </c>
      <c r="IC10" s="13">
        <v>0</v>
      </c>
      <c r="ID10" s="13">
        <v>0</v>
      </c>
      <c r="IE10" s="13">
        <v>0</v>
      </c>
      <c r="IF10" s="754">
        <v>230.36187336514598</v>
      </c>
      <c r="IG10" s="752">
        <v>463.5638649795132</v>
      </c>
      <c r="IH10" s="754">
        <v>45.955874946808692</v>
      </c>
      <c r="II10" s="754">
        <v>230.36187336514598</v>
      </c>
      <c r="IJ10" s="747">
        <v>463.5638649795132</v>
      </c>
      <c r="IK10" s="754">
        <v>45.955874946808692</v>
      </c>
      <c r="IL10" s="8">
        <v>1.5085962149918518E-2</v>
      </c>
      <c r="IM10" s="8">
        <v>0.75345988191495417</v>
      </c>
      <c r="IN10" s="8">
        <v>1.860259848526602E-2</v>
      </c>
      <c r="IO10" s="8">
        <v>5.9575667885633427E-2</v>
      </c>
      <c r="IP10" s="8">
        <v>3.521987911699353E-3</v>
      </c>
      <c r="IQ10" s="8">
        <v>0.10850194838453912</v>
      </c>
      <c r="IR10" s="8">
        <v>4.2982022870317075E-3</v>
      </c>
      <c r="IS10" s="8">
        <v>1.1798788501943436E-2</v>
      </c>
    </row>
    <row r="11" spans="1:253" x14ac:dyDescent="0.25">
      <c r="A11" s="10">
        <v>44109</v>
      </c>
      <c r="B11" s="293">
        <v>3.44</v>
      </c>
      <c r="C11" s="551">
        <v>3.59</v>
      </c>
      <c r="D11" s="555">
        <v>4.3499999999999996</v>
      </c>
      <c r="E11" s="556">
        <v>5.33</v>
      </c>
      <c r="F11" s="552">
        <v>5.58</v>
      </c>
      <c r="G11" s="552">
        <v>5.58</v>
      </c>
      <c r="H11" s="297">
        <v>6.07</v>
      </c>
      <c r="I11" s="297">
        <v>6.47</v>
      </c>
      <c r="J11" s="299">
        <v>7.19</v>
      </c>
      <c r="K11" s="299">
        <v>7.22</v>
      </c>
      <c r="L11" s="299">
        <v>7.29</v>
      </c>
      <c r="M11" s="300">
        <v>7.74</v>
      </c>
      <c r="N11" s="302">
        <v>9.0399999999999991</v>
      </c>
      <c r="O11" s="302">
        <v>9.51</v>
      </c>
      <c r="P11" s="660">
        <v>10</v>
      </c>
      <c r="Q11" s="660">
        <v>10</v>
      </c>
      <c r="R11" s="660">
        <v>10</v>
      </c>
      <c r="S11" s="660">
        <v>10</v>
      </c>
      <c r="T11" s="660">
        <v>10</v>
      </c>
      <c r="U11" s="660">
        <v>10</v>
      </c>
      <c r="V11" s="660">
        <v>10</v>
      </c>
      <c r="W11" s="660">
        <v>10</v>
      </c>
      <c r="X11" s="660">
        <v>10</v>
      </c>
      <c r="Y11" s="660">
        <v>10</v>
      </c>
      <c r="Z11" s="660">
        <v>10</v>
      </c>
      <c r="AA11" s="660">
        <v>10</v>
      </c>
      <c r="AB11" s="660">
        <v>10</v>
      </c>
      <c r="AC11" s="660">
        <v>10</v>
      </c>
      <c r="AD11" s="660">
        <v>10</v>
      </c>
      <c r="AE11" s="660">
        <v>10</v>
      </c>
      <c r="AF11" s="660">
        <v>10</v>
      </c>
      <c r="AG11" s="660">
        <v>10</v>
      </c>
      <c r="AH11" s="660">
        <v>10</v>
      </c>
      <c r="AI11" s="660">
        <v>10</v>
      </c>
      <c r="AJ11" s="660">
        <v>10</v>
      </c>
      <c r="AK11" s="660">
        <v>10</v>
      </c>
      <c r="AL11" s="660">
        <v>10</v>
      </c>
      <c r="AM11" s="660">
        <v>10</v>
      </c>
      <c r="AN11" s="660">
        <v>10</v>
      </c>
      <c r="AO11" s="660">
        <v>10</v>
      </c>
      <c r="AP11" s="552">
        <v>17.57</v>
      </c>
      <c r="AQ11" s="298">
        <v>19.03</v>
      </c>
      <c r="AR11" s="299">
        <v>20.85</v>
      </c>
      <c r="AS11" s="299">
        <v>20.98</v>
      </c>
      <c r="AT11" s="300">
        <v>21.78</v>
      </c>
      <c r="AU11" s="301">
        <v>22.66</v>
      </c>
      <c r="AV11" s="301">
        <v>22.87</v>
      </c>
      <c r="AW11" s="301">
        <v>22.92</v>
      </c>
      <c r="AX11" s="301">
        <v>23.05</v>
      </c>
      <c r="AY11" s="301">
        <v>23.19</v>
      </c>
      <c r="AZ11" s="301">
        <v>23.32</v>
      </c>
      <c r="BA11" s="301">
        <v>23.35</v>
      </c>
      <c r="BB11" s="301">
        <v>23.49</v>
      </c>
      <c r="BC11" s="301">
        <v>23.52</v>
      </c>
      <c r="BD11" s="301">
        <v>23.93</v>
      </c>
      <c r="BE11" s="302">
        <v>24.1</v>
      </c>
      <c r="BF11" s="302">
        <v>24.71</v>
      </c>
      <c r="BG11" s="302">
        <v>25.16</v>
      </c>
      <c r="BH11" s="302">
        <v>25.68</v>
      </c>
      <c r="BI11" s="302">
        <v>25.72</v>
      </c>
      <c r="BJ11" s="660">
        <v>26.01</v>
      </c>
      <c r="BK11" s="660">
        <v>26.79</v>
      </c>
      <c r="BL11" s="660">
        <v>27.45</v>
      </c>
      <c r="BM11" s="660">
        <v>27.71</v>
      </c>
      <c r="BN11" s="299">
        <v>66.41</v>
      </c>
      <c r="BO11" s="660">
        <v>81.83</v>
      </c>
      <c r="BP11" s="659">
        <v>87.21</v>
      </c>
      <c r="BQ11" s="11">
        <v>240</v>
      </c>
      <c r="BR11" s="11">
        <v>240</v>
      </c>
      <c r="BS11" s="11">
        <v>240</v>
      </c>
      <c r="BT11" s="11">
        <v>240</v>
      </c>
      <c r="BU11" s="11">
        <v>240</v>
      </c>
      <c r="BV11" s="11">
        <v>240</v>
      </c>
      <c r="BW11" s="11">
        <v>240</v>
      </c>
      <c r="BX11" s="734">
        <v>3.7634408602150535</v>
      </c>
      <c r="BY11" s="736">
        <v>3.4883720930232558</v>
      </c>
      <c r="BZ11" s="736">
        <v>3.3648790746582544</v>
      </c>
      <c r="CA11" s="737">
        <v>3.2457496136012365</v>
      </c>
      <c r="CB11" s="737">
        <v>3.017832647462277</v>
      </c>
      <c r="CC11" s="738">
        <v>2.9069767441860463</v>
      </c>
      <c r="CD11" s="738">
        <v>2.8142589118198873</v>
      </c>
      <c r="CE11" s="738">
        <v>2.785515320334262</v>
      </c>
      <c r="CF11" s="738">
        <v>2.7816411682892905</v>
      </c>
      <c r="CG11" s="738">
        <v>2.7586206896551726</v>
      </c>
      <c r="CH11" s="731">
        <v>2.4711696869851729</v>
      </c>
      <c r="CI11" s="731">
        <v>2.3545706371191137</v>
      </c>
      <c r="CJ11" s="732">
        <v>2.150537634408602</v>
      </c>
      <c r="CK11" s="739">
        <v>1.9425675675675675</v>
      </c>
      <c r="CL11" s="739">
        <v>1.8805309734513276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737">
        <v>3.2119914346895073</v>
      </c>
      <c r="DM11" s="737">
        <v>3.1566167543504653</v>
      </c>
      <c r="DN11" s="738">
        <v>2.8723404255319149</v>
      </c>
      <c r="DO11" s="738">
        <v>2.8029322984044844</v>
      </c>
      <c r="DP11" s="738">
        <v>2.7817745803357314</v>
      </c>
      <c r="DQ11" s="738">
        <v>2.7671349510429972</v>
      </c>
      <c r="DR11" s="730">
        <v>2.7331887201735356</v>
      </c>
      <c r="DS11" s="730">
        <v>2.7109750765194578</v>
      </c>
      <c r="DT11" s="730">
        <v>2.7066041140382531</v>
      </c>
      <c r="DU11" s="730">
        <v>2.5711662075298438</v>
      </c>
      <c r="DV11" s="730">
        <v>2.5676613462873004</v>
      </c>
      <c r="DW11" s="730">
        <v>2.5500910746812386</v>
      </c>
      <c r="DX11" s="730">
        <v>2.5382605449794702</v>
      </c>
      <c r="DY11" s="730">
        <v>2.5110782865583454</v>
      </c>
      <c r="DZ11" s="730">
        <v>2.5085034013605441</v>
      </c>
      <c r="EA11" s="731">
        <v>2.4655244463017132</v>
      </c>
      <c r="EB11" s="731">
        <v>2.4642024642024642</v>
      </c>
      <c r="EC11" s="731">
        <v>2.4539877300613497</v>
      </c>
      <c r="ED11" s="731">
        <v>2.4473534433693795</v>
      </c>
      <c r="EE11" s="731">
        <v>2.4066390041493775</v>
      </c>
      <c r="EF11" s="731">
        <v>2.4</v>
      </c>
      <c r="EG11" s="731">
        <v>2.3646873357856015</v>
      </c>
      <c r="EH11" s="731">
        <v>2.3449920508744038</v>
      </c>
      <c r="EI11" s="731">
        <v>2.3156089193825045</v>
      </c>
      <c r="EJ11" s="731">
        <v>2.4440914090186974</v>
      </c>
      <c r="EK11" s="732">
        <v>2.1683481403403104</v>
      </c>
      <c r="EL11" s="739">
        <v>1.7887856897144825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299">
        <v>148.39999999999998</v>
      </c>
      <c r="EU11" s="300">
        <v>261.57000000000005</v>
      </c>
      <c r="EV11" s="11">
        <v>715.45</v>
      </c>
      <c r="EW11" s="732">
        <v>41.72666362277652</v>
      </c>
      <c r="EX11" s="738">
        <v>33.432476983584735</v>
      </c>
      <c r="EY11" s="744">
        <v>6.4012252390734909</v>
      </c>
      <c r="EZ11" s="11">
        <v>1125.42</v>
      </c>
      <c r="FA11" s="732">
        <v>81.56036584543476</v>
      </c>
      <c r="FB11" s="301">
        <v>348.4</v>
      </c>
      <c r="FC11" s="301">
        <v>565.84000000000015</v>
      </c>
      <c r="FD11" s="11">
        <v>1915.45</v>
      </c>
      <c r="FE11" s="744">
        <v>41.72666362277652</v>
      </c>
      <c r="FF11" s="730">
        <v>62.65331461060989</v>
      </c>
      <c r="FG11" s="743">
        <v>6.4012252390734909</v>
      </c>
      <c r="FH11" s="11">
        <v>2829.69</v>
      </c>
      <c r="FI11" s="744">
        <v>110.78120347245991</v>
      </c>
      <c r="FJ11" s="745">
        <v>57.90320547241388</v>
      </c>
      <c r="FK11" s="746">
        <v>53.850705373205493</v>
      </c>
      <c r="FL11" s="746">
        <v>53.430977003764937</v>
      </c>
      <c r="FM11" s="747">
        <v>46.623134514111662</v>
      </c>
      <c r="FN11" s="747">
        <v>41.546455336871333</v>
      </c>
      <c r="FO11" s="747">
        <v>41.257885156642253</v>
      </c>
      <c r="FP11" s="747">
        <v>39.387289026285877</v>
      </c>
      <c r="FQ11" s="751">
        <v>35.533488105679844</v>
      </c>
      <c r="FR11" s="751">
        <v>33.076720477423713</v>
      </c>
      <c r="FS11" s="751">
        <v>33.070658372037606</v>
      </c>
      <c r="FT11" s="751">
        <v>32.892361786657084</v>
      </c>
      <c r="FU11" s="751">
        <v>30.53198685929425</v>
      </c>
      <c r="FV11" s="751">
        <v>27.911787139965309</v>
      </c>
      <c r="FW11" s="752">
        <v>19.046472259476953</v>
      </c>
      <c r="FX11" s="752">
        <v>16.288530331440437</v>
      </c>
      <c r="FY11" s="13">
        <v>0</v>
      </c>
      <c r="FZ11" s="13">
        <v>0</v>
      </c>
      <c r="GA11" s="13">
        <v>0</v>
      </c>
      <c r="GB11" s="13">
        <v>0</v>
      </c>
      <c r="GC11" s="13">
        <v>0</v>
      </c>
      <c r="GD11" s="13">
        <v>0</v>
      </c>
      <c r="GE11" s="13">
        <v>0</v>
      </c>
      <c r="GF11" s="13">
        <v>0</v>
      </c>
      <c r="GG11" s="13">
        <v>0</v>
      </c>
      <c r="GH11" s="13">
        <v>0</v>
      </c>
      <c r="GI11" s="13">
        <v>0</v>
      </c>
      <c r="GJ11" s="13">
        <v>0</v>
      </c>
      <c r="GK11" s="13">
        <v>0</v>
      </c>
      <c r="GL11" s="13">
        <v>0</v>
      </c>
      <c r="GM11" s="13">
        <v>0</v>
      </c>
      <c r="GN11" s="13">
        <v>0</v>
      </c>
      <c r="GO11" s="13">
        <v>0</v>
      </c>
      <c r="GP11" s="13">
        <v>0</v>
      </c>
      <c r="GQ11" s="13">
        <v>0</v>
      </c>
      <c r="GR11" s="13">
        <v>0</v>
      </c>
      <c r="GS11" s="13">
        <v>0</v>
      </c>
      <c r="GT11" s="13">
        <v>0</v>
      </c>
      <c r="GU11" s="13">
        <v>0</v>
      </c>
      <c r="GV11" s="13">
        <v>0</v>
      </c>
      <c r="GW11" s="13">
        <v>0</v>
      </c>
      <c r="GX11" s="746">
        <v>54.416698118260058</v>
      </c>
      <c r="GY11" s="746">
        <v>51.40076263527552</v>
      </c>
      <c r="GZ11" s="746">
        <v>51.015990125434755</v>
      </c>
      <c r="HA11" s="746">
        <v>50.595872351232586</v>
      </c>
      <c r="HB11" s="747">
        <v>47.715635367449678</v>
      </c>
      <c r="HC11" s="747">
        <v>46.725999080981708</v>
      </c>
      <c r="HD11" s="747">
        <v>46.68430043723253</v>
      </c>
      <c r="HE11" s="747">
        <v>46.601279056095812</v>
      </c>
      <c r="HF11" s="747">
        <v>46.230139174283586</v>
      </c>
      <c r="HG11" s="747">
        <v>45.734956039225608</v>
      </c>
      <c r="HH11" s="747">
        <v>42.640291199550958</v>
      </c>
      <c r="HI11" s="747">
        <v>42.283136898163853</v>
      </c>
      <c r="HJ11" s="747">
        <v>41.058970062849426</v>
      </c>
      <c r="HK11" s="747">
        <v>40.675958609938398</v>
      </c>
      <c r="HL11" s="747">
        <v>39.880229451558272</v>
      </c>
      <c r="HM11" s="747">
        <v>39.68895408474468</v>
      </c>
      <c r="HN11" s="747">
        <v>39.265746518853987</v>
      </c>
      <c r="HO11" s="747">
        <v>39.05835305443275</v>
      </c>
      <c r="HP11" s="747">
        <v>38.577552792813542</v>
      </c>
      <c r="HQ11" s="747">
        <v>38.294991821542808</v>
      </c>
      <c r="HR11" s="747">
        <v>37.705313520671297</v>
      </c>
      <c r="HS11" s="747">
        <v>37.54141059196288</v>
      </c>
      <c r="HT11" s="751">
        <v>37.412167304708142</v>
      </c>
      <c r="HU11" s="751">
        <v>35.182115488107399</v>
      </c>
      <c r="HV11" s="746">
        <v>50.00988213868866</v>
      </c>
      <c r="HW11" s="747">
        <v>48.704480346963557</v>
      </c>
      <c r="HX11" s="751">
        <v>34.091975420358096</v>
      </c>
      <c r="HY11" s="13">
        <v>0</v>
      </c>
      <c r="HZ11" s="13">
        <v>0</v>
      </c>
      <c r="IA11" s="13">
        <v>0</v>
      </c>
      <c r="IB11" s="13">
        <v>0</v>
      </c>
      <c r="IC11" s="13">
        <v>0</v>
      </c>
      <c r="ID11" s="13">
        <v>0</v>
      </c>
      <c r="IE11" s="13">
        <v>0</v>
      </c>
      <c r="IF11" s="752">
        <v>562.35165721527062</v>
      </c>
      <c r="IG11" s="747">
        <v>1036.3868237853703</v>
      </c>
      <c r="IH11" s="752">
        <v>132.8063379060103</v>
      </c>
      <c r="II11" s="751">
        <v>562.35165721527062</v>
      </c>
      <c r="IJ11" s="747">
        <v>572.0450604831866</v>
      </c>
      <c r="IK11" s="751">
        <v>132.8063379060103</v>
      </c>
      <c r="IL11" s="8">
        <v>0.10148930672718032</v>
      </c>
      <c r="IM11" s="8">
        <v>1.2358981907695537</v>
      </c>
      <c r="IN11" s="8">
        <v>0.23764715413037263</v>
      </c>
      <c r="IO11" s="8">
        <v>0.31005961260256643</v>
      </c>
      <c r="IP11" s="8">
        <v>2.1614542362677323E-2</v>
      </c>
      <c r="IQ11" s="8">
        <v>0.96987134603742164</v>
      </c>
      <c r="IR11" s="8">
        <v>4.4382431392773272E-2</v>
      </c>
      <c r="IS11" s="8">
        <v>9.7624110078509227E-2</v>
      </c>
    </row>
    <row r="12" spans="1:253" x14ac:dyDescent="0.25">
      <c r="A12" s="10">
        <v>44102</v>
      </c>
      <c r="B12" s="551">
        <v>3.72</v>
      </c>
      <c r="C12" s="551">
        <v>3.83</v>
      </c>
      <c r="D12" s="551">
        <v>3.99</v>
      </c>
      <c r="E12" s="555">
        <v>4.2</v>
      </c>
      <c r="F12" s="555">
        <v>4.29</v>
      </c>
      <c r="G12" s="555">
        <v>4.41</v>
      </c>
      <c r="H12" s="555">
        <v>4.42</v>
      </c>
      <c r="I12" s="555">
        <v>4.46</v>
      </c>
      <c r="J12" s="553">
        <v>4.5</v>
      </c>
      <c r="K12" s="553">
        <v>4.51</v>
      </c>
      <c r="L12" s="553">
        <v>4.51</v>
      </c>
      <c r="M12" s="553">
        <v>4.5599999999999996</v>
      </c>
      <c r="N12" s="553">
        <v>4.75</v>
      </c>
      <c r="O12" s="553">
        <v>4.97</v>
      </c>
      <c r="P12" s="556">
        <v>5.04</v>
      </c>
      <c r="Q12" s="556">
        <v>5.05</v>
      </c>
      <c r="R12" s="556">
        <v>5.0999999999999996</v>
      </c>
      <c r="S12" s="556">
        <v>5.26</v>
      </c>
      <c r="T12" s="556">
        <v>5.28</v>
      </c>
      <c r="U12" s="556">
        <v>5.35</v>
      </c>
      <c r="V12" s="556">
        <v>5.41</v>
      </c>
      <c r="W12" s="556">
        <v>5.43</v>
      </c>
      <c r="X12" s="556">
        <v>5.46</v>
      </c>
      <c r="Y12" s="552">
        <v>5.53</v>
      </c>
      <c r="Z12" s="552">
        <v>5.64</v>
      </c>
      <c r="AA12" s="552">
        <v>5.65</v>
      </c>
      <c r="AB12" s="552">
        <v>5.71</v>
      </c>
      <c r="AC12" s="552">
        <v>5.74</v>
      </c>
      <c r="AD12" s="552">
        <v>5.75</v>
      </c>
      <c r="AE12" s="552">
        <v>5.75</v>
      </c>
      <c r="AF12" s="552">
        <v>5.8</v>
      </c>
      <c r="AG12" s="552">
        <v>5.87</v>
      </c>
      <c r="AH12" s="552">
        <v>5.99</v>
      </c>
      <c r="AI12" s="297">
        <v>6.09</v>
      </c>
      <c r="AJ12" s="297">
        <v>6.26</v>
      </c>
      <c r="AK12" s="297">
        <v>6.36</v>
      </c>
      <c r="AL12" s="298">
        <v>6.65</v>
      </c>
      <c r="AM12" s="298">
        <v>6.92</v>
      </c>
      <c r="AN12" s="299">
        <v>7.33</v>
      </c>
      <c r="AO12" s="299">
        <v>7.37</v>
      </c>
      <c r="AP12" s="299">
        <v>20.12</v>
      </c>
      <c r="AQ12" s="299">
        <v>20.74</v>
      </c>
      <c r="AR12" s="300">
        <v>21.45</v>
      </c>
      <c r="AS12" s="301">
        <v>22.06</v>
      </c>
      <c r="AT12" s="301">
        <v>22.95</v>
      </c>
      <c r="AU12" s="302">
        <v>24.22</v>
      </c>
      <c r="AV12" s="302">
        <v>24.56</v>
      </c>
      <c r="AW12" s="302">
        <v>24.65</v>
      </c>
      <c r="AX12" s="302">
        <v>25.8</v>
      </c>
      <c r="AY12" s="659">
        <v>28.11</v>
      </c>
      <c r="AZ12" s="659">
        <v>29.05</v>
      </c>
      <c r="BA12" s="659">
        <v>29.09</v>
      </c>
      <c r="BB12" s="659">
        <v>29.17</v>
      </c>
      <c r="BC12" s="11">
        <v>31.13</v>
      </c>
      <c r="BD12" s="11">
        <v>36.229999999999997</v>
      </c>
      <c r="BE12" s="11">
        <v>60</v>
      </c>
      <c r="BF12" s="11">
        <v>60</v>
      </c>
      <c r="BG12" s="11">
        <v>60</v>
      </c>
      <c r="BH12" s="11">
        <v>60</v>
      </c>
      <c r="BI12" s="11">
        <v>60</v>
      </c>
      <c r="BJ12" s="11">
        <v>60</v>
      </c>
      <c r="BK12" s="11">
        <v>60</v>
      </c>
      <c r="BL12" s="11">
        <v>60</v>
      </c>
      <c r="BM12" s="11">
        <v>60</v>
      </c>
      <c r="BN12" s="301">
        <v>69.28</v>
      </c>
      <c r="BO12" s="302">
        <v>76.47</v>
      </c>
      <c r="BP12" s="302">
        <v>78.42</v>
      </c>
      <c r="BQ12" s="660">
        <v>80.84</v>
      </c>
      <c r="BR12" s="11">
        <v>240</v>
      </c>
      <c r="BS12" s="11">
        <v>240</v>
      </c>
      <c r="BT12" s="11">
        <v>240</v>
      </c>
      <c r="BU12" s="11">
        <v>240</v>
      </c>
      <c r="BV12" s="11">
        <v>240</v>
      </c>
      <c r="BW12" s="11">
        <v>240</v>
      </c>
      <c r="BX12" s="733">
        <v>4.434589800443459</v>
      </c>
      <c r="BY12" s="733">
        <v>4.3560606060606055</v>
      </c>
      <c r="BZ12" s="14">
        <v>4.032258064516129</v>
      </c>
      <c r="CA12" s="735">
        <v>3.6630036630036629</v>
      </c>
      <c r="CB12" s="735">
        <v>3.5908596300326443</v>
      </c>
      <c r="CC12" s="735">
        <v>3.5714285714285712</v>
      </c>
      <c r="CD12" s="735">
        <v>3.512014787430684</v>
      </c>
      <c r="CE12" s="736">
        <v>3.4871794871794872</v>
      </c>
      <c r="CF12" s="736">
        <v>3.4586466165413534</v>
      </c>
      <c r="CG12" s="736">
        <v>3.3942558746736293</v>
      </c>
      <c r="CH12" s="736">
        <v>3.2894736842105265</v>
      </c>
      <c r="CI12" s="736">
        <v>3.2634032634032635</v>
      </c>
      <c r="CJ12" s="737">
        <v>3.215434083601286</v>
      </c>
      <c r="CK12" s="737">
        <v>3.2042723631508676</v>
      </c>
      <c r="CL12" s="737">
        <v>3.1674208144796379</v>
      </c>
      <c r="CM12" s="737">
        <v>3.1358885017421603</v>
      </c>
      <c r="CN12" s="737">
        <v>3.1304347826086958</v>
      </c>
      <c r="CO12" s="737">
        <v>3.1111111111111112</v>
      </c>
      <c r="CP12" s="737">
        <v>3.03347280334728</v>
      </c>
      <c r="CQ12" s="738">
        <v>2.9874213836477987</v>
      </c>
      <c r="CR12" s="738">
        <v>2.9702970297029703</v>
      </c>
      <c r="CS12" s="738">
        <v>2.9465930018416207</v>
      </c>
      <c r="CT12" s="738">
        <v>2.8649386084583903</v>
      </c>
      <c r="CU12" s="738">
        <v>2.8368794326241136</v>
      </c>
      <c r="CV12" s="738">
        <v>2.8037383177570097</v>
      </c>
      <c r="CW12" s="738">
        <v>2.7826086956521738</v>
      </c>
      <c r="CX12" s="738">
        <v>2.7586206896551726</v>
      </c>
      <c r="CY12" s="738">
        <v>2.7568922305764412</v>
      </c>
      <c r="CZ12" s="730">
        <v>2.7210884353741496</v>
      </c>
      <c r="DA12" s="730">
        <v>2.7156549520766773</v>
      </c>
      <c r="DB12" s="730">
        <v>2.661596958174905</v>
      </c>
      <c r="DC12" s="730">
        <v>2.601156069364162</v>
      </c>
      <c r="DD12" s="730">
        <v>2.5780189959294435</v>
      </c>
      <c r="DE12" s="730">
        <v>2.5553662691652468</v>
      </c>
      <c r="DF12" s="730">
        <v>2.5263157894736841</v>
      </c>
      <c r="DG12" s="731">
        <v>2.4663677130044843</v>
      </c>
      <c r="DH12" s="731">
        <v>2.4518388791593697</v>
      </c>
      <c r="DI12" s="731">
        <v>2.4447031431897557</v>
      </c>
      <c r="DJ12" s="731">
        <v>2.4390243902439024</v>
      </c>
      <c r="DK12" s="731">
        <v>2.416570771001151</v>
      </c>
      <c r="DL12" s="738">
        <v>2.8908794788273617</v>
      </c>
      <c r="DM12" s="738">
        <v>2.8904428904428907</v>
      </c>
      <c r="DN12" s="738">
        <v>2.8796708947548848</v>
      </c>
      <c r="DO12" s="730">
        <v>2.6837324525185799</v>
      </c>
      <c r="DP12" s="730">
        <v>2.6506024096385543</v>
      </c>
      <c r="DQ12" s="730">
        <v>2.5838621940163193</v>
      </c>
      <c r="DR12" s="730">
        <v>2.5393320452663541</v>
      </c>
      <c r="DS12" s="730">
        <v>2.5193798449612403</v>
      </c>
      <c r="DT12" s="731">
        <v>2.4063251976624271</v>
      </c>
      <c r="DU12" s="731">
        <v>2.3529411764705883</v>
      </c>
      <c r="DV12" s="732">
        <v>2.2486347574686798</v>
      </c>
      <c r="DW12" s="732">
        <v>2.1868787276341948</v>
      </c>
      <c r="DX12" s="739">
        <v>1.992173603699751</v>
      </c>
      <c r="DY12" s="739">
        <v>1.9172113289760349</v>
      </c>
      <c r="DZ12" s="739">
        <v>1.8804243008678883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730">
        <v>2.5500196155355042</v>
      </c>
      <c r="EK12" s="731">
        <v>2.4616526472043541</v>
      </c>
      <c r="EL12" s="731">
        <v>2.3094688221709005</v>
      </c>
      <c r="EM12" s="732">
        <v>2.0913032389696506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553">
        <v>92.199999999999989</v>
      </c>
      <c r="EU12" s="302">
        <v>292.8</v>
      </c>
      <c r="EV12" s="11">
        <v>545.01</v>
      </c>
      <c r="EW12" s="736">
        <v>69.03862989261286</v>
      </c>
      <c r="EX12" s="730">
        <v>30.832682069662074</v>
      </c>
      <c r="EY12" s="739">
        <v>9.4124443238804094</v>
      </c>
      <c r="EZ12" s="660">
        <v>930.01</v>
      </c>
      <c r="FA12" s="738">
        <v>109.28375628615534</v>
      </c>
      <c r="FB12" s="556">
        <v>212.91000000000005</v>
      </c>
      <c r="FC12" s="11">
        <v>929.33</v>
      </c>
      <c r="FD12" s="11">
        <v>1745.01</v>
      </c>
      <c r="FE12" s="737">
        <v>122.3369002650377</v>
      </c>
      <c r="FF12" s="739">
        <v>36.622491303205749</v>
      </c>
      <c r="FG12" s="743">
        <v>9.4124443238804094</v>
      </c>
      <c r="FH12" s="11">
        <v>2887.25</v>
      </c>
      <c r="FI12" s="731">
        <v>168.37183589212387</v>
      </c>
      <c r="FJ12" s="269">
        <v>76.036167758340397</v>
      </c>
      <c r="FK12" s="753">
        <v>73.077189009554615</v>
      </c>
      <c r="FL12" s="750">
        <v>64.28388665113043</v>
      </c>
      <c r="FM12" s="750">
        <v>62.712973847981445</v>
      </c>
      <c r="FN12" s="745">
        <v>61.86135440728485</v>
      </c>
      <c r="FO12" s="746">
        <v>55.693254598713999</v>
      </c>
      <c r="FP12" s="746">
        <v>53.790178499598433</v>
      </c>
      <c r="FQ12" s="746">
        <v>52.937342642244886</v>
      </c>
      <c r="FR12" s="746">
        <v>52.802497175942769</v>
      </c>
      <c r="FS12" s="746">
        <v>50.953052774143288</v>
      </c>
      <c r="FT12" s="747">
        <v>49.49834991114875</v>
      </c>
      <c r="FU12" s="747">
        <v>45.549918357505838</v>
      </c>
      <c r="FV12" s="747">
        <v>45.221803151315257</v>
      </c>
      <c r="FW12" s="747">
        <v>43.648994825073913</v>
      </c>
      <c r="FX12" s="747">
        <v>43.520024188339512</v>
      </c>
      <c r="FY12" s="747">
        <v>43.429316854624787</v>
      </c>
      <c r="FZ12" s="747">
        <v>42.639512555081467</v>
      </c>
      <c r="GA12" s="747">
        <v>40.99602870601553</v>
      </c>
      <c r="GB12" s="747">
        <v>40.961455885098637</v>
      </c>
      <c r="GC12" s="747">
        <v>40.192453955255033</v>
      </c>
      <c r="GD12" s="747">
        <v>40.147089725989801</v>
      </c>
      <c r="GE12" s="747">
        <v>39.975827722051612</v>
      </c>
      <c r="GF12" s="747">
        <v>39.382585955088736</v>
      </c>
      <c r="GG12" s="747">
        <v>38.701559303082163</v>
      </c>
      <c r="GH12" s="747">
        <v>38.684465945190681</v>
      </c>
      <c r="GI12" s="747">
        <v>38.119250462961453</v>
      </c>
      <c r="GJ12" s="751">
        <v>37.172977098702091</v>
      </c>
      <c r="GK12" s="751">
        <v>37.020656038285196</v>
      </c>
      <c r="GL12" s="751">
        <v>36.676736531602771</v>
      </c>
      <c r="GM12" s="751">
        <v>36.299554333151207</v>
      </c>
      <c r="GN12" s="751">
        <v>35.952535970081541</v>
      </c>
      <c r="GO12" s="751">
        <v>35.576556151983013</v>
      </c>
      <c r="GP12" s="751">
        <v>35.573329402193892</v>
      </c>
      <c r="GQ12" s="751">
        <v>35.015347913992329</v>
      </c>
      <c r="GR12" s="751">
        <v>34.252999688021148</v>
      </c>
      <c r="GS12" s="751">
        <v>33.60427242263718</v>
      </c>
      <c r="GT12" s="751">
        <v>33.586332879409547</v>
      </c>
      <c r="GU12" s="751">
        <v>33.498320181063576</v>
      </c>
      <c r="GV12" s="751">
        <v>32.38269205779045</v>
      </c>
      <c r="GW12" s="751">
        <v>31.854766008629358</v>
      </c>
      <c r="GX12" s="746">
        <v>51.966553246325496</v>
      </c>
      <c r="GY12" s="747">
        <v>47.274697622838751</v>
      </c>
      <c r="GZ12" s="747">
        <v>45.551650650309405</v>
      </c>
      <c r="HA12" s="747">
        <v>44.317570868256645</v>
      </c>
      <c r="HB12" s="747">
        <v>41.748990992998671</v>
      </c>
      <c r="HC12" s="747">
        <v>41.119113577582702</v>
      </c>
      <c r="HD12" s="747">
        <v>39.803245354773154</v>
      </c>
      <c r="HE12" s="747">
        <v>38.539042454204996</v>
      </c>
      <c r="HF12" s="747">
        <v>38.379370805762761</v>
      </c>
      <c r="HG12" s="751">
        <v>34.953634535736029</v>
      </c>
      <c r="HH12" s="751">
        <v>34.613726335494249</v>
      </c>
      <c r="HI12" s="751">
        <v>32.876133164355601</v>
      </c>
      <c r="HJ12" s="751">
        <v>31.632264735750127</v>
      </c>
      <c r="HK12" s="751">
        <v>31.149577614141382</v>
      </c>
      <c r="HL12" s="751">
        <v>29.640342429057334</v>
      </c>
      <c r="HM12" s="13">
        <v>0</v>
      </c>
      <c r="HN12" s="13">
        <v>0</v>
      </c>
      <c r="HO12" s="13">
        <v>0</v>
      </c>
      <c r="HP12" s="13">
        <v>0</v>
      </c>
      <c r="HQ12" s="13">
        <v>0</v>
      </c>
      <c r="HR12" s="13">
        <v>0</v>
      </c>
      <c r="HS12" s="13">
        <v>0</v>
      </c>
      <c r="HT12" s="13">
        <v>0</v>
      </c>
      <c r="HU12" s="13">
        <v>0</v>
      </c>
      <c r="HV12" s="746">
        <v>53.28316494053314</v>
      </c>
      <c r="HW12" s="746">
        <v>51.710274556535929</v>
      </c>
      <c r="HX12" s="747">
        <v>49.474180990814581</v>
      </c>
      <c r="HY12" s="747">
        <v>42.934704563875393</v>
      </c>
      <c r="HZ12" s="13">
        <v>0</v>
      </c>
      <c r="IA12" s="13">
        <v>0</v>
      </c>
      <c r="IB12" s="13">
        <v>0</v>
      </c>
      <c r="IC12" s="13">
        <v>0</v>
      </c>
      <c r="ID12" s="13">
        <v>0</v>
      </c>
      <c r="IE12" s="13">
        <v>0</v>
      </c>
      <c r="IF12" s="747">
        <v>1763.2836115463017</v>
      </c>
      <c r="IG12" s="752">
        <v>583.56591438758721</v>
      </c>
      <c r="IH12" s="752">
        <v>197.40232505175902</v>
      </c>
      <c r="II12" s="746">
        <v>1039.8057557543941</v>
      </c>
      <c r="IJ12" s="747">
        <v>491.14372960863835</v>
      </c>
      <c r="IK12" s="747">
        <v>197.40232505175902</v>
      </c>
      <c r="IL12" s="8">
        <v>0.49974217969347362</v>
      </c>
      <c r="IM12" s="8">
        <v>0.87421986508357552</v>
      </c>
      <c r="IN12" s="8">
        <v>0.68183644114941921</v>
      </c>
      <c r="IO12" s="8">
        <v>0.66785517478254441</v>
      </c>
      <c r="IP12" s="8">
        <v>0.32515177892928554</v>
      </c>
      <c r="IQ12" s="8">
        <v>0.19436125011807859</v>
      </c>
      <c r="IR12" s="8">
        <v>0.10647723474101725</v>
      </c>
      <c r="IS12" s="8">
        <v>0.18879226374861222</v>
      </c>
    </row>
    <row r="13" spans="1:253" x14ac:dyDescent="0.25">
      <c r="A13" s="10">
        <v>44095</v>
      </c>
      <c r="B13" s="293">
        <v>3.19</v>
      </c>
      <c r="C13" s="555">
        <v>4.17</v>
      </c>
      <c r="D13" s="555">
        <v>4.24</v>
      </c>
      <c r="E13" s="555">
        <v>4.29</v>
      </c>
      <c r="F13" s="553">
        <v>4.57</v>
      </c>
      <c r="G13" s="553">
        <v>4.66</v>
      </c>
      <c r="H13" s="553">
        <v>4.68</v>
      </c>
      <c r="I13" s="553">
        <v>4.71</v>
      </c>
      <c r="J13" s="553">
        <v>4.84</v>
      </c>
      <c r="K13" s="553">
        <v>4.8899999999999997</v>
      </c>
      <c r="L13" s="556">
        <v>5.0599999999999996</v>
      </c>
      <c r="M13" s="556">
        <v>5.0999999999999996</v>
      </c>
      <c r="N13" s="556">
        <v>5.15</v>
      </c>
      <c r="O13" s="556">
        <v>5.19</v>
      </c>
      <c r="P13" s="297">
        <v>6.15</v>
      </c>
      <c r="Q13" s="297">
        <v>6.41</v>
      </c>
      <c r="R13" s="298">
        <v>6.62</v>
      </c>
      <c r="S13" s="298">
        <v>6.64</v>
      </c>
      <c r="T13" s="298">
        <v>6.81</v>
      </c>
      <c r="U13" s="298">
        <v>6.84</v>
      </c>
      <c r="V13" s="298">
        <v>6.93</v>
      </c>
      <c r="W13" s="299">
        <v>7.02</v>
      </c>
      <c r="X13" s="299">
        <v>7.12</v>
      </c>
      <c r="Y13" s="299">
        <v>7.28</v>
      </c>
      <c r="Z13" s="299">
        <v>7.34</v>
      </c>
      <c r="AA13" s="299">
        <v>7.49</v>
      </c>
      <c r="AB13" s="301">
        <v>8.75</v>
      </c>
      <c r="AC13" s="302">
        <v>9.51</v>
      </c>
      <c r="AD13" s="660">
        <v>10</v>
      </c>
      <c r="AE13" s="660">
        <v>10</v>
      </c>
      <c r="AF13" s="660">
        <v>10</v>
      </c>
      <c r="AG13" s="660">
        <v>10</v>
      </c>
      <c r="AH13" s="660">
        <v>10</v>
      </c>
      <c r="AI13" s="660">
        <v>10</v>
      </c>
      <c r="AJ13" s="660">
        <v>10</v>
      </c>
      <c r="AK13" s="660">
        <v>10</v>
      </c>
      <c r="AL13" s="660">
        <v>10</v>
      </c>
      <c r="AM13" s="660">
        <v>10</v>
      </c>
      <c r="AN13" s="660">
        <v>10</v>
      </c>
      <c r="AO13" s="660">
        <v>10</v>
      </c>
      <c r="AP13" s="11">
        <v>60</v>
      </c>
      <c r="AQ13" s="11">
        <v>60</v>
      </c>
      <c r="AR13" s="11">
        <v>60</v>
      </c>
      <c r="AS13" s="11">
        <v>60</v>
      </c>
      <c r="AT13" s="11">
        <v>60</v>
      </c>
      <c r="AU13" s="11">
        <v>60</v>
      </c>
      <c r="AV13" s="11">
        <v>60</v>
      </c>
      <c r="AW13" s="11">
        <v>60</v>
      </c>
      <c r="AX13" s="11">
        <v>60</v>
      </c>
      <c r="AY13" s="11">
        <v>60</v>
      </c>
      <c r="AZ13" s="11">
        <v>60</v>
      </c>
      <c r="BA13" s="11">
        <v>60</v>
      </c>
      <c r="BB13" s="11">
        <v>60</v>
      </c>
      <c r="BC13" s="11">
        <v>60</v>
      </c>
      <c r="BD13" s="11">
        <v>60</v>
      </c>
      <c r="BE13" s="11">
        <v>60</v>
      </c>
      <c r="BF13" s="11">
        <v>60</v>
      </c>
      <c r="BG13" s="11">
        <v>60</v>
      </c>
      <c r="BH13" s="11">
        <v>60</v>
      </c>
      <c r="BI13" s="11">
        <v>60</v>
      </c>
      <c r="BJ13" s="11">
        <v>60</v>
      </c>
      <c r="BK13" s="11">
        <v>60</v>
      </c>
      <c r="BL13" s="11">
        <v>60</v>
      </c>
      <c r="BM13" s="11">
        <v>60</v>
      </c>
      <c r="BN13" s="552">
        <v>58.3</v>
      </c>
      <c r="BO13" s="297">
        <v>59.01</v>
      </c>
      <c r="BP13" s="297">
        <v>60.62</v>
      </c>
      <c r="BQ13" s="298">
        <v>62.62</v>
      </c>
      <c r="BR13" s="298">
        <v>62.63</v>
      </c>
      <c r="BS13" s="298">
        <v>63.13</v>
      </c>
      <c r="BT13" s="298">
        <v>63.73</v>
      </c>
      <c r="BU13" s="299">
        <v>64.59</v>
      </c>
      <c r="BV13" s="299">
        <v>65.95</v>
      </c>
      <c r="BW13" s="299">
        <v>66.010000000000005</v>
      </c>
      <c r="BX13" s="734">
        <v>3.9215686274509807</v>
      </c>
      <c r="BY13" s="734">
        <v>3.761755485893417</v>
      </c>
      <c r="BZ13" s="735">
        <v>3.6710719530102791</v>
      </c>
      <c r="CA13" s="735">
        <v>3.5010940919037199</v>
      </c>
      <c r="CB13" s="736">
        <v>3.463855421686747</v>
      </c>
      <c r="CC13" s="736">
        <v>3.4334763948497855</v>
      </c>
      <c r="CD13" s="736">
        <v>3.3573141486810552</v>
      </c>
      <c r="CE13" s="736">
        <v>3.2634032634032635</v>
      </c>
      <c r="CF13" s="737">
        <v>3.2042723631508676</v>
      </c>
      <c r="CG13" s="737">
        <v>3.1201248049921997</v>
      </c>
      <c r="CH13" s="737">
        <v>3.0991735537190084</v>
      </c>
      <c r="CI13" s="737">
        <v>3.0660377358490565</v>
      </c>
      <c r="CJ13" s="738">
        <v>2.9723991507431</v>
      </c>
      <c r="CK13" s="738">
        <v>2.8571428571428572</v>
      </c>
      <c r="CL13" s="730">
        <v>2.7184466019417473</v>
      </c>
      <c r="CM13" s="730">
        <v>2.7065527065527069</v>
      </c>
      <c r="CN13" s="730">
        <v>2.6685393258426964</v>
      </c>
      <c r="CO13" s="730">
        <v>2.6315789473684212</v>
      </c>
      <c r="CP13" s="730">
        <v>2.6016260162601625</v>
      </c>
      <c r="CQ13" s="730">
        <v>2.5974025974025974</v>
      </c>
      <c r="CR13" s="730">
        <v>2.5691699604743086</v>
      </c>
      <c r="CS13" s="730">
        <v>2.5679758308157101</v>
      </c>
      <c r="CT13" s="731">
        <v>2.4539877300613497</v>
      </c>
      <c r="CU13" s="731">
        <v>2.3504273504273505</v>
      </c>
      <c r="CV13" s="731">
        <v>2.3351648351648353</v>
      </c>
      <c r="CW13" s="731">
        <v>2.3121387283236992</v>
      </c>
      <c r="CX13" s="732">
        <v>2.1030494216614093</v>
      </c>
      <c r="CY13" s="732">
        <v>2.0435967302452318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738">
        <v>2.8244155029028715</v>
      </c>
      <c r="EK13" s="730">
        <v>2.7445034116755118</v>
      </c>
      <c r="EL13" s="730">
        <v>2.6476296090934293</v>
      </c>
      <c r="EM13" s="730">
        <v>2.6384839650145775</v>
      </c>
      <c r="EN13" s="730">
        <v>2.6094520150768337</v>
      </c>
      <c r="EO13" s="730">
        <v>2.5783972125435541</v>
      </c>
      <c r="EP13" s="730">
        <v>2.5713019063100337</v>
      </c>
      <c r="EQ13" s="730">
        <v>2.5546862525946032</v>
      </c>
      <c r="ER13" s="730">
        <v>2.5542292388653576</v>
      </c>
      <c r="ES13" s="730">
        <v>2.5502930460953586</v>
      </c>
      <c r="ET13" s="556">
        <v>104.21000000000001</v>
      </c>
      <c r="EU13" s="11">
        <v>720</v>
      </c>
      <c r="EV13" s="297">
        <v>303.18</v>
      </c>
      <c r="EW13" s="737">
        <v>62.616836047844671</v>
      </c>
      <c r="EX13" s="12">
        <v>0</v>
      </c>
      <c r="EY13" s="730">
        <v>13.464484503763222</v>
      </c>
      <c r="EZ13" s="11">
        <v>1127.3900000000001</v>
      </c>
      <c r="FA13" s="732">
        <v>76.081320551607888</v>
      </c>
      <c r="FB13" s="299">
        <v>285.64999999999998</v>
      </c>
      <c r="FC13" s="11">
        <v>1440</v>
      </c>
      <c r="FD13" s="298">
        <v>626.59</v>
      </c>
      <c r="FE13" s="732">
        <v>81.352346635018577</v>
      </c>
      <c r="FF13" s="12">
        <v>0</v>
      </c>
      <c r="FG13" s="730">
        <v>26.273392160172129</v>
      </c>
      <c r="FH13" s="11">
        <v>2352.2400000000002</v>
      </c>
      <c r="FI13" s="744">
        <v>107.6257387951907</v>
      </c>
      <c r="FJ13" s="269">
        <v>78.993079302113401</v>
      </c>
      <c r="FK13" s="745">
        <v>59.294260253305026</v>
      </c>
      <c r="FL13" s="745">
        <v>58.445180087011927</v>
      </c>
      <c r="FM13" s="745">
        <v>57.162919490864319</v>
      </c>
      <c r="FN13" s="746">
        <v>55.693254598713999</v>
      </c>
      <c r="FO13" s="746">
        <v>55.298822426853874</v>
      </c>
      <c r="FP13" s="746">
        <v>52.756181660780896</v>
      </c>
      <c r="FQ13" s="747">
        <v>48.607815439453042</v>
      </c>
      <c r="FR13" s="747">
        <v>47.51650097167672</v>
      </c>
      <c r="FS13" s="747">
        <v>45.335861968040149</v>
      </c>
      <c r="FT13" s="747">
        <v>43.540564970777581</v>
      </c>
      <c r="FU13" s="747">
        <v>40.823262093695746</v>
      </c>
      <c r="FV13" s="747">
        <v>40.199745573758243</v>
      </c>
      <c r="FW13" s="747">
        <v>39.060646996347515</v>
      </c>
      <c r="FX13" s="747">
        <v>38.212736928508754</v>
      </c>
      <c r="FY13" s="747">
        <v>37.742155000544237</v>
      </c>
      <c r="FZ13" s="751">
        <v>37.020656038285196</v>
      </c>
      <c r="GA13" s="751">
        <v>34.534144083775658</v>
      </c>
      <c r="GB13" s="751">
        <v>34.505175827619333</v>
      </c>
      <c r="GC13" s="751">
        <v>32.721444632753254</v>
      </c>
      <c r="GD13" s="751">
        <v>32.398812397972648</v>
      </c>
      <c r="GE13" s="751">
        <v>32.347617439766935</v>
      </c>
      <c r="GF13" s="751">
        <v>31.944020118665531</v>
      </c>
      <c r="GG13" s="751">
        <v>31.686769539519798</v>
      </c>
      <c r="GH13" s="751">
        <v>29.605900653505167</v>
      </c>
      <c r="GI13" s="751">
        <v>27.521844420881902</v>
      </c>
      <c r="GJ13" s="752">
        <v>23.947485343840651</v>
      </c>
      <c r="GK13" s="752">
        <v>20.557726116660682</v>
      </c>
      <c r="GL13" s="13">
        <v>0</v>
      </c>
      <c r="GM13" s="13">
        <v>0</v>
      </c>
      <c r="GN13" s="13">
        <v>0</v>
      </c>
      <c r="GO13" s="13">
        <v>0</v>
      </c>
      <c r="GP13" s="13">
        <v>0</v>
      </c>
      <c r="GQ13" s="13">
        <v>0</v>
      </c>
      <c r="GR13" s="13">
        <v>0</v>
      </c>
      <c r="GS13" s="13">
        <v>0</v>
      </c>
      <c r="GT13" s="13">
        <v>0</v>
      </c>
      <c r="GU13" s="13">
        <v>0</v>
      </c>
      <c r="GV13" s="13">
        <v>0</v>
      </c>
      <c r="GW13" s="13">
        <v>0</v>
      </c>
      <c r="GX13" s="13">
        <v>0</v>
      </c>
      <c r="GY13" s="13">
        <v>0</v>
      </c>
      <c r="GZ13" s="13">
        <v>0</v>
      </c>
      <c r="HA13" s="13">
        <v>0</v>
      </c>
      <c r="HB13" s="13">
        <v>0</v>
      </c>
      <c r="HC13" s="13">
        <v>0</v>
      </c>
      <c r="HD13" s="13">
        <v>0</v>
      </c>
      <c r="HE13" s="13">
        <v>0</v>
      </c>
      <c r="HF13" s="13">
        <v>0</v>
      </c>
      <c r="HG13" s="13">
        <v>0</v>
      </c>
      <c r="HH13" s="13">
        <v>0</v>
      </c>
      <c r="HI13" s="13">
        <v>0</v>
      </c>
      <c r="HJ13" s="13">
        <v>0</v>
      </c>
      <c r="HK13" s="13">
        <v>0</v>
      </c>
      <c r="HL13" s="13">
        <v>0</v>
      </c>
      <c r="HM13" s="13">
        <v>0</v>
      </c>
      <c r="HN13" s="13">
        <v>0</v>
      </c>
      <c r="HO13" s="13">
        <v>0</v>
      </c>
      <c r="HP13" s="13">
        <v>0</v>
      </c>
      <c r="HQ13" s="13">
        <v>0</v>
      </c>
      <c r="HR13" s="13">
        <v>0</v>
      </c>
      <c r="HS13" s="13">
        <v>0</v>
      </c>
      <c r="HT13" s="13">
        <v>0</v>
      </c>
      <c r="HU13" s="13">
        <v>0</v>
      </c>
      <c r="HV13" s="750">
        <v>67.046806836187514</v>
      </c>
      <c r="HW13" s="750">
        <v>63.606818048754512</v>
      </c>
      <c r="HX13" s="745">
        <v>61.387526991576109</v>
      </c>
      <c r="HY13" s="745">
        <v>61.104447962744679</v>
      </c>
      <c r="HZ13" s="745">
        <v>60.941801676190238</v>
      </c>
      <c r="IA13" s="745">
        <v>60.636640916130858</v>
      </c>
      <c r="IB13" s="745">
        <v>60.284415548871472</v>
      </c>
      <c r="IC13" s="745">
        <v>59.486420056541078</v>
      </c>
      <c r="ID13" s="745">
        <v>58.604820134902901</v>
      </c>
      <c r="IE13" s="745">
        <v>58.528312629765985</v>
      </c>
      <c r="IF13" s="751">
        <v>1167.4745843756925</v>
      </c>
      <c r="IG13" s="13">
        <v>0</v>
      </c>
      <c r="IH13" s="745">
        <v>611.62801080166537</v>
      </c>
      <c r="II13" s="747">
        <v>937.46440834487896</v>
      </c>
      <c r="IJ13" s="13">
        <v>0</v>
      </c>
      <c r="IK13" s="750">
        <v>314.08740151545305</v>
      </c>
      <c r="IL13" s="8">
        <v>0.36155057667833124</v>
      </c>
      <c r="IM13" s="8">
        <v>0</v>
      </c>
      <c r="IN13" s="8">
        <v>2.7897783168626393</v>
      </c>
      <c r="IO13" s="8">
        <v>0</v>
      </c>
      <c r="IP13" s="8">
        <v>0.10670526342270709</v>
      </c>
      <c r="IQ13" s="8">
        <v>0</v>
      </c>
      <c r="IR13" s="8">
        <v>2.564602464759755</v>
      </c>
      <c r="IS13" s="8">
        <v>0</v>
      </c>
    </row>
    <row r="14" spans="1:253" x14ac:dyDescent="0.25">
      <c r="A14" s="10">
        <v>44088</v>
      </c>
      <c r="B14" s="293">
        <v>3.4</v>
      </c>
      <c r="C14" s="551">
        <v>3.6</v>
      </c>
      <c r="D14" s="551">
        <v>3.61</v>
      </c>
      <c r="E14" s="551">
        <v>3.69</v>
      </c>
      <c r="F14" s="551">
        <v>3.95</v>
      </c>
      <c r="G14" s="555">
        <v>4.0599999999999996</v>
      </c>
      <c r="H14" s="555">
        <v>4.24</v>
      </c>
      <c r="I14" s="555">
        <v>4.33</v>
      </c>
      <c r="J14" s="555">
        <v>4.3600000000000003</v>
      </c>
      <c r="K14" s="555">
        <v>4.37</v>
      </c>
      <c r="L14" s="555">
        <v>4.4800000000000004</v>
      </c>
      <c r="M14" s="555">
        <v>4.4800000000000004</v>
      </c>
      <c r="N14" s="553">
        <v>4.5999999999999996</v>
      </c>
      <c r="O14" s="553">
        <v>4.79</v>
      </c>
      <c r="P14" s="553">
        <v>4.79</v>
      </c>
      <c r="Q14" s="553">
        <v>4.79</v>
      </c>
      <c r="R14" s="553">
        <v>4.83</v>
      </c>
      <c r="S14" s="556">
        <v>5.04</v>
      </c>
      <c r="T14" s="556">
        <v>5.05</v>
      </c>
      <c r="U14" s="556">
        <v>5.18</v>
      </c>
      <c r="V14" s="556">
        <v>5.35</v>
      </c>
      <c r="W14" s="556">
        <v>5.44</v>
      </c>
      <c r="X14" s="556">
        <v>5.47</v>
      </c>
      <c r="Y14" s="552">
        <v>5.53</v>
      </c>
      <c r="Z14" s="552">
        <v>5.6</v>
      </c>
      <c r="AA14" s="552">
        <v>5.78</v>
      </c>
      <c r="AB14" s="297">
        <v>6.04</v>
      </c>
      <c r="AC14" s="297">
        <v>6.46</v>
      </c>
      <c r="AD14" s="297">
        <v>6.47</v>
      </c>
      <c r="AE14" s="298">
        <v>6.63</v>
      </c>
      <c r="AF14" s="298">
        <v>6.85</v>
      </c>
      <c r="AG14" s="299">
        <v>7.06</v>
      </c>
      <c r="AH14" s="299">
        <v>7.21</v>
      </c>
      <c r="AI14" s="660">
        <v>10</v>
      </c>
      <c r="AJ14" s="660">
        <v>10</v>
      </c>
      <c r="AK14" s="660">
        <v>10</v>
      </c>
      <c r="AL14" s="660">
        <v>10</v>
      </c>
      <c r="AM14" s="660">
        <v>10</v>
      </c>
      <c r="AN14" s="660">
        <v>10</v>
      </c>
      <c r="AO14" s="660">
        <v>10</v>
      </c>
      <c r="AP14" s="552">
        <v>17.940000000000001</v>
      </c>
      <c r="AQ14" s="298">
        <v>19.12</v>
      </c>
      <c r="AR14" s="299">
        <v>20.72</v>
      </c>
      <c r="AS14" s="300">
        <v>21.62</v>
      </c>
      <c r="AT14" s="300">
        <v>21.75</v>
      </c>
      <c r="AU14" s="300">
        <v>21.85</v>
      </c>
      <c r="AV14" s="660">
        <v>26.8</v>
      </c>
      <c r="AW14" s="660">
        <v>26.89</v>
      </c>
      <c r="AX14" s="660">
        <v>27.1</v>
      </c>
      <c r="AY14" s="660">
        <v>27.75</v>
      </c>
      <c r="AZ14" s="11">
        <v>60</v>
      </c>
      <c r="BA14" s="11">
        <v>60</v>
      </c>
      <c r="BB14" s="11">
        <v>60</v>
      </c>
      <c r="BC14" s="11">
        <v>60</v>
      </c>
      <c r="BD14" s="11">
        <v>60</v>
      </c>
      <c r="BE14" s="11">
        <v>60</v>
      </c>
      <c r="BF14" s="11">
        <v>60</v>
      </c>
      <c r="BG14" s="11">
        <v>60</v>
      </c>
      <c r="BH14" s="11">
        <v>60</v>
      </c>
      <c r="BI14" s="11">
        <v>60</v>
      </c>
      <c r="BJ14" s="11">
        <v>60</v>
      </c>
      <c r="BK14" s="11">
        <v>60</v>
      </c>
      <c r="BL14" s="11">
        <v>60</v>
      </c>
      <c r="BM14" s="11">
        <v>60</v>
      </c>
      <c r="BN14" s="299">
        <v>65.09</v>
      </c>
      <c r="BO14" s="299">
        <v>65.61</v>
      </c>
      <c r="BP14" s="299">
        <v>66.47</v>
      </c>
      <c r="BQ14" s="300">
        <v>67.319999999999993</v>
      </c>
      <c r="BR14" s="300">
        <v>68.290000000000006</v>
      </c>
      <c r="BS14" s="300">
        <v>68.41</v>
      </c>
      <c r="BT14" s="300">
        <v>68.7</v>
      </c>
      <c r="BU14" s="300">
        <v>68.77</v>
      </c>
      <c r="BV14" s="301">
        <v>69.28</v>
      </c>
      <c r="BW14" s="301">
        <v>70</v>
      </c>
      <c r="BX14" s="740">
        <v>4.8780487804878048</v>
      </c>
      <c r="BY14" s="740">
        <v>4.8013245033112586</v>
      </c>
      <c r="BZ14" s="14">
        <v>4.1551246537396125</v>
      </c>
      <c r="CA14" s="14">
        <v>4.0506329113924044</v>
      </c>
      <c r="CB14" s="734">
        <v>3.8062283737024218</v>
      </c>
      <c r="CC14" s="735">
        <v>3.7447988904299585</v>
      </c>
      <c r="CD14" s="735">
        <v>3.6111111111111112</v>
      </c>
      <c r="CE14" s="735">
        <v>3.5490605427974948</v>
      </c>
      <c r="CF14" s="735">
        <v>3.5294117647058822</v>
      </c>
      <c r="CG14" s="736">
        <v>3.4782608695652177</v>
      </c>
      <c r="CH14" s="736">
        <v>3.3576642335766427</v>
      </c>
      <c r="CI14" s="736">
        <v>3.3088235294117645</v>
      </c>
      <c r="CJ14" s="737">
        <v>3.2457496136012365</v>
      </c>
      <c r="CK14" s="737">
        <v>3.201970443349754</v>
      </c>
      <c r="CL14" s="737">
        <v>3.1775700934579443</v>
      </c>
      <c r="CM14" s="737">
        <v>3.0959752321981426</v>
      </c>
      <c r="CN14" s="737">
        <v>3.0660377358490565</v>
      </c>
      <c r="CO14" s="737">
        <v>3.035714285714286</v>
      </c>
      <c r="CP14" s="738">
        <v>2.9702970297029703</v>
      </c>
      <c r="CQ14" s="738">
        <v>2.9250457038391224</v>
      </c>
      <c r="CR14" s="738">
        <v>2.9227557411273488</v>
      </c>
      <c r="CS14" s="738">
        <v>2.8957528957528957</v>
      </c>
      <c r="CT14" s="738">
        <v>2.8933092224231465</v>
      </c>
      <c r="CU14" s="738">
        <v>2.7777777777777777</v>
      </c>
      <c r="CV14" s="738">
        <v>2.7713625866050808</v>
      </c>
      <c r="CW14" s="730">
        <v>2.7149321266968327</v>
      </c>
      <c r="CX14" s="730">
        <v>2.7139874739039667</v>
      </c>
      <c r="CY14" s="730">
        <v>2.5171624713958809</v>
      </c>
      <c r="CZ14" s="731">
        <v>2.4844720496894408</v>
      </c>
      <c r="DA14" s="731">
        <v>2.4553571428571428</v>
      </c>
      <c r="DB14" s="731">
        <v>2.4553571428571428</v>
      </c>
      <c r="DC14" s="731">
        <v>2.2935779816513762</v>
      </c>
      <c r="DD14" s="732">
        <v>2.1246458923512748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738">
        <v>2.9850746268656714</v>
      </c>
      <c r="DM14" s="738">
        <v>2.9290617848970251</v>
      </c>
      <c r="DN14" s="738">
        <v>2.8505747126436782</v>
      </c>
      <c r="DO14" s="730">
        <v>2.7289546716003699</v>
      </c>
      <c r="DP14" s="730">
        <v>2.7147638527333582</v>
      </c>
      <c r="DQ14" s="730">
        <v>2.6755852842809364</v>
      </c>
      <c r="DR14" s="730">
        <v>2.5830258302583022</v>
      </c>
      <c r="DS14" s="731">
        <v>2.4581589958158996</v>
      </c>
      <c r="DT14" s="731">
        <v>2.3166023166023169</v>
      </c>
      <c r="DU14" s="739">
        <v>1.6576576576576576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738">
        <v>2.7633378932968538</v>
      </c>
      <c r="EK14" s="730">
        <v>2.7090259820219189</v>
      </c>
      <c r="EL14" s="730">
        <v>2.6913143944542615</v>
      </c>
      <c r="EM14" s="730">
        <v>2.655466738924265</v>
      </c>
      <c r="EN14" s="730">
        <v>2.6125866050808315</v>
      </c>
      <c r="EO14" s="730">
        <v>2.5926958461109564</v>
      </c>
      <c r="EP14" s="730">
        <v>2.5672371638141809</v>
      </c>
      <c r="EQ14" s="730">
        <v>2.5423728813559325</v>
      </c>
      <c r="ER14" s="730">
        <v>2.5313010342950459</v>
      </c>
      <c r="ES14" s="730">
        <v>2.5142857142857142</v>
      </c>
      <c r="ET14" s="555">
        <v>87.639999999999986</v>
      </c>
      <c r="EU14" s="659">
        <v>351.53999999999996</v>
      </c>
      <c r="EV14" s="300">
        <v>332.78000000000003</v>
      </c>
      <c r="EW14" s="735">
        <v>70.988850301944083</v>
      </c>
      <c r="EX14" s="732">
        <v>25.899459733355219</v>
      </c>
      <c r="EY14" s="730">
        <v>13.43173161377813</v>
      </c>
      <c r="EZ14" s="301">
        <v>771.96</v>
      </c>
      <c r="FA14" s="738">
        <v>110.32004164907742</v>
      </c>
      <c r="FB14" s="552">
        <v>237.52999999999997</v>
      </c>
      <c r="FC14" s="11">
        <v>1071.54</v>
      </c>
      <c r="FD14" s="300">
        <v>677.94</v>
      </c>
      <c r="FE14" s="730">
        <v>105.00930080703338</v>
      </c>
      <c r="FF14" s="744">
        <v>25.899459733355219</v>
      </c>
      <c r="FG14" s="730">
        <v>26.179624253639957</v>
      </c>
      <c r="FH14" s="659">
        <v>1987.01</v>
      </c>
      <c r="FI14" s="732">
        <v>157.08838479402857</v>
      </c>
      <c r="FJ14" s="748">
        <v>92.50807452144511</v>
      </c>
      <c r="FK14" s="269">
        <v>80.016762321254035</v>
      </c>
      <c r="FL14" s="753">
        <v>73.241440784615975</v>
      </c>
      <c r="FM14" s="753">
        <v>70.879238990966243</v>
      </c>
      <c r="FN14" s="753">
        <v>69.675654978273343</v>
      </c>
      <c r="FO14" s="750">
        <v>64.489225497815013</v>
      </c>
      <c r="FP14" s="745">
        <v>56.793816532904891</v>
      </c>
      <c r="FQ14" s="745">
        <v>56.530604265760374</v>
      </c>
      <c r="FR14" s="746">
        <v>56.069993727291624</v>
      </c>
      <c r="FS14" s="746">
        <v>52.756181660780896</v>
      </c>
      <c r="FT14" s="746">
        <v>52.722660119350721</v>
      </c>
      <c r="FU14" s="747">
        <v>47.819643551813101</v>
      </c>
      <c r="FV14" s="747">
        <v>46.989819975741128</v>
      </c>
      <c r="FW14" s="747">
        <v>46.4621658668176</v>
      </c>
      <c r="FX14" s="747">
        <v>46.175288951887218</v>
      </c>
      <c r="FY14" s="747">
        <v>45.221803151315257</v>
      </c>
      <c r="FZ14" s="747">
        <v>44.435060219889522</v>
      </c>
      <c r="GA14" s="747">
        <v>43.309445801841484</v>
      </c>
      <c r="GB14" s="747">
        <v>42.991364997740313</v>
      </c>
      <c r="GC14" s="747">
        <v>42.877054026752418</v>
      </c>
      <c r="GD14" s="747">
        <v>42.40589183433169</v>
      </c>
      <c r="GE14" s="747">
        <v>42.349480055343079</v>
      </c>
      <c r="GF14" s="747">
        <v>42.110799497677107</v>
      </c>
      <c r="GG14" s="747">
        <v>41.546455336871333</v>
      </c>
      <c r="GH14" s="747">
        <v>41.337025082350216</v>
      </c>
      <c r="GI14" s="747">
        <v>41.295794251956174</v>
      </c>
      <c r="GJ14" s="747">
        <v>40.651073641823189</v>
      </c>
      <c r="GK14" s="747">
        <v>40.651073641823189</v>
      </c>
      <c r="GL14" s="747">
        <v>39.672235562793681</v>
      </c>
      <c r="GM14" s="747">
        <v>39.023218236533005</v>
      </c>
      <c r="GN14" s="747">
        <v>38.701244189010872</v>
      </c>
      <c r="GO14" s="751">
        <v>34.162643248142153</v>
      </c>
      <c r="GP14" s="751">
        <v>25.584399396916748</v>
      </c>
      <c r="GQ14" s="13">
        <v>0</v>
      </c>
      <c r="GR14" s="13">
        <v>0</v>
      </c>
      <c r="GS14" s="13">
        <v>0</v>
      </c>
      <c r="GT14" s="13">
        <v>0</v>
      </c>
      <c r="GU14" s="13">
        <v>0</v>
      </c>
      <c r="GV14" s="13">
        <v>0</v>
      </c>
      <c r="GW14" s="13">
        <v>0</v>
      </c>
      <c r="GX14" s="746">
        <v>54.51320530862445</v>
      </c>
      <c r="GY14" s="746">
        <v>51.984174392926015</v>
      </c>
      <c r="GZ14" s="746">
        <v>50.753917860335378</v>
      </c>
      <c r="HA14" s="747">
        <v>48.792825327430208</v>
      </c>
      <c r="HB14" s="747">
        <v>47.899069372306506</v>
      </c>
      <c r="HC14" s="747">
        <v>45.921859375569873</v>
      </c>
      <c r="HD14" s="747">
        <v>42.671438902202667</v>
      </c>
      <c r="HE14" s="747">
        <v>41.665550430010128</v>
      </c>
      <c r="HF14" s="747">
        <v>39.428374479659169</v>
      </c>
      <c r="HG14" s="752">
        <v>24.886818482469032</v>
      </c>
      <c r="HH14" s="13">
        <v>0</v>
      </c>
      <c r="HI14" s="13">
        <v>0</v>
      </c>
      <c r="HJ14" s="13">
        <v>0</v>
      </c>
      <c r="HK14" s="13">
        <v>0</v>
      </c>
      <c r="HL14" s="13">
        <v>0</v>
      </c>
      <c r="HM14" s="13">
        <v>0</v>
      </c>
      <c r="HN14" s="13">
        <v>0</v>
      </c>
      <c r="HO14" s="13">
        <v>0</v>
      </c>
      <c r="HP14" s="13">
        <v>0</v>
      </c>
      <c r="HQ14" s="13">
        <v>0</v>
      </c>
      <c r="HR14" s="13">
        <v>0</v>
      </c>
      <c r="HS14" s="13">
        <v>0</v>
      </c>
      <c r="HT14" s="13">
        <v>0</v>
      </c>
      <c r="HU14" s="13">
        <v>0</v>
      </c>
      <c r="HV14" s="745">
        <v>59.591193545675452</v>
      </c>
      <c r="HW14" s="745">
        <v>58.497248092081271</v>
      </c>
      <c r="HX14" s="745">
        <v>57.778220281376512</v>
      </c>
      <c r="HY14" s="745">
        <v>56.878806854565504</v>
      </c>
      <c r="HZ14" s="745">
        <v>56.651167772406311</v>
      </c>
      <c r="IA14" s="746">
        <v>56.135277384052102</v>
      </c>
      <c r="IB14" s="746">
        <v>55.890276108977069</v>
      </c>
      <c r="IC14" s="746">
        <v>55.088275489364783</v>
      </c>
      <c r="ID14" s="746">
        <v>54.389572911010156</v>
      </c>
      <c r="IE14" s="746">
        <v>54.272117727991962</v>
      </c>
      <c r="IF14" s="747">
        <v>1641.4566339198284</v>
      </c>
      <c r="IG14" s="752">
        <v>448.51723393153344</v>
      </c>
      <c r="IH14" s="745">
        <v>565.17215616750116</v>
      </c>
      <c r="II14" s="745">
        <v>1131.9652999442562</v>
      </c>
      <c r="IJ14" s="751">
        <v>448.51723393153344</v>
      </c>
      <c r="IK14" s="745">
        <v>289.39663654610507</v>
      </c>
      <c r="IL14" s="8">
        <v>0.58850944100836455</v>
      </c>
      <c r="IM14" s="8">
        <v>0.558556263381218</v>
      </c>
      <c r="IN14" s="8">
        <v>2.3361367582290873</v>
      </c>
      <c r="IO14" s="8">
        <v>0.91574145416489272</v>
      </c>
      <c r="IP14" s="8">
        <v>0.23288486366587696</v>
      </c>
      <c r="IQ14" s="8">
        <v>9.1622743354906666E-2</v>
      </c>
      <c r="IR14" s="8">
        <v>2.1824932423348233</v>
      </c>
      <c r="IS14" s="8">
        <v>0.35977624699244753</v>
      </c>
    </row>
    <row r="15" spans="1:253" x14ac:dyDescent="0.25">
      <c r="A15" s="10">
        <v>44081</v>
      </c>
      <c r="B15" s="660">
        <v>10</v>
      </c>
      <c r="C15" s="660">
        <v>10</v>
      </c>
      <c r="D15" s="660">
        <v>10</v>
      </c>
      <c r="E15" s="660">
        <v>10</v>
      </c>
      <c r="F15" s="660">
        <v>10</v>
      </c>
      <c r="G15" s="660">
        <v>10</v>
      </c>
      <c r="H15" s="660">
        <v>10</v>
      </c>
      <c r="I15" s="660">
        <v>10</v>
      </c>
      <c r="J15" s="660">
        <v>10</v>
      </c>
      <c r="K15" s="660">
        <v>10</v>
      </c>
      <c r="L15" s="660">
        <v>10</v>
      </c>
      <c r="M15" s="660">
        <v>10</v>
      </c>
      <c r="N15" s="660">
        <v>10</v>
      </c>
      <c r="O15" s="660">
        <v>10</v>
      </c>
      <c r="P15" s="660">
        <v>10</v>
      </c>
      <c r="Q15" s="660">
        <v>10</v>
      </c>
      <c r="R15" s="660">
        <v>10</v>
      </c>
      <c r="S15" s="660">
        <v>10</v>
      </c>
      <c r="T15" s="660">
        <v>10</v>
      </c>
      <c r="U15" s="660">
        <v>10</v>
      </c>
      <c r="V15" s="660">
        <v>10</v>
      </c>
      <c r="W15" s="660">
        <v>10</v>
      </c>
      <c r="X15" s="660">
        <v>10</v>
      </c>
      <c r="Y15" s="660">
        <v>10</v>
      </c>
      <c r="Z15" s="660">
        <v>10</v>
      </c>
      <c r="AA15" s="660">
        <v>10</v>
      </c>
      <c r="AB15" s="660">
        <v>10</v>
      </c>
      <c r="AC15" s="660">
        <v>10</v>
      </c>
      <c r="AD15" s="660">
        <v>10</v>
      </c>
      <c r="AE15" s="660">
        <v>10</v>
      </c>
      <c r="AF15" s="660">
        <v>10</v>
      </c>
      <c r="AG15" s="660">
        <v>10</v>
      </c>
      <c r="AH15" s="660">
        <v>10</v>
      </c>
      <c r="AI15" s="660">
        <v>10</v>
      </c>
      <c r="AJ15" s="660">
        <v>10</v>
      </c>
      <c r="AK15" s="660">
        <v>10</v>
      </c>
      <c r="AL15" s="660">
        <v>10</v>
      </c>
      <c r="AM15" s="660">
        <v>10</v>
      </c>
      <c r="AN15" s="660">
        <v>10</v>
      </c>
      <c r="AO15" s="660">
        <v>10</v>
      </c>
      <c r="AP15" s="11">
        <v>60</v>
      </c>
      <c r="AQ15" s="11">
        <v>60</v>
      </c>
      <c r="AR15" s="11">
        <v>60</v>
      </c>
      <c r="AS15" s="11">
        <v>60</v>
      </c>
      <c r="AT15" s="11">
        <v>60</v>
      </c>
      <c r="AU15" s="11">
        <v>60</v>
      </c>
      <c r="AV15" s="11">
        <v>60</v>
      </c>
      <c r="AW15" s="11">
        <v>60</v>
      </c>
      <c r="AX15" s="11">
        <v>60</v>
      </c>
      <c r="AY15" s="11">
        <v>60</v>
      </c>
      <c r="AZ15" s="11">
        <v>60</v>
      </c>
      <c r="BA15" s="11">
        <v>60</v>
      </c>
      <c r="BB15" s="11">
        <v>60</v>
      </c>
      <c r="BC15" s="11">
        <v>60</v>
      </c>
      <c r="BD15" s="11">
        <v>60</v>
      </c>
      <c r="BE15" s="11">
        <v>60</v>
      </c>
      <c r="BF15" s="11">
        <v>60</v>
      </c>
      <c r="BG15" s="11">
        <v>60</v>
      </c>
      <c r="BH15" s="11">
        <v>60</v>
      </c>
      <c r="BI15" s="11">
        <v>60</v>
      </c>
      <c r="BJ15" s="11">
        <v>60</v>
      </c>
      <c r="BK15" s="11">
        <v>60</v>
      </c>
      <c r="BL15" s="11">
        <v>60</v>
      </c>
      <c r="BM15" s="11">
        <v>60</v>
      </c>
      <c r="BN15" s="299">
        <v>66.17</v>
      </c>
      <c r="BO15" s="299">
        <v>66.45</v>
      </c>
      <c r="BP15" s="299">
        <v>66.47</v>
      </c>
      <c r="BQ15" s="300">
        <v>67.95</v>
      </c>
      <c r="BR15" s="301">
        <v>69.17</v>
      </c>
      <c r="BS15" s="301">
        <v>69.53</v>
      </c>
      <c r="BT15" s="301">
        <v>70.16</v>
      </c>
      <c r="BU15" s="301">
        <v>70.62</v>
      </c>
      <c r="BV15" s="301">
        <v>70.989999999999995</v>
      </c>
      <c r="BW15" s="301">
        <v>71.099999999999994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730">
        <v>2.6795895096921325</v>
      </c>
      <c r="EK15" s="730">
        <v>2.6722925457102673</v>
      </c>
      <c r="EL15" s="730">
        <v>2.6598156264168051</v>
      </c>
      <c r="EM15" s="730">
        <v>2.6479750778816196</v>
      </c>
      <c r="EN15" s="730">
        <v>2.5165562913907285</v>
      </c>
      <c r="EO15" s="730">
        <v>2.5079672994318969</v>
      </c>
      <c r="EP15" s="731">
        <v>2.4531422271223815</v>
      </c>
      <c r="EQ15" s="731">
        <v>2.3730763699122681</v>
      </c>
      <c r="ER15" s="731">
        <v>2.3571079628724965</v>
      </c>
      <c r="ES15" s="731">
        <v>2.3469234241010981</v>
      </c>
      <c r="ET15" s="660">
        <v>200</v>
      </c>
      <c r="EU15" s="11">
        <v>720</v>
      </c>
      <c r="EV15" s="300">
        <v>336.21000000000004</v>
      </c>
      <c r="EW15" s="12">
        <v>0</v>
      </c>
      <c r="EX15" s="12">
        <v>0</v>
      </c>
      <c r="EY15" s="730">
        <v>13.176229051091553</v>
      </c>
      <c r="EZ15" s="11">
        <v>1256.21</v>
      </c>
      <c r="FA15" s="742">
        <v>13.176229051091553</v>
      </c>
      <c r="FB15" s="660">
        <v>400</v>
      </c>
      <c r="FC15" s="11">
        <v>1440</v>
      </c>
      <c r="FD15" s="300">
        <v>688.61</v>
      </c>
      <c r="FE15" s="12">
        <v>0</v>
      </c>
      <c r="FF15" s="12">
        <v>0</v>
      </c>
      <c r="FG15" s="730">
        <v>25.214446334531697</v>
      </c>
      <c r="FH15" s="11">
        <v>2528.61</v>
      </c>
      <c r="FI15" s="742">
        <v>25.214446334531697</v>
      </c>
      <c r="FJ15" s="13">
        <v>0</v>
      </c>
      <c r="FK15" s="13">
        <v>0</v>
      </c>
      <c r="FL15" s="13">
        <v>0</v>
      </c>
      <c r="FM15" s="13">
        <v>0</v>
      </c>
      <c r="FN15" s="13">
        <v>0</v>
      </c>
      <c r="FO15" s="13">
        <v>0</v>
      </c>
      <c r="FP15" s="13">
        <v>0</v>
      </c>
      <c r="FQ15" s="13">
        <v>0</v>
      </c>
      <c r="FR15" s="13">
        <v>0</v>
      </c>
      <c r="FS15" s="13">
        <v>0</v>
      </c>
      <c r="FT15" s="13">
        <v>0</v>
      </c>
      <c r="FU15" s="13">
        <v>0</v>
      </c>
      <c r="FV15" s="13">
        <v>0</v>
      </c>
      <c r="FW15" s="13">
        <v>0</v>
      </c>
      <c r="FX15" s="13">
        <v>0</v>
      </c>
      <c r="FY15" s="13">
        <v>0</v>
      </c>
      <c r="FZ15" s="13">
        <v>0</v>
      </c>
      <c r="GA15" s="13">
        <v>0</v>
      </c>
      <c r="GB15" s="13">
        <v>0</v>
      </c>
      <c r="GC15" s="13">
        <v>0</v>
      </c>
      <c r="GD15" s="13">
        <v>0</v>
      </c>
      <c r="GE15" s="13">
        <v>0</v>
      </c>
      <c r="GF15" s="13">
        <v>0</v>
      </c>
      <c r="GG15" s="13">
        <v>0</v>
      </c>
      <c r="GH15" s="13">
        <v>0</v>
      </c>
      <c r="GI15" s="13">
        <v>0</v>
      </c>
      <c r="GJ15" s="13">
        <v>0</v>
      </c>
      <c r="GK15" s="13">
        <v>0</v>
      </c>
      <c r="GL15" s="13">
        <v>0</v>
      </c>
      <c r="GM15" s="13">
        <v>0</v>
      </c>
      <c r="GN15" s="13">
        <v>0</v>
      </c>
      <c r="GO15" s="13">
        <v>0</v>
      </c>
      <c r="GP15" s="13">
        <v>0</v>
      </c>
      <c r="GQ15" s="13">
        <v>0</v>
      </c>
      <c r="GR15" s="13">
        <v>0</v>
      </c>
      <c r="GS15" s="13">
        <v>0</v>
      </c>
      <c r="GT15" s="13">
        <v>0</v>
      </c>
      <c r="GU15" s="13">
        <v>0</v>
      </c>
      <c r="GV15" s="13">
        <v>0</v>
      </c>
      <c r="GW15" s="13">
        <v>0</v>
      </c>
      <c r="GX15" s="13">
        <v>0</v>
      </c>
      <c r="GY15" s="13">
        <v>0</v>
      </c>
      <c r="GZ15" s="13">
        <v>0</v>
      </c>
      <c r="HA15" s="13">
        <v>0</v>
      </c>
      <c r="HB15" s="13">
        <v>0</v>
      </c>
      <c r="HC15" s="13">
        <v>0</v>
      </c>
      <c r="HD15" s="13">
        <v>0</v>
      </c>
      <c r="HE15" s="13">
        <v>0</v>
      </c>
      <c r="HF15" s="13">
        <v>0</v>
      </c>
      <c r="HG15" s="13">
        <v>0</v>
      </c>
      <c r="HH15" s="13">
        <v>0</v>
      </c>
      <c r="HI15" s="13">
        <v>0</v>
      </c>
      <c r="HJ15" s="13">
        <v>0</v>
      </c>
      <c r="HK15" s="13">
        <v>0</v>
      </c>
      <c r="HL15" s="13">
        <v>0</v>
      </c>
      <c r="HM15" s="13">
        <v>0</v>
      </c>
      <c r="HN15" s="13">
        <v>0</v>
      </c>
      <c r="HO15" s="13">
        <v>0</v>
      </c>
      <c r="HP15" s="13">
        <v>0</v>
      </c>
      <c r="HQ15" s="13">
        <v>0</v>
      </c>
      <c r="HR15" s="13">
        <v>0</v>
      </c>
      <c r="HS15" s="13">
        <v>0</v>
      </c>
      <c r="HT15" s="13">
        <v>0</v>
      </c>
      <c r="HU15" s="13">
        <v>0</v>
      </c>
      <c r="HV15" s="745">
        <v>61.500549229527792</v>
      </c>
      <c r="HW15" s="745">
        <v>59.469709628882214</v>
      </c>
      <c r="HX15" s="745">
        <v>58.75780113710303</v>
      </c>
      <c r="HY15" s="745">
        <v>58.499849579317939</v>
      </c>
      <c r="HZ15" s="745">
        <v>57.116854453530408</v>
      </c>
      <c r="IA15" s="746">
        <v>54.571065214678711</v>
      </c>
      <c r="IB15" s="746">
        <v>54.094261952095522</v>
      </c>
      <c r="IC15" s="746">
        <v>53.177129662615059</v>
      </c>
      <c r="ID15" s="746">
        <v>53.000676088026708</v>
      </c>
      <c r="IE15" s="746">
        <v>50.060567056245802</v>
      </c>
      <c r="IF15" s="13">
        <v>0</v>
      </c>
      <c r="IG15" s="13">
        <v>0</v>
      </c>
      <c r="IH15" s="746">
        <v>560.24846400202318</v>
      </c>
      <c r="II15" s="13">
        <v>0</v>
      </c>
      <c r="IJ15" s="13">
        <v>0</v>
      </c>
      <c r="IK15" s="745">
        <v>295.3447640283614</v>
      </c>
      <c r="IL15" s="8">
        <v>0</v>
      </c>
      <c r="IM15" s="8">
        <v>0</v>
      </c>
      <c r="IN15" s="8">
        <v>2.3149402218127211</v>
      </c>
      <c r="IO15" s="8">
        <v>0</v>
      </c>
      <c r="IP15" s="8">
        <v>0</v>
      </c>
      <c r="IQ15" s="8">
        <v>0</v>
      </c>
      <c r="IR15" s="8">
        <v>2.0514303930501776</v>
      </c>
      <c r="IS15" s="8">
        <v>0</v>
      </c>
    </row>
    <row r="16" spans="1:253" x14ac:dyDescent="0.25">
      <c r="A16" s="10">
        <v>44074</v>
      </c>
      <c r="B16" s="660">
        <v>10</v>
      </c>
      <c r="C16" s="660">
        <v>10</v>
      </c>
      <c r="D16" s="660">
        <v>10</v>
      </c>
      <c r="E16" s="660">
        <v>10</v>
      </c>
      <c r="F16" s="660">
        <v>10</v>
      </c>
      <c r="G16" s="660">
        <v>10</v>
      </c>
      <c r="H16" s="660">
        <v>10</v>
      </c>
      <c r="I16" s="660">
        <v>10</v>
      </c>
      <c r="J16" s="660">
        <v>10</v>
      </c>
      <c r="K16" s="660">
        <v>10</v>
      </c>
      <c r="L16" s="660">
        <v>10</v>
      </c>
      <c r="M16" s="660">
        <v>10</v>
      </c>
      <c r="N16" s="660">
        <v>10</v>
      </c>
      <c r="O16" s="660">
        <v>10</v>
      </c>
      <c r="P16" s="660">
        <v>10</v>
      </c>
      <c r="Q16" s="660">
        <v>10</v>
      </c>
      <c r="R16" s="660">
        <v>10</v>
      </c>
      <c r="S16" s="660">
        <v>10</v>
      </c>
      <c r="T16" s="660">
        <v>10</v>
      </c>
      <c r="U16" s="660">
        <v>10</v>
      </c>
      <c r="V16" s="660">
        <v>10</v>
      </c>
      <c r="W16" s="660">
        <v>10</v>
      </c>
      <c r="X16" s="660">
        <v>10</v>
      </c>
      <c r="Y16" s="660">
        <v>10</v>
      </c>
      <c r="Z16" s="660">
        <v>10</v>
      </c>
      <c r="AA16" s="660">
        <v>10</v>
      </c>
      <c r="AB16" s="660">
        <v>10</v>
      </c>
      <c r="AC16" s="660">
        <v>10</v>
      </c>
      <c r="AD16" s="660">
        <v>10</v>
      </c>
      <c r="AE16" s="660">
        <v>10</v>
      </c>
      <c r="AF16" s="660">
        <v>10</v>
      </c>
      <c r="AG16" s="660">
        <v>10</v>
      </c>
      <c r="AH16" s="660">
        <v>10</v>
      </c>
      <c r="AI16" s="660">
        <v>10</v>
      </c>
      <c r="AJ16" s="660">
        <v>10</v>
      </c>
      <c r="AK16" s="660">
        <v>10</v>
      </c>
      <c r="AL16" s="660">
        <v>10</v>
      </c>
      <c r="AM16" s="660">
        <v>10</v>
      </c>
      <c r="AN16" s="660">
        <v>10</v>
      </c>
      <c r="AO16" s="660">
        <v>10</v>
      </c>
      <c r="AP16" s="11">
        <v>60</v>
      </c>
      <c r="AQ16" s="11">
        <v>60</v>
      </c>
      <c r="AR16" s="11">
        <v>60</v>
      </c>
      <c r="AS16" s="11">
        <v>60</v>
      </c>
      <c r="AT16" s="11">
        <v>60</v>
      </c>
      <c r="AU16" s="11">
        <v>60</v>
      </c>
      <c r="AV16" s="11">
        <v>60</v>
      </c>
      <c r="AW16" s="11">
        <v>60</v>
      </c>
      <c r="AX16" s="11">
        <v>60</v>
      </c>
      <c r="AY16" s="11">
        <v>60</v>
      </c>
      <c r="AZ16" s="11">
        <v>60</v>
      </c>
      <c r="BA16" s="11">
        <v>60</v>
      </c>
      <c r="BB16" s="11">
        <v>60</v>
      </c>
      <c r="BC16" s="11">
        <v>60</v>
      </c>
      <c r="BD16" s="11">
        <v>60</v>
      </c>
      <c r="BE16" s="11">
        <v>60</v>
      </c>
      <c r="BF16" s="11">
        <v>60</v>
      </c>
      <c r="BG16" s="11">
        <v>60</v>
      </c>
      <c r="BH16" s="11">
        <v>60</v>
      </c>
      <c r="BI16" s="11">
        <v>60</v>
      </c>
      <c r="BJ16" s="11">
        <v>60</v>
      </c>
      <c r="BK16" s="11">
        <v>60</v>
      </c>
      <c r="BL16" s="11">
        <v>60</v>
      </c>
      <c r="BM16" s="11">
        <v>60</v>
      </c>
      <c r="BN16" s="299">
        <v>64.64</v>
      </c>
      <c r="BO16" s="299">
        <v>66.180000000000007</v>
      </c>
      <c r="BP16" s="300">
        <v>68.34</v>
      </c>
      <c r="BQ16" s="301">
        <v>69.56</v>
      </c>
      <c r="BR16" s="301">
        <v>71.11</v>
      </c>
      <c r="BS16" s="301">
        <v>72.010000000000005</v>
      </c>
      <c r="BT16" s="301">
        <v>72.56</v>
      </c>
      <c r="BU16" s="301">
        <v>73.25</v>
      </c>
      <c r="BV16" s="302">
        <v>75.31</v>
      </c>
      <c r="BW16" s="302">
        <v>78.7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730">
        <v>2.6315789473684208</v>
      </c>
      <c r="EK16" s="730">
        <v>2.5158136860264517</v>
      </c>
      <c r="EL16" s="731">
        <v>2.4932003626473254</v>
      </c>
      <c r="EM16" s="731">
        <v>2.4875621890547261</v>
      </c>
      <c r="EN16" s="731">
        <v>2.4718789057075403</v>
      </c>
      <c r="EO16" s="731">
        <v>2.4573378839590445</v>
      </c>
      <c r="EP16" s="731">
        <v>2.4133663366336635</v>
      </c>
      <c r="EQ16" s="731">
        <v>2.3370070375780108</v>
      </c>
      <c r="ER16" s="731">
        <v>2.2640978765293207</v>
      </c>
      <c r="ES16" s="732">
        <v>2.1912899669239247</v>
      </c>
      <c r="ET16" s="660">
        <v>200</v>
      </c>
      <c r="EU16" s="11">
        <v>720</v>
      </c>
      <c r="EV16" s="300">
        <v>339.83000000000004</v>
      </c>
      <c r="EW16" s="12">
        <v>0</v>
      </c>
      <c r="EX16" s="12">
        <v>0</v>
      </c>
      <c r="EY16" s="730">
        <v>12.600034090804463</v>
      </c>
      <c r="EZ16" s="11">
        <v>1259.83</v>
      </c>
      <c r="FA16" s="742">
        <v>12.600034090804463</v>
      </c>
      <c r="FB16" s="660">
        <v>400</v>
      </c>
      <c r="FC16" s="11">
        <v>1440</v>
      </c>
      <c r="FD16" s="301">
        <v>711.66000000000008</v>
      </c>
      <c r="FE16" s="12">
        <v>0</v>
      </c>
      <c r="FF16" s="12">
        <v>0</v>
      </c>
      <c r="FG16" s="731">
        <v>24.26313319242843</v>
      </c>
      <c r="FH16" s="11">
        <v>2551.66</v>
      </c>
      <c r="FI16" s="742">
        <v>24.26313319242843</v>
      </c>
      <c r="FJ16" s="13">
        <v>0</v>
      </c>
      <c r="FK16" s="13">
        <v>0</v>
      </c>
      <c r="FL16" s="13">
        <v>0</v>
      </c>
      <c r="FM16" s="13">
        <v>0</v>
      </c>
      <c r="FN16" s="13">
        <v>0</v>
      </c>
      <c r="FO16" s="13">
        <v>0</v>
      </c>
      <c r="FP16" s="13">
        <v>0</v>
      </c>
      <c r="FQ16" s="13">
        <v>0</v>
      </c>
      <c r="FR16" s="13">
        <v>0</v>
      </c>
      <c r="FS16" s="13">
        <v>0</v>
      </c>
      <c r="FT16" s="13">
        <v>0</v>
      </c>
      <c r="FU16" s="13">
        <v>0</v>
      </c>
      <c r="FV16" s="13">
        <v>0</v>
      </c>
      <c r="FW16" s="13">
        <v>0</v>
      </c>
      <c r="FX16" s="13">
        <v>0</v>
      </c>
      <c r="FY16" s="13">
        <v>0</v>
      </c>
      <c r="FZ16" s="13">
        <v>0</v>
      </c>
      <c r="GA16" s="13">
        <v>0</v>
      </c>
      <c r="GB16" s="13">
        <v>0</v>
      </c>
      <c r="GC16" s="13">
        <v>0</v>
      </c>
      <c r="GD16" s="13">
        <v>0</v>
      </c>
      <c r="GE16" s="13">
        <v>0</v>
      </c>
      <c r="GF16" s="13">
        <v>0</v>
      </c>
      <c r="GG16" s="13">
        <v>0</v>
      </c>
      <c r="GH16" s="13">
        <v>0</v>
      </c>
      <c r="GI16" s="13">
        <v>0</v>
      </c>
      <c r="GJ16" s="13">
        <v>0</v>
      </c>
      <c r="GK16" s="13">
        <v>0</v>
      </c>
      <c r="GL16" s="13">
        <v>0</v>
      </c>
      <c r="GM16" s="13">
        <v>0</v>
      </c>
      <c r="GN16" s="13">
        <v>0</v>
      </c>
      <c r="GO16" s="13">
        <v>0</v>
      </c>
      <c r="GP16" s="13">
        <v>0</v>
      </c>
      <c r="GQ16" s="13">
        <v>0</v>
      </c>
      <c r="GR16" s="13">
        <v>0</v>
      </c>
      <c r="GS16" s="13">
        <v>0</v>
      </c>
      <c r="GT16" s="13">
        <v>0</v>
      </c>
      <c r="GU16" s="13">
        <v>0</v>
      </c>
      <c r="GV16" s="13">
        <v>0</v>
      </c>
      <c r="GW16" s="13">
        <v>0</v>
      </c>
      <c r="GX16" s="13">
        <v>0</v>
      </c>
      <c r="GY16" s="13">
        <v>0</v>
      </c>
      <c r="GZ16" s="13">
        <v>0</v>
      </c>
      <c r="HA16" s="13">
        <v>0</v>
      </c>
      <c r="HB16" s="13">
        <v>0</v>
      </c>
      <c r="HC16" s="13">
        <v>0</v>
      </c>
      <c r="HD16" s="13">
        <v>0</v>
      </c>
      <c r="HE16" s="13">
        <v>0</v>
      </c>
      <c r="HF16" s="13">
        <v>0</v>
      </c>
      <c r="HG16" s="13">
        <v>0</v>
      </c>
      <c r="HH16" s="13">
        <v>0</v>
      </c>
      <c r="HI16" s="13">
        <v>0</v>
      </c>
      <c r="HJ16" s="13">
        <v>0</v>
      </c>
      <c r="HK16" s="13">
        <v>0</v>
      </c>
      <c r="HL16" s="13">
        <v>0</v>
      </c>
      <c r="HM16" s="13">
        <v>0</v>
      </c>
      <c r="HN16" s="13">
        <v>0</v>
      </c>
      <c r="HO16" s="13">
        <v>0</v>
      </c>
      <c r="HP16" s="13">
        <v>0</v>
      </c>
      <c r="HQ16" s="13">
        <v>0</v>
      </c>
      <c r="HR16" s="13">
        <v>0</v>
      </c>
      <c r="HS16" s="13">
        <v>0</v>
      </c>
      <c r="HT16" s="13">
        <v>0</v>
      </c>
      <c r="HU16" s="13">
        <v>0</v>
      </c>
      <c r="HV16" s="745">
        <v>57.641955093593623</v>
      </c>
      <c r="HW16" s="745">
        <v>56.723440217726655</v>
      </c>
      <c r="HX16" s="746">
        <v>56.233060418722459</v>
      </c>
      <c r="HY16" s="746">
        <v>56.171630368552137</v>
      </c>
      <c r="HZ16" s="746">
        <v>53.869442259462019</v>
      </c>
      <c r="IA16" s="746">
        <v>52.9163391292265</v>
      </c>
      <c r="IB16" s="746">
        <v>51.992248004360704</v>
      </c>
      <c r="IC16" s="747">
        <v>49.77760277037428</v>
      </c>
      <c r="ID16" s="747">
        <v>49.357530461779206</v>
      </c>
      <c r="IE16" s="747">
        <v>47.50091919301007</v>
      </c>
      <c r="IF16" s="13">
        <v>0</v>
      </c>
      <c r="IG16" s="13">
        <v>0</v>
      </c>
      <c r="IH16" s="746">
        <v>532.18416791680772</v>
      </c>
      <c r="II16" s="13">
        <v>0</v>
      </c>
      <c r="IJ16" s="13">
        <v>0</v>
      </c>
      <c r="IK16" s="746">
        <v>280.63952835805691</v>
      </c>
      <c r="IL16" s="8">
        <v>0</v>
      </c>
      <c r="IM16" s="8">
        <v>0</v>
      </c>
      <c r="IN16" s="8">
        <v>2.0810803193001224</v>
      </c>
      <c r="IO16" s="8">
        <v>0</v>
      </c>
      <c r="IP16" s="8">
        <v>0</v>
      </c>
      <c r="IQ16" s="8">
        <v>0</v>
      </c>
      <c r="IR16" s="8">
        <v>1.8144135330167779</v>
      </c>
      <c r="IS16" s="8">
        <v>0</v>
      </c>
    </row>
    <row r="17" spans="1:253" x14ac:dyDescent="0.25">
      <c r="A17" s="10">
        <v>44067</v>
      </c>
      <c r="B17" s="553">
        <v>4.8099999999999996</v>
      </c>
      <c r="C17" s="553">
        <v>4.97</v>
      </c>
      <c r="D17" s="297">
        <v>6.23</v>
      </c>
      <c r="E17" s="297">
        <v>6.46</v>
      </c>
      <c r="F17" s="660">
        <v>10</v>
      </c>
      <c r="G17" s="660">
        <v>10</v>
      </c>
      <c r="H17" s="660">
        <v>10</v>
      </c>
      <c r="I17" s="660">
        <v>10</v>
      </c>
      <c r="J17" s="660">
        <v>10</v>
      </c>
      <c r="K17" s="660">
        <v>10</v>
      </c>
      <c r="L17" s="660">
        <v>10</v>
      </c>
      <c r="M17" s="660">
        <v>10</v>
      </c>
      <c r="N17" s="660">
        <v>10</v>
      </c>
      <c r="O17" s="660">
        <v>10</v>
      </c>
      <c r="P17" s="660">
        <v>10</v>
      </c>
      <c r="Q17" s="660">
        <v>10</v>
      </c>
      <c r="R17" s="660">
        <v>10</v>
      </c>
      <c r="S17" s="660">
        <v>10</v>
      </c>
      <c r="T17" s="660">
        <v>10</v>
      </c>
      <c r="U17" s="660">
        <v>10</v>
      </c>
      <c r="V17" s="660">
        <v>10</v>
      </c>
      <c r="W17" s="660">
        <v>10</v>
      </c>
      <c r="X17" s="660">
        <v>10</v>
      </c>
      <c r="Y17" s="660">
        <v>10</v>
      </c>
      <c r="Z17" s="660">
        <v>10</v>
      </c>
      <c r="AA17" s="660">
        <v>10</v>
      </c>
      <c r="AB17" s="660">
        <v>10</v>
      </c>
      <c r="AC17" s="660">
        <v>10</v>
      </c>
      <c r="AD17" s="660">
        <v>10</v>
      </c>
      <c r="AE17" s="660">
        <v>10</v>
      </c>
      <c r="AF17" s="660">
        <v>10</v>
      </c>
      <c r="AG17" s="660">
        <v>10</v>
      </c>
      <c r="AH17" s="660">
        <v>10</v>
      </c>
      <c r="AI17" s="660">
        <v>10</v>
      </c>
      <c r="AJ17" s="660">
        <v>10</v>
      </c>
      <c r="AK17" s="660">
        <v>10</v>
      </c>
      <c r="AL17" s="660">
        <v>10</v>
      </c>
      <c r="AM17" s="660">
        <v>10</v>
      </c>
      <c r="AN17" s="660">
        <v>10</v>
      </c>
      <c r="AO17" s="660">
        <v>10</v>
      </c>
      <c r="AP17" s="11">
        <v>60</v>
      </c>
      <c r="AQ17" s="11">
        <v>60</v>
      </c>
      <c r="AR17" s="11">
        <v>60</v>
      </c>
      <c r="AS17" s="11">
        <v>60</v>
      </c>
      <c r="AT17" s="11">
        <v>60</v>
      </c>
      <c r="AU17" s="11">
        <v>60</v>
      </c>
      <c r="AV17" s="11">
        <v>60</v>
      </c>
      <c r="AW17" s="11">
        <v>60</v>
      </c>
      <c r="AX17" s="11">
        <v>60</v>
      </c>
      <c r="AY17" s="11">
        <v>60</v>
      </c>
      <c r="AZ17" s="11">
        <v>60</v>
      </c>
      <c r="BA17" s="11">
        <v>60</v>
      </c>
      <c r="BB17" s="11">
        <v>60</v>
      </c>
      <c r="BC17" s="11">
        <v>60</v>
      </c>
      <c r="BD17" s="11">
        <v>60</v>
      </c>
      <c r="BE17" s="11">
        <v>60</v>
      </c>
      <c r="BF17" s="11">
        <v>60</v>
      </c>
      <c r="BG17" s="11">
        <v>60</v>
      </c>
      <c r="BH17" s="11">
        <v>60</v>
      </c>
      <c r="BI17" s="11">
        <v>60</v>
      </c>
      <c r="BJ17" s="11">
        <v>60</v>
      </c>
      <c r="BK17" s="11">
        <v>60</v>
      </c>
      <c r="BL17" s="11">
        <v>60</v>
      </c>
      <c r="BM17" s="11">
        <v>60</v>
      </c>
      <c r="BN17" s="298">
        <v>61.85</v>
      </c>
      <c r="BO17" s="298">
        <v>61.93</v>
      </c>
      <c r="BP17" s="298">
        <v>63.79</v>
      </c>
      <c r="BQ17" s="298">
        <v>63.97</v>
      </c>
      <c r="BR17" s="299">
        <v>65.12</v>
      </c>
      <c r="BS17" s="300">
        <v>67.459999999999994</v>
      </c>
      <c r="BT17" s="300">
        <v>68.989999999999995</v>
      </c>
      <c r="BU17" s="301">
        <v>69.87</v>
      </c>
      <c r="BV17" s="301">
        <v>71.39</v>
      </c>
      <c r="BW17" s="301">
        <v>73.41</v>
      </c>
      <c r="BX17" s="735">
        <v>3.6918138041733544</v>
      </c>
      <c r="BY17" s="736">
        <v>3.2507739938080498</v>
      </c>
      <c r="BZ17" s="737">
        <v>3.2193158953722336</v>
      </c>
      <c r="CA17" s="730">
        <v>2.7027027027027031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730">
        <v>2.7043926840706582</v>
      </c>
      <c r="EK17" s="730">
        <v>2.671990171990172</v>
      </c>
      <c r="EL17" s="730">
        <v>2.6386006522383636</v>
      </c>
      <c r="EM17" s="730">
        <v>2.615933412604043</v>
      </c>
      <c r="EN17" s="730">
        <v>2.5499474237644586</v>
      </c>
      <c r="EO17" s="730">
        <v>2.5406640677510417</v>
      </c>
      <c r="EP17" s="731">
        <v>2.4798839203271337</v>
      </c>
      <c r="EQ17" s="731">
        <v>2.4656041411251874</v>
      </c>
      <c r="ER17" s="731">
        <v>2.3443815683104283</v>
      </c>
      <c r="ES17" s="731">
        <v>2.3191766922742429</v>
      </c>
      <c r="ET17" s="302">
        <v>182.47</v>
      </c>
      <c r="EU17" s="11">
        <v>720</v>
      </c>
      <c r="EV17" s="298">
        <v>316.65999999999997</v>
      </c>
      <c r="EW17" s="743">
        <v>12.864606396056342</v>
      </c>
      <c r="EX17" s="12">
        <v>0</v>
      </c>
      <c r="EY17" s="730">
        <v>13.180864344667697</v>
      </c>
      <c r="EZ17" s="11">
        <v>1219.1300000000001</v>
      </c>
      <c r="FA17" s="743">
        <v>26.045470740724038</v>
      </c>
      <c r="FB17" s="302">
        <v>382.47</v>
      </c>
      <c r="FC17" s="11">
        <v>1440</v>
      </c>
      <c r="FD17" s="300">
        <v>667.78</v>
      </c>
      <c r="FE17" s="742">
        <v>12.864606396056342</v>
      </c>
      <c r="FF17" s="12">
        <v>0</v>
      </c>
      <c r="FG17" s="730">
        <v>25.33057473445573</v>
      </c>
      <c r="FH17" s="11">
        <v>2490.25</v>
      </c>
      <c r="FI17" s="743">
        <v>38.195181130512069</v>
      </c>
      <c r="FJ17" s="747">
        <v>49.563969464936122</v>
      </c>
      <c r="FK17" s="747">
        <v>48.523276167403303</v>
      </c>
      <c r="FL17" s="747">
        <v>42.574414237514091</v>
      </c>
      <c r="FM17" s="747">
        <v>41.655847340933363</v>
      </c>
      <c r="FN17" s="13">
        <v>0</v>
      </c>
      <c r="FO17" s="13">
        <v>0</v>
      </c>
      <c r="FP17" s="13">
        <v>0</v>
      </c>
      <c r="FQ17" s="13">
        <v>0</v>
      </c>
      <c r="FR17" s="13">
        <v>0</v>
      </c>
      <c r="FS17" s="13">
        <v>0</v>
      </c>
      <c r="FT17" s="13">
        <v>0</v>
      </c>
      <c r="FU17" s="13">
        <v>0</v>
      </c>
      <c r="FV17" s="13">
        <v>0</v>
      </c>
      <c r="FW17" s="13">
        <v>0</v>
      </c>
      <c r="FX17" s="13">
        <v>0</v>
      </c>
      <c r="FY17" s="13">
        <v>0</v>
      </c>
      <c r="FZ17" s="13">
        <v>0</v>
      </c>
      <c r="GA17" s="13">
        <v>0</v>
      </c>
      <c r="GB17" s="13">
        <v>0</v>
      </c>
      <c r="GC17" s="13">
        <v>0</v>
      </c>
      <c r="GD17" s="13">
        <v>0</v>
      </c>
      <c r="GE17" s="13">
        <v>0</v>
      </c>
      <c r="GF17" s="13">
        <v>0</v>
      </c>
      <c r="GG17" s="13">
        <v>0</v>
      </c>
      <c r="GH17" s="13">
        <v>0</v>
      </c>
      <c r="GI17" s="13">
        <v>0</v>
      </c>
      <c r="GJ17" s="13">
        <v>0</v>
      </c>
      <c r="GK17" s="13">
        <v>0</v>
      </c>
      <c r="GL17" s="13">
        <v>0</v>
      </c>
      <c r="GM17" s="13">
        <v>0</v>
      </c>
      <c r="GN17" s="13">
        <v>0</v>
      </c>
      <c r="GO17" s="13">
        <v>0</v>
      </c>
      <c r="GP17" s="13">
        <v>0</v>
      </c>
      <c r="GQ17" s="13">
        <v>0</v>
      </c>
      <c r="GR17" s="13">
        <v>0</v>
      </c>
      <c r="GS17" s="13">
        <v>0</v>
      </c>
      <c r="GT17" s="13">
        <v>0</v>
      </c>
      <c r="GU17" s="13">
        <v>0</v>
      </c>
      <c r="GV17" s="13">
        <v>0</v>
      </c>
      <c r="GW17" s="13">
        <v>0</v>
      </c>
      <c r="GX17" s="13">
        <v>0</v>
      </c>
      <c r="GY17" s="13">
        <v>0</v>
      </c>
      <c r="GZ17" s="13">
        <v>0</v>
      </c>
      <c r="HA17" s="13">
        <v>0</v>
      </c>
      <c r="HB17" s="13">
        <v>0</v>
      </c>
      <c r="HC17" s="13">
        <v>0</v>
      </c>
      <c r="HD17" s="13">
        <v>0</v>
      </c>
      <c r="HE17" s="13">
        <v>0</v>
      </c>
      <c r="HF17" s="13">
        <v>0</v>
      </c>
      <c r="HG17" s="13">
        <v>0</v>
      </c>
      <c r="HH17" s="13">
        <v>0</v>
      </c>
      <c r="HI17" s="13">
        <v>0</v>
      </c>
      <c r="HJ17" s="13">
        <v>0</v>
      </c>
      <c r="HK17" s="13">
        <v>0</v>
      </c>
      <c r="HL17" s="13">
        <v>0</v>
      </c>
      <c r="HM17" s="13">
        <v>0</v>
      </c>
      <c r="HN17" s="13">
        <v>0</v>
      </c>
      <c r="HO17" s="13">
        <v>0</v>
      </c>
      <c r="HP17" s="13">
        <v>0</v>
      </c>
      <c r="HQ17" s="13">
        <v>0</v>
      </c>
      <c r="HR17" s="13">
        <v>0</v>
      </c>
      <c r="HS17" s="13">
        <v>0</v>
      </c>
      <c r="HT17" s="13">
        <v>0</v>
      </c>
      <c r="HU17" s="13">
        <v>0</v>
      </c>
      <c r="HV17" s="750">
        <v>64.028976873970009</v>
      </c>
      <c r="HW17" s="745">
        <v>62.477700574593065</v>
      </c>
      <c r="HX17" s="745">
        <v>60.190989790077587</v>
      </c>
      <c r="HY17" s="745">
        <v>56.830406280413207</v>
      </c>
      <c r="HZ17" s="746">
        <v>55.141367450588653</v>
      </c>
      <c r="IA17" s="746">
        <v>55.054140478126854</v>
      </c>
      <c r="IB17" s="746">
        <v>54.122432778342649</v>
      </c>
      <c r="IC17" s="746">
        <v>53.472701855824809</v>
      </c>
      <c r="ID17" s="746">
        <v>53.179820749139431</v>
      </c>
      <c r="IE17" s="746">
        <v>53.013313429678028</v>
      </c>
      <c r="IF17" s="754">
        <v>182.31750721078686</v>
      </c>
      <c r="IG17" s="13">
        <v>0</v>
      </c>
      <c r="IH17" s="745">
        <v>567.51185026075439</v>
      </c>
      <c r="II17" s="754">
        <v>182.31750721078686</v>
      </c>
      <c r="IJ17" s="13">
        <v>0</v>
      </c>
      <c r="IK17" s="745">
        <v>298.66944096964249</v>
      </c>
      <c r="IL17" s="8">
        <v>8.2502280234046117E-3</v>
      </c>
      <c r="IM17" s="8">
        <v>0</v>
      </c>
      <c r="IN17" s="8">
        <v>2.4864026939421429</v>
      </c>
      <c r="IO17" s="8">
        <v>0</v>
      </c>
      <c r="IP17" s="8">
        <v>1.9680224689918682E-3</v>
      </c>
      <c r="IQ17" s="8">
        <v>0</v>
      </c>
      <c r="IR17" s="8">
        <v>2.1527151660306219</v>
      </c>
      <c r="IS17" s="8">
        <v>0</v>
      </c>
    </row>
    <row r="18" spans="1:253" x14ac:dyDescent="0.25">
      <c r="A18" s="10">
        <v>44060</v>
      </c>
      <c r="B18" s="551">
        <v>3.85</v>
      </c>
      <c r="C18" s="553">
        <v>4.59</v>
      </c>
      <c r="D18" s="297">
        <v>6.44</v>
      </c>
      <c r="E18" s="298">
        <v>6.86</v>
      </c>
      <c r="F18" s="299">
        <v>7.02</v>
      </c>
      <c r="G18" s="660">
        <v>10</v>
      </c>
      <c r="H18" s="660">
        <v>10</v>
      </c>
      <c r="I18" s="660">
        <v>10</v>
      </c>
      <c r="J18" s="660">
        <v>10</v>
      </c>
      <c r="K18" s="660">
        <v>10</v>
      </c>
      <c r="L18" s="660">
        <v>10</v>
      </c>
      <c r="M18" s="660">
        <v>10</v>
      </c>
      <c r="N18" s="660">
        <v>10</v>
      </c>
      <c r="O18" s="660">
        <v>10</v>
      </c>
      <c r="P18" s="660">
        <v>10</v>
      </c>
      <c r="Q18" s="660">
        <v>10</v>
      </c>
      <c r="R18" s="660">
        <v>10</v>
      </c>
      <c r="S18" s="660">
        <v>10</v>
      </c>
      <c r="T18" s="660">
        <v>10</v>
      </c>
      <c r="U18" s="660">
        <v>10</v>
      </c>
      <c r="V18" s="660">
        <v>10</v>
      </c>
      <c r="W18" s="660">
        <v>10</v>
      </c>
      <c r="X18" s="660">
        <v>10</v>
      </c>
      <c r="Y18" s="660">
        <v>10</v>
      </c>
      <c r="Z18" s="660">
        <v>10</v>
      </c>
      <c r="AA18" s="660">
        <v>10</v>
      </c>
      <c r="AB18" s="660">
        <v>10</v>
      </c>
      <c r="AC18" s="660">
        <v>10</v>
      </c>
      <c r="AD18" s="660">
        <v>10</v>
      </c>
      <c r="AE18" s="660">
        <v>10</v>
      </c>
      <c r="AF18" s="660">
        <v>10</v>
      </c>
      <c r="AG18" s="660">
        <v>10</v>
      </c>
      <c r="AH18" s="660">
        <v>10</v>
      </c>
      <c r="AI18" s="660">
        <v>10</v>
      </c>
      <c r="AJ18" s="660">
        <v>10</v>
      </c>
      <c r="AK18" s="660">
        <v>10</v>
      </c>
      <c r="AL18" s="660">
        <v>10</v>
      </c>
      <c r="AM18" s="660">
        <v>10</v>
      </c>
      <c r="AN18" s="660">
        <v>10</v>
      </c>
      <c r="AO18" s="660">
        <v>10</v>
      </c>
      <c r="AP18" s="11">
        <v>60</v>
      </c>
      <c r="AQ18" s="11">
        <v>60</v>
      </c>
      <c r="AR18" s="11">
        <v>60</v>
      </c>
      <c r="AS18" s="11">
        <v>60</v>
      </c>
      <c r="AT18" s="11">
        <v>60</v>
      </c>
      <c r="AU18" s="11">
        <v>60</v>
      </c>
      <c r="AV18" s="11">
        <v>60</v>
      </c>
      <c r="AW18" s="11">
        <v>60</v>
      </c>
      <c r="AX18" s="11">
        <v>60</v>
      </c>
      <c r="AY18" s="11">
        <v>60</v>
      </c>
      <c r="AZ18" s="11">
        <v>60</v>
      </c>
      <c r="BA18" s="11">
        <v>60</v>
      </c>
      <c r="BB18" s="11">
        <v>60</v>
      </c>
      <c r="BC18" s="11">
        <v>60</v>
      </c>
      <c r="BD18" s="11">
        <v>60</v>
      </c>
      <c r="BE18" s="11">
        <v>60</v>
      </c>
      <c r="BF18" s="11">
        <v>60</v>
      </c>
      <c r="BG18" s="11">
        <v>60</v>
      </c>
      <c r="BH18" s="11">
        <v>60</v>
      </c>
      <c r="BI18" s="11">
        <v>60</v>
      </c>
      <c r="BJ18" s="11">
        <v>60</v>
      </c>
      <c r="BK18" s="11">
        <v>60</v>
      </c>
      <c r="BL18" s="11">
        <v>60</v>
      </c>
      <c r="BM18" s="11">
        <v>60</v>
      </c>
      <c r="BN18" s="297">
        <v>59.17</v>
      </c>
      <c r="BO18" s="297">
        <v>60.28</v>
      </c>
      <c r="BP18" s="297">
        <v>60.75</v>
      </c>
      <c r="BQ18" s="297">
        <v>61.27</v>
      </c>
      <c r="BR18" s="298">
        <v>62.18</v>
      </c>
      <c r="BS18" s="299">
        <v>64.09</v>
      </c>
      <c r="BT18" s="299">
        <v>65.540000000000006</v>
      </c>
      <c r="BU18" s="299">
        <v>65.67</v>
      </c>
      <c r="BV18" s="300">
        <v>68.34</v>
      </c>
      <c r="BW18" s="300">
        <v>68.680000000000007</v>
      </c>
      <c r="BX18" s="735">
        <v>3.6363636363636362</v>
      </c>
      <c r="BY18" s="735">
        <v>3.5612535612535616</v>
      </c>
      <c r="BZ18" s="736">
        <v>3.4985422740524781</v>
      </c>
      <c r="CA18" s="736">
        <v>3.4161490683229814</v>
      </c>
      <c r="CB18" s="730">
        <v>2.6143790849673203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738">
        <v>2.7971035070282548</v>
      </c>
      <c r="EK18" s="738">
        <v>2.7663088356729975</v>
      </c>
      <c r="EL18" s="730">
        <v>2.6345933562428407</v>
      </c>
      <c r="EM18" s="730">
        <v>2.5862068965517242</v>
      </c>
      <c r="EN18" s="730">
        <v>2.56260920209668</v>
      </c>
      <c r="EO18" s="730">
        <v>2.5450386045181586</v>
      </c>
      <c r="EP18" s="730">
        <v>2.5349794238683128</v>
      </c>
      <c r="EQ18" s="730">
        <v>2.5328205808248243</v>
      </c>
      <c r="ER18" s="730">
        <v>2.5324198678737462</v>
      </c>
      <c r="ES18" s="730">
        <v>2.5077944964077541</v>
      </c>
      <c r="ET18" s="301">
        <v>178.76</v>
      </c>
      <c r="EU18" s="11">
        <v>720</v>
      </c>
      <c r="EV18" s="297">
        <v>303.64999999999998</v>
      </c>
      <c r="EW18" s="743">
        <v>16.726687624959979</v>
      </c>
      <c r="EX18" s="12">
        <v>0</v>
      </c>
      <c r="EY18" s="730">
        <v>13.346821797592497</v>
      </c>
      <c r="EZ18" s="11">
        <v>1202.4099999999999</v>
      </c>
      <c r="FA18" s="743">
        <v>30.073509422552476</v>
      </c>
      <c r="FB18" s="302">
        <v>378.76</v>
      </c>
      <c r="FC18" s="11">
        <v>1440</v>
      </c>
      <c r="FD18" s="298">
        <v>635.97</v>
      </c>
      <c r="FE18" s="742">
        <v>16.726687624959979</v>
      </c>
      <c r="FF18" s="12">
        <v>0</v>
      </c>
      <c r="FG18" s="730">
        <v>25.999874771085292</v>
      </c>
      <c r="FH18" s="11">
        <v>2454.73</v>
      </c>
      <c r="FI18" s="743">
        <v>42.726562396045267</v>
      </c>
      <c r="FJ18" s="750">
        <v>66.941702663845675</v>
      </c>
      <c r="FK18" s="747">
        <v>43.870104130302074</v>
      </c>
      <c r="FL18" s="747">
        <v>43.054532411517442</v>
      </c>
      <c r="FM18" s="747">
        <v>42.984532127698913</v>
      </c>
      <c r="FN18" s="747">
        <v>42.55510236878235</v>
      </c>
      <c r="FO18" s="13">
        <v>0</v>
      </c>
      <c r="FP18" s="13">
        <v>0</v>
      </c>
      <c r="FQ18" s="13">
        <v>0</v>
      </c>
      <c r="FR18" s="13">
        <v>0</v>
      </c>
      <c r="FS18" s="13">
        <v>0</v>
      </c>
      <c r="FT18" s="13">
        <v>0</v>
      </c>
      <c r="FU18" s="13">
        <v>0</v>
      </c>
      <c r="FV18" s="13">
        <v>0</v>
      </c>
      <c r="FW18" s="13">
        <v>0</v>
      </c>
      <c r="FX18" s="13">
        <v>0</v>
      </c>
      <c r="FY18" s="13">
        <v>0</v>
      </c>
      <c r="FZ18" s="13">
        <v>0</v>
      </c>
      <c r="GA18" s="13">
        <v>0</v>
      </c>
      <c r="GB18" s="13">
        <v>0</v>
      </c>
      <c r="GC18" s="13">
        <v>0</v>
      </c>
      <c r="GD18" s="13">
        <v>0</v>
      </c>
      <c r="GE18" s="13">
        <v>0</v>
      </c>
      <c r="GF18" s="13">
        <v>0</v>
      </c>
      <c r="GG18" s="13">
        <v>0</v>
      </c>
      <c r="GH18" s="13">
        <v>0</v>
      </c>
      <c r="GI18" s="13">
        <v>0</v>
      </c>
      <c r="GJ18" s="13">
        <v>0</v>
      </c>
      <c r="GK18" s="13">
        <v>0</v>
      </c>
      <c r="GL18" s="13">
        <v>0</v>
      </c>
      <c r="GM18" s="13">
        <v>0</v>
      </c>
      <c r="GN18" s="13">
        <v>0</v>
      </c>
      <c r="GO18" s="13">
        <v>0</v>
      </c>
      <c r="GP18" s="13">
        <v>0</v>
      </c>
      <c r="GQ18" s="13">
        <v>0</v>
      </c>
      <c r="GR18" s="13">
        <v>0</v>
      </c>
      <c r="GS18" s="13">
        <v>0</v>
      </c>
      <c r="GT18" s="13">
        <v>0</v>
      </c>
      <c r="GU18" s="13">
        <v>0</v>
      </c>
      <c r="GV18" s="13">
        <v>0</v>
      </c>
      <c r="GW18" s="13">
        <v>0</v>
      </c>
      <c r="GX18" s="13">
        <v>0</v>
      </c>
      <c r="GY18" s="13">
        <v>0</v>
      </c>
      <c r="GZ18" s="13">
        <v>0</v>
      </c>
      <c r="HA18" s="13">
        <v>0</v>
      </c>
      <c r="HB18" s="13">
        <v>0</v>
      </c>
      <c r="HC18" s="13">
        <v>0</v>
      </c>
      <c r="HD18" s="13">
        <v>0</v>
      </c>
      <c r="HE18" s="13">
        <v>0</v>
      </c>
      <c r="HF18" s="13">
        <v>0</v>
      </c>
      <c r="HG18" s="13">
        <v>0</v>
      </c>
      <c r="HH18" s="13">
        <v>0</v>
      </c>
      <c r="HI18" s="13">
        <v>0</v>
      </c>
      <c r="HJ18" s="13">
        <v>0</v>
      </c>
      <c r="HK18" s="13">
        <v>0</v>
      </c>
      <c r="HL18" s="13">
        <v>0</v>
      </c>
      <c r="HM18" s="13">
        <v>0</v>
      </c>
      <c r="HN18" s="13">
        <v>0</v>
      </c>
      <c r="HO18" s="13">
        <v>0</v>
      </c>
      <c r="HP18" s="13">
        <v>0</v>
      </c>
      <c r="HQ18" s="13">
        <v>0</v>
      </c>
      <c r="HR18" s="13">
        <v>0</v>
      </c>
      <c r="HS18" s="13">
        <v>0</v>
      </c>
      <c r="HT18" s="13">
        <v>0</v>
      </c>
      <c r="HU18" s="13">
        <v>0</v>
      </c>
      <c r="HV18" s="745">
        <v>62.227491807794621</v>
      </c>
      <c r="HW18" s="745">
        <v>61.911084440907963</v>
      </c>
      <c r="HX18" s="745">
        <v>61.697908674639855</v>
      </c>
      <c r="HY18" s="745">
        <v>60.188438436846866</v>
      </c>
      <c r="HZ18" s="745">
        <v>59.907906562604566</v>
      </c>
      <c r="IA18" s="745">
        <v>58.658490955304458</v>
      </c>
      <c r="IB18" s="745">
        <v>57.728654597946729</v>
      </c>
      <c r="IC18" s="745">
        <v>57.3431230719588</v>
      </c>
      <c r="ID18" s="745">
        <v>57.184521549131325</v>
      </c>
      <c r="IE18" s="745">
        <v>56.607853865019692</v>
      </c>
      <c r="IF18" s="754">
        <v>239.40597370214644</v>
      </c>
      <c r="IG18" s="13">
        <v>0</v>
      </c>
      <c r="IH18" s="745">
        <v>593.45547396215488</v>
      </c>
      <c r="II18" s="754">
        <v>239.40597370214644</v>
      </c>
      <c r="IJ18" s="13">
        <v>0</v>
      </c>
      <c r="IK18" s="745">
        <v>305.93282992279387</v>
      </c>
      <c r="IL18" s="8">
        <v>1.4378286395372038E-2</v>
      </c>
      <c r="IM18" s="8">
        <v>0</v>
      </c>
      <c r="IN18" s="8">
        <v>2.6894325460317496</v>
      </c>
      <c r="IO18" s="8">
        <v>0</v>
      </c>
      <c r="IP18" s="8">
        <v>3.3929961928882476E-3</v>
      </c>
      <c r="IQ18" s="8">
        <v>0</v>
      </c>
      <c r="IR18" s="8">
        <v>2.4261785941524119</v>
      </c>
      <c r="IS18" s="8">
        <v>0</v>
      </c>
    </row>
    <row r="19" spans="1:253" x14ac:dyDescent="0.25">
      <c r="A19" s="10">
        <v>44053</v>
      </c>
      <c r="B19" s="555">
        <v>4.13</v>
      </c>
      <c r="C19" s="555">
        <v>4.3600000000000003</v>
      </c>
      <c r="D19" s="555">
        <v>4.45</v>
      </c>
      <c r="E19" s="553">
        <v>4.57</v>
      </c>
      <c r="F19" s="556">
        <v>5.03</v>
      </c>
      <c r="G19" s="556">
        <v>5.28</v>
      </c>
      <c r="H19" s="556">
        <v>5.28</v>
      </c>
      <c r="I19" s="556">
        <v>5.36</v>
      </c>
      <c r="J19" s="556">
        <v>5.41</v>
      </c>
      <c r="K19" s="556">
        <v>5.47</v>
      </c>
      <c r="L19" s="552">
        <v>5.51</v>
      </c>
      <c r="M19" s="552">
        <v>5.86</v>
      </c>
      <c r="N19" s="297">
        <v>6.13</v>
      </c>
      <c r="O19" s="297">
        <v>6.38</v>
      </c>
      <c r="P19" s="298">
        <v>6.74</v>
      </c>
      <c r="Q19" s="660">
        <v>10</v>
      </c>
      <c r="R19" s="660">
        <v>10</v>
      </c>
      <c r="S19" s="660">
        <v>10</v>
      </c>
      <c r="T19" s="660">
        <v>10</v>
      </c>
      <c r="U19" s="660">
        <v>10</v>
      </c>
      <c r="V19" s="660">
        <v>10</v>
      </c>
      <c r="W19" s="660">
        <v>10</v>
      </c>
      <c r="X19" s="660">
        <v>10</v>
      </c>
      <c r="Y19" s="660">
        <v>10</v>
      </c>
      <c r="Z19" s="660">
        <v>10</v>
      </c>
      <c r="AA19" s="660">
        <v>10</v>
      </c>
      <c r="AB19" s="660">
        <v>10</v>
      </c>
      <c r="AC19" s="660">
        <v>10</v>
      </c>
      <c r="AD19" s="660">
        <v>10</v>
      </c>
      <c r="AE19" s="660">
        <v>10</v>
      </c>
      <c r="AF19" s="660">
        <v>10</v>
      </c>
      <c r="AG19" s="660">
        <v>10</v>
      </c>
      <c r="AH19" s="660">
        <v>10</v>
      </c>
      <c r="AI19" s="660">
        <v>10</v>
      </c>
      <c r="AJ19" s="660">
        <v>10</v>
      </c>
      <c r="AK19" s="660">
        <v>10</v>
      </c>
      <c r="AL19" s="660">
        <v>10</v>
      </c>
      <c r="AM19" s="660">
        <v>10</v>
      </c>
      <c r="AN19" s="660">
        <v>10</v>
      </c>
      <c r="AO19" s="660">
        <v>10</v>
      </c>
      <c r="AP19" s="11">
        <v>60</v>
      </c>
      <c r="AQ19" s="11">
        <v>60</v>
      </c>
      <c r="AR19" s="11">
        <v>60</v>
      </c>
      <c r="AS19" s="11">
        <v>60</v>
      </c>
      <c r="AT19" s="11">
        <v>60</v>
      </c>
      <c r="AU19" s="11">
        <v>60</v>
      </c>
      <c r="AV19" s="11">
        <v>60</v>
      </c>
      <c r="AW19" s="11">
        <v>60</v>
      </c>
      <c r="AX19" s="11">
        <v>60</v>
      </c>
      <c r="AY19" s="11">
        <v>60</v>
      </c>
      <c r="AZ19" s="11">
        <v>60</v>
      </c>
      <c r="BA19" s="11">
        <v>60</v>
      </c>
      <c r="BB19" s="11">
        <v>60</v>
      </c>
      <c r="BC19" s="11">
        <v>60</v>
      </c>
      <c r="BD19" s="11">
        <v>60</v>
      </c>
      <c r="BE19" s="11">
        <v>60</v>
      </c>
      <c r="BF19" s="11">
        <v>60</v>
      </c>
      <c r="BG19" s="11">
        <v>60</v>
      </c>
      <c r="BH19" s="11">
        <v>60</v>
      </c>
      <c r="BI19" s="11">
        <v>60</v>
      </c>
      <c r="BJ19" s="11">
        <v>60</v>
      </c>
      <c r="BK19" s="11">
        <v>60</v>
      </c>
      <c r="BL19" s="11">
        <v>60</v>
      </c>
      <c r="BM19" s="11">
        <v>60</v>
      </c>
      <c r="BN19" s="297">
        <v>60.46</v>
      </c>
      <c r="BO19" s="298">
        <v>62.08</v>
      </c>
      <c r="BP19" s="298">
        <v>62.44</v>
      </c>
      <c r="BQ19" s="299">
        <v>64.38</v>
      </c>
      <c r="BR19" s="299">
        <v>65.650000000000006</v>
      </c>
      <c r="BS19" s="300">
        <v>66.540000000000006</v>
      </c>
      <c r="BT19" s="300">
        <v>66.569999999999993</v>
      </c>
      <c r="BU19" s="300">
        <v>66.709999999999994</v>
      </c>
      <c r="BV19" s="300">
        <v>67.31</v>
      </c>
      <c r="BW19" s="300">
        <v>67.94</v>
      </c>
      <c r="BX19" s="741">
        <v>4.545454545454545</v>
      </c>
      <c r="BY19" s="734">
        <v>3.9249146757679179</v>
      </c>
      <c r="BZ19" s="734">
        <v>3.9184952978056429</v>
      </c>
      <c r="CA19" s="734">
        <v>3.9151712887438825</v>
      </c>
      <c r="CB19" s="735">
        <v>3.6297640653357535</v>
      </c>
      <c r="CC19" s="735">
        <v>3.5010940919037199</v>
      </c>
      <c r="CD19" s="736">
        <v>3.4090909090909087</v>
      </c>
      <c r="CE19" s="736">
        <v>3.3898305084745766</v>
      </c>
      <c r="CF19" s="736">
        <v>3.3707865168539324</v>
      </c>
      <c r="CG19" s="736">
        <v>3.290676416819013</v>
      </c>
      <c r="CH19" s="737">
        <v>3.1716417910447761</v>
      </c>
      <c r="CI19" s="738">
        <v>2.957486136783734</v>
      </c>
      <c r="CJ19" s="738">
        <v>2.7833001988071571</v>
      </c>
      <c r="CK19" s="730">
        <v>2.5229357798165135</v>
      </c>
      <c r="CL19" s="732">
        <v>2.2255192878338277</v>
      </c>
      <c r="CM19" s="739">
        <v>1.9945602901178605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738">
        <v>2.8399518652226234</v>
      </c>
      <c r="EK19" s="738">
        <v>2.7506025804622145</v>
      </c>
      <c r="EL19" s="730">
        <v>2.6630970832746232</v>
      </c>
      <c r="EM19" s="730">
        <v>2.6396221172547927</v>
      </c>
      <c r="EN19" s="730">
        <v>2.6047220106626043</v>
      </c>
      <c r="EO19" s="730">
        <v>2.5924560756849737</v>
      </c>
      <c r="EP19" s="730">
        <v>2.5256276927648194</v>
      </c>
      <c r="EQ19" s="730">
        <v>2.5199669512530982</v>
      </c>
      <c r="ER19" s="730">
        <v>2.5140588819053922</v>
      </c>
      <c r="ES19" s="730">
        <v>2.5118358758548132</v>
      </c>
      <c r="ET19" s="297">
        <v>129.95999999999998</v>
      </c>
      <c r="EU19" s="11">
        <v>720</v>
      </c>
      <c r="EV19" s="298">
        <v>315.01</v>
      </c>
      <c r="EW19" s="730">
        <v>52.550721800653761</v>
      </c>
      <c r="EX19" s="12">
        <v>0</v>
      </c>
      <c r="EY19" s="730">
        <v>13.497995656876858</v>
      </c>
      <c r="EZ19" s="11">
        <v>1164.97</v>
      </c>
      <c r="FA19" s="739">
        <v>66.048717457530614</v>
      </c>
      <c r="FB19" s="301">
        <v>329.96</v>
      </c>
      <c r="FC19" s="11">
        <v>1440</v>
      </c>
      <c r="FD19" s="299">
        <v>650.08000000000015</v>
      </c>
      <c r="FE19" s="744">
        <v>52.550721800653761</v>
      </c>
      <c r="FF19" s="12">
        <v>0</v>
      </c>
      <c r="FG19" s="730">
        <v>26.161941134339955</v>
      </c>
      <c r="FH19" s="11">
        <v>2420.04</v>
      </c>
      <c r="FI19" s="744">
        <v>78.712662934993716</v>
      </c>
      <c r="FJ19" s="750">
        <v>67.078838244657845</v>
      </c>
      <c r="FK19" s="745">
        <v>59.410732471531681</v>
      </c>
      <c r="FL19" s="745">
        <v>57.162919490864319</v>
      </c>
      <c r="FM19" s="746">
        <v>56.070083044728833</v>
      </c>
      <c r="FN19" s="746">
        <v>53.846049700871987</v>
      </c>
      <c r="FO19" s="746">
        <v>52.045165508258556</v>
      </c>
      <c r="FP19" s="746">
        <v>51.990529021920416</v>
      </c>
      <c r="FQ19" s="746">
        <v>50.652025143598372</v>
      </c>
      <c r="FR19" s="746">
        <v>50.309128683493384</v>
      </c>
      <c r="FS19" s="747">
        <v>47.374649434886749</v>
      </c>
      <c r="FT19" s="747">
        <v>46.31490076257537</v>
      </c>
      <c r="FU19" s="747">
        <v>42.907833915068032</v>
      </c>
      <c r="FV19" s="747">
        <v>42.571368607911957</v>
      </c>
      <c r="FW19" s="747">
        <v>42.492709084071926</v>
      </c>
      <c r="FX19" s="751">
        <v>27.683525316952323</v>
      </c>
      <c r="FY19" s="752">
        <v>17.575037834371344</v>
      </c>
      <c r="FZ19" s="13">
        <v>0</v>
      </c>
      <c r="GA19" s="13">
        <v>0</v>
      </c>
      <c r="GB19" s="13">
        <v>0</v>
      </c>
      <c r="GC19" s="13">
        <v>0</v>
      </c>
      <c r="GD19" s="13">
        <v>0</v>
      </c>
      <c r="GE19" s="13">
        <v>0</v>
      </c>
      <c r="GF19" s="13">
        <v>0</v>
      </c>
      <c r="GG19" s="13">
        <v>0</v>
      </c>
      <c r="GH19" s="13">
        <v>0</v>
      </c>
      <c r="GI19" s="13">
        <v>0</v>
      </c>
      <c r="GJ19" s="13">
        <v>0</v>
      </c>
      <c r="GK19" s="13">
        <v>0</v>
      </c>
      <c r="GL19" s="13">
        <v>0</v>
      </c>
      <c r="GM19" s="13">
        <v>0</v>
      </c>
      <c r="GN19" s="13">
        <v>0</v>
      </c>
      <c r="GO19" s="13">
        <v>0</v>
      </c>
      <c r="GP19" s="13">
        <v>0</v>
      </c>
      <c r="GQ19" s="13">
        <v>0</v>
      </c>
      <c r="GR19" s="13">
        <v>0</v>
      </c>
      <c r="GS19" s="13">
        <v>0</v>
      </c>
      <c r="GT19" s="13">
        <v>0</v>
      </c>
      <c r="GU19" s="13">
        <v>0</v>
      </c>
      <c r="GV19" s="13">
        <v>0</v>
      </c>
      <c r="GW19" s="13">
        <v>0</v>
      </c>
      <c r="GX19" s="13">
        <v>0</v>
      </c>
      <c r="GY19" s="13">
        <v>0</v>
      </c>
      <c r="GZ19" s="13">
        <v>0</v>
      </c>
      <c r="HA19" s="13">
        <v>0</v>
      </c>
      <c r="HB19" s="13">
        <v>0</v>
      </c>
      <c r="HC19" s="13">
        <v>0</v>
      </c>
      <c r="HD19" s="13">
        <v>0</v>
      </c>
      <c r="HE19" s="13">
        <v>0</v>
      </c>
      <c r="HF19" s="13">
        <v>0</v>
      </c>
      <c r="HG19" s="13">
        <v>0</v>
      </c>
      <c r="HH19" s="13">
        <v>0</v>
      </c>
      <c r="HI19" s="13">
        <v>0</v>
      </c>
      <c r="HJ19" s="13">
        <v>0</v>
      </c>
      <c r="HK19" s="13">
        <v>0</v>
      </c>
      <c r="HL19" s="13">
        <v>0</v>
      </c>
      <c r="HM19" s="13">
        <v>0</v>
      </c>
      <c r="HN19" s="13">
        <v>0</v>
      </c>
      <c r="HO19" s="13">
        <v>0</v>
      </c>
      <c r="HP19" s="13">
        <v>0</v>
      </c>
      <c r="HQ19" s="13">
        <v>0</v>
      </c>
      <c r="HR19" s="13">
        <v>0</v>
      </c>
      <c r="HS19" s="13">
        <v>0</v>
      </c>
      <c r="HT19" s="13">
        <v>0</v>
      </c>
      <c r="HU19" s="13">
        <v>0</v>
      </c>
      <c r="HV19" s="745">
        <v>61.921005564456472</v>
      </c>
      <c r="HW19" s="745">
        <v>60.821395815346094</v>
      </c>
      <c r="HX19" s="745">
        <v>60.560203241948678</v>
      </c>
      <c r="HY19" s="745">
        <v>58.809745311628049</v>
      </c>
      <c r="HZ19" s="745">
        <v>58.630674524876113</v>
      </c>
      <c r="IA19" s="745">
        <v>57.703728096337173</v>
      </c>
      <c r="IB19" s="745">
        <v>57.54183725087357</v>
      </c>
      <c r="IC19" s="746">
        <v>55.98613897522258</v>
      </c>
      <c r="ID19" s="746">
        <v>55.728246390409574</v>
      </c>
      <c r="IE19" s="746">
        <v>55.149219737623696</v>
      </c>
      <c r="IF19" s="752">
        <v>765.48549626576312</v>
      </c>
      <c r="IG19" s="13">
        <v>0</v>
      </c>
      <c r="IH19" s="745">
        <v>582.85219490872191</v>
      </c>
      <c r="II19" s="747">
        <v>765.48549626576312</v>
      </c>
      <c r="IJ19" s="13">
        <v>0</v>
      </c>
      <c r="IK19" s="745">
        <v>300.74302445825538</v>
      </c>
      <c r="IL19" s="8">
        <v>0.19867283819479511</v>
      </c>
      <c r="IM19" s="8">
        <v>0</v>
      </c>
      <c r="IN19" s="8">
        <v>2.5773328071956709</v>
      </c>
      <c r="IO19" s="8">
        <v>0</v>
      </c>
      <c r="IP19" s="8">
        <v>3.9125230409436863E-2</v>
      </c>
      <c r="IQ19" s="8">
        <v>0</v>
      </c>
      <c r="IR19" s="8">
        <v>2.3456412769540389</v>
      </c>
      <c r="IS19" s="8">
        <v>0</v>
      </c>
    </row>
    <row r="20" spans="1:253" x14ac:dyDescent="0.25">
      <c r="A20" s="10">
        <v>44046</v>
      </c>
      <c r="B20" s="660">
        <v>10</v>
      </c>
      <c r="C20" s="660">
        <v>10</v>
      </c>
      <c r="D20" s="660">
        <v>10</v>
      </c>
      <c r="E20" s="660">
        <v>10</v>
      </c>
      <c r="F20" s="660">
        <v>10</v>
      </c>
      <c r="G20" s="660">
        <v>10</v>
      </c>
      <c r="H20" s="660">
        <v>10</v>
      </c>
      <c r="I20" s="660">
        <v>10</v>
      </c>
      <c r="J20" s="660">
        <v>10</v>
      </c>
      <c r="K20" s="660">
        <v>10</v>
      </c>
      <c r="L20" s="660">
        <v>10</v>
      </c>
      <c r="M20" s="660">
        <v>10</v>
      </c>
      <c r="N20" s="660">
        <v>10</v>
      </c>
      <c r="O20" s="660">
        <v>10</v>
      </c>
      <c r="P20" s="660">
        <v>10</v>
      </c>
      <c r="Q20" s="660">
        <v>10</v>
      </c>
      <c r="R20" s="660">
        <v>10</v>
      </c>
      <c r="S20" s="660">
        <v>10</v>
      </c>
      <c r="T20" s="660">
        <v>10</v>
      </c>
      <c r="U20" s="660">
        <v>10</v>
      </c>
      <c r="V20" s="660">
        <v>10</v>
      </c>
      <c r="W20" s="660">
        <v>10</v>
      </c>
      <c r="X20" s="660">
        <v>10</v>
      </c>
      <c r="Y20" s="660">
        <v>10</v>
      </c>
      <c r="Z20" s="660">
        <v>10</v>
      </c>
      <c r="AA20" s="660">
        <v>10</v>
      </c>
      <c r="AB20" s="660">
        <v>10</v>
      </c>
      <c r="AC20" s="660">
        <v>10</v>
      </c>
      <c r="AD20" s="660">
        <v>10</v>
      </c>
      <c r="AE20" s="660">
        <v>10</v>
      </c>
      <c r="AF20" s="660">
        <v>10</v>
      </c>
      <c r="AG20" s="660">
        <v>10</v>
      </c>
      <c r="AH20" s="660">
        <v>10</v>
      </c>
      <c r="AI20" s="660">
        <v>10</v>
      </c>
      <c r="AJ20" s="660">
        <v>10</v>
      </c>
      <c r="AK20" s="660">
        <v>10</v>
      </c>
      <c r="AL20" s="660">
        <v>10</v>
      </c>
      <c r="AM20" s="660">
        <v>10</v>
      </c>
      <c r="AN20" s="660">
        <v>10</v>
      </c>
      <c r="AO20" s="660">
        <v>10</v>
      </c>
      <c r="AP20" s="11">
        <v>60</v>
      </c>
      <c r="AQ20" s="11">
        <v>60</v>
      </c>
      <c r="AR20" s="11">
        <v>60</v>
      </c>
      <c r="AS20" s="11">
        <v>60</v>
      </c>
      <c r="AT20" s="11">
        <v>60</v>
      </c>
      <c r="AU20" s="11">
        <v>60</v>
      </c>
      <c r="AV20" s="11">
        <v>60</v>
      </c>
      <c r="AW20" s="11">
        <v>60</v>
      </c>
      <c r="AX20" s="11">
        <v>60</v>
      </c>
      <c r="AY20" s="11">
        <v>60</v>
      </c>
      <c r="AZ20" s="11">
        <v>60</v>
      </c>
      <c r="BA20" s="11">
        <v>60</v>
      </c>
      <c r="BB20" s="11">
        <v>60</v>
      </c>
      <c r="BC20" s="11">
        <v>60</v>
      </c>
      <c r="BD20" s="11">
        <v>60</v>
      </c>
      <c r="BE20" s="11">
        <v>60</v>
      </c>
      <c r="BF20" s="11">
        <v>60</v>
      </c>
      <c r="BG20" s="11">
        <v>60</v>
      </c>
      <c r="BH20" s="11">
        <v>60</v>
      </c>
      <c r="BI20" s="11">
        <v>60</v>
      </c>
      <c r="BJ20" s="11">
        <v>60</v>
      </c>
      <c r="BK20" s="11">
        <v>60</v>
      </c>
      <c r="BL20" s="11">
        <v>60</v>
      </c>
      <c r="BM20" s="11">
        <v>60</v>
      </c>
      <c r="BN20" s="299">
        <v>65.7</v>
      </c>
      <c r="BO20" s="300">
        <v>68.25</v>
      </c>
      <c r="BP20" s="301">
        <v>69.86</v>
      </c>
      <c r="BQ20" s="301">
        <v>70.38</v>
      </c>
      <c r="BR20" s="301">
        <v>72.099999999999994</v>
      </c>
      <c r="BS20" s="302">
        <v>75.48</v>
      </c>
      <c r="BT20" s="302">
        <v>76.709999999999994</v>
      </c>
      <c r="BU20" s="302">
        <v>78.92</v>
      </c>
      <c r="BV20" s="660">
        <v>79.11</v>
      </c>
      <c r="BW20" s="11">
        <v>240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730">
        <v>2.6767821356999715</v>
      </c>
      <c r="EK20" s="731">
        <v>2.4907260201377848</v>
      </c>
      <c r="EL20" s="731">
        <v>2.3595359144831183</v>
      </c>
      <c r="EM20" s="731">
        <v>2.331474911302585</v>
      </c>
      <c r="EN20" s="731">
        <v>2.3287671232876712</v>
      </c>
      <c r="EO20" s="732">
        <v>2.2124542124542126</v>
      </c>
      <c r="EP20" s="732">
        <v>2.2121097206421441</v>
      </c>
      <c r="EQ20" s="732">
        <v>2.0804438280166435</v>
      </c>
      <c r="ER20" s="732">
        <v>2.0176186416595625</v>
      </c>
      <c r="ES20" s="12">
        <v>0</v>
      </c>
      <c r="ET20" s="660">
        <v>200</v>
      </c>
      <c r="EU20" s="11">
        <v>720</v>
      </c>
      <c r="EV20" s="301">
        <v>346.28999999999996</v>
      </c>
      <c r="EW20" s="12">
        <v>0</v>
      </c>
      <c r="EX20" s="12">
        <v>0</v>
      </c>
      <c r="EY20" s="731">
        <v>12.187286104911131</v>
      </c>
      <c r="EZ20" s="11">
        <v>1266.29</v>
      </c>
      <c r="FA20" s="742">
        <v>12.187286104911131</v>
      </c>
      <c r="FB20" s="660">
        <v>400</v>
      </c>
      <c r="FC20" s="11">
        <v>1440</v>
      </c>
      <c r="FD20" s="11">
        <v>896.51</v>
      </c>
      <c r="FE20" s="12">
        <v>0</v>
      </c>
      <c r="FF20" s="12">
        <v>0</v>
      </c>
      <c r="FG20" s="732">
        <v>20.709912507683693</v>
      </c>
      <c r="FH20" s="11">
        <v>2736.51</v>
      </c>
      <c r="FI20" s="742">
        <v>20.709912507683693</v>
      </c>
      <c r="FJ20" s="13">
        <v>0</v>
      </c>
      <c r="FK20" s="13">
        <v>0</v>
      </c>
      <c r="FL20" s="13">
        <v>0</v>
      </c>
      <c r="FM20" s="13">
        <v>0</v>
      </c>
      <c r="FN20" s="13">
        <v>0</v>
      </c>
      <c r="FO20" s="13">
        <v>0</v>
      </c>
      <c r="FP20" s="13">
        <v>0</v>
      </c>
      <c r="FQ20" s="13">
        <v>0</v>
      </c>
      <c r="FR20" s="13">
        <v>0</v>
      </c>
      <c r="FS20" s="13">
        <v>0</v>
      </c>
      <c r="FT20" s="13">
        <v>0</v>
      </c>
      <c r="FU20" s="13">
        <v>0</v>
      </c>
      <c r="FV20" s="13">
        <v>0</v>
      </c>
      <c r="FW20" s="13">
        <v>0</v>
      </c>
      <c r="FX20" s="13">
        <v>0</v>
      </c>
      <c r="FY20" s="13">
        <v>0</v>
      </c>
      <c r="FZ20" s="13">
        <v>0</v>
      </c>
      <c r="GA20" s="13">
        <v>0</v>
      </c>
      <c r="GB20" s="13">
        <v>0</v>
      </c>
      <c r="GC20" s="13">
        <v>0</v>
      </c>
      <c r="GD20" s="13">
        <v>0</v>
      </c>
      <c r="GE20" s="13">
        <v>0</v>
      </c>
      <c r="GF20" s="13">
        <v>0</v>
      </c>
      <c r="GG20" s="13">
        <v>0</v>
      </c>
      <c r="GH20" s="13">
        <v>0</v>
      </c>
      <c r="GI20" s="13">
        <v>0</v>
      </c>
      <c r="GJ20" s="13">
        <v>0</v>
      </c>
      <c r="GK20" s="13">
        <v>0</v>
      </c>
      <c r="GL20" s="13">
        <v>0</v>
      </c>
      <c r="GM20" s="13">
        <v>0</v>
      </c>
      <c r="GN20" s="13">
        <v>0</v>
      </c>
      <c r="GO20" s="13">
        <v>0</v>
      </c>
      <c r="GP20" s="13">
        <v>0</v>
      </c>
      <c r="GQ20" s="13">
        <v>0</v>
      </c>
      <c r="GR20" s="13">
        <v>0</v>
      </c>
      <c r="GS20" s="13">
        <v>0</v>
      </c>
      <c r="GT20" s="13">
        <v>0</v>
      </c>
      <c r="GU20" s="13">
        <v>0</v>
      </c>
      <c r="GV20" s="13">
        <v>0</v>
      </c>
      <c r="GW20" s="13">
        <v>0</v>
      </c>
      <c r="GX20" s="13">
        <v>0</v>
      </c>
      <c r="GY20" s="13">
        <v>0</v>
      </c>
      <c r="GZ20" s="13">
        <v>0</v>
      </c>
      <c r="HA20" s="13">
        <v>0</v>
      </c>
      <c r="HB20" s="13">
        <v>0</v>
      </c>
      <c r="HC20" s="13">
        <v>0</v>
      </c>
      <c r="HD20" s="13">
        <v>0</v>
      </c>
      <c r="HE20" s="13">
        <v>0</v>
      </c>
      <c r="HF20" s="13">
        <v>0</v>
      </c>
      <c r="HG20" s="13">
        <v>0</v>
      </c>
      <c r="HH20" s="13">
        <v>0</v>
      </c>
      <c r="HI20" s="13">
        <v>0</v>
      </c>
      <c r="HJ20" s="13">
        <v>0</v>
      </c>
      <c r="HK20" s="13">
        <v>0</v>
      </c>
      <c r="HL20" s="13">
        <v>0</v>
      </c>
      <c r="HM20" s="13">
        <v>0</v>
      </c>
      <c r="HN20" s="13">
        <v>0</v>
      </c>
      <c r="HO20" s="13">
        <v>0</v>
      </c>
      <c r="HP20" s="13">
        <v>0</v>
      </c>
      <c r="HQ20" s="13">
        <v>0</v>
      </c>
      <c r="HR20" s="13">
        <v>0</v>
      </c>
      <c r="HS20" s="13">
        <v>0</v>
      </c>
      <c r="HT20" s="13">
        <v>0</v>
      </c>
      <c r="HU20" s="13">
        <v>0</v>
      </c>
      <c r="HV20" s="745">
        <v>59.585868475857751</v>
      </c>
      <c r="HW20" s="746">
        <v>54.115360745211952</v>
      </c>
      <c r="HX20" s="746">
        <v>52.521109154353667</v>
      </c>
      <c r="HY20" s="746">
        <v>50.060212396885582</v>
      </c>
      <c r="HZ20" s="747">
        <v>49.19494275346797</v>
      </c>
      <c r="IA20" s="747">
        <v>47.652978193426335</v>
      </c>
      <c r="IB20" s="747">
        <v>45.299307651386336</v>
      </c>
      <c r="IC20" s="747">
        <v>45.137234858587092</v>
      </c>
      <c r="ID20" s="747">
        <v>44.680173766131524</v>
      </c>
      <c r="IE20" s="13">
        <v>0</v>
      </c>
      <c r="IF20" s="13">
        <v>0</v>
      </c>
      <c r="IG20" s="13">
        <v>0</v>
      </c>
      <c r="IH20" s="747">
        <v>448.24718799530825</v>
      </c>
      <c r="II20" s="13">
        <v>0</v>
      </c>
      <c r="IJ20" s="13">
        <v>0</v>
      </c>
      <c r="IK20" s="746">
        <v>265.47749352577694</v>
      </c>
      <c r="IL20" s="8">
        <v>0</v>
      </c>
      <c r="IM20" s="8">
        <v>0</v>
      </c>
      <c r="IN20" s="8">
        <v>1.8686362112757144</v>
      </c>
      <c r="IO20" s="8">
        <v>0</v>
      </c>
      <c r="IP20" s="8">
        <v>0</v>
      </c>
      <c r="IQ20" s="8">
        <v>0</v>
      </c>
      <c r="IR20" s="8">
        <v>1.035477579190202</v>
      </c>
      <c r="IS20" s="8">
        <v>0</v>
      </c>
    </row>
    <row r="21" spans="1:253" x14ac:dyDescent="0.25">
      <c r="A21" s="10">
        <v>44039</v>
      </c>
      <c r="B21" s="660">
        <v>10</v>
      </c>
      <c r="C21" s="660">
        <v>10</v>
      </c>
      <c r="D21" s="660">
        <v>10</v>
      </c>
      <c r="E21" s="660">
        <v>10</v>
      </c>
      <c r="F21" s="660">
        <v>10</v>
      </c>
      <c r="G21" s="660">
        <v>10</v>
      </c>
      <c r="H21" s="660">
        <v>10</v>
      </c>
      <c r="I21" s="660">
        <v>10</v>
      </c>
      <c r="J21" s="660">
        <v>10</v>
      </c>
      <c r="K21" s="660">
        <v>10</v>
      </c>
      <c r="L21" s="660">
        <v>10</v>
      </c>
      <c r="M21" s="660">
        <v>10</v>
      </c>
      <c r="N21" s="660">
        <v>10</v>
      </c>
      <c r="O21" s="660">
        <v>10</v>
      </c>
      <c r="P21" s="660">
        <v>10</v>
      </c>
      <c r="Q21" s="660">
        <v>10</v>
      </c>
      <c r="R21" s="660">
        <v>10</v>
      </c>
      <c r="S21" s="660">
        <v>10</v>
      </c>
      <c r="T21" s="660">
        <v>10</v>
      </c>
      <c r="U21" s="660">
        <v>10</v>
      </c>
      <c r="V21" s="660">
        <v>10</v>
      </c>
      <c r="W21" s="660">
        <v>10</v>
      </c>
      <c r="X21" s="660">
        <v>10</v>
      </c>
      <c r="Y21" s="660">
        <v>10</v>
      </c>
      <c r="Z21" s="660">
        <v>10</v>
      </c>
      <c r="AA21" s="660">
        <v>10</v>
      </c>
      <c r="AB21" s="660">
        <v>10</v>
      </c>
      <c r="AC21" s="660">
        <v>10</v>
      </c>
      <c r="AD21" s="660">
        <v>10</v>
      </c>
      <c r="AE21" s="660">
        <v>10</v>
      </c>
      <c r="AF21" s="660">
        <v>10</v>
      </c>
      <c r="AG21" s="660">
        <v>10</v>
      </c>
      <c r="AH21" s="660">
        <v>10</v>
      </c>
      <c r="AI21" s="660">
        <v>10</v>
      </c>
      <c r="AJ21" s="660">
        <v>10</v>
      </c>
      <c r="AK21" s="660">
        <v>10</v>
      </c>
      <c r="AL21" s="660">
        <v>10</v>
      </c>
      <c r="AM21" s="660">
        <v>10</v>
      </c>
      <c r="AN21" s="660">
        <v>10</v>
      </c>
      <c r="AO21" s="660">
        <v>10</v>
      </c>
      <c r="AP21" s="11">
        <v>60</v>
      </c>
      <c r="AQ21" s="11">
        <v>60</v>
      </c>
      <c r="AR21" s="11">
        <v>60</v>
      </c>
      <c r="AS21" s="11">
        <v>60</v>
      </c>
      <c r="AT21" s="11">
        <v>60</v>
      </c>
      <c r="AU21" s="11">
        <v>60</v>
      </c>
      <c r="AV21" s="11">
        <v>60</v>
      </c>
      <c r="AW21" s="11">
        <v>60</v>
      </c>
      <c r="AX21" s="11">
        <v>60</v>
      </c>
      <c r="AY21" s="11">
        <v>60</v>
      </c>
      <c r="AZ21" s="11">
        <v>60</v>
      </c>
      <c r="BA21" s="11">
        <v>60</v>
      </c>
      <c r="BB21" s="11">
        <v>60</v>
      </c>
      <c r="BC21" s="11">
        <v>60</v>
      </c>
      <c r="BD21" s="11">
        <v>60</v>
      </c>
      <c r="BE21" s="11">
        <v>60</v>
      </c>
      <c r="BF21" s="11">
        <v>60</v>
      </c>
      <c r="BG21" s="11">
        <v>60</v>
      </c>
      <c r="BH21" s="11">
        <v>60</v>
      </c>
      <c r="BI21" s="11">
        <v>60</v>
      </c>
      <c r="BJ21" s="11">
        <v>60</v>
      </c>
      <c r="BK21" s="11">
        <v>60</v>
      </c>
      <c r="BL21" s="11">
        <v>60</v>
      </c>
      <c r="BM21" s="11">
        <v>60</v>
      </c>
      <c r="BN21" s="298">
        <v>62.14</v>
      </c>
      <c r="BO21" s="300">
        <v>66.5</v>
      </c>
      <c r="BP21" s="301">
        <v>69.59</v>
      </c>
      <c r="BQ21" s="301">
        <v>70.84</v>
      </c>
      <c r="BR21" s="301">
        <v>71.7</v>
      </c>
      <c r="BS21" s="11">
        <v>240</v>
      </c>
      <c r="BT21" s="11">
        <v>240</v>
      </c>
      <c r="BU21" s="11">
        <v>240</v>
      </c>
      <c r="BV21" s="11">
        <v>240</v>
      </c>
      <c r="BW21" s="11">
        <v>240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731">
        <v>2.3422905589883602</v>
      </c>
      <c r="EK21" s="731">
        <v>2.3152022315202232</v>
      </c>
      <c r="EL21" s="731">
        <v>2.255639097744361</v>
      </c>
      <c r="EM21" s="732">
        <v>2.1739130434782608</v>
      </c>
      <c r="EN21" s="732">
        <v>2.1081429031219825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660">
        <v>200</v>
      </c>
      <c r="EU21" s="11">
        <v>720</v>
      </c>
      <c r="EV21" s="300">
        <v>340.77</v>
      </c>
      <c r="EW21" s="12">
        <v>0</v>
      </c>
      <c r="EX21" s="12">
        <v>0</v>
      </c>
      <c r="EY21" s="732">
        <v>11.19518783485319</v>
      </c>
      <c r="EZ21" s="11">
        <v>1260.77</v>
      </c>
      <c r="FA21" s="742">
        <v>11.19518783485319</v>
      </c>
      <c r="FB21" s="660">
        <v>400</v>
      </c>
      <c r="FC21" s="11">
        <v>1440</v>
      </c>
      <c r="FD21" s="11">
        <v>1540.77</v>
      </c>
      <c r="FE21" s="12">
        <v>0</v>
      </c>
      <c r="FF21" s="12">
        <v>0</v>
      </c>
      <c r="FG21" s="744">
        <v>11.19518783485319</v>
      </c>
      <c r="FH21" s="11">
        <v>3380.77</v>
      </c>
      <c r="FI21" s="742">
        <v>11.19518783485319</v>
      </c>
      <c r="FJ21" s="13">
        <v>0</v>
      </c>
      <c r="FK21" s="13">
        <v>0</v>
      </c>
      <c r="FL21" s="13">
        <v>0</v>
      </c>
      <c r="FM21" s="13">
        <v>0</v>
      </c>
      <c r="FN21" s="13">
        <v>0</v>
      </c>
      <c r="FO21" s="13">
        <v>0</v>
      </c>
      <c r="FP21" s="13">
        <v>0</v>
      </c>
      <c r="FQ21" s="13">
        <v>0</v>
      </c>
      <c r="FR21" s="13">
        <v>0</v>
      </c>
      <c r="FS21" s="13">
        <v>0</v>
      </c>
      <c r="FT21" s="13">
        <v>0</v>
      </c>
      <c r="FU21" s="13">
        <v>0</v>
      </c>
      <c r="FV21" s="13">
        <v>0</v>
      </c>
      <c r="FW21" s="13">
        <v>0</v>
      </c>
      <c r="FX21" s="13">
        <v>0</v>
      </c>
      <c r="FY21" s="13">
        <v>0</v>
      </c>
      <c r="FZ21" s="13">
        <v>0</v>
      </c>
      <c r="GA21" s="13">
        <v>0</v>
      </c>
      <c r="GB21" s="13">
        <v>0</v>
      </c>
      <c r="GC21" s="13">
        <v>0</v>
      </c>
      <c r="GD21" s="13">
        <v>0</v>
      </c>
      <c r="GE21" s="13">
        <v>0</v>
      </c>
      <c r="GF21" s="13">
        <v>0</v>
      </c>
      <c r="GG21" s="13">
        <v>0</v>
      </c>
      <c r="GH21" s="13">
        <v>0</v>
      </c>
      <c r="GI21" s="13">
        <v>0</v>
      </c>
      <c r="GJ21" s="13">
        <v>0</v>
      </c>
      <c r="GK21" s="13">
        <v>0</v>
      </c>
      <c r="GL21" s="13">
        <v>0</v>
      </c>
      <c r="GM21" s="13">
        <v>0</v>
      </c>
      <c r="GN21" s="13">
        <v>0</v>
      </c>
      <c r="GO21" s="13">
        <v>0</v>
      </c>
      <c r="GP21" s="13">
        <v>0</v>
      </c>
      <c r="GQ21" s="13">
        <v>0</v>
      </c>
      <c r="GR21" s="13">
        <v>0</v>
      </c>
      <c r="GS21" s="13">
        <v>0</v>
      </c>
      <c r="GT21" s="13">
        <v>0</v>
      </c>
      <c r="GU21" s="13">
        <v>0</v>
      </c>
      <c r="GV21" s="13">
        <v>0</v>
      </c>
      <c r="GW21" s="13">
        <v>0</v>
      </c>
      <c r="GX21" s="13">
        <v>0</v>
      </c>
      <c r="GY21" s="13">
        <v>0</v>
      </c>
      <c r="GZ21" s="13">
        <v>0</v>
      </c>
      <c r="HA21" s="13">
        <v>0</v>
      </c>
      <c r="HB21" s="13">
        <v>0</v>
      </c>
      <c r="HC21" s="13">
        <v>0</v>
      </c>
      <c r="HD21" s="13">
        <v>0</v>
      </c>
      <c r="HE21" s="13">
        <v>0</v>
      </c>
      <c r="HF21" s="13">
        <v>0</v>
      </c>
      <c r="HG21" s="13">
        <v>0</v>
      </c>
      <c r="HH21" s="13">
        <v>0</v>
      </c>
      <c r="HI21" s="13">
        <v>0</v>
      </c>
      <c r="HJ21" s="13">
        <v>0</v>
      </c>
      <c r="HK21" s="13">
        <v>0</v>
      </c>
      <c r="HL21" s="13">
        <v>0</v>
      </c>
      <c r="HM21" s="13">
        <v>0</v>
      </c>
      <c r="HN21" s="13">
        <v>0</v>
      </c>
      <c r="HO21" s="13">
        <v>0</v>
      </c>
      <c r="HP21" s="13">
        <v>0</v>
      </c>
      <c r="HQ21" s="13">
        <v>0</v>
      </c>
      <c r="HR21" s="13">
        <v>0</v>
      </c>
      <c r="HS21" s="13">
        <v>0</v>
      </c>
      <c r="HT21" s="13">
        <v>0</v>
      </c>
      <c r="HU21" s="13">
        <v>0</v>
      </c>
      <c r="HV21" s="746">
        <v>52.281523876034576</v>
      </c>
      <c r="HW21" s="746">
        <v>51.973829497912256</v>
      </c>
      <c r="HX21" s="746">
        <v>50.936655738123477</v>
      </c>
      <c r="HY21" s="746">
        <v>50.607604287493203</v>
      </c>
      <c r="HZ21" s="747">
        <v>47.922276090558235</v>
      </c>
      <c r="IA21" s="13">
        <v>0</v>
      </c>
      <c r="IB21" s="13">
        <v>0</v>
      </c>
      <c r="IC21" s="13">
        <v>0</v>
      </c>
      <c r="ID21" s="13">
        <v>0</v>
      </c>
      <c r="IE21" s="13">
        <v>0</v>
      </c>
      <c r="IF21" s="13">
        <v>0</v>
      </c>
      <c r="IG21" s="13">
        <v>0</v>
      </c>
      <c r="IH21" s="751">
        <v>253.72188949012173</v>
      </c>
      <c r="II21" s="13">
        <v>0</v>
      </c>
      <c r="IJ21" s="13">
        <v>0</v>
      </c>
      <c r="IK21" s="746">
        <v>253.72188949012173</v>
      </c>
      <c r="IL21" s="8">
        <v>0</v>
      </c>
      <c r="IM21" s="8">
        <v>0</v>
      </c>
      <c r="IN21" s="8">
        <v>1.6670858412746288</v>
      </c>
      <c r="IO21" s="8">
        <v>0</v>
      </c>
      <c r="IP21" s="8">
        <v>0</v>
      </c>
      <c r="IQ21" s="8">
        <v>0</v>
      </c>
      <c r="IR21" s="8">
        <v>0.18435355118906627</v>
      </c>
      <c r="IS21" s="8">
        <v>0</v>
      </c>
    </row>
    <row r="22" spans="1:253" x14ac:dyDescent="0.25">
      <c r="A22" s="10">
        <v>44032</v>
      </c>
      <c r="B22" s="11">
        <v>10</v>
      </c>
      <c r="C22" s="11">
        <v>10</v>
      </c>
      <c r="D22" s="11">
        <v>10</v>
      </c>
      <c r="E22" s="11">
        <v>10</v>
      </c>
      <c r="F22" s="11">
        <v>10</v>
      </c>
      <c r="G22" s="11">
        <v>10</v>
      </c>
      <c r="H22" s="11">
        <v>10</v>
      </c>
      <c r="I22" s="11">
        <v>10</v>
      </c>
      <c r="J22" s="11">
        <v>10</v>
      </c>
      <c r="K22" s="11">
        <v>10</v>
      </c>
      <c r="L22" s="11">
        <v>10</v>
      </c>
      <c r="M22" s="11">
        <v>10</v>
      </c>
      <c r="N22" s="11">
        <v>10</v>
      </c>
      <c r="O22" s="11">
        <v>10</v>
      </c>
      <c r="P22" s="11">
        <v>10</v>
      </c>
      <c r="Q22" s="11">
        <v>10</v>
      </c>
      <c r="R22" s="11">
        <v>10</v>
      </c>
      <c r="S22" s="11">
        <v>10</v>
      </c>
      <c r="T22" s="11">
        <v>10</v>
      </c>
      <c r="U22" s="11">
        <v>10</v>
      </c>
      <c r="V22" s="11">
        <v>10</v>
      </c>
      <c r="W22" s="11">
        <v>10</v>
      </c>
      <c r="X22" s="11">
        <v>10</v>
      </c>
      <c r="Y22" s="11">
        <v>10</v>
      </c>
      <c r="Z22" s="11">
        <v>10</v>
      </c>
      <c r="AA22" s="11">
        <v>10</v>
      </c>
      <c r="AB22" s="11">
        <v>10</v>
      </c>
      <c r="AC22" s="11">
        <v>10</v>
      </c>
      <c r="AD22" s="11">
        <v>10</v>
      </c>
      <c r="AE22" s="11">
        <v>10</v>
      </c>
      <c r="AF22" s="11">
        <v>10</v>
      </c>
      <c r="AG22" s="11">
        <v>10</v>
      </c>
      <c r="AH22" s="11">
        <v>10</v>
      </c>
      <c r="AI22" s="11">
        <v>10</v>
      </c>
      <c r="AJ22" s="11">
        <v>10</v>
      </c>
      <c r="AK22" s="11">
        <v>10</v>
      </c>
      <c r="AL22" s="11">
        <v>10</v>
      </c>
      <c r="AM22" s="11">
        <v>10</v>
      </c>
      <c r="AN22" s="11">
        <v>10</v>
      </c>
      <c r="AO22" s="11">
        <v>10</v>
      </c>
      <c r="AP22" s="11">
        <v>60</v>
      </c>
      <c r="AQ22" s="11">
        <v>60</v>
      </c>
      <c r="AR22" s="11">
        <v>60</v>
      </c>
      <c r="AS22" s="11">
        <v>60</v>
      </c>
      <c r="AT22" s="11">
        <v>60</v>
      </c>
      <c r="AU22" s="11">
        <v>60</v>
      </c>
      <c r="AV22" s="11">
        <v>60</v>
      </c>
      <c r="AW22" s="11">
        <v>60</v>
      </c>
      <c r="AX22" s="11">
        <v>60</v>
      </c>
      <c r="AY22" s="11">
        <v>60</v>
      </c>
      <c r="AZ22" s="11">
        <v>60</v>
      </c>
      <c r="BA22" s="11">
        <v>60</v>
      </c>
      <c r="BB22" s="11">
        <v>60</v>
      </c>
      <c r="BC22" s="11">
        <v>60</v>
      </c>
      <c r="BD22" s="11">
        <v>60</v>
      </c>
      <c r="BE22" s="11">
        <v>60</v>
      </c>
      <c r="BF22" s="11">
        <v>60</v>
      </c>
      <c r="BG22" s="11">
        <v>60</v>
      </c>
      <c r="BH22" s="11">
        <v>60</v>
      </c>
      <c r="BI22" s="11">
        <v>60</v>
      </c>
      <c r="BJ22" s="11">
        <v>60</v>
      </c>
      <c r="BK22" s="11">
        <v>60</v>
      </c>
      <c r="BL22" s="11">
        <v>60</v>
      </c>
      <c r="BM22" s="11">
        <v>60</v>
      </c>
      <c r="BN22" s="11">
        <v>68.099999999999994</v>
      </c>
      <c r="BO22" s="11">
        <v>69.06</v>
      </c>
      <c r="BP22" s="11">
        <v>70.16</v>
      </c>
      <c r="BQ22" s="11">
        <v>70.790000000000006</v>
      </c>
      <c r="BR22" s="11">
        <v>72.91</v>
      </c>
      <c r="BS22" s="11">
        <v>74.099999999999994</v>
      </c>
      <c r="BT22" s="11">
        <v>79.59</v>
      </c>
      <c r="BU22" s="11">
        <v>79.819999999999993</v>
      </c>
      <c r="BV22" s="11">
        <v>80.8</v>
      </c>
      <c r="BW22" s="11">
        <v>240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2.4800456100342076</v>
      </c>
      <c r="EK22" s="12">
        <v>2.4276505280482787</v>
      </c>
      <c r="EL22" s="12">
        <v>2.3762376237623761</v>
      </c>
      <c r="EM22" s="12">
        <v>2.2992838296268374</v>
      </c>
      <c r="EN22" s="12">
        <v>2.2941970310391366</v>
      </c>
      <c r="EO22" s="12">
        <v>2.2926584815835631</v>
      </c>
      <c r="EP22" s="12">
        <v>2.1430640023168257</v>
      </c>
      <c r="EQ22" s="12">
        <v>1.9383259911894275</v>
      </c>
      <c r="ER22" s="12">
        <v>1.8505438621274191</v>
      </c>
      <c r="ES22" s="12">
        <v>0</v>
      </c>
      <c r="ET22" s="11">
        <v>200</v>
      </c>
      <c r="EU22" s="11">
        <v>720</v>
      </c>
      <c r="EV22" s="11">
        <v>351.02</v>
      </c>
      <c r="EW22" s="12">
        <v>0</v>
      </c>
      <c r="EX22" s="12">
        <v>0</v>
      </c>
      <c r="EY22" s="12">
        <v>11.877414622510836</v>
      </c>
      <c r="EZ22" s="11">
        <v>1271.02</v>
      </c>
      <c r="FA22" s="12">
        <v>11.877414622510836</v>
      </c>
      <c r="FB22" s="11">
        <v>400</v>
      </c>
      <c r="FC22" s="11">
        <v>1440</v>
      </c>
      <c r="FD22" s="11">
        <v>905.32999999999993</v>
      </c>
      <c r="FE22" s="12">
        <v>0</v>
      </c>
      <c r="FF22" s="12">
        <v>0</v>
      </c>
      <c r="FG22" s="12">
        <v>20.102006959728072</v>
      </c>
      <c r="FH22" s="11">
        <v>2745.33</v>
      </c>
      <c r="FI22" s="12">
        <v>20.102006959728072</v>
      </c>
      <c r="FJ22" s="13">
        <v>0</v>
      </c>
      <c r="FK22" s="13">
        <v>0</v>
      </c>
      <c r="FL22" s="13">
        <v>0</v>
      </c>
      <c r="FM22" s="13">
        <v>0</v>
      </c>
      <c r="FN22" s="13">
        <v>0</v>
      </c>
      <c r="FO22" s="13">
        <v>0</v>
      </c>
      <c r="FP22" s="13">
        <v>0</v>
      </c>
      <c r="FQ22" s="13">
        <v>0</v>
      </c>
      <c r="FR22" s="13">
        <v>0</v>
      </c>
      <c r="FS22" s="13">
        <v>0</v>
      </c>
      <c r="FT22" s="13">
        <v>0</v>
      </c>
      <c r="FU22" s="13">
        <v>0</v>
      </c>
      <c r="FV22" s="13">
        <v>0</v>
      </c>
      <c r="FW22" s="13">
        <v>0</v>
      </c>
      <c r="FX22" s="13">
        <v>0</v>
      </c>
      <c r="FY22" s="13">
        <v>0</v>
      </c>
      <c r="FZ22" s="13">
        <v>0</v>
      </c>
      <c r="GA22" s="13">
        <v>0</v>
      </c>
      <c r="GB22" s="13">
        <v>0</v>
      </c>
      <c r="GC22" s="13">
        <v>0</v>
      </c>
      <c r="GD22" s="13">
        <v>0</v>
      </c>
      <c r="GE22" s="13">
        <v>0</v>
      </c>
      <c r="GF22" s="13">
        <v>0</v>
      </c>
      <c r="GG22" s="13">
        <v>0</v>
      </c>
      <c r="GH22" s="13">
        <v>0</v>
      </c>
      <c r="GI22" s="13">
        <v>0</v>
      </c>
      <c r="GJ22" s="13">
        <v>0</v>
      </c>
      <c r="GK22" s="13">
        <v>0</v>
      </c>
      <c r="GL22" s="13">
        <v>0</v>
      </c>
      <c r="GM22" s="13">
        <v>0</v>
      </c>
      <c r="GN22" s="13">
        <v>0</v>
      </c>
      <c r="GO22" s="13">
        <v>0</v>
      </c>
      <c r="GP22" s="13">
        <v>0</v>
      </c>
      <c r="GQ22" s="13">
        <v>0</v>
      </c>
      <c r="GR22" s="13">
        <v>0</v>
      </c>
      <c r="GS22" s="13">
        <v>0</v>
      </c>
      <c r="GT22" s="13">
        <v>0</v>
      </c>
      <c r="GU22" s="13">
        <v>0</v>
      </c>
      <c r="GV22" s="13">
        <v>0</v>
      </c>
      <c r="GW22" s="13">
        <v>0</v>
      </c>
      <c r="GX22" s="13">
        <v>0</v>
      </c>
      <c r="GY22" s="13">
        <v>0</v>
      </c>
      <c r="GZ22" s="13">
        <v>0</v>
      </c>
      <c r="HA22" s="13">
        <v>0</v>
      </c>
      <c r="HB22" s="13">
        <v>0</v>
      </c>
      <c r="HC22" s="13">
        <v>0</v>
      </c>
      <c r="HD22" s="13">
        <v>0</v>
      </c>
      <c r="HE22" s="13">
        <v>0</v>
      </c>
      <c r="HF22" s="13">
        <v>0</v>
      </c>
      <c r="HG22" s="13">
        <v>0</v>
      </c>
      <c r="HH22" s="13">
        <v>0</v>
      </c>
      <c r="HI22" s="13">
        <v>0</v>
      </c>
      <c r="HJ22" s="13">
        <v>0</v>
      </c>
      <c r="HK22" s="13">
        <v>0</v>
      </c>
      <c r="HL22" s="13">
        <v>0</v>
      </c>
      <c r="HM22" s="13">
        <v>0</v>
      </c>
      <c r="HN22" s="13">
        <v>0</v>
      </c>
      <c r="HO22" s="13">
        <v>0</v>
      </c>
      <c r="HP22" s="13">
        <v>0</v>
      </c>
      <c r="HQ22" s="13">
        <v>0</v>
      </c>
      <c r="HR22" s="13">
        <v>0</v>
      </c>
      <c r="HS22" s="13">
        <v>0</v>
      </c>
      <c r="HT22" s="13">
        <v>0</v>
      </c>
      <c r="HU22" s="13">
        <v>0</v>
      </c>
      <c r="HV22" s="13">
        <v>55.041114230986729</v>
      </c>
      <c r="HW22" s="13">
        <v>52.447580074558417</v>
      </c>
      <c r="HX22" s="13">
        <v>49.005883487366646</v>
      </c>
      <c r="HY22" s="13">
        <v>48.091330768548367</v>
      </c>
      <c r="HZ22" s="13">
        <v>47.774062207074493</v>
      </c>
      <c r="IA22" s="13">
        <v>46.717746639786078</v>
      </c>
      <c r="IB22" s="13">
        <v>46.489129609376008</v>
      </c>
      <c r="IC22" s="13">
        <v>43.925235266687103</v>
      </c>
      <c r="ID22" s="13">
        <v>40.814013145967344</v>
      </c>
      <c r="IE22" s="13">
        <v>0</v>
      </c>
      <c r="IF22" s="13">
        <v>0</v>
      </c>
      <c r="IG22" s="13">
        <v>0</v>
      </c>
      <c r="IH22" s="13">
        <v>430.30609543035115</v>
      </c>
      <c r="II22" s="13">
        <v>0</v>
      </c>
      <c r="IJ22" s="13">
        <v>0</v>
      </c>
      <c r="IK22" s="13">
        <v>252.35997076853465</v>
      </c>
      <c r="IL22" s="8">
        <v>0</v>
      </c>
      <c r="IM22" s="8">
        <v>0</v>
      </c>
      <c r="IN22" s="8">
        <v>1.7078138037391608</v>
      </c>
      <c r="IO22" s="8">
        <v>0</v>
      </c>
      <c r="IP22" s="8">
        <v>0</v>
      </c>
      <c r="IQ22" s="8">
        <v>0</v>
      </c>
      <c r="IR22" s="8">
        <v>0.9554544889879194</v>
      </c>
      <c r="IS22" s="8">
        <v>0</v>
      </c>
    </row>
    <row r="23" spans="1:253" x14ac:dyDescent="0.25">
      <c r="A23" s="10">
        <v>44025</v>
      </c>
      <c r="B23" s="11">
        <v>4.74</v>
      </c>
      <c r="C23" s="11">
        <v>5.22</v>
      </c>
      <c r="D23" s="11">
        <v>5.65</v>
      </c>
      <c r="E23" s="11">
        <v>10</v>
      </c>
      <c r="F23" s="11">
        <v>10</v>
      </c>
      <c r="G23" s="11">
        <v>10</v>
      </c>
      <c r="H23" s="11">
        <v>10</v>
      </c>
      <c r="I23" s="11">
        <v>10</v>
      </c>
      <c r="J23" s="11">
        <v>10</v>
      </c>
      <c r="K23" s="11">
        <v>10</v>
      </c>
      <c r="L23" s="11">
        <v>10</v>
      </c>
      <c r="M23" s="11">
        <v>10</v>
      </c>
      <c r="N23" s="11">
        <v>10</v>
      </c>
      <c r="O23" s="11">
        <v>10</v>
      </c>
      <c r="P23" s="11">
        <v>10</v>
      </c>
      <c r="Q23" s="11">
        <v>10</v>
      </c>
      <c r="R23" s="11">
        <v>10</v>
      </c>
      <c r="S23" s="11">
        <v>10</v>
      </c>
      <c r="T23" s="11">
        <v>10</v>
      </c>
      <c r="U23" s="11">
        <v>10</v>
      </c>
      <c r="V23" s="11">
        <v>10</v>
      </c>
      <c r="W23" s="11">
        <v>10</v>
      </c>
      <c r="X23" s="11">
        <v>10</v>
      </c>
      <c r="Y23" s="11">
        <v>10</v>
      </c>
      <c r="Z23" s="11">
        <v>10</v>
      </c>
      <c r="AA23" s="11">
        <v>10</v>
      </c>
      <c r="AB23" s="11">
        <v>10</v>
      </c>
      <c r="AC23" s="11">
        <v>10</v>
      </c>
      <c r="AD23" s="11">
        <v>10</v>
      </c>
      <c r="AE23" s="11">
        <v>10</v>
      </c>
      <c r="AF23" s="11">
        <v>10</v>
      </c>
      <c r="AG23" s="11">
        <v>10</v>
      </c>
      <c r="AH23" s="11">
        <v>10</v>
      </c>
      <c r="AI23" s="11">
        <v>10</v>
      </c>
      <c r="AJ23" s="11">
        <v>10</v>
      </c>
      <c r="AK23" s="11">
        <v>10</v>
      </c>
      <c r="AL23" s="11">
        <v>10</v>
      </c>
      <c r="AM23" s="11">
        <v>10</v>
      </c>
      <c r="AN23" s="11">
        <v>10</v>
      </c>
      <c r="AO23" s="11">
        <v>10</v>
      </c>
      <c r="AP23" s="11">
        <v>60</v>
      </c>
      <c r="AQ23" s="11">
        <v>60</v>
      </c>
      <c r="AR23" s="11">
        <v>60</v>
      </c>
      <c r="AS23" s="11">
        <v>60</v>
      </c>
      <c r="AT23" s="11">
        <v>60</v>
      </c>
      <c r="AU23" s="11">
        <v>60</v>
      </c>
      <c r="AV23" s="11">
        <v>60</v>
      </c>
      <c r="AW23" s="11">
        <v>60</v>
      </c>
      <c r="AX23" s="11">
        <v>60</v>
      </c>
      <c r="AY23" s="11">
        <v>60</v>
      </c>
      <c r="AZ23" s="11">
        <v>60</v>
      </c>
      <c r="BA23" s="11">
        <v>60</v>
      </c>
      <c r="BB23" s="11">
        <v>60</v>
      </c>
      <c r="BC23" s="11">
        <v>60</v>
      </c>
      <c r="BD23" s="11">
        <v>60</v>
      </c>
      <c r="BE23" s="11">
        <v>60</v>
      </c>
      <c r="BF23" s="11">
        <v>60</v>
      </c>
      <c r="BG23" s="11">
        <v>60</v>
      </c>
      <c r="BH23" s="11">
        <v>60</v>
      </c>
      <c r="BI23" s="11">
        <v>60</v>
      </c>
      <c r="BJ23" s="11">
        <v>60</v>
      </c>
      <c r="BK23" s="11">
        <v>60</v>
      </c>
      <c r="BL23" s="11">
        <v>60</v>
      </c>
      <c r="BM23" s="11">
        <v>60</v>
      </c>
      <c r="BN23" s="11">
        <v>65.03</v>
      </c>
      <c r="BO23" s="11">
        <v>65.13</v>
      </c>
      <c r="BP23" s="11">
        <v>65.430000000000007</v>
      </c>
      <c r="BQ23" s="11">
        <v>71.17</v>
      </c>
      <c r="BR23" s="11">
        <v>71.67</v>
      </c>
      <c r="BS23" s="11">
        <v>73.09</v>
      </c>
      <c r="BT23" s="11">
        <v>73.56</v>
      </c>
      <c r="BU23" s="11">
        <v>75.099999999999994</v>
      </c>
      <c r="BV23" s="11">
        <v>77.19</v>
      </c>
      <c r="BW23" s="11">
        <v>78.27</v>
      </c>
      <c r="BX23" s="12">
        <v>3.2567049808429118</v>
      </c>
      <c r="BY23" s="12">
        <v>3.0088495575221237</v>
      </c>
      <c r="BZ23" s="12">
        <v>2.109704641350211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2.6723276723276723</v>
      </c>
      <c r="EK23" s="12">
        <v>2.6101642868109938</v>
      </c>
      <c r="EL23" s="12">
        <v>2.5553877139979861</v>
      </c>
      <c r="EM23" s="12">
        <v>2.5010538148096106</v>
      </c>
      <c r="EN23" s="12">
        <v>2.463382157123835</v>
      </c>
      <c r="EO23" s="12">
        <v>2.4333877107123434</v>
      </c>
      <c r="EP23" s="12">
        <v>2.4277940560904145</v>
      </c>
      <c r="EQ23" s="12">
        <v>2.3532631002873168</v>
      </c>
      <c r="ER23" s="12">
        <v>2.2671330483223215</v>
      </c>
      <c r="ES23" s="12">
        <v>2.2383545069570476</v>
      </c>
      <c r="ET23" s="11">
        <v>185.61</v>
      </c>
      <c r="EU23" s="11">
        <v>720</v>
      </c>
      <c r="EV23" s="11">
        <v>338.43</v>
      </c>
      <c r="EW23" s="12">
        <v>8.3752591797152469</v>
      </c>
      <c r="EX23" s="12">
        <v>0</v>
      </c>
      <c r="EY23" s="12">
        <v>12.802315645070097</v>
      </c>
      <c r="EZ23" s="11">
        <v>1244.04</v>
      </c>
      <c r="FA23" s="12">
        <v>21.177574824785346</v>
      </c>
      <c r="FB23" s="11">
        <v>385.61</v>
      </c>
      <c r="FC23" s="11">
        <v>1440</v>
      </c>
      <c r="FD23" s="11">
        <v>715.63999999999987</v>
      </c>
      <c r="FE23" s="12">
        <v>8.3752591797152469</v>
      </c>
      <c r="FF23" s="12">
        <v>0</v>
      </c>
      <c r="FG23" s="12">
        <v>24.522248067439541</v>
      </c>
      <c r="FH23" s="11">
        <v>2541.25</v>
      </c>
      <c r="FI23" s="12">
        <v>32.897507247154792</v>
      </c>
      <c r="FJ23" s="13">
        <v>48.446345851017547</v>
      </c>
      <c r="FK23" s="13">
        <v>42.346597306341359</v>
      </c>
      <c r="FL23" s="13">
        <v>33.575986230022949</v>
      </c>
      <c r="FM23" s="13">
        <v>0</v>
      </c>
      <c r="FN23" s="13">
        <v>0</v>
      </c>
      <c r="FO23" s="13">
        <v>0</v>
      </c>
      <c r="FP23" s="13">
        <v>0</v>
      </c>
      <c r="FQ23" s="13">
        <v>0</v>
      </c>
      <c r="FR23" s="13">
        <v>0</v>
      </c>
      <c r="FS23" s="13">
        <v>0</v>
      </c>
      <c r="FT23" s="13">
        <v>0</v>
      </c>
      <c r="FU23" s="13">
        <v>0</v>
      </c>
      <c r="FV23" s="13">
        <v>0</v>
      </c>
      <c r="FW23" s="13">
        <v>0</v>
      </c>
      <c r="FX23" s="13">
        <v>0</v>
      </c>
      <c r="FY23" s="13">
        <v>0</v>
      </c>
      <c r="FZ23" s="13">
        <v>0</v>
      </c>
      <c r="GA23" s="13">
        <v>0</v>
      </c>
      <c r="GB23" s="13">
        <v>0</v>
      </c>
      <c r="GC23" s="13">
        <v>0</v>
      </c>
      <c r="GD23" s="13">
        <v>0</v>
      </c>
      <c r="GE23" s="13">
        <v>0</v>
      </c>
      <c r="GF23" s="13">
        <v>0</v>
      </c>
      <c r="GG23" s="13">
        <v>0</v>
      </c>
      <c r="GH23" s="13">
        <v>0</v>
      </c>
      <c r="GI23" s="13">
        <v>0</v>
      </c>
      <c r="GJ23" s="13">
        <v>0</v>
      </c>
      <c r="GK23" s="13">
        <v>0</v>
      </c>
      <c r="GL23" s="13">
        <v>0</v>
      </c>
      <c r="GM23" s="13">
        <v>0</v>
      </c>
      <c r="GN23" s="13">
        <v>0</v>
      </c>
      <c r="GO23" s="13">
        <v>0</v>
      </c>
      <c r="GP23" s="13">
        <v>0</v>
      </c>
      <c r="GQ23" s="13">
        <v>0</v>
      </c>
      <c r="GR23" s="13">
        <v>0</v>
      </c>
      <c r="GS23" s="13">
        <v>0</v>
      </c>
      <c r="GT23" s="13">
        <v>0</v>
      </c>
      <c r="GU23" s="13">
        <v>0</v>
      </c>
      <c r="GV23" s="13">
        <v>0</v>
      </c>
      <c r="GW23" s="13">
        <v>0</v>
      </c>
      <c r="GX23" s="13">
        <v>0</v>
      </c>
      <c r="GY23" s="13">
        <v>0</v>
      </c>
      <c r="GZ23" s="13">
        <v>0</v>
      </c>
      <c r="HA23" s="13">
        <v>0</v>
      </c>
      <c r="HB23" s="13">
        <v>0</v>
      </c>
      <c r="HC23" s="13">
        <v>0</v>
      </c>
      <c r="HD23" s="13">
        <v>0</v>
      </c>
      <c r="HE23" s="13">
        <v>0</v>
      </c>
      <c r="HF23" s="13">
        <v>0</v>
      </c>
      <c r="HG23" s="13">
        <v>0</v>
      </c>
      <c r="HH23" s="13">
        <v>0</v>
      </c>
      <c r="HI23" s="13">
        <v>0</v>
      </c>
      <c r="HJ23" s="13">
        <v>0</v>
      </c>
      <c r="HK23" s="13">
        <v>0</v>
      </c>
      <c r="HL23" s="13">
        <v>0</v>
      </c>
      <c r="HM23" s="13">
        <v>0</v>
      </c>
      <c r="HN23" s="13">
        <v>0</v>
      </c>
      <c r="HO23" s="13">
        <v>0</v>
      </c>
      <c r="HP23" s="13">
        <v>0</v>
      </c>
      <c r="HQ23" s="13">
        <v>0</v>
      </c>
      <c r="HR23" s="13">
        <v>0</v>
      </c>
      <c r="HS23" s="13">
        <v>0</v>
      </c>
      <c r="HT23" s="13">
        <v>0</v>
      </c>
      <c r="HU23" s="13">
        <v>0</v>
      </c>
      <c r="HV23" s="13">
        <v>61.025499635611688</v>
      </c>
      <c r="HW23" s="13">
        <v>54.9547726779494</v>
      </c>
      <c r="HX23" s="13">
        <v>54.064615547807961</v>
      </c>
      <c r="HY23" s="13">
        <v>53.084278137862697</v>
      </c>
      <c r="HZ23" s="13">
        <v>52.245917625649142</v>
      </c>
      <c r="IA23" s="13">
        <v>52.128363473451103</v>
      </c>
      <c r="IB23" s="13">
        <v>51.989973122737709</v>
      </c>
      <c r="IC23" s="13">
        <v>51.107568323773926</v>
      </c>
      <c r="ID23" s="13">
        <v>50.933735455289209</v>
      </c>
      <c r="IE23" s="13">
        <v>50.752818702380345</v>
      </c>
      <c r="IF23" s="13">
        <v>124.36892938738185</v>
      </c>
      <c r="IG23" s="13">
        <v>0</v>
      </c>
      <c r="IH23" s="13">
        <v>532.28754270251306</v>
      </c>
      <c r="II23" s="13">
        <v>124.36892938738185</v>
      </c>
      <c r="IJ23" s="13">
        <v>0</v>
      </c>
      <c r="IK23" s="13">
        <v>275.37508362488086</v>
      </c>
      <c r="IL23" s="8">
        <v>3.6019802502611936E-3</v>
      </c>
      <c r="IM23" s="8">
        <v>0</v>
      </c>
      <c r="IN23" s="8">
        <v>2.0834079374483929</v>
      </c>
      <c r="IO23" s="8">
        <v>0</v>
      </c>
      <c r="IP23" s="8">
        <v>8.6689084081193466E-4</v>
      </c>
      <c r="IQ23" s="8">
        <v>0</v>
      </c>
      <c r="IR23" s="8">
        <v>1.8239460015313349</v>
      </c>
      <c r="IS23" s="8">
        <v>0</v>
      </c>
    </row>
    <row r="24" spans="1:253" x14ac:dyDescent="0.25">
      <c r="A24" s="10">
        <v>44018</v>
      </c>
      <c r="B24" s="11">
        <v>4.3099999999999996</v>
      </c>
      <c r="C24" s="11">
        <v>5.48</v>
      </c>
      <c r="D24" s="11">
        <v>6.51</v>
      </c>
      <c r="E24" s="11">
        <v>7.14</v>
      </c>
      <c r="F24" s="11">
        <v>10</v>
      </c>
      <c r="G24" s="11">
        <v>10</v>
      </c>
      <c r="H24" s="11">
        <v>10</v>
      </c>
      <c r="I24" s="11">
        <v>10</v>
      </c>
      <c r="J24" s="11">
        <v>10</v>
      </c>
      <c r="K24" s="11">
        <v>10</v>
      </c>
      <c r="L24" s="11">
        <v>10</v>
      </c>
      <c r="M24" s="11">
        <v>10</v>
      </c>
      <c r="N24" s="11">
        <v>10</v>
      </c>
      <c r="O24" s="11">
        <v>10</v>
      </c>
      <c r="P24" s="11">
        <v>10</v>
      </c>
      <c r="Q24" s="11">
        <v>10</v>
      </c>
      <c r="R24" s="11">
        <v>10</v>
      </c>
      <c r="S24" s="11">
        <v>10</v>
      </c>
      <c r="T24" s="11">
        <v>10</v>
      </c>
      <c r="U24" s="11">
        <v>10</v>
      </c>
      <c r="V24" s="11">
        <v>10</v>
      </c>
      <c r="W24" s="11">
        <v>10</v>
      </c>
      <c r="X24" s="11">
        <v>10</v>
      </c>
      <c r="Y24" s="11">
        <v>10</v>
      </c>
      <c r="Z24" s="11">
        <v>10</v>
      </c>
      <c r="AA24" s="11">
        <v>10</v>
      </c>
      <c r="AB24" s="11">
        <v>10</v>
      </c>
      <c r="AC24" s="11">
        <v>10</v>
      </c>
      <c r="AD24" s="11">
        <v>10</v>
      </c>
      <c r="AE24" s="11">
        <v>10</v>
      </c>
      <c r="AF24" s="11">
        <v>10</v>
      </c>
      <c r="AG24" s="11">
        <v>10</v>
      </c>
      <c r="AH24" s="11">
        <v>10</v>
      </c>
      <c r="AI24" s="11">
        <v>10</v>
      </c>
      <c r="AJ24" s="11">
        <v>10</v>
      </c>
      <c r="AK24" s="11">
        <v>10</v>
      </c>
      <c r="AL24" s="11">
        <v>10</v>
      </c>
      <c r="AM24" s="11">
        <v>10</v>
      </c>
      <c r="AN24" s="11">
        <v>10</v>
      </c>
      <c r="AO24" s="11">
        <v>10</v>
      </c>
      <c r="AP24" s="11">
        <v>60</v>
      </c>
      <c r="AQ24" s="11">
        <v>60</v>
      </c>
      <c r="AR24" s="11">
        <v>60</v>
      </c>
      <c r="AS24" s="11">
        <v>60</v>
      </c>
      <c r="AT24" s="11">
        <v>60</v>
      </c>
      <c r="AU24" s="11">
        <v>60</v>
      </c>
      <c r="AV24" s="11">
        <v>60</v>
      </c>
      <c r="AW24" s="11">
        <v>60</v>
      </c>
      <c r="AX24" s="11">
        <v>60</v>
      </c>
      <c r="AY24" s="11">
        <v>60</v>
      </c>
      <c r="AZ24" s="11">
        <v>60</v>
      </c>
      <c r="BA24" s="11">
        <v>60</v>
      </c>
      <c r="BB24" s="11">
        <v>60</v>
      </c>
      <c r="BC24" s="11">
        <v>60</v>
      </c>
      <c r="BD24" s="11">
        <v>60</v>
      </c>
      <c r="BE24" s="11">
        <v>60</v>
      </c>
      <c r="BF24" s="11">
        <v>60</v>
      </c>
      <c r="BG24" s="11">
        <v>60</v>
      </c>
      <c r="BH24" s="11">
        <v>60</v>
      </c>
      <c r="BI24" s="11">
        <v>60</v>
      </c>
      <c r="BJ24" s="11">
        <v>60</v>
      </c>
      <c r="BK24" s="11">
        <v>60</v>
      </c>
      <c r="BL24" s="11">
        <v>60</v>
      </c>
      <c r="BM24" s="11">
        <v>60</v>
      </c>
      <c r="BN24" s="11">
        <v>65.56</v>
      </c>
      <c r="BO24" s="11">
        <v>67.010000000000005</v>
      </c>
      <c r="BP24" s="11">
        <v>70.55</v>
      </c>
      <c r="BQ24" s="11">
        <v>71.86</v>
      </c>
      <c r="BR24" s="11">
        <v>72.47</v>
      </c>
      <c r="BS24" s="11">
        <v>72.69</v>
      </c>
      <c r="BT24" s="11">
        <v>73.13</v>
      </c>
      <c r="BU24" s="11">
        <v>73.680000000000007</v>
      </c>
      <c r="BV24" s="11">
        <v>73.97</v>
      </c>
      <c r="BW24" s="11">
        <v>74.13</v>
      </c>
      <c r="BX24" s="12">
        <v>3.3613445378151261</v>
      </c>
      <c r="BY24" s="12">
        <v>2.9197080291970803</v>
      </c>
      <c r="BZ24" s="12">
        <v>2.7842227378190256</v>
      </c>
      <c r="CA24" s="12">
        <v>2.7649769585253456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2.5167785234899327</v>
      </c>
      <c r="EK24" s="12">
        <v>2.4734076637190823</v>
      </c>
      <c r="EL24" s="12">
        <v>2.4604569420035149</v>
      </c>
      <c r="EM24" s="12">
        <v>2.4231370505471599</v>
      </c>
      <c r="EN24" s="12">
        <v>2.3787421675562772</v>
      </c>
      <c r="EO24" s="12">
        <v>2.3246273759059211</v>
      </c>
      <c r="EP24" s="12">
        <v>2.291088870131436</v>
      </c>
      <c r="EQ24" s="12">
        <v>2.2836703810702987</v>
      </c>
      <c r="ER24" s="12">
        <v>2.2700889978073002</v>
      </c>
      <c r="ES24" s="12">
        <v>2.2683181614684376</v>
      </c>
      <c r="ET24" s="11">
        <v>183.44</v>
      </c>
      <c r="EU24" s="11">
        <v>720</v>
      </c>
      <c r="EV24" s="11">
        <v>347.45000000000005</v>
      </c>
      <c r="EW24" s="12">
        <v>11.830252263356577</v>
      </c>
      <c r="EX24" s="12">
        <v>0</v>
      </c>
      <c r="EY24" s="12">
        <v>12.252522347315967</v>
      </c>
      <c r="EZ24" s="11">
        <v>1250.8900000000001</v>
      </c>
      <c r="FA24" s="12">
        <v>24.082774610672544</v>
      </c>
      <c r="FB24" s="11">
        <v>383.44</v>
      </c>
      <c r="FC24" s="11">
        <v>1440</v>
      </c>
      <c r="FD24" s="11">
        <v>715.05000000000007</v>
      </c>
      <c r="FE24" s="12">
        <v>11.830252263356577</v>
      </c>
      <c r="FF24" s="12">
        <v>0</v>
      </c>
      <c r="FG24" s="12">
        <v>23.690316133699362</v>
      </c>
      <c r="FH24" s="11">
        <v>2538.4900000000002</v>
      </c>
      <c r="FI24" s="12">
        <v>35.520568397055939</v>
      </c>
      <c r="FJ24" s="13">
        <v>47.36110709276862</v>
      </c>
      <c r="FK24" s="13">
        <v>41.980247256243835</v>
      </c>
      <c r="FL24" s="13">
        <v>40.158385150365902</v>
      </c>
      <c r="FM24" s="13">
        <v>35.240071709199214</v>
      </c>
      <c r="FN24" s="13">
        <v>0</v>
      </c>
      <c r="FO24" s="13">
        <v>0</v>
      </c>
      <c r="FP24" s="13">
        <v>0</v>
      </c>
      <c r="FQ24" s="13">
        <v>0</v>
      </c>
      <c r="FR24" s="13">
        <v>0</v>
      </c>
      <c r="FS24" s="13">
        <v>0</v>
      </c>
      <c r="FT24" s="13">
        <v>0</v>
      </c>
      <c r="FU24" s="13">
        <v>0</v>
      </c>
      <c r="FV24" s="13">
        <v>0</v>
      </c>
      <c r="FW24" s="13">
        <v>0</v>
      </c>
      <c r="FX24" s="13">
        <v>0</v>
      </c>
      <c r="FY24" s="13">
        <v>0</v>
      </c>
      <c r="FZ24" s="13">
        <v>0</v>
      </c>
      <c r="GA24" s="13">
        <v>0</v>
      </c>
      <c r="GB24" s="13">
        <v>0</v>
      </c>
      <c r="GC24" s="13">
        <v>0</v>
      </c>
      <c r="GD24" s="13">
        <v>0</v>
      </c>
      <c r="GE24" s="13">
        <v>0</v>
      </c>
      <c r="GF24" s="13">
        <v>0</v>
      </c>
      <c r="GG24" s="13">
        <v>0</v>
      </c>
      <c r="GH24" s="13">
        <v>0</v>
      </c>
      <c r="GI24" s="13">
        <v>0</v>
      </c>
      <c r="GJ24" s="13">
        <v>0</v>
      </c>
      <c r="GK24" s="13">
        <v>0</v>
      </c>
      <c r="GL24" s="13">
        <v>0</v>
      </c>
      <c r="GM24" s="13">
        <v>0</v>
      </c>
      <c r="GN24" s="13">
        <v>0</v>
      </c>
      <c r="GO24" s="13">
        <v>0</v>
      </c>
      <c r="GP24" s="13">
        <v>0</v>
      </c>
      <c r="GQ24" s="13">
        <v>0</v>
      </c>
      <c r="GR24" s="13">
        <v>0</v>
      </c>
      <c r="GS24" s="13">
        <v>0</v>
      </c>
      <c r="GT24" s="13">
        <v>0</v>
      </c>
      <c r="GU24" s="13">
        <v>0</v>
      </c>
      <c r="GV24" s="13">
        <v>0</v>
      </c>
      <c r="GW24" s="13">
        <v>0</v>
      </c>
      <c r="GX24" s="13">
        <v>0</v>
      </c>
      <c r="GY24" s="13">
        <v>0</v>
      </c>
      <c r="GZ24" s="13">
        <v>0</v>
      </c>
      <c r="HA24" s="13">
        <v>0</v>
      </c>
      <c r="HB24" s="13">
        <v>0</v>
      </c>
      <c r="HC24" s="13">
        <v>0</v>
      </c>
      <c r="HD24" s="13">
        <v>0</v>
      </c>
      <c r="HE24" s="13">
        <v>0</v>
      </c>
      <c r="HF24" s="13">
        <v>0</v>
      </c>
      <c r="HG24" s="13">
        <v>0</v>
      </c>
      <c r="HH24" s="13">
        <v>0</v>
      </c>
      <c r="HI24" s="13">
        <v>0</v>
      </c>
      <c r="HJ24" s="13">
        <v>0</v>
      </c>
      <c r="HK24" s="13">
        <v>0</v>
      </c>
      <c r="HL24" s="13">
        <v>0</v>
      </c>
      <c r="HM24" s="13">
        <v>0</v>
      </c>
      <c r="HN24" s="13">
        <v>0</v>
      </c>
      <c r="HO24" s="13">
        <v>0</v>
      </c>
      <c r="HP24" s="13">
        <v>0</v>
      </c>
      <c r="HQ24" s="13">
        <v>0</v>
      </c>
      <c r="HR24" s="13">
        <v>0</v>
      </c>
      <c r="HS24" s="13">
        <v>0</v>
      </c>
      <c r="HT24" s="13">
        <v>0</v>
      </c>
      <c r="HU24" s="13">
        <v>0</v>
      </c>
      <c r="HV24" s="13">
        <v>58.571722109062833</v>
      </c>
      <c r="HW24" s="13">
        <v>52.62196865003741</v>
      </c>
      <c r="HX24" s="13">
        <v>51.987207848706504</v>
      </c>
      <c r="HY24" s="13">
        <v>50.956880413920032</v>
      </c>
      <c r="HZ24" s="13">
        <v>50.497951076349786</v>
      </c>
      <c r="IA24" s="13">
        <v>50.116034771631028</v>
      </c>
      <c r="IB24" s="13">
        <v>49.511081334084714</v>
      </c>
      <c r="IC24" s="13">
        <v>49.441473591028434</v>
      </c>
      <c r="ID24" s="13">
        <v>48.290212640956661</v>
      </c>
      <c r="IE24" s="13">
        <v>48.2000054253201</v>
      </c>
      <c r="IF24" s="13">
        <v>164.73981120857755</v>
      </c>
      <c r="IG24" s="13">
        <v>0</v>
      </c>
      <c r="IH24" s="13">
        <v>510.19453786109756</v>
      </c>
      <c r="II24" s="13">
        <v>164.73981120857755</v>
      </c>
      <c r="IJ24" s="13">
        <v>0</v>
      </c>
      <c r="IK24" s="13">
        <v>264.63573009807658</v>
      </c>
      <c r="IL24" s="8">
        <v>6.8191630427343244E-3</v>
      </c>
      <c r="IM24" s="8">
        <v>0</v>
      </c>
      <c r="IN24" s="8">
        <v>1.8664298154698282</v>
      </c>
      <c r="IO24" s="8">
        <v>0</v>
      </c>
      <c r="IP24" s="8">
        <v>1.6311642871885885E-3</v>
      </c>
      <c r="IQ24" s="8">
        <v>0</v>
      </c>
      <c r="IR24" s="8">
        <v>1.6903251369297319</v>
      </c>
      <c r="IS24" s="8">
        <v>0</v>
      </c>
    </row>
    <row r="25" spans="1:253" x14ac:dyDescent="0.25">
      <c r="A25" s="10">
        <v>44011</v>
      </c>
      <c r="B25" s="11">
        <v>10</v>
      </c>
      <c r="C25" s="11">
        <v>10</v>
      </c>
      <c r="D25" s="11">
        <v>10</v>
      </c>
      <c r="E25" s="11">
        <v>10</v>
      </c>
      <c r="F25" s="11">
        <v>10</v>
      </c>
      <c r="G25" s="11">
        <v>10</v>
      </c>
      <c r="H25" s="11">
        <v>10</v>
      </c>
      <c r="I25" s="11">
        <v>10</v>
      </c>
      <c r="J25" s="11">
        <v>10</v>
      </c>
      <c r="K25" s="11">
        <v>10</v>
      </c>
      <c r="L25" s="11">
        <v>10</v>
      </c>
      <c r="M25" s="11">
        <v>10</v>
      </c>
      <c r="N25" s="11">
        <v>10</v>
      </c>
      <c r="O25" s="11">
        <v>10</v>
      </c>
      <c r="P25" s="11">
        <v>10</v>
      </c>
      <c r="Q25" s="11">
        <v>10</v>
      </c>
      <c r="R25" s="11">
        <v>10</v>
      </c>
      <c r="S25" s="11">
        <v>10</v>
      </c>
      <c r="T25" s="11">
        <v>10</v>
      </c>
      <c r="U25" s="11">
        <v>10</v>
      </c>
      <c r="V25" s="11">
        <v>10</v>
      </c>
      <c r="W25" s="11">
        <v>10</v>
      </c>
      <c r="X25" s="11">
        <v>10</v>
      </c>
      <c r="Y25" s="11">
        <v>10</v>
      </c>
      <c r="Z25" s="11">
        <v>10</v>
      </c>
      <c r="AA25" s="11">
        <v>10</v>
      </c>
      <c r="AB25" s="11">
        <v>10</v>
      </c>
      <c r="AC25" s="11">
        <v>10</v>
      </c>
      <c r="AD25" s="11">
        <v>10</v>
      </c>
      <c r="AE25" s="11">
        <v>10</v>
      </c>
      <c r="AF25" s="11">
        <v>10</v>
      </c>
      <c r="AG25" s="11">
        <v>10</v>
      </c>
      <c r="AH25" s="11">
        <v>10</v>
      </c>
      <c r="AI25" s="11">
        <v>10</v>
      </c>
      <c r="AJ25" s="11">
        <v>10</v>
      </c>
      <c r="AK25" s="11">
        <v>10</v>
      </c>
      <c r="AL25" s="11">
        <v>10</v>
      </c>
      <c r="AM25" s="11">
        <v>10</v>
      </c>
      <c r="AN25" s="11">
        <v>10</v>
      </c>
      <c r="AO25" s="11">
        <v>10</v>
      </c>
      <c r="AP25" s="11">
        <v>60</v>
      </c>
      <c r="AQ25" s="11">
        <v>60</v>
      </c>
      <c r="AR25" s="11">
        <v>60</v>
      </c>
      <c r="AS25" s="11">
        <v>60</v>
      </c>
      <c r="AT25" s="11">
        <v>60</v>
      </c>
      <c r="AU25" s="11">
        <v>60</v>
      </c>
      <c r="AV25" s="11">
        <v>60</v>
      </c>
      <c r="AW25" s="11">
        <v>60</v>
      </c>
      <c r="AX25" s="11">
        <v>60</v>
      </c>
      <c r="AY25" s="11">
        <v>60</v>
      </c>
      <c r="AZ25" s="11">
        <v>60</v>
      </c>
      <c r="BA25" s="11">
        <v>60</v>
      </c>
      <c r="BB25" s="11">
        <v>60</v>
      </c>
      <c r="BC25" s="11">
        <v>60</v>
      </c>
      <c r="BD25" s="11">
        <v>60</v>
      </c>
      <c r="BE25" s="11">
        <v>60</v>
      </c>
      <c r="BF25" s="11">
        <v>60</v>
      </c>
      <c r="BG25" s="11">
        <v>60</v>
      </c>
      <c r="BH25" s="11">
        <v>60</v>
      </c>
      <c r="BI25" s="11">
        <v>60</v>
      </c>
      <c r="BJ25" s="11">
        <v>60</v>
      </c>
      <c r="BK25" s="11">
        <v>60</v>
      </c>
      <c r="BL25" s="11">
        <v>60</v>
      </c>
      <c r="BM25" s="11">
        <v>60</v>
      </c>
      <c r="BN25" s="11">
        <v>66.33</v>
      </c>
      <c r="BO25" s="11">
        <v>68.3</v>
      </c>
      <c r="BP25" s="11">
        <v>68.38</v>
      </c>
      <c r="BQ25" s="11">
        <v>69.099999999999994</v>
      </c>
      <c r="BR25" s="11">
        <v>72.959999999999994</v>
      </c>
      <c r="BS25" s="11">
        <v>73.03</v>
      </c>
      <c r="BT25" s="11">
        <v>73.45</v>
      </c>
      <c r="BU25" s="11">
        <v>74.44</v>
      </c>
      <c r="BV25" s="11">
        <v>74.64</v>
      </c>
      <c r="BW25" s="11">
        <v>75.27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2.4671052631578951</v>
      </c>
      <c r="EK25" s="12">
        <v>2.4574099200964872</v>
      </c>
      <c r="EL25" s="12">
        <v>2.4108893759372476</v>
      </c>
      <c r="EM25" s="12">
        <v>2.3837379350687335</v>
      </c>
      <c r="EN25" s="12">
        <v>2.3733719247467442</v>
      </c>
      <c r="EO25" s="12">
        <v>2.3572474377745243</v>
      </c>
      <c r="EP25" s="12">
        <v>2.3278104888402025</v>
      </c>
      <c r="EQ25" s="12">
        <v>2.2837184309511018</v>
      </c>
      <c r="ER25" s="12">
        <v>2.277063986770131</v>
      </c>
      <c r="ES25" s="12">
        <v>2.2250000000000001</v>
      </c>
      <c r="ET25" s="11">
        <v>200</v>
      </c>
      <c r="EU25" s="11">
        <v>720</v>
      </c>
      <c r="EV25" s="11">
        <v>345.07</v>
      </c>
      <c r="EW25" s="12">
        <v>0</v>
      </c>
      <c r="EX25" s="12">
        <v>0</v>
      </c>
      <c r="EY25" s="12">
        <v>12.092514419007108</v>
      </c>
      <c r="EZ25" s="11">
        <v>1265.07</v>
      </c>
      <c r="FA25" s="12">
        <v>12.092514419007108</v>
      </c>
      <c r="FB25" s="11">
        <v>400</v>
      </c>
      <c r="FC25" s="11">
        <v>1440</v>
      </c>
      <c r="FD25" s="11">
        <v>715.9</v>
      </c>
      <c r="FE25" s="12">
        <v>0</v>
      </c>
      <c r="FF25" s="12">
        <v>0</v>
      </c>
      <c r="FG25" s="12">
        <v>23.563354763343067</v>
      </c>
      <c r="FH25" s="11">
        <v>2555.9</v>
      </c>
      <c r="FI25" s="12">
        <v>23.563354763343067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3">
        <v>0</v>
      </c>
      <c r="FU25" s="13">
        <v>0</v>
      </c>
      <c r="FV25" s="13">
        <v>0</v>
      </c>
      <c r="FW25" s="13">
        <v>0</v>
      </c>
      <c r="FX25" s="13">
        <v>0</v>
      </c>
      <c r="FY25" s="13">
        <v>0</v>
      </c>
      <c r="FZ25" s="13">
        <v>0</v>
      </c>
      <c r="GA25" s="13">
        <v>0</v>
      </c>
      <c r="GB25" s="13">
        <v>0</v>
      </c>
      <c r="GC25" s="13">
        <v>0</v>
      </c>
      <c r="GD25" s="13">
        <v>0</v>
      </c>
      <c r="GE25" s="13">
        <v>0</v>
      </c>
      <c r="GF25" s="13">
        <v>0</v>
      </c>
      <c r="GG25" s="13">
        <v>0</v>
      </c>
      <c r="GH25" s="13">
        <v>0</v>
      </c>
      <c r="GI25" s="13">
        <v>0</v>
      </c>
      <c r="GJ25" s="13">
        <v>0</v>
      </c>
      <c r="GK25" s="13">
        <v>0</v>
      </c>
      <c r="GL25" s="13">
        <v>0</v>
      </c>
      <c r="GM25" s="13">
        <v>0</v>
      </c>
      <c r="GN25" s="13">
        <v>0</v>
      </c>
      <c r="GO25" s="13">
        <v>0</v>
      </c>
      <c r="GP25" s="13">
        <v>0</v>
      </c>
      <c r="GQ25" s="13">
        <v>0</v>
      </c>
      <c r="GR25" s="13">
        <v>0</v>
      </c>
      <c r="GS25" s="13">
        <v>0</v>
      </c>
      <c r="GT25" s="13">
        <v>0</v>
      </c>
      <c r="GU25" s="13">
        <v>0</v>
      </c>
      <c r="GV25" s="13">
        <v>0</v>
      </c>
      <c r="GW25" s="13">
        <v>0</v>
      </c>
      <c r="GX25" s="13">
        <v>0</v>
      </c>
      <c r="GY25" s="13">
        <v>0</v>
      </c>
      <c r="GZ25" s="13">
        <v>0</v>
      </c>
      <c r="HA25" s="13">
        <v>0</v>
      </c>
      <c r="HB25" s="13">
        <v>0</v>
      </c>
      <c r="HC25" s="13">
        <v>0</v>
      </c>
      <c r="HD25" s="13">
        <v>0</v>
      </c>
      <c r="HE25" s="13">
        <v>0</v>
      </c>
      <c r="HF25" s="13">
        <v>0</v>
      </c>
      <c r="HG25" s="13">
        <v>0</v>
      </c>
      <c r="HH25" s="13">
        <v>0</v>
      </c>
      <c r="HI25" s="13">
        <v>0</v>
      </c>
      <c r="HJ25" s="13">
        <v>0</v>
      </c>
      <c r="HK25" s="13">
        <v>0</v>
      </c>
      <c r="HL25" s="13">
        <v>0</v>
      </c>
      <c r="HM25" s="13">
        <v>0</v>
      </c>
      <c r="HN25" s="13">
        <v>0</v>
      </c>
      <c r="HO25" s="13">
        <v>0</v>
      </c>
      <c r="HP25" s="13">
        <v>0</v>
      </c>
      <c r="HQ25" s="13">
        <v>0</v>
      </c>
      <c r="HR25" s="13">
        <v>0</v>
      </c>
      <c r="HS25" s="13">
        <v>0</v>
      </c>
      <c r="HT25" s="13">
        <v>0</v>
      </c>
      <c r="HU25" s="13">
        <v>0</v>
      </c>
      <c r="HV25" s="13">
        <v>56.72452453666078</v>
      </c>
      <c r="HW25" s="13">
        <v>53.863974486861117</v>
      </c>
      <c r="HX25" s="13">
        <v>53.309049006378366</v>
      </c>
      <c r="HY25" s="13">
        <v>53.274398797138538</v>
      </c>
      <c r="HZ25" s="13">
        <v>53.237962113957316</v>
      </c>
      <c r="IA25" s="13">
        <v>50.232751305581758</v>
      </c>
      <c r="IB25" s="13">
        <v>48.625978881302537</v>
      </c>
      <c r="IC25" s="13">
        <v>46.669272679200063</v>
      </c>
      <c r="ID25" s="13">
        <v>46.526600263024669</v>
      </c>
      <c r="IE25" s="13">
        <v>46.314495991438179</v>
      </c>
      <c r="IF25" s="13">
        <v>0</v>
      </c>
      <c r="IG25" s="13">
        <v>0</v>
      </c>
      <c r="IH25" s="13">
        <v>508.77900806154332</v>
      </c>
      <c r="II25" s="13">
        <v>0</v>
      </c>
      <c r="IJ25" s="13">
        <v>0</v>
      </c>
      <c r="IK25" s="13">
        <v>270.4099089409961</v>
      </c>
      <c r="IL25" s="8">
        <v>0</v>
      </c>
      <c r="IM25" s="8">
        <v>0</v>
      </c>
      <c r="IN25" s="8">
        <v>1.8952303723368558</v>
      </c>
      <c r="IO25" s="8">
        <v>0</v>
      </c>
      <c r="IP25" s="8">
        <v>0</v>
      </c>
      <c r="IQ25" s="8">
        <v>0</v>
      </c>
      <c r="IR25" s="8">
        <v>1.6746110159374112</v>
      </c>
      <c r="IS25" s="8">
        <v>0</v>
      </c>
    </row>
    <row r="26" spans="1:253" x14ac:dyDescent="0.25">
      <c r="A26" s="10">
        <v>44004</v>
      </c>
      <c r="B26" s="11">
        <v>4.09</v>
      </c>
      <c r="C26" s="11">
        <v>5</v>
      </c>
      <c r="D26" s="11">
        <v>5.38</v>
      </c>
      <c r="E26" s="11">
        <v>5.69</v>
      </c>
      <c r="F26" s="11">
        <v>7.04</v>
      </c>
      <c r="G26" s="11">
        <v>8.25</v>
      </c>
      <c r="H26" s="11">
        <v>8.7899999999999991</v>
      </c>
      <c r="I26" s="11">
        <v>9.43</v>
      </c>
      <c r="J26" s="11">
        <v>10</v>
      </c>
      <c r="K26" s="11">
        <v>10</v>
      </c>
      <c r="L26" s="11">
        <v>10</v>
      </c>
      <c r="M26" s="11">
        <v>10</v>
      </c>
      <c r="N26" s="11">
        <v>10</v>
      </c>
      <c r="O26" s="11">
        <v>10</v>
      </c>
      <c r="P26" s="11">
        <v>10</v>
      </c>
      <c r="Q26" s="11">
        <v>10</v>
      </c>
      <c r="R26" s="11">
        <v>10</v>
      </c>
      <c r="S26" s="11">
        <v>10</v>
      </c>
      <c r="T26" s="11">
        <v>10</v>
      </c>
      <c r="U26" s="11">
        <v>10</v>
      </c>
      <c r="V26" s="11">
        <v>10</v>
      </c>
      <c r="W26" s="11">
        <v>10</v>
      </c>
      <c r="X26" s="11">
        <v>10</v>
      </c>
      <c r="Y26" s="11">
        <v>10</v>
      </c>
      <c r="Z26" s="11">
        <v>10</v>
      </c>
      <c r="AA26" s="11">
        <v>10</v>
      </c>
      <c r="AB26" s="11">
        <v>10</v>
      </c>
      <c r="AC26" s="11">
        <v>10</v>
      </c>
      <c r="AD26" s="11">
        <v>10</v>
      </c>
      <c r="AE26" s="11">
        <v>10</v>
      </c>
      <c r="AF26" s="11">
        <v>10</v>
      </c>
      <c r="AG26" s="11">
        <v>10</v>
      </c>
      <c r="AH26" s="11">
        <v>10</v>
      </c>
      <c r="AI26" s="11">
        <v>10</v>
      </c>
      <c r="AJ26" s="11">
        <v>10</v>
      </c>
      <c r="AK26" s="11">
        <v>10</v>
      </c>
      <c r="AL26" s="11">
        <v>10</v>
      </c>
      <c r="AM26" s="11">
        <v>10</v>
      </c>
      <c r="AN26" s="11">
        <v>10</v>
      </c>
      <c r="AO26" s="11">
        <v>10</v>
      </c>
      <c r="AP26" s="11">
        <v>60</v>
      </c>
      <c r="AQ26" s="11">
        <v>60</v>
      </c>
      <c r="AR26" s="11">
        <v>60</v>
      </c>
      <c r="AS26" s="11">
        <v>60</v>
      </c>
      <c r="AT26" s="11">
        <v>60</v>
      </c>
      <c r="AU26" s="11">
        <v>60</v>
      </c>
      <c r="AV26" s="11">
        <v>60</v>
      </c>
      <c r="AW26" s="11">
        <v>60</v>
      </c>
      <c r="AX26" s="11">
        <v>60</v>
      </c>
      <c r="AY26" s="11">
        <v>60</v>
      </c>
      <c r="AZ26" s="11">
        <v>60</v>
      </c>
      <c r="BA26" s="11">
        <v>60</v>
      </c>
      <c r="BB26" s="11">
        <v>60</v>
      </c>
      <c r="BC26" s="11">
        <v>60</v>
      </c>
      <c r="BD26" s="11">
        <v>60</v>
      </c>
      <c r="BE26" s="11">
        <v>60</v>
      </c>
      <c r="BF26" s="11">
        <v>60</v>
      </c>
      <c r="BG26" s="11">
        <v>60</v>
      </c>
      <c r="BH26" s="11">
        <v>60</v>
      </c>
      <c r="BI26" s="11">
        <v>60</v>
      </c>
      <c r="BJ26" s="11">
        <v>60</v>
      </c>
      <c r="BK26" s="11">
        <v>60</v>
      </c>
      <c r="BL26" s="11">
        <v>60</v>
      </c>
      <c r="BM26" s="11">
        <v>60</v>
      </c>
      <c r="BN26" s="11">
        <v>64.83</v>
      </c>
      <c r="BO26" s="11">
        <v>67.930000000000007</v>
      </c>
      <c r="BP26" s="11">
        <v>69.540000000000006</v>
      </c>
      <c r="BQ26" s="11">
        <v>69.98</v>
      </c>
      <c r="BR26" s="11">
        <v>70.59</v>
      </c>
      <c r="BS26" s="11">
        <v>70.84</v>
      </c>
      <c r="BT26" s="11">
        <v>70.88</v>
      </c>
      <c r="BU26" s="11">
        <v>71.75</v>
      </c>
      <c r="BV26" s="11">
        <v>72.849999999999994</v>
      </c>
      <c r="BW26" s="11">
        <v>72.900000000000006</v>
      </c>
      <c r="BX26" s="12">
        <v>3.5315985130111525</v>
      </c>
      <c r="BY26" s="12">
        <v>3.2727272727272729</v>
      </c>
      <c r="BZ26" s="12">
        <v>3.2</v>
      </c>
      <c r="CA26" s="12">
        <v>3.1813361611876991</v>
      </c>
      <c r="CB26" s="12">
        <v>3.1784841075794623</v>
      </c>
      <c r="CC26" s="12">
        <v>2.9829545454545454</v>
      </c>
      <c r="CD26" s="12">
        <v>2.6362038664323371</v>
      </c>
      <c r="CE26" s="12">
        <v>2.3890784982935154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2.5924351891202719</v>
      </c>
      <c r="EK26" s="12">
        <v>2.5531914893617023</v>
      </c>
      <c r="EL26" s="12">
        <v>2.5021464491598184</v>
      </c>
      <c r="EM26" s="12">
        <v>2.4844720496894408</v>
      </c>
      <c r="EN26" s="12">
        <v>2.4592252803261978</v>
      </c>
      <c r="EO26" s="12">
        <v>2.4549918166939442</v>
      </c>
      <c r="EP26" s="12">
        <v>2.4435553015147184</v>
      </c>
      <c r="EQ26" s="12">
        <v>2.4302559677883231</v>
      </c>
      <c r="ER26" s="12">
        <v>2.3950519805237533</v>
      </c>
      <c r="ES26" s="12">
        <v>2.3653946680606377</v>
      </c>
      <c r="ET26" s="11">
        <v>173.67000000000002</v>
      </c>
      <c r="EU26" s="11">
        <v>720</v>
      </c>
      <c r="EV26" s="11">
        <v>342.87</v>
      </c>
      <c r="EW26" s="12">
        <v>24.372382964685986</v>
      </c>
      <c r="EX26" s="12">
        <v>0</v>
      </c>
      <c r="EY26" s="12">
        <v>12.591470457657431</v>
      </c>
      <c r="EZ26" s="11">
        <v>1236.54</v>
      </c>
      <c r="FA26" s="12">
        <v>36.963853422343419</v>
      </c>
      <c r="FB26" s="11">
        <v>373.67</v>
      </c>
      <c r="FC26" s="11">
        <v>1440</v>
      </c>
      <c r="FD26" s="11">
        <v>702.09</v>
      </c>
      <c r="FE26" s="12">
        <v>24.372382964685986</v>
      </c>
      <c r="FF26" s="12">
        <v>0</v>
      </c>
      <c r="FG26" s="12">
        <v>24.680720192238809</v>
      </c>
      <c r="FH26" s="11">
        <v>2515.7600000000002</v>
      </c>
      <c r="FI26" s="12">
        <v>49.053103156924792</v>
      </c>
      <c r="FJ26" s="13">
        <v>56.087448999198308</v>
      </c>
      <c r="FK26" s="13">
        <v>51.437007141570092</v>
      </c>
      <c r="FL26" s="13">
        <v>49.059479274861424</v>
      </c>
      <c r="FM26" s="13">
        <v>36.919207087196369</v>
      </c>
      <c r="FN26" s="13">
        <v>35.99131653716065</v>
      </c>
      <c r="FO26" s="13">
        <v>35.338166330916074</v>
      </c>
      <c r="FP26" s="13">
        <v>31.282635617230014</v>
      </c>
      <c r="FQ26" s="13">
        <v>24.676875276113694</v>
      </c>
      <c r="FR26" s="13">
        <v>0</v>
      </c>
      <c r="FS26" s="13">
        <v>0</v>
      </c>
      <c r="FT26" s="13">
        <v>0</v>
      </c>
      <c r="FU26" s="13">
        <v>0</v>
      </c>
      <c r="FV26" s="13">
        <v>0</v>
      </c>
      <c r="FW26" s="13">
        <v>0</v>
      </c>
      <c r="FX26" s="13">
        <v>0</v>
      </c>
      <c r="FY26" s="13">
        <v>0</v>
      </c>
      <c r="FZ26" s="13">
        <v>0</v>
      </c>
      <c r="GA26" s="13">
        <v>0</v>
      </c>
      <c r="GB26" s="13">
        <v>0</v>
      </c>
      <c r="GC26" s="13">
        <v>0</v>
      </c>
      <c r="GD26" s="13">
        <v>0</v>
      </c>
      <c r="GE26" s="13">
        <v>0</v>
      </c>
      <c r="GF26" s="13">
        <v>0</v>
      </c>
      <c r="GG26" s="13">
        <v>0</v>
      </c>
      <c r="GH26" s="13">
        <v>0</v>
      </c>
      <c r="GI26" s="13">
        <v>0</v>
      </c>
      <c r="GJ26" s="13">
        <v>0</v>
      </c>
      <c r="GK26" s="13">
        <v>0</v>
      </c>
      <c r="GL26" s="13">
        <v>0</v>
      </c>
      <c r="GM26" s="13">
        <v>0</v>
      </c>
      <c r="GN26" s="13">
        <v>0</v>
      </c>
      <c r="GO26" s="13">
        <v>0</v>
      </c>
      <c r="GP26" s="13">
        <v>0</v>
      </c>
      <c r="GQ26" s="13">
        <v>0</v>
      </c>
      <c r="GR26" s="13">
        <v>0</v>
      </c>
      <c r="GS26" s="13">
        <v>0</v>
      </c>
      <c r="GT26" s="13">
        <v>0</v>
      </c>
      <c r="GU26" s="13">
        <v>0</v>
      </c>
      <c r="GV26" s="13">
        <v>0</v>
      </c>
      <c r="GW26" s="13">
        <v>0</v>
      </c>
      <c r="GX26" s="13">
        <v>0</v>
      </c>
      <c r="GY26" s="13">
        <v>0</v>
      </c>
      <c r="GZ26" s="13">
        <v>0</v>
      </c>
      <c r="HA26" s="13">
        <v>0</v>
      </c>
      <c r="HB26" s="13">
        <v>0</v>
      </c>
      <c r="HC26" s="13">
        <v>0</v>
      </c>
      <c r="HD26" s="13">
        <v>0</v>
      </c>
      <c r="HE26" s="13">
        <v>0</v>
      </c>
      <c r="HF26" s="13">
        <v>0</v>
      </c>
      <c r="HG26" s="13">
        <v>0</v>
      </c>
      <c r="HH26" s="13">
        <v>0</v>
      </c>
      <c r="HI26" s="13">
        <v>0</v>
      </c>
      <c r="HJ26" s="13">
        <v>0</v>
      </c>
      <c r="HK26" s="13">
        <v>0</v>
      </c>
      <c r="HL26" s="13">
        <v>0</v>
      </c>
      <c r="HM26" s="13">
        <v>0</v>
      </c>
      <c r="HN26" s="13">
        <v>0</v>
      </c>
      <c r="HO26" s="13">
        <v>0</v>
      </c>
      <c r="HP26" s="13">
        <v>0</v>
      </c>
      <c r="HQ26" s="13">
        <v>0</v>
      </c>
      <c r="HR26" s="13">
        <v>0</v>
      </c>
      <c r="HS26" s="13">
        <v>0</v>
      </c>
      <c r="HT26" s="13">
        <v>0</v>
      </c>
      <c r="HU26" s="13">
        <v>0</v>
      </c>
      <c r="HV26" s="13">
        <v>57.289883069224388</v>
      </c>
      <c r="HW26" s="13">
        <v>55.19159615697442</v>
      </c>
      <c r="HX26" s="13">
        <v>54.993911008375449</v>
      </c>
      <c r="HY26" s="13">
        <v>54.328869843366355</v>
      </c>
      <c r="HZ26" s="13">
        <v>54.272270791076586</v>
      </c>
      <c r="IA26" s="13">
        <v>51.532046646677927</v>
      </c>
      <c r="IB26" s="13">
        <v>50.795951337996186</v>
      </c>
      <c r="IC26" s="13">
        <v>50.674276249651996</v>
      </c>
      <c r="ID26" s="13">
        <v>50.46116511928453</v>
      </c>
      <c r="IE26" s="13">
        <v>50.266157495497836</v>
      </c>
      <c r="IF26" s="13">
        <v>320.79213626424666</v>
      </c>
      <c r="IG26" s="13">
        <v>0</v>
      </c>
      <c r="IH26" s="13">
        <v>529.80612771812571</v>
      </c>
      <c r="II26" s="13">
        <v>320.79213626424666</v>
      </c>
      <c r="IJ26" s="13">
        <v>0</v>
      </c>
      <c r="IK26" s="13">
        <v>276.07653086901723</v>
      </c>
      <c r="IL26" s="8">
        <v>2.8895449158670816E-2</v>
      </c>
      <c r="IM26" s="8">
        <v>0</v>
      </c>
      <c r="IN26" s="8">
        <v>2.0277128255547465</v>
      </c>
      <c r="IO26" s="8">
        <v>0</v>
      </c>
      <c r="IP26" s="8">
        <v>6.7148455259806242E-3</v>
      </c>
      <c r="IQ26" s="8">
        <v>0</v>
      </c>
      <c r="IR26" s="8">
        <v>1.8624388318227858</v>
      </c>
      <c r="IS26" s="8">
        <v>0</v>
      </c>
    </row>
    <row r="27" spans="1:253" x14ac:dyDescent="0.25">
      <c r="A27" s="10">
        <v>43997</v>
      </c>
      <c r="B27" s="11">
        <v>4.9000000000000004</v>
      </c>
      <c r="C27" s="11">
        <v>10</v>
      </c>
      <c r="D27" s="11">
        <v>10</v>
      </c>
      <c r="E27" s="11">
        <v>10</v>
      </c>
      <c r="F27" s="11">
        <v>10</v>
      </c>
      <c r="G27" s="11">
        <v>10</v>
      </c>
      <c r="H27" s="11">
        <v>10</v>
      </c>
      <c r="I27" s="11">
        <v>10</v>
      </c>
      <c r="J27" s="11">
        <v>10</v>
      </c>
      <c r="K27" s="11">
        <v>10</v>
      </c>
      <c r="L27" s="11">
        <v>10</v>
      </c>
      <c r="M27" s="11">
        <v>10</v>
      </c>
      <c r="N27" s="11">
        <v>10</v>
      </c>
      <c r="O27" s="11">
        <v>10</v>
      </c>
      <c r="P27" s="11">
        <v>10</v>
      </c>
      <c r="Q27" s="11">
        <v>10</v>
      </c>
      <c r="R27" s="11">
        <v>10</v>
      </c>
      <c r="S27" s="11">
        <v>10</v>
      </c>
      <c r="T27" s="11">
        <v>10</v>
      </c>
      <c r="U27" s="11">
        <v>10</v>
      </c>
      <c r="V27" s="11">
        <v>10</v>
      </c>
      <c r="W27" s="11">
        <v>10</v>
      </c>
      <c r="X27" s="11">
        <v>10</v>
      </c>
      <c r="Y27" s="11">
        <v>10</v>
      </c>
      <c r="Z27" s="11">
        <v>10</v>
      </c>
      <c r="AA27" s="11">
        <v>10</v>
      </c>
      <c r="AB27" s="11">
        <v>10</v>
      </c>
      <c r="AC27" s="11">
        <v>10</v>
      </c>
      <c r="AD27" s="11">
        <v>10</v>
      </c>
      <c r="AE27" s="11">
        <v>10</v>
      </c>
      <c r="AF27" s="11">
        <v>10</v>
      </c>
      <c r="AG27" s="11">
        <v>10</v>
      </c>
      <c r="AH27" s="11">
        <v>10</v>
      </c>
      <c r="AI27" s="11">
        <v>10</v>
      </c>
      <c r="AJ27" s="11">
        <v>10</v>
      </c>
      <c r="AK27" s="11">
        <v>10</v>
      </c>
      <c r="AL27" s="11">
        <v>10</v>
      </c>
      <c r="AM27" s="11">
        <v>10</v>
      </c>
      <c r="AN27" s="11">
        <v>10</v>
      </c>
      <c r="AO27" s="11">
        <v>10</v>
      </c>
      <c r="AP27" s="11">
        <v>20.39</v>
      </c>
      <c r="AQ27" s="11">
        <v>23.72</v>
      </c>
      <c r="AR27" s="11">
        <v>24.73</v>
      </c>
      <c r="AS27" s="11">
        <v>27.43</v>
      </c>
      <c r="AT27" s="11">
        <v>60</v>
      </c>
      <c r="AU27" s="11">
        <v>60</v>
      </c>
      <c r="AV27" s="11">
        <v>60</v>
      </c>
      <c r="AW27" s="11">
        <v>60</v>
      </c>
      <c r="AX27" s="11">
        <v>60</v>
      </c>
      <c r="AY27" s="11">
        <v>60</v>
      </c>
      <c r="AZ27" s="11">
        <v>60</v>
      </c>
      <c r="BA27" s="11">
        <v>60</v>
      </c>
      <c r="BB27" s="11">
        <v>60</v>
      </c>
      <c r="BC27" s="11">
        <v>60</v>
      </c>
      <c r="BD27" s="11">
        <v>60</v>
      </c>
      <c r="BE27" s="11">
        <v>60</v>
      </c>
      <c r="BF27" s="11">
        <v>60</v>
      </c>
      <c r="BG27" s="11">
        <v>60</v>
      </c>
      <c r="BH27" s="11">
        <v>60</v>
      </c>
      <c r="BI27" s="11">
        <v>60</v>
      </c>
      <c r="BJ27" s="11">
        <v>60</v>
      </c>
      <c r="BK27" s="11">
        <v>60</v>
      </c>
      <c r="BL27" s="11">
        <v>60</v>
      </c>
      <c r="BM27" s="11">
        <v>60</v>
      </c>
      <c r="BN27" s="11">
        <v>62.85</v>
      </c>
      <c r="BO27" s="11">
        <v>66</v>
      </c>
      <c r="BP27" s="11">
        <v>67.11</v>
      </c>
      <c r="BQ27" s="11">
        <v>69.489999999999995</v>
      </c>
      <c r="BR27" s="11">
        <v>69.680000000000007</v>
      </c>
      <c r="BS27" s="11">
        <v>71.22</v>
      </c>
      <c r="BT27" s="11">
        <v>72.209999999999994</v>
      </c>
      <c r="BU27" s="11">
        <v>73.09</v>
      </c>
      <c r="BV27" s="11">
        <v>73.5</v>
      </c>
      <c r="BW27" s="11">
        <v>74.83</v>
      </c>
      <c r="BX27" s="12">
        <v>2.4489795918367343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2.5154939846882973</v>
      </c>
      <c r="DM27" s="12">
        <v>2.4030354131534573</v>
      </c>
      <c r="DN27" s="12">
        <v>2.3540951446787641</v>
      </c>
      <c r="DO27" s="12">
        <v>2.1027092600080874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2.6666666666666665</v>
      </c>
      <c r="EK27" s="12">
        <v>2.6537489469250213</v>
      </c>
      <c r="EL27" s="12">
        <v>2.6173660157872871</v>
      </c>
      <c r="EM27" s="12">
        <v>2.5382025382025382</v>
      </c>
      <c r="EN27" s="12">
        <v>2.4763989601860716</v>
      </c>
      <c r="EO27" s="12">
        <v>2.4222274994063167</v>
      </c>
      <c r="EP27" s="12">
        <v>2.3787878787878789</v>
      </c>
      <c r="EQ27" s="12">
        <v>2.3198723456487049</v>
      </c>
      <c r="ER27" s="12">
        <v>2.3047543790333198</v>
      </c>
      <c r="ES27" s="12">
        <v>2.3024895668441503</v>
      </c>
      <c r="ET27" s="11">
        <v>194.9</v>
      </c>
      <c r="EU27" s="11">
        <v>576.27</v>
      </c>
      <c r="EV27" s="11">
        <v>335.13</v>
      </c>
      <c r="EW27" s="12">
        <v>2.4489795918367343</v>
      </c>
      <c r="EX27" s="12">
        <v>9.3753338025286066</v>
      </c>
      <c r="EY27" s="12">
        <v>12.952383127767586</v>
      </c>
      <c r="EZ27" s="11">
        <v>1106.3</v>
      </c>
      <c r="FA27" s="12">
        <v>24.776696522132927</v>
      </c>
      <c r="FB27" s="11">
        <v>394.9</v>
      </c>
      <c r="FC27" s="11">
        <v>1296.27</v>
      </c>
      <c r="FD27" s="11">
        <v>699.98</v>
      </c>
      <c r="FE27" s="12">
        <v>2.4489795918367343</v>
      </c>
      <c r="FF27" s="12">
        <v>9.3753338025286066</v>
      </c>
      <c r="FG27" s="12">
        <v>24.680514797487959</v>
      </c>
      <c r="FH27" s="11">
        <v>2391.15</v>
      </c>
      <c r="FI27" s="12">
        <v>36.504828191853299</v>
      </c>
      <c r="FJ27" s="13">
        <v>38.080256842545495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3">
        <v>0</v>
      </c>
      <c r="FU27" s="13">
        <v>0</v>
      </c>
      <c r="FV27" s="13">
        <v>0</v>
      </c>
      <c r="FW27" s="13">
        <v>0</v>
      </c>
      <c r="FX27" s="13">
        <v>0</v>
      </c>
      <c r="FY27" s="13">
        <v>0</v>
      </c>
      <c r="FZ27" s="13">
        <v>0</v>
      </c>
      <c r="GA27" s="13">
        <v>0</v>
      </c>
      <c r="GB27" s="13">
        <v>0</v>
      </c>
      <c r="GC27" s="13">
        <v>0</v>
      </c>
      <c r="GD27" s="13">
        <v>0</v>
      </c>
      <c r="GE27" s="13">
        <v>0</v>
      </c>
      <c r="GF27" s="13">
        <v>0</v>
      </c>
      <c r="GG27" s="13">
        <v>0</v>
      </c>
      <c r="GH27" s="13">
        <v>0</v>
      </c>
      <c r="GI27" s="13">
        <v>0</v>
      </c>
      <c r="GJ27" s="13">
        <v>0</v>
      </c>
      <c r="GK27" s="13">
        <v>0</v>
      </c>
      <c r="GL27" s="13">
        <v>0</v>
      </c>
      <c r="GM27" s="13">
        <v>0</v>
      </c>
      <c r="GN27" s="13">
        <v>0</v>
      </c>
      <c r="GO27" s="13">
        <v>0</v>
      </c>
      <c r="GP27" s="13">
        <v>0</v>
      </c>
      <c r="GQ27" s="13">
        <v>0</v>
      </c>
      <c r="GR27" s="13">
        <v>0</v>
      </c>
      <c r="GS27" s="13">
        <v>0</v>
      </c>
      <c r="GT27" s="13">
        <v>0</v>
      </c>
      <c r="GU27" s="13">
        <v>0</v>
      </c>
      <c r="GV27" s="13">
        <v>0</v>
      </c>
      <c r="GW27" s="13">
        <v>0</v>
      </c>
      <c r="GX27" s="13">
        <v>43.852118673464162</v>
      </c>
      <c r="GY27" s="13">
        <v>40.266002751565487</v>
      </c>
      <c r="GZ27" s="13">
        <v>38.073591415782531</v>
      </c>
      <c r="HA27" s="13">
        <v>34.220076257138736</v>
      </c>
      <c r="HB27" s="13">
        <v>0</v>
      </c>
      <c r="HC27" s="13">
        <v>0</v>
      </c>
      <c r="HD27" s="13">
        <v>0</v>
      </c>
      <c r="HE27" s="13">
        <v>0</v>
      </c>
      <c r="HF27" s="13">
        <v>0</v>
      </c>
      <c r="HG27" s="13">
        <v>0</v>
      </c>
      <c r="HH27" s="13">
        <v>0</v>
      </c>
      <c r="HI27" s="13">
        <v>0</v>
      </c>
      <c r="HJ27" s="13">
        <v>0</v>
      </c>
      <c r="HK27" s="13">
        <v>0</v>
      </c>
      <c r="HL27" s="13">
        <v>0</v>
      </c>
      <c r="HM27" s="13">
        <v>0</v>
      </c>
      <c r="HN27" s="13">
        <v>0</v>
      </c>
      <c r="HO27" s="13">
        <v>0</v>
      </c>
      <c r="HP27" s="13">
        <v>0</v>
      </c>
      <c r="HQ27" s="13">
        <v>0</v>
      </c>
      <c r="HR27" s="13">
        <v>0</v>
      </c>
      <c r="HS27" s="13">
        <v>0</v>
      </c>
      <c r="HT27" s="13">
        <v>0</v>
      </c>
      <c r="HU27" s="13">
        <v>0</v>
      </c>
      <c r="HV27" s="13">
        <v>58.281230381001514</v>
      </c>
      <c r="HW27" s="13">
        <v>57.287233542705124</v>
      </c>
      <c r="HX27" s="13">
        <v>56.929395591404074</v>
      </c>
      <c r="HY27" s="13">
        <v>55.101727835320709</v>
      </c>
      <c r="HZ27" s="13">
        <v>53.408489448435127</v>
      </c>
      <c r="IA27" s="13">
        <v>52.675136694727286</v>
      </c>
      <c r="IB27" s="13">
        <v>51.487884049331541</v>
      </c>
      <c r="IC27" s="13">
        <v>51.444897721683382</v>
      </c>
      <c r="ID27" s="13">
        <v>48.397789266983025</v>
      </c>
      <c r="IE27" s="13">
        <v>47.533852434218296</v>
      </c>
      <c r="IF27" s="13">
        <v>38.080256842545495</v>
      </c>
      <c r="IG27" s="13">
        <v>156.4117890979509</v>
      </c>
      <c r="IH27" s="13">
        <v>532.54763696581006</v>
      </c>
      <c r="II27" s="13">
        <v>38.080256842545495</v>
      </c>
      <c r="IJ27" s="13">
        <v>156.4117890979509</v>
      </c>
      <c r="IK27" s="13">
        <v>281.00807679886657</v>
      </c>
      <c r="IL27" s="8">
        <v>3.0711833348359767E-4</v>
      </c>
      <c r="IM27" s="8">
        <v>4.3013229029739752E-2</v>
      </c>
      <c r="IN27" s="8">
        <v>2.1721268001647465</v>
      </c>
      <c r="IO27" s="8">
        <v>3.0614769058323981E-2</v>
      </c>
      <c r="IP27" s="8">
        <v>7.5788001007790815E-5</v>
      </c>
      <c r="IQ27" s="8">
        <v>9.5609840129633993E-3</v>
      </c>
      <c r="IR27" s="8">
        <v>1.8777036250324179</v>
      </c>
      <c r="IS27" s="8">
        <v>1.1080942372977447E-2</v>
      </c>
    </row>
    <row r="28" spans="1:253" x14ac:dyDescent="0.25">
      <c r="A28" s="10">
        <v>43990</v>
      </c>
      <c r="B28" s="11">
        <v>4.38</v>
      </c>
      <c r="C28" s="11">
        <v>10</v>
      </c>
      <c r="D28" s="11">
        <v>10</v>
      </c>
      <c r="E28" s="11">
        <v>10</v>
      </c>
      <c r="F28" s="11">
        <v>10</v>
      </c>
      <c r="G28" s="11">
        <v>10</v>
      </c>
      <c r="H28" s="11">
        <v>10</v>
      </c>
      <c r="I28" s="11">
        <v>10</v>
      </c>
      <c r="J28" s="11">
        <v>10</v>
      </c>
      <c r="K28" s="11">
        <v>10</v>
      </c>
      <c r="L28" s="11">
        <v>10</v>
      </c>
      <c r="M28" s="11">
        <v>10</v>
      </c>
      <c r="N28" s="11">
        <v>10</v>
      </c>
      <c r="O28" s="11">
        <v>10</v>
      </c>
      <c r="P28" s="11">
        <v>10</v>
      </c>
      <c r="Q28" s="11">
        <v>10</v>
      </c>
      <c r="R28" s="11">
        <v>10</v>
      </c>
      <c r="S28" s="11">
        <v>10</v>
      </c>
      <c r="T28" s="11">
        <v>10</v>
      </c>
      <c r="U28" s="11">
        <v>10</v>
      </c>
      <c r="V28" s="11">
        <v>10</v>
      </c>
      <c r="W28" s="11">
        <v>10</v>
      </c>
      <c r="X28" s="11">
        <v>10</v>
      </c>
      <c r="Y28" s="11">
        <v>10</v>
      </c>
      <c r="Z28" s="11">
        <v>10</v>
      </c>
      <c r="AA28" s="11">
        <v>10</v>
      </c>
      <c r="AB28" s="11">
        <v>10</v>
      </c>
      <c r="AC28" s="11">
        <v>10</v>
      </c>
      <c r="AD28" s="11">
        <v>10</v>
      </c>
      <c r="AE28" s="11">
        <v>10</v>
      </c>
      <c r="AF28" s="11">
        <v>10</v>
      </c>
      <c r="AG28" s="11">
        <v>10</v>
      </c>
      <c r="AH28" s="11">
        <v>10</v>
      </c>
      <c r="AI28" s="11">
        <v>10</v>
      </c>
      <c r="AJ28" s="11">
        <v>10</v>
      </c>
      <c r="AK28" s="11">
        <v>10</v>
      </c>
      <c r="AL28" s="11">
        <v>10</v>
      </c>
      <c r="AM28" s="11">
        <v>10</v>
      </c>
      <c r="AN28" s="11">
        <v>10</v>
      </c>
      <c r="AO28" s="11">
        <v>10</v>
      </c>
      <c r="AP28" s="11">
        <v>27.89</v>
      </c>
      <c r="AQ28" s="11">
        <v>60</v>
      </c>
      <c r="AR28" s="11">
        <v>60</v>
      </c>
      <c r="AS28" s="11">
        <v>60</v>
      </c>
      <c r="AT28" s="11">
        <v>60</v>
      </c>
      <c r="AU28" s="11">
        <v>60</v>
      </c>
      <c r="AV28" s="11">
        <v>60</v>
      </c>
      <c r="AW28" s="11">
        <v>60</v>
      </c>
      <c r="AX28" s="11">
        <v>60</v>
      </c>
      <c r="AY28" s="11">
        <v>60</v>
      </c>
      <c r="AZ28" s="11">
        <v>60</v>
      </c>
      <c r="BA28" s="11">
        <v>60</v>
      </c>
      <c r="BB28" s="11">
        <v>60</v>
      </c>
      <c r="BC28" s="11">
        <v>60</v>
      </c>
      <c r="BD28" s="11">
        <v>60</v>
      </c>
      <c r="BE28" s="11">
        <v>60</v>
      </c>
      <c r="BF28" s="11">
        <v>60</v>
      </c>
      <c r="BG28" s="11">
        <v>60</v>
      </c>
      <c r="BH28" s="11">
        <v>60</v>
      </c>
      <c r="BI28" s="11">
        <v>60</v>
      </c>
      <c r="BJ28" s="11">
        <v>60</v>
      </c>
      <c r="BK28" s="11">
        <v>60</v>
      </c>
      <c r="BL28" s="11">
        <v>60</v>
      </c>
      <c r="BM28" s="11">
        <v>60</v>
      </c>
      <c r="BN28" s="11">
        <v>65.5</v>
      </c>
      <c r="BO28" s="11">
        <v>69.87</v>
      </c>
      <c r="BP28" s="11">
        <v>75.47</v>
      </c>
      <c r="BQ28" s="11">
        <v>76.290000000000006</v>
      </c>
      <c r="BR28" s="11">
        <v>78.77</v>
      </c>
      <c r="BS28" s="11">
        <v>240</v>
      </c>
      <c r="BT28" s="11">
        <v>240</v>
      </c>
      <c r="BU28" s="11">
        <v>240</v>
      </c>
      <c r="BV28" s="11">
        <v>240</v>
      </c>
      <c r="BW28" s="11">
        <v>240</v>
      </c>
      <c r="BX28" s="12">
        <v>2.9680365296803655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2.9401219074937255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2.5308069431562212</v>
      </c>
      <c r="EK28" s="12">
        <v>2.3615285530270502</v>
      </c>
      <c r="EL28" s="12">
        <v>2.3232194998095723</v>
      </c>
      <c r="EM28" s="12">
        <v>2.2938786210512516</v>
      </c>
      <c r="EN28" s="12">
        <v>2.2595419847328246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1">
        <v>194.38</v>
      </c>
      <c r="EU28" s="11">
        <v>687.89</v>
      </c>
      <c r="EV28" s="11">
        <v>365.9</v>
      </c>
      <c r="EW28" s="12">
        <v>2.9680365296803655</v>
      </c>
      <c r="EX28" s="12">
        <v>2.9401219074937255</v>
      </c>
      <c r="EY28" s="12">
        <v>11.768975601776919</v>
      </c>
      <c r="EZ28" s="11">
        <v>1248.17</v>
      </c>
      <c r="FA28" s="12">
        <v>17.67713403895101</v>
      </c>
      <c r="FB28" s="11">
        <v>394.38</v>
      </c>
      <c r="FC28" s="11">
        <v>1407.8899999999999</v>
      </c>
      <c r="FD28" s="11">
        <v>1565.9</v>
      </c>
      <c r="FE28" s="12">
        <v>2.9680365296803655</v>
      </c>
      <c r="FF28" s="12">
        <v>2.9401219074937255</v>
      </c>
      <c r="FG28" s="12">
        <v>11.768975601776919</v>
      </c>
      <c r="FH28" s="11">
        <v>3368.17</v>
      </c>
      <c r="FI28" s="12">
        <v>17.67713403895101</v>
      </c>
      <c r="FJ28" s="13">
        <v>49.921695090609099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3">
        <v>0</v>
      </c>
      <c r="FU28" s="13">
        <v>0</v>
      </c>
      <c r="FV28" s="13">
        <v>0</v>
      </c>
      <c r="FW28" s="13">
        <v>0</v>
      </c>
      <c r="FX28" s="13">
        <v>0</v>
      </c>
      <c r="FY28" s="13">
        <v>0</v>
      </c>
      <c r="FZ28" s="13">
        <v>0</v>
      </c>
      <c r="GA28" s="13">
        <v>0</v>
      </c>
      <c r="GB28" s="13">
        <v>0</v>
      </c>
      <c r="GC28" s="13">
        <v>0</v>
      </c>
      <c r="GD28" s="13">
        <v>0</v>
      </c>
      <c r="GE28" s="13">
        <v>0</v>
      </c>
      <c r="GF28" s="13">
        <v>0</v>
      </c>
      <c r="GG28" s="13">
        <v>0</v>
      </c>
      <c r="GH28" s="13">
        <v>0</v>
      </c>
      <c r="GI28" s="13">
        <v>0</v>
      </c>
      <c r="GJ28" s="13">
        <v>0</v>
      </c>
      <c r="GK28" s="13">
        <v>0</v>
      </c>
      <c r="GL28" s="13">
        <v>0</v>
      </c>
      <c r="GM28" s="13">
        <v>0</v>
      </c>
      <c r="GN28" s="13">
        <v>0</v>
      </c>
      <c r="GO28" s="13">
        <v>0</v>
      </c>
      <c r="GP28" s="13">
        <v>0</v>
      </c>
      <c r="GQ28" s="13">
        <v>0</v>
      </c>
      <c r="GR28" s="13">
        <v>0</v>
      </c>
      <c r="GS28" s="13">
        <v>0</v>
      </c>
      <c r="GT28" s="13">
        <v>0</v>
      </c>
      <c r="GU28" s="13">
        <v>0</v>
      </c>
      <c r="GV28" s="13">
        <v>0</v>
      </c>
      <c r="GW28" s="13">
        <v>0</v>
      </c>
      <c r="GX28" s="13">
        <v>43.985547823265506</v>
      </c>
      <c r="GY28" s="13">
        <v>0</v>
      </c>
      <c r="GZ28" s="13">
        <v>0</v>
      </c>
      <c r="HA28" s="13">
        <v>0</v>
      </c>
      <c r="HB28" s="13">
        <v>0</v>
      </c>
      <c r="HC28" s="13">
        <v>0</v>
      </c>
      <c r="HD28" s="13">
        <v>0</v>
      </c>
      <c r="HE28" s="13">
        <v>0</v>
      </c>
      <c r="HF28" s="13">
        <v>0</v>
      </c>
      <c r="HG28" s="13">
        <v>0</v>
      </c>
      <c r="HH28" s="13">
        <v>0</v>
      </c>
      <c r="HI28" s="13">
        <v>0</v>
      </c>
      <c r="HJ28" s="13">
        <v>0</v>
      </c>
      <c r="HK28" s="13">
        <v>0</v>
      </c>
      <c r="HL28" s="13">
        <v>0</v>
      </c>
      <c r="HM28" s="13">
        <v>0</v>
      </c>
      <c r="HN28" s="13">
        <v>0</v>
      </c>
      <c r="HO28" s="13">
        <v>0</v>
      </c>
      <c r="HP28" s="13">
        <v>0</v>
      </c>
      <c r="HQ28" s="13">
        <v>0</v>
      </c>
      <c r="HR28" s="13">
        <v>0</v>
      </c>
      <c r="HS28" s="13">
        <v>0</v>
      </c>
      <c r="HT28" s="13">
        <v>0</v>
      </c>
      <c r="HU28" s="13">
        <v>0</v>
      </c>
      <c r="HV28" s="13">
        <v>53.371231950345845</v>
      </c>
      <c r="HW28" s="13">
        <v>52.618899495703118</v>
      </c>
      <c r="HX28" s="13">
        <v>52.562974785783375</v>
      </c>
      <c r="HY28" s="13">
        <v>48.010182704498142</v>
      </c>
      <c r="HZ28" s="13">
        <v>47.547524158342306</v>
      </c>
      <c r="IA28" s="13">
        <v>0</v>
      </c>
      <c r="IB28" s="13">
        <v>0</v>
      </c>
      <c r="IC28" s="13">
        <v>0</v>
      </c>
      <c r="ID28" s="13">
        <v>0</v>
      </c>
      <c r="IE28" s="13">
        <v>0</v>
      </c>
      <c r="IF28" s="13">
        <v>49.921695090609099</v>
      </c>
      <c r="IG28" s="13">
        <v>43.985547823265506</v>
      </c>
      <c r="IH28" s="13">
        <v>254.11081309467278</v>
      </c>
      <c r="II28" s="13">
        <v>49.921695090609099</v>
      </c>
      <c r="IJ28" s="13">
        <v>43.985547823265506</v>
      </c>
      <c r="IK28" s="13">
        <v>254.11081309467278</v>
      </c>
      <c r="IL28" s="8">
        <v>4.8925980069640048E-4</v>
      </c>
      <c r="IM28" s="8">
        <v>3.177811863589757E-3</v>
      </c>
      <c r="IN28" s="8">
        <v>1.6346673733035797</v>
      </c>
      <c r="IO28" s="8">
        <v>1.3646848498099062E-2</v>
      </c>
      <c r="IP28" s="8">
        <v>1.2057193577180176E-4</v>
      </c>
      <c r="IQ28" s="8">
        <v>7.7633373446958144E-4</v>
      </c>
      <c r="IR28" s="8">
        <v>0.19098435145659995</v>
      </c>
      <c r="IS28" s="8">
        <v>2.6147539354761658E-3</v>
      </c>
    </row>
    <row r="29" spans="1:253" x14ac:dyDescent="0.25">
      <c r="A29" s="10">
        <v>43983</v>
      </c>
      <c r="B29" s="11">
        <v>3.26</v>
      </c>
      <c r="C29" s="11">
        <v>3.31</v>
      </c>
      <c r="D29" s="11">
        <v>3.5</v>
      </c>
      <c r="E29" s="11">
        <v>3.52</v>
      </c>
      <c r="F29" s="11">
        <v>3.93</v>
      </c>
      <c r="G29" s="11">
        <v>4.1100000000000003</v>
      </c>
      <c r="H29" s="11">
        <v>4.1100000000000003</v>
      </c>
      <c r="I29" s="11">
        <v>4.3499999999999996</v>
      </c>
      <c r="J29" s="11">
        <v>4.4000000000000004</v>
      </c>
      <c r="K29" s="11">
        <v>4.4800000000000004</v>
      </c>
      <c r="L29" s="11">
        <v>4.53</v>
      </c>
      <c r="M29" s="11">
        <v>4.63</v>
      </c>
      <c r="N29" s="11">
        <v>4.6399999999999997</v>
      </c>
      <c r="O29" s="11">
        <v>4.6500000000000004</v>
      </c>
      <c r="P29" s="11">
        <v>4.66</v>
      </c>
      <c r="Q29" s="11">
        <v>4.68</v>
      </c>
      <c r="R29" s="11">
        <v>4.6900000000000004</v>
      </c>
      <c r="S29" s="11">
        <v>4.74</v>
      </c>
      <c r="T29" s="11">
        <v>4.78</v>
      </c>
      <c r="U29" s="11">
        <v>4.8600000000000003</v>
      </c>
      <c r="V29" s="11">
        <v>4.88</v>
      </c>
      <c r="W29" s="11">
        <v>4.8899999999999997</v>
      </c>
      <c r="X29" s="11">
        <v>4.91</v>
      </c>
      <c r="Y29" s="11">
        <v>4.91</v>
      </c>
      <c r="Z29" s="11">
        <v>4.95</v>
      </c>
      <c r="AA29" s="11">
        <v>5.05</v>
      </c>
      <c r="AB29" s="11">
        <v>5.05</v>
      </c>
      <c r="AC29" s="11">
        <v>5.07</v>
      </c>
      <c r="AD29" s="11">
        <v>5.15</v>
      </c>
      <c r="AE29" s="11">
        <v>5.16</v>
      </c>
      <c r="AF29" s="11">
        <v>5.23</v>
      </c>
      <c r="AG29" s="11">
        <v>5.34</v>
      </c>
      <c r="AH29" s="11">
        <v>5.39</v>
      </c>
      <c r="AI29" s="11">
        <v>5.39</v>
      </c>
      <c r="AJ29" s="11">
        <v>5.4</v>
      </c>
      <c r="AK29" s="11">
        <v>5.41</v>
      </c>
      <c r="AL29" s="11">
        <v>5.43</v>
      </c>
      <c r="AM29" s="11">
        <v>5.45</v>
      </c>
      <c r="AN29" s="11">
        <v>5.5</v>
      </c>
      <c r="AO29" s="11">
        <v>5.67</v>
      </c>
      <c r="AP29" s="11">
        <v>20.010000000000002</v>
      </c>
      <c r="AQ29" s="11">
        <v>20.93</v>
      </c>
      <c r="AR29" s="11">
        <v>28.54</v>
      </c>
      <c r="AS29" s="11">
        <v>60</v>
      </c>
      <c r="AT29" s="11">
        <v>60</v>
      </c>
      <c r="AU29" s="11">
        <v>60</v>
      </c>
      <c r="AV29" s="11">
        <v>60</v>
      </c>
      <c r="AW29" s="11">
        <v>60</v>
      </c>
      <c r="AX29" s="11">
        <v>60</v>
      </c>
      <c r="AY29" s="11">
        <v>60</v>
      </c>
      <c r="AZ29" s="11">
        <v>60</v>
      </c>
      <c r="BA29" s="11">
        <v>60</v>
      </c>
      <c r="BB29" s="11">
        <v>60</v>
      </c>
      <c r="BC29" s="11">
        <v>60</v>
      </c>
      <c r="BD29" s="11">
        <v>60</v>
      </c>
      <c r="BE29" s="11">
        <v>60</v>
      </c>
      <c r="BF29" s="11">
        <v>60</v>
      </c>
      <c r="BG29" s="11">
        <v>60</v>
      </c>
      <c r="BH29" s="11">
        <v>60</v>
      </c>
      <c r="BI29" s="11">
        <v>60</v>
      </c>
      <c r="BJ29" s="11">
        <v>60</v>
      </c>
      <c r="BK29" s="11">
        <v>60</v>
      </c>
      <c r="BL29" s="11">
        <v>60</v>
      </c>
      <c r="BM29" s="11">
        <v>60</v>
      </c>
      <c r="BN29" s="11">
        <v>61.94</v>
      </c>
      <c r="BO29" s="11">
        <v>65.66</v>
      </c>
      <c r="BP29" s="11">
        <v>72.42</v>
      </c>
      <c r="BQ29" s="11">
        <v>80.06</v>
      </c>
      <c r="BR29" s="11">
        <v>81.489999999999995</v>
      </c>
      <c r="BS29" s="11">
        <v>240</v>
      </c>
      <c r="BT29" s="11">
        <v>240</v>
      </c>
      <c r="BU29" s="11">
        <v>240</v>
      </c>
      <c r="BV29" s="11">
        <v>240</v>
      </c>
      <c r="BW29" s="11">
        <v>240</v>
      </c>
      <c r="BX29" s="12">
        <v>4.0712468193384224</v>
      </c>
      <c r="BY29" s="12">
        <v>3.9933444259567388</v>
      </c>
      <c r="BZ29" s="12">
        <v>3.944773175542406</v>
      </c>
      <c r="CA29" s="12">
        <v>3.8854805725971371</v>
      </c>
      <c r="CB29" s="12">
        <v>3.7662337662337659</v>
      </c>
      <c r="CC29" s="12">
        <v>3.7463976945244957</v>
      </c>
      <c r="CD29" s="12">
        <v>3.7037037037037037</v>
      </c>
      <c r="CE29" s="12">
        <v>3.6809815950920246</v>
      </c>
      <c r="CF29" s="12">
        <v>3.672787979966611</v>
      </c>
      <c r="CG29" s="12">
        <v>3.6717062634989204</v>
      </c>
      <c r="CH29" s="12">
        <v>3.6697247706422016</v>
      </c>
      <c r="CI29" s="12">
        <v>3.6616161616161618</v>
      </c>
      <c r="CJ29" s="12">
        <v>3.6559139784946235</v>
      </c>
      <c r="CK29" s="12">
        <v>3.6328871892925427</v>
      </c>
      <c r="CL29" s="12">
        <v>3.5643564356435644</v>
      </c>
      <c r="CM29" s="12">
        <v>3.5320088300220749</v>
      </c>
      <c r="CN29" s="12">
        <v>3.4951456310679609</v>
      </c>
      <c r="CO29" s="12">
        <v>3.4836065573770494</v>
      </c>
      <c r="CP29" s="12">
        <v>3.4482758620689657</v>
      </c>
      <c r="CQ29" s="12">
        <v>3.4285714285714284</v>
      </c>
      <c r="CR29" s="12">
        <v>3.4063260340632602</v>
      </c>
      <c r="CS29" s="12">
        <v>3.3287101248266295</v>
      </c>
      <c r="CT29" s="12">
        <v>3.3271719038817005</v>
      </c>
      <c r="CU29" s="12">
        <v>3.2941176470588234</v>
      </c>
      <c r="CV29" s="12">
        <v>3.2407407407407405</v>
      </c>
      <c r="CW29" s="12">
        <v>3.2012195121951224</v>
      </c>
      <c r="CX29" s="12">
        <v>3.1645569620253164</v>
      </c>
      <c r="CY29" s="12">
        <v>3.1550068587105624</v>
      </c>
      <c r="CZ29" s="12">
        <v>3.1088082901554404</v>
      </c>
      <c r="DA29" s="12">
        <v>3.0909090909090908</v>
      </c>
      <c r="DB29" s="12">
        <v>3.0211480362537766</v>
      </c>
      <c r="DC29" s="12">
        <v>3.005008347245409</v>
      </c>
      <c r="DD29" s="12">
        <v>3.000968054211036</v>
      </c>
      <c r="DE29" s="12">
        <v>2.9914529914529915</v>
      </c>
      <c r="DF29" s="12">
        <v>2.9684601113172544</v>
      </c>
      <c r="DG29" s="12">
        <v>2.9609690444145356</v>
      </c>
      <c r="DH29" s="12">
        <v>2.9545454545454541</v>
      </c>
      <c r="DI29" s="12">
        <v>2.9490616621983916</v>
      </c>
      <c r="DJ29" s="12">
        <v>2.9465930018416207</v>
      </c>
      <c r="DK29" s="12">
        <v>2.9288702928870292</v>
      </c>
      <c r="DL29" s="12">
        <v>2.3988005997001496</v>
      </c>
      <c r="DM29" s="12">
        <v>2.207428170988087</v>
      </c>
      <c r="DN29" s="12">
        <v>2.0066889632107023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2.5605795653260053</v>
      </c>
      <c r="EK29" s="12">
        <v>2.2279625443978044</v>
      </c>
      <c r="EL29" s="12">
        <v>2.1817177575255453</v>
      </c>
      <c r="EM29" s="12">
        <v>2.1352313167259789</v>
      </c>
      <c r="EN29" s="12">
        <v>1.9494364910143163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1">
        <v>85.829999999999984</v>
      </c>
      <c r="EU29" s="11">
        <v>609.48</v>
      </c>
      <c r="EV29" s="11">
        <v>361.57</v>
      </c>
      <c r="EW29" s="12">
        <v>73.708762841250802</v>
      </c>
      <c r="EX29" s="12">
        <v>6.6129177338989393</v>
      </c>
      <c r="EY29" s="12">
        <v>11.054927674989651</v>
      </c>
      <c r="EZ29" s="11">
        <v>1056.8799999999999</v>
      </c>
      <c r="FA29" s="12">
        <v>91.376608250139398</v>
      </c>
      <c r="FB29" s="11">
        <v>190.05999999999992</v>
      </c>
      <c r="FC29" s="11">
        <v>1329.48</v>
      </c>
      <c r="FD29" s="11">
        <v>1561.57</v>
      </c>
      <c r="FE29" s="12">
        <v>135.75340700218501</v>
      </c>
      <c r="FF29" s="12">
        <v>6.6129177338989393</v>
      </c>
      <c r="FG29" s="12">
        <v>11.054927674989651</v>
      </c>
      <c r="FH29" s="11">
        <v>3081.1099999999997</v>
      </c>
      <c r="FI29" s="12">
        <v>153.4212524110736</v>
      </c>
      <c r="FJ29" s="13">
        <v>76.131306855110637</v>
      </c>
      <c r="FK29" s="13">
        <v>73.876209797313464</v>
      </c>
      <c r="FL29" s="13">
        <v>67.471059444650578</v>
      </c>
      <c r="FM29" s="13">
        <v>61.822187722036361</v>
      </c>
      <c r="FN29" s="13">
        <v>60.503500136805521</v>
      </c>
      <c r="FO29" s="13">
        <v>59.903044773737946</v>
      </c>
      <c r="FP29" s="13">
        <v>59.891945916267531</v>
      </c>
      <c r="FQ29" s="13">
        <v>59.403658888124284</v>
      </c>
      <c r="FR29" s="13">
        <v>58.969963695154483</v>
      </c>
      <c r="FS29" s="13">
        <v>58.278918142639576</v>
      </c>
      <c r="FT29" s="13">
        <v>58.023643772181266</v>
      </c>
      <c r="FU29" s="13">
        <v>55.683872581570562</v>
      </c>
      <c r="FV29" s="13">
        <v>54.323429908962289</v>
      </c>
      <c r="FW29" s="13">
        <v>54.266163781578307</v>
      </c>
      <c r="FX29" s="13">
        <v>53.970033646561376</v>
      </c>
      <c r="FY29" s="13">
        <v>53.824077888374703</v>
      </c>
      <c r="FZ29" s="13">
        <v>52.967307967485866</v>
      </c>
      <c r="GA29" s="13">
        <v>52.487051263323103</v>
      </c>
      <c r="GB29" s="13">
        <v>51.997211450487995</v>
      </c>
      <c r="GC29" s="13">
        <v>50.36397934503443</v>
      </c>
      <c r="GD29" s="13">
        <v>49.619118166331788</v>
      </c>
      <c r="GE29" s="13">
        <v>49.536550523795611</v>
      </c>
      <c r="GF29" s="13">
        <v>48.271313154451533</v>
      </c>
      <c r="GG29" s="13">
        <v>48.035470000692669</v>
      </c>
      <c r="GH29" s="13">
        <v>47.066678036508385</v>
      </c>
      <c r="GI29" s="13">
        <v>46.339630911741622</v>
      </c>
      <c r="GJ29" s="13">
        <v>45.65771860319829</v>
      </c>
      <c r="GK29" s="13">
        <v>45.260020289004274</v>
      </c>
      <c r="GL29" s="13">
        <v>45.050367372317702</v>
      </c>
      <c r="GM29" s="13">
        <v>44.328629874821708</v>
      </c>
      <c r="GN29" s="13">
        <v>44.27325553298968</v>
      </c>
      <c r="GO29" s="13">
        <v>43.178846954505659</v>
      </c>
      <c r="GP29" s="13">
        <v>43.010144902290371</v>
      </c>
      <c r="GQ29" s="13">
        <v>42.679146328166311</v>
      </c>
      <c r="GR29" s="13">
        <v>42.639512555081467</v>
      </c>
      <c r="GS29" s="13">
        <v>41.474116820140409</v>
      </c>
      <c r="GT29" s="13">
        <v>41.437518886536431</v>
      </c>
      <c r="GU29" s="13">
        <v>40.683391328938946</v>
      </c>
      <c r="GV29" s="13">
        <v>40.651073641823189</v>
      </c>
      <c r="GW29" s="13">
        <v>40.597460317907824</v>
      </c>
      <c r="GX29" s="13">
        <v>45.277226292148264</v>
      </c>
      <c r="GY29" s="13">
        <v>36.70288723536418</v>
      </c>
      <c r="GZ29" s="13">
        <v>32.495814708181534</v>
      </c>
      <c r="HA29" s="13">
        <v>0</v>
      </c>
      <c r="HB29" s="13">
        <v>0</v>
      </c>
      <c r="HC29" s="13">
        <v>0</v>
      </c>
      <c r="HD29" s="13">
        <v>0</v>
      </c>
      <c r="HE29" s="13">
        <v>0</v>
      </c>
      <c r="HF29" s="13">
        <v>0</v>
      </c>
      <c r="HG29" s="13">
        <v>0</v>
      </c>
      <c r="HH29" s="13">
        <v>0</v>
      </c>
      <c r="HI29" s="13">
        <v>0</v>
      </c>
      <c r="HJ29" s="13">
        <v>0</v>
      </c>
      <c r="HK29" s="13">
        <v>0</v>
      </c>
      <c r="HL29" s="13">
        <v>0</v>
      </c>
      <c r="HM29" s="13">
        <v>0</v>
      </c>
      <c r="HN29" s="13">
        <v>0</v>
      </c>
      <c r="HO29" s="13">
        <v>0</v>
      </c>
      <c r="HP29" s="13">
        <v>0</v>
      </c>
      <c r="HQ29" s="13">
        <v>0</v>
      </c>
      <c r="HR29" s="13">
        <v>0</v>
      </c>
      <c r="HS29" s="13">
        <v>0</v>
      </c>
      <c r="HT29" s="13">
        <v>0</v>
      </c>
      <c r="HU29" s="13">
        <v>0</v>
      </c>
      <c r="HV29" s="13">
        <v>53.953335651588276</v>
      </c>
      <c r="HW29" s="13">
        <v>51.812866580950988</v>
      </c>
      <c r="HX29" s="13">
        <v>47.357400718398786</v>
      </c>
      <c r="HY29" s="13">
        <v>45.319877961179827</v>
      </c>
      <c r="HZ29" s="13">
        <v>42.673883116237747</v>
      </c>
      <c r="IA29" s="13">
        <v>0</v>
      </c>
      <c r="IB29" s="13">
        <v>0</v>
      </c>
      <c r="IC29" s="13">
        <v>0</v>
      </c>
      <c r="ID29" s="13">
        <v>0</v>
      </c>
      <c r="IE29" s="13">
        <v>0</v>
      </c>
      <c r="IF29" s="13">
        <v>2063.9485311786439</v>
      </c>
      <c r="IG29" s="13">
        <v>114.47592823569397</v>
      </c>
      <c r="IH29" s="13">
        <v>241.11736402835561</v>
      </c>
      <c r="II29" s="13">
        <v>1174.1585669774004</v>
      </c>
      <c r="IJ29" s="13">
        <v>114.47592823569397</v>
      </c>
      <c r="IK29" s="13">
        <v>241.11736402835561</v>
      </c>
      <c r="IL29" s="8">
        <v>0.64720119009589594</v>
      </c>
      <c r="IM29" s="8">
        <v>2.0995183247310339E-2</v>
      </c>
      <c r="IN29" s="8">
        <v>1.4744226680961487</v>
      </c>
      <c r="IO29" s="8">
        <v>0.27159826542830878</v>
      </c>
      <c r="IP29" s="8">
        <v>0.47310923667618326</v>
      </c>
      <c r="IQ29" s="8">
        <v>4.8124621226233958E-3</v>
      </c>
      <c r="IR29" s="8">
        <v>0.17069583947678443</v>
      </c>
      <c r="IS29" s="8">
        <v>7.2976645388604572E-2</v>
      </c>
    </row>
    <row r="30" spans="1:253" x14ac:dyDescent="0.25">
      <c r="A30" s="10">
        <v>43976</v>
      </c>
      <c r="B30" s="11">
        <v>3.99</v>
      </c>
      <c r="C30" s="11">
        <v>4.21</v>
      </c>
      <c r="D30" s="11">
        <v>4.6399999999999997</v>
      </c>
      <c r="E30" s="11">
        <v>4.8099999999999996</v>
      </c>
      <c r="F30" s="11">
        <v>5.56</v>
      </c>
      <c r="G30" s="11">
        <v>5.64</v>
      </c>
      <c r="H30" s="11">
        <v>5.7</v>
      </c>
      <c r="I30" s="11">
        <v>5.73</v>
      </c>
      <c r="J30" s="11">
        <v>6.07</v>
      </c>
      <c r="K30" s="11">
        <v>6.16</v>
      </c>
      <c r="L30" s="11">
        <v>6.42</v>
      </c>
      <c r="M30" s="11">
        <v>6.43</v>
      </c>
      <c r="N30" s="11">
        <v>6.67</v>
      </c>
      <c r="O30" s="11">
        <v>8.19</v>
      </c>
      <c r="P30" s="11">
        <v>10</v>
      </c>
      <c r="Q30" s="11">
        <v>10</v>
      </c>
      <c r="R30" s="11">
        <v>10</v>
      </c>
      <c r="S30" s="11">
        <v>10</v>
      </c>
      <c r="T30" s="11">
        <v>10</v>
      </c>
      <c r="U30" s="11">
        <v>10</v>
      </c>
      <c r="V30" s="11">
        <v>10</v>
      </c>
      <c r="W30" s="11">
        <v>10</v>
      </c>
      <c r="X30" s="11">
        <v>10</v>
      </c>
      <c r="Y30" s="11">
        <v>10</v>
      </c>
      <c r="Z30" s="11">
        <v>10</v>
      </c>
      <c r="AA30" s="11">
        <v>10</v>
      </c>
      <c r="AB30" s="11">
        <v>10</v>
      </c>
      <c r="AC30" s="11">
        <v>10</v>
      </c>
      <c r="AD30" s="11">
        <v>10</v>
      </c>
      <c r="AE30" s="11">
        <v>10</v>
      </c>
      <c r="AF30" s="11">
        <v>10</v>
      </c>
      <c r="AG30" s="11">
        <v>10</v>
      </c>
      <c r="AH30" s="11">
        <v>10</v>
      </c>
      <c r="AI30" s="11">
        <v>10</v>
      </c>
      <c r="AJ30" s="11">
        <v>10</v>
      </c>
      <c r="AK30" s="11">
        <v>10</v>
      </c>
      <c r="AL30" s="11">
        <v>10</v>
      </c>
      <c r="AM30" s="11">
        <v>10</v>
      </c>
      <c r="AN30" s="11">
        <v>10</v>
      </c>
      <c r="AO30" s="11">
        <v>10</v>
      </c>
      <c r="AP30" s="11">
        <v>60</v>
      </c>
      <c r="AQ30" s="11">
        <v>60</v>
      </c>
      <c r="AR30" s="11">
        <v>60</v>
      </c>
      <c r="AS30" s="11">
        <v>60</v>
      </c>
      <c r="AT30" s="11">
        <v>60</v>
      </c>
      <c r="AU30" s="11">
        <v>60</v>
      </c>
      <c r="AV30" s="11">
        <v>60</v>
      </c>
      <c r="AW30" s="11">
        <v>60</v>
      </c>
      <c r="AX30" s="11">
        <v>60</v>
      </c>
      <c r="AY30" s="11">
        <v>60</v>
      </c>
      <c r="AZ30" s="11">
        <v>60</v>
      </c>
      <c r="BA30" s="11">
        <v>60</v>
      </c>
      <c r="BB30" s="11">
        <v>60</v>
      </c>
      <c r="BC30" s="11">
        <v>60</v>
      </c>
      <c r="BD30" s="11">
        <v>60</v>
      </c>
      <c r="BE30" s="11">
        <v>60</v>
      </c>
      <c r="BF30" s="11">
        <v>60</v>
      </c>
      <c r="BG30" s="11">
        <v>60</v>
      </c>
      <c r="BH30" s="11">
        <v>60</v>
      </c>
      <c r="BI30" s="11">
        <v>60</v>
      </c>
      <c r="BJ30" s="11">
        <v>60</v>
      </c>
      <c r="BK30" s="11">
        <v>60</v>
      </c>
      <c r="BL30" s="11">
        <v>60</v>
      </c>
      <c r="BM30" s="11">
        <v>60</v>
      </c>
      <c r="BN30" s="11">
        <v>62.75</v>
      </c>
      <c r="BO30" s="11">
        <v>65.94</v>
      </c>
      <c r="BP30" s="11">
        <v>66.73</v>
      </c>
      <c r="BQ30" s="11">
        <v>66.989999999999995</v>
      </c>
      <c r="BR30" s="11">
        <v>67.900000000000006</v>
      </c>
      <c r="BS30" s="11">
        <v>68.69</v>
      </c>
      <c r="BT30" s="11">
        <v>68.900000000000006</v>
      </c>
      <c r="BU30" s="11">
        <v>69.16</v>
      </c>
      <c r="BV30" s="11">
        <v>70.569999999999993</v>
      </c>
      <c r="BW30" s="11">
        <v>71.13</v>
      </c>
      <c r="BX30" s="12">
        <v>3.490401396160558</v>
      </c>
      <c r="BY30" s="12">
        <v>3.4596375617792421</v>
      </c>
      <c r="BZ30" s="12">
        <v>3.2710280373831777</v>
      </c>
      <c r="CA30" s="12">
        <v>3.2467532467532467</v>
      </c>
      <c r="CB30" s="12">
        <v>3.2374100719424463</v>
      </c>
      <c r="CC30" s="12">
        <v>3.191489361702128</v>
      </c>
      <c r="CD30" s="12">
        <v>3.007518796992481</v>
      </c>
      <c r="CE30" s="12">
        <v>2.9985007496251876</v>
      </c>
      <c r="CF30" s="12">
        <v>2.8083028083028085</v>
      </c>
      <c r="CG30" s="12">
        <v>2.807017543859649</v>
      </c>
      <c r="CH30" s="12">
        <v>2.6438569206842923</v>
      </c>
      <c r="CI30" s="12">
        <v>2.3752969121140142</v>
      </c>
      <c r="CJ30" s="12">
        <v>2.3706896551724141</v>
      </c>
      <c r="CK30" s="12">
        <v>2.0790020790020791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2.8129602356406478</v>
      </c>
      <c r="EK30" s="12">
        <v>2.5378921395840677</v>
      </c>
      <c r="EL30" s="12">
        <v>2.4837231733783458</v>
      </c>
      <c r="EM30" s="12">
        <v>2.4387080036321183</v>
      </c>
      <c r="EN30" s="12">
        <v>2.4347355606654943</v>
      </c>
      <c r="EO30" s="12">
        <v>2.4261470773098681</v>
      </c>
      <c r="EP30" s="12">
        <v>2.3884161815196299</v>
      </c>
      <c r="EQ30" s="12">
        <v>2.3630363036303632</v>
      </c>
      <c r="ER30" s="12">
        <v>2.3396424815983177</v>
      </c>
      <c r="ES30" s="12">
        <v>2.2951244813278007</v>
      </c>
      <c r="ET30" s="11">
        <v>140.22000000000003</v>
      </c>
      <c r="EU30" s="11">
        <v>720</v>
      </c>
      <c r="EV30" s="11">
        <v>330.31000000000006</v>
      </c>
      <c r="EW30" s="12">
        <v>40.986905141473727</v>
      </c>
      <c r="EX30" s="12">
        <v>0</v>
      </c>
      <c r="EY30" s="12">
        <v>12.708019112900674</v>
      </c>
      <c r="EZ30" s="11">
        <v>1190.5300000000002</v>
      </c>
      <c r="FA30" s="12">
        <v>53.694924254374399</v>
      </c>
      <c r="FB30" s="11">
        <v>340.22</v>
      </c>
      <c r="FC30" s="11">
        <v>1440</v>
      </c>
      <c r="FD30" s="11">
        <v>678.7600000000001</v>
      </c>
      <c r="FE30" s="12">
        <v>40.986905141473727</v>
      </c>
      <c r="FF30" s="12">
        <v>0</v>
      </c>
      <c r="FG30" s="12">
        <v>24.520385638286655</v>
      </c>
      <c r="FH30" s="11">
        <v>2458.98</v>
      </c>
      <c r="FI30" s="12">
        <v>65.507290779760382</v>
      </c>
      <c r="FJ30" s="13">
        <v>53.998199903071367</v>
      </c>
      <c r="FK30" s="13">
        <v>48.642859497647507</v>
      </c>
      <c r="FL30" s="13">
        <v>46.307408668393194</v>
      </c>
      <c r="FM30" s="13">
        <v>46.078392346963483</v>
      </c>
      <c r="FN30" s="13">
        <v>44.972806187308059</v>
      </c>
      <c r="FO30" s="13">
        <v>43.01250577350438</v>
      </c>
      <c r="FP30" s="13">
        <v>42.09802347528035</v>
      </c>
      <c r="FQ30" s="13">
        <v>41.074510455285115</v>
      </c>
      <c r="FR30" s="13">
        <v>39.263109114178711</v>
      </c>
      <c r="FS30" s="13">
        <v>38.296940244542071</v>
      </c>
      <c r="FT30" s="13">
        <v>37.572322112534067</v>
      </c>
      <c r="FU30" s="13">
        <v>33.989300457286916</v>
      </c>
      <c r="FV30" s="13">
        <v>32.74954941347238</v>
      </c>
      <c r="FW30" s="13">
        <v>30.478750722505897</v>
      </c>
      <c r="FX30" s="13">
        <v>0</v>
      </c>
      <c r="FY30" s="13">
        <v>0</v>
      </c>
      <c r="FZ30" s="13">
        <v>0</v>
      </c>
      <c r="GA30" s="13">
        <v>0</v>
      </c>
      <c r="GB30" s="13">
        <v>0</v>
      </c>
      <c r="GC30" s="13">
        <v>0</v>
      </c>
      <c r="GD30" s="13">
        <v>0</v>
      </c>
      <c r="GE30" s="13">
        <v>0</v>
      </c>
      <c r="GF30" s="13">
        <v>0</v>
      </c>
      <c r="GG30" s="13">
        <v>0</v>
      </c>
      <c r="GH30" s="13">
        <v>0</v>
      </c>
      <c r="GI30" s="13">
        <v>0</v>
      </c>
      <c r="GJ30" s="13">
        <v>0</v>
      </c>
      <c r="GK30" s="13">
        <v>0</v>
      </c>
      <c r="GL30" s="13">
        <v>0</v>
      </c>
      <c r="GM30" s="13">
        <v>0</v>
      </c>
      <c r="GN30" s="13">
        <v>0</v>
      </c>
      <c r="GO30" s="13">
        <v>0</v>
      </c>
      <c r="GP30" s="13">
        <v>0</v>
      </c>
      <c r="GQ30" s="13">
        <v>0</v>
      </c>
      <c r="GR30" s="13">
        <v>0</v>
      </c>
      <c r="GS30" s="13">
        <v>0</v>
      </c>
      <c r="GT30" s="13">
        <v>0</v>
      </c>
      <c r="GU30" s="13">
        <v>0</v>
      </c>
      <c r="GV30" s="13">
        <v>0</v>
      </c>
      <c r="GW30" s="13">
        <v>0</v>
      </c>
      <c r="GX30" s="13">
        <v>0</v>
      </c>
      <c r="GY30" s="13">
        <v>0</v>
      </c>
      <c r="GZ30" s="13">
        <v>0</v>
      </c>
      <c r="HA30" s="13">
        <v>0</v>
      </c>
      <c r="HB30" s="13">
        <v>0</v>
      </c>
      <c r="HC30" s="13">
        <v>0</v>
      </c>
      <c r="HD30" s="13">
        <v>0</v>
      </c>
      <c r="HE30" s="13">
        <v>0</v>
      </c>
      <c r="HF30" s="13">
        <v>0</v>
      </c>
      <c r="HG30" s="13">
        <v>0</v>
      </c>
      <c r="HH30" s="13">
        <v>0</v>
      </c>
      <c r="HI30" s="13">
        <v>0</v>
      </c>
      <c r="HJ30" s="13">
        <v>0</v>
      </c>
      <c r="HK30" s="13">
        <v>0</v>
      </c>
      <c r="HL30" s="13">
        <v>0</v>
      </c>
      <c r="HM30" s="13">
        <v>0</v>
      </c>
      <c r="HN30" s="13">
        <v>0</v>
      </c>
      <c r="HO30" s="13">
        <v>0</v>
      </c>
      <c r="HP30" s="13">
        <v>0</v>
      </c>
      <c r="HQ30" s="13">
        <v>0</v>
      </c>
      <c r="HR30" s="13">
        <v>0</v>
      </c>
      <c r="HS30" s="13">
        <v>0</v>
      </c>
      <c r="HT30" s="13">
        <v>0</v>
      </c>
      <c r="HU30" s="13">
        <v>0</v>
      </c>
      <c r="HV30" s="13">
        <v>63.87707282206086</v>
      </c>
      <c r="HW30" s="13">
        <v>54.751153802134432</v>
      </c>
      <c r="HX30" s="13">
        <v>52.091583549777312</v>
      </c>
      <c r="HY30" s="13">
        <v>50.670060980254632</v>
      </c>
      <c r="HZ30" s="13">
        <v>50.564914386872488</v>
      </c>
      <c r="IA30" s="13">
        <v>50.097748678164045</v>
      </c>
      <c r="IB30" s="13">
        <v>49.704167381179154</v>
      </c>
      <c r="IC30" s="13">
        <v>49.312753324040202</v>
      </c>
      <c r="ID30" s="13">
        <v>49.258409013787642</v>
      </c>
      <c r="IE30" s="13">
        <v>49.201348117728273</v>
      </c>
      <c r="IF30" s="13">
        <v>578.53467837197343</v>
      </c>
      <c r="IG30" s="13">
        <v>0</v>
      </c>
      <c r="IH30" s="13">
        <v>519.5292120559991</v>
      </c>
      <c r="II30" s="13">
        <v>578.53467837197343</v>
      </c>
      <c r="IJ30" s="13">
        <v>0</v>
      </c>
      <c r="IK30" s="13">
        <v>271.95478554109974</v>
      </c>
      <c r="IL30" s="8">
        <v>0.10854182188069529</v>
      </c>
      <c r="IM30" s="8">
        <v>0</v>
      </c>
      <c r="IN30" s="8">
        <v>2.0925837016748501</v>
      </c>
      <c r="IO30" s="8">
        <v>0</v>
      </c>
      <c r="IP30" s="8">
        <v>2.236748907194035E-2</v>
      </c>
      <c r="IQ30" s="8">
        <v>0</v>
      </c>
      <c r="IR30" s="8">
        <v>1.876813104774633</v>
      </c>
      <c r="IS30" s="8">
        <v>0</v>
      </c>
    </row>
    <row r="31" spans="1:253" x14ac:dyDescent="0.25">
      <c r="A31" s="10">
        <v>43969</v>
      </c>
      <c r="B31" s="11">
        <v>10</v>
      </c>
      <c r="C31" s="11">
        <v>10</v>
      </c>
      <c r="D31" s="11">
        <v>10</v>
      </c>
      <c r="E31" s="11">
        <v>10</v>
      </c>
      <c r="F31" s="11">
        <v>10</v>
      </c>
      <c r="G31" s="11">
        <v>10</v>
      </c>
      <c r="H31" s="11">
        <v>10</v>
      </c>
      <c r="I31" s="11">
        <v>10</v>
      </c>
      <c r="J31" s="11">
        <v>10</v>
      </c>
      <c r="K31" s="11">
        <v>10</v>
      </c>
      <c r="L31" s="11">
        <v>10</v>
      </c>
      <c r="M31" s="11">
        <v>10</v>
      </c>
      <c r="N31" s="11">
        <v>10</v>
      </c>
      <c r="O31" s="11">
        <v>10</v>
      </c>
      <c r="P31" s="11">
        <v>10</v>
      </c>
      <c r="Q31" s="11">
        <v>10</v>
      </c>
      <c r="R31" s="11">
        <v>10</v>
      </c>
      <c r="S31" s="11">
        <v>10</v>
      </c>
      <c r="T31" s="11">
        <v>10</v>
      </c>
      <c r="U31" s="11">
        <v>10</v>
      </c>
      <c r="V31" s="11">
        <v>10</v>
      </c>
      <c r="W31" s="11">
        <v>10</v>
      </c>
      <c r="X31" s="11">
        <v>10</v>
      </c>
      <c r="Y31" s="11">
        <v>10</v>
      </c>
      <c r="Z31" s="11">
        <v>10</v>
      </c>
      <c r="AA31" s="11">
        <v>10</v>
      </c>
      <c r="AB31" s="11">
        <v>10</v>
      </c>
      <c r="AC31" s="11">
        <v>10</v>
      </c>
      <c r="AD31" s="11">
        <v>10</v>
      </c>
      <c r="AE31" s="11">
        <v>10</v>
      </c>
      <c r="AF31" s="11">
        <v>10</v>
      </c>
      <c r="AG31" s="11">
        <v>10</v>
      </c>
      <c r="AH31" s="11">
        <v>10</v>
      </c>
      <c r="AI31" s="11">
        <v>10</v>
      </c>
      <c r="AJ31" s="11">
        <v>10</v>
      </c>
      <c r="AK31" s="11">
        <v>10</v>
      </c>
      <c r="AL31" s="11">
        <v>10</v>
      </c>
      <c r="AM31" s="11">
        <v>10</v>
      </c>
      <c r="AN31" s="11">
        <v>10</v>
      </c>
      <c r="AO31" s="11">
        <v>10</v>
      </c>
      <c r="AP31" s="11">
        <v>60</v>
      </c>
      <c r="AQ31" s="11">
        <v>60</v>
      </c>
      <c r="AR31" s="11">
        <v>60</v>
      </c>
      <c r="AS31" s="11">
        <v>60</v>
      </c>
      <c r="AT31" s="11">
        <v>60</v>
      </c>
      <c r="AU31" s="11">
        <v>60</v>
      </c>
      <c r="AV31" s="11">
        <v>60</v>
      </c>
      <c r="AW31" s="11">
        <v>60</v>
      </c>
      <c r="AX31" s="11">
        <v>60</v>
      </c>
      <c r="AY31" s="11">
        <v>60</v>
      </c>
      <c r="AZ31" s="11">
        <v>60</v>
      </c>
      <c r="BA31" s="11">
        <v>60</v>
      </c>
      <c r="BB31" s="11">
        <v>60</v>
      </c>
      <c r="BC31" s="11">
        <v>60</v>
      </c>
      <c r="BD31" s="11">
        <v>60</v>
      </c>
      <c r="BE31" s="11">
        <v>60</v>
      </c>
      <c r="BF31" s="11">
        <v>60</v>
      </c>
      <c r="BG31" s="11">
        <v>60</v>
      </c>
      <c r="BH31" s="11">
        <v>60</v>
      </c>
      <c r="BI31" s="11">
        <v>60</v>
      </c>
      <c r="BJ31" s="11">
        <v>60</v>
      </c>
      <c r="BK31" s="11">
        <v>60</v>
      </c>
      <c r="BL31" s="11">
        <v>60</v>
      </c>
      <c r="BM31" s="11">
        <v>60</v>
      </c>
      <c r="BN31" s="11">
        <v>240</v>
      </c>
      <c r="BO31" s="11">
        <v>240</v>
      </c>
      <c r="BP31" s="11">
        <v>240</v>
      </c>
      <c r="BQ31" s="11">
        <v>240</v>
      </c>
      <c r="BR31" s="11">
        <v>240</v>
      </c>
      <c r="BS31" s="11">
        <v>240</v>
      </c>
      <c r="BT31" s="11">
        <v>240</v>
      </c>
      <c r="BU31" s="11">
        <v>240</v>
      </c>
      <c r="BV31" s="11">
        <v>240</v>
      </c>
      <c r="BW31" s="11">
        <v>240</v>
      </c>
      <c r="BX31" s="12">
        <v>0</v>
      </c>
      <c r="BY31" s="12">
        <v>0</v>
      </c>
      <c r="BZ31" s="12">
        <v>0</v>
      </c>
      <c r="CA31" s="12">
        <v>0</v>
      </c>
      <c r="CB31" s="12">
        <v>0</v>
      </c>
      <c r="CC31" s="12">
        <v>0</v>
      </c>
      <c r="CD31" s="12">
        <v>0</v>
      </c>
      <c r="CE31" s="12">
        <v>0</v>
      </c>
      <c r="CF31" s="12">
        <v>0</v>
      </c>
      <c r="CG31" s="12">
        <v>0</v>
      </c>
      <c r="CH31" s="12">
        <v>0</v>
      </c>
      <c r="CI31" s="12">
        <v>0</v>
      </c>
      <c r="CJ31" s="12">
        <v>0</v>
      </c>
      <c r="CK31" s="12">
        <v>0</v>
      </c>
      <c r="CL31" s="12">
        <v>0</v>
      </c>
      <c r="CM31" s="12">
        <v>0</v>
      </c>
      <c r="CN31" s="12">
        <v>0</v>
      </c>
      <c r="CO31" s="12">
        <v>0</v>
      </c>
      <c r="CP31" s="12">
        <v>0</v>
      </c>
      <c r="CQ31" s="12">
        <v>0</v>
      </c>
      <c r="CR31" s="12">
        <v>0</v>
      </c>
      <c r="CS31" s="12">
        <v>0</v>
      </c>
      <c r="CT31" s="12">
        <v>0</v>
      </c>
      <c r="CU31" s="12">
        <v>0</v>
      </c>
      <c r="CV31" s="12">
        <v>0</v>
      </c>
      <c r="CW31" s="12">
        <v>0</v>
      </c>
      <c r="CX31" s="12">
        <v>0</v>
      </c>
      <c r="CY31" s="12">
        <v>0</v>
      </c>
      <c r="CZ31" s="12">
        <v>0</v>
      </c>
      <c r="DA31" s="12">
        <v>0</v>
      </c>
      <c r="DB31" s="12">
        <v>0</v>
      </c>
      <c r="DC31" s="12">
        <v>0</v>
      </c>
      <c r="DD31" s="12">
        <v>0</v>
      </c>
      <c r="DE31" s="12">
        <v>0</v>
      </c>
      <c r="DF31" s="12">
        <v>0</v>
      </c>
      <c r="DG31" s="12">
        <v>0</v>
      </c>
      <c r="DH31" s="12">
        <v>0</v>
      </c>
      <c r="DI31" s="12">
        <v>0</v>
      </c>
      <c r="DJ31" s="12">
        <v>0</v>
      </c>
      <c r="DK31" s="12">
        <v>0</v>
      </c>
      <c r="DL31" s="12">
        <v>0</v>
      </c>
      <c r="DM31" s="12">
        <v>0</v>
      </c>
      <c r="DN31" s="12">
        <v>0</v>
      </c>
      <c r="DO31" s="12">
        <v>0</v>
      </c>
      <c r="DP31" s="12">
        <v>0</v>
      </c>
      <c r="DQ31" s="12">
        <v>0</v>
      </c>
      <c r="DR31" s="12">
        <v>0</v>
      </c>
      <c r="DS31" s="12">
        <v>0</v>
      </c>
      <c r="DT31" s="12">
        <v>0</v>
      </c>
      <c r="DU31" s="12">
        <v>0</v>
      </c>
      <c r="DV31" s="12">
        <v>0</v>
      </c>
      <c r="DW31" s="12">
        <v>0</v>
      </c>
      <c r="DX31" s="12">
        <v>0</v>
      </c>
      <c r="DY31" s="12">
        <v>0</v>
      </c>
      <c r="DZ31" s="12">
        <v>0</v>
      </c>
      <c r="EA31" s="12">
        <v>0</v>
      </c>
      <c r="EB31" s="12">
        <v>0</v>
      </c>
      <c r="EC31" s="12">
        <v>0</v>
      </c>
      <c r="ED31" s="12">
        <v>0</v>
      </c>
      <c r="EE31" s="12">
        <v>0</v>
      </c>
      <c r="EF31" s="12">
        <v>0</v>
      </c>
      <c r="EG31" s="12">
        <v>0</v>
      </c>
      <c r="EH31" s="12">
        <v>0</v>
      </c>
      <c r="EI31" s="12">
        <v>0</v>
      </c>
      <c r="EJ31" s="12">
        <v>0</v>
      </c>
      <c r="EK31" s="12">
        <v>0</v>
      </c>
      <c r="EL31" s="12">
        <v>0</v>
      </c>
      <c r="EM31" s="12">
        <v>0</v>
      </c>
      <c r="EN31" s="12">
        <v>0</v>
      </c>
      <c r="EO31" s="12">
        <v>0</v>
      </c>
      <c r="EP31" s="12">
        <v>0</v>
      </c>
      <c r="EQ31" s="12">
        <v>0</v>
      </c>
      <c r="ER31" s="12">
        <v>0</v>
      </c>
      <c r="ES31" s="12">
        <v>0</v>
      </c>
      <c r="ET31" s="11">
        <v>200</v>
      </c>
      <c r="EU31" s="11">
        <v>720</v>
      </c>
      <c r="EV31" s="11">
        <v>1200</v>
      </c>
      <c r="EW31" s="12">
        <v>0</v>
      </c>
      <c r="EX31" s="12">
        <v>0</v>
      </c>
      <c r="EY31" s="12">
        <v>0</v>
      </c>
      <c r="EZ31" s="11">
        <v>2120</v>
      </c>
      <c r="FA31" s="12">
        <v>0</v>
      </c>
      <c r="FB31" s="11">
        <v>400</v>
      </c>
      <c r="FC31" s="11">
        <v>1440</v>
      </c>
      <c r="FD31" s="11">
        <v>2400</v>
      </c>
      <c r="FE31" s="12">
        <v>0</v>
      </c>
      <c r="FF31" s="12">
        <v>0</v>
      </c>
      <c r="FG31" s="12">
        <v>0</v>
      </c>
      <c r="FH31" s="11">
        <v>4240</v>
      </c>
      <c r="FI31" s="12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3">
        <v>0</v>
      </c>
      <c r="FU31" s="13">
        <v>0</v>
      </c>
      <c r="FV31" s="13">
        <v>0</v>
      </c>
      <c r="FW31" s="13">
        <v>0</v>
      </c>
      <c r="FX31" s="13">
        <v>0</v>
      </c>
      <c r="FY31" s="13">
        <v>0</v>
      </c>
      <c r="FZ31" s="13">
        <v>0</v>
      </c>
      <c r="GA31" s="13">
        <v>0</v>
      </c>
      <c r="GB31" s="13">
        <v>0</v>
      </c>
      <c r="GC31" s="13">
        <v>0</v>
      </c>
      <c r="GD31" s="13">
        <v>0</v>
      </c>
      <c r="GE31" s="13">
        <v>0</v>
      </c>
      <c r="GF31" s="13">
        <v>0</v>
      </c>
      <c r="GG31" s="13">
        <v>0</v>
      </c>
      <c r="GH31" s="13">
        <v>0</v>
      </c>
      <c r="GI31" s="13">
        <v>0</v>
      </c>
      <c r="GJ31" s="13">
        <v>0</v>
      </c>
      <c r="GK31" s="13">
        <v>0</v>
      </c>
      <c r="GL31" s="13">
        <v>0</v>
      </c>
      <c r="GM31" s="13">
        <v>0</v>
      </c>
      <c r="GN31" s="13">
        <v>0</v>
      </c>
      <c r="GO31" s="13">
        <v>0</v>
      </c>
      <c r="GP31" s="13">
        <v>0</v>
      </c>
      <c r="GQ31" s="13">
        <v>0</v>
      </c>
      <c r="GR31" s="13">
        <v>0</v>
      </c>
      <c r="GS31" s="13">
        <v>0</v>
      </c>
      <c r="GT31" s="13">
        <v>0</v>
      </c>
      <c r="GU31" s="13">
        <v>0</v>
      </c>
      <c r="GV31" s="13">
        <v>0</v>
      </c>
      <c r="GW31" s="13">
        <v>0</v>
      </c>
      <c r="GX31" s="13">
        <v>0</v>
      </c>
      <c r="GY31" s="13">
        <v>0</v>
      </c>
      <c r="GZ31" s="13">
        <v>0</v>
      </c>
      <c r="HA31" s="13">
        <v>0</v>
      </c>
      <c r="HB31" s="13">
        <v>0</v>
      </c>
      <c r="HC31" s="13">
        <v>0</v>
      </c>
      <c r="HD31" s="13">
        <v>0</v>
      </c>
      <c r="HE31" s="13">
        <v>0</v>
      </c>
      <c r="HF31" s="13">
        <v>0</v>
      </c>
      <c r="HG31" s="13">
        <v>0</v>
      </c>
      <c r="HH31" s="13">
        <v>0</v>
      </c>
      <c r="HI31" s="13">
        <v>0</v>
      </c>
      <c r="HJ31" s="13">
        <v>0</v>
      </c>
      <c r="HK31" s="13">
        <v>0</v>
      </c>
      <c r="HL31" s="13">
        <v>0</v>
      </c>
      <c r="HM31" s="13">
        <v>0</v>
      </c>
      <c r="HN31" s="13">
        <v>0</v>
      </c>
      <c r="HO31" s="13">
        <v>0</v>
      </c>
      <c r="HP31" s="13">
        <v>0</v>
      </c>
      <c r="HQ31" s="13">
        <v>0</v>
      </c>
      <c r="HR31" s="13">
        <v>0</v>
      </c>
      <c r="HS31" s="13">
        <v>0</v>
      </c>
      <c r="HT31" s="13">
        <v>0</v>
      </c>
      <c r="HU31" s="13">
        <v>0</v>
      </c>
      <c r="HV31" s="13">
        <v>0</v>
      </c>
      <c r="HW31" s="13">
        <v>0</v>
      </c>
      <c r="HX31" s="13">
        <v>0</v>
      </c>
      <c r="HY31" s="13">
        <v>0</v>
      </c>
      <c r="HZ31" s="13">
        <v>0</v>
      </c>
      <c r="IA31" s="13">
        <v>0</v>
      </c>
      <c r="IB31" s="13">
        <v>0</v>
      </c>
      <c r="IC31" s="13">
        <v>0</v>
      </c>
      <c r="ID31" s="13">
        <v>0</v>
      </c>
      <c r="IE31" s="13">
        <v>0</v>
      </c>
      <c r="IF31" s="13">
        <v>0</v>
      </c>
      <c r="IG31" s="13">
        <v>0</v>
      </c>
      <c r="IH31" s="13">
        <v>0</v>
      </c>
      <c r="II31" s="13">
        <v>0</v>
      </c>
      <c r="IJ31" s="13">
        <v>0</v>
      </c>
      <c r="IK31" s="13">
        <v>0</v>
      </c>
      <c r="IL31" s="8">
        <v>0</v>
      </c>
      <c r="IM31" s="8">
        <v>0</v>
      </c>
      <c r="IN31" s="8">
        <v>0</v>
      </c>
      <c r="IO31" s="8">
        <v>0</v>
      </c>
      <c r="IP31" s="8">
        <v>0</v>
      </c>
      <c r="IQ31" s="8">
        <v>0</v>
      </c>
      <c r="IR31" s="8">
        <v>0</v>
      </c>
      <c r="IS31" s="8">
        <v>0</v>
      </c>
    </row>
    <row r="32" spans="1:253" x14ac:dyDescent="0.25">
      <c r="A32" s="10">
        <v>43962</v>
      </c>
      <c r="B32" s="11">
        <v>10</v>
      </c>
      <c r="C32" s="11">
        <v>10</v>
      </c>
      <c r="D32" s="11">
        <v>10</v>
      </c>
      <c r="E32" s="11">
        <v>10</v>
      </c>
      <c r="F32" s="11">
        <v>10</v>
      </c>
      <c r="G32" s="11">
        <v>10</v>
      </c>
      <c r="H32" s="11">
        <v>10</v>
      </c>
      <c r="I32" s="11">
        <v>10</v>
      </c>
      <c r="J32" s="11">
        <v>10</v>
      </c>
      <c r="K32" s="11">
        <v>10</v>
      </c>
      <c r="L32" s="11">
        <v>10</v>
      </c>
      <c r="M32" s="11">
        <v>10</v>
      </c>
      <c r="N32" s="11">
        <v>10</v>
      </c>
      <c r="O32" s="11">
        <v>10</v>
      </c>
      <c r="P32" s="11">
        <v>10</v>
      </c>
      <c r="Q32" s="11">
        <v>10</v>
      </c>
      <c r="R32" s="11">
        <v>10</v>
      </c>
      <c r="S32" s="11">
        <v>10</v>
      </c>
      <c r="T32" s="11">
        <v>10</v>
      </c>
      <c r="U32" s="11">
        <v>10</v>
      </c>
      <c r="V32" s="11">
        <v>10</v>
      </c>
      <c r="W32" s="11">
        <v>10</v>
      </c>
      <c r="X32" s="11">
        <v>10</v>
      </c>
      <c r="Y32" s="11">
        <v>10</v>
      </c>
      <c r="Z32" s="11">
        <v>10</v>
      </c>
      <c r="AA32" s="11">
        <v>10</v>
      </c>
      <c r="AB32" s="11">
        <v>10</v>
      </c>
      <c r="AC32" s="11">
        <v>10</v>
      </c>
      <c r="AD32" s="11">
        <v>10</v>
      </c>
      <c r="AE32" s="11">
        <v>10</v>
      </c>
      <c r="AF32" s="11">
        <v>10</v>
      </c>
      <c r="AG32" s="11">
        <v>10</v>
      </c>
      <c r="AH32" s="11">
        <v>10</v>
      </c>
      <c r="AI32" s="11">
        <v>10</v>
      </c>
      <c r="AJ32" s="11">
        <v>10</v>
      </c>
      <c r="AK32" s="11">
        <v>10</v>
      </c>
      <c r="AL32" s="11">
        <v>10</v>
      </c>
      <c r="AM32" s="11">
        <v>10</v>
      </c>
      <c r="AN32" s="11">
        <v>10</v>
      </c>
      <c r="AO32" s="11">
        <v>10</v>
      </c>
      <c r="AP32" s="11">
        <v>21.75</v>
      </c>
      <c r="AQ32" s="11">
        <v>22.6</v>
      </c>
      <c r="AR32" s="11">
        <v>33.53</v>
      </c>
      <c r="AS32" s="11">
        <v>60</v>
      </c>
      <c r="AT32" s="11">
        <v>60</v>
      </c>
      <c r="AU32" s="11">
        <v>60</v>
      </c>
      <c r="AV32" s="11">
        <v>60</v>
      </c>
      <c r="AW32" s="11">
        <v>60</v>
      </c>
      <c r="AX32" s="11">
        <v>60</v>
      </c>
      <c r="AY32" s="11">
        <v>60</v>
      </c>
      <c r="AZ32" s="11">
        <v>60</v>
      </c>
      <c r="BA32" s="11">
        <v>60</v>
      </c>
      <c r="BB32" s="11">
        <v>60</v>
      </c>
      <c r="BC32" s="11">
        <v>60</v>
      </c>
      <c r="BD32" s="11">
        <v>60</v>
      </c>
      <c r="BE32" s="11">
        <v>60</v>
      </c>
      <c r="BF32" s="11">
        <v>60</v>
      </c>
      <c r="BG32" s="11">
        <v>60</v>
      </c>
      <c r="BH32" s="11">
        <v>60</v>
      </c>
      <c r="BI32" s="11">
        <v>60</v>
      </c>
      <c r="BJ32" s="11">
        <v>60</v>
      </c>
      <c r="BK32" s="11">
        <v>60</v>
      </c>
      <c r="BL32" s="11">
        <v>60</v>
      </c>
      <c r="BM32" s="11">
        <v>60</v>
      </c>
      <c r="BN32" s="11">
        <v>71.62</v>
      </c>
      <c r="BO32" s="11">
        <v>72.67</v>
      </c>
      <c r="BP32" s="11">
        <v>74.28</v>
      </c>
      <c r="BQ32" s="11">
        <v>76.02</v>
      </c>
      <c r="BR32" s="11">
        <v>76.930000000000007</v>
      </c>
      <c r="BS32" s="11">
        <v>77.22</v>
      </c>
      <c r="BT32" s="11">
        <v>78.36</v>
      </c>
      <c r="BU32" s="11">
        <v>78.709999999999994</v>
      </c>
      <c r="BV32" s="11">
        <v>81.400000000000006</v>
      </c>
      <c r="BW32" s="11">
        <v>83.62</v>
      </c>
      <c r="BX32" s="12">
        <v>0</v>
      </c>
      <c r="BY32" s="12">
        <v>0</v>
      </c>
      <c r="BZ32" s="12">
        <v>0</v>
      </c>
      <c r="CA32" s="12">
        <v>0</v>
      </c>
      <c r="CB32" s="12">
        <v>0</v>
      </c>
      <c r="CC32" s="12">
        <v>0</v>
      </c>
      <c r="CD32" s="12">
        <v>0</v>
      </c>
      <c r="CE32" s="12">
        <v>0</v>
      </c>
      <c r="CF32" s="12">
        <v>0</v>
      </c>
      <c r="CG32" s="12">
        <v>0</v>
      </c>
      <c r="CH32" s="12">
        <v>0</v>
      </c>
      <c r="CI32" s="12">
        <v>0</v>
      </c>
      <c r="CJ32" s="12">
        <v>0</v>
      </c>
      <c r="CK32" s="12">
        <v>0</v>
      </c>
      <c r="CL32" s="12">
        <v>0</v>
      </c>
      <c r="CM32" s="12">
        <v>0</v>
      </c>
      <c r="CN32" s="12">
        <v>0</v>
      </c>
      <c r="CO32" s="12">
        <v>0</v>
      </c>
      <c r="CP32" s="12">
        <v>0</v>
      </c>
      <c r="CQ32" s="12">
        <v>0</v>
      </c>
      <c r="CR32" s="12">
        <v>0</v>
      </c>
      <c r="CS32" s="12">
        <v>0</v>
      </c>
      <c r="CT32" s="12">
        <v>0</v>
      </c>
      <c r="CU32" s="12">
        <v>0</v>
      </c>
      <c r="CV32" s="12">
        <v>0</v>
      </c>
      <c r="CW32" s="12">
        <v>0</v>
      </c>
      <c r="CX32" s="12">
        <v>0</v>
      </c>
      <c r="CY32" s="12">
        <v>0</v>
      </c>
      <c r="CZ32" s="12">
        <v>0</v>
      </c>
      <c r="DA32" s="12">
        <v>0</v>
      </c>
      <c r="DB32" s="12">
        <v>0</v>
      </c>
      <c r="DC32" s="12">
        <v>0</v>
      </c>
      <c r="DD32" s="12">
        <v>0</v>
      </c>
      <c r="DE32" s="12">
        <v>0</v>
      </c>
      <c r="DF32" s="12">
        <v>0</v>
      </c>
      <c r="DG32" s="12">
        <v>0</v>
      </c>
      <c r="DH32" s="12">
        <v>0</v>
      </c>
      <c r="DI32" s="12">
        <v>0</v>
      </c>
      <c r="DJ32" s="12">
        <v>0</v>
      </c>
      <c r="DK32" s="12">
        <v>0</v>
      </c>
      <c r="DL32" s="12">
        <v>2.9646017699115044</v>
      </c>
      <c r="DM32" s="12">
        <v>2.6666666666666665</v>
      </c>
      <c r="DN32" s="12">
        <v>2.5052192066805845</v>
      </c>
      <c r="DO32" s="12">
        <v>0</v>
      </c>
      <c r="DP32" s="12">
        <v>0</v>
      </c>
      <c r="DQ32" s="12">
        <v>0</v>
      </c>
      <c r="DR32" s="12">
        <v>0</v>
      </c>
      <c r="DS32" s="12">
        <v>0</v>
      </c>
      <c r="DT32" s="12">
        <v>0</v>
      </c>
      <c r="DU32" s="12">
        <v>0</v>
      </c>
      <c r="DV32" s="12">
        <v>0</v>
      </c>
      <c r="DW32" s="12">
        <v>0</v>
      </c>
      <c r="DX32" s="12">
        <v>0</v>
      </c>
      <c r="DY32" s="12">
        <v>0</v>
      </c>
      <c r="DZ32" s="12">
        <v>0</v>
      </c>
      <c r="EA32" s="12">
        <v>0</v>
      </c>
      <c r="EB32" s="12">
        <v>0</v>
      </c>
      <c r="EC32" s="12">
        <v>0</v>
      </c>
      <c r="ED32" s="12">
        <v>0</v>
      </c>
      <c r="EE32" s="12">
        <v>0</v>
      </c>
      <c r="EF32" s="12">
        <v>0</v>
      </c>
      <c r="EG32" s="12">
        <v>0</v>
      </c>
      <c r="EH32" s="12">
        <v>0</v>
      </c>
      <c r="EI32" s="12">
        <v>0</v>
      </c>
      <c r="EJ32" s="12">
        <v>2.5578890683898763</v>
      </c>
      <c r="EK32" s="12">
        <v>2.3943855786431816</v>
      </c>
      <c r="EL32" s="12">
        <v>2.3758099352051838</v>
      </c>
      <c r="EM32" s="12">
        <v>2.3439523439523442</v>
      </c>
      <c r="EN32" s="12">
        <v>2.2843287391526288</v>
      </c>
      <c r="EO32" s="12">
        <v>2.2747952684258417</v>
      </c>
      <c r="EP32" s="12">
        <v>2.2604422604422605</v>
      </c>
      <c r="EQ32" s="12">
        <v>2.150237363864842</v>
      </c>
      <c r="ER32" s="12">
        <v>1.9337016574585637</v>
      </c>
      <c r="ES32" s="12">
        <v>1.8057880889739295</v>
      </c>
      <c r="ET32" s="11">
        <v>200</v>
      </c>
      <c r="EU32" s="11">
        <v>617.88</v>
      </c>
      <c r="EV32" s="11">
        <v>371.52000000000004</v>
      </c>
      <c r="EW32" s="12">
        <v>0</v>
      </c>
      <c r="EX32" s="12">
        <v>8.1364876432587554</v>
      </c>
      <c r="EY32" s="12">
        <v>11.956365665343215</v>
      </c>
      <c r="EZ32" s="11">
        <v>1189.4000000000001</v>
      </c>
      <c r="FA32" s="12">
        <v>20.09285330860197</v>
      </c>
      <c r="FB32" s="11">
        <v>400</v>
      </c>
      <c r="FC32" s="11">
        <v>1337.88</v>
      </c>
      <c r="FD32" s="11">
        <v>770.83</v>
      </c>
      <c r="FE32" s="12">
        <v>0</v>
      </c>
      <c r="FF32" s="12">
        <v>8.1364876432587554</v>
      </c>
      <c r="FG32" s="12">
        <v>22.381330304508655</v>
      </c>
      <c r="FH32" s="11">
        <v>2508.71</v>
      </c>
      <c r="FI32" s="12">
        <v>30.517817947767412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3">
        <v>0</v>
      </c>
      <c r="FU32" s="13">
        <v>0</v>
      </c>
      <c r="FV32" s="13">
        <v>0</v>
      </c>
      <c r="FW32" s="13">
        <v>0</v>
      </c>
      <c r="FX32" s="13">
        <v>0</v>
      </c>
      <c r="FY32" s="13">
        <v>0</v>
      </c>
      <c r="FZ32" s="13">
        <v>0</v>
      </c>
      <c r="GA32" s="13">
        <v>0</v>
      </c>
      <c r="GB32" s="13">
        <v>0</v>
      </c>
      <c r="GC32" s="13">
        <v>0</v>
      </c>
      <c r="GD32" s="13">
        <v>0</v>
      </c>
      <c r="GE32" s="13">
        <v>0</v>
      </c>
      <c r="GF32" s="13">
        <v>0</v>
      </c>
      <c r="GG32" s="13">
        <v>0</v>
      </c>
      <c r="GH32" s="13">
        <v>0</v>
      </c>
      <c r="GI32" s="13">
        <v>0</v>
      </c>
      <c r="GJ32" s="13">
        <v>0</v>
      </c>
      <c r="GK32" s="13">
        <v>0</v>
      </c>
      <c r="GL32" s="13">
        <v>0</v>
      </c>
      <c r="GM32" s="13">
        <v>0</v>
      </c>
      <c r="GN32" s="13">
        <v>0</v>
      </c>
      <c r="GO32" s="13">
        <v>0</v>
      </c>
      <c r="GP32" s="13">
        <v>0</v>
      </c>
      <c r="GQ32" s="13">
        <v>0</v>
      </c>
      <c r="GR32" s="13">
        <v>0</v>
      </c>
      <c r="GS32" s="13">
        <v>0</v>
      </c>
      <c r="GT32" s="13">
        <v>0</v>
      </c>
      <c r="GU32" s="13">
        <v>0</v>
      </c>
      <c r="GV32" s="13">
        <v>0</v>
      </c>
      <c r="GW32" s="13">
        <v>0</v>
      </c>
      <c r="GX32" s="13">
        <v>51.386505323293378</v>
      </c>
      <c r="GY32" s="13">
        <v>47.479471546765346</v>
      </c>
      <c r="GZ32" s="13">
        <v>32.945861805993133</v>
      </c>
      <c r="HA32" s="13">
        <v>0</v>
      </c>
      <c r="HB32" s="13">
        <v>0</v>
      </c>
      <c r="HC32" s="13">
        <v>0</v>
      </c>
      <c r="HD32" s="13">
        <v>0</v>
      </c>
      <c r="HE32" s="13">
        <v>0</v>
      </c>
      <c r="HF32" s="13">
        <v>0</v>
      </c>
      <c r="HG32" s="13">
        <v>0</v>
      </c>
      <c r="HH32" s="13">
        <v>0</v>
      </c>
      <c r="HI32" s="13">
        <v>0</v>
      </c>
      <c r="HJ32" s="13">
        <v>0</v>
      </c>
      <c r="HK32" s="13">
        <v>0</v>
      </c>
      <c r="HL32" s="13">
        <v>0</v>
      </c>
      <c r="HM32" s="13">
        <v>0</v>
      </c>
      <c r="HN32" s="13">
        <v>0</v>
      </c>
      <c r="HO32" s="13">
        <v>0</v>
      </c>
      <c r="HP32" s="13">
        <v>0</v>
      </c>
      <c r="HQ32" s="13">
        <v>0</v>
      </c>
      <c r="HR32" s="13">
        <v>0</v>
      </c>
      <c r="HS32" s="13">
        <v>0</v>
      </c>
      <c r="HT32" s="13">
        <v>0</v>
      </c>
      <c r="HU32" s="13">
        <v>0</v>
      </c>
      <c r="HV32" s="13">
        <v>54.54584005530787</v>
      </c>
      <c r="HW32" s="13">
        <v>51.848444451111718</v>
      </c>
      <c r="HX32" s="13">
        <v>48.649794575652017</v>
      </c>
      <c r="HY32" s="13">
        <v>48.643876233396114</v>
      </c>
      <c r="HZ32" s="13">
        <v>47.333166494350536</v>
      </c>
      <c r="IA32" s="13">
        <v>47.038410497763394</v>
      </c>
      <c r="IB32" s="13">
        <v>46.922674692761056</v>
      </c>
      <c r="IC32" s="13">
        <v>45.211257855753338</v>
      </c>
      <c r="ID32" s="13">
        <v>40.572355215408642</v>
      </c>
      <c r="IE32" s="13">
        <v>35.443771262464871</v>
      </c>
      <c r="IF32" s="13">
        <v>0</v>
      </c>
      <c r="IG32" s="13">
        <v>131.81183867605185</v>
      </c>
      <c r="IH32" s="13">
        <v>466.20959133396957</v>
      </c>
      <c r="II32" s="13">
        <v>0</v>
      </c>
      <c r="IJ32" s="13">
        <v>131.81183867605185</v>
      </c>
      <c r="IK32" s="13">
        <v>251.02112180981825</v>
      </c>
      <c r="IL32" s="8">
        <v>0</v>
      </c>
      <c r="IM32" s="8">
        <v>2.9339930730856504E-2</v>
      </c>
      <c r="IN32" s="8">
        <v>1.6156870812246165</v>
      </c>
      <c r="IO32" s="8">
        <v>0</v>
      </c>
      <c r="IP32" s="8">
        <v>0</v>
      </c>
      <c r="IQ32" s="8">
        <v>6.7751055401013604E-3</v>
      </c>
      <c r="IR32" s="8">
        <v>1.3536565591343834</v>
      </c>
      <c r="IS32" s="8">
        <v>0</v>
      </c>
    </row>
    <row r="33" spans="1:253" x14ac:dyDescent="0.25">
      <c r="A33" s="10">
        <v>43955</v>
      </c>
      <c r="B33" s="11">
        <v>10</v>
      </c>
      <c r="C33" s="11">
        <v>10</v>
      </c>
      <c r="D33" s="11">
        <v>10</v>
      </c>
      <c r="E33" s="11">
        <v>10</v>
      </c>
      <c r="F33" s="11">
        <v>10</v>
      </c>
      <c r="G33" s="11">
        <v>10</v>
      </c>
      <c r="H33" s="11">
        <v>10</v>
      </c>
      <c r="I33" s="11">
        <v>10</v>
      </c>
      <c r="J33" s="11">
        <v>10</v>
      </c>
      <c r="K33" s="11">
        <v>10</v>
      </c>
      <c r="L33" s="11">
        <v>10</v>
      </c>
      <c r="M33" s="11">
        <v>10</v>
      </c>
      <c r="N33" s="11">
        <v>10</v>
      </c>
      <c r="O33" s="11">
        <v>10</v>
      </c>
      <c r="P33" s="11">
        <v>10</v>
      </c>
      <c r="Q33" s="11">
        <v>10</v>
      </c>
      <c r="R33" s="11">
        <v>10</v>
      </c>
      <c r="S33" s="11">
        <v>10</v>
      </c>
      <c r="T33" s="11">
        <v>10</v>
      </c>
      <c r="U33" s="11">
        <v>10</v>
      </c>
      <c r="V33" s="11">
        <v>10</v>
      </c>
      <c r="W33" s="11">
        <v>10</v>
      </c>
      <c r="X33" s="11">
        <v>10</v>
      </c>
      <c r="Y33" s="11">
        <v>10</v>
      </c>
      <c r="Z33" s="11">
        <v>10</v>
      </c>
      <c r="AA33" s="11">
        <v>10</v>
      </c>
      <c r="AB33" s="11">
        <v>10</v>
      </c>
      <c r="AC33" s="11">
        <v>10</v>
      </c>
      <c r="AD33" s="11">
        <v>10</v>
      </c>
      <c r="AE33" s="11">
        <v>10</v>
      </c>
      <c r="AF33" s="11">
        <v>10</v>
      </c>
      <c r="AG33" s="11">
        <v>10</v>
      </c>
      <c r="AH33" s="11">
        <v>10</v>
      </c>
      <c r="AI33" s="11">
        <v>10</v>
      </c>
      <c r="AJ33" s="11">
        <v>10</v>
      </c>
      <c r="AK33" s="11">
        <v>10</v>
      </c>
      <c r="AL33" s="11">
        <v>10</v>
      </c>
      <c r="AM33" s="11">
        <v>10</v>
      </c>
      <c r="AN33" s="11">
        <v>10</v>
      </c>
      <c r="AO33" s="11">
        <v>10</v>
      </c>
      <c r="AP33" s="11">
        <v>60</v>
      </c>
      <c r="AQ33" s="11">
        <v>60</v>
      </c>
      <c r="AR33" s="11">
        <v>60</v>
      </c>
      <c r="AS33" s="11">
        <v>60</v>
      </c>
      <c r="AT33" s="11">
        <v>60</v>
      </c>
      <c r="AU33" s="11">
        <v>60</v>
      </c>
      <c r="AV33" s="11">
        <v>60</v>
      </c>
      <c r="AW33" s="11">
        <v>60</v>
      </c>
      <c r="AX33" s="11">
        <v>60</v>
      </c>
      <c r="AY33" s="11">
        <v>60</v>
      </c>
      <c r="AZ33" s="11">
        <v>60</v>
      </c>
      <c r="BA33" s="11">
        <v>60</v>
      </c>
      <c r="BB33" s="11">
        <v>60</v>
      </c>
      <c r="BC33" s="11">
        <v>60</v>
      </c>
      <c r="BD33" s="11">
        <v>60</v>
      </c>
      <c r="BE33" s="11">
        <v>60</v>
      </c>
      <c r="BF33" s="11">
        <v>60</v>
      </c>
      <c r="BG33" s="11">
        <v>60</v>
      </c>
      <c r="BH33" s="11">
        <v>60</v>
      </c>
      <c r="BI33" s="11">
        <v>60</v>
      </c>
      <c r="BJ33" s="11">
        <v>60</v>
      </c>
      <c r="BK33" s="11">
        <v>60</v>
      </c>
      <c r="BL33" s="11">
        <v>60</v>
      </c>
      <c r="BM33" s="11">
        <v>60</v>
      </c>
      <c r="BN33" s="11">
        <v>62.97</v>
      </c>
      <c r="BO33" s="11">
        <v>64.33</v>
      </c>
      <c r="BP33" s="11">
        <v>64.48</v>
      </c>
      <c r="BQ33" s="11">
        <v>64.680000000000007</v>
      </c>
      <c r="BR33" s="11">
        <v>65.03</v>
      </c>
      <c r="BS33" s="11">
        <v>65.819999999999993</v>
      </c>
      <c r="BT33" s="11">
        <v>66.569999999999993</v>
      </c>
      <c r="BU33" s="11">
        <v>67.14</v>
      </c>
      <c r="BV33" s="11">
        <v>67.290000000000006</v>
      </c>
      <c r="BW33" s="11">
        <v>67.790000000000006</v>
      </c>
      <c r="BX33" s="12">
        <v>0</v>
      </c>
      <c r="BY33" s="12">
        <v>0</v>
      </c>
      <c r="BZ33" s="12">
        <v>0</v>
      </c>
      <c r="CA33" s="12">
        <v>0</v>
      </c>
      <c r="CB33" s="12">
        <v>0</v>
      </c>
      <c r="CC33" s="12">
        <v>0</v>
      </c>
      <c r="CD33" s="12">
        <v>0</v>
      </c>
      <c r="CE33" s="12">
        <v>0</v>
      </c>
      <c r="CF33" s="12">
        <v>0</v>
      </c>
      <c r="CG33" s="12">
        <v>0</v>
      </c>
      <c r="CH33" s="12">
        <v>0</v>
      </c>
      <c r="CI33" s="12">
        <v>0</v>
      </c>
      <c r="CJ33" s="12">
        <v>0</v>
      </c>
      <c r="CK33" s="12">
        <v>0</v>
      </c>
      <c r="CL33" s="12">
        <v>0</v>
      </c>
      <c r="CM33" s="12">
        <v>0</v>
      </c>
      <c r="CN33" s="12">
        <v>0</v>
      </c>
      <c r="CO33" s="12">
        <v>0</v>
      </c>
      <c r="CP33" s="12">
        <v>0</v>
      </c>
      <c r="CQ33" s="12">
        <v>0</v>
      </c>
      <c r="CR33" s="12">
        <v>0</v>
      </c>
      <c r="CS33" s="12">
        <v>0</v>
      </c>
      <c r="CT33" s="12">
        <v>0</v>
      </c>
      <c r="CU33" s="12">
        <v>0</v>
      </c>
      <c r="CV33" s="12">
        <v>0</v>
      </c>
      <c r="CW33" s="12">
        <v>0</v>
      </c>
      <c r="CX33" s="12">
        <v>0</v>
      </c>
      <c r="CY33" s="12">
        <v>0</v>
      </c>
      <c r="CZ33" s="12">
        <v>0</v>
      </c>
      <c r="DA33" s="12">
        <v>0</v>
      </c>
      <c r="DB33" s="12">
        <v>0</v>
      </c>
      <c r="DC33" s="12">
        <v>0</v>
      </c>
      <c r="DD33" s="12">
        <v>0</v>
      </c>
      <c r="DE33" s="12">
        <v>0</v>
      </c>
      <c r="DF33" s="12">
        <v>0</v>
      </c>
      <c r="DG33" s="12">
        <v>0</v>
      </c>
      <c r="DH33" s="12">
        <v>0</v>
      </c>
      <c r="DI33" s="12">
        <v>0</v>
      </c>
      <c r="DJ33" s="12">
        <v>0</v>
      </c>
      <c r="DK33" s="12">
        <v>0</v>
      </c>
      <c r="DL33" s="12">
        <v>0</v>
      </c>
      <c r="DM33" s="12">
        <v>0</v>
      </c>
      <c r="DN33" s="12">
        <v>0</v>
      </c>
      <c r="DO33" s="12">
        <v>0</v>
      </c>
      <c r="DP33" s="12">
        <v>0</v>
      </c>
      <c r="DQ33" s="12">
        <v>0</v>
      </c>
      <c r="DR33" s="12">
        <v>0</v>
      </c>
      <c r="DS33" s="12">
        <v>0</v>
      </c>
      <c r="DT33" s="12">
        <v>0</v>
      </c>
      <c r="DU33" s="12">
        <v>0</v>
      </c>
      <c r="DV33" s="12">
        <v>0</v>
      </c>
      <c r="DW33" s="12">
        <v>0</v>
      </c>
      <c r="DX33" s="12">
        <v>0</v>
      </c>
      <c r="DY33" s="12">
        <v>0</v>
      </c>
      <c r="DZ33" s="12">
        <v>0</v>
      </c>
      <c r="EA33" s="12">
        <v>0</v>
      </c>
      <c r="EB33" s="12">
        <v>0</v>
      </c>
      <c r="EC33" s="12">
        <v>0</v>
      </c>
      <c r="ED33" s="12">
        <v>0</v>
      </c>
      <c r="EE33" s="12">
        <v>0</v>
      </c>
      <c r="EF33" s="12">
        <v>0</v>
      </c>
      <c r="EG33" s="12">
        <v>0</v>
      </c>
      <c r="EH33" s="12">
        <v>0</v>
      </c>
      <c r="EI33" s="12">
        <v>0</v>
      </c>
      <c r="EJ33" s="12">
        <v>2.6147588611272514</v>
      </c>
      <c r="EK33" s="12">
        <v>2.5885342226457042</v>
      </c>
      <c r="EL33" s="12">
        <v>2.5815016964154003</v>
      </c>
      <c r="EM33" s="12">
        <v>2.5430161943319836</v>
      </c>
      <c r="EN33" s="12">
        <v>2.538681087576987</v>
      </c>
      <c r="EO33" s="12">
        <v>2.5098358431691765</v>
      </c>
      <c r="EP33" s="12">
        <v>2.5010538148096106</v>
      </c>
      <c r="EQ33" s="12">
        <v>2.4912417282989492</v>
      </c>
      <c r="ER33" s="12">
        <v>2.458256029684601</v>
      </c>
      <c r="ES33" s="12">
        <v>2.4577388802301883</v>
      </c>
      <c r="ET33" s="11">
        <v>200</v>
      </c>
      <c r="EU33" s="11">
        <v>720</v>
      </c>
      <c r="EV33" s="11">
        <v>321.49</v>
      </c>
      <c r="EW33" s="12">
        <v>0</v>
      </c>
      <c r="EX33" s="12">
        <v>0</v>
      </c>
      <c r="EY33" s="12">
        <v>12.866492062097326</v>
      </c>
      <c r="EZ33" s="11">
        <v>1241.49</v>
      </c>
      <c r="FA33" s="12">
        <v>12.866492062097326</v>
      </c>
      <c r="FB33" s="11">
        <v>400</v>
      </c>
      <c r="FC33" s="11">
        <v>1440</v>
      </c>
      <c r="FD33" s="11">
        <v>656.09999999999991</v>
      </c>
      <c r="FE33" s="12">
        <v>0</v>
      </c>
      <c r="FF33" s="12">
        <v>0</v>
      </c>
      <c r="FG33" s="12">
        <v>25.284618358289851</v>
      </c>
      <c r="FH33" s="11">
        <v>2496.1</v>
      </c>
      <c r="FI33" s="12">
        <v>25.284618358289851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3">
        <v>0</v>
      </c>
      <c r="FU33" s="13">
        <v>0</v>
      </c>
      <c r="FV33" s="13">
        <v>0</v>
      </c>
      <c r="FW33" s="13">
        <v>0</v>
      </c>
      <c r="FX33" s="13">
        <v>0</v>
      </c>
      <c r="FY33" s="13">
        <v>0</v>
      </c>
      <c r="FZ33" s="13">
        <v>0</v>
      </c>
      <c r="GA33" s="13">
        <v>0</v>
      </c>
      <c r="GB33" s="13">
        <v>0</v>
      </c>
      <c r="GC33" s="13">
        <v>0</v>
      </c>
      <c r="GD33" s="13">
        <v>0</v>
      </c>
      <c r="GE33" s="13">
        <v>0</v>
      </c>
      <c r="GF33" s="13">
        <v>0</v>
      </c>
      <c r="GG33" s="13">
        <v>0</v>
      </c>
      <c r="GH33" s="13">
        <v>0</v>
      </c>
      <c r="GI33" s="13">
        <v>0</v>
      </c>
      <c r="GJ33" s="13">
        <v>0</v>
      </c>
      <c r="GK33" s="13">
        <v>0</v>
      </c>
      <c r="GL33" s="13">
        <v>0</v>
      </c>
      <c r="GM33" s="13">
        <v>0</v>
      </c>
      <c r="GN33" s="13">
        <v>0</v>
      </c>
      <c r="GO33" s="13">
        <v>0</v>
      </c>
      <c r="GP33" s="13">
        <v>0</v>
      </c>
      <c r="GQ33" s="13">
        <v>0</v>
      </c>
      <c r="GR33" s="13">
        <v>0</v>
      </c>
      <c r="GS33" s="13">
        <v>0</v>
      </c>
      <c r="GT33" s="13">
        <v>0</v>
      </c>
      <c r="GU33" s="13">
        <v>0</v>
      </c>
      <c r="GV33" s="13">
        <v>0</v>
      </c>
      <c r="GW33" s="13">
        <v>0</v>
      </c>
      <c r="GX33" s="13">
        <v>0</v>
      </c>
      <c r="GY33" s="13">
        <v>0</v>
      </c>
      <c r="GZ33" s="13">
        <v>0</v>
      </c>
      <c r="HA33" s="13">
        <v>0</v>
      </c>
      <c r="HB33" s="13">
        <v>0</v>
      </c>
      <c r="HC33" s="13">
        <v>0</v>
      </c>
      <c r="HD33" s="13">
        <v>0</v>
      </c>
      <c r="HE33" s="13">
        <v>0</v>
      </c>
      <c r="HF33" s="13">
        <v>0</v>
      </c>
      <c r="HG33" s="13">
        <v>0</v>
      </c>
      <c r="HH33" s="13">
        <v>0</v>
      </c>
      <c r="HI33" s="13">
        <v>0</v>
      </c>
      <c r="HJ33" s="13">
        <v>0</v>
      </c>
      <c r="HK33" s="13">
        <v>0</v>
      </c>
      <c r="HL33" s="13">
        <v>0</v>
      </c>
      <c r="HM33" s="13">
        <v>0</v>
      </c>
      <c r="HN33" s="13">
        <v>0</v>
      </c>
      <c r="HO33" s="13">
        <v>0</v>
      </c>
      <c r="HP33" s="13">
        <v>0</v>
      </c>
      <c r="HQ33" s="13">
        <v>0</v>
      </c>
      <c r="HR33" s="13">
        <v>0</v>
      </c>
      <c r="HS33" s="13">
        <v>0</v>
      </c>
      <c r="HT33" s="13">
        <v>0</v>
      </c>
      <c r="HU33" s="13">
        <v>0</v>
      </c>
      <c r="HV33" s="13">
        <v>61.965588854670706</v>
      </c>
      <c r="HW33" s="13">
        <v>58.807578317063857</v>
      </c>
      <c r="HX33" s="13">
        <v>58.68765091150641</v>
      </c>
      <c r="HY33" s="13">
        <v>58.452543413575938</v>
      </c>
      <c r="HZ33" s="13">
        <v>57.753506903026285</v>
      </c>
      <c r="IA33" s="13">
        <v>55.786430212570131</v>
      </c>
      <c r="IB33" s="13">
        <v>54.9547726779494</v>
      </c>
      <c r="IC33" s="13">
        <v>54.77204615231161</v>
      </c>
      <c r="ID33" s="13">
        <v>54.316298446759625</v>
      </c>
      <c r="IE33" s="13">
        <v>53.810507090156911</v>
      </c>
      <c r="IF33" s="13">
        <v>0</v>
      </c>
      <c r="IG33" s="13">
        <v>0</v>
      </c>
      <c r="IH33" s="13">
        <v>569.30692297959081</v>
      </c>
      <c r="II33" s="13">
        <v>0</v>
      </c>
      <c r="IJ33" s="13">
        <v>0</v>
      </c>
      <c r="IK33" s="13">
        <v>295.66686839984322</v>
      </c>
      <c r="IL33" s="8">
        <v>0</v>
      </c>
      <c r="IM33" s="8">
        <v>0</v>
      </c>
      <c r="IN33" s="8">
        <v>2.3666026410101453</v>
      </c>
      <c r="IO33" s="8">
        <v>0</v>
      </c>
      <c r="IP33" s="8">
        <v>0</v>
      </c>
      <c r="IQ33" s="8">
        <v>0</v>
      </c>
      <c r="IR33" s="8">
        <v>2.193980837718529</v>
      </c>
      <c r="IS33" s="8">
        <v>0</v>
      </c>
    </row>
    <row r="34" spans="1:253" x14ac:dyDescent="0.25">
      <c r="A34" s="10">
        <v>43948</v>
      </c>
      <c r="B34" s="11">
        <v>3.13</v>
      </c>
      <c r="C34" s="11">
        <v>3.9</v>
      </c>
      <c r="D34" s="11">
        <v>3.94</v>
      </c>
      <c r="E34" s="11">
        <v>4.1500000000000004</v>
      </c>
      <c r="F34" s="11">
        <v>4.3099999999999996</v>
      </c>
      <c r="G34" s="11">
        <v>4.3499999999999996</v>
      </c>
      <c r="H34" s="11">
        <v>4.38</v>
      </c>
      <c r="I34" s="11">
        <v>4.53</v>
      </c>
      <c r="J34" s="11">
        <v>4.53</v>
      </c>
      <c r="K34" s="11">
        <v>4.58</v>
      </c>
      <c r="L34" s="11">
        <v>4.5999999999999996</v>
      </c>
      <c r="M34" s="11">
        <v>4.97</v>
      </c>
      <c r="N34" s="11">
        <v>5.2</v>
      </c>
      <c r="O34" s="11">
        <v>5.25</v>
      </c>
      <c r="P34" s="11">
        <v>5.29</v>
      </c>
      <c r="Q34" s="11">
        <v>5.34</v>
      </c>
      <c r="R34" s="11">
        <v>5.39</v>
      </c>
      <c r="S34" s="11">
        <v>5.42</v>
      </c>
      <c r="T34" s="11">
        <v>5.44</v>
      </c>
      <c r="U34" s="11">
        <v>5.72</v>
      </c>
      <c r="V34" s="11">
        <v>5.77</v>
      </c>
      <c r="W34" s="11">
        <v>5.8</v>
      </c>
      <c r="X34" s="11">
        <v>5.8</v>
      </c>
      <c r="Y34" s="11">
        <v>5.86</v>
      </c>
      <c r="Z34" s="11">
        <v>6.09</v>
      </c>
      <c r="AA34" s="11">
        <v>6.44</v>
      </c>
      <c r="AB34" s="11">
        <v>6.53</v>
      </c>
      <c r="AC34" s="11">
        <v>6.69</v>
      </c>
      <c r="AD34" s="11">
        <v>6.9</v>
      </c>
      <c r="AE34" s="11">
        <v>7.03</v>
      </c>
      <c r="AF34" s="11">
        <v>7.21</v>
      </c>
      <c r="AG34" s="11">
        <v>7.3</v>
      </c>
      <c r="AH34" s="11">
        <v>7.33</v>
      </c>
      <c r="AI34" s="11">
        <v>7.5</v>
      </c>
      <c r="AJ34" s="11">
        <v>7.95</v>
      </c>
      <c r="AK34" s="11">
        <v>7.95</v>
      </c>
      <c r="AL34" s="11">
        <v>8.31</v>
      </c>
      <c r="AM34" s="11">
        <v>10</v>
      </c>
      <c r="AN34" s="11">
        <v>10</v>
      </c>
      <c r="AO34" s="11">
        <v>10</v>
      </c>
      <c r="AP34" s="11">
        <v>16.059999999999999</v>
      </c>
      <c r="AQ34" s="11">
        <v>21.09</v>
      </c>
      <c r="AR34" s="11">
        <v>21.34</v>
      </c>
      <c r="AS34" s="11">
        <v>21.74</v>
      </c>
      <c r="AT34" s="11">
        <v>22.5</v>
      </c>
      <c r="AU34" s="11">
        <v>22.52</v>
      </c>
      <c r="AV34" s="11">
        <v>22.77</v>
      </c>
      <c r="AW34" s="11">
        <v>22.8</v>
      </c>
      <c r="AX34" s="11">
        <v>24.88</v>
      </c>
      <c r="AY34" s="11">
        <v>24.89</v>
      </c>
      <c r="AZ34" s="11">
        <v>55.37</v>
      </c>
      <c r="BA34" s="11">
        <v>56.48</v>
      </c>
      <c r="BB34" s="11">
        <v>60</v>
      </c>
      <c r="BC34" s="11">
        <v>60</v>
      </c>
      <c r="BD34" s="11">
        <v>60</v>
      </c>
      <c r="BE34" s="11">
        <v>60</v>
      </c>
      <c r="BF34" s="11">
        <v>60</v>
      </c>
      <c r="BG34" s="11">
        <v>60</v>
      </c>
      <c r="BH34" s="11">
        <v>60</v>
      </c>
      <c r="BI34" s="11">
        <v>60</v>
      </c>
      <c r="BJ34" s="11">
        <v>60</v>
      </c>
      <c r="BK34" s="11">
        <v>60</v>
      </c>
      <c r="BL34" s="11">
        <v>60</v>
      </c>
      <c r="BM34" s="11">
        <v>60</v>
      </c>
      <c r="BN34" s="11">
        <v>65.680000000000007</v>
      </c>
      <c r="BO34" s="11">
        <v>67.239999999999995</v>
      </c>
      <c r="BP34" s="11">
        <v>67.31</v>
      </c>
      <c r="BQ34" s="11">
        <v>67.42</v>
      </c>
      <c r="BR34" s="11">
        <v>67.61</v>
      </c>
      <c r="BS34" s="11">
        <v>68.44</v>
      </c>
      <c r="BT34" s="11">
        <v>69.55</v>
      </c>
      <c r="BU34" s="11">
        <v>70.3</v>
      </c>
      <c r="BV34" s="11">
        <v>70.75</v>
      </c>
      <c r="BW34" s="11">
        <v>70.89</v>
      </c>
      <c r="BX34" s="12">
        <v>3.8406827880512089</v>
      </c>
      <c r="BY34" s="12">
        <v>3.7333333333333334</v>
      </c>
      <c r="BZ34" s="12">
        <v>3.5143769968051117</v>
      </c>
      <c r="CA34" s="12">
        <v>3.4782608695652177</v>
      </c>
      <c r="CB34" s="12">
        <v>3.4482758620689657</v>
      </c>
      <c r="CC34" s="12">
        <v>3.3707865168539328</v>
      </c>
      <c r="CD34" s="12">
        <v>3.333333333333333</v>
      </c>
      <c r="CE34" s="12">
        <v>3.3088235294117645</v>
      </c>
      <c r="CF34" s="12">
        <v>3.2928942807625652</v>
      </c>
      <c r="CG34" s="12">
        <v>3.2704402515723268</v>
      </c>
      <c r="CH34" s="12">
        <v>3.2608695652173911</v>
      </c>
      <c r="CI34" s="12">
        <v>3.2482598607888633</v>
      </c>
      <c r="CJ34" s="12">
        <v>3.1963470319634704</v>
      </c>
      <c r="CK34" s="12">
        <v>3.1468531468531471</v>
      </c>
      <c r="CL34" s="12">
        <v>3.103448275862069</v>
      </c>
      <c r="CM34" s="12">
        <v>3.0905077262693155</v>
      </c>
      <c r="CN34" s="12">
        <v>3.0769230769230771</v>
      </c>
      <c r="CO34" s="12">
        <v>2.9885057471264371</v>
      </c>
      <c r="CP34" s="12">
        <v>2.9684601113172544</v>
      </c>
      <c r="CQ34" s="12">
        <v>2.912621359223301</v>
      </c>
      <c r="CR34" s="12">
        <v>2.8846153846153846</v>
      </c>
      <c r="CS34" s="12">
        <v>2.7397260273972601</v>
      </c>
      <c r="CT34" s="12">
        <v>2.7303754266211602</v>
      </c>
      <c r="CU34" s="12">
        <v>2.6905829596412554</v>
      </c>
      <c r="CV34" s="12">
        <v>2.6506024096385539</v>
      </c>
      <c r="CW34" s="12">
        <v>2.6490066225165561</v>
      </c>
      <c r="CX34" s="12">
        <v>2.6474127557160045</v>
      </c>
      <c r="CY34" s="12">
        <v>2.6465028355387523</v>
      </c>
      <c r="CZ34" s="12">
        <v>2.6200873362445414</v>
      </c>
      <c r="DA34" s="12">
        <v>2.6156941649899399</v>
      </c>
      <c r="DB34" s="12">
        <v>2.5920873124147339</v>
      </c>
      <c r="DC34" s="12">
        <v>2.5380710659898478</v>
      </c>
      <c r="DD34" s="12">
        <v>2.3985239852398523</v>
      </c>
      <c r="DE34" s="12">
        <v>2.3899371069182389</v>
      </c>
      <c r="DF34" s="12">
        <v>2.2970903522205206</v>
      </c>
      <c r="DG34" s="12">
        <v>2.2857142857142856</v>
      </c>
      <c r="DH34" s="12">
        <v>1.80623973727422</v>
      </c>
      <c r="DI34" s="12">
        <v>1.4888337468982631</v>
      </c>
      <c r="DJ34" s="12">
        <v>1.1855670103092784</v>
      </c>
      <c r="DK34" s="12">
        <v>1.1183597390493942</v>
      </c>
      <c r="DL34" s="12">
        <v>3.0263157894736841</v>
      </c>
      <c r="DM34" s="12">
        <v>2.8419182948490231</v>
      </c>
      <c r="DN34" s="12">
        <v>2.6929260450160775</v>
      </c>
      <c r="DO34" s="12">
        <v>2.5777777777777779</v>
      </c>
      <c r="DP34" s="12">
        <v>2.5130393551446182</v>
      </c>
      <c r="DQ34" s="12">
        <v>2.4839006439742413</v>
      </c>
      <c r="DR34" s="12">
        <v>2.4106066693451185</v>
      </c>
      <c r="DS34" s="12">
        <v>2.2837066315327186</v>
      </c>
      <c r="DT34" s="12">
        <v>2.1793275217932755</v>
      </c>
      <c r="DU34" s="12">
        <v>1.7806935332708529</v>
      </c>
      <c r="DV34" s="12">
        <v>1.1685552407932012</v>
      </c>
      <c r="DW34" s="12">
        <v>0.99331768105472285</v>
      </c>
      <c r="DX34" s="12">
        <v>0.76033746484741171</v>
      </c>
      <c r="DY34" s="12">
        <v>0.68155111633372512</v>
      </c>
      <c r="DZ34" s="12">
        <v>0.68119891008174394</v>
      </c>
      <c r="EA34" s="12">
        <v>0</v>
      </c>
      <c r="EB34" s="12">
        <v>0</v>
      </c>
      <c r="EC34" s="12">
        <v>0</v>
      </c>
      <c r="ED34" s="12">
        <v>0</v>
      </c>
      <c r="EE34" s="12">
        <v>0</v>
      </c>
      <c r="EF34" s="12">
        <v>0</v>
      </c>
      <c r="EG34" s="12">
        <v>0</v>
      </c>
      <c r="EH34" s="12">
        <v>0</v>
      </c>
      <c r="EI34" s="12">
        <v>0</v>
      </c>
      <c r="EJ34" s="12">
        <v>2.5970399329796146</v>
      </c>
      <c r="EK34" s="12">
        <v>2.5654314589271832</v>
      </c>
      <c r="EL34" s="12">
        <v>2.4686133446184231</v>
      </c>
      <c r="EM34" s="12">
        <v>2.4547048509643483</v>
      </c>
      <c r="EN34" s="12">
        <v>2.4516129032258065</v>
      </c>
      <c r="EO34" s="12">
        <v>2.4381141933076251</v>
      </c>
      <c r="EP34" s="12">
        <v>2.4195728575290616</v>
      </c>
      <c r="EQ34" s="12">
        <v>2.3960952521816301</v>
      </c>
      <c r="ER34" s="12">
        <v>2.3911943319838054</v>
      </c>
      <c r="ES34" s="12">
        <v>2.3903775883069427</v>
      </c>
      <c r="ET34" s="11">
        <v>94.42</v>
      </c>
      <c r="EU34" s="11">
        <v>332.44</v>
      </c>
      <c r="EV34" s="11">
        <v>335.26000000000005</v>
      </c>
      <c r="EW34" s="12">
        <v>65.584003663302084</v>
      </c>
      <c r="EX34" s="12">
        <v>26.952085184025311</v>
      </c>
      <c r="EY34" s="12">
        <v>12.537402490715374</v>
      </c>
      <c r="EZ34" s="11">
        <v>762.12000000000012</v>
      </c>
      <c r="FA34" s="12">
        <v>105.07349133804277</v>
      </c>
      <c r="FB34" s="11">
        <v>240.88000000000002</v>
      </c>
      <c r="FC34" s="11">
        <v>1052.44</v>
      </c>
      <c r="FD34" s="11">
        <v>685.19</v>
      </c>
      <c r="FE34" s="12">
        <v>112.55903392825016</v>
      </c>
      <c r="FF34" s="12">
        <v>29.07517267528819</v>
      </c>
      <c r="FG34" s="12">
        <v>24.57275671402444</v>
      </c>
      <c r="FH34" s="11">
        <v>1978.5100000000002</v>
      </c>
      <c r="FI34" s="12">
        <v>166.20696331756281</v>
      </c>
      <c r="FJ34" s="13">
        <v>74.785821785016211</v>
      </c>
      <c r="FK34" s="13">
        <v>56.530604265760374</v>
      </c>
      <c r="FL34" s="13">
        <v>56.13366171107814</v>
      </c>
      <c r="FM34" s="13">
        <v>55.254624941563385</v>
      </c>
      <c r="FN34" s="13">
        <v>53.761825482194411</v>
      </c>
      <c r="FO34" s="13">
        <v>50.770688300658605</v>
      </c>
      <c r="FP34" s="13">
        <v>50.508395723620964</v>
      </c>
      <c r="FQ34" s="13">
        <v>49.351951119908406</v>
      </c>
      <c r="FR34" s="13">
        <v>47.819643551813101</v>
      </c>
      <c r="FS34" s="13">
        <v>47.649063078701815</v>
      </c>
      <c r="FT34" s="13">
        <v>46.386507009400461</v>
      </c>
      <c r="FU34" s="13">
        <v>46.298069196874685</v>
      </c>
      <c r="FV34" s="13">
        <v>45.973586129683149</v>
      </c>
      <c r="FW34" s="13">
        <v>45.667441122714699</v>
      </c>
      <c r="FX34" s="13">
        <v>43.908764292594967</v>
      </c>
      <c r="FY34" s="13">
        <v>43.517732829135952</v>
      </c>
      <c r="FZ34" s="13">
        <v>43.178846954505659</v>
      </c>
      <c r="GA34" s="13">
        <v>43.092912002135222</v>
      </c>
      <c r="GB34" s="13">
        <v>43.026650003016769</v>
      </c>
      <c r="GC34" s="13">
        <v>42.88415677083163</v>
      </c>
      <c r="GD34" s="13">
        <v>42.713178671034953</v>
      </c>
      <c r="GE34" s="13">
        <v>41.876008488015621</v>
      </c>
      <c r="GF34" s="13">
        <v>40.788369105622117</v>
      </c>
      <c r="GG34" s="13">
        <v>40.270725190260599</v>
      </c>
      <c r="GH34" s="13">
        <v>39.003659117777708</v>
      </c>
      <c r="GI34" s="13">
        <v>37.458121531041378</v>
      </c>
      <c r="GJ34" s="13">
        <v>36.241084742471536</v>
      </c>
      <c r="GK34" s="13">
        <v>34.753337995402752</v>
      </c>
      <c r="GL34" s="13">
        <v>34.5606023932474</v>
      </c>
      <c r="GM34" s="13">
        <v>33.865881873708204</v>
      </c>
      <c r="GN34" s="13">
        <v>33.643414309590781</v>
      </c>
      <c r="GO34" s="13">
        <v>32.227980515021713</v>
      </c>
      <c r="GP34" s="13">
        <v>30.403865525243162</v>
      </c>
      <c r="GQ34" s="13">
        <v>29.213985530565434</v>
      </c>
      <c r="GR34" s="13">
        <v>28.441526329700356</v>
      </c>
      <c r="GS34" s="13">
        <v>26.483869619498428</v>
      </c>
      <c r="GT34" s="13">
        <v>24.120996553767021</v>
      </c>
      <c r="GU34" s="13">
        <v>12.302680699193751</v>
      </c>
      <c r="GV34" s="13">
        <v>10.046474300869352</v>
      </c>
      <c r="GW34" s="13">
        <v>7.9509520571425991</v>
      </c>
      <c r="GX34" s="13">
        <v>52.133691539881802</v>
      </c>
      <c r="GY34" s="13">
        <v>49.382417249943913</v>
      </c>
      <c r="GZ34" s="13">
        <v>47.97989043878956</v>
      </c>
      <c r="HA34" s="13">
        <v>45.719798874315437</v>
      </c>
      <c r="HB34" s="13">
        <v>44.820463147196605</v>
      </c>
      <c r="HC34" s="13">
        <v>44.239597745049728</v>
      </c>
      <c r="HD34" s="13">
        <v>43.640306352563485</v>
      </c>
      <c r="HE34" s="13">
        <v>39.377198849260495</v>
      </c>
      <c r="HF34" s="13">
        <v>39.05418267485426</v>
      </c>
      <c r="HG34" s="13">
        <v>32.130073434419678</v>
      </c>
      <c r="HH34" s="13">
        <v>10.667965267360175</v>
      </c>
      <c r="HI34" s="13">
        <v>9.1950612543645551</v>
      </c>
      <c r="HJ34" s="13">
        <v>4.7878825554918087</v>
      </c>
      <c r="HK34" s="13">
        <v>4.6698869654435695</v>
      </c>
      <c r="HL34" s="13">
        <v>4.5563644784370796</v>
      </c>
      <c r="HM34" s="13">
        <v>0</v>
      </c>
      <c r="HN34" s="13">
        <v>0</v>
      </c>
      <c r="HO34" s="13">
        <v>0</v>
      </c>
      <c r="HP34" s="13">
        <v>0</v>
      </c>
      <c r="HQ34" s="13">
        <v>0</v>
      </c>
      <c r="HR34" s="13">
        <v>0</v>
      </c>
      <c r="HS34" s="13">
        <v>0</v>
      </c>
      <c r="HT34" s="13">
        <v>0</v>
      </c>
      <c r="HU34" s="13">
        <v>0</v>
      </c>
      <c r="HV34" s="13">
        <v>56.812625666129811</v>
      </c>
      <c r="HW34" s="13">
        <v>55.558890291961212</v>
      </c>
      <c r="HX34" s="13">
        <v>55.433530037109293</v>
      </c>
      <c r="HY34" s="13">
        <v>54.574112118830428</v>
      </c>
      <c r="HZ34" s="13">
        <v>54.391851720114772</v>
      </c>
      <c r="IA34" s="13">
        <v>53.259529975078308</v>
      </c>
      <c r="IB34" s="13">
        <v>52.974768947645117</v>
      </c>
      <c r="IC34" s="13">
        <v>52.804870486267902</v>
      </c>
      <c r="ID34" s="13">
        <v>52.272788981387791</v>
      </c>
      <c r="IE34" s="13">
        <v>51.742681346594161</v>
      </c>
      <c r="IF34" s="13">
        <v>1602.8676608203834</v>
      </c>
      <c r="IG34" s="13">
        <v>472.35478082737211</v>
      </c>
      <c r="IH34" s="13">
        <v>539.82564957111867</v>
      </c>
      <c r="II34" s="13">
        <v>986.50094627120848</v>
      </c>
      <c r="IJ34" s="13">
        <v>458.34064682799959</v>
      </c>
      <c r="IK34" s="13">
        <v>276.7710098341455</v>
      </c>
      <c r="IL34" s="8">
        <v>0.43980886804691449</v>
      </c>
      <c r="IM34" s="8">
        <v>0.62811520252621378</v>
      </c>
      <c r="IN34" s="8">
        <v>2.0700289614343643</v>
      </c>
      <c r="IO34" s="8">
        <v>0.83002894252523352</v>
      </c>
      <c r="IP34" s="8">
        <v>0.2403697613148138</v>
      </c>
      <c r="IQ34" s="8">
        <v>0.11028973953217282</v>
      </c>
      <c r="IR34" s="8">
        <v>1.9359600045098895</v>
      </c>
      <c r="IS34" s="8">
        <v>0.37162401808904771</v>
      </c>
    </row>
    <row r="35" spans="1:253" x14ac:dyDescent="0.25">
      <c r="A35" s="10">
        <v>43941</v>
      </c>
      <c r="B35" s="11">
        <v>10</v>
      </c>
      <c r="C35" s="11">
        <v>10</v>
      </c>
      <c r="D35" s="11">
        <v>10</v>
      </c>
      <c r="E35" s="11">
        <v>10</v>
      </c>
      <c r="F35" s="11">
        <v>10</v>
      </c>
      <c r="G35" s="11">
        <v>10</v>
      </c>
      <c r="H35" s="11">
        <v>10</v>
      </c>
      <c r="I35" s="11">
        <v>10</v>
      </c>
      <c r="J35" s="11">
        <v>10</v>
      </c>
      <c r="K35" s="11">
        <v>10</v>
      </c>
      <c r="L35" s="11">
        <v>10</v>
      </c>
      <c r="M35" s="11">
        <v>10</v>
      </c>
      <c r="N35" s="11">
        <v>10</v>
      </c>
      <c r="O35" s="11">
        <v>10</v>
      </c>
      <c r="P35" s="11">
        <v>10</v>
      </c>
      <c r="Q35" s="11">
        <v>10</v>
      </c>
      <c r="R35" s="11">
        <v>10</v>
      </c>
      <c r="S35" s="11">
        <v>10</v>
      </c>
      <c r="T35" s="11">
        <v>10</v>
      </c>
      <c r="U35" s="11">
        <v>10</v>
      </c>
      <c r="V35" s="11">
        <v>10</v>
      </c>
      <c r="W35" s="11">
        <v>10</v>
      </c>
      <c r="X35" s="11">
        <v>10</v>
      </c>
      <c r="Y35" s="11">
        <v>10</v>
      </c>
      <c r="Z35" s="11">
        <v>10</v>
      </c>
      <c r="AA35" s="11">
        <v>10</v>
      </c>
      <c r="AB35" s="11">
        <v>10</v>
      </c>
      <c r="AC35" s="11">
        <v>10</v>
      </c>
      <c r="AD35" s="11">
        <v>10</v>
      </c>
      <c r="AE35" s="11">
        <v>10</v>
      </c>
      <c r="AF35" s="11">
        <v>10</v>
      </c>
      <c r="AG35" s="11">
        <v>10</v>
      </c>
      <c r="AH35" s="11">
        <v>10</v>
      </c>
      <c r="AI35" s="11">
        <v>10</v>
      </c>
      <c r="AJ35" s="11">
        <v>10</v>
      </c>
      <c r="AK35" s="11">
        <v>10</v>
      </c>
      <c r="AL35" s="11">
        <v>10</v>
      </c>
      <c r="AM35" s="11">
        <v>10</v>
      </c>
      <c r="AN35" s="11">
        <v>10</v>
      </c>
      <c r="AO35" s="11">
        <v>10</v>
      </c>
      <c r="AP35" s="11">
        <v>21.24</v>
      </c>
      <c r="AQ35" s="11">
        <v>24.31</v>
      </c>
      <c r="AR35" s="11">
        <v>60</v>
      </c>
      <c r="AS35" s="11">
        <v>60</v>
      </c>
      <c r="AT35" s="11">
        <v>60</v>
      </c>
      <c r="AU35" s="11">
        <v>60</v>
      </c>
      <c r="AV35" s="11">
        <v>60</v>
      </c>
      <c r="AW35" s="11">
        <v>60</v>
      </c>
      <c r="AX35" s="11">
        <v>60</v>
      </c>
      <c r="AY35" s="11">
        <v>60</v>
      </c>
      <c r="AZ35" s="11">
        <v>60</v>
      </c>
      <c r="BA35" s="11">
        <v>60</v>
      </c>
      <c r="BB35" s="11">
        <v>60</v>
      </c>
      <c r="BC35" s="11">
        <v>60</v>
      </c>
      <c r="BD35" s="11">
        <v>60</v>
      </c>
      <c r="BE35" s="11">
        <v>60</v>
      </c>
      <c r="BF35" s="11">
        <v>60</v>
      </c>
      <c r="BG35" s="11">
        <v>60</v>
      </c>
      <c r="BH35" s="11">
        <v>60</v>
      </c>
      <c r="BI35" s="11">
        <v>60</v>
      </c>
      <c r="BJ35" s="11">
        <v>60</v>
      </c>
      <c r="BK35" s="11">
        <v>60</v>
      </c>
      <c r="BL35" s="11">
        <v>60</v>
      </c>
      <c r="BM35" s="11">
        <v>60</v>
      </c>
      <c r="BN35" s="11">
        <v>71.77</v>
      </c>
      <c r="BO35" s="11">
        <v>75.87</v>
      </c>
      <c r="BP35" s="11">
        <v>77.08</v>
      </c>
      <c r="BQ35" s="11">
        <v>78.44</v>
      </c>
      <c r="BR35" s="11">
        <v>78.489999999999995</v>
      </c>
      <c r="BS35" s="11">
        <v>84.27</v>
      </c>
      <c r="BT35" s="11">
        <v>88.06</v>
      </c>
      <c r="BU35" s="11">
        <v>100.19</v>
      </c>
      <c r="BV35" s="11">
        <v>240</v>
      </c>
      <c r="BW35" s="11">
        <v>240</v>
      </c>
      <c r="BX35" s="12">
        <v>0</v>
      </c>
      <c r="BY35" s="12">
        <v>0</v>
      </c>
      <c r="BZ35" s="12">
        <v>0</v>
      </c>
      <c r="CA35" s="12">
        <v>0</v>
      </c>
      <c r="CB35" s="12">
        <v>0</v>
      </c>
      <c r="CC35" s="12">
        <v>0</v>
      </c>
      <c r="CD35" s="12">
        <v>0</v>
      </c>
      <c r="CE35" s="12">
        <v>0</v>
      </c>
      <c r="CF35" s="12">
        <v>0</v>
      </c>
      <c r="CG35" s="12">
        <v>0</v>
      </c>
      <c r="CH35" s="12">
        <v>0</v>
      </c>
      <c r="CI35" s="12">
        <v>0</v>
      </c>
      <c r="CJ35" s="12">
        <v>0</v>
      </c>
      <c r="CK35" s="12">
        <v>0</v>
      </c>
      <c r="CL35" s="12">
        <v>0</v>
      </c>
      <c r="CM35" s="12">
        <v>0</v>
      </c>
      <c r="CN35" s="12">
        <v>0</v>
      </c>
      <c r="CO35" s="12">
        <v>0</v>
      </c>
      <c r="CP35" s="12">
        <v>0</v>
      </c>
      <c r="CQ35" s="12">
        <v>0</v>
      </c>
      <c r="CR35" s="12">
        <v>0</v>
      </c>
      <c r="CS35" s="12">
        <v>0</v>
      </c>
      <c r="CT35" s="12">
        <v>0</v>
      </c>
      <c r="CU35" s="12">
        <v>0</v>
      </c>
      <c r="CV35" s="12">
        <v>0</v>
      </c>
      <c r="CW35" s="12">
        <v>0</v>
      </c>
      <c r="CX35" s="12">
        <v>0</v>
      </c>
      <c r="CY35" s="12">
        <v>0</v>
      </c>
      <c r="CZ35" s="12">
        <v>0</v>
      </c>
      <c r="DA35" s="12">
        <v>0</v>
      </c>
      <c r="DB35" s="12">
        <v>0</v>
      </c>
      <c r="DC35" s="12">
        <v>0</v>
      </c>
      <c r="DD35" s="12">
        <v>0</v>
      </c>
      <c r="DE35" s="12">
        <v>0</v>
      </c>
      <c r="DF35" s="12">
        <v>0</v>
      </c>
      <c r="DG35" s="12">
        <v>0</v>
      </c>
      <c r="DH35" s="12">
        <v>0</v>
      </c>
      <c r="DI35" s="12">
        <v>0</v>
      </c>
      <c r="DJ35" s="12">
        <v>0</v>
      </c>
      <c r="DK35" s="12">
        <v>0</v>
      </c>
      <c r="DL35" s="12">
        <v>2.7560674619498151</v>
      </c>
      <c r="DM35" s="12">
        <v>2.4011299435028248</v>
      </c>
      <c r="DN35" s="12">
        <v>0</v>
      </c>
      <c r="DO35" s="12">
        <v>0</v>
      </c>
      <c r="DP35" s="12">
        <v>0</v>
      </c>
      <c r="DQ35" s="12">
        <v>0</v>
      </c>
      <c r="DR35" s="12">
        <v>0</v>
      </c>
      <c r="DS35" s="12">
        <v>0</v>
      </c>
      <c r="DT35" s="12">
        <v>0</v>
      </c>
      <c r="DU35" s="12">
        <v>0</v>
      </c>
      <c r="DV35" s="12">
        <v>0</v>
      </c>
      <c r="DW35" s="12">
        <v>0</v>
      </c>
      <c r="DX35" s="12">
        <v>0</v>
      </c>
      <c r="DY35" s="12">
        <v>0</v>
      </c>
      <c r="DZ35" s="12">
        <v>0</v>
      </c>
      <c r="EA35" s="12">
        <v>0</v>
      </c>
      <c r="EB35" s="12">
        <v>0</v>
      </c>
      <c r="EC35" s="12">
        <v>0</v>
      </c>
      <c r="ED35" s="12">
        <v>0</v>
      </c>
      <c r="EE35" s="12">
        <v>0</v>
      </c>
      <c r="EF35" s="12">
        <v>0</v>
      </c>
      <c r="EG35" s="12">
        <v>0</v>
      </c>
      <c r="EH35" s="12">
        <v>0</v>
      </c>
      <c r="EI35" s="12">
        <v>0</v>
      </c>
      <c r="EJ35" s="12">
        <v>2.6117976812332784</v>
      </c>
      <c r="EK35" s="12">
        <v>2.5869229856413907</v>
      </c>
      <c r="EL35" s="12">
        <v>2.5624681285058646</v>
      </c>
      <c r="EM35" s="12">
        <v>2.3592988005799391</v>
      </c>
      <c r="EN35" s="12">
        <v>2.2371110606404723</v>
      </c>
      <c r="EO35" s="12">
        <v>2.0757654385054489</v>
      </c>
      <c r="EP35" s="12">
        <v>2.0482095583112723</v>
      </c>
      <c r="EQ35" s="12">
        <v>2.0361313504341751</v>
      </c>
      <c r="ER35" s="12">
        <v>0</v>
      </c>
      <c r="ES35" s="12">
        <v>0</v>
      </c>
      <c r="ET35" s="11">
        <v>200</v>
      </c>
      <c r="EU35" s="11">
        <v>645.54999999999995</v>
      </c>
      <c r="EV35" s="11">
        <v>381.65</v>
      </c>
      <c r="EW35" s="12">
        <v>0</v>
      </c>
      <c r="EX35" s="12">
        <v>5.1571974054526404</v>
      </c>
      <c r="EY35" s="12">
        <v>12.357598656600945</v>
      </c>
      <c r="EZ35" s="11">
        <v>1227.1999999999998</v>
      </c>
      <c r="FA35" s="12">
        <v>17.514796062053584</v>
      </c>
      <c r="FB35" s="11">
        <v>400</v>
      </c>
      <c r="FC35" s="11">
        <v>1365.55</v>
      </c>
      <c r="FD35" s="11">
        <v>1134.17</v>
      </c>
      <c r="FE35" s="12">
        <v>0</v>
      </c>
      <c r="FF35" s="12">
        <v>5.1571974054526404</v>
      </c>
      <c r="FG35" s="12">
        <v>18.517705003851841</v>
      </c>
      <c r="FH35" s="11">
        <v>2899.7200000000003</v>
      </c>
      <c r="FI35" s="12">
        <v>23.67490240930448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0</v>
      </c>
      <c r="FQ35" s="13">
        <v>0</v>
      </c>
      <c r="FR35" s="13">
        <v>0</v>
      </c>
      <c r="FS35" s="13">
        <v>0</v>
      </c>
      <c r="FT35" s="13">
        <v>0</v>
      </c>
      <c r="FU35" s="13">
        <v>0</v>
      </c>
      <c r="FV35" s="13">
        <v>0</v>
      </c>
      <c r="FW35" s="13">
        <v>0</v>
      </c>
      <c r="FX35" s="13">
        <v>0</v>
      </c>
      <c r="FY35" s="13">
        <v>0</v>
      </c>
      <c r="FZ35" s="13">
        <v>0</v>
      </c>
      <c r="GA35" s="13">
        <v>0</v>
      </c>
      <c r="GB35" s="13">
        <v>0</v>
      </c>
      <c r="GC35" s="13">
        <v>0</v>
      </c>
      <c r="GD35" s="13">
        <v>0</v>
      </c>
      <c r="GE35" s="13">
        <v>0</v>
      </c>
      <c r="GF35" s="13">
        <v>0</v>
      </c>
      <c r="GG35" s="13">
        <v>0</v>
      </c>
      <c r="GH35" s="13">
        <v>0</v>
      </c>
      <c r="GI35" s="13">
        <v>0</v>
      </c>
      <c r="GJ35" s="13">
        <v>0</v>
      </c>
      <c r="GK35" s="13">
        <v>0</v>
      </c>
      <c r="GL35" s="13">
        <v>0</v>
      </c>
      <c r="GM35" s="13">
        <v>0</v>
      </c>
      <c r="GN35" s="13">
        <v>0</v>
      </c>
      <c r="GO35" s="13">
        <v>0</v>
      </c>
      <c r="GP35" s="13">
        <v>0</v>
      </c>
      <c r="GQ35" s="13">
        <v>0</v>
      </c>
      <c r="GR35" s="13">
        <v>0</v>
      </c>
      <c r="GS35" s="13">
        <v>0</v>
      </c>
      <c r="GT35" s="13">
        <v>0</v>
      </c>
      <c r="GU35" s="13">
        <v>0</v>
      </c>
      <c r="GV35" s="13">
        <v>0</v>
      </c>
      <c r="GW35" s="13">
        <v>0</v>
      </c>
      <c r="GX35" s="13">
        <v>45.394057125413539</v>
      </c>
      <c r="GY35" s="13">
        <v>43.467647067913205</v>
      </c>
      <c r="GZ35" s="13">
        <v>0</v>
      </c>
      <c r="HA35" s="13">
        <v>0</v>
      </c>
      <c r="HB35" s="13">
        <v>0</v>
      </c>
      <c r="HC35" s="13">
        <v>0</v>
      </c>
      <c r="HD35" s="13">
        <v>0</v>
      </c>
      <c r="HE35" s="13">
        <v>0</v>
      </c>
      <c r="HF35" s="13">
        <v>0</v>
      </c>
      <c r="HG35" s="13">
        <v>0</v>
      </c>
      <c r="HH35" s="13">
        <v>0</v>
      </c>
      <c r="HI35" s="13">
        <v>0</v>
      </c>
      <c r="HJ35" s="13">
        <v>0</v>
      </c>
      <c r="HK35" s="13">
        <v>0</v>
      </c>
      <c r="HL35" s="13">
        <v>0</v>
      </c>
      <c r="HM35" s="13">
        <v>0</v>
      </c>
      <c r="HN35" s="13">
        <v>0</v>
      </c>
      <c r="HO35" s="13">
        <v>0</v>
      </c>
      <c r="HP35" s="13">
        <v>0</v>
      </c>
      <c r="HQ35" s="13">
        <v>0</v>
      </c>
      <c r="HR35" s="13">
        <v>0</v>
      </c>
      <c r="HS35" s="13">
        <v>0</v>
      </c>
      <c r="HT35" s="13">
        <v>0</v>
      </c>
      <c r="HU35" s="13">
        <v>0</v>
      </c>
      <c r="HV35" s="13">
        <v>53.587038576909592</v>
      </c>
      <c r="HW35" s="13">
        <v>52.598386046055332</v>
      </c>
      <c r="HX35" s="13">
        <v>50.501311795500285</v>
      </c>
      <c r="HY35" s="13">
        <v>49.570596323247223</v>
      </c>
      <c r="HZ35" s="13">
        <v>44.740886138253082</v>
      </c>
      <c r="IA35" s="13">
        <v>43.132967466878135</v>
      </c>
      <c r="IB35" s="13">
        <v>42.347982367843805</v>
      </c>
      <c r="IC35" s="13">
        <v>35.214293735833628</v>
      </c>
      <c r="ID35" s="13">
        <v>0</v>
      </c>
      <c r="IE35" s="13">
        <v>0</v>
      </c>
      <c r="IF35" s="13">
        <v>0</v>
      </c>
      <c r="IG35" s="13">
        <v>88.861704193326744</v>
      </c>
      <c r="IH35" s="13">
        <v>371.69346245052111</v>
      </c>
      <c r="II35" s="13">
        <v>0</v>
      </c>
      <c r="IJ35" s="13">
        <v>88.861704193326744</v>
      </c>
      <c r="IK35" s="13">
        <v>250.99821887996552</v>
      </c>
      <c r="IL35" s="8">
        <v>0</v>
      </c>
      <c r="IM35" s="8">
        <v>1.19996987308788E-2</v>
      </c>
      <c r="IN35" s="8">
        <v>1.6254344307298794</v>
      </c>
      <c r="IO35" s="8">
        <v>0</v>
      </c>
      <c r="IP35" s="8">
        <v>0</v>
      </c>
      <c r="IQ35" s="8">
        <v>2.8363683188893886E-3</v>
      </c>
      <c r="IR35" s="8">
        <v>0.60686756742984138</v>
      </c>
      <c r="IS35" s="8">
        <v>0</v>
      </c>
    </row>
    <row r="36" spans="1:253" x14ac:dyDescent="0.25">
      <c r="A36" s="10">
        <v>43934</v>
      </c>
      <c r="B36" s="11">
        <v>3.16</v>
      </c>
      <c r="C36" s="11">
        <v>3.3</v>
      </c>
      <c r="D36" s="11">
        <v>3.35</v>
      </c>
      <c r="E36" s="11">
        <v>3.67</v>
      </c>
      <c r="F36" s="11">
        <v>3.68</v>
      </c>
      <c r="G36" s="11">
        <v>3.72</v>
      </c>
      <c r="H36" s="11">
        <v>3.99</v>
      </c>
      <c r="I36" s="11">
        <v>4.03</v>
      </c>
      <c r="J36" s="11">
        <v>4.08</v>
      </c>
      <c r="K36" s="11">
        <v>4.1500000000000004</v>
      </c>
      <c r="L36" s="11">
        <v>4.21</v>
      </c>
      <c r="M36" s="11">
        <v>4.25</v>
      </c>
      <c r="N36" s="11">
        <v>4.3099999999999996</v>
      </c>
      <c r="O36" s="11">
        <v>4.3099999999999996</v>
      </c>
      <c r="P36" s="11">
        <v>4.49</v>
      </c>
      <c r="Q36" s="11">
        <v>4.6100000000000003</v>
      </c>
      <c r="R36" s="11">
        <v>4.6399999999999997</v>
      </c>
      <c r="S36" s="11">
        <v>4.67</v>
      </c>
      <c r="T36" s="11">
        <v>4.8099999999999996</v>
      </c>
      <c r="U36" s="11">
        <v>4.8099999999999996</v>
      </c>
      <c r="V36" s="11">
        <v>4.84</v>
      </c>
      <c r="W36" s="11">
        <v>4.8600000000000003</v>
      </c>
      <c r="X36" s="11">
        <v>4.95</v>
      </c>
      <c r="Y36" s="11">
        <v>4.9800000000000004</v>
      </c>
      <c r="Z36" s="11">
        <v>4.9800000000000004</v>
      </c>
      <c r="AA36" s="11">
        <v>5.01</v>
      </c>
      <c r="AB36" s="11">
        <v>5.0199999999999996</v>
      </c>
      <c r="AC36" s="11">
        <v>5.0599999999999996</v>
      </c>
      <c r="AD36" s="11">
        <v>5.07</v>
      </c>
      <c r="AE36" s="11">
        <v>5.17</v>
      </c>
      <c r="AF36" s="11">
        <v>5.17</v>
      </c>
      <c r="AG36" s="11">
        <v>5.18</v>
      </c>
      <c r="AH36" s="11">
        <v>5.27</v>
      </c>
      <c r="AI36" s="11">
        <v>5.3</v>
      </c>
      <c r="AJ36" s="11">
        <v>5.31</v>
      </c>
      <c r="AK36" s="11">
        <v>5.33</v>
      </c>
      <c r="AL36" s="11">
        <v>5.34</v>
      </c>
      <c r="AM36" s="11">
        <v>5.38</v>
      </c>
      <c r="AN36" s="11">
        <v>5.41</v>
      </c>
      <c r="AO36" s="11">
        <v>5.44</v>
      </c>
      <c r="AP36" s="11">
        <v>14.12</v>
      </c>
      <c r="AQ36" s="11">
        <v>20.7</v>
      </c>
      <c r="AR36" s="11">
        <v>21.04</v>
      </c>
      <c r="AS36" s="11">
        <v>21.09</v>
      </c>
      <c r="AT36" s="11">
        <v>21.22</v>
      </c>
      <c r="AU36" s="11">
        <v>21.37</v>
      </c>
      <c r="AV36" s="11">
        <v>21.38</v>
      </c>
      <c r="AW36" s="11">
        <v>21.64</v>
      </c>
      <c r="AX36" s="11">
        <v>21.67</v>
      </c>
      <c r="AY36" s="11">
        <v>22.1</v>
      </c>
      <c r="AZ36" s="11">
        <v>22.23</v>
      </c>
      <c r="BA36" s="11">
        <v>22.68</v>
      </c>
      <c r="BB36" s="11">
        <v>22.94</v>
      </c>
      <c r="BC36" s="11">
        <v>23.98</v>
      </c>
      <c r="BD36" s="11">
        <v>24.32</v>
      </c>
      <c r="BE36" s="11">
        <v>24.43</v>
      </c>
      <c r="BF36" s="11">
        <v>24.77</v>
      </c>
      <c r="BG36" s="11">
        <v>25.56</v>
      </c>
      <c r="BH36" s="11">
        <v>26.36</v>
      </c>
      <c r="BI36" s="11">
        <v>26.47</v>
      </c>
      <c r="BJ36" s="11">
        <v>26.65</v>
      </c>
      <c r="BK36" s="11">
        <v>26.79</v>
      </c>
      <c r="BL36" s="11">
        <v>27.34</v>
      </c>
      <c r="BM36" s="11">
        <v>28.03</v>
      </c>
      <c r="BN36" s="11">
        <v>65.540000000000006</v>
      </c>
      <c r="BO36" s="11">
        <v>67.55</v>
      </c>
      <c r="BP36" s="11">
        <v>69.75</v>
      </c>
      <c r="BQ36" s="11">
        <v>71.44</v>
      </c>
      <c r="BR36" s="11">
        <v>71.66</v>
      </c>
      <c r="BS36" s="11">
        <v>71.77</v>
      </c>
      <c r="BT36" s="11">
        <v>72.45</v>
      </c>
      <c r="BU36" s="11">
        <v>73.11</v>
      </c>
      <c r="BV36" s="11">
        <v>73.12</v>
      </c>
      <c r="BW36" s="11">
        <v>73.17</v>
      </c>
      <c r="BX36" s="12">
        <v>4.301075268817204</v>
      </c>
      <c r="BY36" s="12">
        <v>4.2553191489361701</v>
      </c>
      <c r="BZ36" s="12">
        <v>4.1202672605790642</v>
      </c>
      <c r="CA36" s="12">
        <v>3.9832285115303985</v>
      </c>
      <c r="CB36" s="12">
        <v>3.8793103448275863</v>
      </c>
      <c r="CC36" s="12">
        <v>3.8772213247172855</v>
      </c>
      <c r="CD36" s="12">
        <v>3.8152610441767063</v>
      </c>
      <c r="CE36" s="12">
        <v>3.8051750380517504</v>
      </c>
      <c r="CF36" s="12">
        <v>3.7906137184115525</v>
      </c>
      <c r="CG36" s="12">
        <v>3.75234521575985</v>
      </c>
      <c r="CH36" s="12">
        <v>3.7453183520599254</v>
      </c>
      <c r="CI36" s="12">
        <v>3.6923076923076925</v>
      </c>
      <c r="CJ36" s="12">
        <v>3.6850921273031827</v>
      </c>
      <c r="CK36" s="12">
        <v>3.6144578313253009</v>
      </c>
      <c r="CL36" s="12">
        <v>3.5856573705179287</v>
      </c>
      <c r="CM36" s="12">
        <v>3.5820895522388061</v>
      </c>
      <c r="CN36" s="12">
        <v>3.5616438356164384</v>
      </c>
      <c r="CO36" s="12">
        <v>3.5483870967741935</v>
      </c>
      <c r="CP36" s="12">
        <v>3.5067873303167421</v>
      </c>
      <c r="CQ36" s="12">
        <v>3.4920634920634921</v>
      </c>
      <c r="CR36" s="12">
        <v>3.4816247582205029</v>
      </c>
      <c r="CS36" s="12">
        <v>3.4802784222737824</v>
      </c>
      <c r="CT36" s="12">
        <v>3.4526854219948846</v>
      </c>
      <c r="CU36" s="12">
        <v>3.4210526315789473</v>
      </c>
      <c r="CV36" s="12">
        <v>3.36</v>
      </c>
      <c r="CW36" s="12">
        <v>3.3450704225352115</v>
      </c>
      <c r="CX36" s="12">
        <v>3.3407572383073494</v>
      </c>
      <c r="CY36" s="12">
        <v>3.3333333333333335</v>
      </c>
      <c r="CZ36" s="12">
        <v>3.3156498673740051</v>
      </c>
      <c r="DA36" s="12">
        <v>3.3132530120481931</v>
      </c>
      <c r="DB36" s="12">
        <v>3.3088235294117645</v>
      </c>
      <c r="DC36" s="12">
        <v>3.3043478260869565</v>
      </c>
      <c r="DD36" s="12">
        <v>3.278688524590164</v>
      </c>
      <c r="DE36" s="12">
        <v>3.2482598607888633</v>
      </c>
      <c r="DF36" s="12">
        <v>3.2362459546925568</v>
      </c>
      <c r="DG36" s="12">
        <v>3.2051282051282048</v>
      </c>
      <c r="DH36" s="12">
        <v>3.2015065913370999</v>
      </c>
      <c r="DI36" s="12">
        <v>3.1666666666666665</v>
      </c>
      <c r="DJ36" s="12">
        <v>3.1645569620253164</v>
      </c>
      <c r="DK36" s="12">
        <v>3.1468531468531471</v>
      </c>
      <c r="DL36" s="12">
        <v>3.0324652158401713</v>
      </c>
      <c r="DM36" s="12">
        <v>3.021685033771774</v>
      </c>
      <c r="DN36" s="12">
        <v>2.88153681963714</v>
      </c>
      <c r="DO36" s="12">
        <v>2.7955540586055911</v>
      </c>
      <c r="DP36" s="12">
        <v>2.722658052607291</v>
      </c>
      <c r="DQ36" s="12">
        <v>2.7048849414614455</v>
      </c>
      <c r="DR36" s="12">
        <v>2.6627218934911241</v>
      </c>
      <c r="DS36" s="12">
        <v>2.6545581557806499</v>
      </c>
      <c r="DT36" s="12">
        <v>2.6540710751237064</v>
      </c>
      <c r="DU36" s="12">
        <v>2.6203966005665724</v>
      </c>
      <c r="DV36" s="12">
        <v>2.5904605263157894</v>
      </c>
      <c r="DW36" s="12">
        <v>2.5791855203619907</v>
      </c>
      <c r="DX36" s="12">
        <v>2.560386473429952</v>
      </c>
      <c r="DY36" s="12">
        <v>2.5417298937784523</v>
      </c>
      <c r="DZ36" s="12">
        <v>2.5283347863993022</v>
      </c>
      <c r="EA36" s="12">
        <v>2.5257249766136578</v>
      </c>
      <c r="EB36" s="12">
        <v>2.5130393551446182</v>
      </c>
      <c r="EC36" s="12">
        <v>2.4333177351427233</v>
      </c>
      <c r="ED36" s="12">
        <v>2.376425855513308</v>
      </c>
      <c r="EE36" s="12">
        <v>2.3567467652495377</v>
      </c>
      <c r="EF36" s="12">
        <v>2.3562676720075402</v>
      </c>
      <c r="EG36" s="12">
        <v>2.3408924652523773</v>
      </c>
      <c r="EH36" s="12">
        <v>2.3082942097026606</v>
      </c>
      <c r="EI36" s="12">
        <v>2.2667170381564037</v>
      </c>
      <c r="EJ36" s="12">
        <v>2.7219258651347285</v>
      </c>
      <c r="EK36" s="12">
        <v>2.7131782945736433</v>
      </c>
      <c r="EL36" s="12">
        <v>2.6095450739603687</v>
      </c>
      <c r="EM36" s="12">
        <v>2.5287902172622578</v>
      </c>
      <c r="EN36" s="12">
        <v>2.5225460724088351</v>
      </c>
      <c r="EO36" s="12">
        <v>2.5168340876476432</v>
      </c>
      <c r="EP36" s="12">
        <v>2.4851431658562935</v>
      </c>
      <c r="EQ36" s="12">
        <v>2.4776035834266517</v>
      </c>
      <c r="ER36" s="12">
        <v>2.4717729630759839</v>
      </c>
      <c r="ES36" s="12">
        <v>2.4516129032258065</v>
      </c>
      <c r="ET36" s="11">
        <v>82.240000000000009</v>
      </c>
      <c r="EU36" s="11">
        <v>251.24</v>
      </c>
      <c r="EV36" s="11">
        <v>345.93999999999994</v>
      </c>
      <c r="EW36" s="12">
        <v>75.593621556331271</v>
      </c>
      <c r="EX36" s="12">
        <v>32.920177893563242</v>
      </c>
      <c r="EY36" s="12">
        <v>13.095985523339833</v>
      </c>
      <c r="EZ36" s="11">
        <v>679.42</v>
      </c>
      <c r="FA36" s="12">
        <v>121.60978497323435</v>
      </c>
      <c r="FB36" s="11">
        <v>185.31000000000003</v>
      </c>
      <c r="FC36" s="11">
        <v>558.88</v>
      </c>
      <c r="FD36" s="11">
        <v>709.55999999999983</v>
      </c>
      <c r="FE36" s="12">
        <v>141.69840393157824</v>
      </c>
      <c r="FF36" s="12">
        <v>62.02805511995377</v>
      </c>
      <c r="FG36" s="12">
        <v>25.498952226572214</v>
      </c>
      <c r="FH36" s="11">
        <v>1453.75</v>
      </c>
      <c r="FI36" s="12">
        <v>229.22541127810422</v>
      </c>
      <c r="FJ36" s="13">
        <v>81.105245608896425</v>
      </c>
      <c r="FK36" s="13">
        <v>72.687048263972656</v>
      </c>
      <c r="FL36" s="13">
        <v>68.355103669775275</v>
      </c>
      <c r="FM36" s="13">
        <v>66.893499814555199</v>
      </c>
      <c r="FN36" s="13">
        <v>62.667720400159759</v>
      </c>
      <c r="FO36" s="13">
        <v>59.201383865960771</v>
      </c>
      <c r="FP36" s="13">
        <v>58.656436776042298</v>
      </c>
      <c r="FQ36" s="13">
        <v>57.057446914571834</v>
      </c>
      <c r="FR36" s="13">
        <v>55.569255893092702</v>
      </c>
      <c r="FS36" s="13">
        <v>55.254624941563385</v>
      </c>
      <c r="FT36" s="13">
        <v>55.223564855608537</v>
      </c>
      <c r="FU36" s="13">
        <v>55.010513542189663</v>
      </c>
      <c r="FV36" s="13">
        <v>54.835501244342666</v>
      </c>
      <c r="FW36" s="13">
        <v>54.818625863507485</v>
      </c>
      <c r="FX36" s="13">
        <v>54.08846463250697</v>
      </c>
      <c r="FY36" s="13">
        <v>53.83019724179298</v>
      </c>
      <c r="FZ36" s="13">
        <v>53.09023241197341</v>
      </c>
      <c r="GA36" s="13">
        <v>52.142342834831233</v>
      </c>
      <c r="GB36" s="13">
        <v>51.631015521510975</v>
      </c>
      <c r="GC36" s="13">
        <v>51.19046768010621</v>
      </c>
      <c r="GD36" s="13">
        <v>49.902037340752052</v>
      </c>
      <c r="GE36" s="13">
        <v>49.49834991114875</v>
      </c>
      <c r="GF36" s="13">
        <v>48.607815439453042</v>
      </c>
      <c r="GG36" s="13">
        <v>48.503382240118782</v>
      </c>
      <c r="GH36" s="13">
        <v>48.187105438795662</v>
      </c>
      <c r="GI36" s="13">
        <v>47.819643551813101</v>
      </c>
      <c r="GJ36" s="13">
        <v>47.109716894654959</v>
      </c>
      <c r="GK36" s="13">
        <v>47.058729136015387</v>
      </c>
      <c r="GL36" s="13">
        <v>46.904378867824462</v>
      </c>
      <c r="GM36" s="13">
        <v>46.796003805054688</v>
      </c>
      <c r="GN36" s="13">
        <v>46.785834455937184</v>
      </c>
      <c r="GO36" s="13">
        <v>45.937803309913932</v>
      </c>
      <c r="GP36" s="13">
        <v>45.849369178861323</v>
      </c>
      <c r="GQ36" s="13">
        <v>45.849369178861323</v>
      </c>
      <c r="GR36" s="13">
        <v>45.83730590910794</v>
      </c>
      <c r="GS36" s="13">
        <v>45.540280963191321</v>
      </c>
      <c r="GT36" s="13">
        <v>44.063117866515249</v>
      </c>
      <c r="GU36" s="13">
        <v>43.908764292594967</v>
      </c>
      <c r="GV36" s="13">
        <v>43.734204874434745</v>
      </c>
      <c r="GW36" s="13">
        <v>43.324113177104735</v>
      </c>
      <c r="GX36" s="13">
        <v>63.130810763502097</v>
      </c>
      <c r="GY36" s="13">
        <v>48.601591359750998</v>
      </c>
      <c r="GZ36" s="13">
        <v>47.193795846191627</v>
      </c>
      <c r="HA36" s="13">
        <v>46.538625479860613</v>
      </c>
      <c r="HB36" s="13">
        <v>45.719798874315437</v>
      </c>
      <c r="HC36" s="13">
        <v>45.51340163306061</v>
      </c>
      <c r="HD36" s="13">
        <v>45.41158052977061</v>
      </c>
      <c r="HE36" s="13">
        <v>45.208311497163216</v>
      </c>
      <c r="HF36" s="13">
        <v>44.935440996567529</v>
      </c>
      <c r="HG36" s="13">
        <v>43.97027873421473</v>
      </c>
      <c r="HH36" s="13">
        <v>43.86259109083116</v>
      </c>
      <c r="HI36" s="13">
        <v>43.368841157440578</v>
      </c>
      <c r="HJ36" s="13">
        <v>43.306280166318594</v>
      </c>
      <c r="HK36" s="13">
        <v>42.872638156315077</v>
      </c>
      <c r="HL36" s="13">
        <v>42.683643725924995</v>
      </c>
      <c r="HM36" s="13">
        <v>42.654131804224178</v>
      </c>
      <c r="HN36" s="13">
        <v>42.110603681156043</v>
      </c>
      <c r="HO36" s="13">
        <v>40.03127140493374</v>
      </c>
      <c r="HP36" s="13">
        <v>39.557263459758978</v>
      </c>
      <c r="HQ36" s="13">
        <v>38.992037348152159</v>
      </c>
      <c r="HR36" s="13">
        <v>37.486335652916217</v>
      </c>
      <c r="HS36" s="13">
        <v>37.446288859179752</v>
      </c>
      <c r="HT36" s="13">
        <v>36.707701774685766</v>
      </c>
      <c r="HU36" s="13">
        <v>35.512490763235732</v>
      </c>
      <c r="HV36" s="13">
        <v>58.692525741638214</v>
      </c>
      <c r="HW36" s="13">
        <v>57.536617523376464</v>
      </c>
      <c r="HX36" s="13">
        <v>57.063879687809738</v>
      </c>
      <c r="HY36" s="13">
        <v>56.214702535724975</v>
      </c>
      <c r="HZ36" s="13">
        <v>54.633774453667172</v>
      </c>
      <c r="IA36" s="13">
        <v>54.295403341438103</v>
      </c>
      <c r="IB36" s="13">
        <v>53.114754833125403</v>
      </c>
      <c r="IC36" s="13">
        <v>52.68980860423428</v>
      </c>
      <c r="ID36" s="13">
        <v>50.21936199191672</v>
      </c>
      <c r="IE36" s="13">
        <v>49.791840239960756</v>
      </c>
      <c r="IF36" s="13">
        <v>2104.5260178091139</v>
      </c>
      <c r="IG36" s="13">
        <v>1042.8157547594703</v>
      </c>
      <c r="IH36" s="13">
        <v>544.25266895289178</v>
      </c>
      <c r="II36" s="13">
        <v>1173.3086919769605</v>
      </c>
      <c r="IJ36" s="13">
        <v>563.4550679626692</v>
      </c>
      <c r="IK36" s="13">
        <v>284.14149994221657</v>
      </c>
      <c r="IL36" s="8">
        <v>0.69222437062366371</v>
      </c>
      <c r="IM36" s="8">
        <v>1.247971055610207</v>
      </c>
      <c r="IN36" s="8">
        <v>2.1513054112408714</v>
      </c>
      <c r="IO36" s="8">
        <v>1.2294696784574373</v>
      </c>
      <c r="IP36" s="8">
        <v>0.51644366276159737</v>
      </c>
      <c r="IQ36" s="8">
        <v>0.9781805400042427</v>
      </c>
      <c r="IR36" s="8">
        <v>1.9558420436346768</v>
      </c>
      <c r="IS36" s="8">
        <v>0.99599826750279996</v>
      </c>
    </row>
    <row r="37" spans="1:253" x14ac:dyDescent="0.25">
      <c r="A37" s="10">
        <v>43927</v>
      </c>
      <c r="B37" s="11">
        <v>10</v>
      </c>
      <c r="C37" s="11">
        <v>10</v>
      </c>
      <c r="D37" s="11">
        <v>10</v>
      </c>
      <c r="E37" s="11">
        <v>10</v>
      </c>
      <c r="F37" s="11">
        <v>10</v>
      </c>
      <c r="G37" s="11">
        <v>10</v>
      </c>
      <c r="H37" s="11">
        <v>10</v>
      </c>
      <c r="I37" s="11">
        <v>10</v>
      </c>
      <c r="J37" s="11">
        <v>10</v>
      </c>
      <c r="K37" s="11">
        <v>10</v>
      </c>
      <c r="L37" s="11">
        <v>10</v>
      </c>
      <c r="M37" s="11">
        <v>10</v>
      </c>
      <c r="N37" s="11">
        <v>10</v>
      </c>
      <c r="O37" s="11">
        <v>10</v>
      </c>
      <c r="P37" s="11">
        <v>10</v>
      </c>
      <c r="Q37" s="11">
        <v>10</v>
      </c>
      <c r="R37" s="11">
        <v>10</v>
      </c>
      <c r="S37" s="11">
        <v>10</v>
      </c>
      <c r="T37" s="11">
        <v>10</v>
      </c>
      <c r="U37" s="11">
        <v>10</v>
      </c>
      <c r="V37" s="11">
        <v>10</v>
      </c>
      <c r="W37" s="11">
        <v>10</v>
      </c>
      <c r="X37" s="11">
        <v>10</v>
      </c>
      <c r="Y37" s="11">
        <v>10</v>
      </c>
      <c r="Z37" s="11">
        <v>10</v>
      </c>
      <c r="AA37" s="11">
        <v>10</v>
      </c>
      <c r="AB37" s="11">
        <v>10</v>
      </c>
      <c r="AC37" s="11">
        <v>10</v>
      </c>
      <c r="AD37" s="11">
        <v>10</v>
      </c>
      <c r="AE37" s="11">
        <v>10</v>
      </c>
      <c r="AF37" s="11">
        <v>10</v>
      </c>
      <c r="AG37" s="11">
        <v>10</v>
      </c>
      <c r="AH37" s="11">
        <v>10</v>
      </c>
      <c r="AI37" s="11">
        <v>10</v>
      </c>
      <c r="AJ37" s="11">
        <v>10</v>
      </c>
      <c r="AK37" s="11">
        <v>10</v>
      </c>
      <c r="AL37" s="11">
        <v>10</v>
      </c>
      <c r="AM37" s="11">
        <v>10</v>
      </c>
      <c r="AN37" s="11">
        <v>10</v>
      </c>
      <c r="AO37" s="11">
        <v>10</v>
      </c>
      <c r="AP37" s="11">
        <v>60</v>
      </c>
      <c r="AQ37" s="11">
        <v>60</v>
      </c>
      <c r="AR37" s="11">
        <v>60</v>
      </c>
      <c r="AS37" s="11">
        <v>60</v>
      </c>
      <c r="AT37" s="11">
        <v>60</v>
      </c>
      <c r="AU37" s="11">
        <v>60</v>
      </c>
      <c r="AV37" s="11">
        <v>60</v>
      </c>
      <c r="AW37" s="11">
        <v>60</v>
      </c>
      <c r="AX37" s="11">
        <v>60</v>
      </c>
      <c r="AY37" s="11">
        <v>60</v>
      </c>
      <c r="AZ37" s="11">
        <v>60</v>
      </c>
      <c r="BA37" s="11">
        <v>60</v>
      </c>
      <c r="BB37" s="11">
        <v>60</v>
      </c>
      <c r="BC37" s="11">
        <v>60</v>
      </c>
      <c r="BD37" s="11">
        <v>60</v>
      </c>
      <c r="BE37" s="11">
        <v>60</v>
      </c>
      <c r="BF37" s="11">
        <v>60</v>
      </c>
      <c r="BG37" s="11">
        <v>60</v>
      </c>
      <c r="BH37" s="11">
        <v>60</v>
      </c>
      <c r="BI37" s="11">
        <v>60</v>
      </c>
      <c r="BJ37" s="11">
        <v>60</v>
      </c>
      <c r="BK37" s="11">
        <v>60</v>
      </c>
      <c r="BL37" s="11">
        <v>60</v>
      </c>
      <c r="BM37" s="11">
        <v>60</v>
      </c>
      <c r="BN37" s="11">
        <v>63.94</v>
      </c>
      <c r="BO37" s="11">
        <v>64.88</v>
      </c>
      <c r="BP37" s="11">
        <v>67.5</v>
      </c>
      <c r="BQ37" s="11">
        <v>69.58</v>
      </c>
      <c r="BR37" s="11">
        <v>69.7</v>
      </c>
      <c r="BS37" s="11">
        <v>73.03</v>
      </c>
      <c r="BT37" s="11">
        <v>76.63</v>
      </c>
      <c r="BU37" s="11">
        <v>78.05</v>
      </c>
      <c r="BV37" s="11">
        <v>85.29</v>
      </c>
      <c r="BW37" s="11">
        <v>88.94</v>
      </c>
      <c r="BX37" s="12">
        <v>0</v>
      </c>
      <c r="BY37" s="12">
        <v>0</v>
      </c>
      <c r="BZ37" s="12">
        <v>0</v>
      </c>
      <c r="CA37" s="12">
        <v>0</v>
      </c>
      <c r="CB37" s="12">
        <v>0</v>
      </c>
      <c r="CC37" s="12">
        <v>0</v>
      </c>
      <c r="CD37" s="12">
        <v>0</v>
      </c>
      <c r="CE37" s="12">
        <v>0</v>
      </c>
      <c r="CF37" s="12">
        <v>0</v>
      </c>
      <c r="CG37" s="12">
        <v>0</v>
      </c>
      <c r="CH37" s="12">
        <v>0</v>
      </c>
      <c r="CI37" s="12">
        <v>0</v>
      </c>
      <c r="CJ37" s="12">
        <v>0</v>
      </c>
      <c r="CK37" s="12">
        <v>0</v>
      </c>
      <c r="CL37" s="12">
        <v>0</v>
      </c>
      <c r="CM37" s="12">
        <v>0</v>
      </c>
      <c r="CN37" s="12">
        <v>0</v>
      </c>
      <c r="CO37" s="12">
        <v>0</v>
      </c>
      <c r="CP37" s="12">
        <v>0</v>
      </c>
      <c r="CQ37" s="12">
        <v>0</v>
      </c>
      <c r="CR37" s="12">
        <v>0</v>
      </c>
      <c r="CS37" s="12">
        <v>0</v>
      </c>
      <c r="CT37" s="12">
        <v>0</v>
      </c>
      <c r="CU37" s="12">
        <v>0</v>
      </c>
      <c r="CV37" s="12">
        <v>0</v>
      </c>
      <c r="CW37" s="12">
        <v>0</v>
      </c>
      <c r="CX37" s="12">
        <v>0</v>
      </c>
      <c r="CY37" s="12">
        <v>0</v>
      </c>
      <c r="CZ37" s="12">
        <v>0</v>
      </c>
      <c r="DA37" s="12">
        <v>0</v>
      </c>
      <c r="DB37" s="12">
        <v>0</v>
      </c>
      <c r="DC37" s="12">
        <v>0</v>
      </c>
      <c r="DD37" s="12">
        <v>0</v>
      </c>
      <c r="DE37" s="12">
        <v>0</v>
      </c>
      <c r="DF37" s="12">
        <v>0</v>
      </c>
      <c r="DG37" s="12">
        <v>0</v>
      </c>
      <c r="DH37" s="12">
        <v>0</v>
      </c>
      <c r="DI37" s="12">
        <v>0</v>
      </c>
      <c r="DJ37" s="12">
        <v>0</v>
      </c>
      <c r="DK37" s="12">
        <v>0</v>
      </c>
      <c r="DL37" s="12">
        <v>0</v>
      </c>
      <c r="DM37" s="12">
        <v>0</v>
      </c>
      <c r="DN37" s="12">
        <v>0</v>
      </c>
      <c r="DO37" s="12">
        <v>0</v>
      </c>
      <c r="DP37" s="12">
        <v>0</v>
      </c>
      <c r="DQ37" s="12">
        <v>0</v>
      </c>
      <c r="DR37" s="12">
        <v>0</v>
      </c>
      <c r="DS37" s="12">
        <v>0</v>
      </c>
      <c r="DT37" s="12">
        <v>0</v>
      </c>
      <c r="DU37" s="12">
        <v>0</v>
      </c>
      <c r="DV37" s="12">
        <v>0</v>
      </c>
      <c r="DW37" s="12">
        <v>0</v>
      </c>
      <c r="DX37" s="12">
        <v>0</v>
      </c>
      <c r="DY37" s="12">
        <v>0</v>
      </c>
      <c r="DZ37" s="12">
        <v>0</v>
      </c>
      <c r="EA37" s="12">
        <v>0</v>
      </c>
      <c r="EB37" s="12">
        <v>0</v>
      </c>
      <c r="EC37" s="12">
        <v>0</v>
      </c>
      <c r="ED37" s="12">
        <v>0</v>
      </c>
      <c r="EE37" s="12">
        <v>0</v>
      </c>
      <c r="EF37" s="12">
        <v>0</v>
      </c>
      <c r="EG37" s="12">
        <v>0</v>
      </c>
      <c r="EH37" s="12">
        <v>0</v>
      </c>
      <c r="EI37" s="12">
        <v>0</v>
      </c>
      <c r="EJ37" s="12">
        <v>2.3529411764705883</v>
      </c>
      <c r="EK37" s="12">
        <v>2.3273736128236746</v>
      </c>
      <c r="EL37" s="12">
        <v>2.3062139654067906</v>
      </c>
      <c r="EM37" s="12">
        <v>2.2990303409446358</v>
      </c>
      <c r="EN37" s="12">
        <v>2.2837009004306408</v>
      </c>
      <c r="EO37" s="12">
        <v>2.1456208230742173</v>
      </c>
      <c r="EP37" s="12">
        <v>2.0912975039352375</v>
      </c>
      <c r="EQ37" s="12">
        <v>2.0592592592592593</v>
      </c>
      <c r="ER37" s="12">
        <v>1.9854854169519376</v>
      </c>
      <c r="ES37" s="12">
        <v>1.8683529749928141</v>
      </c>
      <c r="ET37" s="11">
        <v>200</v>
      </c>
      <c r="EU37" s="11">
        <v>720</v>
      </c>
      <c r="EV37" s="11">
        <v>335.59999999999997</v>
      </c>
      <c r="EW37" s="12">
        <v>0</v>
      </c>
      <c r="EX37" s="12">
        <v>0</v>
      </c>
      <c r="EY37" s="12">
        <v>11.56925999607633</v>
      </c>
      <c r="EZ37" s="11">
        <v>1255.5999999999999</v>
      </c>
      <c r="FA37" s="12">
        <v>11.56925999607633</v>
      </c>
      <c r="FB37" s="11">
        <v>400</v>
      </c>
      <c r="FC37" s="11">
        <v>1440</v>
      </c>
      <c r="FD37" s="11">
        <v>737.54</v>
      </c>
      <c r="FE37" s="12">
        <v>0</v>
      </c>
      <c r="FF37" s="12">
        <v>0</v>
      </c>
      <c r="FG37" s="12">
        <v>21.719275974289797</v>
      </c>
      <c r="FH37" s="11">
        <v>2577.54</v>
      </c>
      <c r="FI37" s="12">
        <v>21.719275974289797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3">
        <v>0</v>
      </c>
      <c r="FU37" s="13">
        <v>0</v>
      </c>
      <c r="FV37" s="13">
        <v>0</v>
      </c>
      <c r="FW37" s="13">
        <v>0</v>
      </c>
      <c r="FX37" s="13">
        <v>0</v>
      </c>
      <c r="FY37" s="13">
        <v>0</v>
      </c>
      <c r="FZ37" s="13">
        <v>0</v>
      </c>
      <c r="GA37" s="13">
        <v>0</v>
      </c>
      <c r="GB37" s="13">
        <v>0</v>
      </c>
      <c r="GC37" s="13">
        <v>0</v>
      </c>
      <c r="GD37" s="13">
        <v>0</v>
      </c>
      <c r="GE37" s="13">
        <v>0</v>
      </c>
      <c r="GF37" s="13">
        <v>0</v>
      </c>
      <c r="GG37" s="13">
        <v>0</v>
      </c>
      <c r="GH37" s="13">
        <v>0</v>
      </c>
      <c r="GI37" s="13">
        <v>0</v>
      </c>
      <c r="GJ37" s="13">
        <v>0</v>
      </c>
      <c r="GK37" s="13">
        <v>0</v>
      </c>
      <c r="GL37" s="13">
        <v>0</v>
      </c>
      <c r="GM37" s="13">
        <v>0</v>
      </c>
      <c r="GN37" s="13">
        <v>0</v>
      </c>
      <c r="GO37" s="13">
        <v>0</v>
      </c>
      <c r="GP37" s="13">
        <v>0</v>
      </c>
      <c r="GQ37" s="13">
        <v>0</v>
      </c>
      <c r="GR37" s="13">
        <v>0</v>
      </c>
      <c r="GS37" s="13">
        <v>0</v>
      </c>
      <c r="GT37" s="13">
        <v>0</v>
      </c>
      <c r="GU37" s="13">
        <v>0</v>
      </c>
      <c r="GV37" s="13">
        <v>0</v>
      </c>
      <c r="GW37" s="13">
        <v>0</v>
      </c>
      <c r="GX37" s="13">
        <v>0</v>
      </c>
      <c r="GY37" s="13">
        <v>0</v>
      </c>
      <c r="GZ37" s="13">
        <v>0</v>
      </c>
      <c r="HA37" s="13">
        <v>0</v>
      </c>
      <c r="HB37" s="13">
        <v>0</v>
      </c>
      <c r="HC37" s="13">
        <v>0</v>
      </c>
      <c r="HD37" s="13">
        <v>0</v>
      </c>
      <c r="HE37" s="13">
        <v>0</v>
      </c>
      <c r="HF37" s="13">
        <v>0</v>
      </c>
      <c r="HG37" s="13">
        <v>0</v>
      </c>
      <c r="HH37" s="13">
        <v>0</v>
      </c>
      <c r="HI37" s="13">
        <v>0</v>
      </c>
      <c r="HJ37" s="13">
        <v>0</v>
      </c>
      <c r="HK37" s="13">
        <v>0</v>
      </c>
      <c r="HL37" s="13">
        <v>0</v>
      </c>
      <c r="HM37" s="13">
        <v>0</v>
      </c>
      <c r="HN37" s="13">
        <v>0</v>
      </c>
      <c r="HO37" s="13">
        <v>0</v>
      </c>
      <c r="HP37" s="13">
        <v>0</v>
      </c>
      <c r="HQ37" s="13">
        <v>0</v>
      </c>
      <c r="HR37" s="13">
        <v>0</v>
      </c>
      <c r="HS37" s="13">
        <v>0</v>
      </c>
      <c r="HT37" s="13">
        <v>0</v>
      </c>
      <c r="HU37" s="13">
        <v>0</v>
      </c>
      <c r="HV37" s="13">
        <v>54.560554143863818</v>
      </c>
      <c r="HW37" s="13">
        <v>54.4495275482479</v>
      </c>
      <c r="HX37" s="13">
        <v>52.461219348197318</v>
      </c>
      <c r="HY37" s="13">
        <v>47.648617087935939</v>
      </c>
      <c r="HZ37" s="13">
        <v>47.503850978806852</v>
      </c>
      <c r="IA37" s="13">
        <v>46.955734871095217</v>
      </c>
      <c r="IB37" s="13">
        <v>42.84558199593738</v>
      </c>
      <c r="IC37" s="13">
        <v>41.707108915362994</v>
      </c>
      <c r="ID37" s="13">
        <v>41.535032111729038</v>
      </c>
      <c r="IE37" s="13">
        <v>39.313172035194654</v>
      </c>
      <c r="IF37" s="13">
        <v>0</v>
      </c>
      <c r="IG37" s="13">
        <v>0</v>
      </c>
      <c r="IH37" s="13">
        <v>468.98039903637113</v>
      </c>
      <c r="II37" s="13">
        <v>0</v>
      </c>
      <c r="IJ37" s="13">
        <v>0</v>
      </c>
      <c r="IK37" s="13">
        <v>256.62376910705183</v>
      </c>
      <c r="IL37" s="8">
        <v>0</v>
      </c>
      <c r="IM37" s="8">
        <v>0</v>
      </c>
      <c r="IN37" s="8">
        <v>1.7693367735235657</v>
      </c>
      <c r="IO37" s="8">
        <v>0</v>
      </c>
      <c r="IP37" s="8">
        <v>0</v>
      </c>
      <c r="IQ37" s="8">
        <v>0</v>
      </c>
      <c r="IR37" s="8">
        <v>1.3810660727829673</v>
      </c>
      <c r="IS37" s="8">
        <v>0</v>
      </c>
    </row>
    <row r="38" spans="1:253" x14ac:dyDescent="0.25">
      <c r="A38" s="10">
        <v>43920</v>
      </c>
      <c r="B38" s="11">
        <v>5.24</v>
      </c>
      <c r="C38" s="11">
        <v>5.36</v>
      </c>
      <c r="D38" s="11">
        <v>6.29</v>
      </c>
      <c r="E38" s="11">
        <v>6.31</v>
      </c>
      <c r="F38" s="11">
        <v>8.06</v>
      </c>
      <c r="G38" s="11">
        <v>10</v>
      </c>
      <c r="H38" s="11">
        <v>10</v>
      </c>
      <c r="I38" s="11">
        <v>10</v>
      </c>
      <c r="J38" s="11">
        <v>10</v>
      </c>
      <c r="K38" s="11">
        <v>10</v>
      </c>
      <c r="L38" s="11">
        <v>10</v>
      </c>
      <c r="M38" s="11">
        <v>10</v>
      </c>
      <c r="N38" s="11">
        <v>10</v>
      </c>
      <c r="O38" s="11">
        <v>10</v>
      </c>
      <c r="P38" s="11">
        <v>10</v>
      </c>
      <c r="Q38" s="11">
        <v>10</v>
      </c>
      <c r="R38" s="11">
        <v>10</v>
      </c>
      <c r="S38" s="11">
        <v>10</v>
      </c>
      <c r="T38" s="11">
        <v>10</v>
      </c>
      <c r="U38" s="11">
        <v>10</v>
      </c>
      <c r="V38" s="11">
        <v>10</v>
      </c>
      <c r="W38" s="11">
        <v>10</v>
      </c>
      <c r="X38" s="11">
        <v>10</v>
      </c>
      <c r="Y38" s="11">
        <v>10</v>
      </c>
      <c r="Z38" s="11">
        <v>10</v>
      </c>
      <c r="AA38" s="11">
        <v>10</v>
      </c>
      <c r="AB38" s="11">
        <v>10</v>
      </c>
      <c r="AC38" s="11">
        <v>10</v>
      </c>
      <c r="AD38" s="11">
        <v>10</v>
      </c>
      <c r="AE38" s="11">
        <v>10</v>
      </c>
      <c r="AF38" s="11">
        <v>10</v>
      </c>
      <c r="AG38" s="11">
        <v>10</v>
      </c>
      <c r="AH38" s="11">
        <v>10</v>
      </c>
      <c r="AI38" s="11">
        <v>10</v>
      </c>
      <c r="AJ38" s="11">
        <v>10</v>
      </c>
      <c r="AK38" s="11">
        <v>10</v>
      </c>
      <c r="AL38" s="11">
        <v>10</v>
      </c>
      <c r="AM38" s="11">
        <v>10</v>
      </c>
      <c r="AN38" s="11">
        <v>10</v>
      </c>
      <c r="AO38" s="11">
        <v>10</v>
      </c>
      <c r="AP38" s="11">
        <v>60</v>
      </c>
      <c r="AQ38" s="11">
        <v>60</v>
      </c>
      <c r="AR38" s="11">
        <v>60</v>
      </c>
      <c r="AS38" s="11">
        <v>60</v>
      </c>
      <c r="AT38" s="11">
        <v>60</v>
      </c>
      <c r="AU38" s="11">
        <v>60</v>
      </c>
      <c r="AV38" s="11">
        <v>60</v>
      </c>
      <c r="AW38" s="11">
        <v>60</v>
      </c>
      <c r="AX38" s="11">
        <v>60</v>
      </c>
      <c r="AY38" s="11">
        <v>60</v>
      </c>
      <c r="AZ38" s="11">
        <v>60</v>
      </c>
      <c r="BA38" s="11">
        <v>60</v>
      </c>
      <c r="BB38" s="11">
        <v>60</v>
      </c>
      <c r="BC38" s="11">
        <v>60</v>
      </c>
      <c r="BD38" s="11">
        <v>60</v>
      </c>
      <c r="BE38" s="11">
        <v>60</v>
      </c>
      <c r="BF38" s="11">
        <v>60</v>
      </c>
      <c r="BG38" s="11">
        <v>60</v>
      </c>
      <c r="BH38" s="11">
        <v>60</v>
      </c>
      <c r="BI38" s="11">
        <v>60</v>
      </c>
      <c r="BJ38" s="11">
        <v>60</v>
      </c>
      <c r="BK38" s="11">
        <v>60</v>
      </c>
      <c r="BL38" s="11">
        <v>60</v>
      </c>
      <c r="BM38" s="11">
        <v>60</v>
      </c>
      <c r="BN38" s="11">
        <v>77.47</v>
      </c>
      <c r="BO38" s="11">
        <v>78.48</v>
      </c>
      <c r="BP38" s="11">
        <v>78.56</v>
      </c>
      <c r="BQ38" s="11">
        <v>78.739999999999995</v>
      </c>
      <c r="BR38" s="11">
        <v>80.19</v>
      </c>
      <c r="BS38" s="11">
        <v>81.59</v>
      </c>
      <c r="BT38" s="11">
        <v>82.38</v>
      </c>
      <c r="BU38" s="11">
        <v>83</v>
      </c>
      <c r="BV38" s="11">
        <v>83.49</v>
      </c>
      <c r="BW38" s="11">
        <v>86.37</v>
      </c>
      <c r="BX38" s="12">
        <v>3.3582089552238803</v>
      </c>
      <c r="BY38" s="12">
        <v>3.3386327503974562</v>
      </c>
      <c r="BZ38" s="12">
        <v>2.8625954198473282</v>
      </c>
      <c r="CA38" s="12">
        <v>2.6941362916006342</v>
      </c>
      <c r="CB38" s="12">
        <v>2.6054590570719602</v>
      </c>
      <c r="CC38" s="12">
        <v>0</v>
      </c>
      <c r="CD38" s="12">
        <v>0</v>
      </c>
      <c r="CE38" s="12">
        <v>0</v>
      </c>
      <c r="CF38" s="12">
        <v>0</v>
      </c>
      <c r="CG38" s="12">
        <v>0</v>
      </c>
      <c r="CH38" s="12">
        <v>0</v>
      </c>
      <c r="CI38" s="12">
        <v>0</v>
      </c>
      <c r="CJ38" s="12">
        <v>0</v>
      </c>
      <c r="CK38" s="12">
        <v>0</v>
      </c>
      <c r="CL38" s="12">
        <v>0</v>
      </c>
      <c r="CM38" s="12">
        <v>0</v>
      </c>
      <c r="CN38" s="12">
        <v>0</v>
      </c>
      <c r="CO38" s="12">
        <v>0</v>
      </c>
      <c r="CP38" s="12">
        <v>0</v>
      </c>
      <c r="CQ38" s="12">
        <v>0</v>
      </c>
      <c r="CR38" s="12">
        <v>0</v>
      </c>
      <c r="CS38" s="12">
        <v>0</v>
      </c>
      <c r="CT38" s="12">
        <v>0</v>
      </c>
      <c r="CU38" s="12">
        <v>0</v>
      </c>
      <c r="CV38" s="12">
        <v>0</v>
      </c>
      <c r="CW38" s="12">
        <v>0</v>
      </c>
      <c r="CX38" s="12">
        <v>0</v>
      </c>
      <c r="CY38" s="12">
        <v>0</v>
      </c>
      <c r="CZ38" s="12">
        <v>0</v>
      </c>
      <c r="DA38" s="12">
        <v>0</v>
      </c>
      <c r="DB38" s="12">
        <v>0</v>
      </c>
      <c r="DC38" s="12">
        <v>0</v>
      </c>
      <c r="DD38" s="12">
        <v>0</v>
      </c>
      <c r="DE38" s="12">
        <v>0</v>
      </c>
      <c r="DF38" s="12">
        <v>0</v>
      </c>
      <c r="DG38" s="12">
        <v>0</v>
      </c>
      <c r="DH38" s="12">
        <v>0</v>
      </c>
      <c r="DI38" s="12">
        <v>0</v>
      </c>
      <c r="DJ38" s="12">
        <v>0</v>
      </c>
      <c r="DK38" s="12">
        <v>0</v>
      </c>
      <c r="DL38" s="12">
        <v>0</v>
      </c>
      <c r="DM38" s="12">
        <v>0</v>
      </c>
      <c r="DN38" s="12">
        <v>0</v>
      </c>
      <c r="DO38" s="12">
        <v>0</v>
      </c>
      <c r="DP38" s="12">
        <v>0</v>
      </c>
      <c r="DQ38" s="12">
        <v>0</v>
      </c>
      <c r="DR38" s="12">
        <v>0</v>
      </c>
      <c r="DS38" s="12">
        <v>0</v>
      </c>
      <c r="DT38" s="12">
        <v>0</v>
      </c>
      <c r="DU38" s="12">
        <v>0</v>
      </c>
      <c r="DV38" s="12">
        <v>0</v>
      </c>
      <c r="DW38" s="12">
        <v>0</v>
      </c>
      <c r="DX38" s="12">
        <v>0</v>
      </c>
      <c r="DY38" s="12">
        <v>0</v>
      </c>
      <c r="DZ38" s="12">
        <v>0</v>
      </c>
      <c r="EA38" s="12">
        <v>0</v>
      </c>
      <c r="EB38" s="12">
        <v>0</v>
      </c>
      <c r="EC38" s="12">
        <v>0</v>
      </c>
      <c r="ED38" s="12">
        <v>0</v>
      </c>
      <c r="EE38" s="12">
        <v>0</v>
      </c>
      <c r="EF38" s="12">
        <v>0</v>
      </c>
      <c r="EG38" s="12">
        <v>0</v>
      </c>
      <c r="EH38" s="12">
        <v>0</v>
      </c>
      <c r="EI38" s="12">
        <v>0</v>
      </c>
      <c r="EJ38" s="12">
        <v>2.4185336048879837</v>
      </c>
      <c r="EK38" s="12">
        <v>2.327196943383119</v>
      </c>
      <c r="EL38" s="12">
        <v>2.3190621814475025</v>
      </c>
      <c r="EM38" s="12">
        <v>2.3132530120481927</v>
      </c>
      <c r="EN38" s="12">
        <v>2.2976636117206661</v>
      </c>
      <c r="EO38" s="12">
        <v>2.2158342316445085</v>
      </c>
      <c r="EP38" s="12">
        <v>2.1203578869959552</v>
      </c>
      <c r="EQ38" s="12">
        <v>2.1121631463947561</v>
      </c>
      <c r="ER38" s="12">
        <v>2.0950243172465397</v>
      </c>
      <c r="ES38" s="12">
        <v>2.0798750122058394</v>
      </c>
      <c r="ET38" s="11">
        <v>181.26</v>
      </c>
      <c r="EU38" s="11">
        <v>720</v>
      </c>
      <c r="EV38" s="11">
        <v>393.44</v>
      </c>
      <c r="EW38" s="12">
        <v>14.859032474141259</v>
      </c>
      <c r="EX38" s="12">
        <v>0</v>
      </c>
      <c r="EY38" s="12">
        <v>11.675709353487466</v>
      </c>
      <c r="EZ38" s="11">
        <v>1294.7</v>
      </c>
      <c r="FA38" s="12">
        <v>26.534741827628725</v>
      </c>
      <c r="FB38" s="11">
        <v>381.26</v>
      </c>
      <c r="FC38" s="11">
        <v>1440</v>
      </c>
      <c r="FD38" s="11">
        <v>810.27</v>
      </c>
      <c r="FE38" s="12">
        <v>14.859032474141259</v>
      </c>
      <c r="FF38" s="12">
        <v>0</v>
      </c>
      <c r="FG38" s="12">
        <v>22.298963947975068</v>
      </c>
      <c r="FH38" s="11">
        <v>2631.5299999999997</v>
      </c>
      <c r="FI38" s="12">
        <v>37.157996422116327</v>
      </c>
      <c r="FJ38" s="13">
        <v>49.039306689785676</v>
      </c>
      <c r="FK38" s="13">
        <v>43.587820767521151</v>
      </c>
      <c r="FL38" s="13">
        <v>42.469781842208725</v>
      </c>
      <c r="FM38" s="13">
        <v>35.095462462456737</v>
      </c>
      <c r="FN38" s="13">
        <v>28.595762578768117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3">
        <v>0</v>
      </c>
      <c r="FU38" s="13">
        <v>0</v>
      </c>
      <c r="FV38" s="13">
        <v>0</v>
      </c>
      <c r="FW38" s="13">
        <v>0</v>
      </c>
      <c r="FX38" s="13">
        <v>0</v>
      </c>
      <c r="FY38" s="13">
        <v>0</v>
      </c>
      <c r="FZ38" s="13">
        <v>0</v>
      </c>
      <c r="GA38" s="13">
        <v>0</v>
      </c>
      <c r="GB38" s="13">
        <v>0</v>
      </c>
      <c r="GC38" s="13">
        <v>0</v>
      </c>
      <c r="GD38" s="13">
        <v>0</v>
      </c>
      <c r="GE38" s="13">
        <v>0</v>
      </c>
      <c r="GF38" s="13">
        <v>0</v>
      </c>
      <c r="GG38" s="13">
        <v>0</v>
      </c>
      <c r="GH38" s="13">
        <v>0</v>
      </c>
      <c r="GI38" s="13">
        <v>0</v>
      </c>
      <c r="GJ38" s="13">
        <v>0</v>
      </c>
      <c r="GK38" s="13">
        <v>0</v>
      </c>
      <c r="GL38" s="13">
        <v>0</v>
      </c>
      <c r="GM38" s="13">
        <v>0</v>
      </c>
      <c r="GN38" s="13">
        <v>0</v>
      </c>
      <c r="GO38" s="13">
        <v>0</v>
      </c>
      <c r="GP38" s="13">
        <v>0</v>
      </c>
      <c r="GQ38" s="13">
        <v>0</v>
      </c>
      <c r="GR38" s="13">
        <v>0</v>
      </c>
      <c r="GS38" s="13">
        <v>0</v>
      </c>
      <c r="GT38" s="13">
        <v>0</v>
      </c>
      <c r="GU38" s="13">
        <v>0</v>
      </c>
      <c r="GV38" s="13">
        <v>0</v>
      </c>
      <c r="GW38" s="13">
        <v>0</v>
      </c>
      <c r="GX38" s="13">
        <v>0</v>
      </c>
      <c r="GY38" s="13">
        <v>0</v>
      </c>
      <c r="GZ38" s="13">
        <v>0</v>
      </c>
      <c r="HA38" s="13">
        <v>0</v>
      </c>
      <c r="HB38" s="13">
        <v>0</v>
      </c>
      <c r="HC38" s="13">
        <v>0</v>
      </c>
      <c r="HD38" s="13">
        <v>0</v>
      </c>
      <c r="HE38" s="13">
        <v>0</v>
      </c>
      <c r="HF38" s="13">
        <v>0</v>
      </c>
      <c r="HG38" s="13">
        <v>0</v>
      </c>
      <c r="HH38" s="13">
        <v>0</v>
      </c>
      <c r="HI38" s="13">
        <v>0</v>
      </c>
      <c r="HJ38" s="13">
        <v>0</v>
      </c>
      <c r="HK38" s="13">
        <v>0</v>
      </c>
      <c r="HL38" s="13">
        <v>0</v>
      </c>
      <c r="HM38" s="13">
        <v>0</v>
      </c>
      <c r="HN38" s="13">
        <v>0</v>
      </c>
      <c r="HO38" s="13">
        <v>0</v>
      </c>
      <c r="HP38" s="13">
        <v>0</v>
      </c>
      <c r="HQ38" s="13">
        <v>0</v>
      </c>
      <c r="HR38" s="13">
        <v>0</v>
      </c>
      <c r="HS38" s="13">
        <v>0</v>
      </c>
      <c r="HT38" s="13">
        <v>0</v>
      </c>
      <c r="HU38" s="13">
        <v>0</v>
      </c>
      <c r="HV38" s="13">
        <v>49.590826806953487</v>
      </c>
      <c r="HW38" s="13">
        <v>47.585140164299403</v>
      </c>
      <c r="HX38" s="13">
        <v>47.575483704715808</v>
      </c>
      <c r="HY38" s="13">
        <v>45.641375779947701</v>
      </c>
      <c r="HZ38" s="13">
        <v>44.654923473144869</v>
      </c>
      <c r="IA38" s="13">
        <v>43.539496247661056</v>
      </c>
      <c r="IB38" s="13">
        <v>42.344321086961628</v>
      </c>
      <c r="IC38" s="13">
        <v>42.340265027147943</v>
      </c>
      <c r="ID38" s="13">
        <v>41.893096743848005</v>
      </c>
      <c r="IE38" s="13">
        <v>37.958663547841006</v>
      </c>
      <c r="IF38" s="13">
        <v>198.78813434074038</v>
      </c>
      <c r="IG38" s="13">
        <v>0</v>
      </c>
      <c r="IH38" s="13">
        <v>443.12359258252093</v>
      </c>
      <c r="II38" s="13">
        <v>198.78813434074038</v>
      </c>
      <c r="IJ38" s="13">
        <v>0</v>
      </c>
      <c r="IK38" s="13">
        <v>235.04774992906127</v>
      </c>
      <c r="IL38" s="8">
        <v>1.0459515326968165E-2</v>
      </c>
      <c r="IM38" s="8">
        <v>0</v>
      </c>
      <c r="IN38" s="8">
        <v>1.3950534833077082</v>
      </c>
      <c r="IO38" s="8">
        <v>0</v>
      </c>
      <c r="IP38" s="8">
        <v>2.4863501916884143E-3</v>
      </c>
      <c r="IQ38" s="8">
        <v>0</v>
      </c>
      <c r="IR38" s="8">
        <v>1.2194943679878099</v>
      </c>
      <c r="IS38" s="8">
        <v>0</v>
      </c>
    </row>
    <row r="39" spans="1:253" x14ac:dyDescent="0.25">
      <c r="A39" s="10">
        <v>43913</v>
      </c>
      <c r="B39" s="11">
        <v>10</v>
      </c>
      <c r="C39" s="11">
        <v>10</v>
      </c>
      <c r="D39" s="11">
        <v>10</v>
      </c>
      <c r="E39" s="11">
        <v>10</v>
      </c>
      <c r="F39" s="11">
        <v>10</v>
      </c>
      <c r="G39" s="11">
        <v>10</v>
      </c>
      <c r="H39" s="11">
        <v>10</v>
      </c>
      <c r="I39" s="11">
        <v>10</v>
      </c>
      <c r="J39" s="11">
        <v>10</v>
      </c>
      <c r="K39" s="11">
        <v>10</v>
      </c>
      <c r="L39" s="11">
        <v>10</v>
      </c>
      <c r="M39" s="11">
        <v>10</v>
      </c>
      <c r="N39" s="11">
        <v>10</v>
      </c>
      <c r="O39" s="11">
        <v>10</v>
      </c>
      <c r="P39" s="11">
        <v>10</v>
      </c>
      <c r="Q39" s="11">
        <v>10</v>
      </c>
      <c r="R39" s="11">
        <v>10</v>
      </c>
      <c r="S39" s="11">
        <v>10</v>
      </c>
      <c r="T39" s="11">
        <v>10</v>
      </c>
      <c r="U39" s="11">
        <v>10</v>
      </c>
      <c r="V39" s="11">
        <v>10</v>
      </c>
      <c r="W39" s="11">
        <v>10</v>
      </c>
      <c r="X39" s="11">
        <v>10</v>
      </c>
      <c r="Y39" s="11">
        <v>10</v>
      </c>
      <c r="Z39" s="11">
        <v>10</v>
      </c>
      <c r="AA39" s="11">
        <v>10</v>
      </c>
      <c r="AB39" s="11">
        <v>10</v>
      </c>
      <c r="AC39" s="11">
        <v>10</v>
      </c>
      <c r="AD39" s="11">
        <v>10</v>
      </c>
      <c r="AE39" s="11">
        <v>10</v>
      </c>
      <c r="AF39" s="11">
        <v>10</v>
      </c>
      <c r="AG39" s="11">
        <v>10</v>
      </c>
      <c r="AH39" s="11">
        <v>10</v>
      </c>
      <c r="AI39" s="11">
        <v>10</v>
      </c>
      <c r="AJ39" s="11">
        <v>10</v>
      </c>
      <c r="AK39" s="11">
        <v>10</v>
      </c>
      <c r="AL39" s="11">
        <v>10</v>
      </c>
      <c r="AM39" s="11">
        <v>10</v>
      </c>
      <c r="AN39" s="11">
        <v>10</v>
      </c>
      <c r="AO39" s="11">
        <v>10</v>
      </c>
      <c r="AP39" s="11">
        <v>60</v>
      </c>
      <c r="AQ39" s="11">
        <v>60</v>
      </c>
      <c r="AR39" s="11">
        <v>60</v>
      </c>
      <c r="AS39" s="11">
        <v>60</v>
      </c>
      <c r="AT39" s="11">
        <v>60</v>
      </c>
      <c r="AU39" s="11">
        <v>60</v>
      </c>
      <c r="AV39" s="11">
        <v>60</v>
      </c>
      <c r="AW39" s="11">
        <v>60</v>
      </c>
      <c r="AX39" s="11">
        <v>60</v>
      </c>
      <c r="AY39" s="11">
        <v>60</v>
      </c>
      <c r="AZ39" s="11">
        <v>60</v>
      </c>
      <c r="BA39" s="11">
        <v>60</v>
      </c>
      <c r="BB39" s="11">
        <v>60</v>
      </c>
      <c r="BC39" s="11">
        <v>60</v>
      </c>
      <c r="BD39" s="11">
        <v>60</v>
      </c>
      <c r="BE39" s="11">
        <v>60</v>
      </c>
      <c r="BF39" s="11">
        <v>60</v>
      </c>
      <c r="BG39" s="11">
        <v>60</v>
      </c>
      <c r="BH39" s="11">
        <v>60</v>
      </c>
      <c r="BI39" s="11">
        <v>60</v>
      </c>
      <c r="BJ39" s="11">
        <v>60</v>
      </c>
      <c r="BK39" s="11">
        <v>60</v>
      </c>
      <c r="BL39" s="11">
        <v>60</v>
      </c>
      <c r="BM39" s="11">
        <v>60</v>
      </c>
      <c r="BN39" s="11">
        <v>67.34</v>
      </c>
      <c r="BO39" s="11">
        <v>69.3</v>
      </c>
      <c r="BP39" s="11">
        <v>70.91</v>
      </c>
      <c r="BQ39" s="11">
        <v>71.72</v>
      </c>
      <c r="BR39" s="11">
        <v>73.790000000000006</v>
      </c>
      <c r="BS39" s="11">
        <v>75.36</v>
      </c>
      <c r="BT39" s="11">
        <v>76.150000000000006</v>
      </c>
      <c r="BU39" s="11">
        <v>76.540000000000006</v>
      </c>
      <c r="BV39" s="11">
        <v>76.680000000000007</v>
      </c>
      <c r="BW39" s="11">
        <v>77.17</v>
      </c>
      <c r="BX39" s="12">
        <v>0</v>
      </c>
      <c r="BY39" s="12">
        <v>0</v>
      </c>
      <c r="BZ39" s="12">
        <v>0</v>
      </c>
      <c r="CA39" s="12">
        <v>0</v>
      </c>
      <c r="CB39" s="12">
        <v>0</v>
      </c>
      <c r="CC39" s="12">
        <v>0</v>
      </c>
      <c r="CD39" s="12">
        <v>0</v>
      </c>
      <c r="CE39" s="12">
        <v>0</v>
      </c>
      <c r="CF39" s="12">
        <v>0</v>
      </c>
      <c r="CG39" s="12">
        <v>0</v>
      </c>
      <c r="CH39" s="12">
        <v>0</v>
      </c>
      <c r="CI39" s="12">
        <v>0</v>
      </c>
      <c r="CJ39" s="12">
        <v>0</v>
      </c>
      <c r="CK39" s="12">
        <v>0</v>
      </c>
      <c r="CL39" s="12">
        <v>0</v>
      </c>
      <c r="CM39" s="12">
        <v>0</v>
      </c>
      <c r="CN39" s="12">
        <v>0</v>
      </c>
      <c r="CO39" s="12">
        <v>0</v>
      </c>
      <c r="CP39" s="12">
        <v>0</v>
      </c>
      <c r="CQ39" s="12">
        <v>0</v>
      </c>
      <c r="CR39" s="12">
        <v>0</v>
      </c>
      <c r="CS39" s="12">
        <v>0</v>
      </c>
      <c r="CT39" s="12">
        <v>0</v>
      </c>
      <c r="CU39" s="12">
        <v>0</v>
      </c>
      <c r="CV39" s="12">
        <v>0</v>
      </c>
      <c r="CW39" s="12">
        <v>0</v>
      </c>
      <c r="CX39" s="12">
        <v>0</v>
      </c>
      <c r="CY39" s="12">
        <v>0</v>
      </c>
      <c r="CZ39" s="12">
        <v>0</v>
      </c>
      <c r="DA39" s="12">
        <v>0</v>
      </c>
      <c r="DB39" s="12">
        <v>0</v>
      </c>
      <c r="DC39" s="12">
        <v>0</v>
      </c>
      <c r="DD39" s="12">
        <v>0</v>
      </c>
      <c r="DE39" s="12">
        <v>0</v>
      </c>
      <c r="DF39" s="12">
        <v>0</v>
      </c>
      <c r="DG39" s="12">
        <v>0</v>
      </c>
      <c r="DH39" s="12">
        <v>0</v>
      </c>
      <c r="DI39" s="12">
        <v>0</v>
      </c>
      <c r="DJ39" s="12">
        <v>0</v>
      </c>
      <c r="DK39" s="12">
        <v>0</v>
      </c>
      <c r="DL39" s="12">
        <v>0</v>
      </c>
      <c r="DM39" s="12">
        <v>0</v>
      </c>
      <c r="DN39" s="12">
        <v>0</v>
      </c>
      <c r="DO39" s="12">
        <v>0</v>
      </c>
      <c r="DP39" s="12">
        <v>0</v>
      </c>
      <c r="DQ39" s="12">
        <v>0</v>
      </c>
      <c r="DR39" s="12">
        <v>0</v>
      </c>
      <c r="DS39" s="12">
        <v>0</v>
      </c>
      <c r="DT39" s="12">
        <v>0</v>
      </c>
      <c r="DU39" s="12">
        <v>0</v>
      </c>
      <c r="DV39" s="12">
        <v>0</v>
      </c>
      <c r="DW39" s="12">
        <v>0</v>
      </c>
      <c r="DX39" s="12">
        <v>0</v>
      </c>
      <c r="DY39" s="12">
        <v>0</v>
      </c>
      <c r="DZ39" s="12">
        <v>0</v>
      </c>
      <c r="EA39" s="12">
        <v>0</v>
      </c>
      <c r="EB39" s="12">
        <v>0</v>
      </c>
      <c r="EC39" s="12">
        <v>0</v>
      </c>
      <c r="ED39" s="12">
        <v>0</v>
      </c>
      <c r="EE39" s="12">
        <v>0</v>
      </c>
      <c r="EF39" s="12">
        <v>0</v>
      </c>
      <c r="EG39" s="12">
        <v>0</v>
      </c>
      <c r="EH39" s="12">
        <v>0</v>
      </c>
      <c r="EI39" s="12">
        <v>0</v>
      </c>
      <c r="EJ39" s="12">
        <v>2.5821596244131455</v>
      </c>
      <c r="EK39" s="12">
        <v>2.5343058474471505</v>
      </c>
      <c r="EL39" s="12">
        <v>2.4950755088640837</v>
      </c>
      <c r="EM39" s="12">
        <v>2.4539877300613497</v>
      </c>
      <c r="EN39" s="12">
        <v>2.3606811145510838</v>
      </c>
      <c r="EO39" s="12">
        <v>2.3378971841901315</v>
      </c>
      <c r="EP39" s="12">
        <v>2.3268932449583981</v>
      </c>
      <c r="EQ39" s="12">
        <v>2.3173871798346659</v>
      </c>
      <c r="ER39" s="12">
        <v>2.3017523017523018</v>
      </c>
      <c r="ES39" s="12">
        <v>2.2936374238693791</v>
      </c>
      <c r="ET39" s="11">
        <v>200</v>
      </c>
      <c r="EU39" s="11">
        <v>720</v>
      </c>
      <c r="EV39" s="11">
        <v>353.06</v>
      </c>
      <c r="EW39" s="12">
        <v>0</v>
      </c>
      <c r="EX39" s="12">
        <v>0</v>
      </c>
      <c r="EY39" s="12">
        <v>12.426209825336812</v>
      </c>
      <c r="EZ39" s="11">
        <v>1273.06</v>
      </c>
      <c r="FA39" s="12">
        <v>12.426209825336812</v>
      </c>
      <c r="FB39" s="11">
        <v>400</v>
      </c>
      <c r="FC39" s="11">
        <v>1440</v>
      </c>
      <c r="FD39" s="11">
        <v>734.95999999999992</v>
      </c>
      <c r="FE39" s="12">
        <v>0</v>
      </c>
      <c r="FF39" s="12">
        <v>0</v>
      </c>
      <c r="FG39" s="12">
        <v>24.003777159941684</v>
      </c>
      <c r="FH39" s="11">
        <v>2574.96</v>
      </c>
      <c r="FI39" s="12">
        <v>24.003777159941684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3">
        <v>0</v>
      </c>
      <c r="FU39" s="13">
        <v>0</v>
      </c>
      <c r="FV39" s="13">
        <v>0</v>
      </c>
      <c r="FW39" s="13">
        <v>0</v>
      </c>
      <c r="FX39" s="13">
        <v>0</v>
      </c>
      <c r="FY39" s="13">
        <v>0</v>
      </c>
      <c r="FZ39" s="13">
        <v>0</v>
      </c>
      <c r="GA39" s="13">
        <v>0</v>
      </c>
      <c r="GB39" s="13">
        <v>0</v>
      </c>
      <c r="GC39" s="13">
        <v>0</v>
      </c>
      <c r="GD39" s="13">
        <v>0</v>
      </c>
      <c r="GE39" s="13">
        <v>0</v>
      </c>
      <c r="GF39" s="13">
        <v>0</v>
      </c>
      <c r="GG39" s="13">
        <v>0</v>
      </c>
      <c r="GH39" s="13">
        <v>0</v>
      </c>
      <c r="GI39" s="13">
        <v>0</v>
      </c>
      <c r="GJ39" s="13">
        <v>0</v>
      </c>
      <c r="GK39" s="13">
        <v>0</v>
      </c>
      <c r="GL39" s="13">
        <v>0</v>
      </c>
      <c r="GM39" s="13">
        <v>0</v>
      </c>
      <c r="GN39" s="13">
        <v>0</v>
      </c>
      <c r="GO39" s="13">
        <v>0</v>
      </c>
      <c r="GP39" s="13">
        <v>0</v>
      </c>
      <c r="GQ39" s="13">
        <v>0</v>
      </c>
      <c r="GR39" s="13">
        <v>0</v>
      </c>
      <c r="GS39" s="13">
        <v>0</v>
      </c>
      <c r="GT39" s="13">
        <v>0</v>
      </c>
      <c r="GU39" s="13">
        <v>0</v>
      </c>
      <c r="GV39" s="13">
        <v>0</v>
      </c>
      <c r="GW39" s="13">
        <v>0</v>
      </c>
      <c r="GX39" s="13">
        <v>0</v>
      </c>
      <c r="GY39" s="13">
        <v>0</v>
      </c>
      <c r="GZ39" s="13">
        <v>0</v>
      </c>
      <c r="HA39" s="13">
        <v>0</v>
      </c>
      <c r="HB39" s="13">
        <v>0</v>
      </c>
      <c r="HC39" s="13">
        <v>0</v>
      </c>
      <c r="HD39" s="13">
        <v>0</v>
      </c>
      <c r="HE39" s="13">
        <v>0</v>
      </c>
      <c r="HF39" s="13">
        <v>0</v>
      </c>
      <c r="HG39" s="13">
        <v>0</v>
      </c>
      <c r="HH39" s="13">
        <v>0</v>
      </c>
      <c r="HI39" s="13">
        <v>0</v>
      </c>
      <c r="HJ39" s="13">
        <v>0</v>
      </c>
      <c r="HK39" s="13">
        <v>0</v>
      </c>
      <c r="HL39" s="13">
        <v>0</v>
      </c>
      <c r="HM39" s="13">
        <v>0</v>
      </c>
      <c r="HN39" s="13">
        <v>0</v>
      </c>
      <c r="HO39" s="13">
        <v>0</v>
      </c>
      <c r="HP39" s="13">
        <v>0</v>
      </c>
      <c r="HQ39" s="13">
        <v>0</v>
      </c>
      <c r="HR39" s="13">
        <v>0</v>
      </c>
      <c r="HS39" s="13">
        <v>0</v>
      </c>
      <c r="HT39" s="13">
        <v>0</v>
      </c>
      <c r="HU39" s="13">
        <v>0</v>
      </c>
      <c r="HV39" s="13">
        <v>53.851259896182604</v>
      </c>
      <c r="HW39" s="13">
        <v>53.630821034773703</v>
      </c>
      <c r="HX39" s="13">
        <v>52.572382982638544</v>
      </c>
      <c r="HY39" s="13">
        <v>52.288359114149181</v>
      </c>
      <c r="HZ39" s="13">
        <v>51.259158751579697</v>
      </c>
      <c r="IA39" s="13">
        <v>50.912320999587784</v>
      </c>
      <c r="IB39" s="13">
        <v>49.646724207455684</v>
      </c>
      <c r="IC39" s="13">
        <v>48.8582543639466</v>
      </c>
      <c r="ID39" s="13">
        <v>48.430443525576422</v>
      </c>
      <c r="IE39" s="13">
        <v>48.131569642795711</v>
      </c>
      <c r="IF39" s="13">
        <v>0</v>
      </c>
      <c r="IG39" s="13">
        <v>0</v>
      </c>
      <c r="IH39" s="13">
        <v>509.58129451868592</v>
      </c>
      <c r="II39" s="13">
        <v>0</v>
      </c>
      <c r="IJ39" s="13">
        <v>0</v>
      </c>
      <c r="IK39" s="13">
        <v>263.60198177932375</v>
      </c>
      <c r="IL39" s="8">
        <v>0</v>
      </c>
      <c r="IM39" s="8">
        <v>0</v>
      </c>
      <c r="IN39" s="8">
        <v>1.855533640720834</v>
      </c>
      <c r="IO39" s="8">
        <v>0</v>
      </c>
      <c r="IP39" s="8">
        <v>0</v>
      </c>
      <c r="IQ39" s="8">
        <v>0</v>
      </c>
      <c r="IR39" s="8">
        <v>1.6642913680337912</v>
      </c>
      <c r="IS39" s="8">
        <v>0</v>
      </c>
    </row>
    <row r="40" spans="1:253" x14ac:dyDescent="0.25">
      <c r="A40" s="10">
        <v>43906</v>
      </c>
      <c r="B40" s="11">
        <v>3</v>
      </c>
      <c r="C40" s="11">
        <v>3.26</v>
      </c>
      <c r="D40" s="11">
        <v>3.73</v>
      </c>
      <c r="E40" s="11">
        <v>3.81</v>
      </c>
      <c r="F40" s="11">
        <v>4.09</v>
      </c>
      <c r="G40" s="11">
        <v>4.25</v>
      </c>
      <c r="H40" s="11">
        <v>4.26</v>
      </c>
      <c r="I40" s="11">
        <v>4.3899999999999997</v>
      </c>
      <c r="J40" s="11">
        <v>4.4800000000000004</v>
      </c>
      <c r="K40" s="11">
        <v>4.6399999999999997</v>
      </c>
      <c r="L40" s="11">
        <v>4.6500000000000004</v>
      </c>
      <c r="M40" s="11">
        <v>4.71</v>
      </c>
      <c r="N40" s="11">
        <v>4.88</v>
      </c>
      <c r="O40" s="11">
        <v>4.97</v>
      </c>
      <c r="P40" s="11">
        <v>5.0199999999999996</v>
      </c>
      <c r="Q40" s="11">
        <v>5.08</v>
      </c>
      <c r="R40" s="11">
        <v>5.1100000000000003</v>
      </c>
      <c r="S40" s="11">
        <v>5.18</v>
      </c>
      <c r="T40" s="11">
        <v>5.22</v>
      </c>
      <c r="U40" s="11">
        <v>5.26</v>
      </c>
      <c r="V40" s="11">
        <v>5.27</v>
      </c>
      <c r="W40" s="11">
        <v>5.29</v>
      </c>
      <c r="X40" s="11">
        <v>5.29</v>
      </c>
      <c r="Y40" s="11">
        <v>5.32</v>
      </c>
      <c r="Z40" s="11">
        <v>5.4</v>
      </c>
      <c r="AA40" s="11">
        <v>5.48</v>
      </c>
      <c r="AB40" s="11">
        <v>5.51</v>
      </c>
      <c r="AC40" s="11">
        <v>5.58</v>
      </c>
      <c r="AD40" s="11">
        <v>5.74</v>
      </c>
      <c r="AE40" s="11">
        <v>5.8</v>
      </c>
      <c r="AF40" s="11">
        <v>5.89</v>
      </c>
      <c r="AG40" s="11">
        <v>6</v>
      </c>
      <c r="AH40" s="11">
        <v>6.01</v>
      </c>
      <c r="AI40" s="11">
        <v>6.02</v>
      </c>
      <c r="AJ40" s="11">
        <v>6.04</v>
      </c>
      <c r="AK40" s="11">
        <v>6.14</v>
      </c>
      <c r="AL40" s="11">
        <v>6.2</v>
      </c>
      <c r="AM40" s="11">
        <v>6.2</v>
      </c>
      <c r="AN40" s="11">
        <v>6.43</v>
      </c>
      <c r="AO40" s="11">
        <v>6.58</v>
      </c>
      <c r="AP40" s="11">
        <v>21.14</v>
      </c>
      <c r="AQ40" s="11">
        <v>23.42</v>
      </c>
      <c r="AR40" s="11">
        <v>24.5</v>
      </c>
      <c r="AS40" s="11">
        <v>25.73</v>
      </c>
      <c r="AT40" s="11">
        <v>27.7</v>
      </c>
      <c r="AU40" s="11">
        <v>29.52</v>
      </c>
      <c r="AV40" s="11">
        <v>30.15</v>
      </c>
      <c r="AW40" s="11">
        <v>60</v>
      </c>
      <c r="AX40" s="11">
        <v>60</v>
      </c>
      <c r="AY40" s="11">
        <v>60</v>
      </c>
      <c r="AZ40" s="11">
        <v>60</v>
      </c>
      <c r="BA40" s="11">
        <v>60</v>
      </c>
      <c r="BB40" s="11">
        <v>60</v>
      </c>
      <c r="BC40" s="11">
        <v>60</v>
      </c>
      <c r="BD40" s="11">
        <v>60</v>
      </c>
      <c r="BE40" s="11">
        <v>60</v>
      </c>
      <c r="BF40" s="11">
        <v>60</v>
      </c>
      <c r="BG40" s="11">
        <v>60</v>
      </c>
      <c r="BH40" s="11">
        <v>60</v>
      </c>
      <c r="BI40" s="11">
        <v>60</v>
      </c>
      <c r="BJ40" s="11">
        <v>60</v>
      </c>
      <c r="BK40" s="11">
        <v>60</v>
      </c>
      <c r="BL40" s="11">
        <v>60</v>
      </c>
      <c r="BM40" s="11">
        <v>60</v>
      </c>
      <c r="BN40" s="11">
        <v>63.62</v>
      </c>
      <c r="BO40" s="11">
        <v>65.599999999999994</v>
      </c>
      <c r="BP40" s="11">
        <v>66.569999999999993</v>
      </c>
      <c r="BQ40" s="11">
        <v>68.37</v>
      </c>
      <c r="BR40" s="11">
        <v>70.27</v>
      </c>
      <c r="BS40" s="11">
        <v>71.52</v>
      </c>
      <c r="BT40" s="11">
        <v>71.650000000000006</v>
      </c>
      <c r="BU40" s="11">
        <v>71.8</v>
      </c>
      <c r="BV40" s="11">
        <v>72.959999999999994</v>
      </c>
      <c r="BW40" s="11">
        <v>73.739999999999995</v>
      </c>
      <c r="BX40" s="12">
        <v>4.4701986754966887</v>
      </c>
      <c r="BY40" s="12">
        <v>3.8888888888888888</v>
      </c>
      <c r="BZ40" s="12">
        <v>3.6544850498338874</v>
      </c>
      <c r="CA40" s="12">
        <v>3.6398467432950192</v>
      </c>
      <c r="CB40" s="12">
        <v>3.6093418259023355</v>
      </c>
      <c r="CC40" s="12">
        <v>3.6023054755043225</v>
      </c>
      <c r="CD40" s="12">
        <v>3.4671532846715327</v>
      </c>
      <c r="CE40" s="12">
        <v>3.4205231388329982</v>
      </c>
      <c r="CF40" s="12">
        <v>3.4050179211469533</v>
      </c>
      <c r="CG40" s="12">
        <v>3.3864541832669324</v>
      </c>
      <c r="CH40" s="12">
        <v>3.3792240300375469</v>
      </c>
      <c r="CI40" s="12">
        <v>3.3783783783783781</v>
      </c>
      <c r="CJ40" s="12">
        <v>3.3742331288343559</v>
      </c>
      <c r="CK40" s="12">
        <v>3.3333333333333335</v>
      </c>
      <c r="CL40" s="12">
        <v>3.2941176470588234</v>
      </c>
      <c r="CM40" s="12">
        <v>3.1784841075794623</v>
      </c>
      <c r="CN40" s="12">
        <v>3.1496062992125982</v>
      </c>
      <c r="CO40" s="12">
        <v>3.1249999999999996</v>
      </c>
      <c r="CP40" s="12">
        <v>3.051643192488263</v>
      </c>
      <c r="CQ40" s="12">
        <v>3.0261348005502064</v>
      </c>
      <c r="CR40" s="12">
        <v>3.010752688172043</v>
      </c>
      <c r="CS40" s="12">
        <v>3.0095759233926129</v>
      </c>
      <c r="CT40" s="12">
        <v>3</v>
      </c>
      <c r="CU40" s="12">
        <v>2.9612756264236904</v>
      </c>
      <c r="CV40" s="12">
        <v>2.9354207436399213</v>
      </c>
      <c r="CW40" s="12">
        <v>2.9345372460496617</v>
      </c>
      <c r="CX40" s="12">
        <v>2.9077117572692792</v>
      </c>
      <c r="CY40" s="12">
        <v>2.9038112522686026</v>
      </c>
      <c r="CZ40" s="12">
        <v>2.8355387523629489</v>
      </c>
      <c r="DA40" s="12">
        <v>2.8355387523629489</v>
      </c>
      <c r="DB40" s="12">
        <v>2.8195488721804511</v>
      </c>
      <c r="DC40" s="12">
        <v>2.770083102493075</v>
      </c>
      <c r="DD40" s="12">
        <v>2.7586206896551726</v>
      </c>
      <c r="DE40" s="12">
        <v>2.735562310030395</v>
      </c>
      <c r="DF40" s="12">
        <v>2.7164685908319188</v>
      </c>
      <c r="DG40" s="12">
        <v>2.6809651474530831</v>
      </c>
      <c r="DH40" s="12">
        <v>2.6622296173044928</v>
      </c>
      <c r="DI40" s="12">
        <v>2.6438569206842923</v>
      </c>
      <c r="DJ40" s="12">
        <v>2.6132404181184667</v>
      </c>
      <c r="DK40" s="12">
        <v>2.4667931688804554</v>
      </c>
      <c r="DL40" s="12">
        <v>3.0845771144278609</v>
      </c>
      <c r="DM40" s="12">
        <v>2.6900085397096496</v>
      </c>
      <c r="DN40" s="12">
        <v>2.4489795918367347</v>
      </c>
      <c r="DO40" s="12">
        <v>2.3707734162456275</v>
      </c>
      <c r="DP40" s="12">
        <v>2.2232734153263953</v>
      </c>
      <c r="DQ40" s="12">
        <v>2.1660649819494586</v>
      </c>
      <c r="DR40" s="12">
        <v>2.1002710027100271</v>
      </c>
      <c r="DS40" s="12">
        <v>0</v>
      </c>
      <c r="DT40" s="12">
        <v>0</v>
      </c>
      <c r="DU40" s="12">
        <v>0</v>
      </c>
      <c r="DV40" s="12">
        <v>0</v>
      </c>
      <c r="DW40" s="12">
        <v>0</v>
      </c>
      <c r="DX40" s="12">
        <v>0</v>
      </c>
      <c r="DY40" s="12">
        <v>0</v>
      </c>
      <c r="DZ40" s="12">
        <v>0</v>
      </c>
      <c r="EA40" s="12">
        <v>0</v>
      </c>
      <c r="EB40" s="12">
        <v>0</v>
      </c>
      <c r="EC40" s="12">
        <v>0</v>
      </c>
      <c r="ED40" s="12">
        <v>0</v>
      </c>
      <c r="EE40" s="12">
        <v>0</v>
      </c>
      <c r="EF40" s="12">
        <v>0</v>
      </c>
      <c r="EG40" s="12">
        <v>0</v>
      </c>
      <c r="EH40" s="12">
        <v>0</v>
      </c>
      <c r="EI40" s="12">
        <v>0</v>
      </c>
      <c r="EJ40" s="12">
        <v>2.7800053461641276</v>
      </c>
      <c r="EK40" s="12">
        <v>2.7756160830090795</v>
      </c>
      <c r="EL40" s="12">
        <v>2.7215631542219119</v>
      </c>
      <c r="EM40" s="12">
        <v>2.5152439024390247</v>
      </c>
      <c r="EN40" s="12">
        <v>2.4239298607529656</v>
      </c>
      <c r="EO40" s="12">
        <v>2.4233983286908081</v>
      </c>
      <c r="EP40" s="12">
        <v>2.3783912991514282</v>
      </c>
      <c r="EQ40" s="12">
        <v>2.3694200811624557</v>
      </c>
      <c r="ER40" s="12">
        <v>2.3623167781414547</v>
      </c>
      <c r="ES40" s="12">
        <v>2.3350111856823266</v>
      </c>
      <c r="ET40" s="11">
        <v>89.99</v>
      </c>
      <c r="EU40" s="11">
        <v>482.16</v>
      </c>
      <c r="EV40" s="11">
        <v>334.42999999999995</v>
      </c>
      <c r="EW40" s="12">
        <v>68.834370104312541</v>
      </c>
      <c r="EX40" s="12">
        <v>17.083948062205756</v>
      </c>
      <c r="EY40" s="12">
        <v>13.216358346587109</v>
      </c>
      <c r="EZ40" s="11">
        <v>906.57999999999993</v>
      </c>
      <c r="FA40" s="12">
        <v>99.134676513105418</v>
      </c>
      <c r="FB40" s="11">
        <v>206.18</v>
      </c>
      <c r="FC40" s="11">
        <v>1202.1600000000001</v>
      </c>
      <c r="FD40" s="11">
        <v>696.09999999999991</v>
      </c>
      <c r="FE40" s="12">
        <v>125.03590168388604</v>
      </c>
      <c r="FF40" s="12">
        <v>17.083948062205756</v>
      </c>
      <c r="FG40" s="12">
        <v>25.084896019415584</v>
      </c>
      <c r="FH40" s="11">
        <v>2104.44</v>
      </c>
      <c r="FI40" s="12">
        <v>167.2047457655074</v>
      </c>
      <c r="FJ40" s="13">
        <v>73.071130407524663</v>
      </c>
      <c r="FK40" s="13">
        <v>69.78703128385142</v>
      </c>
      <c r="FL40" s="13">
        <v>60.04169270486225</v>
      </c>
      <c r="FM40" s="13">
        <v>58.406441410553995</v>
      </c>
      <c r="FN40" s="13">
        <v>57.69860832275031</v>
      </c>
      <c r="FO40" s="13">
        <v>56.587279280138581</v>
      </c>
      <c r="FP40" s="13">
        <v>56.493939690219001</v>
      </c>
      <c r="FQ40" s="13">
        <v>56.087448999198308</v>
      </c>
      <c r="FR40" s="13">
        <v>54.145915951137262</v>
      </c>
      <c r="FS40" s="13">
        <v>52.661717556494629</v>
      </c>
      <c r="FT40" s="13">
        <v>52.335815139771178</v>
      </c>
      <c r="FU40" s="13">
        <v>51.773146648868185</v>
      </c>
      <c r="FV40" s="13">
        <v>51.73773008959315</v>
      </c>
      <c r="FW40" s="13">
        <v>50.459964990448043</v>
      </c>
      <c r="FX40" s="13">
        <v>49.851543616789563</v>
      </c>
      <c r="FY40" s="13">
        <v>49.728530615194501</v>
      </c>
      <c r="FZ40" s="13">
        <v>49.199490420535021</v>
      </c>
      <c r="GA40" s="13">
        <v>48.56349951365663</v>
      </c>
      <c r="GB40" s="13">
        <v>48.342312527215896</v>
      </c>
      <c r="GC40" s="13">
        <v>44.322850981100473</v>
      </c>
      <c r="GD40" s="13">
        <v>43.901652503075276</v>
      </c>
      <c r="GE40" s="13">
        <v>41.789634769047552</v>
      </c>
      <c r="GF40" s="13">
        <v>41.789634769047552</v>
      </c>
      <c r="GG40" s="13">
        <v>41.592423217536329</v>
      </c>
      <c r="GH40" s="13">
        <v>41.389810983306361</v>
      </c>
      <c r="GI40" s="13">
        <v>40.482501290109823</v>
      </c>
      <c r="GJ40" s="13">
        <v>39.363893130805785</v>
      </c>
      <c r="GK40" s="13">
        <v>38.345950523973379</v>
      </c>
      <c r="GL40" s="13">
        <v>38.296940244542071</v>
      </c>
      <c r="GM40" s="13">
        <v>38.119250462961453</v>
      </c>
      <c r="GN40" s="13">
        <v>37.315236481704169</v>
      </c>
      <c r="GO40" s="13">
        <v>37.134359750435451</v>
      </c>
      <c r="GP40" s="13">
        <v>36.451656190456305</v>
      </c>
      <c r="GQ40" s="13">
        <v>36.374162354228261</v>
      </c>
      <c r="GR40" s="13">
        <v>35.882718592249809</v>
      </c>
      <c r="GS40" s="13">
        <v>35.814994937309166</v>
      </c>
      <c r="GT40" s="13">
        <v>35.699829446186605</v>
      </c>
      <c r="GU40" s="13">
        <v>35.368374374555238</v>
      </c>
      <c r="GV40" s="13">
        <v>34.605126798295487</v>
      </c>
      <c r="GW40" s="13">
        <v>33.989300457286916</v>
      </c>
      <c r="GX40" s="13">
        <v>45.478011000500572</v>
      </c>
      <c r="GY40" s="13">
        <v>43.697152538797503</v>
      </c>
      <c r="GZ40" s="13">
        <v>40.381087811404356</v>
      </c>
      <c r="HA40" s="13">
        <v>40.11691554118859</v>
      </c>
      <c r="HB40" s="13">
        <v>37.526738906726806</v>
      </c>
      <c r="HC40" s="13">
        <v>32.560740279019647</v>
      </c>
      <c r="HD40" s="13">
        <v>30.196215514070737</v>
      </c>
      <c r="HE40" s="13">
        <v>0</v>
      </c>
      <c r="HF40" s="13">
        <v>0</v>
      </c>
      <c r="HG40" s="13">
        <v>0</v>
      </c>
      <c r="HH40" s="13">
        <v>0</v>
      </c>
      <c r="HI40" s="13">
        <v>0</v>
      </c>
      <c r="HJ40" s="13">
        <v>0</v>
      </c>
      <c r="HK40" s="13">
        <v>0</v>
      </c>
      <c r="HL40" s="13">
        <v>0</v>
      </c>
      <c r="HM40" s="13">
        <v>0</v>
      </c>
      <c r="HN40" s="13">
        <v>0</v>
      </c>
      <c r="HO40" s="13">
        <v>0</v>
      </c>
      <c r="HP40" s="13">
        <v>0</v>
      </c>
      <c r="HQ40" s="13">
        <v>0</v>
      </c>
      <c r="HR40" s="13">
        <v>0</v>
      </c>
      <c r="HS40" s="13">
        <v>0</v>
      </c>
      <c r="HT40" s="13">
        <v>0</v>
      </c>
      <c r="HU40" s="13">
        <v>0</v>
      </c>
      <c r="HV40" s="13">
        <v>59.519234322349604</v>
      </c>
      <c r="HW40" s="13">
        <v>58.982543100604872</v>
      </c>
      <c r="HX40" s="13">
        <v>58.511020477243989</v>
      </c>
      <c r="HY40" s="13">
        <v>57.66490567817381</v>
      </c>
      <c r="HZ40" s="13">
        <v>53.795198865476365</v>
      </c>
      <c r="IA40" s="13">
        <v>52.920988587235918</v>
      </c>
      <c r="IB40" s="13">
        <v>52.370825837147336</v>
      </c>
      <c r="IC40" s="13">
        <v>51.894152281028411</v>
      </c>
      <c r="ID40" s="13">
        <v>51.130491402080878</v>
      </c>
      <c r="IE40" s="13">
        <v>50.843336578672563</v>
      </c>
      <c r="IF40" s="13">
        <v>1855.0035414270162</v>
      </c>
      <c r="IG40" s="13">
        <v>269.95686159170822</v>
      </c>
      <c r="IH40" s="13">
        <v>547.63269713001364</v>
      </c>
      <c r="II40" s="13">
        <v>1091.296090149903</v>
      </c>
      <c r="IJ40" s="13">
        <v>269.95686159170822</v>
      </c>
      <c r="IK40" s="13">
        <v>288.47290244384862</v>
      </c>
      <c r="IL40" s="8">
        <v>0.53577967772176971</v>
      </c>
      <c r="IM40" s="8">
        <v>0.16168259434656998</v>
      </c>
      <c r="IN40" s="8">
        <v>2.280035434606924</v>
      </c>
      <c r="IO40" s="8">
        <v>0.58236737085969192</v>
      </c>
      <c r="IP40" s="8">
        <v>0.36102351402809918</v>
      </c>
      <c r="IQ40" s="8">
        <v>3.2423670597151039E-2</v>
      </c>
      <c r="IR40" s="8">
        <v>1.9734677868608679</v>
      </c>
      <c r="IS40" s="8">
        <v>0.28480169509454772</v>
      </c>
    </row>
    <row r="41" spans="1:253" x14ac:dyDescent="0.25">
      <c r="A41" s="10">
        <v>43899</v>
      </c>
      <c r="B41" s="11">
        <v>3.65</v>
      </c>
      <c r="C41" s="11">
        <v>4.3</v>
      </c>
      <c r="D41" s="11">
        <v>4.3499999999999996</v>
      </c>
      <c r="E41" s="11">
        <v>4.37</v>
      </c>
      <c r="F41" s="11">
        <v>4.4800000000000004</v>
      </c>
      <c r="G41" s="11">
        <v>4.67</v>
      </c>
      <c r="H41" s="11">
        <v>4.92</v>
      </c>
      <c r="I41" s="11">
        <v>5.25</v>
      </c>
      <c r="J41" s="11">
        <v>5.35</v>
      </c>
      <c r="K41" s="11">
        <v>5.41</v>
      </c>
      <c r="L41" s="11">
        <v>5.42</v>
      </c>
      <c r="M41" s="11">
        <v>5.78</v>
      </c>
      <c r="N41" s="11">
        <v>5.87</v>
      </c>
      <c r="O41" s="11">
        <v>5.99</v>
      </c>
      <c r="P41" s="11">
        <v>6.15</v>
      </c>
      <c r="Q41" s="11">
        <v>6.18</v>
      </c>
      <c r="R41" s="11">
        <v>6.2</v>
      </c>
      <c r="S41" s="11">
        <v>6.21</v>
      </c>
      <c r="T41" s="11">
        <v>6.29</v>
      </c>
      <c r="U41" s="11">
        <v>6.31</v>
      </c>
      <c r="V41" s="11">
        <v>6.31</v>
      </c>
      <c r="W41" s="11">
        <v>6.32</v>
      </c>
      <c r="X41" s="11">
        <v>6.36</v>
      </c>
      <c r="Y41" s="11">
        <v>6.42</v>
      </c>
      <c r="Z41" s="11">
        <v>6.56</v>
      </c>
      <c r="AA41" s="11">
        <v>6.73</v>
      </c>
      <c r="AB41" s="11">
        <v>6.91</v>
      </c>
      <c r="AC41" s="11">
        <v>7.26</v>
      </c>
      <c r="AD41" s="11">
        <v>7.27</v>
      </c>
      <c r="AE41" s="11">
        <v>7.48</v>
      </c>
      <c r="AF41" s="11">
        <v>8.07</v>
      </c>
      <c r="AG41" s="11">
        <v>8.2100000000000009</v>
      </c>
      <c r="AH41" s="11">
        <v>8.5500000000000007</v>
      </c>
      <c r="AI41" s="11">
        <v>9.66</v>
      </c>
      <c r="AJ41" s="11">
        <v>10</v>
      </c>
      <c r="AK41" s="11">
        <v>10</v>
      </c>
      <c r="AL41" s="11">
        <v>10</v>
      </c>
      <c r="AM41" s="11">
        <v>10</v>
      </c>
      <c r="AN41" s="11">
        <v>10</v>
      </c>
      <c r="AO41" s="11">
        <v>10</v>
      </c>
      <c r="AP41" s="11">
        <v>21.6</v>
      </c>
      <c r="AQ41" s="11">
        <v>22.45</v>
      </c>
      <c r="AR41" s="11">
        <v>23.3</v>
      </c>
      <c r="AS41" s="11">
        <v>23.62</v>
      </c>
      <c r="AT41" s="11">
        <v>23.75</v>
      </c>
      <c r="AU41" s="11">
        <v>24.45</v>
      </c>
      <c r="AV41" s="11">
        <v>24.74</v>
      </c>
      <c r="AW41" s="11">
        <v>28.61</v>
      </c>
      <c r="AX41" s="11">
        <v>29.09</v>
      </c>
      <c r="AY41" s="11">
        <v>29.55</v>
      </c>
      <c r="AZ41" s="11">
        <v>30.83</v>
      </c>
      <c r="BA41" s="11">
        <v>60</v>
      </c>
      <c r="BB41" s="11">
        <v>60</v>
      </c>
      <c r="BC41" s="11">
        <v>60</v>
      </c>
      <c r="BD41" s="11">
        <v>60</v>
      </c>
      <c r="BE41" s="11">
        <v>60</v>
      </c>
      <c r="BF41" s="11">
        <v>60</v>
      </c>
      <c r="BG41" s="11">
        <v>60</v>
      </c>
      <c r="BH41" s="11">
        <v>60</v>
      </c>
      <c r="BI41" s="11">
        <v>60</v>
      </c>
      <c r="BJ41" s="11">
        <v>60</v>
      </c>
      <c r="BK41" s="11">
        <v>60</v>
      </c>
      <c r="BL41" s="11">
        <v>60</v>
      </c>
      <c r="BM41" s="11">
        <v>60</v>
      </c>
      <c r="BN41" s="11">
        <v>62.53</v>
      </c>
      <c r="BO41" s="11">
        <v>63.35</v>
      </c>
      <c r="BP41" s="11">
        <v>66.37</v>
      </c>
      <c r="BQ41" s="11">
        <v>67.37</v>
      </c>
      <c r="BR41" s="11">
        <v>67.52</v>
      </c>
      <c r="BS41" s="11">
        <v>68.67</v>
      </c>
      <c r="BT41" s="11">
        <v>68.930000000000007</v>
      </c>
      <c r="BU41" s="11">
        <v>70.680000000000007</v>
      </c>
      <c r="BV41" s="11">
        <v>71.489999999999995</v>
      </c>
      <c r="BW41" s="11">
        <v>71.569999999999993</v>
      </c>
      <c r="BX41" s="12">
        <v>4.4642857142857135</v>
      </c>
      <c r="BY41" s="12">
        <v>3.883495145631068</v>
      </c>
      <c r="BZ41" s="12">
        <v>3.8095238095238093</v>
      </c>
      <c r="CA41" s="12">
        <v>3.7267080745341614</v>
      </c>
      <c r="CB41" s="12">
        <v>3.7037037037037037</v>
      </c>
      <c r="CC41" s="12">
        <v>3.4552845528455287</v>
      </c>
      <c r="CD41" s="12">
        <v>3.3422459893048124</v>
      </c>
      <c r="CE41" s="12">
        <v>3.3386327503974562</v>
      </c>
      <c r="CF41" s="12">
        <v>3.3018867924528301</v>
      </c>
      <c r="CG41" s="12">
        <v>3.2012195121951224</v>
      </c>
      <c r="CH41" s="12">
        <v>3.0450669914738122</v>
      </c>
      <c r="CI41" s="12">
        <v>3.0136986301369864</v>
      </c>
      <c r="CJ41" s="12">
        <v>3.0110935023771792</v>
      </c>
      <c r="CK41" s="12">
        <v>2.9520295202952029</v>
      </c>
      <c r="CL41" s="12">
        <v>2.850061957868649</v>
      </c>
      <c r="CM41" s="12">
        <v>2.8481012658227849</v>
      </c>
      <c r="CN41" s="12">
        <v>2.7548209366391188</v>
      </c>
      <c r="CO41" s="12">
        <v>2.7459954233409611</v>
      </c>
      <c r="CP41" s="12">
        <v>2.7257240204429301</v>
      </c>
      <c r="CQ41" s="12">
        <v>2.6941362916006342</v>
      </c>
      <c r="CR41" s="12">
        <v>2.6900584795321634</v>
      </c>
      <c r="CS41" s="12">
        <v>2.6168224299065423</v>
      </c>
      <c r="CT41" s="12">
        <v>2.587800369685767</v>
      </c>
      <c r="CU41" s="12">
        <v>2.5695931477516059</v>
      </c>
      <c r="CV41" s="12">
        <v>2.558139534883721</v>
      </c>
      <c r="CW41" s="12">
        <v>2.4602026049204051</v>
      </c>
      <c r="CX41" s="12">
        <v>2.422145328719723</v>
      </c>
      <c r="CY41" s="12">
        <v>2.4193548387096775</v>
      </c>
      <c r="CZ41" s="12">
        <v>2.3383768913342506</v>
      </c>
      <c r="DA41" s="12">
        <v>2.3364485981308412</v>
      </c>
      <c r="DB41" s="12">
        <v>2.298850574712644</v>
      </c>
      <c r="DC41" s="12">
        <v>2.2764227642276422</v>
      </c>
      <c r="DD41" s="12">
        <v>2.2288261515601784</v>
      </c>
      <c r="DE41" s="12">
        <v>2.003338898163606</v>
      </c>
      <c r="DF41" s="12">
        <v>0</v>
      </c>
      <c r="DG41" s="12">
        <v>0</v>
      </c>
      <c r="DH41" s="12">
        <v>0</v>
      </c>
      <c r="DI41" s="12">
        <v>0</v>
      </c>
      <c r="DJ41" s="12">
        <v>0</v>
      </c>
      <c r="DK41" s="12">
        <v>0</v>
      </c>
      <c r="DL41" s="12">
        <v>2.9506871463217466</v>
      </c>
      <c r="DM41" s="12">
        <v>2.8764805414551606</v>
      </c>
      <c r="DN41" s="12">
        <v>2.703862660944206</v>
      </c>
      <c r="DO41" s="12">
        <v>2.4975673045734674</v>
      </c>
      <c r="DP41" s="12">
        <v>2.4948875255623721</v>
      </c>
      <c r="DQ41" s="12">
        <v>2.4537037037037037</v>
      </c>
      <c r="DR41" s="12">
        <v>2.4498886414253898</v>
      </c>
      <c r="DS41" s="12">
        <v>2.4</v>
      </c>
      <c r="DT41" s="12">
        <v>2.3418385180006993</v>
      </c>
      <c r="DU41" s="12">
        <v>2.3285351397121081</v>
      </c>
      <c r="DV41" s="12">
        <v>2.3031969749054659</v>
      </c>
      <c r="DW41" s="12">
        <v>0</v>
      </c>
      <c r="DX41" s="12">
        <v>0</v>
      </c>
      <c r="DY41" s="12">
        <v>0</v>
      </c>
      <c r="DZ41" s="12">
        <v>0</v>
      </c>
      <c r="EA41" s="12">
        <v>0</v>
      </c>
      <c r="EB41" s="12">
        <v>0</v>
      </c>
      <c r="EC41" s="12">
        <v>0</v>
      </c>
      <c r="ED41" s="12">
        <v>0</v>
      </c>
      <c r="EE41" s="12">
        <v>0</v>
      </c>
      <c r="EF41" s="12">
        <v>0</v>
      </c>
      <c r="EG41" s="12">
        <v>0</v>
      </c>
      <c r="EH41" s="12">
        <v>0</v>
      </c>
      <c r="EI41" s="12">
        <v>0</v>
      </c>
      <c r="EJ41" s="12">
        <v>2.6023727516264827</v>
      </c>
      <c r="EK41" s="12">
        <v>2.5469675955112847</v>
      </c>
      <c r="EL41" s="12">
        <v>2.4591309207768619</v>
      </c>
      <c r="EM41" s="12">
        <v>2.4319207805446337</v>
      </c>
      <c r="EN41" s="12">
        <v>2.4317751958930018</v>
      </c>
      <c r="EO41" s="12">
        <v>2.4164979757085017</v>
      </c>
      <c r="EP41" s="12">
        <v>2.4091826437941473</v>
      </c>
      <c r="EQ41" s="12">
        <v>2.4004291269947702</v>
      </c>
      <c r="ER41" s="12">
        <v>2.3937327723777742</v>
      </c>
      <c r="ES41" s="12">
        <v>2.3769100169779285</v>
      </c>
      <c r="ET41" s="11">
        <v>107.15000000000002</v>
      </c>
      <c r="EU41" s="11">
        <v>341.99</v>
      </c>
      <c r="EV41" s="11">
        <v>327.14</v>
      </c>
      <c r="EW41" s="12">
        <v>64.867714584872473</v>
      </c>
      <c r="EX41" s="12">
        <v>27.800648156604318</v>
      </c>
      <c r="EY41" s="12">
        <v>12.472167244352265</v>
      </c>
      <c r="EZ41" s="11">
        <v>776.28</v>
      </c>
      <c r="FA41" s="12">
        <v>105.14052998582905</v>
      </c>
      <c r="FB41" s="11">
        <v>269.26</v>
      </c>
      <c r="FC41" s="11">
        <v>1061.99</v>
      </c>
      <c r="FD41" s="11">
        <v>678.48</v>
      </c>
      <c r="FE41" s="12">
        <v>98.674095197111271</v>
      </c>
      <c r="FF41" s="12">
        <v>27.800648156604318</v>
      </c>
      <c r="FG41" s="12">
        <v>24.468919780205386</v>
      </c>
      <c r="FH41" s="11">
        <v>2009.73</v>
      </c>
      <c r="FI41" s="12">
        <v>150.94366313392098</v>
      </c>
      <c r="FJ41" s="13">
        <v>73.911042985133065</v>
      </c>
      <c r="FK41" s="13">
        <v>57.589959686706599</v>
      </c>
      <c r="FL41" s="13">
        <v>56.443136456180341</v>
      </c>
      <c r="FM41" s="13">
        <v>53.574756473502873</v>
      </c>
      <c r="FN41" s="13">
        <v>51.33136261927487</v>
      </c>
      <c r="FO41" s="13">
        <v>48.789242424991691</v>
      </c>
      <c r="FP41" s="13">
        <v>46.26097291018003</v>
      </c>
      <c r="FQ41" s="13">
        <v>43.587820767521151</v>
      </c>
      <c r="FR41" s="13">
        <v>43.586125962018833</v>
      </c>
      <c r="FS41" s="13">
        <v>42.775407650775016</v>
      </c>
      <c r="FT41" s="13">
        <v>42.773339071264928</v>
      </c>
      <c r="FU41" s="13">
        <v>41.323253553510071</v>
      </c>
      <c r="FV41" s="13">
        <v>40.582119626909019</v>
      </c>
      <c r="FW41" s="13">
        <v>39.224340399216352</v>
      </c>
      <c r="FX41" s="13">
        <v>38.85261209509305</v>
      </c>
      <c r="FY41" s="13">
        <v>38.650867976014247</v>
      </c>
      <c r="FZ41" s="13">
        <v>38.262960125614498</v>
      </c>
      <c r="GA41" s="13">
        <v>37.544354675684524</v>
      </c>
      <c r="GB41" s="13">
        <v>37.349704441591811</v>
      </c>
      <c r="GC41" s="13">
        <v>37.060001363600477</v>
      </c>
      <c r="GD41" s="13">
        <v>36.032412841985305</v>
      </c>
      <c r="GE41" s="13">
        <v>35.095462462456737</v>
      </c>
      <c r="GF41" s="13">
        <v>33.5507837123141</v>
      </c>
      <c r="GG41" s="13">
        <v>32.991996726191779</v>
      </c>
      <c r="GH41" s="13">
        <v>32.530422166399241</v>
      </c>
      <c r="GI41" s="13">
        <v>31.906366230719104</v>
      </c>
      <c r="GJ41" s="13">
        <v>31.253221212662105</v>
      </c>
      <c r="GK41" s="13">
        <v>30.192028849166917</v>
      </c>
      <c r="GL41" s="13">
        <v>30.073792560974425</v>
      </c>
      <c r="GM41" s="13">
        <v>30.070016768057393</v>
      </c>
      <c r="GN41" s="13">
        <v>28.329401526553738</v>
      </c>
      <c r="GO41" s="13">
        <v>27.753490345834035</v>
      </c>
      <c r="GP41" s="13">
        <v>27.586231844780556</v>
      </c>
      <c r="GQ41" s="13">
        <v>27.064973545271879</v>
      </c>
      <c r="GR41" s="13">
        <v>0</v>
      </c>
      <c r="GS41" s="13">
        <v>0</v>
      </c>
      <c r="GT41" s="13">
        <v>0</v>
      </c>
      <c r="GU41" s="13">
        <v>0</v>
      </c>
      <c r="GV41" s="13">
        <v>0</v>
      </c>
      <c r="GW41" s="13">
        <v>0</v>
      </c>
      <c r="GX41" s="13">
        <v>48.006716789536924</v>
      </c>
      <c r="GY41" s="13">
        <v>45.876904951650801</v>
      </c>
      <c r="GZ41" s="13">
        <v>43.899858441267263</v>
      </c>
      <c r="HA41" s="13">
        <v>42.663210072201814</v>
      </c>
      <c r="HB41" s="13">
        <v>41.326614399235233</v>
      </c>
      <c r="HC41" s="13">
        <v>40.92742245416467</v>
      </c>
      <c r="HD41" s="13">
        <v>40.179575040693798</v>
      </c>
      <c r="HE41" s="13">
        <v>39.133212220684115</v>
      </c>
      <c r="HF41" s="13">
        <v>34.833279161088754</v>
      </c>
      <c r="HG41" s="13">
        <v>34.415419812551605</v>
      </c>
      <c r="HH41" s="13">
        <v>33.455621627061632</v>
      </c>
      <c r="HI41" s="13">
        <v>0</v>
      </c>
      <c r="HJ41" s="13">
        <v>0</v>
      </c>
      <c r="HK41" s="13">
        <v>0</v>
      </c>
      <c r="HL41" s="13">
        <v>0</v>
      </c>
      <c r="HM41" s="13">
        <v>0</v>
      </c>
      <c r="HN41" s="13">
        <v>0</v>
      </c>
      <c r="HO41" s="13">
        <v>0</v>
      </c>
      <c r="HP41" s="13">
        <v>0</v>
      </c>
      <c r="HQ41" s="13">
        <v>0</v>
      </c>
      <c r="HR41" s="13">
        <v>0</v>
      </c>
      <c r="HS41" s="13">
        <v>0</v>
      </c>
      <c r="HT41" s="13">
        <v>0</v>
      </c>
      <c r="HU41" s="13">
        <v>0</v>
      </c>
      <c r="HV41" s="13">
        <v>54.790182359375571</v>
      </c>
      <c r="HW41" s="13">
        <v>53.822044859787631</v>
      </c>
      <c r="HX41" s="13">
        <v>53.787347294633427</v>
      </c>
      <c r="HY41" s="13">
        <v>53.537598468425571</v>
      </c>
      <c r="HZ41" s="13">
        <v>53.441334339249856</v>
      </c>
      <c r="IA41" s="13">
        <v>52.480192288987752</v>
      </c>
      <c r="IB41" s="13">
        <v>51.983955609398031</v>
      </c>
      <c r="IC41" s="13">
        <v>51.878105736391468</v>
      </c>
      <c r="ID41" s="13">
        <v>51.166972560863279</v>
      </c>
      <c r="IE41" s="13">
        <v>51.048647832156007</v>
      </c>
      <c r="IF41" s="13">
        <v>1343.9039820581509</v>
      </c>
      <c r="IG41" s="13">
        <v>444.71783497013661</v>
      </c>
      <c r="IH41" s="13">
        <v>527.93638134926857</v>
      </c>
      <c r="II41" s="13">
        <v>909.4733812647836</v>
      </c>
      <c r="IJ41" s="13">
        <v>444.71783497013661</v>
      </c>
      <c r="IK41" s="13">
        <v>269.37850732147206</v>
      </c>
      <c r="IL41" s="8">
        <v>0.35339382854062196</v>
      </c>
      <c r="IM41" s="8">
        <v>0.61107975466247011</v>
      </c>
      <c r="IN41" s="8">
        <v>2.0540036653098799</v>
      </c>
      <c r="IO41" s="8">
        <v>0.76263960827114341</v>
      </c>
      <c r="IP41" s="8">
        <v>0.15805276690608283</v>
      </c>
      <c r="IQ41" s="8">
        <v>9.8392247241978786E-2</v>
      </c>
      <c r="IR41" s="8">
        <v>1.903966655507483</v>
      </c>
      <c r="IS41" s="8">
        <v>0.3093670863052706</v>
      </c>
    </row>
    <row r="42" spans="1:253" x14ac:dyDescent="0.25">
      <c r="A42" s="10">
        <v>43892</v>
      </c>
      <c r="B42" s="11">
        <v>3.13</v>
      </c>
      <c r="C42" s="11">
        <v>3.21</v>
      </c>
      <c r="D42" s="11">
        <v>3.95</v>
      </c>
      <c r="E42" s="11">
        <v>4.38</v>
      </c>
      <c r="F42" s="11">
        <v>4.42</v>
      </c>
      <c r="G42" s="11">
        <v>4.4400000000000004</v>
      </c>
      <c r="H42" s="11">
        <v>4.5999999999999996</v>
      </c>
      <c r="I42" s="11">
        <v>4.78</v>
      </c>
      <c r="J42" s="11">
        <v>4.99</v>
      </c>
      <c r="K42" s="11">
        <v>5.07</v>
      </c>
      <c r="L42" s="11">
        <v>5.09</v>
      </c>
      <c r="M42" s="11">
        <v>5.14</v>
      </c>
      <c r="N42" s="11">
        <v>5.16</v>
      </c>
      <c r="O42" s="11">
        <v>5.16</v>
      </c>
      <c r="P42" s="11">
        <v>5.2</v>
      </c>
      <c r="Q42" s="11">
        <v>5.3</v>
      </c>
      <c r="R42" s="11">
        <v>5.34</v>
      </c>
      <c r="S42" s="11">
        <v>5.47</v>
      </c>
      <c r="T42" s="11">
        <v>5.56</v>
      </c>
      <c r="U42" s="11">
        <v>5.74</v>
      </c>
      <c r="V42" s="11">
        <v>5.75</v>
      </c>
      <c r="W42" s="11">
        <v>5.87</v>
      </c>
      <c r="X42" s="11">
        <v>6.03</v>
      </c>
      <c r="Y42" s="11">
        <v>6.15</v>
      </c>
      <c r="Z42" s="11">
        <v>6.17</v>
      </c>
      <c r="AA42" s="11">
        <v>6.25</v>
      </c>
      <c r="AB42" s="11">
        <v>6.43</v>
      </c>
      <c r="AC42" s="11">
        <v>6.47</v>
      </c>
      <c r="AD42" s="11">
        <v>6.49</v>
      </c>
      <c r="AE42" s="11">
        <v>6.52</v>
      </c>
      <c r="AF42" s="11">
        <v>6.67</v>
      </c>
      <c r="AG42" s="11">
        <v>6.94</v>
      </c>
      <c r="AH42" s="11">
        <v>7</v>
      </c>
      <c r="AI42" s="11">
        <v>7.23</v>
      </c>
      <c r="AJ42" s="11">
        <v>7.24</v>
      </c>
      <c r="AK42" s="11">
        <v>7.27</v>
      </c>
      <c r="AL42" s="11">
        <v>7.59</v>
      </c>
      <c r="AM42" s="11">
        <v>7.7</v>
      </c>
      <c r="AN42" s="11">
        <v>7.85</v>
      </c>
      <c r="AO42" s="11">
        <v>7.95</v>
      </c>
      <c r="AP42" s="11">
        <v>20.43</v>
      </c>
      <c r="AQ42" s="11">
        <v>22.67</v>
      </c>
      <c r="AR42" s="11">
        <v>23.56</v>
      </c>
      <c r="AS42" s="11">
        <v>25.19</v>
      </c>
      <c r="AT42" s="11">
        <v>25.43</v>
      </c>
      <c r="AU42" s="11">
        <v>25.79</v>
      </c>
      <c r="AV42" s="11">
        <v>27.48</v>
      </c>
      <c r="AW42" s="11">
        <v>27.97</v>
      </c>
      <c r="AX42" s="11">
        <v>28.07</v>
      </c>
      <c r="AY42" s="11">
        <v>28.95</v>
      </c>
      <c r="AZ42" s="11">
        <v>60</v>
      </c>
      <c r="BA42" s="11">
        <v>60</v>
      </c>
      <c r="BB42" s="11">
        <v>60</v>
      </c>
      <c r="BC42" s="11">
        <v>60</v>
      </c>
      <c r="BD42" s="11">
        <v>60</v>
      </c>
      <c r="BE42" s="11">
        <v>60</v>
      </c>
      <c r="BF42" s="11">
        <v>60</v>
      </c>
      <c r="BG42" s="11">
        <v>60</v>
      </c>
      <c r="BH42" s="11">
        <v>60</v>
      </c>
      <c r="BI42" s="11">
        <v>60</v>
      </c>
      <c r="BJ42" s="11">
        <v>60</v>
      </c>
      <c r="BK42" s="11">
        <v>60</v>
      </c>
      <c r="BL42" s="11">
        <v>60</v>
      </c>
      <c r="BM42" s="11">
        <v>60</v>
      </c>
      <c r="BN42" s="11">
        <v>65.91</v>
      </c>
      <c r="BO42" s="11">
        <v>66.75</v>
      </c>
      <c r="BP42" s="11">
        <v>67.400000000000006</v>
      </c>
      <c r="BQ42" s="11">
        <v>68.849999999999994</v>
      </c>
      <c r="BR42" s="11">
        <v>70.69</v>
      </c>
      <c r="BS42" s="11">
        <v>71.36</v>
      </c>
      <c r="BT42" s="11">
        <v>71.48</v>
      </c>
      <c r="BU42" s="11">
        <v>71.650000000000006</v>
      </c>
      <c r="BV42" s="11">
        <v>73.45</v>
      </c>
      <c r="BW42" s="11">
        <v>73.790000000000006</v>
      </c>
      <c r="BX42" s="12">
        <v>4.1990668740279942</v>
      </c>
      <c r="BY42" s="12">
        <v>3.9622641509433962</v>
      </c>
      <c r="BZ42" s="12">
        <v>3.9024390243902438</v>
      </c>
      <c r="CA42" s="12">
        <v>3.8461538461538463</v>
      </c>
      <c r="CB42" s="12">
        <v>3.8338658146964857</v>
      </c>
      <c r="CC42" s="12">
        <v>3.7974683544303796</v>
      </c>
      <c r="CD42" s="12">
        <v>3.7662337662337659</v>
      </c>
      <c r="CE42" s="12">
        <v>3.7094281298299845</v>
      </c>
      <c r="CF42" s="12">
        <v>3.6956521739130439</v>
      </c>
      <c r="CG42" s="12">
        <v>3.6538461538461537</v>
      </c>
      <c r="CH42" s="12">
        <v>3.4530386740331491</v>
      </c>
      <c r="CI42" s="12">
        <v>3.4394904458598727</v>
      </c>
      <c r="CJ42" s="12">
        <v>3.4387895460797799</v>
      </c>
      <c r="CK42" s="12">
        <v>3.3530571992110452</v>
      </c>
      <c r="CL42" s="12">
        <v>3.1446540880503142</v>
      </c>
      <c r="CM42" s="12">
        <v>3.1380753138075312</v>
      </c>
      <c r="CN42" s="12">
        <v>3.1152647975077881</v>
      </c>
      <c r="CO42" s="12">
        <v>3.0674846625766872</v>
      </c>
      <c r="CP42" s="12">
        <v>2.9887920298879207</v>
      </c>
      <c r="CQ42" s="12">
        <v>2.9616724738675959</v>
      </c>
      <c r="CR42" s="12">
        <v>2.9565217391304346</v>
      </c>
      <c r="CS42" s="12">
        <v>2.9347826086956523</v>
      </c>
      <c r="CT42" s="12">
        <v>2.9069767441860463</v>
      </c>
      <c r="CU42" s="12">
        <v>2.904564315352697</v>
      </c>
      <c r="CV42" s="12">
        <v>2.8960817717206133</v>
      </c>
      <c r="CW42" s="12">
        <v>2.8571428571428572</v>
      </c>
      <c r="CX42" s="12">
        <v>2.808988764044944</v>
      </c>
      <c r="CY42" s="12">
        <v>2.807017543859649</v>
      </c>
      <c r="CZ42" s="12">
        <v>2.773497688751926</v>
      </c>
      <c r="DA42" s="12">
        <v>2.7422303473491776</v>
      </c>
      <c r="DB42" s="12">
        <v>2.7397260273972601</v>
      </c>
      <c r="DC42" s="12">
        <v>2.7292576419213974</v>
      </c>
      <c r="DD42" s="12">
        <v>2.7131782945736433</v>
      </c>
      <c r="DE42" s="12">
        <v>2.7027027027027026</v>
      </c>
      <c r="DF42" s="12">
        <v>2.6978417266187051</v>
      </c>
      <c r="DG42" s="12">
        <v>2.6282853566958697</v>
      </c>
      <c r="DH42" s="12">
        <v>2.5936599423631121</v>
      </c>
      <c r="DI42" s="12">
        <v>2.5931928687196111</v>
      </c>
      <c r="DJ42" s="12">
        <v>2.56</v>
      </c>
      <c r="DK42" s="12">
        <v>2.5032938076416338</v>
      </c>
      <c r="DL42" s="12">
        <v>3.4680014301036826</v>
      </c>
      <c r="DM42" s="12">
        <v>2.9856533540131833</v>
      </c>
      <c r="DN42" s="12">
        <v>2.8389623103279491</v>
      </c>
      <c r="DO42" s="12">
        <v>2.7788805081381498</v>
      </c>
      <c r="DP42" s="12">
        <v>2.7288428324697755</v>
      </c>
      <c r="DQ42" s="12">
        <v>2.5650160313501957</v>
      </c>
      <c r="DR42" s="12">
        <v>2.5042444821731751</v>
      </c>
      <c r="DS42" s="12">
        <v>2.4745269286754001</v>
      </c>
      <c r="DT42" s="12">
        <v>2.2807707432166731</v>
      </c>
      <c r="DU42" s="12">
        <v>2.2496691662990735</v>
      </c>
      <c r="DV42" s="12">
        <v>0</v>
      </c>
      <c r="DW42" s="12">
        <v>0</v>
      </c>
      <c r="DX42" s="12">
        <v>0</v>
      </c>
      <c r="DY42" s="12">
        <v>0</v>
      </c>
      <c r="DZ42" s="12">
        <v>0</v>
      </c>
      <c r="EA42" s="12">
        <v>0</v>
      </c>
      <c r="EB42" s="12">
        <v>0</v>
      </c>
      <c r="EC42" s="12">
        <v>0</v>
      </c>
      <c r="ED42" s="12">
        <v>0</v>
      </c>
      <c r="EE42" s="12">
        <v>0</v>
      </c>
      <c r="EF42" s="12">
        <v>0</v>
      </c>
      <c r="EG42" s="12">
        <v>0</v>
      </c>
      <c r="EH42" s="12">
        <v>0</v>
      </c>
      <c r="EI42" s="12">
        <v>0</v>
      </c>
      <c r="EJ42" s="12">
        <v>2.6312583749543181</v>
      </c>
      <c r="EK42" s="12">
        <v>2.6260748315128981</v>
      </c>
      <c r="EL42" s="12">
        <v>2.6224534026874728</v>
      </c>
      <c r="EM42" s="12">
        <v>2.5521111704970605</v>
      </c>
      <c r="EN42" s="12">
        <v>2.4981844589687729</v>
      </c>
      <c r="EO42" s="12">
        <v>2.4217286593524219</v>
      </c>
      <c r="EP42" s="12">
        <v>2.4177949709864603</v>
      </c>
      <c r="EQ42" s="12">
        <v>2.3675762439807384</v>
      </c>
      <c r="ER42" s="12">
        <v>2.3284147827264112</v>
      </c>
      <c r="ES42" s="12">
        <v>2.3062139654067906</v>
      </c>
      <c r="ET42" s="11">
        <v>96.13</v>
      </c>
      <c r="EU42" s="11">
        <v>375.53999999999996</v>
      </c>
      <c r="EV42" s="11">
        <v>339.59999999999997</v>
      </c>
      <c r="EW42" s="12">
        <v>70.466737519346978</v>
      </c>
      <c r="EX42" s="12">
        <v>26.874567786767258</v>
      </c>
      <c r="EY42" s="12">
        <v>12.930082238620521</v>
      </c>
      <c r="EZ42" s="11">
        <v>811.27</v>
      </c>
      <c r="FA42" s="12">
        <v>110.27138754473475</v>
      </c>
      <c r="FB42" s="11">
        <v>231.70000000000002</v>
      </c>
      <c r="FC42" s="11">
        <v>1095.54</v>
      </c>
      <c r="FD42" s="11">
        <v>701.33</v>
      </c>
      <c r="FE42" s="12">
        <v>125.51568026821494</v>
      </c>
      <c r="FF42" s="12">
        <v>26.874567786767258</v>
      </c>
      <c r="FG42" s="12">
        <v>24.771810861073345</v>
      </c>
      <c r="FH42" s="11">
        <v>2028.5700000000002</v>
      </c>
      <c r="FI42" s="12">
        <v>177.16205891605551</v>
      </c>
      <c r="FJ42" s="13">
        <v>81.584532856381315</v>
      </c>
      <c r="FK42" s="13">
        <v>68.663850735577483</v>
      </c>
      <c r="FL42" s="13">
        <v>65.131848475538135</v>
      </c>
      <c r="FM42" s="13">
        <v>64.281058922725933</v>
      </c>
      <c r="FN42" s="13">
        <v>60.063767032370393</v>
      </c>
      <c r="FO42" s="13">
        <v>58.317953511270304</v>
      </c>
      <c r="FP42" s="13">
        <v>54.500423337154565</v>
      </c>
      <c r="FQ42" s="13">
        <v>53.983006608632159</v>
      </c>
      <c r="FR42" s="13">
        <v>51.757763741428995</v>
      </c>
      <c r="FS42" s="13">
        <v>50.908154028827397</v>
      </c>
      <c r="FT42" s="13">
        <v>49.649604548294597</v>
      </c>
      <c r="FU42" s="13">
        <v>47.481663242138666</v>
      </c>
      <c r="FV42" s="13">
        <v>46.081564699023787</v>
      </c>
      <c r="FW42" s="13">
        <v>45.027947991148579</v>
      </c>
      <c r="FX42" s="13">
        <v>43.595205102266149</v>
      </c>
      <c r="FY42" s="13">
        <v>42.679146328166311</v>
      </c>
      <c r="FZ42" s="13">
        <v>41.224050668125358</v>
      </c>
      <c r="GA42" s="13">
        <v>41.126625933257003</v>
      </c>
      <c r="GB42" s="13">
        <v>41.1022450667651</v>
      </c>
      <c r="GC42" s="13">
        <v>40.854171255780074</v>
      </c>
      <c r="GD42" s="13">
        <v>40.688858095448403</v>
      </c>
      <c r="GE42" s="13">
        <v>40.56798800703023</v>
      </c>
      <c r="GF42" s="13">
        <v>39.6840609691913</v>
      </c>
      <c r="GG42" s="13">
        <v>39.478874529072286</v>
      </c>
      <c r="GH42" s="13">
        <v>39.053597131382084</v>
      </c>
      <c r="GI42" s="13">
        <v>38.453626760719281</v>
      </c>
      <c r="GJ42" s="13">
        <v>38.398660289136238</v>
      </c>
      <c r="GK42" s="13">
        <v>35.424887480727996</v>
      </c>
      <c r="GL42" s="13">
        <v>35.107176501996769</v>
      </c>
      <c r="GM42" s="13">
        <v>34.847196867761092</v>
      </c>
      <c r="GN42" s="13">
        <v>34.611090790726799</v>
      </c>
      <c r="GO42" s="13">
        <v>34.398234137812345</v>
      </c>
      <c r="GP42" s="13">
        <v>34.315249644081732</v>
      </c>
      <c r="GQ42" s="13">
        <v>33.843378926455401</v>
      </c>
      <c r="GR42" s="13">
        <v>33.57189932686876</v>
      </c>
      <c r="GS42" s="13">
        <v>33.450590394260267</v>
      </c>
      <c r="GT42" s="13">
        <v>32.888705022613067</v>
      </c>
      <c r="GU42" s="13">
        <v>32.720837732149199</v>
      </c>
      <c r="GV42" s="13">
        <v>31.609189802214203</v>
      </c>
      <c r="GW42" s="13">
        <v>30.057857690027255</v>
      </c>
      <c r="GX42" s="13">
        <v>52.811730387177427</v>
      </c>
      <c r="GY42" s="13">
        <v>51.778941567600832</v>
      </c>
      <c r="GZ42" s="13">
        <v>47.182621911693069</v>
      </c>
      <c r="HA42" s="13">
        <v>44.644584195594881</v>
      </c>
      <c r="HB42" s="13">
        <v>42.161169815640939</v>
      </c>
      <c r="HC42" s="13">
        <v>39.772524017107244</v>
      </c>
      <c r="HD42" s="13">
        <v>38.909998948236549</v>
      </c>
      <c r="HE42" s="13">
        <v>38.201377390488823</v>
      </c>
      <c r="HF42" s="13">
        <v>37.405813278607461</v>
      </c>
      <c r="HG42" s="13">
        <v>36.399700348803393</v>
      </c>
      <c r="HH42" s="13">
        <v>0</v>
      </c>
      <c r="HI42" s="13">
        <v>0</v>
      </c>
      <c r="HJ42" s="13">
        <v>0</v>
      </c>
      <c r="HK42" s="13">
        <v>0</v>
      </c>
      <c r="HL42" s="13">
        <v>0</v>
      </c>
      <c r="HM42" s="13">
        <v>0</v>
      </c>
      <c r="HN42" s="13">
        <v>0</v>
      </c>
      <c r="HO42" s="13">
        <v>0</v>
      </c>
      <c r="HP42" s="13">
        <v>0</v>
      </c>
      <c r="HQ42" s="13">
        <v>0</v>
      </c>
      <c r="HR42" s="13">
        <v>0</v>
      </c>
      <c r="HS42" s="13">
        <v>0</v>
      </c>
      <c r="HT42" s="13">
        <v>0</v>
      </c>
      <c r="HU42" s="13">
        <v>0</v>
      </c>
      <c r="HV42" s="13">
        <v>56.180033835934495</v>
      </c>
      <c r="HW42" s="13">
        <v>54.137250916777198</v>
      </c>
      <c r="HX42" s="13">
        <v>53.47079158709559</v>
      </c>
      <c r="HY42" s="13">
        <v>52.31793233664483</v>
      </c>
      <c r="HZ42" s="13">
        <v>51.419585477655538</v>
      </c>
      <c r="IA42" s="13">
        <v>50.516867611021738</v>
      </c>
      <c r="IB42" s="13">
        <v>50.260374940821812</v>
      </c>
      <c r="IC42" s="13">
        <v>50.12220248216812</v>
      </c>
      <c r="ID42" s="13">
        <v>49.969116313521859</v>
      </c>
      <c r="IE42" s="13">
        <v>49.845153057098443</v>
      </c>
      <c r="IF42" s="13">
        <v>1761.1865441845471</v>
      </c>
      <c r="IG42" s="13">
        <v>429.26846186095059</v>
      </c>
      <c r="IH42" s="13">
        <v>518.23930855873959</v>
      </c>
      <c r="II42" s="13">
        <v>1048.0145840848725</v>
      </c>
      <c r="IJ42" s="13">
        <v>429.26846186095059</v>
      </c>
      <c r="IK42" s="13">
        <v>267.52559415410764</v>
      </c>
      <c r="IL42" s="8">
        <v>0.4930887517208411</v>
      </c>
      <c r="IM42" s="8">
        <v>0.51926147587066396</v>
      </c>
      <c r="IN42" s="8">
        <v>2.0371778170485451</v>
      </c>
      <c r="IO42" s="8">
        <v>0.80497064989675338</v>
      </c>
      <c r="IP42" s="8">
        <v>0.30618214421805834</v>
      </c>
      <c r="IQ42" s="8">
        <v>8.8998783544402368E-2</v>
      </c>
      <c r="IR42" s="8">
        <v>1.8304829584347633</v>
      </c>
      <c r="IS42" s="8">
        <v>0.36810908857257912</v>
      </c>
    </row>
    <row r="43" spans="1:253" x14ac:dyDescent="0.25">
      <c r="A43" s="10">
        <v>43885</v>
      </c>
      <c r="B43" s="11">
        <v>6.27</v>
      </c>
      <c r="C43" s="11">
        <v>10</v>
      </c>
      <c r="D43" s="11">
        <v>10</v>
      </c>
      <c r="E43" s="11">
        <v>10</v>
      </c>
      <c r="F43" s="11">
        <v>10</v>
      </c>
      <c r="G43" s="11">
        <v>10</v>
      </c>
      <c r="H43" s="11">
        <v>10</v>
      </c>
      <c r="I43" s="11">
        <v>10</v>
      </c>
      <c r="J43" s="11">
        <v>10</v>
      </c>
      <c r="K43" s="11">
        <v>10</v>
      </c>
      <c r="L43" s="11">
        <v>10</v>
      </c>
      <c r="M43" s="11">
        <v>10</v>
      </c>
      <c r="N43" s="11">
        <v>10</v>
      </c>
      <c r="O43" s="11">
        <v>10</v>
      </c>
      <c r="P43" s="11">
        <v>10</v>
      </c>
      <c r="Q43" s="11">
        <v>10</v>
      </c>
      <c r="R43" s="11">
        <v>10</v>
      </c>
      <c r="S43" s="11">
        <v>10</v>
      </c>
      <c r="T43" s="11">
        <v>10</v>
      </c>
      <c r="U43" s="11">
        <v>10</v>
      </c>
      <c r="V43" s="11">
        <v>10</v>
      </c>
      <c r="W43" s="11">
        <v>10</v>
      </c>
      <c r="X43" s="11">
        <v>10</v>
      </c>
      <c r="Y43" s="11">
        <v>10</v>
      </c>
      <c r="Z43" s="11">
        <v>10</v>
      </c>
      <c r="AA43" s="11">
        <v>10</v>
      </c>
      <c r="AB43" s="11">
        <v>10</v>
      </c>
      <c r="AC43" s="11">
        <v>10</v>
      </c>
      <c r="AD43" s="11">
        <v>10</v>
      </c>
      <c r="AE43" s="11">
        <v>10</v>
      </c>
      <c r="AF43" s="11">
        <v>10</v>
      </c>
      <c r="AG43" s="11">
        <v>10</v>
      </c>
      <c r="AH43" s="11">
        <v>10</v>
      </c>
      <c r="AI43" s="11">
        <v>10</v>
      </c>
      <c r="AJ43" s="11">
        <v>10</v>
      </c>
      <c r="AK43" s="11">
        <v>10</v>
      </c>
      <c r="AL43" s="11">
        <v>10</v>
      </c>
      <c r="AM43" s="11">
        <v>10</v>
      </c>
      <c r="AN43" s="11">
        <v>10</v>
      </c>
      <c r="AO43" s="11">
        <v>10</v>
      </c>
      <c r="AP43" s="11">
        <v>18.12</v>
      </c>
      <c r="AQ43" s="11">
        <v>20.149999999999999</v>
      </c>
      <c r="AR43" s="11">
        <v>21.32</v>
      </c>
      <c r="AS43" s="11">
        <v>21.34</v>
      </c>
      <c r="AT43" s="11">
        <v>21.57</v>
      </c>
      <c r="AU43" s="11">
        <v>21.93</v>
      </c>
      <c r="AV43" s="11">
        <v>22.03</v>
      </c>
      <c r="AW43" s="11">
        <v>23.25</v>
      </c>
      <c r="AX43" s="11">
        <v>23.87</v>
      </c>
      <c r="AY43" s="11">
        <v>25.1</v>
      </c>
      <c r="AZ43" s="11">
        <v>25.26</v>
      </c>
      <c r="BA43" s="11">
        <v>25.97</v>
      </c>
      <c r="BB43" s="11">
        <v>27.65</v>
      </c>
      <c r="BC43" s="11">
        <v>28.3</v>
      </c>
      <c r="BD43" s="11">
        <v>29.28</v>
      </c>
      <c r="BE43" s="11">
        <v>60</v>
      </c>
      <c r="BF43" s="11">
        <v>60</v>
      </c>
      <c r="BG43" s="11">
        <v>60</v>
      </c>
      <c r="BH43" s="11">
        <v>60</v>
      </c>
      <c r="BI43" s="11">
        <v>60</v>
      </c>
      <c r="BJ43" s="11">
        <v>60</v>
      </c>
      <c r="BK43" s="11">
        <v>60</v>
      </c>
      <c r="BL43" s="11">
        <v>60</v>
      </c>
      <c r="BM43" s="11">
        <v>60</v>
      </c>
      <c r="BN43" s="11">
        <v>65.489999999999995</v>
      </c>
      <c r="BO43" s="11">
        <v>67.58</v>
      </c>
      <c r="BP43" s="11">
        <v>67.95</v>
      </c>
      <c r="BQ43" s="11">
        <v>69.72</v>
      </c>
      <c r="BR43" s="11">
        <v>72.53</v>
      </c>
      <c r="BS43" s="11">
        <v>73.86</v>
      </c>
      <c r="BT43" s="11">
        <v>74.319999999999993</v>
      </c>
      <c r="BU43" s="11">
        <v>74.739999999999995</v>
      </c>
      <c r="BV43" s="11">
        <v>75.510000000000005</v>
      </c>
      <c r="BW43" s="11">
        <v>75.83</v>
      </c>
      <c r="BX43" s="12">
        <v>2.7113237639553431</v>
      </c>
      <c r="BY43" s="12">
        <v>0</v>
      </c>
      <c r="BZ43" s="12">
        <v>0</v>
      </c>
      <c r="CA43" s="12">
        <v>0</v>
      </c>
      <c r="CB43" s="12">
        <v>0</v>
      </c>
      <c r="CC43" s="12">
        <v>0</v>
      </c>
      <c r="CD43" s="12">
        <v>0</v>
      </c>
      <c r="CE43" s="12">
        <v>0</v>
      </c>
      <c r="CF43" s="12">
        <v>0</v>
      </c>
      <c r="CG43" s="12">
        <v>0</v>
      </c>
      <c r="CH43" s="12">
        <v>0</v>
      </c>
      <c r="CI43" s="12">
        <v>0</v>
      </c>
      <c r="CJ43" s="12">
        <v>0</v>
      </c>
      <c r="CK43" s="12">
        <v>0</v>
      </c>
      <c r="CL43" s="12">
        <v>0</v>
      </c>
      <c r="CM43" s="12">
        <v>0</v>
      </c>
      <c r="CN43" s="12">
        <v>0</v>
      </c>
      <c r="CO43" s="12">
        <v>0</v>
      </c>
      <c r="CP43" s="12">
        <v>0</v>
      </c>
      <c r="CQ43" s="12">
        <v>0</v>
      </c>
      <c r="CR43" s="12">
        <v>0</v>
      </c>
      <c r="CS43" s="12">
        <v>0</v>
      </c>
      <c r="CT43" s="12">
        <v>0</v>
      </c>
      <c r="CU43" s="12">
        <v>0</v>
      </c>
      <c r="CV43" s="12">
        <v>0</v>
      </c>
      <c r="CW43" s="12">
        <v>0</v>
      </c>
      <c r="CX43" s="12">
        <v>0</v>
      </c>
      <c r="CY43" s="12">
        <v>0</v>
      </c>
      <c r="CZ43" s="12">
        <v>0</v>
      </c>
      <c r="DA43" s="12">
        <v>0</v>
      </c>
      <c r="DB43" s="12">
        <v>0</v>
      </c>
      <c r="DC43" s="12">
        <v>0</v>
      </c>
      <c r="DD43" s="12">
        <v>0</v>
      </c>
      <c r="DE43" s="12">
        <v>0</v>
      </c>
      <c r="DF43" s="12">
        <v>0</v>
      </c>
      <c r="DG43" s="12">
        <v>0</v>
      </c>
      <c r="DH43" s="12">
        <v>0</v>
      </c>
      <c r="DI43" s="12">
        <v>0</v>
      </c>
      <c r="DJ43" s="12">
        <v>0</v>
      </c>
      <c r="DK43" s="12">
        <v>0</v>
      </c>
      <c r="DL43" s="12">
        <v>2.924731182795699</v>
      </c>
      <c r="DM43" s="12">
        <v>2.8143440762596459</v>
      </c>
      <c r="DN43" s="12">
        <v>2.7208480565371023</v>
      </c>
      <c r="DO43" s="12">
        <v>2.6920031670625493</v>
      </c>
      <c r="DP43" s="12">
        <v>2.642559109874826</v>
      </c>
      <c r="DQ43" s="12">
        <v>2.6401446654611211</v>
      </c>
      <c r="DR43" s="12">
        <v>2.5773195876288661</v>
      </c>
      <c r="DS43" s="12">
        <v>2.2310756972111552</v>
      </c>
      <c r="DT43" s="12">
        <v>2.188782489740082</v>
      </c>
      <c r="DU43" s="12">
        <v>2.1575984990619137</v>
      </c>
      <c r="DV43" s="12">
        <v>2.1523178807947017</v>
      </c>
      <c r="DW43" s="12">
        <v>2.151639344262295</v>
      </c>
      <c r="DX43" s="12">
        <v>2.1365731043150396</v>
      </c>
      <c r="DY43" s="12">
        <v>2.0793222949557184</v>
      </c>
      <c r="DZ43" s="12">
        <v>2.0347394540942929</v>
      </c>
      <c r="EA43" s="12">
        <v>0</v>
      </c>
      <c r="EB43" s="12">
        <v>0</v>
      </c>
      <c r="EC43" s="12">
        <v>0</v>
      </c>
      <c r="ED43" s="12">
        <v>0</v>
      </c>
      <c r="EE43" s="12">
        <v>0</v>
      </c>
      <c r="EF43" s="12">
        <v>0</v>
      </c>
      <c r="EG43" s="12">
        <v>0</v>
      </c>
      <c r="EH43" s="12">
        <v>0</v>
      </c>
      <c r="EI43" s="12">
        <v>0</v>
      </c>
      <c r="EJ43" s="12">
        <v>2.354682454251884</v>
      </c>
      <c r="EK43" s="12">
        <v>2.3533901539244373</v>
      </c>
      <c r="EL43" s="12">
        <v>2.3083752589523527</v>
      </c>
      <c r="EM43" s="12">
        <v>2.2998960498960499</v>
      </c>
      <c r="EN43" s="12">
        <v>2.2966275837060315</v>
      </c>
      <c r="EO43" s="12">
        <v>2.2805507745266782</v>
      </c>
      <c r="EP43" s="12">
        <v>2.2598870056497176</v>
      </c>
      <c r="EQ43" s="12">
        <v>2.2509848058525606</v>
      </c>
      <c r="ER43" s="12">
        <v>2.2335585275058598</v>
      </c>
      <c r="ES43" s="12">
        <v>2.2248708780294</v>
      </c>
      <c r="ET43" s="11">
        <v>196.26999999999998</v>
      </c>
      <c r="EU43" s="11">
        <v>269.90999999999997</v>
      </c>
      <c r="EV43" s="11">
        <v>343.27</v>
      </c>
      <c r="EW43" s="12">
        <v>2.7113237639553431</v>
      </c>
      <c r="EX43" s="12">
        <v>29.893363756689958</v>
      </c>
      <c r="EY43" s="12">
        <v>11.612971500730756</v>
      </c>
      <c r="EZ43" s="11">
        <v>809.44999999999993</v>
      </c>
      <c r="FA43" s="12">
        <v>44.217659021376058</v>
      </c>
      <c r="FB43" s="11">
        <v>396.27</v>
      </c>
      <c r="FC43" s="11">
        <v>895.14</v>
      </c>
      <c r="FD43" s="11">
        <v>717.53</v>
      </c>
      <c r="FE43" s="12">
        <v>2.7113237639553431</v>
      </c>
      <c r="FF43" s="12">
        <v>36.143998610055007</v>
      </c>
      <c r="FG43" s="12">
        <v>22.862823492294972</v>
      </c>
      <c r="FH43" s="11">
        <v>2008.9399999999998</v>
      </c>
      <c r="FI43" s="12">
        <v>61.718145866305321</v>
      </c>
      <c r="FJ43" s="13">
        <v>35.47693243758107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0</v>
      </c>
      <c r="FT43" s="13">
        <v>0</v>
      </c>
      <c r="FU43" s="13">
        <v>0</v>
      </c>
      <c r="FV43" s="13">
        <v>0</v>
      </c>
      <c r="FW43" s="13">
        <v>0</v>
      </c>
      <c r="FX43" s="13">
        <v>0</v>
      </c>
      <c r="FY43" s="13">
        <v>0</v>
      </c>
      <c r="FZ43" s="13">
        <v>0</v>
      </c>
      <c r="GA43" s="13">
        <v>0</v>
      </c>
      <c r="GB43" s="13">
        <v>0</v>
      </c>
      <c r="GC43" s="13">
        <v>0</v>
      </c>
      <c r="GD43" s="13">
        <v>0</v>
      </c>
      <c r="GE43" s="13">
        <v>0</v>
      </c>
      <c r="GF43" s="13">
        <v>0</v>
      </c>
      <c r="GG43" s="13">
        <v>0</v>
      </c>
      <c r="GH43" s="13">
        <v>0</v>
      </c>
      <c r="GI43" s="13">
        <v>0</v>
      </c>
      <c r="GJ43" s="13">
        <v>0</v>
      </c>
      <c r="GK43" s="13">
        <v>0</v>
      </c>
      <c r="GL43" s="13">
        <v>0</v>
      </c>
      <c r="GM43" s="13">
        <v>0</v>
      </c>
      <c r="GN43" s="13">
        <v>0</v>
      </c>
      <c r="GO43" s="13">
        <v>0</v>
      </c>
      <c r="GP43" s="13">
        <v>0</v>
      </c>
      <c r="GQ43" s="13">
        <v>0</v>
      </c>
      <c r="GR43" s="13">
        <v>0</v>
      </c>
      <c r="GS43" s="13">
        <v>0</v>
      </c>
      <c r="GT43" s="13">
        <v>0</v>
      </c>
      <c r="GU43" s="13">
        <v>0</v>
      </c>
      <c r="GV43" s="13">
        <v>0</v>
      </c>
      <c r="GW43" s="13">
        <v>0</v>
      </c>
      <c r="GX43" s="13">
        <v>49.699098675876137</v>
      </c>
      <c r="GY43" s="13">
        <v>49.662167632082337</v>
      </c>
      <c r="GZ43" s="13">
        <v>47.324739948981076</v>
      </c>
      <c r="HA43" s="13">
        <v>46.504053655081115</v>
      </c>
      <c r="HB43" s="13">
        <v>43.546605353649305</v>
      </c>
      <c r="HC43" s="13">
        <v>43.164911151204002</v>
      </c>
      <c r="HD43" s="13">
        <v>40.291405004134347</v>
      </c>
      <c r="HE43" s="13">
        <v>39.737428245655465</v>
      </c>
      <c r="HF43" s="13">
        <v>38.956346340194763</v>
      </c>
      <c r="HG43" s="13">
        <v>38.746652760793758</v>
      </c>
      <c r="HH43" s="13">
        <v>38.218610902110932</v>
      </c>
      <c r="HI43" s="13">
        <v>35.933649527170331</v>
      </c>
      <c r="HJ43" s="13">
        <v>35.643446499389803</v>
      </c>
      <c r="HK43" s="13">
        <v>32.70017468186068</v>
      </c>
      <c r="HL43" s="13">
        <v>31.112030334348766</v>
      </c>
      <c r="HM43" s="13">
        <v>0</v>
      </c>
      <c r="HN43" s="13">
        <v>0</v>
      </c>
      <c r="HO43" s="13">
        <v>0</v>
      </c>
      <c r="HP43" s="13">
        <v>0</v>
      </c>
      <c r="HQ43" s="13">
        <v>0</v>
      </c>
      <c r="HR43" s="13">
        <v>0</v>
      </c>
      <c r="HS43" s="13">
        <v>0</v>
      </c>
      <c r="HT43" s="13">
        <v>0</v>
      </c>
      <c r="HU43" s="13">
        <v>0</v>
      </c>
      <c r="HV43" s="13">
        <v>52.632559124605905</v>
      </c>
      <c r="HW43" s="13">
        <v>52.592514461554302</v>
      </c>
      <c r="HX43" s="13">
        <v>50.836990906440043</v>
      </c>
      <c r="HY43" s="13">
        <v>50.193630852526788</v>
      </c>
      <c r="HZ43" s="13">
        <v>49.434470521184217</v>
      </c>
      <c r="IA43" s="13">
        <v>48.431198696844319</v>
      </c>
      <c r="IB43" s="13">
        <v>48.233605841631345</v>
      </c>
      <c r="IC43" s="13">
        <v>47.842395985767119</v>
      </c>
      <c r="ID43" s="13">
        <v>46.90206212584684</v>
      </c>
      <c r="IE43" s="13">
        <v>46.01172846777277</v>
      </c>
      <c r="IF43" s="13">
        <v>35.47693243758107</v>
      </c>
      <c r="IG43" s="13">
        <v>611.2413207125328</v>
      </c>
      <c r="IH43" s="13">
        <v>493.11115698417359</v>
      </c>
      <c r="II43" s="13">
        <v>35.47693243758107</v>
      </c>
      <c r="IJ43" s="13">
        <v>511.78566919693355</v>
      </c>
      <c r="IK43" s="13">
        <v>255.69016586631125</v>
      </c>
      <c r="IL43" s="8">
        <v>3.1456186109142086E-4</v>
      </c>
      <c r="IM43" s="8">
        <v>0.95811086947376589</v>
      </c>
      <c r="IN43" s="8">
        <v>1.7300216210112112</v>
      </c>
      <c r="IO43" s="8">
        <v>8.0486761728563033E-2</v>
      </c>
      <c r="IP43" s="8">
        <v>7.7900240336655765E-5</v>
      </c>
      <c r="IQ43" s="8">
        <v>0.2085930224685956</v>
      </c>
      <c r="IR43" s="8">
        <v>1.5712114258930661</v>
      </c>
      <c r="IS43" s="8">
        <v>2.9445870723320815E-2</v>
      </c>
    </row>
    <row r="44" spans="1:253" x14ac:dyDescent="0.25">
      <c r="A44" s="10">
        <v>43878</v>
      </c>
      <c r="B44" s="11">
        <v>10</v>
      </c>
      <c r="C44" s="11">
        <v>10</v>
      </c>
      <c r="D44" s="11">
        <v>10</v>
      </c>
      <c r="E44" s="11">
        <v>10</v>
      </c>
      <c r="F44" s="11">
        <v>10</v>
      </c>
      <c r="G44" s="11">
        <v>10</v>
      </c>
      <c r="H44" s="11">
        <v>10</v>
      </c>
      <c r="I44" s="11">
        <v>10</v>
      </c>
      <c r="J44" s="11">
        <v>10</v>
      </c>
      <c r="K44" s="11">
        <v>10</v>
      </c>
      <c r="L44" s="11">
        <v>10</v>
      </c>
      <c r="M44" s="11">
        <v>10</v>
      </c>
      <c r="N44" s="11">
        <v>10</v>
      </c>
      <c r="O44" s="11">
        <v>10</v>
      </c>
      <c r="P44" s="11">
        <v>10</v>
      </c>
      <c r="Q44" s="11">
        <v>10</v>
      </c>
      <c r="R44" s="11">
        <v>10</v>
      </c>
      <c r="S44" s="11">
        <v>10</v>
      </c>
      <c r="T44" s="11">
        <v>10</v>
      </c>
      <c r="U44" s="11">
        <v>10</v>
      </c>
      <c r="V44" s="11">
        <v>10</v>
      </c>
      <c r="W44" s="11">
        <v>10</v>
      </c>
      <c r="X44" s="11">
        <v>10</v>
      </c>
      <c r="Y44" s="11">
        <v>10</v>
      </c>
      <c r="Z44" s="11">
        <v>10</v>
      </c>
      <c r="AA44" s="11">
        <v>10</v>
      </c>
      <c r="AB44" s="11">
        <v>10</v>
      </c>
      <c r="AC44" s="11">
        <v>10</v>
      </c>
      <c r="AD44" s="11">
        <v>10</v>
      </c>
      <c r="AE44" s="11">
        <v>10</v>
      </c>
      <c r="AF44" s="11">
        <v>10</v>
      </c>
      <c r="AG44" s="11">
        <v>10</v>
      </c>
      <c r="AH44" s="11">
        <v>10</v>
      </c>
      <c r="AI44" s="11">
        <v>10</v>
      </c>
      <c r="AJ44" s="11">
        <v>10</v>
      </c>
      <c r="AK44" s="11">
        <v>10</v>
      </c>
      <c r="AL44" s="11">
        <v>10</v>
      </c>
      <c r="AM44" s="11">
        <v>10</v>
      </c>
      <c r="AN44" s="11">
        <v>10</v>
      </c>
      <c r="AO44" s="11">
        <v>10</v>
      </c>
      <c r="AP44" s="11">
        <v>44.25</v>
      </c>
      <c r="AQ44" s="11">
        <v>60</v>
      </c>
      <c r="AR44" s="11">
        <v>60</v>
      </c>
      <c r="AS44" s="11">
        <v>60</v>
      </c>
      <c r="AT44" s="11">
        <v>60</v>
      </c>
      <c r="AU44" s="11">
        <v>60</v>
      </c>
      <c r="AV44" s="11">
        <v>60</v>
      </c>
      <c r="AW44" s="11">
        <v>60</v>
      </c>
      <c r="AX44" s="11">
        <v>60</v>
      </c>
      <c r="AY44" s="11">
        <v>60</v>
      </c>
      <c r="AZ44" s="11">
        <v>60</v>
      </c>
      <c r="BA44" s="11">
        <v>60</v>
      </c>
      <c r="BB44" s="11">
        <v>60</v>
      </c>
      <c r="BC44" s="11">
        <v>60</v>
      </c>
      <c r="BD44" s="11">
        <v>60</v>
      </c>
      <c r="BE44" s="11">
        <v>60</v>
      </c>
      <c r="BF44" s="11">
        <v>60</v>
      </c>
      <c r="BG44" s="11">
        <v>60</v>
      </c>
      <c r="BH44" s="11">
        <v>60</v>
      </c>
      <c r="BI44" s="11">
        <v>60</v>
      </c>
      <c r="BJ44" s="11">
        <v>60</v>
      </c>
      <c r="BK44" s="11">
        <v>60</v>
      </c>
      <c r="BL44" s="11">
        <v>60</v>
      </c>
      <c r="BM44" s="11">
        <v>60</v>
      </c>
      <c r="BN44" s="11">
        <v>74.709999999999994</v>
      </c>
      <c r="BO44" s="11">
        <v>79.930000000000007</v>
      </c>
      <c r="BP44" s="11">
        <v>80.08</v>
      </c>
      <c r="BQ44" s="11">
        <v>80.13</v>
      </c>
      <c r="BR44" s="11">
        <v>81.41</v>
      </c>
      <c r="BS44" s="11">
        <v>81.62</v>
      </c>
      <c r="BT44" s="11">
        <v>82.34</v>
      </c>
      <c r="BU44" s="11">
        <v>82.71</v>
      </c>
      <c r="BV44" s="11">
        <v>88.31</v>
      </c>
      <c r="BW44" s="11">
        <v>240</v>
      </c>
      <c r="BX44" s="12">
        <v>0</v>
      </c>
      <c r="BY44" s="12">
        <v>0</v>
      </c>
      <c r="BZ44" s="12">
        <v>0</v>
      </c>
      <c r="CA44" s="12">
        <v>0</v>
      </c>
      <c r="CB44" s="12">
        <v>0</v>
      </c>
      <c r="CC44" s="12">
        <v>0</v>
      </c>
      <c r="CD44" s="12">
        <v>0</v>
      </c>
      <c r="CE44" s="12">
        <v>0</v>
      </c>
      <c r="CF44" s="12">
        <v>0</v>
      </c>
      <c r="CG44" s="12">
        <v>0</v>
      </c>
      <c r="CH44" s="12">
        <v>0</v>
      </c>
      <c r="CI44" s="12">
        <v>0</v>
      </c>
      <c r="CJ44" s="12">
        <v>0</v>
      </c>
      <c r="CK44" s="12">
        <v>0</v>
      </c>
      <c r="CL44" s="12">
        <v>0</v>
      </c>
      <c r="CM44" s="12">
        <v>0</v>
      </c>
      <c r="CN44" s="12">
        <v>0</v>
      </c>
      <c r="CO44" s="12">
        <v>0</v>
      </c>
      <c r="CP44" s="12">
        <v>0</v>
      </c>
      <c r="CQ44" s="12">
        <v>0</v>
      </c>
      <c r="CR44" s="12">
        <v>0</v>
      </c>
      <c r="CS44" s="12">
        <v>0</v>
      </c>
      <c r="CT44" s="12">
        <v>0</v>
      </c>
      <c r="CU44" s="12">
        <v>0</v>
      </c>
      <c r="CV44" s="12">
        <v>0</v>
      </c>
      <c r="CW44" s="12">
        <v>0</v>
      </c>
      <c r="CX44" s="12">
        <v>0</v>
      </c>
      <c r="CY44" s="12">
        <v>0</v>
      </c>
      <c r="CZ44" s="12">
        <v>0</v>
      </c>
      <c r="DA44" s="12">
        <v>0</v>
      </c>
      <c r="DB44" s="12">
        <v>0</v>
      </c>
      <c r="DC44" s="12">
        <v>0</v>
      </c>
      <c r="DD44" s="12">
        <v>0</v>
      </c>
      <c r="DE44" s="12">
        <v>0</v>
      </c>
      <c r="DF44" s="12">
        <v>0</v>
      </c>
      <c r="DG44" s="12">
        <v>0</v>
      </c>
      <c r="DH44" s="12">
        <v>0</v>
      </c>
      <c r="DI44" s="12">
        <v>0</v>
      </c>
      <c r="DJ44" s="12">
        <v>0</v>
      </c>
      <c r="DK44" s="12">
        <v>0</v>
      </c>
      <c r="DL44" s="12">
        <v>1.6271186440677967</v>
      </c>
      <c r="DM44" s="12">
        <v>0</v>
      </c>
      <c r="DN44" s="12">
        <v>0</v>
      </c>
      <c r="DO44" s="12">
        <v>0</v>
      </c>
      <c r="DP44" s="12">
        <v>0</v>
      </c>
      <c r="DQ44" s="12">
        <v>0</v>
      </c>
      <c r="DR44" s="12">
        <v>0</v>
      </c>
      <c r="DS44" s="12">
        <v>0</v>
      </c>
      <c r="DT44" s="12">
        <v>0</v>
      </c>
      <c r="DU44" s="12">
        <v>0</v>
      </c>
      <c r="DV44" s="12">
        <v>0</v>
      </c>
      <c r="DW44" s="12">
        <v>0</v>
      </c>
      <c r="DX44" s="12">
        <v>0</v>
      </c>
      <c r="DY44" s="12">
        <v>0</v>
      </c>
      <c r="DZ44" s="12">
        <v>0</v>
      </c>
      <c r="EA44" s="12">
        <v>0</v>
      </c>
      <c r="EB44" s="12">
        <v>0</v>
      </c>
      <c r="EC44" s="12">
        <v>0</v>
      </c>
      <c r="ED44" s="12">
        <v>0</v>
      </c>
      <c r="EE44" s="12">
        <v>0</v>
      </c>
      <c r="EF44" s="12">
        <v>0</v>
      </c>
      <c r="EG44" s="12">
        <v>0</v>
      </c>
      <c r="EH44" s="12">
        <v>0</v>
      </c>
      <c r="EI44" s="12">
        <v>0</v>
      </c>
      <c r="EJ44" s="12">
        <v>2.4396346803453017</v>
      </c>
      <c r="EK44" s="12">
        <v>2.2987204167138491</v>
      </c>
      <c r="EL44" s="12">
        <v>2.2837888431299138</v>
      </c>
      <c r="EM44" s="12">
        <v>2.2352647352647352</v>
      </c>
      <c r="EN44" s="12">
        <v>2.2125498730504174</v>
      </c>
      <c r="EO44" s="12">
        <v>2.1253339810541654</v>
      </c>
      <c r="EP44" s="12">
        <v>1.9274528175612369</v>
      </c>
      <c r="EQ44" s="12">
        <v>1.9235481499632443</v>
      </c>
      <c r="ER44" s="12">
        <v>1.8425254882692546</v>
      </c>
      <c r="ES44" s="12">
        <v>0</v>
      </c>
      <c r="ET44" s="11">
        <v>200</v>
      </c>
      <c r="EU44" s="11">
        <v>704.25</v>
      </c>
      <c r="EV44" s="11">
        <v>396.26</v>
      </c>
      <c r="EW44" s="12">
        <v>0</v>
      </c>
      <c r="EX44" s="12">
        <v>1.6271186440677967</v>
      </c>
      <c r="EY44" s="12">
        <v>11.469958548504216</v>
      </c>
      <c r="EZ44" s="11">
        <v>1300.51</v>
      </c>
      <c r="FA44" s="12">
        <v>13.097077192572012</v>
      </c>
      <c r="FB44" s="11">
        <v>400</v>
      </c>
      <c r="FC44" s="11">
        <v>1424.25</v>
      </c>
      <c r="FD44" s="11">
        <v>971.24</v>
      </c>
      <c r="FE44" s="12">
        <v>0</v>
      </c>
      <c r="FF44" s="12">
        <v>1.6271186440677967</v>
      </c>
      <c r="FG44" s="12">
        <v>19.288818985352115</v>
      </c>
      <c r="FH44" s="11">
        <v>2795.49</v>
      </c>
      <c r="FI44" s="12">
        <v>20.915937629419911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3">
        <v>0</v>
      </c>
      <c r="FU44" s="13">
        <v>0</v>
      </c>
      <c r="FV44" s="13">
        <v>0</v>
      </c>
      <c r="FW44" s="13">
        <v>0</v>
      </c>
      <c r="FX44" s="13">
        <v>0</v>
      </c>
      <c r="FY44" s="13">
        <v>0</v>
      </c>
      <c r="FZ44" s="13">
        <v>0</v>
      </c>
      <c r="GA44" s="13">
        <v>0</v>
      </c>
      <c r="GB44" s="13">
        <v>0</v>
      </c>
      <c r="GC44" s="13">
        <v>0</v>
      </c>
      <c r="GD44" s="13">
        <v>0</v>
      </c>
      <c r="GE44" s="13">
        <v>0</v>
      </c>
      <c r="GF44" s="13">
        <v>0</v>
      </c>
      <c r="GG44" s="13">
        <v>0</v>
      </c>
      <c r="GH44" s="13">
        <v>0</v>
      </c>
      <c r="GI44" s="13">
        <v>0</v>
      </c>
      <c r="GJ44" s="13">
        <v>0</v>
      </c>
      <c r="GK44" s="13">
        <v>0</v>
      </c>
      <c r="GL44" s="13">
        <v>0</v>
      </c>
      <c r="GM44" s="13">
        <v>0</v>
      </c>
      <c r="GN44" s="13">
        <v>0</v>
      </c>
      <c r="GO44" s="13">
        <v>0</v>
      </c>
      <c r="GP44" s="13">
        <v>0</v>
      </c>
      <c r="GQ44" s="13">
        <v>0</v>
      </c>
      <c r="GR44" s="13">
        <v>0</v>
      </c>
      <c r="GS44" s="13">
        <v>0</v>
      </c>
      <c r="GT44" s="13">
        <v>0</v>
      </c>
      <c r="GU44" s="13">
        <v>0</v>
      </c>
      <c r="GV44" s="13">
        <v>0</v>
      </c>
      <c r="GW44" s="13">
        <v>0</v>
      </c>
      <c r="GX44" s="13">
        <v>17.621324791190805</v>
      </c>
      <c r="GY44" s="13">
        <v>0</v>
      </c>
      <c r="GZ44" s="13">
        <v>0</v>
      </c>
      <c r="HA44" s="13">
        <v>0</v>
      </c>
      <c r="HB44" s="13">
        <v>0</v>
      </c>
      <c r="HC44" s="13">
        <v>0</v>
      </c>
      <c r="HD44" s="13">
        <v>0</v>
      </c>
      <c r="HE44" s="13">
        <v>0</v>
      </c>
      <c r="HF44" s="13">
        <v>0</v>
      </c>
      <c r="HG44" s="13">
        <v>0</v>
      </c>
      <c r="HH44" s="13">
        <v>0</v>
      </c>
      <c r="HI44" s="13">
        <v>0</v>
      </c>
      <c r="HJ44" s="13">
        <v>0</v>
      </c>
      <c r="HK44" s="13">
        <v>0</v>
      </c>
      <c r="HL44" s="13">
        <v>0</v>
      </c>
      <c r="HM44" s="13">
        <v>0</v>
      </c>
      <c r="HN44" s="13">
        <v>0</v>
      </c>
      <c r="HO44" s="13">
        <v>0</v>
      </c>
      <c r="HP44" s="13">
        <v>0</v>
      </c>
      <c r="HQ44" s="13">
        <v>0</v>
      </c>
      <c r="HR44" s="13">
        <v>0</v>
      </c>
      <c r="HS44" s="13">
        <v>0</v>
      </c>
      <c r="HT44" s="13">
        <v>0</v>
      </c>
      <c r="HU44" s="13">
        <v>0</v>
      </c>
      <c r="HV44" s="13">
        <v>49.421757414127732</v>
      </c>
      <c r="HW44" s="13">
        <v>46.183793473762506</v>
      </c>
      <c r="HX44" s="13">
        <v>45.222271883446844</v>
      </c>
      <c r="HY44" s="13">
        <v>43.761551379355176</v>
      </c>
      <c r="HZ44" s="13">
        <v>43.427965999866871</v>
      </c>
      <c r="IA44" s="13">
        <v>42.168663583059512</v>
      </c>
      <c r="IB44" s="13">
        <v>40.936329111646117</v>
      </c>
      <c r="IC44" s="13">
        <v>38.400396087644893</v>
      </c>
      <c r="ID44" s="13">
        <v>36.849307554526931</v>
      </c>
      <c r="IE44" s="13">
        <v>0</v>
      </c>
      <c r="IF44" s="13">
        <v>0</v>
      </c>
      <c r="IG44" s="13">
        <v>17.621324791190805</v>
      </c>
      <c r="IH44" s="13">
        <v>386.37203648743656</v>
      </c>
      <c r="II44" s="13">
        <v>0</v>
      </c>
      <c r="IJ44" s="13">
        <v>17.621324791190805</v>
      </c>
      <c r="IK44" s="13">
        <v>228.01734015055914</v>
      </c>
      <c r="IL44" s="8">
        <v>0</v>
      </c>
      <c r="IM44" s="8">
        <v>6.881811243318333E-4</v>
      </c>
      <c r="IN44" s="8">
        <v>1.3200168777404229</v>
      </c>
      <c r="IO44" s="8">
        <v>0</v>
      </c>
      <c r="IP44" s="8">
        <v>0</v>
      </c>
      <c r="IQ44" s="8">
        <v>1.7014272663180401E-4</v>
      </c>
      <c r="IR44" s="8">
        <v>0.76733456949961154</v>
      </c>
      <c r="IS44" s="8">
        <v>0</v>
      </c>
    </row>
    <row r="45" spans="1:253" x14ac:dyDescent="0.25">
      <c r="A45" s="10">
        <v>43871</v>
      </c>
      <c r="B45" s="11">
        <v>3.83</v>
      </c>
      <c r="C45" s="11">
        <v>5.99</v>
      </c>
      <c r="D45" s="11">
        <v>7.01</v>
      </c>
      <c r="E45" s="11">
        <v>8.49</v>
      </c>
      <c r="F45" s="11">
        <v>9.16</v>
      </c>
      <c r="G45" s="11">
        <v>10</v>
      </c>
      <c r="H45" s="11">
        <v>10</v>
      </c>
      <c r="I45" s="11">
        <v>10</v>
      </c>
      <c r="J45" s="11">
        <v>10</v>
      </c>
      <c r="K45" s="11">
        <v>10</v>
      </c>
      <c r="L45" s="11">
        <v>10</v>
      </c>
      <c r="M45" s="11">
        <v>10</v>
      </c>
      <c r="N45" s="11">
        <v>10</v>
      </c>
      <c r="O45" s="11">
        <v>10</v>
      </c>
      <c r="P45" s="11">
        <v>10</v>
      </c>
      <c r="Q45" s="11">
        <v>10</v>
      </c>
      <c r="R45" s="11">
        <v>10</v>
      </c>
      <c r="S45" s="11">
        <v>10</v>
      </c>
      <c r="T45" s="11">
        <v>10</v>
      </c>
      <c r="U45" s="11">
        <v>10</v>
      </c>
      <c r="V45" s="11">
        <v>10</v>
      </c>
      <c r="W45" s="11">
        <v>10</v>
      </c>
      <c r="X45" s="11">
        <v>10</v>
      </c>
      <c r="Y45" s="11">
        <v>10</v>
      </c>
      <c r="Z45" s="11">
        <v>10</v>
      </c>
      <c r="AA45" s="11">
        <v>10</v>
      </c>
      <c r="AB45" s="11">
        <v>10</v>
      </c>
      <c r="AC45" s="11">
        <v>10</v>
      </c>
      <c r="AD45" s="11">
        <v>10</v>
      </c>
      <c r="AE45" s="11">
        <v>10</v>
      </c>
      <c r="AF45" s="11">
        <v>10</v>
      </c>
      <c r="AG45" s="11">
        <v>10</v>
      </c>
      <c r="AH45" s="11">
        <v>10</v>
      </c>
      <c r="AI45" s="11">
        <v>10</v>
      </c>
      <c r="AJ45" s="11">
        <v>10</v>
      </c>
      <c r="AK45" s="11">
        <v>10</v>
      </c>
      <c r="AL45" s="11">
        <v>10</v>
      </c>
      <c r="AM45" s="11">
        <v>10</v>
      </c>
      <c r="AN45" s="11">
        <v>10</v>
      </c>
      <c r="AO45" s="11">
        <v>10</v>
      </c>
      <c r="AP45" s="11">
        <v>60</v>
      </c>
      <c r="AQ45" s="11">
        <v>60</v>
      </c>
      <c r="AR45" s="11">
        <v>60</v>
      </c>
      <c r="AS45" s="11">
        <v>60</v>
      </c>
      <c r="AT45" s="11">
        <v>60</v>
      </c>
      <c r="AU45" s="11">
        <v>60</v>
      </c>
      <c r="AV45" s="11">
        <v>60</v>
      </c>
      <c r="AW45" s="11">
        <v>60</v>
      </c>
      <c r="AX45" s="11">
        <v>60</v>
      </c>
      <c r="AY45" s="11">
        <v>60</v>
      </c>
      <c r="AZ45" s="11">
        <v>60</v>
      </c>
      <c r="BA45" s="11">
        <v>60</v>
      </c>
      <c r="BB45" s="11">
        <v>60</v>
      </c>
      <c r="BC45" s="11">
        <v>60</v>
      </c>
      <c r="BD45" s="11">
        <v>60</v>
      </c>
      <c r="BE45" s="11">
        <v>60</v>
      </c>
      <c r="BF45" s="11">
        <v>60</v>
      </c>
      <c r="BG45" s="11">
        <v>60</v>
      </c>
      <c r="BH45" s="11">
        <v>60</v>
      </c>
      <c r="BI45" s="11">
        <v>60</v>
      </c>
      <c r="BJ45" s="11">
        <v>60</v>
      </c>
      <c r="BK45" s="11">
        <v>60</v>
      </c>
      <c r="BL45" s="11">
        <v>60</v>
      </c>
      <c r="BM45" s="11">
        <v>60</v>
      </c>
      <c r="BN45" s="11">
        <v>240</v>
      </c>
      <c r="BO45" s="11">
        <v>240</v>
      </c>
      <c r="BP45" s="11">
        <v>240</v>
      </c>
      <c r="BQ45" s="11">
        <v>240</v>
      </c>
      <c r="BR45" s="11">
        <v>240</v>
      </c>
      <c r="BS45" s="11">
        <v>240</v>
      </c>
      <c r="BT45" s="11">
        <v>240</v>
      </c>
      <c r="BU45" s="11">
        <v>240</v>
      </c>
      <c r="BV45" s="11">
        <v>240</v>
      </c>
      <c r="BW45" s="11">
        <v>240</v>
      </c>
      <c r="BX45" s="12">
        <v>3.33889816360601</v>
      </c>
      <c r="BY45" s="12">
        <v>3.2751091703056767</v>
      </c>
      <c r="BZ45" s="12">
        <v>3.133159268929504</v>
      </c>
      <c r="CA45" s="12">
        <v>2.944640753828033</v>
      </c>
      <c r="CB45" s="12">
        <v>2.2824536376604851</v>
      </c>
      <c r="CC45" s="12">
        <v>2.0972354623450906</v>
      </c>
      <c r="CD45" s="12">
        <v>0</v>
      </c>
      <c r="CE45" s="12">
        <v>0</v>
      </c>
      <c r="CF45" s="12">
        <v>0</v>
      </c>
      <c r="CG45" s="12">
        <v>0</v>
      </c>
      <c r="CH45" s="12">
        <v>0</v>
      </c>
      <c r="CI45" s="12">
        <v>0</v>
      </c>
      <c r="CJ45" s="12">
        <v>0</v>
      </c>
      <c r="CK45" s="12">
        <v>0</v>
      </c>
      <c r="CL45" s="12">
        <v>0</v>
      </c>
      <c r="CM45" s="12">
        <v>0</v>
      </c>
      <c r="CN45" s="12">
        <v>0</v>
      </c>
      <c r="CO45" s="12">
        <v>0</v>
      </c>
      <c r="CP45" s="12">
        <v>0</v>
      </c>
      <c r="CQ45" s="12">
        <v>0</v>
      </c>
      <c r="CR45" s="12">
        <v>0</v>
      </c>
      <c r="CS45" s="12">
        <v>0</v>
      </c>
      <c r="CT45" s="12">
        <v>0</v>
      </c>
      <c r="CU45" s="12">
        <v>0</v>
      </c>
      <c r="CV45" s="12">
        <v>0</v>
      </c>
      <c r="CW45" s="12">
        <v>0</v>
      </c>
      <c r="CX45" s="12">
        <v>0</v>
      </c>
      <c r="CY45" s="12">
        <v>0</v>
      </c>
      <c r="CZ45" s="12">
        <v>0</v>
      </c>
      <c r="DA45" s="12">
        <v>0</v>
      </c>
      <c r="DB45" s="12">
        <v>0</v>
      </c>
      <c r="DC45" s="12">
        <v>0</v>
      </c>
      <c r="DD45" s="12">
        <v>0</v>
      </c>
      <c r="DE45" s="12">
        <v>0</v>
      </c>
      <c r="DF45" s="12">
        <v>0</v>
      </c>
      <c r="DG45" s="12">
        <v>0</v>
      </c>
      <c r="DH45" s="12">
        <v>0</v>
      </c>
      <c r="DI45" s="12">
        <v>0</v>
      </c>
      <c r="DJ45" s="12">
        <v>0</v>
      </c>
      <c r="DK45" s="12">
        <v>0</v>
      </c>
      <c r="DL45" s="12">
        <v>0</v>
      </c>
      <c r="DM45" s="12">
        <v>0</v>
      </c>
      <c r="DN45" s="12">
        <v>0</v>
      </c>
      <c r="DO45" s="12">
        <v>0</v>
      </c>
      <c r="DP45" s="12">
        <v>0</v>
      </c>
      <c r="DQ45" s="12">
        <v>0</v>
      </c>
      <c r="DR45" s="12">
        <v>0</v>
      </c>
      <c r="DS45" s="12">
        <v>0</v>
      </c>
      <c r="DT45" s="12">
        <v>0</v>
      </c>
      <c r="DU45" s="12">
        <v>0</v>
      </c>
      <c r="DV45" s="12">
        <v>0</v>
      </c>
      <c r="DW45" s="12">
        <v>0</v>
      </c>
      <c r="DX45" s="12">
        <v>0</v>
      </c>
      <c r="DY45" s="12">
        <v>0</v>
      </c>
      <c r="DZ45" s="12">
        <v>0</v>
      </c>
      <c r="EA45" s="12">
        <v>0</v>
      </c>
      <c r="EB45" s="12">
        <v>0</v>
      </c>
      <c r="EC45" s="12">
        <v>0</v>
      </c>
      <c r="ED45" s="12">
        <v>0</v>
      </c>
      <c r="EE45" s="12">
        <v>0</v>
      </c>
      <c r="EF45" s="12">
        <v>0</v>
      </c>
      <c r="EG45" s="12">
        <v>0</v>
      </c>
      <c r="EH45" s="12">
        <v>0</v>
      </c>
      <c r="EI45" s="12">
        <v>0</v>
      </c>
      <c r="EJ45" s="12">
        <v>0</v>
      </c>
      <c r="EK45" s="12">
        <v>0</v>
      </c>
      <c r="EL45" s="12">
        <v>0</v>
      </c>
      <c r="EM45" s="12">
        <v>0</v>
      </c>
      <c r="EN45" s="12">
        <v>0</v>
      </c>
      <c r="EO45" s="12">
        <v>0</v>
      </c>
      <c r="EP45" s="12">
        <v>0</v>
      </c>
      <c r="EQ45" s="12">
        <v>0</v>
      </c>
      <c r="ER45" s="12">
        <v>0</v>
      </c>
      <c r="ES45" s="12">
        <v>0</v>
      </c>
      <c r="ET45" s="11">
        <v>184.48000000000002</v>
      </c>
      <c r="EU45" s="11">
        <v>720</v>
      </c>
      <c r="EV45" s="11">
        <v>1200</v>
      </c>
      <c r="EW45" s="12">
        <v>17.071496456674797</v>
      </c>
      <c r="EX45" s="12">
        <v>0</v>
      </c>
      <c r="EY45" s="12">
        <v>0</v>
      </c>
      <c r="EZ45" s="11">
        <v>2104.48</v>
      </c>
      <c r="FA45" s="12">
        <v>17.071496456674797</v>
      </c>
      <c r="FB45" s="11">
        <v>384.48</v>
      </c>
      <c r="FC45" s="11">
        <v>1440</v>
      </c>
      <c r="FD45" s="11">
        <v>2400</v>
      </c>
      <c r="FE45" s="12">
        <v>17.071496456674797</v>
      </c>
      <c r="FF45" s="12">
        <v>0</v>
      </c>
      <c r="FG45" s="12">
        <v>0</v>
      </c>
      <c r="FH45" s="11">
        <v>4224.4799999999996</v>
      </c>
      <c r="FI45" s="12">
        <v>17.071496456674797</v>
      </c>
      <c r="FJ45" s="13">
        <v>57.88889893659826</v>
      </c>
      <c r="FK45" s="13">
        <v>45.108289242119803</v>
      </c>
      <c r="FL45" s="13">
        <v>32.866307060654954</v>
      </c>
      <c r="FM45" s="13">
        <v>31.163691336924096</v>
      </c>
      <c r="FN45" s="13">
        <v>27.621757685143919</v>
      </c>
      <c r="FO45" s="13">
        <v>19.140633599321269</v>
      </c>
      <c r="FP45" s="13">
        <v>0</v>
      </c>
      <c r="FQ45" s="13">
        <v>0</v>
      </c>
      <c r="FR45" s="13">
        <v>0</v>
      </c>
      <c r="FS45" s="13">
        <v>0</v>
      </c>
      <c r="FT45" s="13">
        <v>0</v>
      </c>
      <c r="FU45" s="13">
        <v>0</v>
      </c>
      <c r="FV45" s="13">
        <v>0</v>
      </c>
      <c r="FW45" s="13">
        <v>0</v>
      </c>
      <c r="FX45" s="13">
        <v>0</v>
      </c>
      <c r="FY45" s="13">
        <v>0</v>
      </c>
      <c r="FZ45" s="13">
        <v>0</v>
      </c>
      <c r="GA45" s="13">
        <v>0</v>
      </c>
      <c r="GB45" s="13">
        <v>0</v>
      </c>
      <c r="GC45" s="13">
        <v>0</v>
      </c>
      <c r="GD45" s="13">
        <v>0</v>
      </c>
      <c r="GE45" s="13">
        <v>0</v>
      </c>
      <c r="GF45" s="13">
        <v>0</v>
      </c>
      <c r="GG45" s="13">
        <v>0</v>
      </c>
      <c r="GH45" s="13">
        <v>0</v>
      </c>
      <c r="GI45" s="13">
        <v>0</v>
      </c>
      <c r="GJ45" s="13">
        <v>0</v>
      </c>
      <c r="GK45" s="13">
        <v>0</v>
      </c>
      <c r="GL45" s="13">
        <v>0</v>
      </c>
      <c r="GM45" s="13">
        <v>0</v>
      </c>
      <c r="GN45" s="13">
        <v>0</v>
      </c>
      <c r="GO45" s="13">
        <v>0</v>
      </c>
      <c r="GP45" s="13">
        <v>0</v>
      </c>
      <c r="GQ45" s="13">
        <v>0</v>
      </c>
      <c r="GR45" s="13">
        <v>0</v>
      </c>
      <c r="GS45" s="13">
        <v>0</v>
      </c>
      <c r="GT45" s="13">
        <v>0</v>
      </c>
      <c r="GU45" s="13">
        <v>0</v>
      </c>
      <c r="GV45" s="13">
        <v>0</v>
      </c>
      <c r="GW45" s="13">
        <v>0</v>
      </c>
      <c r="GX45" s="13">
        <v>0</v>
      </c>
      <c r="GY45" s="13">
        <v>0</v>
      </c>
      <c r="GZ45" s="13">
        <v>0</v>
      </c>
      <c r="HA45" s="13">
        <v>0</v>
      </c>
      <c r="HB45" s="13">
        <v>0</v>
      </c>
      <c r="HC45" s="13">
        <v>0</v>
      </c>
      <c r="HD45" s="13">
        <v>0</v>
      </c>
      <c r="HE45" s="13">
        <v>0</v>
      </c>
      <c r="HF45" s="13">
        <v>0</v>
      </c>
      <c r="HG45" s="13">
        <v>0</v>
      </c>
      <c r="HH45" s="13">
        <v>0</v>
      </c>
      <c r="HI45" s="13">
        <v>0</v>
      </c>
      <c r="HJ45" s="13">
        <v>0</v>
      </c>
      <c r="HK45" s="13">
        <v>0</v>
      </c>
      <c r="HL45" s="13">
        <v>0</v>
      </c>
      <c r="HM45" s="13">
        <v>0</v>
      </c>
      <c r="HN45" s="13">
        <v>0</v>
      </c>
      <c r="HO45" s="13">
        <v>0</v>
      </c>
      <c r="HP45" s="13">
        <v>0</v>
      </c>
      <c r="HQ45" s="13">
        <v>0</v>
      </c>
      <c r="HR45" s="13">
        <v>0</v>
      </c>
      <c r="HS45" s="13">
        <v>0</v>
      </c>
      <c r="HT45" s="13">
        <v>0</v>
      </c>
      <c r="HU45" s="13">
        <v>0</v>
      </c>
      <c r="HV45" s="13">
        <v>0</v>
      </c>
      <c r="HW45" s="13">
        <v>0</v>
      </c>
      <c r="HX45" s="13">
        <v>0</v>
      </c>
      <c r="HY45" s="13">
        <v>0</v>
      </c>
      <c r="HZ45" s="13">
        <v>0</v>
      </c>
      <c r="IA45" s="13">
        <v>0</v>
      </c>
      <c r="IB45" s="13">
        <v>0</v>
      </c>
      <c r="IC45" s="13">
        <v>0</v>
      </c>
      <c r="ID45" s="13">
        <v>0</v>
      </c>
      <c r="IE45" s="13">
        <v>0</v>
      </c>
      <c r="IF45" s="13">
        <v>213.78957786076231</v>
      </c>
      <c r="IG45" s="13">
        <v>0</v>
      </c>
      <c r="IH45" s="13">
        <v>0</v>
      </c>
      <c r="II45" s="13">
        <v>213.78957786076231</v>
      </c>
      <c r="IJ45" s="13">
        <v>0</v>
      </c>
      <c r="IK45" s="13">
        <v>0</v>
      </c>
      <c r="IL45" s="8">
        <v>1.2698177067122448E-2</v>
      </c>
      <c r="IM45" s="8">
        <v>0</v>
      </c>
      <c r="IN45" s="8">
        <v>0</v>
      </c>
      <c r="IO45" s="8">
        <v>0</v>
      </c>
      <c r="IP45" s="8">
        <v>3.0463999497278784E-3</v>
      </c>
      <c r="IQ45" s="8">
        <v>0</v>
      </c>
      <c r="IR45" s="8">
        <v>0</v>
      </c>
      <c r="IS45" s="8">
        <v>0</v>
      </c>
    </row>
    <row r="46" spans="1:253" x14ac:dyDescent="0.25">
      <c r="A46" s="10">
        <v>43864</v>
      </c>
      <c r="B46" s="11">
        <v>3.79</v>
      </c>
      <c r="C46" s="11">
        <v>4.21</v>
      </c>
      <c r="D46" s="11">
        <v>4.41</v>
      </c>
      <c r="E46" s="11">
        <v>4.54</v>
      </c>
      <c r="F46" s="11">
        <v>5.13</v>
      </c>
      <c r="G46" s="11">
        <v>5.43</v>
      </c>
      <c r="H46" s="11">
        <v>5.57</v>
      </c>
      <c r="I46" s="11">
        <v>5.59</v>
      </c>
      <c r="J46" s="11">
        <v>5.66</v>
      </c>
      <c r="K46" s="11">
        <v>5.67</v>
      </c>
      <c r="L46" s="11">
        <v>5.71</v>
      </c>
      <c r="M46" s="11">
        <v>5.8</v>
      </c>
      <c r="N46" s="11">
        <v>5.83</v>
      </c>
      <c r="O46" s="11">
        <v>5.84</v>
      </c>
      <c r="P46" s="11">
        <v>5.84</v>
      </c>
      <c r="Q46" s="11">
        <v>5.91</v>
      </c>
      <c r="R46" s="11">
        <v>6.05</v>
      </c>
      <c r="S46" s="11">
        <v>6.55</v>
      </c>
      <c r="T46" s="11">
        <v>6.6</v>
      </c>
      <c r="U46" s="11">
        <v>6.69</v>
      </c>
      <c r="V46" s="11">
        <v>6.76</v>
      </c>
      <c r="W46" s="11">
        <v>6.76</v>
      </c>
      <c r="X46" s="11">
        <v>7.02</v>
      </c>
      <c r="Y46" s="11">
        <v>7.33</v>
      </c>
      <c r="Z46" s="11">
        <v>7.39</v>
      </c>
      <c r="AA46" s="11">
        <v>7.41</v>
      </c>
      <c r="AB46" s="11">
        <v>7.48</v>
      </c>
      <c r="AC46" s="11">
        <v>7.6</v>
      </c>
      <c r="AD46" s="11">
        <v>7.86</v>
      </c>
      <c r="AE46" s="11">
        <v>8.07</v>
      </c>
      <c r="AF46" s="11">
        <v>8.6999999999999993</v>
      </c>
      <c r="AG46" s="11">
        <v>10</v>
      </c>
      <c r="AH46" s="11">
        <v>10</v>
      </c>
      <c r="AI46" s="11">
        <v>10</v>
      </c>
      <c r="AJ46" s="11">
        <v>10</v>
      </c>
      <c r="AK46" s="11">
        <v>10</v>
      </c>
      <c r="AL46" s="11">
        <v>10</v>
      </c>
      <c r="AM46" s="11">
        <v>10</v>
      </c>
      <c r="AN46" s="11">
        <v>10</v>
      </c>
      <c r="AO46" s="11">
        <v>10</v>
      </c>
      <c r="AP46" s="11">
        <v>19.59</v>
      </c>
      <c r="AQ46" s="11">
        <v>19.75</v>
      </c>
      <c r="AR46" s="11">
        <v>20.09</v>
      </c>
      <c r="AS46" s="11">
        <v>20.14</v>
      </c>
      <c r="AT46" s="11">
        <v>22.76</v>
      </c>
      <c r="AU46" s="11">
        <v>23.07</v>
      </c>
      <c r="AV46" s="11">
        <v>23.11</v>
      </c>
      <c r="AW46" s="11">
        <v>23.87</v>
      </c>
      <c r="AX46" s="11">
        <v>23.88</v>
      </c>
      <c r="AY46" s="11">
        <v>24.47</v>
      </c>
      <c r="AZ46" s="11">
        <v>25.27</v>
      </c>
      <c r="BA46" s="11">
        <v>25.45</v>
      </c>
      <c r="BB46" s="11">
        <v>25.93</v>
      </c>
      <c r="BC46" s="11">
        <v>25.98</v>
      </c>
      <c r="BD46" s="11">
        <v>26.57</v>
      </c>
      <c r="BE46" s="11">
        <v>26.69</v>
      </c>
      <c r="BF46" s="11">
        <v>26.74</v>
      </c>
      <c r="BG46" s="11">
        <v>26.88</v>
      </c>
      <c r="BH46" s="11">
        <v>27.3</v>
      </c>
      <c r="BI46" s="11">
        <v>28.21</v>
      </c>
      <c r="BJ46" s="11">
        <v>28.36</v>
      </c>
      <c r="BK46" s="11">
        <v>28.72</v>
      </c>
      <c r="BL46" s="11">
        <v>30.26</v>
      </c>
      <c r="BM46" s="11">
        <v>30.37</v>
      </c>
      <c r="BN46" s="11">
        <v>66.97</v>
      </c>
      <c r="BO46" s="11">
        <v>68.61</v>
      </c>
      <c r="BP46" s="11">
        <v>70.650000000000006</v>
      </c>
      <c r="BQ46" s="11">
        <v>71.08</v>
      </c>
      <c r="BR46" s="11">
        <v>72</v>
      </c>
      <c r="BS46" s="11">
        <v>73.73</v>
      </c>
      <c r="BT46" s="11">
        <v>74.099999999999994</v>
      </c>
      <c r="BU46" s="11">
        <v>74.33</v>
      </c>
      <c r="BV46" s="11">
        <v>75.22</v>
      </c>
      <c r="BW46" s="11">
        <v>75.38</v>
      </c>
      <c r="BX46" s="12">
        <v>3.4379671150971598</v>
      </c>
      <c r="BY46" s="12">
        <v>3.1746031746031744</v>
      </c>
      <c r="BZ46" s="12">
        <v>3.1523642732049035</v>
      </c>
      <c r="CA46" s="12">
        <v>3.0821917808219177</v>
      </c>
      <c r="CB46" s="12">
        <v>2.9585798816568047</v>
      </c>
      <c r="CC46" s="12">
        <v>2.9465930018416207</v>
      </c>
      <c r="CD46" s="12">
        <v>2.9262086513994912</v>
      </c>
      <c r="CE46" s="12">
        <v>2.9159519725557459</v>
      </c>
      <c r="CF46" s="12">
        <v>2.8725314183123878</v>
      </c>
      <c r="CG46" s="12">
        <v>2.8503562945368173</v>
      </c>
      <c r="CH46" s="12">
        <v>2.8416779431664412</v>
      </c>
      <c r="CI46" s="12">
        <v>2.834008097165992</v>
      </c>
      <c r="CJ46" s="12">
        <v>2.8106508875739644</v>
      </c>
      <c r="CK46" s="12">
        <v>2.8074866310160425</v>
      </c>
      <c r="CL46" s="12">
        <v>2.7272727272727275</v>
      </c>
      <c r="CM46" s="12">
        <v>2.6385224274406331</v>
      </c>
      <c r="CN46" s="12">
        <v>2.6315789473684212</v>
      </c>
      <c r="CO46" s="12">
        <v>2.5862068965517242</v>
      </c>
      <c r="CP46" s="12">
        <v>2.5044722719141324</v>
      </c>
      <c r="CQ46" s="12">
        <v>2.4943310657596371</v>
      </c>
      <c r="CR46" s="12">
        <v>2.4427480916030535</v>
      </c>
      <c r="CS46" s="12">
        <v>2.4229074889867843</v>
      </c>
      <c r="CT46" s="12">
        <v>2.4216524216524218</v>
      </c>
      <c r="CU46" s="12">
        <v>2.4137931034482762</v>
      </c>
      <c r="CV46" s="12">
        <v>2.3192360163710779</v>
      </c>
      <c r="CW46" s="12">
        <v>2.2260273972602742</v>
      </c>
      <c r="CX46" s="12">
        <v>2.030456852791878</v>
      </c>
      <c r="CY46" s="12">
        <v>1.9493177387914231</v>
      </c>
      <c r="CZ46" s="12">
        <v>1.8587360594795539</v>
      </c>
      <c r="DA46" s="12">
        <v>1.8181818181818183</v>
      </c>
      <c r="DB46" s="12">
        <v>1.7667844522968197</v>
      </c>
      <c r="DC46" s="12">
        <v>0</v>
      </c>
      <c r="DD46" s="12">
        <v>0</v>
      </c>
      <c r="DE46" s="12">
        <v>0</v>
      </c>
      <c r="DF46" s="12">
        <v>0</v>
      </c>
      <c r="DG46" s="12">
        <v>0</v>
      </c>
      <c r="DH46" s="12">
        <v>0</v>
      </c>
      <c r="DI46" s="12">
        <v>0</v>
      </c>
      <c r="DJ46" s="12">
        <v>0</v>
      </c>
      <c r="DK46" s="12">
        <v>0</v>
      </c>
      <c r="DL46" s="12">
        <v>2.9309679907443118</v>
      </c>
      <c r="DM46" s="12">
        <v>2.8571428571428572</v>
      </c>
      <c r="DN46" s="12">
        <v>2.8358738036157392</v>
      </c>
      <c r="DO46" s="12">
        <v>2.8100412139378044</v>
      </c>
      <c r="DP46" s="12">
        <v>2.8068705488060326</v>
      </c>
      <c r="DQ46" s="12">
        <v>2.730883813306852</v>
      </c>
      <c r="DR46" s="12">
        <v>2.6879044300647088</v>
      </c>
      <c r="DS46" s="12">
        <v>2.6544155181214908</v>
      </c>
      <c r="DT46" s="12">
        <v>2.6413690476190479</v>
      </c>
      <c r="DU46" s="12">
        <v>2.6114206128133706</v>
      </c>
      <c r="DV46" s="12">
        <v>2.5933202357563849</v>
      </c>
      <c r="DW46" s="12">
        <v>2.5115664243225377</v>
      </c>
      <c r="DX46" s="12">
        <v>2.501924557351809</v>
      </c>
      <c r="DY46" s="12">
        <v>2.4930747922437675</v>
      </c>
      <c r="DZ46" s="12">
        <v>2.4928483857785042</v>
      </c>
      <c r="EA46" s="12">
        <v>2.4330042313117066</v>
      </c>
      <c r="EB46" s="12">
        <v>2.3407022106631987</v>
      </c>
      <c r="EC46" s="12">
        <v>2.2958223560406474</v>
      </c>
      <c r="ED46" s="12">
        <v>2.2613065326633168</v>
      </c>
      <c r="EE46" s="12">
        <v>2.2501081782778019</v>
      </c>
      <c r="EF46" s="12">
        <v>2.2438294689603593</v>
      </c>
      <c r="EG46" s="12">
        <v>2.1731972341126111</v>
      </c>
      <c r="EH46" s="12">
        <v>2.0210896309314585</v>
      </c>
      <c r="EI46" s="12">
        <v>1.9240506329113924</v>
      </c>
      <c r="EJ46" s="12">
        <v>2.4379333482442407</v>
      </c>
      <c r="EK46" s="12">
        <v>2.394726220906767</v>
      </c>
      <c r="EL46" s="12">
        <v>2.3592653426907573</v>
      </c>
      <c r="EM46" s="12">
        <v>2.3410547067520948</v>
      </c>
      <c r="EN46" s="12">
        <v>2.3195204586916862</v>
      </c>
      <c r="EO46" s="12">
        <v>2.2929936305732483</v>
      </c>
      <c r="EP46" s="12">
        <v>2.2083333333333335</v>
      </c>
      <c r="EQ46" s="12">
        <v>2.1599605035793634</v>
      </c>
      <c r="ER46" s="12">
        <v>2.1472737492973581</v>
      </c>
      <c r="ES46" s="12">
        <v>2.1158280211582801</v>
      </c>
      <c r="ET46" s="11">
        <v>110.82</v>
      </c>
      <c r="EU46" s="11">
        <v>271.45</v>
      </c>
      <c r="EV46" s="11">
        <v>349.31</v>
      </c>
      <c r="EW46" s="12">
        <v>57.193555459259727</v>
      </c>
      <c r="EX46" s="12">
        <v>32.671776496251134</v>
      </c>
      <c r="EY46" s="12">
        <v>11.852500077285546</v>
      </c>
      <c r="EZ46" s="11">
        <v>731.57999999999993</v>
      </c>
      <c r="FA46" s="12">
        <v>101.71783203279641</v>
      </c>
      <c r="FB46" s="11">
        <v>283.2</v>
      </c>
      <c r="FC46" s="11">
        <v>603.46</v>
      </c>
      <c r="FD46" s="11">
        <v>722.07</v>
      </c>
      <c r="FE46" s="12">
        <v>80.863396900123078</v>
      </c>
      <c r="FF46" s="12">
        <v>60.102734707497696</v>
      </c>
      <c r="FG46" s="12">
        <v>22.776889315227127</v>
      </c>
      <c r="FH46" s="11">
        <v>1608.73</v>
      </c>
      <c r="FI46" s="12">
        <v>163.7430209228479</v>
      </c>
      <c r="FJ46" s="13">
        <v>49.289412546342142</v>
      </c>
      <c r="FK46" s="13">
        <v>49.109476200831089</v>
      </c>
      <c r="FL46" s="13">
        <v>44.569038386132569</v>
      </c>
      <c r="FM46" s="13">
        <v>44.039571027455757</v>
      </c>
      <c r="FN46" s="13">
        <v>42.988807173365991</v>
      </c>
      <c r="FO46" s="13">
        <v>42.639512555081467</v>
      </c>
      <c r="FP46" s="13">
        <v>42.386018559091511</v>
      </c>
      <c r="FQ46" s="13">
        <v>41.75409182771368</v>
      </c>
      <c r="FR46" s="13">
        <v>40.833641334278099</v>
      </c>
      <c r="FS46" s="13">
        <v>40.148038988301046</v>
      </c>
      <c r="FT46" s="13">
        <v>39.741997732701506</v>
      </c>
      <c r="FU46" s="13">
        <v>36.725910498445664</v>
      </c>
      <c r="FV46" s="13">
        <v>35.736797309026365</v>
      </c>
      <c r="FW46" s="13">
        <v>35.512391611625709</v>
      </c>
      <c r="FX46" s="13">
        <v>34.889614973523379</v>
      </c>
      <c r="FY46" s="13">
        <v>34.427047093632169</v>
      </c>
      <c r="FZ46" s="13">
        <v>33.141770714792287</v>
      </c>
      <c r="GA46" s="13">
        <v>32.989846903157208</v>
      </c>
      <c r="GB46" s="13">
        <v>32.685976692724488</v>
      </c>
      <c r="GC46" s="13">
        <v>32.466729099851968</v>
      </c>
      <c r="GD46" s="13">
        <v>31.00000269637432</v>
      </c>
      <c r="GE46" s="13">
        <v>30.612124514899424</v>
      </c>
      <c r="GF46" s="13">
        <v>30.095311839466643</v>
      </c>
      <c r="GG46" s="13">
        <v>29.352996193137265</v>
      </c>
      <c r="GH46" s="13">
        <v>29.277082039831864</v>
      </c>
      <c r="GI46" s="13">
        <v>27.690735257343714</v>
      </c>
      <c r="GJ46" s="13">
        <v>27.203458627849145</v>
      </c>
      <c r="GK46" s="13">
        <v>25.112417570483743</v>
      </c>
      <c r="GL46" s="13">
        <v>24.834992084948357</v>
      </c>
      <c r="GM46" s="13">
        <v>24.39273553392383</v>
      </c>
      <c r="GN46" s="13">
        <v>20.382535573475284</v>
      </c>
      <c r="GO46" s="13">
        <v>0</v>
      </c>
      <c r="GP46" s="13">
        <v>0</v>
      </c>
      <c r="GQ46" s="13">
        <v>0</v>
      </c>
      <c r="GR46" s="13">
        <v>0</v>
      </c>
      <c r="GS46" s="13">
        <v>0</v>
      </c>
      <c r="GT46" s="13">
        <v>0</v>
      </c>
      <c r="GU46" s="13">
        <v>0</v>
      </c>
      <c r="GV46" s="13">
        <v>0</v>
      </c>
      <c r="GW46" s="13">
        <v>0</v>
      </c>
      <c r="GX46" s="13">
        <v>51.312151412312971</v>
      </c>
      <c r="GY46" s="13">
        <v>50.851460366122517</v>
      </c>
      <c r="GZ46" s="13">
        <v>50.592541259185708</v>
      </c>
      <c r="HA46" s="13">
        <v>46.825704224688565</v>
      </c>
      <c r="HB46" s="13">
        <v>46.143224617153187</v>
      </c>
      <c r="HC46" s="13">
        <v>43.388709170141382</v>
      </c>
      <c r="HD46" s="13">
        <v>43.353814509447275</v>
      </c>
      <c r="HE46" s="13">
        <v>42.088492207149251</v>
      </c>
      <c r="HF46" s="13">
        <v>41.365028261185039</v>
      </c>
      <c r="HG46" s="13">
        <v>40.870571850862994</v>
      </c>
      <c r="HH46" s="13">
        <v>40.549660873292687</v>
      </c>
      <c r="HI46" s="13">
        <v>39.991848297109932</v>
      </c>
      <c r="HJ46" s="13">
        <v>39.964121013776627</v>
      </c>
      <c r="HK46" s="13">
        <v>39.335568785331731</v>
      </c>
      <c r="HL46" s="13">
        <v>38.397421704182882</v>
      </c>
      <c r="HM46" s="13">
        <v>38.27422010931285</v>
      </c>
      <c r="HN46" s="13">
        <v>37.713256841357676</v>
      </c>
      <c r="HO46" s="13">
        <v>36.650352319173685</v>
      </c>
      <c r="HP46" s="13">
        <v>35.975524372531382</v>
      </c>
      <c r="HQ46" s="13">
        <v>35.532259049777345</v>
      </c>
      <c r="HR46" s="13">
        <v>35.489105178490249</v>
      </c>
      <c r="HS46" s="13">
        <v>34.859698029448033</v>
      </c>
      <c r="HT46" s="13">
        <v>34.572874731438787</v>
      </c>
      <c r="HU46" s="13">
        <v>30.629959069410504</v>
      </c>
      <c r="HV46" s="13">
        <v>54.09421640480204</v>
      </c>
      <c r="HW46" s="13">
        <v>51.042417073728885</v>
      </c>
      <c r="HX46" s="13">
        <v>50.642435934303492</v>
      </c>
      <c r="HY46" s="13">
        <v>48.347409192960569</v>
      </c>
      <c r="HZ46" s="13">
        <v>48.130695315767049</v>
      </c>
      <c r="IA46" s="13">
        <v>46.920474029706376</v>
      </c>
      <c r="IB46" s="13">
        <v>46.328768402419918</v>
      </c>
      <c r="IC46" s="13">
        <v>45.657046863967508</v>
      </c>
      <c r="ID46" s="13">
        <v>45.354424027658411</v>
      </c>
      <c r="IE46" s="13">
        <v>44.393565041496842</v>
      </c>
      <c r="IF46" s="13">
        <v>1086.0300831598074</v>
      </c>
      <c r="IG46" s="13">
        <v>974.7275682528832</v>
      </c>
      <c r="IH46" s="13">
        <v>480.91145228681108</v>
      </c>
      <c r="II46" s="13">
        <v>786.07569122807399</v>
      </c>
      <c r="IJ46" s="13">
        <v>537.3332070486515</v>
      </c>
      <c r="IK46" s="13">
        <v>252.25717392156204</v>
      </c>
      <c r="IL46" s="8">
        <v>0.26039093591632345</v>
      </c>
      <c r="IM46" s="8">
        <v>1.0931969688182834</v>
      </c>
      <c r="IN46" s="8">
        <v>1.7118766559223311</v>
      </c>
      <c r="IO46" s="8">
        <v>0.78692302068132347</v>
      </c>
      <c r="IP46" s="8">
        <v>9.9518343518627636E-2</v>
      </c>
      <c r="IQ46" s="8">
        <v>0.82048535391462807</v>
      </c>
      <c r="IR46" s="8">
        <v>1.5169813064054494</v>
      </c>
      <c r="IS46" s="8">
        <v>0.49848420322524689</v>
      </c>
    </row>
    <row r="47" spans="1:253" x14ac:dyDescent="0.25">
      <c r="A47" s="10">
        <v>43857</v>
      </c>
      <c r="B47" s="11">
        <v>4.07</v>
      </c>
      <c r="C47" s="11">
        <v>6.84</v>
      </c>
      <c r="D47" s="11">
        <v>10</v>
      </c>
      <c r="E47" s="11">
        <v>10</v>
      </c>
      <c r="F47" s="11">
        <v>10</v>
      </c>
      <c r="G47" s="11">
        <v>10</v>
      </c>
      <c r="H47" s="11">
        <v>10</v>
      </c>
      <c r="I47" s="11">
        <v>10</v>
      </c>
      <c r="J47" s="11">
        <v>10</v>
      </c>
      <c r="K47" s="11">
        <v>10</v>
      </c>
      <c r="L47" s="11">
        <v>10</v>
      </c>
      <c r="M47" s="11">
        <v>10</v>
      </c>
      <c r="N47" s="11">
        <v>10</v>
      </c>
      <c r="O47" s="11">
        <v>10</v>
      </c>
      <c r="P47" s="11">
        <v>10</v>
      </c>
      <c r="Q47" s="11">
        <v>10</v>
      </c>
      <c r="R47" s="11">
        <v>10</v>
      </c>
      <c r="S47" s="11">
        <v>10</v>
      </c>
      <c r="T47" s="11">
        <v>10</v>
      </c>
      <c r="U47" s="11">
        <v>10</v>
      </c>
      <c r="V47" s="11">
        <v>10</v>
      </c>
      <c r="W47" s="11">
        <v>10</v>
      </c>
      <c r="X47" s="11">
        <v>10</v>
      </c>
      <c r="Y47" s="11">
        <v>10</v>
      </c>
      <c r="Z47" s="11">
        <v>10</v>
      </c>
      <c r="AA47" s="11">
        <v>10</v>
      </c>
      <c r="AB47" s="11">
        <v>10</v>
      </c>
      <c r="AC47" s="11">
        <v>10</v>
      </c>
      <c r="AD47" s="11">
        <v>10</v>
      </c>
      <c r="AE47" s="11">
        <v>10</v>
      </c>
      <c r="AF47" s="11">
        <v>10</v>
      </c>
      <c r="AG47" s="11">
        <v>10</v>
      </c>
      <c r="AH47" s="11">
        <v>10</v>
      </c>
      <c r="AI47" s="11">
        <v>10</v>
      </c>
      <c r="AJ47" s="11">
        <v>10</v>
      </c>
      <c r="AK47" s="11">
        <v>10</v>
      </c>
      <c r="AL47" s="11">
        <v>10</v>
      </c>
      <c r="AM47" s="11">
        <v>10</v>
      </c>
      <c r="AN47" s="11">
        <v>10</v>
      </c>
      <c r="AO47" s="11">
        <v>10</v>
      </c>
      <c r="AP47" s="11">
        <v>60</v>
      </c>
      <c r="AQ47" s="11">
        <v>60</v>
      </c>
      <c r="AR47" s="11">
        <v>60</v>
      </c>
      <c r="AS47" s="11">
        <v>60</v>
      </c>
      <c r="AT47" s="11">
        <v>60</v>
      </c>
      <c r="AU47" s="11">
        <v>60</v>
      </c>
      <c r="AV47" s="11">
        <v>60</v>
      </c>
      <c r="AW47" s="11">
        <v>60</v>
      </c>
      <c r="AX47" s="11">
        <v>60</v>
      </c>
      <c r="AY47" s="11">
        <v>60</v>
      </c>
      <c r="AZ47" s="11">
        <v>60</v>
      </c>
      <c r="BA47" s="11">
        <v>60</v>
      </c>
      <c r="BB47" s="11">
        <v>60</v>
      </c>
      <c r="BC47" s="11">
        <v>60</v>
      </c>
      <c r="BD47" s="11">
        <v>60</v>
      </c>
      <c r="BE47" s="11">
        <v>60</v>
      </c>
      <c r="BF47" s="11">
        <v>60</v>
      </c>
      <c r="BG47" s="11">
        <v>60</v>
      </c>
      <c r="BH47" s="11">
        <v>60</v>
      </c>
      <c r="BI47" s="11">
        <v>60</v>
      </c>
      <c r="BJ47" s="11">
        <v>60</v>
      </c>
      <c r="BK47" s="11">
        <v>60</v>
      </c>
      <c r="BL47" s="11">
        <v>60</v>
      </c>
      <c r="BM47" s="11">
        <v>60</v>
      </c>
      <c r="BN47" s="11">
        <v>240</v>
      </c>
      <c r="BO47" s="11">
        <v>240</v>
      </c>
      <c r="BP47" s="11">
        <v>240</v>
      </c>
      <c r="BQ47" s="11">
        <v>240</v>
      </c>
      <c r="BR47" s="11">
        <v>240</v>
      </c>
      <c r="BS47" s="11">
        <v>240</v>
      </c>
      <c r="BT47" s="11">
        <v>240</v>
      </c>
      <c r="BU47" s="11">
        <v>240</v>
      </c>
      <c r="BV47" s="11">
        <v>240</v>
      </c>
      <c r="BW47" s="11">
        <v>240</v>
      </c>
      <c r="BX47" s="12">
        <v>2.7777777777777777</v>
      </c>
      <c r="BY47" s="12">
        <v>2.4570024570024569</v>
      </c>
      <c r="BZ47" s="12">
        <v>2.0138888888888888</v>
      </c>
      <c r="CA47" s="12">
        <v>1.2297734627831716</v>
      </c>
      <c r="CB47" s="12">
        <v>0</v>
      </c>
      <c r="CC47" s="12">
        <v>0</v>
      </c>
      <c r="CD47" s="12">
        <v>0</v>
      </c>
      <c r="CE47" s="12">
        <v>0</v>
      </c>
      <c r="CF47" s="12">
        <v>0</v>
      </c>
      <c r="CG47" s="12">
        <v>0</v>
      </c>
      <c r="CH47" s="12">
        <v>0</v>
      </c>
      <c r="CI47" s="12">
        <v>0</v>
      </c>
      <c r="CJ47" s="12">
        <v>0</v>
      </c>
      <c r="CK47" s="12">
        <v>0</v>
      </c>
      <c r="CL47" s="12">
        <v>0</v>
      </c>
      <c r="CM47" s="12">
        <v>0</v>
      </c>
      <c r="CN47" s="12">
        <v>0</v>
      </c>
      <c r="CO47" s="12">
        <v>0</v>
      </c>
      <c r="CP47" s="12">
        <v>0</v>
      </c>
      <c r="CQ47" s="12">
        <v>0</v>
      </c>
      <c r="CR47" s="12">
        <v>0</v>
      </c>
      <c r="CS47" s="12">
        <v>0</v>
      </c>
      <c r="CT47" s="12">
        <v>0</v>
      </c>
      <c r="CU47" s="12">
        <v>0</v>
      </c>
      <c r="CV47" s="12">
        <v>0</v>
      </c>
      <c r="CW47" s="12">
        <v>0</v>
      </c>
      <c r="CX47" s="12">
        <v>0</v>
      </c>
      <c r="CY47" s="12">
        <v>0</v>
      </c>
      <c r="CZ47" s="12">
        <v>0</v>
      </c>
      <c r="DA47" s="12">
        <v>0</v>
      </c>
      <c r="DB47" s="12">
        <v>0</v>
      </c>
      <c r="DC47" s="12">
        <v>0</v>
      </c>
      <c r="DD47" s="12">
        <v>0</v>
      </c>
      <c r="DE47" s="12">
        <v>0</v>
      </c>
      <c r="DF47" s="12">
        <v>0</v>
      </c>
      <c r="DG47" s="12">
        <v>0</v>
      </c>
      <c r="DH47" s="12">
        <v>0</v>
      </c>
      <c r="DI47" s="12">
        <v>0</v>
      </c>
      <c r="DJ47" s="12">
        <v>0</v>
      </c>
      <c r="DK47" s="12">
        <v>0</v>
      </c>
      <c r="DL47" s="12">
        <v>0</v>
      </c>
      <c r="DM47" s="12">
        <v>0</v>
      </c>
      <c r="DN47" s="12">
        <v>0</v>
      </c>
      <c r="DO47" s="12">
        <v>0</v>
      </c>
      <c r="DP47" s="12">
        <v>0</v>
      </c>
      <c r="DQ47" s="12">
        <v>0</v>
      </c>
      <c r="DR47" s="12">
        <v>0</v>
      </c>
      <c r="DS47" s="12">
        <v>0</v>
      </c>
      <c r="DT47" s="12">
        <v>0</v>
      </c>
      <c r="DU47" s="12">
        <v>0</v>
      </c>
      <c r="DV47" s="12">
        <v>0</v>
      </c>
      <c r="DW47" s="12">
        <v>0</v>
      </c>
      <c r="DX47" s="12">
        <v>0</v>
      </c>
      <c r="DY47" s="12">
        <v>0</v>
      </c>
      <c r="DZ47" s="12">
        <v>0</v>
      </c>
      <c r="EA47" s="12">
        <v>0</v>
      </c>
      <c r="EB47" s="12">
        <v>0</v>
      </c>
      <c r="EC47" s="12">
        <v>0</v>
      </c>
      <c r="ED47" s="12">
        <v>0</v>
      </c>
      <c r="EE47" s="12">
        <v>0</v>
      </c>
      <c r="EF47" s="12">
        <v>0</v>
      </c>
      <c r="EG47" s="12">
        <v>0</v>
      </c>
      <c r="EH47" s="12">
        <v>0</v>
      </c>
      <c r="EI47" s="12">
        <v>0</v>
      </c>
      <c r="EJ47" s="12">
        <v>0</v>
      </c>
      <c r="EK47" s="12">
        <v>0</v>
      </c>
      <c r="EL47" s="12">
        <v>0</v>
      </c>
      <c r="EM47" s="12">
        <v>0</v>
      </c>
      <c r="EN47" s="12">
        <v>0</v>
      </c>
      <c r="EO47" s="12">
        <v>0</v>
      </c>
      <c r="EP47" s="12">
        <v>0</v>
      </c>
      <c r="EQ47" s="12">
        <v>0</v>
      </c>
      <c r="ER47" s="12">
        <v>0</v>
      </c>
      <c r="ES47" s="12">
        <v>0</v>
      </c>
      <c r="ET47" s="11">
        <v>190.91</v>
      </c>
      <c r="EU47" s="11">
        <v>720</v>
      </c>
      <c r="EV47" s="11">
        <v>1200</v>
      </c>
      <c r="EW47" s="12">
        <v>8.4784425864522959</v>
      </c>
      <c r="EX47" s="12">
        <v>0</v>
      </c>
      <c r="EY47" s="12">
        <v>0</v>
      </c>
      <c r="EZ47" s="11">
        <v>2110.91</v>
      </c>
      <c r="FA47" s="12">
        <v>8.4784425864522959</v>
      </c>
      <c r="FB47" s="11">
        <v>390.90999999999997</v>
      </c>
      <c r="FC47" s="11">
        <v>1440</v>
      </c>
      <c r="FD47" s="11">
        <v>2400</v>
      </c>
      <c r="FE47" s="12">
        <v>8.4784425864522959</v>
      </c>
      <c r="FF47" s="12">
        <v>0</v>
      </c>
      <c r="FG47" s="12">
        <v>0</v>
      </c>
      <c r="FH47" s="11">
        <v>4230.91</v>
      </c>
      <c r="FI47" s="12">
        <v>8.4784425864522959</v>
      </c>
      <c r="FJ47" s="13">
        <v>43.505229425473317</v>
      </c>
      <c r="FK47" s="13">
        <v>34.198746420082244</v>
      </c>
      <c r="FL47" s="13">
        <v>14.724268228163057</v>
      </c>
      <c r="FM47" s="13">
        <v>8.5590810216572084</v>
      </c>
      <c r="FN47" s="13">
        <v>0</v>
      </c>
      <c r="FO47" s="13">
        <v>0</v>
      </c>
      <c r="FP47" s="13">
        <v>0</v>
      </c>
      <c r="FQ47" s="13">
        <v>0</v>
      </c>
      <c r="FR47" s="13">
        <v>0</v>
      </c>
      <c r="FS47" s="13">
        <v>0</v>
      </c>
      <c r="FT47" s="13">
        <v>0</v>
      </c>
      <c r="FU47" s="13">
        <v>0</v>
      </c>
      <c r="FV47" s="13">
        <v>0</v>
      </c>
      <c r="FW47" s="13">
        <v>0</v>
      </c>
      <c r="FX47" s="13">
        <v>0</v>
      </c>
      <c r="FY47" s="13">
        <v>0</v>
      </c>
      <c r="FZ47" s="13">
        <v>0</v>
      </c>
      <c r="GA47" s="13">
        <v>0</v>
      </c>
      <c r="GB47" s="13">
        <v>0</v>
      </c>
      <c r="GC47" s="13">
        <v>0</v>
      </c>
      <c r="GD47" s="13">
        <v>0</v>
      </c>
      <c r="GE47" s="13">
        <v>0</v>
      </c>
      <c r="GF47" s="13">
        <v>0</v>
      </c>
      <c r="GG47" s="13">
        <v>0</v>
      </c>
      <c r="GH47" s="13">
        <v>0</v>
      </c>
      <c r="GI47" s="13">
        <v>0</v>
      </c>
      <c r="GJ47" s="13">
        <v>0</v>
      </c>
      <c r="GK47" s="13">
        <v>0</v>
      </c>
      <c r="GL47" s="13">
        <v>0</v>
      </c>
      <c r="GM47" s="13">
        <v>0</v>
      </c>
      <c r="GN47" s="13">
        <v>0</v>
      </c>
      <c r="GO47" s="13">
        <v>0</v>
      </c>
      <c r="GP47" s="13">
        <v>0</v>
      </c>
      <c r="GQ47" s="13">
        <v>0</v>
      </c>
      <c r="GR47" s="13">
        <v>0</v>
      </c>
      <c r="GS47" s="13">
        <v>0</v>
      </c>
      <c r="GT47" s="13">
        <v>0</v>
      </c>
      <c r="GU47" s="13">
        <v>0</v>
      </c>
      <c r="GV47" s="13">
        <v>0</v>
      </c>
      <c r="GW47" s="13">
        <v>0</v>
      </c>
      <c r="GX47" s="13">
        <v>0</v>
      </c>
      <c r="GY47" s="13">
        <v>0</v>
      </c>
      <c r="GZ47" s="13">
        <v>0</v>
      </c>
      <c r="HA47" s="13">
        <v>0</v>
      </c>
      <c r="HB47" s="13">
        <v>0</v>
      </c>
      <c r="HC47" s="13">
        <v>0</v>
      </c>
      <c r="HD47" s="13">
        <v>0</v>
      </c>
      <c r="HE47" s="13">
        <v>0</v>
      </c>
      <c r="HF47" s="13">
        <v>0</v>
      </c>
      <c r="HG47" s="13">
        <v>0</v>
      </c>
      <c r="HH47" s="13">
        <v>0</v>
      </c>
      <c r="HI47" s="13">
        <v>0</v>
      </c>
      <c r="HJ47" s="13">
        <v>0</v>
      </c>
      <c r="HK47" s="13">
        <v>0</v>
      </c>
      <c r="HL47" s="13">
        <v>0</v>
      </c>
      <c r="HM47" s="13">
        <v>0</v>
      </c>
      <c r="HN47" s="13">
        <v>0</v>
      </c>
      <c r="HO47" s="13">
        <v>0</v>
      </c>
      <c r="HP47" s="13">
        <v>0</v>
      </c>
      <c r="HQ47" s="13">
        <v>0</v>
      </c>
      <c r="HR47" s="13">
        <v>0</v>
      </c>
      <c r="HS47" s="13">
        <v>0</v>
      </c>
      <c r="HT47" s="13">
        <v>0</v>
      </c>
      <c r="HU47" s="13">
        <v>0</v>
      </c>
      <c r="HV47" s="13">
        <v>0</v>
      </c>
      <c r="HW47" s="13">
        <v>0</v>
      </c>
      <c r="HX47" s="13">
        <v>0</v>
      </c>
      <c r="HY47" s="13">
        <v>0</v>
      </c>
      <c r="HZ47" s="13">
        <v>0</v>
      </c>
      <c r="IA47" s="13">
        <v>0</v>
      </c>
      <c r="IB47" s="13">
        <v>0</v>
      </c>
      <c r="IC47" s="13">
        <v>0</v>
      </c>
      <c r="ID47" s="13">
        <v>0</v>
      </c>
      <c r="IE47" s="13">
        <v>0</v>
      </c>
      <c r="IF47" s="13">
        <v>100.98732509537582</v>
      </c>
      <c r="IG47" s="13">
        <v>0</v>
      </c>
      <c r="IH47" s="13">
        <v>0</v>
      </c>
      <c r="II47" s="13">
        <v>100.98732509537582</v>
      </c>
      <c r="IJ47" s="13">
        <v>0</v>
      </c>
      <c r="IK47" s="13">
        <v>0</v>
      </c>
      <c r="IL47" s="8">
        <v>2.8786364589613901E-3</v>
      </c>
      <c r="IM47" s="8">
        <v>0</v>
      </c>
      <c r="IN47" s="8">
        <v>0</v>
      </c>
      <c r="IO47" s="8">
        <v>0</v>
      </c>
      <c r="IP47" s="8">
        <v>7.0292456880141087E-4</v>
      </c>
      <c r="IQ47" s="8">
        <v>0</v>
      </c>
      <c r="IR47" s="8">
        <v>0</v>
      </c>
      <c r="IS47" s="8">
        <v>0</v>
      </c>
    </row>
    <row r="48" spans="1:253" x14ac:dyDescent="0.25">
      <c r="A48" s="10">
        <v>43850</v>
      </c>
      <c r="B48" s="11">
        <v>3.91</v>
      </c>
      <c r="C48" s="11">
        <v>4.28</v>
      </c>
      <c r="D48" s="11">
        <v>4.84</v>
      </c>
      <c r="E48" s="11">
        <v>5.75</v>
      </c>
      <c r="F48" s="11">
        <v>5.86</v>
      </c>
      <c r="G48" s="11">
        <v>6.38</v>
      </c>
      <c r="H48" s="11">
        <v>6.62</v>
      </c>
      <c r="I48" s="11">
        <v>10</v>
      </c>
      <c r="J48" s="11">
        <v>10</v>
      </c>
      <c r="K48" s="11">
        <v>10</v>
      </c>
      <c r="L48" s="11">
        <v>10</v>
      </c>
      <c r="M48" s="11">
        <v>10</v>
      </c>
      <c r="N48" s="11">
        <v>10</v>
      </c>
      <c r="O48" s="11">
        <v>10</v>
      </c>
      <c r="P48" s="11">
        <v>10</v>
      </c>
      <c r="Q48" s="11">
        <v>10</v>
      </c>
      <c r="R48" s="11">
        <v>10</v>
      </c>
      <c r="S48" s="11">
        <v>10</v>
      </c>
      <c r="T48" s="11">
        <v>10</v>
      </c>
      <c r="U48" s="11">
        <v>10</v>
      </c>
      <c r="V48" s="11">
        <v>10</v>
      </c>
      <c r="W48" s="11">
        <v>10</v>
      </c>
      <c r="X48" s="11">
        <v>10</v>
      </c>
      <c r="Y48" s="11">
        <v>10</v>
      </c>
      <c r="Z48" s="11">
        <v>10</v>
      </c>
      <c r="AA48" s="11">
        <v>10</v>
      </c>
      <c r="AB48" s="11">
        <v>10</v>
      </c>
      <c r="AC48" s="11">
        <v>10</v>
      </c>
      <c r="AD48" s="11">
        <v>10</v>
      </c>
      <c r="AE48" s="11">
        <v>10</v>
      </c>
      <c r="AF48" s="11">
        <v>10</v>
      </c>
      <c r="AG48" s="11">
        <v>10</v>
      </c>
      <c r="AH48" s="11">
        <v>10</v>
      </c>
      <c r="AI48" s="11">
        <v>10</v>
      </c>
      <c r="AJ48" s="11">
        <v>10</v>
      </c>
      <c r="AK48" s="11">
        <v>10</v>
      </c>
      <c r="AL48" s="11">
        <v>10</v>
      </c>
      <c r="AM48" s="11">
        <v>10</v>
      </c>
      <c r="AN48" s="11">
        <v>10</v>
      </c>
      <c r="AO48" s="11">
        <v>10</v>
      </c>
      <c r="AP48" s="11">
        <v>18.68</v>
      </c>
      <c r="AQ48" s="11">
        <v>19.670000000000002</v>
      </c>
      <c r="AR48" s="11">
        <v>20.7</v>
      </c>
      <c r="AS48" s="11">
        <v>21.38</v>
      </c>
      <c r="AT48" s="11">
        <v>22.33</v>
      </c>
      <c r="AU48" s="11">
        <v>22.43</v>
      </c>
      <c r="AV48" s="11">
        <v>24.44</v>
      </c>
      <c r="AW48" s="11">
        <v>25.56</v>
      </c>
      <c r="AX48" s="11">
        <v>25.67</v>
      </c>
      <c r="AY48" s="11">
        <v>26.02</v>
      </c>
      <c r="AZ48" s="11">
        <v>27.72</v>
      </c>
      <c r="BA48" s="11">
        <v>28.7</v>
      </c>
      <c r="BB48" s="11">
        <v>60</v>
      </c>
      <c r="BC48" s="11">
        <v>60</v>
      </c>
      <c r="BD48" s="11">
        <v>60</v>
      </c>
      <c r="BE48" s="11">
        <v>60</v>
      </c>
      <c r="BF48" s="11">
        <v>60</v>
      </c>
      <c r="BG48" s="11">
        <v>60</v>
      </c>
      <c r="BH48" s="11">
        <v>60</v>
      </c>
      <c r="BI48" s="11">
        <v>60</v>
      </c>
      <c r="BJ48" s="11">
        <v>60</v>
      </c>
      <c r="BK48" s="11">
        <v>60</v>
      </c>
      <c r="BL48" s="11">
        <v>60</v>
      </c>
      <c r="BM48" s="11">
        <v>60</v>
      </c>
      <c r="BN48" s="11">
        <v>67.39</v>
      </c>
      <c r="BO48" s="11">
        <v>74.66</v>
      </c>
      <c r="BP48" s="11">
        <v>75.75</v>
      </c>
      <c r="BQ48" s="11">
        <v>76.22</v>
      </c>
      <c r="BR48" s="11">
        <v>76.319999999999993</v>
      </c>
      <c r="BS48" s="11">
        <v>77.31</v>
      </c>
      <c r="BT48" s="11">
        <v>78.06</v>
      </c>
      <c r="BU48" s="11">
        <v>78.180000000000007</v>
      </c>
      <c r="BV48" s="11">
        <v>82.34</v>
      </c>
      <c r="BW48" s="11">
        <v>82.48</v>
      </c>
      <c r="BX48" s="12">
        <v>3.0991735537190084</v>
      </c>
      <c r="BY48" s="12">
        <v>2.9565217391304346</v>
      </c>
      <c r="BZ48" s="12">
        <v>2.8213166144200628</v>
      </c>
      <c r="CA48" s="12">
        <v>2.8132992327365729</v>
      </c>
      <c r="CB48" s="12">
        <v>2.8037383177570092</v>
      </c>
      <c r="CC48" s="12">
        <v>2.3890784982935154</v>
      </c>
      <c r="CD48" s="12">
        <v>2.2658610271903323</v>
      </c>
      <c r="CE48" s="12">
        <v>0</v>
      </c>
      <c r="CF48" s="12">
        <v>0</v>
      </c>
      <c r="CG48" s="12">
        <v>0</v>
      </c>
      <c r="CH48" s="12">
        <v>0</v>
      </c>
      <c r="CI48" s="12">
        <v>0</v>
      </c>
      <c r="CJ48" s="12">
        <v>0</v>
      </c>
      <c r="CK48" s="12">
        <v>0</v>
      </c>
      <c r="CL48" s="12">
        <v>0</v>
      </c>
      <c r="CM48" s="12">
        <v>0</v>
      </c>
      <c r="CN48" s="12">
        <v>0</v>
      </c>
      <c r="CO48" s="12">
        <v>0</v>
      </c>
      <c r="CP48" s="12">
        <v>0</v>
      </c>
      <c r="CQ48" s="12">
        <v>0</v>
      </c>
      <c r="CR48" s="12">
        <v>0</v>
      </c>
      <c r="CS48" s="12">
        <v>0</v>
      </c>
      <c r="CT48" s="12">
        <v>0</v>
      </c>
      <c r="CU48" s="12">
        <v>0</v>
      </c>
      <c r="CV48" s="12">
        <v>0</v>
      </c>
      <c r="CW48" s="12">
        <v>0</v>
      </c>
      <c r="CX48" s="12">
        <v>0</v>
      </c>
      <c r="CY48" s="12">
        <v>0</v>
      </c>
      <c r="CZ48" s="12">
        <v>0</v>
      </c>
      <c r="DA48" s="12">
        <v>0</v>
      </c>
      <c r="DB48" s="12">
        <v>0</v>
      </c>
      <c r="DC48" s="12">
        <v>0</v>
      </c>
      <c r="DD48" s="12">
        <v>0</v>
      </c>
      <c r="DE48" s="12">
        <v>0</v>
      </c>
      <c r="DF48" s="12">
        <v>0</v>
      </c>
      <c r="DG48" s="12">
        <v>0</v>
      </c>
      <c r="DH48" s="12">
        <v>0</v>
      </c>
      <c r="DI48" s="12">
        <v>0</v>
      </c>
      <c r="DJ48" s="12">
        <v>0</v>
      </c>
      <c r="DK48" s="12">
        <v>0</v>
      </c>
      <c r="DL48" s="12">
        <v>2.7874564459930316</v>
      </c>
      <c r="DM48" s="12">
        <v>2.6133743274404306</v>
      </c>
      <c r="DN48" s="12">
        <v>2.5526197939991047</v>
      </c>
      <c r="DO48" s="12">
        <v>2.4074899687917966</v>
      </c>
      <c r="DP48" s="12">
        <v>2.318840579710145</v>
      </c>
      <c r="DQ48" s="12">
        <v>2.2877478393492625</v>
      </c>
      <c r="DR48" s="12">
        <v>2.2727272727272729</v>
      </c>
      <c r="DS48" s="12">
        <v>2.2691705790297343</v>
      </c>
      <c r="DT48" s="12">
        <v>2.250409165302782</v>
      </c>
      <c r="DU48" s="12">
        <v>2.2204908453447603</v>
      </c>
      <c r="DV48" s="12">
        <v>2.1515434985968196</v>
      </c>
      <c r="DW48" s="12">
        <v>1.9271948608137046</v>
      </c>
      <c r="DX48" s="12">
        <v>0</v>
      </c>
      <c r="DY48" s="12">
        <v>0</v>
      </c>
      <c r="DZ48" s="12">
        <v>0</v>
      </c>
      <c r="EA48" s="12">
        <v>0</v>
      </c>
      <c r="EB48" s="12">
        <v>0</v>
      </c>
      <c r="EC48" s="12">
        <v>0</v>
      </c>
      <c r="ED48" s="12">
        <v>0</v>
      </c>
      <c r="EE48" s="12">
        <v>0</v>
      </c>
      <c r="EF48" s="12">
        <v>0</v>
      </c>
      <c r="EG48" s="12">
        <v>0</v>
      </c>
      <c r="EH48" s="12">
        <v>0</v>
      </c>
      <c r="EI48" s="12">
        <v>0</v>
      </c>
      <c r="EJ48" s="12">
        <v>2.5044937088076691</v>
      </c>
      <c r="EK48" s="12">
        <v>2.4534686971235198</v>
      </c>
      <c r="EL48" s="12">
        <v>2.3091052217265808</v>
      </c>
      <c r="EM48" s="12">
        <v>2.3059185242121445</v>
      </c>
      <c r="EN48" s="12">
        <v>2.2894838960031043</v>
      </c>
      <c r="EO48" s="12">
        <v>2.2798742138364783</v>
      </c>
      <c r="EP48" s="12">
        <v>2.2423025435073627</v>
      </c>
      <c r="EQ48" s="12">
        <v>2.225633154259401</v>
      </c>
      <c r="ER48" s="12">
        <v>2.1564425395124567</v>
      </c>
      <c r="ES48" s="12">
        <v>2.1516545481525449</v>
      </c>
      <c r="ET48" s="11">
        <v>167.64</v>
      </c>
      <c r="EU48" s="11">
        <v>283.3</v>
      </c>
      <c r="EV48" s="11">
        <v>370.34</v>
      </c>
      <c r="EW48" s="12">
        <v>19.148988983246934</v>
      </c>
      <c r="EX48" s="12">
        <v>28.059065177098841</v>
      </c>
      <c r="EY48" s="12">
        <v>11.862470047873018</v>
      </c>
      <c r="EZ48" s="11">
        <v>821.28</v>
      </c>
      <c r="FA48" s="12">
        <v>59.070524208218792</v>
      </c>
      <c r="FB48" s="11">
        <v>367.64</v>
      </c>
      <c r="FC48" s="11">
        <v>1003.3</v>
      </c>
      <c r="FD48" s="11">
        <v>768.71000000000015</v>
      </c>
      <c r="FE48" s="12">
        <v>19.148988983246934</v>
      </c>
      <c r="FF48" s="12">
        <v>28.059065177098841</v>
      </c>
      <c r="FG48" s="12">
        <v>22.918377047141266</v>
      </c>
      <c r="FH48" s="11">
        <v>2139.65</v>
      </c>
      <c r="FI48" s="12">
        <v>70.126431207487045</v>
      </c>
      <c r="FJ48" s="13">
        <v>51.23233576610172</v>
      </c>
      <c r="FK48" s="13">
        <v>48.607815439453042</v>
      </c>
      <c r="FL48" s="13">
        <v>47.926840267740808</v>
      </c>
      <c r="FM48" s="13">
        <v>41.1022450667651</v>
      </c>
      <c r="FN48" s="13">
        <v>36.469458103390828</v>
      </c>
      <c r="FO48" s="13">
        <v>32.77585633966121</v>
      </c>
      <c r="FP48" s="13">
        <v>28.54201538802965</v>
      </c>
      <c r="FQ48" s="13">
        <v>0</v>
      </c>
      <c r="FR48" s="13">
        <v>0</v>
      </c>
      <c r="FS48" s="13">
        <v>0</v>
      </c>
      <c r="FT48" s="13">
        <v>0</v>
      </c>
      <c r="FU48" s="13">
        <v>0</v>
      </c>
      <c r="FV48" s="13">
        <v>0</v>
      </c>
      <c r="FW48" s="13">
        <v>0</v>
      </c>
      <c r="FX48" s="13">
        <v>0</v>
      </c>
      <c r="FY48" s="13">
        <v>0</v>
      </c>
      <c r="FZ48" s="13">
        <v>0</v>
      </c>
      <c r="GA48" s="13">
        <v>0</v>
      </c>
      <c r="GB48" s="13">
        <v>0</v>
      </c>
      <c r="GC48" s="13">
        <v>0</v>
      </c>
      <c r="GD48" s="13">
        <v>0</v>
      </c>
      <c r="GE48" s="13">
        <v>0</v>
      </c>
      <c r="GF48" s="13">
        <v>0</v>
      </c>
      <c r="GG48" s="13">
        <v>0</v>
      </c>
      <c r="GH48" s="13">
        <v>0</v>
      </c>
      <c r="GI48" s="13">
        <v>0</v>
      </c>
      <c r="GJ48" s="13">
        <v>0</v>
      </c>
      <c r="GK48" s="13">
        <v>0</v>
      </c>
      <c r="GL48" s="13">
        <v>0</v>
      </c>
      <c r="GM48" s="13">
        <v>0</v>
      </c>
      <c r="GN48" s="13">
        <v>0</v>
      </c>
      <c r="GO48" s="13">
        <v>0</v>
      </c>
      <c r="GP48" s="13">
        <v>0</v>
      </c>
      <c r="GQ48" s="13">
        <v>0</v>
      </c>
      <c r="GR48" s="13">
        <v>0</v>
      </c>
      <c r="GS48" s="13">
        <v>0</v>
      </c>
      <c r="GT48" s="13">
        <v>0</v>
      </c>
      <c r="GU48" s="13">
        <v>0</v>
      </c>
      <c r="GV48" s="13">
        <v>0</v>
      </c>
      <c r="GW48" s="13">
        <v>0</v>
      </c>
      <c r="GX48" s="13">
        <v>44.619289825082468</v>
      </c>
      <c r="GY48" s="13">
        <v>43.702243157228175</v>
      </c>
      <c r="GZ48" s="13">
        <v>42.741550955041468</v>
      </c>
      <c r="HA48" s="13">
        <v>41.951029384706636</v>
      </c>
      <c r="HB48" s="13">
        <v>41.04357133284315</v>
      </c>
      <c r="HC48" s="13">
        <v>40.874211679251253</v>
      </c>
      <c r="HD48" s="13">
        <v>38.77067546519978</v>
      </c>
      <c r="HE48" s="13">
        <v>38.169849338051165</v>
      </c>
      <c r="HF48" s="13">
        <v>36.92744619329617</v>
      </c>
      <c r="HG48" s="13">
        <v>36.085537337826679</v>
      </c>
      <c r="HH48" s="13">
        <v>35.20541807899447</v>
      </c>
      <c r="HI48" s="13">
        <v>34.146853596478216</v>
      </c>
      <c r="HJ48" s="13">
        <v>0</v>
      </c>
      <c r="HK48" s="13">
        <v>0</v>
      </c>
      <c r="HL48" s="13">
        <v>0</v>
      </c>
      <c r="HM48" s="13">
        <v>0</v>
      </c>
      <c r="HN48" s="13">
        <v>0</v>
      </c>
      <c r="HO48" s="13">
        <v>0</v>
      </c>
      <c r="HP48" s="13">
        <v>0</v>
      </c>
      <c r="HQ48" s="13">
        <v>0</v>
      </c>
      <c r="HR48" s="13">
        <v>0</v>
      </c>
      <c r="HS48" s="13">
        <v>0</v>
      </c>
      <c r="HT48" s="13">
        <v>0</v>
      </c>
      <c r="HU48" s="13">
        <v>0</v>
      </c>
      <c r="HV48" s="13">
        <v>49.227951235161292</v>
      </c>
      <c r="HW48" s="13">
        <v>49.118600212405234</v>
      </c>
      <c r="HX48" s="13">
        <v>48.514316270531779</v>
      </c>
      <c r="HY48" s="13">
        <v>48.359936018333883</v>
      </c>
      <c r="HZ48" s="13">
        <v>47.7039442432295</v>
      </c>
      <c r="IA48" s="13">
        <v>47.49350599729113</v>
      </c>
      <c r="IB48" s="13">
        <v>47.474770845708981</v>
      </c>
      <c r="IC48" s="13">
        <v>45.821210258212957</v>
      </c>
      <c r="ID48" s="13">
        <v>45.790656626987406</v>
      </c>
      <c r="IE48" s="13">
        <v>41.927699791156321</v>
      </c>
      <c r="IF48" s="13">
        <v>286.65656637114239</v>
      </c>
      <c r="IG48" s="13">
        <v>474.23767634399962</v>
      </c>
      <c r="IH48" s="13">
        <v>471.43259149901849</v>
      </c>
      <c r="II48" s="13">
        <v>286.65656637114239</v>
      </c>
      <c r="IJ48" s="13">
        <v>474.23767634399962</v>
      </c>
      <c r="IK48" s="13">
        <v>242.92474797966167</v>
      </c>
      <c r="IL48" s="8">
        <v>2.1016608697439557E-2</v>
      </c>
      <c r="IM48" s="8">
        <v>0.79395248444526412</v>
      </c>
      <c r="IN48" s="8">
        <v>1.5562388868584751</v>
      </c>
      <c r="IO48" s="8">
        <v>0.29612686198590404</v>
      </c>
      <c r="IP48" s="8">
        <v>4.7916770237715787E-3</v>
      </c>
      <c r="IQ48" s="8">
        <v>0.11209346100037046</v>
      </c>
      <c r="IR48" s="8">
        <v>1.4055326305479867</v>
      </c>
      <c r="IS48" s="8">
        <v>9.1054814970061335E-2</v>
      </c>
    </row>
    <row r="49" spans="1:253" x14ac:dyDescent="0.25">
      <c r="A49" s="10">
        <v>43843</v>
      </c>
      <c r="B49" s="11">
        <v>3.66</v>
      </c>
      <c r="C49" s="11">
        <v>4.3</v>
      </c>
      <c r="D49" s="11">
        <v>4.3099999999999996</v>
      </c>
      <c r="E49" s="11">
        <v>4.54</v>
      </c>
      <c r="F49" s="11">
        <v>4.7300000000000004</v>
      </c>
      <c r="G49" s="11">
        <v>4.84</v>
      </c>
      <c r="H49" s="11">
        <v>5.04</v>
      </c>
      <c r="I49" s="11">
        <v>5.23</v>
      </c>
      <c r="J49" s="11">
        <v>5.58</v>
      </c>
      <c r="K49" s="11">
        <v>5.59</v>
      </c>
      <c r="L49" s="11">
        <v>5.78</v>
      </c>
      <c r="M49" s="11">
        <v>5.92</v>
      </c>
      <c r="N49" s="11">
        <v>5.95</v>
      </c>
      <c r="O49" s="11">
        <v>6.11</v>
      </c>
      <c r="P49" s="11">
        <v>6.13</v>
      </c>
      <c r="Q49" s="11">
        <v>6.39</v>
      </c>
      <c r="R49" s="11">
        <v>6.7</v>
      </c>
      <c r="S49" s="11">
        <v>6.84</v>
      </c>
      <c r="T49" s="11">
        <v>6.96</v>
      </c>
      <c r="U49" s="11">
        <v>7.04</v>
      </c>
      <c r="V49" s="11">
        <v>7.09</v>
      </c>
      <c r="W49" s="11">
        <v>7.16</v>
      </c>
      <c r="X49" s="11">
        <v>7.21</v>
      </c>
      <c r="Y49" s="11">
        <v>7.38</v>
      </c>
      <c r="Z49" s="11">
        <v>7.5</v>
      </c>
      <c r="AA49" s="11">
        <v>7.62</v>
      </c>
      <c r="AB49" s="11">
        <v>7.86</v>
      </c>
      <c r="AC49" s="11">
        <v>8.08</v>
      </c>
      <c r="AD49" s="11">
        <v>8.15</v>
      </c>
      <c r="AE49" s="11">
        <v>8.41</v>
      </c>
      <c r="AF49" s="11">
        <v>8.5500000000000007</v>
      </c>
      <c r="AG49" s="11">
        <v>8.6300000000000008</v>
      </c>
      <c r="AH49" s="11">
        <v>9.31</v>
      </c>
      <c r="AI49" s="11">
        <v>10</v>
      </c>
      <c r="AJ49" s="11">
        <v>10</v>
      </c>
      <c r="AK49" s="11">
        <v>10</v>
      </c>
      <c r="AL49" s="11">
        <v>10</v>
      </c>
      <c r="AM49" s="11">
        <v>10</v>
      </c>
      <c r="AN49" s="11">
        <v>10</v>
      </c>
      <c r="AO49" s="11">
        <v>10</v>
      </c>
      <c r="AP49" s="11">
        <v>60</v>
      </c>
      <c r="AQ49" s="11">
        <v>60</v>
      </c>
      <c r="AR49" s="11">
        <v>60</v>
      </c>
      <c r="AS49" s="11">
        <v>60</v>
      </c>
      <c r="AT49" s="11">
        <v>60</v>
      </c>
      <c r="AU49" s="11">
        <v>60</v>
      </c>
      <c r="AV49" s="11">
        <v>60</v>
      </c>
      <c r="AW49" s="11">
        <v>60</v>
      </c>
      <c r="AX49" s="11">
        <v>60</v>
      </c>
      <c r="AY49" s="11">
        <v>60</v>
      </c>
      <c r="AZ49" s="11">
        <v>60</v>
      </c>
      <c r="BA49" s="11">
        <v>60</v>
      </c>
      <c r="BB49" s="11">
        <v>60</v>
      </c>
      <c r="BC49" s="11">
        <v>60</v>
      </c>
      <c r="BD49" s="11">
        <v>60</v>
      </c>
      <c r="BE49" s="11">
        <v>60</v>
      </c>
      <c r="BF49" s="11">
        <v>60</v>
      </c>
      <c r="BG49" s="11">
        <v>60</v>
      </c>
      <c r="BH49" s="11">
        <v>60</v>
      </c>
      <c r="BI49" s="11">
        <v>60</v>
      </c>
      <c r="BJ49" s="11">
        <v>60</v>
      </c>
      <c r="BK49" s="11">
        <v>60</v>
      </c>
      <c r="BL49" s="11">
        <v>60</v>
      </c>
      <c r="BM49" s="11">
        <v>60</v>
      </c>
      <c r="BN49" s="11">
        <v>74.849999999999994</v>
      </c>
      <c r="BO49" s="11">
        <v>76.209999999999994</v>
      </c>
      <c r="BP49" s="11">
        <v>78.760000000000005</v>
      </c>
      <c r="BQ49" s="11">
        <v>240</v>
      </c>
      <c r="BR49" s="11">
        <v>240</v>
      </c>
      <c r="BS49" s="11">
        <v>240</v>
      </c>
      <c r="BT49" s="11">
        <v>240</v>
      </c>
      <c r="BU49" s="11">
        <v>240</v>
      </c>
      <c r="BV49" s="11">
        <v>240</v>
      </c>
      <c r="BW49" s="11">
        <v>240</v>
      </c>
      <c r="BX49" s="12">
        <v>3.4666666666666668</v>
      </c>
      <c r="BY49" s="12">
        <v>3.2482598607888633</v>
      </c>
      <c r="BZ49" s="12">
        <v>3.1343283582089549</v>
      </c>
      <c r="CA49" s="12">
        <v>3.125</v>
      </c>
      <c r="CB49" s="12">
        <v>3.0592734225621414</v>
      </c>
      <c r="CC49" s="12">
        <v>2.9363784665579118</v>
      </c>
      <c r="CD49" s="12">
        <v>2.9001074113856067</v>
      </c>
      <c r="CE49" s="12">
        <v>2.8968713789107761</v>
      </c>
      <c r="CF49" s="12">
        <v>2.8716216216216215</v>
      </c>
      <c r="CG49" s="12">
        <v>2.8673835125448028</v>
      </c>
      <c r="CH49" s="12">
        <v>2.853745541022592</v>
      </c>
      <c r="CI49" s="12">
        <v>2.807017543859649</v>
      </c>
      <c r="CJ49" s="12">
        <v>2.7906976744186047</v>
      </c>
      <c r="CK49" s="12">
        <v>2.7777777777777777</v>
      </c>
      <c r="CL49" s="12">
        <v>2.7559055118110236</v>
      </c>
      <c r="CM49" s="12">
        <v>2.7322404371584699</v>
      </c>
      <c r="CN49" s="12">
        <v>2.6993865030674846</v>
      </c>
      <c r="CO49" s="12">
        <v>2.6798307475317351</v>
      </c>
      <c r="CP49" s="12">
        <v>2.635228848821082</v>
      </c>
      <c r="CQ49" s="12">
        <v>2.5990099009900991</v>
      </c>
      <c r="CR49" s="12">
        <v>2.5793650793650795</v>
      </c>
      <c r="CS49" s="12">
        <v>2.536997885835095</v>
      </c>
      <c r="CT49" s="12">
        <v>2.5044722719141324</v>
      </c>
      <c r="CU49" s="12">
        <v>2.4549918166939442</v>
      </c>
      <c r="CV49" s="12">
        <v>2.4425287356321839</v>
      </c>
      <c r="CW49" s="12">
        <v>2.4229074889867843</v>
      </c>
      <c r="CX49" s="12">
        <v>2.347417840375587</v>
      </c>
      <c r="CY49" s="12">
        <v>2.2727272727272729</v>
      </c>
      <c r="CZ49" s="12">
        <v>2.2491349480968856</v>
      </c>
      <c r="DA49" s="12">
        <v>2.0325203252032522</v>
      </c>
      <c r="DB49" s="12">
        <v>1.9553072625698324</v>
      </c>
      <c r="DC49" s="12">
        <v>1.8487394957983192</v>
      </c>
      <c r="DD49" s="12">
        <v>1.7811704834605597</v>
      </c>
      <c r="DE49" s="12">
        <v>0.34698126301179738</v>
      </c>
      <c r="DF49" s="12">
        <v>0.33641715727502103</v>
      </c>
      <c r="DG49" s="12">
        <v>0.3260160834601174</v>
      </c>
      <c r="DH49" s="12">
        <v>0.2615062761506276</v>
      </c>
      <c r="DI49" s="12">
        <v>0.21418372203712516</v>
      </c>
      <c r="DJ49" s="12">
        <v>0.20999580008399832</v>
      </c>
      <c r="DK49" s="12">
        <v>0.17119290327600967</v>
      </c>
      <c r="DL49" s="12">
        <v>0</v>
      </c>
      <c r="DM49" s="12">
        <v>0</v>
      </c>
      <c r="DN49" s="12">
        <v>0</v>
      </c>
      <c r="DO49" s="12">
        <v>0</v>
      </c>
      <c r="DP49" s="12">
        <v>0</v>
      </c>
      <c r="DQ49" s="12">
        <v>0</v>
      </c>
      <c r="DR49" s="12">
        <v>0</v>
      </c>
      <c r="DS49" s="12">
        <v>0</v>
      </c>
      <c r="DT49" s="12">
        <v>0</v>
      </c>
      <c r="DU49" s="12">
        <v>0</v>
      </c>
      <c r="DV49" s="12">
        <v>0</v>
      </c>
      <c r="DW49" s="12">
        <v>0</v>
      </c>
      <c r="DX49" s="12">
        <v>0</v>
      </c>
      <c r="DY49" s="12">
        <v>0</v>
      </c>
      <c r="DZ49" s="12">
        <v>0</v>
      </c>
      <c r="EA49" s="12">
        <v>0</v>
      </c>
      <c r="EB49" s="12">
        <v>0</v>
      </c>
      <c r="EC49" s="12">
        <v>0</v>
      </c>
      <c r="ED49" s="12">
        <v>0</v>
      </c>
      <c r="EE49" s="12">
        <v>0</v>
      </c>
      <c r="EF49" s="12">
        <v>0</v>
      </c>
      <c r="EG49" s="12">
        <v>0</v>
      </c>
      <c r="EH49" s="12">
        <v>0</v>
      </c>
      <c r="EI49" s="12">
        <v>0</v>
      </c>
      <c r="EJ49" s="12">
        <v>2.0568816658202134</v>
      </c>
      <c r="EK49" s="12">
        <v>2.0469754625377248</v>
      </c>
      <c r="EL49" s="12">
        <v>1.9772879091516367</v>
      </c>
      <c r="EM49" s="12">
        <v>0</v>
      </c>
      <c r="EN49" s="12">
        <v>0</v>
      </c>
      <c r="EO49" s="12">
        <v>0</v>
      </c>
      <c r="EP49" s="12">
        <v>0</v>
      </c>
      <c r="EQ49" s="12">
        <v>0</v>
      </c>
      <c r="ER49" s="12">
        <v>0</v>
      </c>
      <c r="ES49" s="12">
        <v>0</v>
      </c>
      <c r="ET49" s="11">
        <v>111.64</v>
      </c>
      <c r="EU49" s="11">
        <v>720</v>
      </c>
      <c r="EV49" s="11">
        <v>709.81999999999994</v>
      </c>
      <c r="EW49" s="12">
        <v>57.836731185705851</v>
      </c>
      <c r="EX49" s="12">
        <v>0</v>
      </c>
      <c r="EY49" s="12">
        <v>6.0811450375095752</v>
      </c>
      <c r="EZ49" s="11">
        <v>1541.46</v>
      </c>
      <c r="FA49" s="12">
        <v>63.91787622321543</v>
      </c>
      <c r="FB49" s="11">
        <v>284.59000000000003</v>
      </c>
      <c r="FC49" s="11">
        <v>1440</v>
      </c>
      <c r="FD49" s="11">
        <v>1909.82</v>
      </c>
      <c r="FE49" s="12">
        <v>89.131305297659452</v>
      </c>
      <c r="FF49" s="12">
        <v>0</v>
      </c>
      <c r="FG49" s="12">
        <v>6.0811450375095752</v>
      </c>
      <c r="FH49" s="11">
        <v>3634.41</v>
      </c>
      <c r="FI49" s="12">
        <v>95.212450335169024</v>
      </c>
      <c r="FJ49" s="13">
        <v>55.254624941563385</v>
      </c>
      <c r="FK49" s="13">
        <v>52.111564735449349</v>
      </c>
      <c r="FL49" s="13">
        <v>47.548501049475092</v>
      </c>
      <c r="FM49" s="13">
        <v>45.448449386578005</v>
      </c>
      <c r="FN49" s="13">
        <v>40.709315812392333</v>
      </c>
      <c r="FO49" s="13">
        <v>40.436100356818052</v>
      </c>
      <c r="FP49" s="13">
        <v>40.014846859125569</v>
      </c>
      <c r="FQ49" s="13">
        <v>39.741997732701506</v>
      </c>
      <c r="FR49" s="13">
        <v>39.324517194247143</v>
      </c>
      <c r="FS49" s="13">
        <v>39.151110859315978</v>
      </c>
      <c r="FT49" s="13">
        <v>39.115958697769258</v>
      </c>
      <c r="FU49" s="13">
        <v>39.033874131193919</v>
      </c>
      <c r="FV49" s="13">
        <v>37.705188753215914</v>
      </c>
      <c r="FW49" s="13">
        <v>35.645731322265561</v>
      </c>
      <c r="FX49" s="13">
        <v>35.512391611625709</v>
      </c>
      <c r="FY49" s="13">
        <v>34.198746420082244</v>
      </c>
      <c r="FZ49" s="13">
        <v>32.709443894340602</v>
      </c>
      <c r="GA49" s="13">
        <v>32.174140951347184</v>
      </c>
      <c r="GB49" s="13">
        <v>31.459209270107817</v>
      </c>
      <c r="GC49" s="13">
        <v>31.269116451033362</v>
      </c>
      <c r="GD49" s="13">
        <v>31.154299161434519</v>
      </c>
      <c r="GE49" s="13">
        <v>30.402549748442603</v>
      </c>
      <c r="GF49" s="13">
        <v>30.310406380890807</v>
      </c>
      <c r="GG49" s="13">
        <v>30.309140079967733</v>
      </c>
      <c r="GH49" s="13">
        <v>29.707436191649062</v>
      </c>
      <c r="GI49" s="13">
        <v>29.561114636403904</v>
      </c>
      <c r="GJ49" s="13">
        <v>29.397249944121185</v>
      </c>
      <c r="GK49" s="13">
        <v>28.77406798796601</v>
      </c>
      <c r="GL49" s="13">
        <v>28.475538145835888</v>
      </c>
      <c r="GM49" s="13">
        <v>25.093763601540669</v>
      </c>
      <c r="GN49" s="13">
        <v>23.727249820077574</v>
      </c>
      <c r="GO49" s="13">
        <v>23.314593980433969</v>
      </c>
      <c r="GP49" s="13">
        <v>19.895811899919256</v>
      </c>
      <c r="GQ49" s="13">
        <v>1.3035206607581007</v>
      </c>
      <c r="GR49" s="13">
        <v>1.0570473004922609</v>
      </c>
      <c r="GS49" s="13">
        <v>0.96509831375655819</v>
      </c>
      <c r="GT49" s="13">
        <v>0.9608402818775309</v>
      </c>
      <c r="GU49" s="13">
        <v>0.4555102874210914</v>
      </c>
      <c r="GV49" s="13">
        <v>0.40915606873634486</v>
      </c>
      <c r="GW49" s="13">
        <v>0.27044681403824905</v>
      </c>
      <c r="GX49" s="13">
        <v>0</v>
      </c>
      <c r="GY49" s="13">
        <v>0</v>
      </c>
      <c r="GZ49" s="13">
        <v>0</v>
      </c>
      <c r="HA49" s="13">
        <v>0</v>
      </c>
      <c r="HB49" s="13">
        <v>0</v>
      </c>
      <c r="HC49" s="13">
        <v>0</v>
      </c>
      <c r="HD49" s="13">
        <v>0</v>
      </c>
      <c r="HE49" s="13">
        <v>0</v>
      </c>
      <c r="HF49" s="13">
        <v>0</v>
      </c>
      <c r="HG49" s="13">
        <v>0</v>
      </c>
      <c r="HH49" s="13">
        <v>0</v>
      </c>
      <c r="HI49" s="13">
        <v>0</v>
      </c>
      <c r="HJ49" s="13">
        <v>0</v>
      </c>
      <c r="HK49" s="13">
        <v>0</v>
      </c>
      <c r="HL49" s="13">
        <v>0</v>
      </c>
      <c r="HM49" s="13">
        <v>0</v>
      </c>
      <c r="HN49" s="13">
        <v>0</v>
      </c>
      <c r="HO49" s="13">
        <v>0</v>
      </c>
      <c r="HP49" s="13">
        <v>0</v>
      </c>
      <c r="HQ49" s="13">
        <v>0</v>
      </c>
      <c r="HR49" s="13">
        <v>0</v>
      </c>
      <c r="HS49" s="13">
        <v>0</v>
      </c>
      <c r="HT49" s="13">
        <v>0</v>
      </c>
      <c r="HU49" s="13">
        <v>0</v>
      </c>
      <c r="HV49" s="13">
        <v>42.874050871513141</v>
      </c>
      <c r="HW49" s="13">
        <v>42.10033650959577</v>
      </c>
      <c r="HX49" s="13">
        <v>41.939756319048328</v>
      </c>
      <c r="HY49" s="13">
        <v>0</v>
      </c>
      <c r="HZ49" s="13">
        <v>0</v>
      </c>
      <c r="IA49" s="13">
        <v>0</v>
      </c>
      <c r="IB49" s="13">
        <v>0</v>
      </c>
      <c r="IC49" s="13">
        <v>0</v>
      </c>
      <c r="ID49" s="13">
        <v>0</v>
      </c>
      <c r="IE49" s="13">
        <v>0</v>
      </c>
      <c r="IF49" s="13">
        <v>1154.109671736411</v>
      </c>
      <c r="IG49" s="13">
        <v>0</v>
      </c>
      <c r="IH49" s="13">
        <v>126.91414370015724</v>
      </c>
      <c r="II49" s="13">
        <v>788.56483043064804</v>
      </c>
      <c r="IJ49" s="13">
        <v>0</v>
      </c>
      <c r="IK49" s="13">
        <v>126.91414370015724</v>
      </c>
      <c r="IL49" s="8">
        <v>0.26221278439983309</v>
      </c>
      <c r="IM49" s="8">
        <v>0</v>
      </c>
      <c r="IN49" s="8">
        <v>0.21745888116761666</v>
      </c>
      <c r="IO49" s="8">
        <v>0</v>
      </c>
      <c r="IP49" s="8">
        <v>0.11600060720476102</v>
      </c>
      <c r="IQ49" s="8">
        <v>0</v>
      </c>
      <c r="IR49" s="8">
        <v>4.0411311806975964E-2</v>
      </c>
      <c r="IS49" s="8">
        <v>0</v>
      </c>
    </row>
    <row r="50" spans="1:253" x14ac:dyDescent="0.25">
      <c r="A50" s="10">
        <v>43836</v>
      </c>
      <c r="B50" s="11">
        <v>3.37</v>
      </c>
      <c r="C50" s="11">
        <v>3.53</v>
      </c>
      <c r="D50" s="11">
        <v>3.55</v>
      </c>
      <c r="E50" s="11">
        <v>3.68</v>
      </c>
      <c r="F50" s="11">
        <v>3.76</v>
      </c>
      <c r="G50" s="11">
        <v>3.84</v>
      </c>
      <c r="H50" s="11">
        <v>3.84</v>
      </c>
      <c r="I50" s="11">
        <v>4.05</v>
      </c>
      <c r="J50" s="11">
        <v>4.0999999999999996</v>
      </c>
      <c r="K50" s="11">
        <v>4.12</v>
      </c>
      <c r="L50" s="11">
        <v>4.22</v>
      </c>
      <c r="M50" s="11">
        <v>4.29</v>
      </c>
      <c r="N50" s="11">
        <v>4.3499999999999996</v>
      </c>
      <c r="O50" s="11">
        <v>4.3600000000000003</v>
      </c>
      <c r="P50" s="11">
        <v>4.42</v>
      </c>
      <c r="Q50" s="11">
        <v>4.6100000000000003</v>
      </c>
      <c r="R50" s="11">
        <v>4.74</v>
      </c>
      <c r="S50" s="11">
        <v>4.82</v>
      </c>
      <c r="T50" s="11">
        <v>4.84</v>
      </c>
      <c r="U50" s="11">
        <v>4.88</v>
      </c>
      <c r="V50" s="11">
        <v>4.88</v>
      </c>
      <c r="W50" s="11">
        <v>4.92</v>
      </c>
      <c r="X50" s="11">
        <v>4.96</v>
      </c>
      <c r="Y50" s="11">
        <v>5.05</v>
      </c>
      <c r="Z50" s="11">
        <v>5.13</v>
      </c>
      <c r="AA50" s="11">
        <v>5.17</v>
      </c>
      <c r="AB50" s="11">
        <v>5.27</v>
      </c>
      <c r="AC50" s="11">
        <v>5.34</v>
      </c>
      <c r="AD50" s="11">
        <v>5.34</v>
      </c>
      <c r="AE50" s="11">
        <v>5.42</v>
      </c>
      <c r="AF50" s="11">
        <v>5.45</v>
      </c>
      <c r="AG50" s="11">
        <v>5.52</v>
      </c>
      <c r="AH50" s="11">
        <v>5.54</v>
      </c>
      <c r="AI50" s="11">
        <v>5.58</v>
      </c>
      <c r="AJ50" s="11">
        <v>5.83</v>
      </c>
      <c r="AK50" s="11">
        <v>5.89</v>
      </c>
      <c r="AL50" s="11">
        <v>5.91</v>
      </c>
      <c r="AM50" s="11">
        <v>5.92</v>
      </c>
      <c r="AN50" s="11">
        <v>5.93</v>
      </c>
      <c r="AO50" s="11">
        <v>5.94</v>
      </c>
      <c r="AP50" s="11">
        <v>16.77</v>
      </c>
      <c r="AQ50" s="11">
        <v>21.43</v>
      </c>
      <c r="AR50" s="11">
        <v>21.46</v>
      </c>
      <c r="AS50" s="11">
        <v>22.08</v>
      </c>
      <c r="AT50" s="11">
        <v>22.6</v>
      </c>
      <c r="AU50" s="11">
        <v>22.74</v>
      </c>
      <c r="AV50" s="11">
        <v>23.9</v>
      </c>
      <c r="AW50" s="11">
        <v>23.91</v>
      </c>
      <c r="AX50" s="11">
        <v>24.05</v>
      </c>
      <c r="AY50" s="11">
        <v>24.57</v>
      </c>
      <c r="AZ50" s="11">
        <v>24.64</v>
      </c>
      <c r="BA50" s="11">
        <v>25.26</v>
      </c>
      <c r="BB50" s="11">
        <v>25.49</v>
      </c>
      <c r="BC50" s="11">
        <v>25.64</v>
      </c>
      <c r="BD50" s="11">
        <v>25.93</v>
      </c>
      <c r="BE50" s="11">
        <v>25.99</v>
      </c>
      <c r="BF50" s="11">
        <v>26.91</v>
      </c>
      <c r="BG50" s="11">
        <v>27.74</v>
      </c>
      <c r="BH50" s="11">
        <v>27.85</v>
      </c>
      <c r="BI50" s="11">
        <v>27.95</v>
      </c>
      <c r="BJ50" s="11">
        <v>28.66</v>
      </c>
      <c r="BK50" s="11">
        <v>34.68</v>
      </c>
      <c r="BL50" s="11">
        <v>60</v>
      </c>
      <c r="BM50" s="11">
        <v>60</v>
      </c>
      <c r="BN50" s="11">
        <v>65.98</v>
      </c>
      <c r="BO50" s="11">
        <v>66.03</v>
      </c>
      <c r="BP50" s="11">
        <v>68.58</v>
      </c>
      <c r="BQ50" s="11">
        <v>68.8</v>
      </c>
      <c r="BR50" s="11">
        <v>68.959999999999994</v>
      </c>
      <c r="BS50" s="11">
        <v>69.83</v>
      </c>
      <c r="BT50" s="11">
        <v>72.58</v>
      </c>
      <c r="BU50" s="11">
        <v>74.739999999999995</v>
      </c>
      <c r="BV50" s="11">
        <v>74.819999999999993</v>
      </c>
      <c r="BW50" s="11">
        <v>75.180000000000007</v>
      </c>
      <c r="BX50" s="12">
        <v>4.4270833333333339</v>
      </c>
      <c r="BY50" s="12">
        <v>3.8934426229508197</v>
      </c>
      <c r="BZ50" s="12">
        <v>3.7634408602150535</v>
      </c>
      <c r="CA50" s="12">
        <v>3.6111111111111112</v>
      </c>
      <c r="CB50" s="12">
        <v>3.6053130929791273</v>
      </c>
      <c r="CC50" s="12">
        <v>3.535353535353535</v>
      </c>
      <c r="CD50" s="12">
        <v>3.5211267605633805</v>
      </c>
      <c r="CE50" s="12">
        <v>3.4482758620689657</v>
      </c>
      <c r="CF50" s="12">
        <v>3.3936651583710407</v>
      </c>
      <c r="CG50" s="12">
        <v>3.3738191632928474</v>
      </c>
      <c r="CH50" s="12">
        <v>3.3057851239669422</v>
      </c>
      <c r="CI50" s="12">
        <v>3.3027522935779814</v>
      </c>
      <c r="CJ50" s="12">
        <v>3.2640949554896141</v>
      </c>
      <c r="CK50" s="12">
        <v>3.2608695652173911</v>
      </c>
      <c r="CL50" s="12">
        <v>3.2258064516129035</v>
      </c>
      <c r="CM50" s="12">
        <v>3.2110091743119265</v>
      </c>
      <c r="CN50" s="12">
        <v>3.1932773109243695</v>
      </c>
      <c r="CO50" s="12">
        <v>3.1161473087818701</v>
      </c>
      <c r="CP50" s="12">
        <v>3.098591549295775</v>
      </c>
      <c r="CQ50" s="12">
        <v>3.0844155844155843</v>
      </c>
      <c r="CR50" s="12">
        <v>3.080568720379147</v>
      </c>
      <c r="CS50" s="12">
        <v>3.0405405405405408</v>
      </c>
      <c r="CT50" s="12">
        <v>2.9962546816479403</v>
      </c>
      <c r="CU50" s="12">
        <v>2.9885057471264371</v>
      </c>
      <c r="CV50" s="12">
        <v>2.9605263157894735</v>
      </c>
      <c r="CW50" s="12">
        <v>2.9595015576323989</v>
      </c>
      <c r="CX50" s="12">
        <v>2.9325513196480939</v>
      </c>
      <c r="CY50" s="12">
        <v>2.9255319148936172</v>
      </c>
      <c r="CZ50" s="12">
        <v>2.9005524861878453</v>
      </c>
      <c r="DA50" s="12">
        <v>2.8985507246376816</v>
      </c>
      <c r="DB50" s="12">
        <v>2.8758169934640523</v>
      </c>
      <c r="DC50" s="12">
        <v>2.8688524590163933</v>
      </c>
      <c r="DD50" s="12">
        <v>2.8601694915254239</v>
      </c>
      <c r="DE50" s="12">
        <v>2.845528455284553</v>
      </c>
      <c r="DF50" s="12">
        <v>2.8328611898017</v>
      </c>
      <c r="DG50" s="12">
        <v>2.8099173553719008</v>
      </c>
      <c r="DH50" s="12">
        <v>2.806122448979592</v>
      </c>
      <c r="DI50" s="12">
        <v>2.7675276752767526</v>
      </c>
      <c r="DJ50" s="12">
        <v>2.6699029126213594</v>
      </c>
      <c r="DK50" s="12">
        <v>2.6217228464419478</v>
      </c>
      <c r="DL50" s="12">
        <v>2.8007181328545778</v>
      </c>
      <c r="DM50" s="12">
        <v>2.7854060415849355</v>
      </c>
      <c r="DN50" s="12">
        <v>2.6610104126494409</v>
      </c>
      <c r="DO50" s="12">
        <v>2.5951557093425608</v>
      </c>
      <c r="DP50" s="12">
        <v>2.5945470536499564</v>
      </c>
      <c r="DQ50" s="12">
        <v>2.509410288582183</v>
      </c>
      <c r="DR50" s="12">
        <v>2.4544734758511479</v>
      </c>
      <c r="DS50" s="12">
        <v>2.3299161230195713</v>
      </c>
      <c r="DT50" s="12">
        <v>2.3097826086956523</v>
      </c>
      <c r="DU50" s="12">
        <v>2.3071377072819037</v>
      </c>
      <c r="DV50" s="12">
        <v>2.2869022869022868</v>
      </c>
      <c r="DW50" s="12">
        <v>2.2668153102935711</v>
      </c>
      <c r="DX50" s="12">
        <v>2.2540250447227193</v>
      </c>
      <c r="DY50" s="12">
        <v>2.2123893805309733</v>
      </c>
      <c r="DZ50" s="12">
        <v>2.1571021571021571</v>
      </c>
      <c r="EA50" s="12">
        <v>2.1450858034321372</v>
      </c>
      <c r="EB50" s="12">
        <v>2.0935101186322402</v>
      </c>
      <c r="EC50" s="12">
        <v>2.0870602265951104</v>
      </c>
      <c r="ED50" s="12">
        <v>2.0777222008464795</v>
      </c>
      <c r="EE50" s="12">
        <v>1.9665271966527198</v>
      </c>
      <c r="EF50" s="12">
        <v>1.948051948051948</v>
      </c>
      <c r="EG50" s="12">
        <v>1.9132057862809146</v>
      </c>
      <c r="EH50" s="12">
        <v>0</v>
      </c>
      <c r="EI50" s="12">
        <v>0</v>
      </c>
      <c r="EJ50" s="12">
        <v>2.462261816382084</v>
      </c>
      <c r="EK50" s="12">
        <v>2.4259113558877523</v>
      </c>
      <c r="EL50" s="12">
        <v>2.3165050988291576</v>
      </c>
      <c r="EM50" s="12">
        <v>2.2745411013567436</v>
      </c>
      <c r="EN50" s="12">
        <v>2.2611720631522614</v>
      </c>
      <c r="EO50" s="12">
        <v>2.2154819992087567</v>
      </c>
      <c r="EP50" s="12">
        <v>2.2111161593215205</v>
      </c>
      <c r="EQ50" s="12">
        <v>2.2018081073199185</v>
      </c>
      <c r="ER50" s="12">
        <v>2.1873903380512343</v>
      </c>
      <c r="ES50" s="12">
        <v>2.117169373549884</v>
      </c>
      <c r="ET50" s="11">
        <v>83.37</v>
      </c>
      <c r="EU50" s="11">
        <v>273.40999999999997</v>
      </c>
      <c r="EV50" s="11">
        <v>338.34999999999997</v>
      </c>
      <c r="EW50" s="12">
        <v>68.635380817833564</v>
      </c>
      <c r="EX50" s="12">
        <v>29.901275150707786</v>
      </c>
      <c r="EY50" s="12">
        <v>11.740391435608</v>
      </c>
      <c r="EZ50" s="11">
        <v>695.12999999999988</v>
      </c>
      <c r="FA50" s="12">
        <v>110.27704740414936</v>
      </c>
      <c r="FB50" s="11">
        <v>192.35999999999996</v>
      </c>
      <c r="FC50" s="11">
        <v>670.25</v>
      </c>
      <c r="FD50" s="11">
        <v>705.5</v>
      </c>
      <c r="FE50" s="12">
        <v>126.27688665410042</v>
      </c>
      <c r="FF50" s="12">
        <v>50.755955013555187</v>
      </c>
      <c r="FG50" s="12">
        <v>22.673357413059318</v>
      </c>
      <c r="FH50" s="11">
        <v>1568.11</v>
      </c>
      <c r="FI50" s="12">
        <v>199.70619908071492</v>
      </c>
      <c r="FJ50" s="13">
        <v>81.646542607684509</v>
      </c>
      <c r="FK50" s="13">
        <v>65.958962016296908</v>
      </c>
      <c r="FL50" s="13">
        <v>61.957218625813169</v>
      </c>
      <c r="FM50" s="13">
        <v>60.714421662957854</v>
      </c>
      <c r="FN50" s="13">
        <v>60.374902707126331</v>
      </c>
      <c r="FO50" s="13">
        <v>56.718581402405235</v>
      </c>
      <c r="FP50" s="13">
        <v>55.415972585281757</v>
      </c>
      <c r="FQ50" s="13">
        <v>54.755192196571002</v>
      </c>
      <c r="FR50" s="13">
        <v>54.181741864615226</v>
      </c>
      <c r="FS50" s="13">
        <v>53.275497509128442</v>
      </c>
      <c r="FT50" s="13">
        <v>53.181936190911209</v>
      </c>
      <c r="FU50" s="13">
        <v>51.848336468749906</v>
      </c>
      <c r="FV50" s="13">
        <v>50.508395723620964</v>
      </c>
      <c r="FW50" s="13">
        <v>49.733965821566905</v>
      </c>
      <c r="FX50" s="13">
        <v>48.043462242663928</v>
      </c>
      <c r="FY50" s="13">
        <v>48.027378004520301</v>
      </c>
      <c r="FZ50" s="13">
        <v>47.670577170737282</v>
      </c>
      <c r="GA50" s="13">
        <v>46.872635891744977</v>
      </c>
      <c r="GB50" s="13">
        <v>44.573782126366559</v>
      </c>
      <c r="GC50" s="13">
        <v>44.120387684061193</v>
      </c>
      <c r="GD50" s="13">
        <v>43.871089460923507</v>
      </c>
      <c r="GE50" s="13">
        <v>43.868400995474133</v>
      </c>
      <c r="GF50" s="13">
        <v>43.758985756132432</v>
      </c>
      <c r="GG50" s="13">
        <v>43.685368135657555</v>
      </c>
      <c r="GH50" s="13">
        <v>43.343773493570247</v>
      </c>
      <c r="GI50" s="13">
        <v>42.965453736287593</v>
      </c>
      <c r="GJ50" s="13">
        <v>42.890396686324564</v>
      </c>
      <c r="GK50" s="13">
        <v>42.233081917114461</v>
      </c>
      <c r="GL50" s="13">
        <v>41.464411842662237</v>
      </c>
      <c r="GM50" s="13">
        <v>41.416897444696865</v>
      </c>
      <c r="GN50" s="13">
        <v>40.861880484829157</v>
      </c>
      <c r="GO50" s="13">
        <v>40.291183476027541</v>
      </c>
      <c r="GP50" s="13">
        <v>40.100005379310872</v>
      </c>
      <c r="GQ50" s="13">
        <v>39.581147368967244</v>
      </c>
      <c r="GR50" s="13">
        <v>39.27362726566335</v>
      </c>
      <c r="GS50" s="13">
        <v>38.384850871039866</v>
      </c>
      <c r="GT50" s="13">
        <v>38.088687906206033</v>
      </c>
      <c r="GU50" s="13">
        <v>37.697864006973191</v>
      </c>
      <c r="GV50" s="13">
        <v>37.523785782144564</v>
      </c>
      <c r="GW50" s="13">
        <v>36.178330152736848</v>
      </c>
      <c r="GX50" s="13">
        <v>44.778223142980991</v>
      </c>
      <c r="GY50" s="13">
        <v>44.577988218491782</v>
      </c>
      <c r="GZ50" s="13">
        <v>44.380097866960902</v>
      </c>
      <c r="HA50" s="13">
        <v>41.94212118196149</v>
      </c>
      <c r="HB50" s="13">
        <v>41.893190770836441</v>
      </c>
      <c r="HC50" s="13">
        <v>41.875317370281834</v>
      </c>
      <c r="HD50" s="13">
        <v>41.814277602510977</v>
      </c>
      <c r="HE50" s="13">
        <v>40.694000481003172</v>
      </c>
      <c r="HF50" s="13">
        <v>39.35624252021541</v>
      </c>
      <c r="HG50" s="13">
        <v>38.348138300965203</v>
      </c>
      <c r="HH50" s="13">
        <v>37.951214577965388</v>
      </c>
      <c r="HI50" s="13">
        <v>35.265149619493947</v>
      </c>
      <c r="HJ50" s="13">
        <v>34.772440766581028</v>
      </c>
      <c r="HK50" s="13">
        <v>34.646360878775262</v>
      </c>
      <c r="HL50" s="13">
        <v>34.419518698870824</v>
      </c>
      <c r="HM50" s="13">
        <v>34.03773723089796</v>
      </c>
      <c r="HN50" s="13">
        <v>33.670541108896941</v>
      </c>
      <c r="HO50" s="13">
        <v>33.332407735644921</v>
      </c>
      <c r="HP50" s="13">
        <v>32.777819059358926</v>
      </c>
      <c r="HQ50" s="13">
        <v>32.657407984338796</v>
      </c>
      <c r="HR50" s="13">
        <v>31.784154902532112</v>
      </c>
      <c r="HS50" s="13">
        <v>30.728429273864037</v>
      </c>
      <c r="HT50" s="13">
        <v>0</v>
      </c>
      <c r="HU50" s="13">
        <v>0</v>
      </c>
      <c r="HV50" s="13">
        <v>51.20152611290581</v>
      </c>
      <c r="HW50" s="13">
        <v>50.787568622647896</v>
      </c>
      <c r="HX50" s="13">
        <v>49.651398476551577</v>
      </c>
      <c r="HY50" s="13">
        <v>49.494995985152926</v>
      </c>
      <c r="HZ50" s="13">
        <v>48.107179306439846</v>
      </c>
      <c r="IA50" s="13">
        <v>48.096383232256379</v>
      </c>
      <c r="IB50" s="13">
        <v>48.010552186319259</v>
      </c>
      <c r="IC50" s="13">
        <v>47.558459795202054</v>
      </c>
      <c r="ID50" s="13">
        <v>47.134002662275897</v>
      </c>
      <c r="IE50" s="13">
        <v>46.566086642083292</v>
      </c>
      <c r="IF50" s="13">
        <v>1907.0591126655663</v>
      </c>
      <c r="IG50" s="13">
        <v>825.70277929342819</v>
      </c>
      <c r="IH50" s="13">
        <v>486.60815302183494</v>
      </c>
      <c r="II50" s="13">
        <v>1089.5798905028237</v>
      </c>
      <c r="IJ50" s="13">
        <v>492.87596165366756</v>
      </c>
      <c r="IK50" s="13">
        <v>249.24266850369804</v>
      </c>
      <c r="IL50" s="8">
        <v>0.57574459830317548</v>
      </c>
      <c r="IM50" s="8">
        <v>0.91113931511269919</v>
      </c>
      <c r="IN50" s="8">
        <v>1.7296920293713023</v>
      </c>
      <c r="IO50" s="8">
        <v>0.96811692848970066</v>
      </c>
      <c r="IP50" s="8">
        <v>0.40176842583869921</v>
      </c>
      <c r="IQ50" s="8">
        <v>0.52846443672038568</v>
      </c>
      <c r="IR50" s="8">
        <v>1.5638611727246954</v>
      </c>
      <c r="IS50" s="8">
        <v>0.69246302571570062</v>
      </c>
    </row>
    <row r="51" spans="1:253" x14ac:dyDescent="0.25">
      <c r="A51" s="10">
        <v>43829</v>
      </c>
      <c r="B51" s="11">
        <v>5.01</v>
      </c>
      <c r="C51" s="11">
        <v>5.44</v>
      </c>
      <c r="D51" s="11">
        <v>5.74</v>
      </c>
      <c r="E51" s="11">
        <v>6.06</v>
      </c>
      <c r="F51" s="11">
        <v>6.07</v>
      </c>
      <c r="G51" s="11">
        <v>6.98</v>
      </c>
      <c r="H51" s="11">
        <v>7.84</v>
      </c>
      <c r="I51" s="11">
        <v>9.14</v>
      </c>
      <c r="J51" s="11">
        <v>10</v>
      </c>
      <c r="K51" s="11">
        <v>10</v>
      </c>
      <c r="L51" s="11">
        <v>10</v>
      </c>
      <c r="M51" s="11">
        <v>10</v>
      </c>
      <c r="N51" s="11">
        <v>10</v>
      </c>
      <c r="O51" s="11">
        <v>10</v>
      </c>
      <c r="P51" s="11">
        <v>10</v>
      </c>
      <c r="Q51" s="11">
        <v>10</v>
      </c>
      <c r="R51" s="11">
        <v>10</v>
      </c>
      <c r="S51" s="11">
        <v>10</v>
      </c>
      <c r="T51" s="11">
        <v>10</v>
      </c>
      <c r="U51" s="11">
        <v>10</v>
      </c>
      <c r="V51" s="11">
        <v>10</v>
      </c>
      <c r="W51" s="11">
        <v>10</v>
      </c>
      <c r="X51" s="11">
        <v>10</v>
      </c>
      <c r="Y51" s="11">
        <v>10</v>
      </c>
      <c r="Z51" s="11">
        <v>10</v>
      </c>
      <c r="AA51" s="11">
        <v>10</v>
      </c>
      <c r="AB51" s="11">
        <v>10</v>
      </c>
      <c r="AC51" s="11">
        <v>10</v>
      </c>
      <c r="AD51" s="11">
        <v>10</v>
      </c>
      <c r="AE51" s="11">
        <v>10</v>
      </c>
      <c r="AF51" s="11">
        <v>10</v>
      </c>
      <c r="AG51" s="11">
        <v>10</v>
      </c>
      <c r="AH51" s="11">
        <v>10</v>
      </c>
      <c r="AI51" s="11">
        <v>10</v>
      </c>
      <c r="AJ51" s="11">
        <v>10</v>
      </c>
      <c r="AK51" s="11">
        <v>10</v>
      </c>
      <c r="AL51" s="11">
        <v>10</v>
      </c>
      <c r="AM51" s="11">
        <v>10</v>
      </c>
      <c r="AN51" s="11">
        <v>10</v>
      </c>
      <c r="AO51" s="11">
        <v>10</v>
      </c>
      <c r="AP51" s="11">
        <v>25.16</v>
      </c>
      <c r="AQ51" s="11">
        <v>34.74</v>
      </c>
      <c r="AR51" s="11">
        <v>60</v>
      </c>
      <c r="AS51" s="11">
        <v>60</v>
      </c>
      <c r="AT51" s="11">
        <v>60</v>
      </c>
      <c r="AU51" s="11">
        <v>60</v>
      </c>
      <c r="AV51" s="11">
        <v>60</v>
      </c>
      <c r="AW51" s="11">
        <v>60</v>
      </c>
      <c r="AX51" s="11">
        <v>60</v>
      </c>
      <c r="AY51" s="11">
        <v>60</v>
      </c>
      <c r="AZ51" s="11">
        <v>60</v>
      </c>
      <c r="BA51" s="11">
        <v>60</v>
      </c>
      <c r="BB51" s="11">
        <v>60</v>
      </c>
      <c r="BC51" s="11">
        <v>60</v>
      </c>
      <c r="BD51" s="11">
        <v>60</v>
      </c>
      <c r="BE51" s="11">
        <v>60</v>
      </c>
      <c r="BF51" s="11">
        <v>60</v>
      </c>
      <c r="BG51" s="11">
        <v>60</v>
      </c>
      <c r="BH51" s="11">
        <v>60</v>
      </c>
      <c r="BI51" s="11">
        <v>60</v>
      </c>
      <c r="BJ51" s="11">
        <v>60</v>
      </c>
      <c r="BK51" s="11">
        <v>60</v>
      </c>
      <c r="BL51" s="11">
        <v>60</v>
      </c>
      <c r="BM51" s="11">
        <v>60</v>
      </c>
      <c r="BN51" s="11">
        <v>73.08</v>
      </c>
      <c r="BO51" s="11">
        <v>74.7</v>
      </c>
      <c r="BP51" s="11">
        <v>81.62</v>
      </c>
      <c r="BQ51" s="11">
        <v>82.39</v>
      </c>
      <c r="BR51" s="11">
        <v>82.66</v>
      </c>
      <c r="BS51" s="11">
        <v>83.09</v>
      </c>
      <c r="BT51" s="11">
        <v>84.92</v>
      </c>
      <c r="BU51" s="11">
        <v>87.61</v>
      </c>
      <c r="BV51" s="11">
        <v>240</v>
      </c>
      <c r="BW51" s="11">
        <v>240</v>
      </c>
      <c r="BX51" s="12">
        <v>3.3003300330033007</v>
      </c>
      <c r="BY51" s="12">
        <v>3.1936127744510978</v>
      </c>
      <c r="BZ51" s="12">
        <v>3.0612244897959182</v>
      </c>
      <c r="CA51" s="12">
        <v>2.9654036243822075</v>
      </c>
      <c r="CB51" s="12">
        <v>2.7220630372492836</v>
      </c>
      <c r="CC51" s="12">
        <v>2.5735294117647056</v>
      </c>
      <c r="CD51" s="12">
        <v>2.1881838074398248</v>
      </c>
      <c r="CE51" s="12">
        <v>1.7421602787456445</v>
      </c>
      <c r="CF51" s="12">
        <v>0</v>
      </c>
      <c r="CG51" s="12">
        <v>0</v>
      </c>
      <c r="CH51" s="12">
        <v>0</v>
      </c>
      <c r="CI51" s="12">
        <v>0</v>
      </c>
      <c r="CJ51" s="12">
        <v>0</v>
      </c>
      <c r="CK51" s="12">
        <v>0</v>
      </c>
      <c r="CL51" s="12">
        <v>0</v>
      </c>
      <c r="CM51" s="12">
        <v>0</v>
      </c>
      <c r="CN51" s="12">
        <v>0</v>
      </c>
      <c r="CO51" s="12">
        <v>0</v>
      </c>
      <c r="CP51" s="12">
        <v>0</v>
      </c>
      <c r="CQ51" s="12">
        <v>0</v>
      </c>
      <c r="CR51" s="12">
        <v>0</v>
      </c>
      <c r="CS51" s="12">
        <v>0</v>
      </c>
      <c r="CT51" s="12">
        <v>0</v>
      </c>
      <c r="CU51" s="12">
        <v>0</v>
      </c>
      <c r="CV51" s="12">
        <v>0</v>
      </c>
      <c r="CW51" s="12">
        <v>0</v>
      </c>
      <c r="CX51" s="12">
        <v>0</v>
      </c>
      <c r="CY51" s="12">
        <v>0</v>
      </c>
      <c r="CZ51" s="12">
        <v>0</v>
      </c>
      <c r="DA51" s="12">
        <v>0</v>
      </c>
      <c r="DB51" s="12">
        <v>0</v>
      </c>
      <c r="DC51" s="12">
        <v>0</v>
      </c>
      <c r="DD51" s="12">
        <v>0</v>
      </c>
      <c r="DE51" s="12">
        <v>0</v>
      </c>
      <c r="DF51" s="12">
        <v>0</v>
      </c>
      <c r="DG51" s="12">
        <v>0</v>
      </c>
      <c r="DH51" s="12">
        <v>0</v>
      </c>
      <c r="DI51" s="12">
        <v>0</v>
      </c>
      <c r="DJ51" s="12">
        <v>0</v>
      </c>
      <c r="DK51" s="12">
        <v>0</v>
      </c>
      <c r="DL51" s="12">
        <v>2.0270270270270272</v>
      </c>
      <c r="DM51" s="12">
        <v>1.6119746689694876</v>
      </c>
      <c r="DN51" s="12">
        <v>0</v>
      </c>
      <c r="DO51" s="12">
        <v>0</v>
      </c>
      <c r="DP51" s="12">
        <v>0</v>
      </c>
      <c r="DQ51" s="12">
        <v>0</v>
      </c>
      <c r="DR51" s="12">
        <v>0</v>
      </c>
      <c r="DS51" s="12">
        <v>0</v>
      </c>
      <c r="DT51" s="12">
        <v>0</v>
      </c>
      <c r="DU51" s="12">
        <v>0</v>
      </c>
      <c r="DV51" s="12">
        <v>0</v>
      </c>
      <c r="DW51" s="12">
        <v>0</v>
      </c>
      <c r="DX51" s="12">
        <v>0</v>
      </c>
      <c r="DY51" s="12">
        <v>0</v>
      </c>
      <c r="DZ51" s="12">
        <v>0</v>
      </c>
      <c r="EA51" s="12">
        <v>0</v>
      </c>
      <c r="EB51" s="12">
        <v>0</v>
      </c>
      <c r="EC51" s="12">
        <v>0</v>
      </c>
      <c r="ED51" s="12">
        <v>0</v>
      </c>
      <c r="EE51" s="12">
        <v>0</v>
      </c>
      <c r="EF51" s="12">
        <v>0</v>
      </c>
      <c r="EG51" s="12">
        <v>0</v>
      </c>
      <c r="EH51" s="12">
        <v>0</v>
      </c>
      <c r="EI51" s="12">
        <v>0</v>
      </c>
      <c r="EJ51" s="12">
        <v>2.2828444241524939</v>
      </c>
      <c r="EK51" s="12">
        <v>2.2259859666102106</v>
      </c>
      <c r="EL51" s="12">
        <v>2.2144662414249607</v>
      </c>
      <c r="EM51" s="12">
        <v>2.1285140562248994</v>
      </c>
      <c r="EN51" s="12">
        <v>2.0705709384954667</v>
      </c>
      <c r="EO51" s="12">
        <v>2.051219808229154</v>
      </c>
      <c r="EP51" s="12">
        <v>2.0372114931700422</v>
      </c>
      <c r="EQ51" s="12">
        <v>1.7515051997810618</v>
      </c>
      <c r="ER51" s="12">
        <v>0</v>
      </c>
      <c r="ES51" s="12">
        <v>0</v>
      </c>
      <c r="ET51" s="11">
        <v>172.28</v>
      </c>
      <c r="EU51" s="11">
        <v>659.9</v>
      </c>
      <c r="EV51" s="11">
        <v>394.45000000000005</v>
      </c>
      <c r="EW51" s="12">
        <v>21.746507456831981</v>
      </c>
      <c r="EX51" s="12">
        <v>3.639001695996515</v>
      </c>
      <c r="EY51" s="12">
        <v>10.922381626908031</v>
      </c>
      <c r="EZ51" s="11">
        <v>1226.6300000000001</v>
      </c>
      <c r="FA51" s="12">
        <v>36.307890779736525</v>
      </c>
      <c r="FB51" s="11">
        <v>372.28</v>
      </c>
      <c r="FC51" s="11">
        <v>1379.9</v>
      </c>
      <c r="FD51" s="11">
        <v>1130.0700000000002</v>
      </c>
      <c r="FE51" s="12">
        <v>21.746507456831981</v>
      </c>
      <c r="FF51" s="12">
        <v>3.639001695996515</v>
      </c>
      <c r="FG51" s="12">
        <v>16.762318128088289</v>
      </c>
      <c r="FH51" s="11">
        <v>2882.25</v>
      </c>
      <c r="FI51" s="12">
        <v>42.147827280916786</v>
      </c>
      <c r="FJ51" s="13">
        <v>48.893126303048476</v>
      </c>
      <c r="FK51" s="13">
        <v>44.226084719674574</v>
      </c>
      <c r="FL51" s="13">
        <v>39.692064572908457</v>
      </c>
      <c r="FM51" s="13">
        <v>37.193056095854637</v>
      </c>
      <c r="FN51" s="13">
        <v>34.255151616476539</v>
      </c>
      <c r="FO51" s="13">
        <v>33.040859897764832</v>
      </c>
      <c r="FP51" s="13">
        <v>24.249441569485505</v>
      </c>
      <c r="FQ51" s="13">
        <v>21.992440306769634</v>
      </c>
      <c r="FR51" s="13">
        <v>0</v>
      </c>
      <c r="FS51" s="13">
        <v>0</v>
      </c>
      <c r="FT51" s="13">
        <v>0</v>
      </c>
      <c r="FU51" s="13">
        <v>0</v>
      </c>
      <c r="FV51" s="13">
        <v>0</v>
      </c>
      <c r="FW51" s="13">
        <v>0</v>
      </c>
      <c r="FX51" s="13">
        <v>0</v>
      </c>
      <c r="FY51" s="13">
        <v>0</v>
      </c>
      <c r="FZ51" s="13">
        <v>0</v>
      </c>
      <c r="GA51" s="13">
        <v>0</v>
      </c>
      <c r="GB51" s="13">
        <v>0</v>
      </c>
      <c r="GC51" s="13">
        <v>0</v>
      </c>
      <c r="GD51" s="13">
        <v>0</v>
      </c>
      <c r="GE51" s="13">
        <v>0</v>
      </c>
      <c r="GF51" s="13">
        <v>0</v>
      </c>
      <c r="GG51" s="13">
        <v>0</v>
      </c>
      <c r="GH51" s="13">
        <v>0</v>
      </c>
      <c r="GI51" s="13">
        <v>0</v>
      </c>
      <c r="GJ51" s="13">
        <v>0</v>
      </c>
      <c r="GK51" s="13">
        <v>0</v>
      </c>
      <c r="GL51" s="13">
        <v>0</v>
      </c>
      <c r="GM51" s="13">
        <v>0</v>
      </c>
      <c r="GN51" s="13">
        <v>0</v>
      </c>
      <c r="GO51" s="13">
        <v>0</v>
      </c>
      <c r="GP51" s="13">
        <v>0</v>
      </c>
      <c r="GQ51" s="13">
        <v>0</v>
      </c>
      <c r="GR51" s="13">
        <v>0</v>
      </c>
      <c r="GS51" s="13">
        <v>0</v>
      </c>
      <c r="GT51" s="13">
        <v>0</v>
      </c>
      <c r="GU51" s="13">
        <v>0</v>
      </c>
      <c r="GV51" s="13">
        <v>0</v>
      </c>
      <c r="GW51" s="13">
        <v>0</v>
      </c>
      <c r="GX51" s="13">
        <v>32.592728636512483</v>
      </c>
      <c r="GY51" s="13">
        <v>20.679306500329854</v>
      </c>
      <c r="GZ51" s="13">
        <v>0</v>
      </c>
      <c r="HA51" s="13">
        <v>0</v>
      </c>
      <c r="HB51" s="13">
        <v>0</v>
      </c>
      <c r="HC51" s="13">
        <v>0</v>
      </c>
      <c r="HD51" s="13">
        <v>0</v>
      </c>
      <c r="HE51" s="13">
        <v>0</v>
      </c>
      <c r="HF51" s="13">
        <v>0</v>
      </c>
      <c r="HG51" s="13">
        <v>0</v>
      </c>
      <c r="HH51" s="13">
        <v>0</v>
      </c>
      <c r="HI51" s="13">
        <v>0</v>
      </c>
      <c r="HJ51" s="13">
        <v>0</v>
      </c>
      <c r="HK51" s="13">
        <v>0</v>
      </c>
      <c r="HL51" s="13">
        <v>0</v>
      </c>
      <c r="HM51" s="13">
        <v>0</v>
      </c>
      <c r="HN51" s="13">
        <v>0</v>
      </c>
      <c r="HO51" s="13">
        <v>0</v>
      </c>
      <c r="HP51" s="13">
        <v>0</v>
      </c>
      <c r="HQ51" s="13">
        <v>0</v>
      </c>
      <c r="HR51" s="13">
        <v>0</v>
      </c>
      <c r="HS51" s="13">
        <v>0</v>
      </c>
      <c r="HT51" s="13">
        <v>0</v>
      </c>
      <c r="HU51" s="13">
        <v>0</v>
      </c>
      <c r="HV51" s="13">
        <v>45.210817142618623</v>
      </c>
      <c r="HW51" s="13">
        <v>44.045941407706799</v>
      </c>
      <c r="HX51" s="13">
        <v>43.659141145216729</v>
      </c>
      <c r="HY51" s="13">
        <v>43.368958667762371</v>
      </c>
      <c r="HZ51" s="13">
        <v>41.335458208993543</v>
      </c>
      <c r="IA51" s="13">
        <v>40.680876831156311</v>
      </c>
      <c r="IB51" s="13">
        <v>39.556638929773662</v>
      </c>
      <c r="IC51" s="13">
        <v>37.778325937898657</v>
      </c>
      <c r="ID51" s="13">
        <v>0</v>
      </c>
      <c r="IE51" s="13">
        <v>0</v>
      </c>
      <c r="IF51" s="13">
        <v>283.54222508198268</v>
      </c>
      <c r="IG51" s="13">
        <v>53.272035136842334</v>
      </c>
      <c r="IH51" s="13">
        <v>335.6361582711267</v>
      </c>
      <c r="II51" s="13">
        <v>283.54222508198268</v>
      </c>
      <c r="IJ51" s="13">
        <v>53.272035136842334</v>
      </c>
      <c r="IK51" s="13">
        <v>217.62031657229807</v>
      </c>
      <c r="IL51" s="8">
        <v>2.2972324630471653E-2</v>
      </c>
      <c r="IM51" s="8">
        <v>4.9656402498584572E-3</v>
      </c>
      <c r="IN51" s="8">
        <v>1.2051880579902028</v>
      </c>
      <c r="IO51" s="8">
        <v>5.1611324644179203E-2</v>
      </c>
      <c r="IP51" s="8">
        <v>5.3154508533061881E-3</v>
      </c>
      <c r="IQ51" s="8">
        <v>1.1873418366843958E-3</v>
      </c>
      <c r="IR51" s="8">
        <v>0.49784881115594759</v>
      </c>
      <c r="IS51" s="8">
        <v>1.4646632474981375E-2</v>
      </c>
    </row>
    <row r="52" spans="1:253" x14ac:dyDescent="0.25">
      <c r="A52" s="10">
        <v>43822</v>
      </c>
      <c r="B52" s="11">
        <v>3.14</v>
      </c>
      <c r="C52" s="11">
        <v>3.44</v>
      </c>
      <c r="D52" s="11">
        <v>3.53</v>
      </c>
      <c r="E52" s="11">
        <v>3.9</v>
      </c>
      <c r="F52" s="11">
        <v>4</v>
      </c>
      <c r="G52" s="11">
        <v>4.1100000000000003</v>
      </c>
      <c r="H52" s="11">
        <v>4.16</v>
      </c>
      <c r="I52" s="11">
        <v>4.32</v>
      </c>
      <c r="J52" s="11">
        <v>4.45</v>
      </c>
      <c r="K52" s="11">
        <v>4.6100000000000003</v>
      </c>
      <c r="L52" s="11">
        <v>4.6900000000000004</v>
      </c>
      <c r="M52" s="11">
        <v>4.72</v>
      </c>
      <c r="N52" s="11">
        <v>4.74</v>
      </c>
      <c r="O52" s="11">
        <v>4.8099999999999996</v>
      </c>
      <c r="P52" s="11">
        <v>4.84</v>
      </c>
      <c r="Q52" s="11">
        <v>4.91</v>
      </c>
      <c r="R52" s="11">
        <v>5.12</v>
      </c>
      <c r="S52" s="11">
        <v>5.21</v>
      </c>
      <c r="T52" s="11">
        <v>5.22</v>
      </c>
      <c r="U52" s="11">
        <v>5.24</v>
      </c>
      <c r="V52" s="11">
        <v>5.31</v>
      </c>
      <c r="W52" s="11">
        <v>5.39</v>
      </c>
      <c r="X52" s="11">
        <v>5.44</v>
      </c>
      <c r="Y52" s="11">
        <v>5.44</v>
      </c>
      <c r="Z52" s="11">
        <v>5.46</v>
      </c>
      <c r="AA52" s="11">
        <v>5.52</v>
      </c>
      <c r="AB52" s="11">
        <v>5.53</v>
      </c>
      <c r="AC52" s="11">
        <v>5.56</v>
      </c>
      <c r="AD52" s="11">
        <v>5.57</v>
      </c>
      <c r="AE52" s="11">
        <v>5.6</v>
      </c>
      <c r="AF52" s="11">
        <v>5.61</v>
      </c>
      <c r="AG52" s="11">
        <v>5.62</v>
      </c>
      <c r="AH52" s="11">
        <v>5.72</v>
      </c>
      <c r="AI52" s="11">
        <v>5.82</v>
      </c>
      <c r="AJ52" s="11">
        <v>5.88</v>
      </c>
      <c r="AK52" s="11">
        <v>5.9</v>
      </c>
      <c r="AL52" s="11">
        <v>5.91</v>
      </c>
      <c r="AM52" s="11">
        <v>5.92</v>
      </c>
      <c r="AN52" s="11">
        <v>5.92</v>
      </c>
      <c r="AO52" s="11">
        <v>5.96</v>
      </c>
      <c r="AP52" s="11">
        <v>21.26</v>
      </c>
      <c r="AQ52" s="11">
        <v>21.49</v>
      </c>
      <c r="AR52" s="11">
        <v>23.19</v>
      </c>
      <c r="AS52" s="11">
        <v>24.63</v>
      </c>
      <c r="AT52" s="11">
        <v>25.95</v>
      </c>
      <c r="AU52" s="11">
        <v>26.81</v>
      </c>
      <c r="AV52" s="11">
        <v>27.61</v>
      </c>
      <c r="AW52" s="11">
        <v>27.71</v>
      </c>
      <c r="AX52" s="11">
        <v>29.04</v>
      </c>
      <c r="AY52" s="11">
        <v>29.22</v>
      </c>
      <c r="AZ52" s="11">
        <v>29.31</v>
      </c>
      <c r="BA52" s="11">
        <v>29.49</v>
      </c>
      <c r="BB52" s="11">
        <v>60</v>
      </c>
      <c r="BC52" s="11">
        <v>60</v>
      </c>
      <c r="BD52" s="11">
        <v>60</v>
      </c>
      <c r="BE52" s="11">
        <v>60</v>
      </c>
      <c r="BF52" s="11">
        <v>60</v>
      </c>
      <c r="BG52" s="11">
        <v>60</v>
      </c>
      <c r="BH52" s="11">
        <v>60</v>
      </c>
      <c r="BI52" s="11">
        <v>60</v>
      </c>
      <c r="BJ52" s="11">
        <v>60</v>
      </c>
      <c r="BK52" s="11">
        <v>60</v>
      </c>
      <c r="BL52" s="11">
        <v>60</v>
      </c>
      <c r="BM52" s="11">
        <v>60</v>
      </c>
      <c r="BN52" s="11">
        <v>71.62</v>
      </c>
      <c r="BO52" s="11">
        <v>75.040000000000006</v>
      </c>
      <c r="BP52" s="11">
        <v>75.06</v>
      </c>
      <c r="BQ52" s="11">
        <v>76</v>
      </c>
      <c r="BR52" s="11">
        <v>76.290000000000006</v>
      </c>
      <c r="BS52" s="11">
        <v>76.48</v>
      </c>
      <c r="BT52" s="11">
        <v>76.540000000000006</v>
      </c>
      <c r="BU52" s="11">
        <v>77.010000000000005</v>
      </c>
      <c r="BV52" s="11">
        <v>77.94</v>
      </c>
      <c r="BW52" s="11">
        <v>79.08</v>
      </c>
      <c r="BX52" s="12">
        <v>3.9473684210526319</v>
      </c>
      <c r="BY52" s="12">
        <v>3.8805970149253732</v>
      </c>
      <c r="BZ52" s="12">
        <v>3.7793667007150158</v>
      </c>
      <c r="CA52" s="12">
        <v>3.6659877800407332</v>
      </c>
      <c r="CB52" s="12">
        <v>3.5904255319148937</v>
      </c>
      <c r="CC52" s="12">
        <v>3.524804177545692</v>
      </c>
      <c r="CD52" s="12">
        <v>3.5031847133757958</v>
      </c>
      <c r="CE52" s="12">
        <v>3.4688995215311009</v>
      </c>
      <c r="CF52" s="12">
        <v>3.4340659340659339</v>
      </c>
      <c r="CG52" s="12">
        <v>3.4334763948497855</v>
      </c>
      <c r="CH52" s="12">
        <v>3.3557046979865772</v>
      </c>
      <c r="CI52" s="12">
        <v>3.3057851239669422</v>
      </c>
      <c r="CJ52" s="12">
        <v>3.3003300330033007</v>
      </c>
      <c r="CK52" s="12">
        <v>3.2979976442873968</v>
      </c>
      <c r="CL52" s="12">
        <v>3.2567049808429118</v>
      </c>
      <c r="CM52" s="12">
        <v>3.2203389830508473</v>
      </c>
      <c r="CN52" s="12">
        <v>3.2094594594594597</v>
      </c>
      <c r="CO52" s="12">
        <v>3.2015065913370999</v>
      </c>
      <c r="CP52" s="12">
        <v>3.1976744186046511</v>
      </c>
      <c r="CQ52" s="12">
        <v>3.1463748290013682</v>
      </c>
      <c r="CR52" s="12">
        <v>3.1161473087818701</v>
      </c>
      <c r="CS52" s="12">
        <v>3.1135531135531136</v>
      </c>
      <c r="CT52" s="12">
        <v>3.0741410488245928</v>
      </c>
      <c r="CU52" s="12">
        <v>3.0303030303030307</v>
      </c>
      <c r="CV52" s="12">
        <v>3.0249110320284696</v>
      </c>
      <c r="CW52" s="12">
        <v>3.0110935023771792</v>
      </c>
      <c r="CX52" s="12">
        <v>2.9720279720279721</v>
      </c>
      <c r="CY52" s="12">
        <v>2.9661016949152543</v>
      </c>
      <c r="CZ52" s="12">
        <v>2.9411764705882351</v>
      </c>
      <c r="DA52" s="12">
        <v>2.9262086513994912</v>
      </c>
      <c r="DB52" s="12">
        <v>2.8909329829172141</v>
      </c>
      <c r="DC52" s="12">
        <v>2.8846153846153846</v>
      </c>
      <c r="DD52" s="12">
        <v>2.877697841726619</v>
      </c>
      <c r="DE52" s="12">
        <v>2.8764805414551606</v>
      </c>
      <c r="DF52" s="12">
        <v>2.8523489932885906</v>
      </c>
      <c r="DG52" s="12">
        <v>2.8493894165535956</v>
      </c>
      <c r="DH52" s="12">
        <v>2.8395061728395063</v>
      </c>
      <c r="DI52" s="12">
        <v>2.8205128205128207</v>
      </c>
      <c r="DJ52" s="12">
        <v>2.8199566160520604</v>
      </c>
      <c r="DK52" s="12">
        <v>2.7829313543599259</v>
      </c>
      <c r="DL52" s="12">
        <v>2.8014616321559074</v>
      </c>
      <c r="DM52" s="12">
        <v>2.7745664739884393</v>
      </c>
      <c r="DN52" s="12">
        <v>2.6801883375588553</v>
      </c>
      <c r="DO52" s="12">
        <v>2.5261638397690365</v>
      </c>
      <c r="DP52" s="12">
        <v>2.5247355851245308</v>
      </c>
      <c r="DQ52" s="12">
        <v>2.4793388429752068</v>
      </c>
      <c r="DR52" s="12">
        <v>2.4244684819097353</v>
      </c>
      <c r="DS52" s="12">
        <v>2.3988711194731889</v>
      </c>
      <c r="DT52" s="12">
        <v>2.3731968357375526</v>
      </c>
      <c r="DU52" s="12">
        <v>2.3058663953882674</v>
      </c>
      <c r="DV52" s="12">
        <v>2.1992238033635187</v>
      </c>
      <c r="DW52" s="12">
        <v>2.0191649555099249</v>
      </c>
      <c r="DX52" s="12">
        <v>0</v>
      </c>
      <c r="DY52" s="12">
        <v>0</v>
      </c>
      <c r="DZ52" s="12">
        <v>0</v>
      </c>
      <c r="EA52" s="12">
        <v>0</v>
      </c>
      <c r="EB52" s="12">
        <v>0</v>
      </c>
      <c r="EC52" s="12">
        <v>0</v>
      </c>
      <c r="ED52" s="12">
        <v>0</v>
      </c>
      <c r="EE52" s="12">
        <v>0</v>
      </c>
      <c r="EF52" s="12">
        <v>0</v>
      </c>
      <c r="EG52" s="12">
        <v>0</v>
      </c>
      <c r="EH52" s="12">
        <v>0</v>
      </c>
      <c r="EI52" s="12">
        <v>0</v>
      </c>
      <c r="EJ52" s="12">
        <v>2.4356559949780285</v>
      </c>
      <c r="EK52" s="12">
        <v>2.4015638089919014</v>
      </c>
      <c r="EL52" s="12">
        <v>2.3947368421052633</v>
      </c>
      <c r="EM52" s="12">
        <v>2.372331127481583</v>
      </c>
      <c r="EN52" s="12">
        <v>2.360562143170839</v>
      </c>
      <c r="EO52" s="12">
        <v>2.3583245336149243</v>
      </c>
      <c r="EP52" s="12">
        <v>2.314112291350531</v>
      </c>
      <c r="EQ52" s="12">
        <v>2.2995214194000231</v>
      </c>
      <c r="ER52" s="12">
        <v>2.2803648583773404</v>
      </c>
      <c r="ES52" s="12">
        <v>2.2594468250876507</v>
      </c>
      <c r="ET52" s="11">
        <v>89.159999999999982</v>
      </c>
      <c r="EU52" s="11">
        <v>315.70999999999998</v>
      </c>
      <c r="EV52" s="11">
        <v>374.01000000000005</v>
      </c>
      <c r="EW52" s="12">
        <v>68.720052951557506</v>
      </c>
      <c r="EX52" s="12">
        <v>29.507246302954165</v>
      </c>
      <c r="EY52" s="12">
        <v>11.964849916727616</v>
      </c>
      <c r="EZ52" s="11">
        <v>778.88</v>
      </c>
      <c r="FA52" s="12">
        <v>110.19214917123929</v>
      </c>
      <c r="FB52" s="11">
        <v>202.23999999999995</v>
      </c>
      <c r="FC52" s="11">
        <v>1035.71</v>
      </c>
      <c r="FD52" s="11">
        <v>761.06000000000006</v>
      </c>
      <c r="FE52" s="12">
        <v>127.3900889006776</v>
      </c>
      <c r="FF52" s="12">
        <v>29.507246302954165</v>
      </c>
      <c r="FG52" s="12">
        <v>23.476619844558083</v>
      </c>
      <c r="FH52" s="11">
        <v>1999.0100000000002</v>
      </c>
      <c r="FI52" s="12">
        <v>180.37395504818986</v>
      </c>
      <c r="FJ52" s="13">
        <v>74.381381849126385</v>
      </c>
      <c r="FK52" s="13">
        <v>63.693526019655266</v>
      </c>
      <c r="FL52" s="13">
        <v>60.957569843809928</v>
      </c>
      <c r="FM52" s="13">
        <v>56.922757113843879</v>
      </c>
      <c r="FN52" s="13">
        <v>51.848336468749906</v>
      </c>
      <c r="FO52" s="13">
        <v>51.455856568488294</v>
      </c>
      <c r="FP52" s="13">
        <v>50.300759537910764</v>
      </c>
      <c r="FQ52" s="13">
        <v>48.472803921057881</v>
      </c>
      <c r="FR52" s="13">
        <v>48.446345851017547</v>
      </c>
      <c r="FS52" s="13">
        <v>47.345487963257952</v>
      </c>
      <c r="FT52" s="13">
        <v>47.058729136015387</v>
      </c>
      <c r="FU52" s="13">
        <v>45.761867371033254</v>
      </c>
      <c r="FV52" s="13">
        <v>44.882122599551352</v>
      </c>
      <c r="FW52" s="13">
        <v>44.807423674609581</v>
      </c>
      <c r="FX52" s="13">
        <v>44.442806747338501</v>
      </c>
      <c r="FY52" s="13">
        <v>44.226084719674574</v>
      </c>
      <c r="FZ52" s="13">
        <v>43.970068287627548</v>
      </c>
      <c r="GA52" s="13">
        <v>43.920589149997099</v>
      </c>
      <c r="GB52" s="13">
        <v>43.717836191624464</v>
      </c>
      <c r="GC52" s="13">
        <v>43.243643115571658</v>
      </c>
      <c r="GD52" s="13">
        <v>42.787889124098534</v>
      </c>
      <c r="GE52" s="13">
        <v>42.731598960284522</v>
      </c>
      <c r="GF52" s="13">
        <v>42.574414237514091</v>
      </c>
      <c r="GG52" s="13">
        <v>42.506349823833872</v>
      </c>
      <c r="GH52" s="13">
        <v>41.634370428093504</v>
      </c>
      <c r="GI52" s="13">
        <v>41.469388498561919</v>
      </c>
      <c r="GJ52" s="13">
        <v>41.366177779767263</v>
      </c>
      <c r="GK52" s="13">
        <v>41.118060899467814</v>
      </c>
      <c r="GL52" s="13">
        <v>40.958570975078651</v>
      </c>
      <c r="GM52" s="13">
        <v>40.48016901984905</v>
      </c>
      <c r="GN52" s="13">
        <v>40.473300618943973</v>
      </c>
      <c r="GO52" s="13">
        <v>40.291183476027541</v>
      </c>
      <c r="GP52" s="13">
        <v>40.089146917770798</v>
      </c>
      <c r="GQ52" s="13">
        <v>39.734086651563864</v>
      </c>
      <c r="GR52" s="13">
        <v>39.650689194943546</v>
      </c>
      <c r="GS52" s="13">
        <v>39.228541614570254</v>
      </c>
      <c r="GT52" s="13">
        <v>39.224340399216352</v>
      </c>
      <c r="GU52" s="13">
        <v>38.670718272184274</v>
      </c>
      <c r="GV52" s="13">
        <v>38.28568110135366</v>
      </c>
      <c r="GW52" s="13">
        <v>37.896828615709516</v>
      </c>
      <c r="GX52" s="13">
        <v>45.721262893910065</v>
      </c>
      <c r="GY52" s="13">
        <v>43.657373863556884</v>
      </c>
      <c r="GZ52" s="13">
        <v>43.398154436405044</v>
      </c>
      <c r="HA52" s="13">
        <v>42.611507313843703</v>
      </c>
      <c r="HB52" s="13">
        <v>40.381035887180133</v>
      </c>
      <c r="HC52" s="13">
        <v>37.964228035942504</v>
      </c>
      <c r="HD52" s="13">
        <v>37.438421595998975</v>
      </c>
      <c r="HE52" s="13">
        <v>37.287854910001847</v>
      </c>
      <c r="HF52" s="13">
        <v>36.480724569080927</v>
      </c>
      <c r="HG52" s="13">
        <v>36.05760552382803</v>
      </c>
      <c r="HH52" s="13">
        <v>33.175725315479376</v>
      </c>
      <c r="HI52" s="13">
        <v>29.238445502579676</v>
      </c>
      <c r="HJ52" s="13">
        <v>0</v>
      </c>
      <c r="HK52" s="13">
        <v>0</v>
      </c>
      <c r="HL52" s="13">
        <v>0</v>
      </c>
      <c r="HM52" s="13">
        <v>0</v>
      </c>
      <c r="HN52" s="13">
        <v>0</v>
      </c>
      <c r="HO52" s="13">
        <v>0</v>
      </c>
      <c r="HP52" s="13">
        <v>0</v>
      </c>
      <c r="HQ52" s="13">
        <v>0</v>
      </c>
      <c r="HR52" s="13">
        <v>0</v>
      </c>
      <c r="HS52" s="13">
        <v>0</v>
      </c>
      <c r="HT52" s="13">
        <v>0</v>
      </c>
      <c r="HU52" s="13">
        <v>0</v>
      </c>
      <c r="HV52" s="13">
        <v>52.536406529969511</v>
      </c>
      <c r="HW52" s="13">
        <v>50.254914267553161</v>
      </c>
      <c r="HX52" s="13">
        <v>49.462510905646738</v>
      </c>
      <c r="HY52" s="13">
        <v>47.991105810626884</v>
      </c>
      <c r="HZ52" s="13">
        <v>47.231095831643927</v>
      </c>
      <c r="IA52" s="13">
        <v>46.979608558793316</v>
      </c>
      <c r="IB52" s="13">
        <v>45.675055359205601</v>
      </c>
      <c r="IC52" s="13">
        <v>44.992399791643969</v>
      </c>
      <c r="ID52" s="13">
        <v>44.871450860872208</v>
      </c>
      <c r="IE52" s="13">
        <v>44.470036030717154</v>
      </c>
      <c r="IF52" s="13">
        <v>1811.0275027387943</v>
      </c>
      <c r="IG52" s="13">
        <v>463.41233984780717</v>
      </c>
      <c r="IH52" s="13">
        <v>474.46458394667241</v>
      </c>
      <c r="II52" s="13">
        <v>999.85599612996134</v>
      </c>
      <c r="IJ52" s="13">
        <v>463.41233984780717</v>
      </c>
      <c r="IK52" s="13">
        <v>247.47603334544021</v>
      </c>
      <c r="IL52" s="8">
        <v>0.49463338756926883</v>
      </c>
      <c r="IM52" s="8">
        <v>0.73211578785594966</v>
      </c>
      <c r="IN52" s="8">
        <v>1.5833873944361223</v>
      </c>
      <c r="IO52" s="8">
        <v>0.83077508030679414</v>
      </c>
      <c r="IP52" s="8">
        <v>0.36609700903073505</v>
      </c>
      <c r="IQ52" s="8">
        <v>0.11158349122051628</v>
      </c>
      <c r="IR52" s="8">
        <v>1.4635934968363131</v>
      </c>
      <c r="IS52" s="8">
        <v>0.3910259073536565</v>
      </c>
    </row>
    <row r="53" spans="1:253" x14ac:dyDescent="0.25">
      <c r="A53" s="10">
        <v>43815</v>
      </c>
      <c r="B53" s="11">
        <v>3.45</v>
      </c>
      <c r="C53" s="11">
        <v>3.93</v>
      </c>
      <c r="D53" s="11">
        <v>4.1900000000000004</v>
      </c>
      <c r="E53" s="11">
        <v>4.28</v>
      </c>
      <c r="F53" s="11">
        <v>4.3899999999999997</v>
      </c>
      <c r="G53" s="11">
        <v>4.41</v>
      </c>
      <c r="H53" s="11">
        <v>4.45</v>
      </c>
      <c r="I53" s="11">
        <v>4.54</v>
      </c>
      <c r="J53" s="11">
        <v>4.6399999999999997</v>
      </c>
      <c r="K53" s="11">
        <v>4.66</v>
      </c>
      <c r="L53" s="11">
        <v>4.76</v>
      </c>
      <c r="M53" s="11">
        <v>4.8499999999999996</v>
      </c>
      <c r="N53" s="11">
        <v>4.97</v>
      </c>
      <c r="O53" s="11">
        <v>4.99</v>
      </c>
      <c r="P53" s="11">
        <v>5.0199999999999996</v>
      </c>
      <c r="Q53" s="11">
        <v>5.03</v>
      </c>
      <c r="R53" s="11">
        <v>5.0999999999999996</v>
      </c>
      <c r="S53" s="11">
        <v>5.12</v>
      </c>
      <c r="T53" s="11">
        <v>5.15</v>
      </c>
      <c r="U53" s="11">
        <v>5.21</v>
      </c>
      <c r="V53" s="11">
        <v>5.22</v>
      </c>
      <c r="W53" s="11">
        <v>5.24</v>
      </c>
      <c r="X53" s="11">
        <v>5.3</v>
      </c>
      <c r="Y53" s="11">
        <v>5.3</v>
      </c>
      <c r="Z53" s="11">
        <v>5.31</v>
      </c>
      <c r="AA53" s="11">
        <v>5.41</v>
      </c>
      <c r="AB53" s="11">
        <v>5.46</v>
      </c>
      <c r="AC53" s="11">
        <v>5.46</v>
      </c>
      <c r="AD53" s="11">
        <v>5.52</v>
      </c>
      <c r="AE53" s="11">
        <v>5.53</v>
      </c>
      <c r="AF53" s="11">
        <v>5.54</v>
      </c>
      <c r="AG53" s="11">
        <v>5.63</v>
      </c>
      <c r="AH53" s="11">
        <v>5.64</v>
      </c>
      <c r="AI53" s="11">
        <v>5.65</v>
      </c>
      <c r="AJ53" s="11">
        <v>5.73</v>
      </c>
      <c r="AK53" s="11">
        <v>5.73</v>
      </c>
      <c r="AL53" s="11">
        <v>5.82</v>
      </c>
      <c r="AM53" s="11">
        <v>5.94</v>
      </c>
      <c r="AN53" s="11">
        <v>6.11</v>
      </c>
      <c r="AO53" s="11">
        <v>6.23</v>
      </c>
      <c r="AP53" s="11">
        <v>17.37</v>
      </c>
      <c r="AQ53" s="11">
        <v>18.37</v>
      </c>
      <c r="AR53" s="11">
        <v>19.989999999999998</v>
      </c>
      <c r="AS53" s="11">
        <v>21.36</v>
      </c>
      <c r="AT53" s="11">
        <v>22.85</v>
      </c>
      <c r="AU53" s="11">
        <v>23.39</v>
      </c>
      <c r="AV53" s="11">
        <v>23.69</v>
      </c>
      <c r="AW53" s="11">
        <v>24.63</v>
      </c>
      <c r="AX53" s="11">
        <v>25.05</v>
      </c>
      <c r="AY53" s="11">
        <v>25.75</v>
      </c>
      <c r="AZ53" s="11">
        <v>25.85</v>
      </c>
      <c r="BA53" s="11">
        <v>27.01</v>
      </c>
      <c r="BB53" s="11">
        <v>27.34</v>
      </c>
      <c r="BC53" s="11">
        <v>27.86</v>
      </c>
      <c r="BD53" s="11">
        <v>28.21</v>
      </c>
      <c r="BE53" s="11">
        <v>28.38</v>
      </c>
      <c r="BF53" s="11">
        <v>28.54</v>
      </c>
      <c r="BG53" s="11">
        <v>30.3</v>
      </c>
      <c r="BH53" s="11">
        <v>30.5</v>
      </c>
      <c r="BI53" s="11">
        <v>30.74</v>
      </c>
      <c r="BJ53" s="11">
        <v>31.45</v>
      </c>
      <c r="BK53" s="11">
        <v>33.020000000000003</v>
      </c>
      <c r="BL53" s="11">
        <v>60</v>
      </c>
      <c r="BM53" s="11">
        <v>60</v>
      </c>
      <c r="BN53" s="11">
        <v>65.28</v>
      </c>
      <c r="BO53" s="11">
        <v>68.42</v>
      </c>
      <c r="BP53" s="11">
        <v>69.239999999999995</v>
      </c>
      <c r="BQ53" s="11">
        <v>70.7</v>
      </c>
      <c r="BR53" s="11">
        <v>72.290000000000006</v>
      </c>
      <c r="BS53" s="11">
        <v>72.709999999999994</v>
      </c>
      <c r="BT53" s="11">
        <v>73.25</v>
      </c>
      <c r="BU53" s="11">
        <v>73.78</v>
      </c>
      <c r="BV53" s="11">
        <v>75.39</v>
      </c>
      <c r="BW53" s="11">
        <v>75.47</v>
      </c>
      <c r="BX53" s="12">
        <v>4.1782729805013927</v>
      </c>
      <c r="BY53" s="12">
        <v>3.937823834196891</v>
      </c>
      <c r="BZ53" s="12">
        <v>3.8563829787234045</v>
      </c>
      <c r="CA53" s="12">
        <v>3.5714285714285716</v>
      </c>
      <c r="CB53" s="12">
        <v>3.5523978685612789</v>
      </c>
      <c r="CC53" s="12">
        <v>3.5509736540664374</v>
      </c>
      <c r="CD53" s="12">
        <v>3.4782608695652173</v>
      </c>
      <c r="CE53" s="12">
        <v>3.4205231388329982</v>
      </c>
      <c r="CF53" s="12">
        <v>3.4013605442176869</v>
      </c>
      <c r="CG53" s="12">
        <v>3.3773861967694567</v>
      </c>
      <c r="CH53" s="12">
        <v>3.3628318584070795</v>
      </c>
      <c r="CI53" s="12">
        <v>3.3271719038817005</v>
      </c>
      <c r="CJ53" s="12">
        <v>3.271692745376956</v>
      </c>
      <c r="CK53" s="12">
        <v>3.2490974729241877</v>
      </c>
      <c r="CL53" s="12">
        <v>3.1615925058548013</v>
      </c>
      <c r="CM53" s="12">
        <v>3.1413612565445024</v>
      </c>
      <c r="CN53" s="12">
        <v>3.1372549019607847</v>
      </c>
      <c r="CO53" s="12">
        <v>3.1067961165048543</v>
      </c>
      <c r="CP53" s="12">
        <v>3.099885189437428</v>
      </c>
      <c r="CQ53" s="12">
        <v>3.0651340996168583</v>
      </c>
      <c r="CR53" s="12">
        <v>3.0534351145038165</v>
      </c>
      <c r="CS53" s="12">
        <v>3.0497592295345104</v>
      </c>
      <c r="CT53" s="12">
        <v>3.0303030303030303</v>
      </c>
      <c r="CU53" s="12">
        <v>2.9925187032418954</v>
      </c>
      <c r="CV53" s="12">
        <v>2.9296875</v>
      </c>
      <c r="CW53" s="12">
        <v>2.8865979381443303</v>
      </c>
      <c r="CX53" s="12">
        <v>2.874251497005988</v>
      </c>
      <c r="CY53" s="12">
        <v>2.8639618138424821</v>
      </c>
      <c r="CZ53" s="12">
        <v>2.8368794326241136</v>
      </c>
      <c r="DA53" s="12">
        <v>2.7923211169284468</v>
      </c>
      <c r="DB53" s="12">
        <v>2.7906976744186047</v>
      </c>
      <c r="DC53" s="12">
        <v>2.770083102493075</v>
      </c>
      <c r="DD53" s="12">
        <v>2.7662517289073305</v>
      </c>
      <c r="DE53" s="12">
        <v>2.7511961722488039</v>
      </c>
      <c r="DF53" s="12">
        <v>2.7472527472527473</v>
      </c>
      <c r="DG53" s="12">
        <v>2.7334851936218683</v>
      </c>
      <c r="DH53" s="12">
        <v>2.7108433734939759</v>
      </c>
      <c r="DI53" s="12">
        <v>2.6365348399246704</v>
      </c>
      <c r="DJ53" s="12">
        <v>2.5912838633686688</v>
      </c>
      <c r="DK53" s="12">
        <v>2.5773195876288657</v>
      </c>
      <c r="DL53" s="12">
        <v>3.1072210065645511</v>
      </c>
      <c r="DM53" s="12">
        <v>3.0693069306930694</v>
      </c>
      <c r="DN53" s="12">
        <v>3.0358449158741769</v>
      </c>
      <c r="DO53" s="12">
        <v>2.9232643118148602</v>
      </c>
      <c r="DP53" s="12">
        <v>2.762172284644195</v>
      </c>
      <c r="DQ53" s="12">
        <v>2.7131782945736433</v>
      </c>
      <c r="DR53" s="12">
        <v>2.701350675337669</v>
      </c>
      <c r="DS53" s="12">
        <v>2.6920315865039486</v>
      </c>
      <c r="DT53" s="12">
        <v>2.6885245901639343</v>
      </c>
      <c r="DU53" s="12">
        <v>2.6709062003179649</v>
      </c>
      <c r="DV53" s="12">
        <v>2.6586316908897554</v>
      </c>
      <c r="DW53" s="12">
        <v>2.5906735751295336</v>
      </c>
      <c r="DX53" s="12">
        <v>2.5651988029072252</v>
      </c>
      <c r="DY53" s="12">
        <v>2.5548902195608783</v>
      </c>
      <c r="DZ53" s="12">
        <v>2.5531914893617018</v>
      </c>
      <c r="EA53" s="12">
        <v>2.4877365101611773</v>
      </c>
      <c r="EB53" s="12">
        <v>2.4496461622210122</v>
      </c>
      <c r="EC53" s="12">
        <v>2.2584228063680118</v>
      </c>
      <c r="ED53" s="12">
        <v>2.2107813446396123</v>
      </c>
      <c r="EE53" s="12">
        <v>2.1950189953566905</v>
      </c>
      <c r="EF53" s="12">
        <v>2.0819778789850361</v>
      </c>
      <c r="EG53" s="12">
        <v>1.941747572815534</v>
      </c>
      <c r="EH53" s="12">
        <v>0</v>
      </c>
      <c r="EI53" s="12">
        <v>0</v>
      </c>
      <c r="EJ53" s="12">
        <v>2.4599059447726996</v>
      </c>
      <c r="EK53" s="12">
        <v>2.4196504949285105</v>
      </c>
      <c r="EL53" s="12">
        <v>2.3931387467146212</v>
      </c>
      <c r="EM53" s="12">
        <v>2.3786524993962814</v>
      </c>
      <c r="EN53" s="12">
        <v>2.3754266211604094</v>
      </c>
      <c r="EO53" s="12">
        <v>2.3531131248173049</v>
      </c>
      <c r="EP53" s="12">
        <v>2.3468729851708576</v>
      </c>
      <c r="EQ53" s="12">
        <v>2.3177012740580101</v>
      </c>
      <c r="ER53" s="12">
        <v>2.3023255813953489</v>
      </c>
      <c r="ES53" s="12">
        <v>2.2790512786537698</v>
      </c>
      <c r="ET53" s="11">
        <v>93.14</v>
      </c>
      <c r="EU53" s="11">
        <v>275.31</v>
      </c>
      <c r="EV53" s="11">
        <v>345.93</v>
      </c>
      <c r="EW53" s="12">
        <v>68.247628687372483</v>
      </c>
      <c r="EX53" s="12">
        <v>33.613106062507299</v>
      </c>
      <c r="EY53" s="12">
        <v>12.026774306972522</v>
      </c>
      <c r="EZ53" s="11">
        <v>714.38</v>
      </c>
      <c r="FA53" s="12">
        <v>113.88750905685231</v>
      </c>
      <c r="FB53" s="11">
        <v>204.90999999999997</v>
      </c>
      <c r="FC53" s="11">
        <v>691.65</v>
      </c>
      <c r="FD53" s="11">
        <v>716.53</v>
      </c>
      <c r="FE53" s="12">
        <v>124.63229234685971</v>
      </c>
      <c r="FF53" s="12">
        <v>56.911717844884187</v>
      </c>
      <c r="FG53" s="12">
        <v>23.625838551067812</v>
      </c>
      <c r="FH53" s="11">
        <v>1613.09</v>
      </c>
      <c r="FI53" s="12">
        <v>205.16984874281169</v>
      </c>
      <c r="FJ53" s="13">
        <v>69.141809842443564</v>
      </c>
      <c r="FK53" s="13">
        <v>56.937397946882299</v>
      </c>
      <c r="FL53" s="13">
        <v>56.672068010265335</v>
      </c>
      <c r="FM53" s="13">
        <v>55.407157347985098</v>
      </c>
      <c r="FN53" s="13">
        <v>52.661717556494629</v>
      </c>
      <c r="FO53" s="13">
        <v>50.120764109971653</v>
      </c>
      <c r="FP53" s="13">
        <v>49.723496306178752</v>
      </c>
      <c r="FQ53" s="13">
        <v>49.690042242045614</v>
      </c>
      <c r="FR53" s="13">
        <v>48.271313154451533</v>
      </c>
      <c r="FS53" s="13">
        <v>47.43540820264402</v>
      </c>
      <c r="FT53" s="13">
        <v>47.328549930616816</v>
      </c>
      <c r="FU53" s="13">
        <v>46.655156678509421</v>
      </c>
      <c r="FV53" s="13">
        <v>46.361541113577402</v>
      </c>
      <c r="FW53" s="13">
        <v>45.903259029410314</v>
      </c>
      <c r="FX53" s="13">
        <v>45.59656080095769</v>
      </c>
      <c r="FY53" s="13">
        <v>45.20838980761993</v>
      </c>
      <c r="FZ53" s="13">
        <v>44.430339096787058</v>
      </c>
      <c r="GA53" s="13">
        <v>44.175785886177302</v>
      </c>
      <c r="GB53" s="13">
        <v>43.932936912095741</v>
      </c>
      <c r="GC53" s="13">
        <v>43.778573547882758</v>
      </c>
      <c r="GD53" s="13">
        <v>41.708993010596934</v>
      </c>
      <c r="GE53" s="13">
        <v>41.180110493711936</v>
      </c>
      <c r="GF53" s="13">
        <v>41.118060899467814</v>
      </c>
      <c r="GG53" s="13">
        <v>40.084445529594035</v>
      </c>
      <c r="GH53" s="13">
        <v>39.975827722051612</v>
      </c>
      <c r="GI53" s="13">
        <v>39.601872881957078</v>
      </c>
      <c r="GJ53" s="13">
        <v>39.514431896896689</v>
      </c>
      <c r="GK53" s="13">
        <v>38.914287598118008</v>
      </c>
      <c r="GL53" s="13">
        <v>38.75424752377738</v>
      </c>
      <c r="GM53" s="13">
        <v>38.296940244542071</v>
      </c>
      <c r="GN53" s="13">
        <v>38.101241132384473</v>
      </c>
      <c r="GO53" s="13">
        <v>36.854407918923371</v>
      </c>
      <c r="GP53" s="13">
        <v>36.422322072061654</v>
      </c>
      <c r="GQ53" s="13">
        <v>36.129088847910452</v>
      </c>
      <c r="GR53" s="13">
        <v>35.79916929719451</v>
      </c>
      <c r="GS53" s="13">
        <v>35.528276827227671</v>
      </c>
      <c r="GT53" s="13">
        <v>34.56176401678367</v>
      </c>
      <c r="GU53" s="13">
        <v>34.321623164362798</v>
      </c>
      <c r="GV53" s="13">
        <v>34.30908022099775</v>
      </c>
      <c r="GW53" s="13">
        <v>34.075224759738973</v>
      </c>
      <c r="GX53" s="13">
        <v>53.989766549607864</v>
      </c>
      <c r="GY53" s="13">
        <v>53.445411889458263</v>
      </c>
      <c r="GZ53" s="13">
        <v>51.023545926696421</v>
      </c>
      <c r="HA53" s="13">
        <v>49.806785853878317</v>
      </c>
      <c r="HB53" s="13">
        <v>49.089157128937103</v>
      </c>
      <c r="HC53" s="13">
        <v>47.709143889297458</v>
      </c>
      <c r="HD53" s="13">
        <v>46.055261458571344</v>
      </c>
      <c r="HE53" s="13">
        <v>43.406872978724742</v>
      </c>
      <c r="HF53" s="13">
        <v>43.330041728972091</v>
      </c>
      <c r="HG53" s="13">
        <v>41.206474558283425</v>
      </c>
      <c r="HH53" s="13">
        <v>40.304357282547734</v>
      </c>
      <c r="HI53" s="13">
        <v>40.282798327772994</v>
      </c>
      <c r="HJ53" s="13">
        <v>40.098514824613659</v>
      </c>
      <c r="HK53" s="13">
        <v>39.457961444202432</v>
      </c>
      <c r="HL53" s="13">
        <v>37.780069514231641</v>
      </c>
      <c r="HM53" s="13">
        <v>36.813013287773835</v>
      </c>
      <c r="HN53" s="13">
        <v>36.735233831752176</v>
      </c>
      <c r="HO53" s="13">
        <v>36.622267369537916</v>
      </c>
      <c r="HP53" s="13">
        <v>34.553867937543608</v>
      </c>
      <c r="HQ53" s="13">
        <v>30.719018449830177</v>
      </c>
      <c r="HR53" s="13">
        <v>29.387353026730946</v>
      </c>
      <c r="HS53" s="13">
        <v>29.096585935669733</v>
      </c>
      <c r="HT53" s="13">
        <v>0</v>
      </c>
      <c r="HU53" s="13">
        <v>0</v>
      </c>
      <c r="HV53" s="13">
        <v>53.150201167764834</v>
      </c>
      <c r="HW53" s="13">
        <v>52.205572576508914</v>
      </c>
      <c r="HX53" s="13">
        <v>52.011978743977991</v>
      </c>
      <c r="HY53" s="13">
        <v>51.152461158252294</v>
      </c>
      <c r="HZ53" s="13">
        <v>49.658164087486405</v>
      </c>
      <c r="IA53" s="13">
        <v>49.644869817923777</v>
      </c>
      <c r="IB53" s="13">
        <v>48.849508900675318</v>
      </c>
      <c r="IC53" s="13">
        <v>48.563568496781507</v>
      </c>
      <c r="ID53" s="13">
        <v>48.559318120597879</v>
      </c>
      <c r="IE53" s="13">
        <v>48.21743554349392</v>
      </c>
      <c r="IF53" s="13">
        <v>1744.6836835812962</v>
      </c>
      <c r="IG53" s="13">
        <v>910.9135031946339</v>
      </c>
      <c r="IH53" s="13">
        <v>502.01307861346282</v>
      </c>
      <c r="II53" s="13">
        <v>989.43226752299711</v>
      </c>
      <c r="IJ53" s="13">
        <v>559.64961757274784</v>
      </c>
      <c r="IK53" s="13">
        <v>258.17837773399043</v>
      </c>
      <c r="IL53" s="8">
        <v>0.46533953197854527</v>
      </c>
      <c r="IM53" s="8">
        <v>1.1549806423459372</v>
      </c>
      <c r="IN53" s="8">
        <v>1.7951915589552816</v>
      </c>
      <c r="IO53" s="8">
        <v>0.98814000900686805</v>
      </c>
      <c r="IP53" s="8">
        <v>0.34055454463414225</v>
      </c>
      <c r="IQ53" s="8">
        <v>0.63348201937303239</v>
      </c>
      <c r="IR53" s="8">
        <v>1.6552663455607142</v>
      </c>
      <c r="IS53" s="8">
        <v>0.70946278483508063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rgb="FF7030A0"/>
  </sheetPr>
  <dimension ref="A1:BF61"/>
  <sheetViews>
    <sheetView workbookViewId="0">
      <pane xSplit="27" ySplit="1" topLeftCell="AB2" activePane="bottomRight" state="frozen"/>
      <selection pane="topRight" activeCell="AB1" sqref="AB1"/>
      <selection pane="bottomLeft" activeCell="A2" sqref="A2"/>
      <selection pane="bottomRight"/>
    </sheetView>
  </sheetViews>
  <sheetFormatPr defaultColWidth="4.109375" defaultRowHeight="13.2" x14ac:dyDescent="0.25"/>
  <cols>
    <col min="1" max="1" width="5.77734375" style="12" bestFit="1" customWidth="1"/>
    <col min="2" max="2" width="6.77734375" style="12" bestFit="1" customWidth="1"/>
    <col min="3" max="3" width="7.77734375" style="12" bestFit="1" customWidth="1"/>
    <col min="4" max="6" width="6.77734375" style="20" bestFit="1" customWidth="1"/>
    <col min="7" max="9" width="5.6640625" style="21" bestFit="1" customWidth="1"/>
    <col min="10" max="10" width="7.6640625" style="8" hidden="1" customWidth="1"/>
    <col min="11" max="11" width="7" style="8" hidden="1" customWidth="1"/>
    <col min="12" max="12" width="7.77734375" style="8" hidden="1" customWidth="1"/>
    <col min="13" max="13" width="7.88671875" style="8" hidden="1" customWidth="1"/>
    <col min="14" max="14" width="7.21875" style="8" hidden="1" customWidth="1"/>
    <col min="15" max="15" width="7.88671875" style="8" hidden="1" customWidth="1"/>
    <col min="16" max="16" width="7.88671875" style="44" hidden="1" customWidth="1"/>
    <col min="17" max="17" width="7.21875" style="44" hidden="1" customWidth="1"/>
    <col min="18" max="18" width="7.88671875" style="44" hidden="1" customWidth="1"/>
    <col min="19" max="19" width="6.6640625" style="17" hidden="1" customWidth="1"/>
    <col min="20" max="20" width="4.77734375" style="17" hidden="1" customWidth="1"/>
    <col min="21" max="21" width="6" style="17" hidden="1" customWidth="1"/>
    <col min="22" max="22" width="4.77734375" style="17" hidden="1" customWidth="1"/>
    <col min="23" max="23" width="6.6640625" style="17" hidden="1" customWidth="1"/>
    <col min="24" max="24" width="4.77734375" style="17" hidden="1" customWidth="1"/>
    <col min="25" max="26" width="6.109375" style="17" hidden="1" customWidth="1"/>
    <col min="27" max="27" width="8.6640625" style="7" bestFit="1" customWidth="1"/>
    <col min="28" max="30" width="6.6640625" style="352" bestFit="1" customWidth="1"/>
    <col min="31" max="31" width="7.6640625" style="354" bestFit="1" customWidth="1"/>
    <col min="32" max="32" width="5.77734375" style="12" bestFit="1" customWidth="1"/>
    <col min="33" max="34" width="6.77734375" style="12" bestFit="1" customWidth="1"/>
    <col min="35" max="37" width="6.77734375" style="20" bestFit="1" customWidth="1"/>
    <col min="38" max="40" width="5.77734375" style="68" bestFit="1" customWidth="1"/>
    <col min="41" max="46" width="7.6640625" style="395" bestFit="1" customWidth="1"/>
    <col min="47" max="47" width="7.88671875" style="395" bestFit="1" customWidth="1"/>
    <col min="48" max="48" width="7.6640625" style="395" bestFit="1" customWidth="1"/>
    <col min="49" max="49" width="7.88671875" style="395" bestFit="1" customWidth="1"/>
    <col min="50" max="50" width="15.33203125" style="431" bestFit="1" customWidth="1"/>
    <col min="51" max="51" width="16.44140625" style="431" bestFit="1" customWidth="1"/>
    <col min="52" max="52" width="17.5546875" style="431" bestFit="1" customWidth="1"/>
    <col min="53" max="53" width="15.33203125" style="432" bestFit="1" customWidth="1"/>
    <col min="54" max="54" width="16.44140625" style="432" bestFit="1" customWidth="1"/>
    <col min="55" max="55" width="17.5546875" style="432" bestFit="1" customWidth="1"/>
    <col min="56" max="56" width="15.88671875" style="431" bestFit="1" customWidth="1"/>
    <col min="57" max="57" width="16.44140625" style="431" bestFit="1" customWidth="1"/>
    <col min="58" max="58" width="17.5546875" style="431" bestFit="1" customWidth="1"/>
    <col min="59" max="16384" width="4.109375" style="19"/>
  </cols>
  <sheetData>
    <row r="1" spans="1:58" x14ac:dyDescent="0.25">
      <c r="A1" s="14" t="s">
        <v>454</v>
      </c>
      <c r="B1" s="14" t="s">
        <v>455</v>
      </c>
      <c r="C1" s="14" t="s">
        <v>456</v>
      </c>
      <c r="D1" s="28" t="s">
        <v>458</v>
      </c>
      <c r="E1" s="28" t="s">
        <v>459</v>
      </c>
      <c r="F1" s="28" t="s">
        <v>460</v>
      </c>
      <c r="G1" s="18" t="s">
        <v>465</v>
      </c>
      <c r="H1" s="18" t="s">
        <v>466</v>
      </c>
      <c r="I1" s="18" t="s">
        <v>467</v>
      </c>
      <c r="J1" s="483" t="s">
        <v>471</v>
      </c>
      <c r="K1" s="483" t="s">
        <v>472</v>
      </c>
      <c r="L1" s="483" t="s">
        <v>473</v>
      </c>
      <c r="M1" s="165" t="s">
        <v>474</v>
      </c>
      <c r="N1" s="165" t="s">
        <v>475</v>
      </c>
      <c r="O1" s="165" t="s">
        <v>476</v>
      </c>
      <c r="P1" s="484" t="s">
        <v>477</v>
      </c>
      <c r="Q1" s="484" t="s">
        <v>478</v>
      </c>
      <c r="R1" s="484" t="s">
        <v>479</v>
      </c>
      <c r="S1" s="30" t="s">
        <v>468</v>
      </c>
      <c r="T1" s="17" t="s">
        <v>546</v>
      </c>
      <c r="U1" s="30" t="s">
        <v>469</v>
      </c>
      <c r="V1" s="473" t="s">
        <v>546</v>
      </c>
      <c r="W1" s="30" t="s">
        <v>470</v>
      </c>
      <c r="X1" s="473" t="s">
        <v>546</v>
      </c>
      <c r="Y1" s="30" t="s">
        <v>480</v>
      </c>
      <c r="Z1" s="17" t="s">
        <v>547</v>
      </c>
      <c r="AA1" s="7" t="str">
        <f>IF(Arb!$AJ$28=1,"Week","周期")</f>
        <v>周期</v>
      </c>
      <c r="AB1" s="352" t="s">
        <v>462</v>
      </c>
      <c r="AC1" s="352" t="s">
        <v>463</v>
      </c>
      <c r="AD1" s="352" t="s">
        <v>464</v>
      </c>
      <c r="AE1" s="354" t="s">
        <v>457</v>
      </c>
      <c r="AF1" s="14" t="s">
        <v>481</v>
      </c>
      <c r="AG1" s="14" t="s">
        <v>482</v>
      </c>
      <c r="AH1" s="14" t="s">
        <v>483</v>
      </c>
      <c r="AI1" s="28" t="s">
        <v>484</v>
      </c>
      <c r="AJ1" s="28" t="s">
        <v>485</v>
      </c>
      <c r="AK1" s="28" t="s">
        <v>486</v>
      </c>
      <c r="AL1" s="65" t="s">
        <v>487</v>
      </c>
      <c r="AM1" s="65" t="s">
        <v>488</v>
      </c>
      <c r="AN1" s="65" t="s">
        <v>489</v>
      </c>
      <c r="AO1" s="395" t="s">
        <v>490</v>
      </c>
      <c r="AP1" s="395" t="s">
        <v>491</v>
      </c>
      <c r="AQ1" s="395" t="s">
        <v>492</v>
      </c>
      <c r="AR1" s="395" t="s">
        <v>493</v>
      </c>
      <c r="AS1" s="395" t="s">
        <v>494</v>
      </c>
      <c r="AT1" s="395" t="s">
        <v>495</v>
      </c>
      <c r="AU1" s="395" t="s">
        <v>548</v>
      </c>
      <c r="AV1" s="395" t="s">
        <v>549</v>
      </c>
      <c r="AW1" s="395" t="s">
        <v>550</v>
      </c>
      <c r="AX1" s="431" t="s">
        <v>496</v>
      </c>
      <c r="AY1" s="431" t="s">
        <v>497</v>
      </c>
      <c r="AZ1" s="431" t="s">
        <v>498</v>
      </c>
      <c r="BA1" s="432" t="s">
        <v>499</v>
      </c>
      <c r="BB1" s="432" t="s">
        <v>500</v>
      </c>
      <c r="BC1" s="432" t="s">
        <v>501</v>
      </c>
      <c r="BD1" s="431" t="s">
        <v>502</v>
      </c>
      <c r="BE1" s="431" t="s">
        <v>503</v>
      </c>
      <c r="BF1" s="431" t="s">
        <v>504</v>
      </c>
    </row>
    <row r="2" spans="1:58" x14ac:dyDescent="0.25">
      <c r="A2" s="12">
        <v>4.12</v>
      </c>
      <c r="B2" s="12">
        <v>19.731999999999999</v>
      </c>
      <c r="C2" s="12">
        <v>205.51400000000001</v>
      </c>
      <c r="D2" s="20">
        <v>3.6471627071045818</v>
      </c>
      <c r="E2" s="20">
        <v>2.7759276345467123</v>
      </c>
      <c r="F2" s="20">
        <v>0.40846529524937109</v>
      </c>
      <c r="G2" s="21">
        <v>58.873449769969803</v>
      </c>
      <c r="H2" s="21">
        <v>46.248715136262085</v>
      </c>
      <c r="I2" s="21">
        <v>1.7984944154457738</v>
      </c>
      <c r="J2" s="8">
        <v>4.12</v>
      </c>
      <c r="K2" s="8">
        <v>19.731999999999999</v>
      </c>
      <c r="L2" s="8">
        <v>205.51400000000001</v>
      </c>
      <c r="M2" s="8">
        <v>3.6471627071045818</v>
      </c>
      <c r="N2" s="8">
        <v>2.7759276345467123</v>
      </c>
      <c r="O2" s="8">
        <v>0.40846529524937109</v>
      </c>
      <c r="P2" s="44">
        <v>58.873449769969803</v>
      </c>
      <c r="Q2" s="44">
        <v>46.248715136262085</v>
      </c>
      <c r="R2" s="44">
        <v>1.7984944154457738</v>
      </c>
      <c r="S2" s="17">
        <v>37.722331566879006</v>
      </c>
      <c r="T2" s="17">
        <v>37.722331566879006</v>
      </c>
      <c r="U2" s="17">
        <v>43.926423724071284</v>
      </c>
      <c r="V2" s="17">
        <v>43.926423724071284</v>
      </c>
      <c r="W2" s="17">
        <v>9.4905887223194885</v>
      </c>
      <c r="X2" s="17">
        <v>9.4905887223194885</v>
      </c>
      <c r="Y2" s="17">
        <v>867.57816208036218</v>
      </c>
      <c r="Z2" s="17">
        <v>867.57816208036218</v>
      </c>
      <c r="AA2" s="7">
        <v>43759</v>
      </c>
      <c r="AB2" s="352">
        <v>188.611657834395</v>
      </c>
      <c r="AC2" s="352">
        <v>527.11708468885547</v>
      </c>
      <c r="AD2" s="352">
        <v>151.84941955711182</v>
      </c>
      <c r="AE2" s="354">
        <v>867.57816208036218</v>
      </c>
      <c r="AF2" s="12">
        <v>3.57</v>
      </c>
      <c r="AG2" s="12">
        <v>18.57</v>
      </c>
      <c r="AH2" s="12">
        <v>67.569999999999993</v>
      </c>
      <c r="AI2" s="20">
        <v>4.2483660130718954</v>
      </c>
      <c r="AJ2" s="20">
        <v>2.83203125</v>
      </c>
      <c r="AK2" s="20">
        <v>2.0423264762468554</v>
      </c>
      <c r="AL2" s="68">
        <v>67.067679383881014</v>
      </c>
      <c r="AM2" s="68">
        <v>52.5927284178048</v>
      </c>
      <c r="AN2" s="68">
        <v>46.535853068695019</v>
      </c>
      <c r="AO2" s="395">
        <v>0.86650485436893199</v>
      </c>
      <c r="AP2" s="395">
        <v>0.94111088587066694</v>
      </c>
      <c r="AQ2" s="395">
        <v>0.32878538688361858</v>
      </c>
      <c r="AR2" s="395">
        <v>0.85848599105692469</v>
      </c>
      <c r="AS2" s="395">
        <v>0.98018961992270115</v>
      </c>
      <c r="AT2" s="395">
        <v>0.2</v>
      </c>
      <c r="AU2" s="395">
        <v>0.92621014244050603</v>
      </c>
      <c r="AV2" s="395">
        <v>0.92717381699516466</v>
      </c>
      <c r="AW2" s="395">
        <v>0.14753496209754266</v>
      </c>
      <c r="AX2" s="431" t="s">
        <v>704</v>
      </c>
      <c r="AY2" s="431" t="s">
        <v>705</v>
      </c>
      <c r="AZ2" s="431" t="s">
        <v>706</v>
      </c>
      <c r="BA2" s="432" t="s">
        <v>707</v>
      </c>
      <c r="BB2" s="432" t="s">
        <v>708</v>
      </c>
      <c r="BC2" s="432" t="s">
        <v>706</v>
      </c>
      <c r="BD2" s="431" t="s">
        <v>709</v>
      </c>
      <c r="BE2" s="431" t="s">
        <v>708</v>
      </c>
      <c r="BF2" s="431" t="s">
        <v>706</v>
      </c>
    </row>
    <row r="3" spans="1:58" x14ac:dyDescent="0.25">
      <c r="A3" s="12">
        <v>3.7340000000000004</v>
      </c>
      <c r="B3" s="12">
        <v>19.564</v>
      </c>
      <c r="C3" s="12">
        <v>71.902000000000001</v>
      </c>
      <c r="D3" s="20">
        <v>3.8778344074213766</v>
      </c>
      <c r="E3" s="20">
        <v>2.8933081289189726</v>
      </c>
      <c r="F3" s="20">
        <v>2.3260547057596095</v>
      </c>
      <c r="G3" s="21">
        <v>63.687697343387278</v>
      </c>
      <c r="H3" s="21">
        <v>47.24309128075069</v>
      </c>
      <c r="I3" s="21">
        <v>47.041410104634259</v>
      </c>
      <c r="J3" s="8">
        <v>3.7340000000000004</v>
      </c>
      <c r="K3" s="8">
        <v>19.564</v>
      </c>
      <c r="L3" s="8">
        <v>71.902000000000001</v>
      </c>
      <c r="M3" s="8">
        <v>3.8778344074213766</v>
      </c>
      <c r="N3" s="8">
        <v>2.8933081289189726</v>
      </c>
      <c r="O3" s="8">
        <v>2.3260547057596095</v>
      </c>
      <c r="P3" s="44">
        <v>63.687697343387278</v>
      </c>
      <c r="Q3" s="44">
        <v>47.24309128075069</v>
      </c>
      <c r="R3" s="44">
        <v>47.041410104634259</v>
      </c>
      <c r="S3" s="17">
        <v>40.692153855068838</v>
      </c>
      <c r="T3" s="17">
        <v>40.692153855068838</v>
      </c>
      <c r="U3" s="17">
        <v>45.015305783675913</v>
      </c>
      <c r="V3" s="17">
        <v>45.015305783675913</v>
      </c>
      <c r="W3" s="17">
        <v>46.119451651847214</v>
      </c>
      <c r="X3" s="17">
        <v>46.119451651847214</v>
      </c>
      <c r="Y3" s="17">
        <v>1481.5556651090105</v>
      </c>
      <c r="Z3" s="17">
        <v>1481.5556651090105</v>
      </c>
      <c r="AA3" s="7">
        <v>43766</v>
      </c>
      <c r="AB3" s="352">
        <v>203.46076927534418</v>
      </c>
      <c r="AC3" s="352">
        <v>540.18366940411101</v>
      </c>
      <c r="AD3" s="352">
        <v>737.91122642955543</v>
      </c>
      <c r="AE3" s="354">
        <v>1481.5556651090105</v>
      </c>
      <c r="AF3" s="12">
        <v>3.5</v>
      </c>
      <c r="AG3" s="12">
        <v>18.57</v>
      </c>
      <c r="AH3" s="12">
        <v>67.569999999999993</v>
      </c>
      <c r="AI3" s="20">
        <v>4.2483660130718954</v>
      </c>
      <c r="AJ3" s="20">
        <v>3.0272108843537415</v>
      </c>
      <c r="AK3" s="20">
        <v>2.4555364314400459</v>
      </c>
      <c r="AL3" s="68">
        <v>67.067679383881014</v>
      </c>
      <c r="AM3" s="68">
        <v>52.5927284178048</v>
      </c>
      <c r="AN3" s="68">
        <v>50.177324570135667</v>
      </c>
      <c r="AO3" s="395">
        <v>0.93733261917514721</v>
      </c>
      <c r="AP3" s="395">
        <v>0.9491923941934165</v>
      </c>
      <c r="AQ3" s="395">
        <v>0.93975132819671203</v>
      </c>
      <c r="AR3" s="395">
        <v>0.91278256051610862</v>
      </c>
      <c r="AS3" s="395">
        <v>0.95576695494626729</v>
      </c>
      <c r="AT3" s="395">
        <v>0.94726947479883161</v>
      </c>
      <c r="AU3" s="395">
        <v>0.97003983513567749</v>
      </c>
      <c r="AV3" s="395">
        <v>0.93884878865930754</v>
      </c>
      <c r="AW3" s="395">
        <v>0.96274978348534868</v>
      </c>
      <c r="AX3" s="431" t="s">
        <v>710</v>
      </c>
      <c r="BB3" s="432" t="s">
        <v>711</v>
      </c>
      <c r="BC3" s="432" t="s">
        <v>712</v>
      </c>
      <c r="BF3" s="431" t="s">
        <v>713</v>
      </c>
    </row>
    <row r="4" spans="1:58" x14ac:dyDescent="0.25">
      <c r="A4" s="12">
        <v>3.44</v>
      </c>
      <c r="B4" s="12">
        <v>19.564</v>
      </c>
      <c r="C4" s="12">
        <v>71.175999999999988</v>
      </c>
      <c r="D4" s="20">
        <v>4.0228778422593958</v>
      </c>
      <c r="E4" s="20">
        <v>2.9613653334372576</v>
      </c>
      <c r="F4" s="20">
        <v>2.3692724578307529</v>
      </c>
      <c r="G4" s="21">
        <v>66.405177510169963</v>
      </c>
      <c r="H4" s="21">
        <v>48.278432123399625</v>
      </c>
      <c r="I4" s="21">
        <v>48.979648137768208</v>
      </c>
      <c r="J4" s="8">
        <v>3.46</v>
      </c>
      <c r="K4" s="8">
        <v>19.564</v>
      </c>
      <c r="L4" s="8">
        <v>71.175999999999988</v>
      </c>
      <c r="M4" s="8">
        <v>4.0228778422593958</v>
      </c>
      <c r="N4" s="8">
        <v>2.9613653334372576</v>
      </c>
      <c r="O4" s="8">
        <v>2.3692724578307529</v>
      </c>
      <c r="P4" s="44">
        <v>66.405177510169963</v>
      </c>
      <c r="Q4" s="44">
        <v>48.278432123399625</v>
      </c>
      <c r="R4" s="44">
        <v>48.979648137768208</v>
      </c>
      <c r="S4" s="17">
        <v>42.871374720083494</v>
      </c>
      <c r="T4" s="17">
        <v>42.790113797916533</v>
      </c>
      <c r="U4" s="17">
        <v>45.669408542825764</v>
      </c>
      <c r="V4" s="17">
        <v>45.669408542825764</v>
      </c>
      <c r="W4" s="17">
        <v>47.09645351754569</v>
      </c>
      <c r="X4" s="17">
        <v>47.09645351754569</v>
      </c>
      <c r="Y4" s="17">
        <v>1515.9330323950576</v>
      </c>
      <c r="Z4" s="17">
        <v>1515.5267277842231</v>
      </c>
      <c r="AA4" s="7">
        <v>43773</v>
      </c>
      <c r="AB4" s="352">
        <v>214.33249532376738</v>
      </c>
      <c r="AC4" s="352">
        <v>548.03290251390922</v>
      </c>
      <c r="AD4" s="352">
        <v>753.54325628073104</v>
      </c>
      <c r="AE4" s="354">
        <v>1515.9086541184074</v>
      </c>
      <c r="AF4" s="12">
        <v>3.31</v>
      </c>
      <c r="AG4" s="12">
        <v>18.57</v>
      </c>
      <c r="AH4" s="12">
        <v>67.569999999999993</v>
      </c>
      <c r="AI4" s="20">
        <v>4.2483660130718954</v>
      </c>
      <c r="AJ4" s="20">
        <v>3.0832803560076285</v>
      </c>
      <c r="AK4" s="20">
        <v>2.4555364314400459</v>
      </c>
      <c r="AL4" s="68">
        <v>70.786976549297876</v>
      </c>
      <c r="AM4" s="68">
        <v>52.5927284178048</v>
      </c>
      <c r="AN4" s="68">
        <v>50.177324570135667</v>
      </c>
      <c r="AO4" s="395">
        <v>0.96220930232558144</v>
      </c>
      <c r="AP4" s="395">
        <v>0.9491923941934165</v>
      </c>
      <c r="AQ4" s="395">
        <v>0.94933685511970334</v>
      </c>
      <c r="AR4" s="395">
        <v>0.9469235536395193</v>
      </c>
      <c r="AS4" s="395">
        <v>0.96045931329831058</v>
      </c>
      <c r="AT4" s="395">
        <v>0.96486960140163602</v>
      </c>
      <c r="AU4" s="395">
        <v>0.96310942877464434</v>
      </c>
      <c r="AV4" s="395">
        <v>0.95089770128841766</v>
      </c>
      <c r="AW4" s="395">
        <v>0.98588969961798301</v>
      </c>
      <c r="AX4" s="431" t="s">
        <v>714</v>
      </c>
      <c r="BB4" s="432" t="s">
        <v>715</v>
      </c>
      <c r="BD4" s="431" t="s">
        <v>716</v>
      </c>
    </row>
    <row r="5" spans="1:58" x14ac:dyDescent="0.25">
      <c r="A5" s="12">
        <v>3.3639999999999999</v>
      </c>
      <c r="B5" s="12">
        <v>19.03</v>
      </c>
      <c r="C5" s="12">
        <v>70.91</v>
      </c>
      <c r="D5" s="20">
        <v>4.1283512556263124</v>
      </c>
      <c r="E5" s="20">
        <v>2.9842868885658924</v>
      </c>
      <c r="F5" s="20">
        <v>2.4080562683756672</v>
      </c>
      <c r="G5" s="21">
        <v>67.391824943344645</v>
      </c>
      <c r="H5" s="21">
        <v>48.795017370967749</v>
      </c>
      <c r="I5" s="21">
        <v>50.165639958260442</v>
      </c>
      <c r="J5" s="8">
        <v>3.37</v>
      </c>
      <c r="K5" s="8">
        <v>19.03</v>
      </c>
      <c r="L5" s="8">
        <v>70.91</v>
      </c>
      <c r="M5" s="8">
        <v>4.1091811811215662</v>
      </c>
      <c r="N5" s="8">
        <v>2.9842868885658924</v>
      </c>
      <c r="O5" s="8">
        <v>2.4080562683756672</v>
      </c>
      <c r="P5" s="44">
        <v>67.391824943344645</v>
      </c>
      <c r="Q5" s="44">
        <v>48.795017370967749</v>
      </c>
      <c r="R5" s="44">
        <v>50.165639958260442</v>
      </c>
      <c r="S5" s="17">
        <v>43.866263236951859</v>
      </c>
      <c r="T5" s="17">
        <v>43.736147589684748</v>
      </c>
      <c r="U5" s="17">
        <v>46.390109437273686</v>
      </c>
      <c r="V5" s="17">
        <v>46.390109437273686</v>
      </c>
      <c r="W5" s="17">
        <v>47.743623820241957</v>
      </c>
      <c r="X5" s="17">
        <v>47.743623820241957</v>
      </c>
      <c r="Y5" s="17">
        <v>1539.9106105559149</v>
      </c>
      <c r="Z5" s="17">
        <v>1539.2600323195793</v>
      </c>
      <c r="AA5" s="7">
        <v>43780</v>
      </c>
      <c r="AB5" s="352">
        <v>219.29228149057914</v>
      </c>
      <c r="AC5" s="352">
        <v>556.68131324728415</v>
      </c>
      <c r="AD5" s="352">
        <v>763.89798112387132</v>
      </c>
      <c r="AE5" s="354">
        <v>1539.8715758617345</v>
      </c>
      <c r="AF5" s="12">
        <v>3.19</v>
      </c>
      <c r="AG5" s="12">
        <v>17.809999999999999</v>
      </c>
      <c r="AH5" s="12">
        <v>67.569999999999993</v>
      </c>
      <c r="AI5" s="20">
        <v>4.2483660130718954</v>
      </c>
      <c r="AJ5" s="20">
        <v>3.0832803560076285</v>
      </c>
      <c r="AK5" s="20">
        <v>2.4916275954454119</v>
      </c>
      <c r="AL5" s="68">
        <v>70.786976549297876</v>
      </c>
      <c r="AM5" s="68">
        <v>52.5927284178048</v>
      </c>
      <c r="AN5" s="68">
        <v>52.948360737194712</v>
      </c>
      <c r="AO5" s="395">
        <v>0.94827586206896552</v>
      </c>
      <c r="AP5" s="395">
        <v>0.93589069889647913</v>
      </c>
      <c r="AQ5" s="395">
        <v>0.95289803976872089</v>
      </c>
      <c r="AR5" s="395">
        <v>0.97175037247819351</v>
      </c>
      <c r="AS5" s="395">
        <v>0.96789345891013379</v>
      </c>
      <c r="AT5" s="395">
        <v>0.96645914211958905</v>
      </c>
      <c r="AU5" s="395">
        <v>0.97150142837145814</v>
      </c>
      <c r="AV5" s="395">
        <v>0.9568697140017689</v>
      </c>
      <c r="AW5" s="395">
        <v>0.96874202415617772</v>
      </c>
      <c r="AX5" s="431" t="s">
        <v>717</v>
      </c>
      <c r="AY5" s="431" t="s">
        <v>718</v>
      </c>
      <c r="BC5" s="432" t="s">
        <v>719</v>
      </c>
      <c r="BF5" s="431" t="s">
        <v>719</v>
      </c>
    </row>
    <row r="6" spans="1:58" x14ac:dyDescent="0.25">
      <c r="A6" s="12">
        <v>3.3639999999999999</v>
      </c>
      <c r="B6" s="12">
        <v>19.03</v>
      </c>
      <c r="C6" s="12">
        <v>70.834000000000003</v>
      </c>
      <c r="D6" s="20">
        <v>4.1283512556263124</v>
      </c>
      <c r="E6" s="20">
        <v>2.9842868885658924</v>
      </c>
      <c r="F6" s="20">
        <v>2.416636096277708</v>
      </c>
      <c r="G6" s="21">
        <v>67.391824943344645</v>
      </c>
      <c r="H6" s="21">
        <v>48.795017370967749</v>
      </c>
      <c r="I6" s="21">
        <v>50.354220166169071</v>
      </c>
      <c r="J6" s="8">
        <v>3.37</v>
      </c>
      <c r="K6" s="8">
        <v>19.03</v>
      </c>
      <c r="L6" s="8">
        <v>70.834000000000003</v>
      </c>
      <c r="M6" s="8">
        <v>4.1091811811215662</v>
      </c>
      <c r="N6" s="8">
        <v>2.9842868885658924</v>
      </c>
      <c r="O6" s="8">
        <v>2.416636096277708</v>
      </c>
      <c r="P6" s="44">
        <v>67.391824943344645</v>
      </c>
      <c r="Q6" s="44">
        <v>48.795017370967749</v>
      </c>
      <c r="R6" s="44">
        <v>50.354220166169071</v>
      </c>
      <c r="S6" s="17">
        <v>43.866263236951859</v>
      </c>
      <c r="T6" s="17">
        <v>43.736147589684748</v>
      </c>
      <c r="U6" s="17">
        <v>46.390109437273686</v>
      </c>
      <c r="V6" s="17">
        <v>46.390109437273686</v>
      </c>
      <c r="W6" s="17">
        <v>47.872766877909704</v>
      </c>
      <c r="X6" s="17">
        <v>47.872766877909704</v>
      </c>
      <c r="Y6" s="17">
        <v>1541.9768994785989</v>
      </c>
      <c r="Z6" s="17">
        <v>1541.3263212422632</v>
      </c>
      <c r="AA6" s="7">
        <v>43787</v>
      </c>
      <c r="AB6" s="352">
        <v>219.29228149057914</v>
      </c>
      <c r="AC6" s="352">
        <v>556.68131324728415</v>
      </c>
      <c r="AD6" s="352">
        <v>765.96427004655527</v>
      </c>
      <c r="AE6" s="354">
        <v>1541.9378647844187</v>
      </c>
      <c r="AF6" s="12">
        <v>3.19</v>
      </c>
      <c r="AG6" s="12">
        <v>17.809999999999999</v>
      </c>
      <c r="AH6" s="12">
        <v>67.569999999999993</v>
      </c>
      <c r="AI6" s="20">
        <v>4.2483660130718954</v>
      </c>
      <c r="AJ6" s="20">
        <v>3.0832803560076285</v>
      </c>
      <c r="AK6" s="20">
        <v>2.4916275954454119</v>
      </c>
      <c r="AL6" s="68">
        <v>70.786976549297876</v>
      </c>
      <c r="AM6" s="68">
        <v>52.5927284178048</v>
      </c>
      <c r="AN6" s="68">
        <v>52.948360737194712</v>
      </c>
      <c r="AO6" s="395">
        <v>0.94827586206896552</v>
      </c>
      <c r="AP6" s="395">
        <v>0.93589069889647913</v>
      </c>
      <c r="AQ6" s="395">
        <v>0.95392043369003576</v>
      </c>
      <c r="AR6" s="395">
        <v>0.97175037247819351</v>
      </c>
      <c r="AS6" s="395">
        <v>0.96789345891013379</v>
      </c>
      <c r="AT6" s="395">
        <v>0.96990260530715544</v>
      </c>
      <c r="AU6" s="395">
        <v>0.97150142837145814</v>
      </c>
      <c r="AV6" s="395">
        <v>0.9568697140017689</v>
      </c>
      <c r="AW6" s="395">
        <v>0.97088251471366827</v>
      </c>
    </row>
    <row r="7" spans="1:58" x14ac:dyDescent="0.25">
      <c r="A7" s="12">
        <v>3.306</v>
      </c>
      <c r="B7" s="12">
        <v>18.378</v>
      </c>
      <c r="C7" s="12">
        <v>69.063999999999993</v>
      </c>
      <c r="D7" s="20">
        <v>4.1283512556263124</v>
      </c>
      <c r="E7" s="20">
        <v>3.0785232775568501</v>
      </c>
      <c r="F7" s="20">
        <v>2.4911189419905932</v>
      </c>
      <c r="G7" s="21">
        <v>68.353510389596821</v>
      </c>
      <c r="H7" s="21">
        <v>50.851114124072154</v>
      </c>
      <c r="I7" s="21">
        <v>53.443352937269047</v>
      </c>
      <c r="J7" s="8">
        <v>3.3079999999999998</v>
      </c>
      <c r="K7" s="8">
        <v>18.378</v>
      </c>
      <c r="L7" s="8">
        <v>69.063999999999993</v>
      </c>
      <c r="M7" s="8">
        <v>4.1091811811215662</v>
      </c>
      <c r="N7" s="8">
        <v>3.0785232775568501</v>
      </c>
      <c r="O7" s="8">
        <v>2.4911189419905932</v>
      </c>
      <c r="P7" s="44">
        <v>68.353510389596821</v>
      </c>
      <c r="Q7" s="44">
        <v>50.851114124072154</v>
      </c>
      <c r="R7" s="44">
        <v>53.443352937269047</v>
      </c>
      <c r="S7" s="17">
        <v>44.218096283012436</v>
      </c>
      <c r="T7" s="17">
        <v>44.104731446907358</v>
      </c>
      <c r="U7" s="17">
        <v>48.037955361721238</v>
      </c>
      <c r="V7" s="17">
        <v>48.037955361721238</v>
      </c>
      <c r="W7" s="17">
        <v>49.639214759445238</v>
      </c>
      <c r="X7" s="17">
        <v>49.639214759445238</v>
      </c>
      <c r="Y7" s="17">
        <v>1591.7733819068408</v>
      </c>
      <c r="Z7" s="17">
        <v>1591.2065577263156</v>
      </c>
      <c r="AA7" s="7">
        <v>43794</v>
      </c>
      <c r="AB7" s="352">
        <v>221.05647196423064</v>
      </c>
      <c r="AC7" s="352">
        <v>576.45546434065477</v>
      </c>
      <c r="AD7" s="352">
        <v>794.22743615112381</v>
      </c>
      <c r="AE7" s="354">
        <v>1591.7393724560093</v>
      </c>
      <c r="AF7" s="12">
        <v>3.19</v>
      </c>
      <c r="AG7" s="12">
        <v>16.829999999999998</v>
      </c>
      <c r="AH7" s="12">
        <v>66.72</v>
      </c>
      <c r="AI7" s="20">
        <v>4.2483660130718954</v>
      </c>
      <c r="AJ7" s="20">
        <v>3.2520325203252036</v>
      </c>
      <c r="AK7" s="20">
        <v>2.5675136357589463</v>
      </c>
      <c r="AL7" s="68">
        <v>70.786976549297876</v>
      </c>
      <c r="AM7" s="68">
        <v>52.5927284178048</v>
      </c>
      <c r="AN7" s="68">
        <v>56.097202138470081</v>
      </c>
      <c r="AO7" s="395">
        <v>0.96491228070175439</v>
      </c>
      <c r="AP7" s="395">
        <v>0.91576885406464237</v>
      </c>
      <c r="AQ7" s="395">
        <v>0.96606046565504466</v>
      </c>
      <c r="AR7" s="395">
        <v>0.97175037247819351</v>
      </c>
      <c r="AS7" s="395">
        <v>0.94664590784873126</v>
      </c>
      <c r="AT7" s="395">
        <v>0.97024565217322745</v>
      </c>
      <c r="AU7" s="395">
        <v>0.97963256116653208</v>
      </c>
      <c r="AV7" s="395">
        <v>0.98038560065029567</v>
      </c>
      <c r="AW7" s="395">
        <v>0.97189447940814266</v>
      </c>
      <c r="AY7" s="431" t="s">
        <v>720</v>
      </c>
      <c r="AZ7" s="431" t="s">
        <v>721</v>
      </c>
      <c r="BB7" s="432" t="s">
        <v>722</v>
      </c>
      <c r="BC7" s="432" t="s">
        <v>723</v>
      </c>
      <c r="BF7" s="431" t="s">
        <v>724</v>
      </c>
    </row>
    <row r="8" spans="1:58" x14ac:dyDescent="0.25">
      <c r="A8" s="12">
        <v>3.306</v>
      </c>
      <c r="B8" s="12">
        <v>18.378</v>
      </c>
      <c r="C8" s="12">
        <v>68.013999999999996</v>
      </c>
      <c r="D8" s="20">
        <v>4.2060729595010296</v>
      </c>
      <c r="E8" s="20">
        <v>3.0785232775568501</v>
      </c>
      <c r="F8" s="20">
        <v>2.4911189419905932</v>
      </c>
      <c r="G8" s="21">
        <v>68.567329850688651</v>
      </c>
      <c r="H8" s="21">
        <v>50.851114124072154</v>
      </c>
      <c r="I8" s="21">
        <v>53.464895370218386</v>
      </c>
      <c r="J8" s="8">
        <v>3.3079999999999998</v>
      </c>
      <c r="K8" s="8">
        <v>18.378</v>
      </c>
      <c r="L8" s="8">
        <v>68.013999999999996</v>
      </c>
      <c r="M8" s="8">
        <v>4.1913269922996355</v>
      </c>
      <c r="N8" s="8">
        <v>3.0785232775568501</v>
      </c>
      <c r="O8" s="8">
        <v>2.4911189419905932</v>
      </c>
      <c r="P8" s="44">
        <v>68.567329850688651</v>
      </c>
      <c r="Q8" s="44">
        <v>50.851114124072154</v>
      </c>
      <c r="R8" s="44">
        <v>53.464895370218386</v>
      </c>
      <c r="S8" s="17">
        <v>44.664008640297837</v>
      </c>
      <c r="T8" s="17">
        <v>44.574765331001615</v>
      </c>
      <c r="U8" s="17">
        <v>48.037955361721238</v>
      </c>
      <c r="V8" s="17">
        <v>48.037955361721238</v>
      </c>
      <c r="W8" s="17">
        <v>49.920887922474058</v>
      </c>
      <c r="X8" s="17">
        <v>49.920887922474058</v>
      </c>
      <c r="Y8" s="17">
        <v>1598.509714301729</v>
      </c>
      <c r="Z8" s="17">
        <v>1598.0634977552479</v>
      </c>
      <c r="AA8" s="7">
        <v>43801</v>
      </c>
      <c r="AB8" s="352">
        <v>223.29327020870033</v>
      </c>
      <c r="AC8" s="352">
        <v>576.45546434065477</v>
      </c>
      <c r="AD8" s="352">
        <v>798.73420675958494</v>
      </c>
      <c r="AE8" s="354">
        <v>1598.4829413089399</v>
      </c>
      <c r="AF8" s="12">
        <v>3.19</v>
      </c>
      <c r="AG8" s="12">
        <v>16.829999999999998</v>
      </c>
      <c r="AH8" s="12">
        <v>66.72</v>
      </c>
      <c r="AI8" s="20">
        <v>4.3809523809523814</v>
      </c>
      <c r="AJ8" s="20">
        <v>3.2520325203252036</v>
      </c>
      <c r="AK8" s="20">
        <v>2.5675136357589463</v>
      </c>
      <c r="AL8" s="68">
        <v>70.786976549297876</v>
      </c>
      <c r="AM8" s="68">
        <v>52.5927284178048</v>
      </c>
      <c r="AN8" s="68">
        <v>56.097202138470081</v>
      </c>
      <c r="AO8" s="395">
        <v>0.96491228070175439</v>
      </c>
      <c r="AP8" s="395">
        <v>0.91576885406464237</v>
      </c>
      <c r="AQ8" s="395">
        <v>0.98097450524891938</v>
      </c>
      <c r="AR8" s="395">
        <v>0.9600818711904523</v>
      </c>
      <c r="AS8" s="395">
        <v>0.94664590784873126</v>
      </c>
      <c r="AT8" s="395">
        <v>0.97024565217322745</v>
      </c>
      <c r="AU8" s="395">
        <v>0.98143400746657661</v>
      </c>
      <c r="AV8" s="395">
        <v>0.98038560065029567</v>
      </c>
      <c r="AW8" s="395">
        <v>0.97212490738686685</v>
      </c>
      <c r="BA8" s="432" t="s">
        <v>725</v>
      </c>
    </row>
    <row r="9" spans="1:58" x14ac:dyDescent="0.25">
      <c r="A9" s="12">
        <v>3.2679999999999998</v>
      </c>
      <c r="B9" s="12">
        <v>17.73</v>
      </c>
      <c r="C9" s="12">
        <v>67.561999999999998</v>
      </c>
      <c r="D9" s="20">
        <v>4.2660685024442007</v>
      </c>
      <c r="E9" s="20">
        <v>3.1020853809868001</v>
      </c>
      <c r="F9" s="20">
        <v>2.5003257330606035</v>
      </c>
      <c r="G9" s="21">
        <v>68.900900087759013</v>
      </c>
      <c r="H9" s="21">
        <v>55.143859344987028</v>
      </c>
      <c r="I9" s="21">
        <v>53.464895370218386</v>
      </c>
      <c r="J9" s="8">
        <v>3.2679999999999998</v>
      </c>
      <c r="K9" s="8">
        <v>17.73</v>
      </c>
      <c r="L9" s="8">
        <v>67.561999999999998</v>
      </c>
      <c r="M9" s="8">
        <v>4.2349374059378011</v>
      </c>
      <c r="N9" s="8">
        <v>3.1020853809868001</v>
      </c>
      <c r="O9" s="8">
        <v>2.5003257330606035</v>
      </c>
      <c r="P9" s="44">
        <v>68.900900087759013</v>
      </c>
      <c r="Q9" s="44">
        <v>55.143859344987028</v>
      </c>
      <c r="R9" s="44">
        <v>53.464895370218386</v>
      </c>
      <c r="S9" s="17">
        <v>45.195770950474696</v>
      </c>
      <c r="T9" s="17">
        <v>45.026035108308449</v>
      </c>
      <c r="U9" s="17">
        <v>49.798066754087138</v>
      </c>
      <c r="V9" s="17">
        <v>49.798066754087138</v>
      </c>
      <c r="W9" s="17">
        <v>50.110759014831956</v>
      </c>
      <c r="X9" s="17">
        <v>50.110759014831956</v>
      </c>
      <c r="Y9" s="17">
        <v>1625.3278000387304</v>
      </c>
      <c r="Z9" s="17">
        <v>1624.4791208278994</v>
      </c>
      <c r="AA9" s="7">
        <v>43808</v>
      </c>
      <c r="AB9" s="352">
        <v>225.92793399972356</v>
      </c>
      <c r="AC9" s="352">
        <v>597.57680104904568</v>
      </c>
      <c r="AD9" s="352">
        <v>801.7721442373113</v>
      </c>
      <c r="AE9" s="354">
        <v>1625.2768792860804</v>
      </c>
      <c r="AF9" s="12">
        <v>3.19</v>
      </c>
      <c r="AG9" s="12">
        <v>16.829999999999998</v>
      </c>
      <c r="AH9" s="12">
        <v>66.72</v>
      </c>
      <c r="AI9" s="20">
        <v>4.3809523809523814</v>
      </c>
      <c r="AJ9" s="20">
        <v>3.2520325203252036</v>
      </c>
      <c r="AK9" s="20">
        <v>2.5675136357589463</v>
      </c>
      <c r="AL9" s="68">
        <v>70.786976549297876</v>
      </c>
      <c r="AM9" s="68">
        <v>58.209059934160187</v>
      </c>
      <c r="AN9" s="68">
        <v>56.097202138470081</v>
      </c>
      <c r="AO9" s="395">
        <v>0.9761321909424725</v>
      </c>
      <c r="AP9" s="395">
        <v>0.94923857868020289</v>
      </c>
      <c r="AQ9" s="395">
        <v>0.98753737307954181</v>
      </c>
      <c r="AR9" s="395">
        <v>0.97377650599269794</v>
      </c>
      <c r="AS9" s="395">
        <v>0.95389125465344093</v>
      </c>
      <c r="AT9" s="395">
        <v>0.97383153033246406</v>
      </c>
      <c r="AU9" s="395">
        <v>0.9842397513770369</v>
      </c>
      <c r="AV9" s="395">
        <v>0.96868000773977969</v>
      </c>
      <c r="AW9" s="395">
        <v>0.97212490738686685</v>
      </c>
      <c r="BE9" s="431" t="s">
        <v>726</v>
      </c>
    </row>
    <row r="10" spans="1:58" x14ac:dyDescent="0.25">
      <c r="A10" s="12">
        <v>3.2679999999999998</v>
      </c>
      <c r="B10" s="12">
        <v>17.579999999999998</v>
      </c>
      <c r="C10" s="12">
        <v>66.955999999999989</v>
      </c>
      <c r="D10" s="20">
        <v>4.2660685024442007</v>
      </c>
      <c r="E10" s="20">
        <v>3.1268407365577531</v>
      </c>
      <c r="F10" s="20">
        <v>2.5011996357271342</v>
      </c>
      <c r="G10" s="21">
        <v>69.328213917802657</v>
      </c>
      <c r="H10" s="21">
        <v>55.686438219150958</v>
      </c>
      <c r="I10" s="21">
        <v>53.79808825530101</v>
      </c>
      <c r="J10" s="8">
        <v>3.2679999999999998</v>
      </c>
      <c r="K10" s="8">
        <v>17.579999999999998</v>
      </c>
      <c r="L10" s="8">
        <v>66.955999999999989</v>
      </c>
      <c r="M10" s="8">
        <v>4.2542654714258346</v>
      </c>
      <c r="N10" s="8">
        <v>3.1268407365577531</v>
      </c>
      <c r="O10" s="8">
        <v>2.5011996357271342</v>
      </c>
      <c r="P10" s="44">
        <v>69.328213917802657</v>
      </c>
      <c r="Q10" s="44">
        <v>55.686438219150958</v>
      </c>
      <c r="R10" s="44">
        <v>53.79808825530101</v>
      </c>
      <c r="S10" s="17">
        <v>45.240039069614923</v>
      </c>
      <c r="T10" s="17">
        <v>45.175685492810942</v>
      </c>
      <c r="U10" s="17">
        <v>50.228765788941281</v>
      </c>
      <c r="V10" s="17">
        <v>50.228765788941281</v>
      </c>
      <c r="W10" s="17">
        <v>50.365551711779233</v>
      </c>
      <c r="X10" s="17">
        <v>50.365551711779233</v>
      </c>
      <c r="Y10" s="17">
        <v>1634.7942122038378</v>
      </c>
      <c r="Z10" s="17">
        <v>1634.4724443198179</v>
      </c>
      <c r="AA10" s="7">
        <v>43815</v>
      </c>
      <c r="AB10" s="352">
        <v>226.18088927503342</v>
      </c>
      <c r="AC10" s="352">
        <v>602.74518946729529</v>
      </c>
      <c r="AD10" s="352">
        <v>805.84882738846773</v>
      </c>
      <c r="AE10" s="354">
        <v>1634.7749061307966</v>
      </c>
      <c r="AF10" s="12">
        <v>3.19</v>
      </c>
      <c r="AG10" s="12">
        <v>16.829999999999998</v>
      </c>
      <c r="AH10" s="12">
        <v>65.28</v>
      </c>
      <c r="AI10" s="20">
        <v>4.3809523809523814</v>
      </c>
      <c r="AJ10" s="20">
        <v>3.2520325203252036</v>
      </c>
      <c r="AK10" s="20">
        <v>2.5675136357589463</v>
      </c>
      <c r="AL10" s="68">
        <v>70.786976549297876</v>
      </c>
      <c r="AM10" s="68">
        <v>58.209059934160187</v>
      </c>
      <c r="AN10" s="68">
        <v>56.097202138470081</v>
      </c>
      <c r="AO10" s="395">
        <v>0.9761321909424725</v>
      </c>
      <c r="AP10" s="395">
        <v>0.9573378839590444</v>
      </c>
      <c r="AQ10" s="395">
        <v>0.97496863611924267</v>
      </c>
      <c r="AR10" s="395">
        <v>0.97377650599269794</v>
      </c>
      <c r="AS10" s="395">
        <v>0.96150352649150894</v>
      </c>
      <c r="AT10" s="395">
        <v>0.97417189957310202</v>
      </c>
      <c r="AU10" s="395">
        <v>0.9878258378948469</v>
      </c>
      <c r="AV10" s="395">
        <v>0.97427527110114376</v>
      </c>
      <c r="AW10" s="395">
        <v>0.97568404020035482</v>
      </c>
      <c r="AZ10" s="431" t="s">
        <v>727</v>
      </c>
    </row>
    <row r="11" spans="1:58" x14ac:dyDescent="0.25">
      <c r="A11" s="12">
        <v>3.2299999999999995</v>
      </c>
      <c r="B11" s="12">
        <v>17.579999999999998</v>
      </c>
      <c r="C11" s="12">
        <v>66.955999999999989</v>
      </c>
      <c r="D11" s="20">
        <v>4.2660685024442007</v>
      </c>
      <c r="E11" s="20">
        <v>3.1268407365577531</v>
      </c>
      <c r="F11" s="20">
        <v>2.5011996357271342</v>
      </c>
      <c r="G11" s="21">
        <v>70.493051146488853</v>
      </c>
      <c r="H11" s="21">
        <v>55.686438219150958</v>
      </c>
      <c r="I11" s="21">
        <v>53.79808825530101</v>
      </c>
      <c r="J11" s="8">
        <v>3.2299999999999995</v>
      </c>
      <c r="K11" s="8">
        <v>17.579999999999998</v>
      </c>
      <c r="L11" s="8">
        <v>66.955999999999989</v>
      </c>
      <c r="M11" s="8">
        <v>4.2542654714258346</v>
      </c>
      <c r="N11" s="8">
        <v>3.1268407365577531</v>
      </c>
      <c r="O11" s="8">
        <v>2.5011996357271342</v>
      </c>
      <c r="P11" s="44">
        <v>70.493051146488853</v>
      </c>
      <c r="Q11" s="44">
        <v>55.686438219150958</v>
      </c>
      <c r="R11" s="44">
        <v>53.79808825530101</v>
      </c>
      <c r="S11" s="17">
        <v>45.534806469529421</v>
      </c>
      <c r="T11" s="17">
        <v>45.47045289272544</v>
      </c>
      <c r="U11" s="17">
        <v>50.228765788941281</v>
      </c>
      <c r="V11" s="17">
        <v>50.228765788941281</v>
      </c>
      <c r="W11" s="17">
        <v>50.365551711779233</v>
      </c>
      <c r="X11" s="17">
        <v>50.365551711779233</v>
      </c>
      <c r="Y11" s="17">
        <v>1636.2680492034101</v>
      </c>
      <c r="Z11" s="17">
        <v>1635.9462813193904</v>
      </c>
      <c r="AA11" s="7">
        <v>43822</v>
      </c>
      <c r="AB11" s="352">
        <v>227.65472627460591</v>
      </c>
      <c r="AC11" s="352">
        <v>602.74518946729529</v>
      </c>
      <c r="AD11" s="352">
        <v>805.84882738846773</v>
      </c>
      <c r="AE11" s="354">
        <v>1636.2487431303687</v>
      </c>
      <c r="AF11" s="12">
        <v>3.14</v>
      </c>
      <c r="AG11" s="12">
        <v>16.829999999999998</v>
      </c>
      <c r="AH11" s="12">
        <v>65.28</v>
      </c>
      <c r="AI11" s="20">
        <v>4.3809523809523814</v>
      </c>
      <c r="AJ11" s="20">
        <v>3.2520325203252036</v>
      </c>
      <c r="AK11" s="20">
        <v>2.5675136357589463</v>
      </c>
      <c r="AL11" s="68">
        <v>74.381381849126385</v>
      </c>
      <c r="AM11" s="68">
        <v>58.209059934160187</v>
      </c>
      <c r="AN11" s="68">
        <v>56.097202138470081</v>
      </c>
      <c r="AO11" s="395">
        <v>0.97213622291021684</v>
      </c>
      <c r="AP11" s="395">
        <v>0.9573378839590444</v>
      </c>
      <c r="AQ11" s="395">
        <v>0.97496863611924267</v>
      </c>
      <c r="AR11" s="395">
        <v>0.97377650599269794</v>
      </c>
      <c r="AS11" s="395">
        <v>0.96150352649150894</v>
      </c>
      <c r="AT11" s="395">
        <v>0.97417189957310202</v>
      </c>
      <c r="AU11" s="395">
        <v>0.96891029023308295</v>
      </c>
      <c r="AV11" s="395">
        <v>0.97427527110114376</v>
      </c>
      <c r="AW11" s="395">
        <v>0.97568404020035482</v>
      </c>
      <c r="AX11" s="431" t="s">
        <v>728</v>
      </c>
      <c r="BD11" s="431" t="s">
        <v>728</v>
      </c>
    </row>
    <row r="12" spans="1:58" x14ac:dyDescent="0.25">
      <c r="A12" s="12">
        <v>3.2299999999999995</v>
      </c>
      <c r="B12" s="12">
        <v>17.579999999999998</v>
      </c>
      <c r="C12" s="12">
        <v>66.955999999999989</v>
      </c>
      <c r="D12" s="20">
        <v>4.2660685024442007</v>
      </c>
      <c r="E12" s="20">
        <v>3.1268407365577531</v>
      </c>
      <c r="F12" s="20">
        <v>2.5011996357271342</v>
      </c>
      <c r="G12" s="21">
        <v>70.493051146488853</v>
      </c>
      <c r="H12" s="21">
        <v>55.686438219150958</v>
      </c>
      <c r="I12" s="21">
        <v>53.79808825530101</v>
      </c>
      <c r="J12" s="8">
        <v>3.2299999999999995</v>
      </c>
      <c r="K12" s="8">
        <v>17.579999999999998</v>
      </c>
      <c r="L12" s="8">
        <v>66.955999999999989</v>
      </c>
      <c r="M12" s="8">
        <v>4.2542654714258346</v>
      </c>
      <c r="N12" s="8">
        <v>3.1268407365577531</v>
      </c>
      <c r="O12" s="8">
        <v>2.5011996357271342</v>
      </c>
      <c r="P12" s="44">
        <v>70.493051146488853</v>
      </c>
      <c r="Q12" s="44">
        <v>55.686438219150958</v>
      </c>
      <c r="R12" s="44">
        <v>53.79808825530101</v>
      </c>
      <c r="S12" s="17">
        <v>45.534806469529421</v>
      </c>
      <c r="T12" s="17">
        <v>45.47045289272544</v>
      </c>
      <c r="U12" s="17">
        <v>50.228765788941281</v>
      </c>
      <c r="V12" s="17">
        <v>50.228765788941281</v>
      </c>
      <c r="W12" s="17">
        <v>50.365551711779233</v>
      </c>
      <c r="X12" s="17">
        <v>50.365551711779233</v>
      </c>
      <c r="Y12" s="17">
        <v>1636.2680492034101</v>
      </c>
      <c r="Z12" s="17">
        <v>1635.9462813193904</v>
      </c>
      <c r="AA12" s="7">
        <v>43829</v>
      </c>
      <c r="AB12" s="352">
        <v>227.65472627460591</v>
      </c>
      <c r="AC12" s="352">
        <v>602.74518946729529</v>
      </c>
      <c r="AD12" s="352">
        <v>805.84882738846773</v>
      </c>
      <c r="AE12" s="354">
        <v>1636.2487431303687</v>
      </c>
      <c r="AF12" s="12">
        <v>3.14</v>
      </c>
      <c r="AG12" s="12">
        <v>16.829999999999998</v>
      </c>
      <c r="AH12" s="12">
        <v>65.28</v>
      </c>
      <c r="AI12" s="20">
        <v>4.3809523809523814</v>
      </c>
      <c r="AJ12" s="20">
        <v>3.2520325203252036</v>
      </c>
      <c r="AK12" s="20">
        <v>2.5675136357589463</v>
      </c>
      <c r="AL12" s="68">
        <v>74.381381849126385</v>
      </c>
      <c r="AM12" s="68">
        <v>58.209059934160187</v>
      </c>
      <c r="AN12" s="68">
        <v>56.097202138470081</v>
      </c>
      <c r="AO12" s="395">
        <v>0.97213622291021684</v>
      </c>
      <c r="AP12" s="395">
        <v>0.9573378839590444</v>
      </c>
      <c r="AQ12" s="395">
        <v>0.97496863611924267</v>
      </c>
      <c r="AR12" s="395">
        <v>0.97377650599269794</v>
      </c>
      <c r="AS12" s="395">
        <v>0.96150352649150894</v>
      </c>
      <c r="AT12" s="395">
        <v>0.97417189957310202</v>
      </c>
      <c r="AU12" s="395">
        <v>0.96891029023308295</v>
      </c>
      <c r="AV12" s="395">
        <v>0.97427527110114376</v>
      </c>
      <c r="AW12" s="395">
        <v>0.97568404020035482</v>
      </c>
    </row>
    <row r="13" spans="1:58" x14ac:dyDescent="0.25">
      <c r="A13" s="12">
        <v>3.2299999999999995</v>
      </c>
      <c r="B13" s="12">
        <v>17.321999999999999</v>
      </c>
      <c r="C13" s="12">
        <v>66.225999999999999</v>
      </c>
      <c r="D13" s="20">
        <v>4.3098018023774003</v>
      </c>
      <c r="E13" s="20">
        <v>3.1268407365577531</v>
      </c>
      <c r="F13" s="20">
        <v>2.5016708100490108</v>
      </c>
      <c r="G13" s="21">
        <v>72.921558070481296</v>
      </c>
      <c r="H13" s="21">
        <v>55.686438219150958</v>
      </c>
      <c r="I13" s="21">
        <v>53.79808825530101</v>
      </c>
      <c r="J13" s="8">
        <v>3.2299999999999995</v>
      </c>
      <c r="K13" s="8">
        <v>17.321999999999999</v>
      </c>
      <c r="L13" s="8">
        <v>66.225999999999999</v>
      </c>
      <c r="M13" s="8">
        <v>4.3040275419922231</v>
      </c>
      <c r="N13" s="8">
        <v>3.1268407365577531</v>
      </c>
      <c r="O13" s="8">
        <v>2.5016708100490108</v>
      </c>
      <c r="P13" s="44">
        <v>72.921558070481296</v>
      </c>
      <c r="Q13" s="44">
        <v>55.686438219150958</v>
      </c>
      <c r="R13" s="44">
        <v>53.79808825530101</v>
      </c>
      <c r="S13" s="17">
        <v>46.024837470473557</v>
      </c>
      <c r="T13" s="17">
        <v>45.99335451422229</v>
      </c>
      <c r="U13" s="17">
        <v>50.501845890278219</v>
      </c>
      <c r="V13" s="17">
        <v>50.501845890278219</v>
      </c>
      <c r="W13" s="17">
        <v>50.572556185219284</v>
      </c>
      <c r="X13" s="17">
        <v>50.572556185219284</v>
      </c>
      <c r="Y13" s="17">
        <v>1645.3072369992151</v>
      </c>
      <c r="Z13" s="17">
        <v>1645.1498222179587</v>
      </c>
      <c r="AA13" s="7">
        <v>43836</v>
      </c>
      <c r="AB13" s="352">
        <v>230.11474246549236</v>
      </c>
      <c r="AC13" s="352">
        <v>606.02215068333862</v>
      </c>
      <c r="AD13" s="352">
        <v>809.16089896350843</v>
      </c>
      <c r="AE13" s="354">
        <v>1645.2977921123397</v>
      </c>
      <c r="AF13" s="12">
        <v>3.14</v>
      </c>
      <c r="AG13" s="12">
        <v>16.77</v>
      </c>
      <c r="AH13" s="12">
        <v>65.28</v>
      </c>
      <c r="AI13" s="20">
        <v>4.4270833333333339</v>
      </c>
      <c r="AJ13" s="20">
        <v>3.2520325203252036</v>
      </c>
      <c r="AK13" s="20">
        <v>2.5675136357589463</v>
      </c>
      <c r="AL13" s="68">
        <v>81.646542607684509</v>
      </c>
      <c r="AM13" s="68">
        <v>58.209059934160187</v>
      </c>
      <c r="AN13" s="68">
        <v>56.097202138470081</v>
      </c>
      <c r="AO13" s="395">
        <v>0.97213622291021684</v>
      </c>
      <c r="AP13" s="395">
        <v>0.9681330100450295</v>
      </c>
      <c r="AQ13" s="395">
        <v>0.98571557998369219</v>
      </c>
      <c r="AR13" s="395">
        <v>0.97350817183113025</v>
      </c>
      <c r="AS13" s="395">
        <v>0.96150352649150894</v>
      </c>
      <c r="AT13" s="395">
        <v>0.97435541342686083</v>
      </c>
      <c r="AU13" s="395">
        <v>0.93568209272132985</v>
      </c>
      <c r="AV13" s="395">
        <v>0.97427527110114376</v>
      </c>
      <c r="AW13" s="395">
        <v>0.97568404020035482</v>
      </c>
      <c r="AY13" s="431" t="s">
        <v>729</v>
      </c>
      <c r="BA13" s="432" t="s">
        <v>730</v>
      </c>
      <c r="BD13" s="431" t="s">
        <v>730</v>
      </c>
    </row>
    <row r="14" spans="1:58" x14ac:dyDescent="0.25">
      <c r="A14" s="12">
        <v>3.2299999999999995</v>
      </c>
      <c r="B14" s="12">
        <v>17.321999999999999</v>
      </c>
      <c r="C14" s="12">
        <v>66.225999999999999</v>
      </c>
      <c r="D14" s="20">
        <v>4.3098018023774003</v>
      </c>
      <c r="E14" s="20">
        <v>3.1268407365577531</v>
      </c>
      <c r="F14" s="20">
        <v>2.5016708100490108</v>
      </c>
      <c r="G14" s="21">
        <v>72.921558070481296</v>
      </c>
      <c r="H14" s="21">
        <v>55.686438219150958</v>
      </c>
      <c r="I14" s="21">
        <v>53.79808825530101</v>
      </c>
      <c r="J14" s="8">
        <v>3.2299999999999995</v>
      </c>
      <c r="K14" s="8">
        <v>17.321999999999999</v>
      </c>
      <c r="L14" s="8">
        <v>66.225999999999999</v>
      </c>
      <c r="M14" s="8">
        <v>4.3040275419922231</v>
      </c>
      <c r="N14" s="8">
        <v>3.1268407365577531</v>
      </c>
      <c r="O14" s="8">
        <v>2.5016708100490108</v>
      </c>
      <c r="P14" s="44">
        <v>72.921558070481296</v>
      </c>
      <c r="Q14" s="44">
        <v>55.686438219150958</v>
      </c>
      <c r="R14" s="44">
        <v>53.79808825530101</v>
      </c>
      <c r="S14" s="17">
        <v>46.024837470473557</v>
      </c>
      <c r="T14" s="17">
        <v>45.99335451422229</v>
      </c>
      <c r="U14" s="17">
        <v>50.501845890278219</v>
      </c>
      <c r="V14" s="17">
        <v>50.501845890278219</v>
      </c>
      <c r="W14" s="17">
        <v>50.572556185219284</v>
      </c>
      <c r="X14" s="17">
        <v>50.572556185219284</v>
      </c>
      <c r="Y14" s="17">
        <v>1645.3072369992151</v>
      </c>
      <c r="Z14" s="17">
        <v>1645.1498222179587</v>
      </c>
      <c r="AA14" s="7">
        <v>43843</v>
      </c>
      <c r="AB14" s="352">
        <v>230.11474246549236</v>
      </c>
      <c r="AC14" s="352">
        <v>606.02215068333862</v>
      </c>
      <c r="AD14" s="352">
        <v>809.16089896350843</v>
      </c>
      <c r="AE14" s="354">
        <v>1645.2977921123397</v>
      </c>
      <c r="AF14" s="12">
        <v>3.14</v>
      </c>
      <c r="AG14" s="12">
        <v>16.77</v>
      </c>
      <c r="AH14" s="12">
        <v>65.28</v>
      </c>
      <c r="AI14" s="20">
        <v>4.4270833333333339</v>
      </c>
      <c r="AJ14" s="20">
        <v>3.2520325203252036</v>
      </c>
      <c r="AK14" s="20">
        <v>2.5675136357589463</v>
      </c>
      <c r="AL14" s="68">
        <v>81.646542607684509</v>
      </c>
      <c r="AM14" s="68">
        <v>58.209059934160187</v>
      </c>
      <c r="AN14" s="68">
        <v>56.097202138470081</v>
      </c>
      <c r="AO14" s="395">
        <v>0.97213622291021684</v>
      </c>
      <c r="AP14" s="395">
        <v>0.9681330100450295</v>
      </c>
      <c r="AQ14" s="395">
        <v>0.98571557998369219</v>
      </c>
      <c r="AR14" s="395">
        <v>0.97350817183113025</v>
      </c>
      <c r="AS14" s="395">
        <v>0.96150352649150894</v>
      </c>
      <c r="AT14" s="395">
        <v>0.97435541342686083</v>
      </c>
      <c r="AU14" s="395">
        <v>0.93568209272132985</v>
      </c>
      <c r="AV14" s="395">
        <v>0.97427527110114376</v>
      </c>
      <c r="AW14" s="395">
        <v>0.97568404020035482</v>
      </c>
    </row>
    <row r="15" spans="1:58" x14ac:dyDescent="0.25">
      <c r="A15" s="12">
        <v>3.2299999999999995</v>
      </c>
      <c r="B15" s="12">
        <v>17.321999999999999</v>
      </c>
      <c r="C15" s="12">
        <v>66.225999999999999</v>
      </c>
      <c r="D15" s="20">
        <v>4.3098018023774003</v>
      </c>
      <c r="E15" s="20">
        <v>3.1268407365577531</v>
      </c>
      <c r="F15" s="20">
        <v>2.510117188534128</v>
      </c>
      <c r="G15" s="21">
        <v>72.921558070481296</v>
      </c>
      <c r="H15" s="21">
        <v>55.686438219150958</v>
      </c>
      <c r="I15" s="21">
        <v>53.79808825530101</v>
      </c>
      <c r="J15" s="8">
        <v>3.2299999999999995</v>
      </c>
      <c r="K15" s="8">
        <v>17.321999999999999</v>
      </c>
      <c r="L15" s="8">
        <v>66.225999999999999</v>
      </c>
      <c r="M15" s="8">
        <v>4.3040275419922231</v>
      </c>
      <c r="N15" s="8">
        <v>3.1268407365577531</v>
      </c>
      <c r="O15" s="8">
        <v>2.510117188534128</v>
      </c>
      <c r="P15" s="44">
        <v>72.921558070481296</v>
      </c>
      <c r="Q15" s="44">
        <v>55.686438219150958</v>
      </c>
      <c r="R15" s="44">
        <v>53.79808825530101</v>
      </c>
      <c r="S15" s="17">
        <v>46.024837470473557</v>
      </c>
      <c r="T15" s="17">
        <v>45.99335451422229</v>
      </c>
      <c r="U15" s="17">
        <v>50.501845890278219</v>
      </c>
      <c r="V15" s="17">
        <v>50.501845890278219</v>
      </c>
      <c r="W15" s="17">
        <v>50.635192250389821</v>
      </c>
      <c r="X15" s="17">
        <v>50.635192250389821</v>
      </c>
      <c r="Y15" s="17">
        <v>1646.3094140419435</v>
      </c>
      <c r="Z15" s="17">
        <v>1646.1519992606873</v>
      </c>
      <c r="AA15" s="7">
        <v>43850</v>
      </c>
      <c r="AB15" s="352">
        <v>230.11474246549236</v>
      </c>
      <c r="AC15" s="352">
        <v>606.02215068333862</v>
      </c>
      <c r="AD15" s="352">
        <v>810.16307600623713</v>
      </c>
      <c r="AE15" s="354">
        <v>1646.2999691550679</v>
      </c>
      <c r="AF15" s="12">
        <v>3.14</v>
      </c>
      <c r="AG15" s="12">
        <v>16.77</v>
      </c>
      <c r="AH15" s="12">
        <v>65.28</v>
      </c>
      <c r="AI15" s="20">
        <v>4.4270833333333339</v>
      </c>
      <c r="AJ15" s="20">
        <v>3.2520325203252036</v>
      </c>
      <c r="AK15" s="20">
        <v>2.5675136357589463</v>
      </c>
      <c r="AL15" s="68">
        <v>81.646542607684509</v>
      </c>
      <c r="AM15" s="68">
        <v>58.209059934160187</v>
      </c>
      <c r="AN15" s="68">
        <v>56.097202138470081</v>
      </c>
      <c r="AO15" s="395">
        <v>0.97213622291021684</v>
      </c>
      <c r="AP15" s="395">
        <v>0.9681330100450295</v>
      </c>
      <c r="AQ15" s="395">
        <v>0.98571557998369219</v>
      </c>
      <c r="AR15" s="395">
        <v>0.97350817183113025</v>
      </c>
      <c r="AS15" s="395">
        <v>0.96150352649150894</v>
      </c>
      <c r="AT15" s="395">
        <v>0.97764512467414721</v>
      </c>
      <c r="AU15" s="395">
        <v>0.93568209272132985</v>
      </c>
      <c r="AV15" s="395">
        <v>0.97427527110114376</v>
      </c>
      <c r="AW15" s="395">
        <v>0.97568404020035482</v>
      </c>
    </row>
    <row r="16" spans="1:58" x14ac:dyDescent="0.25">
      <c r="A16" s="12">
        <v>3.2299999999999995</v>
      </c>
      <c r="B16" s="12">
        <v>17.321999999999999</v>
      </c>
      <c r="C16" s="12">
        <v>66.225999999999999</v>
      </c>
      <c r="D16" s="20">
        <v>4.3098018023774003</v>
      </c>
      <c r="E16" s="20">
        <v>3.1268407365577531</v>
      </c>
      <c r="F16" s="20">
        <v>2.510117188534128</v>
      </c>
      <c r="G16" s="21">
        <v>72.921558070481296</v>
      </c>
      <c r="H16" s="21">
        <v>55.686438219150958</v>
      </c>
      <c r="I16" s="21">
        <v>53.79808825530101</v>
      </c>
      <c r="J16" s="8">
        <v>3.2299999999999995</v>
      </c>
      <c r="K16" s="8">
        <v>17.321999999999999</v>
      </c>
      <c r="L16" s="8">
        <v>66.225999999999999</v>
      </c>
      <c r="M16" s="8">
        <v>4.3040275419922231</v>
      </c>
      <c r="N16" s="8">
        <v>3.1268407365577531</v>
      </c>
      <c r="O16" s="8">
        <v>2.510117188534128</v>
      </c>
      <c r="P16" s="44">
        <v>72.921558070481296</v>
      </c>
      <c r="Q16" s="44">
        <v>55.686438219150958</v>
      </c>
      <c r="R16" s="44">
        <v>53.79808825530101</v>
      </c>
      <c r="S16" s="17">
        <v>46.024837470473557</v>
      </c>
      <c r="T16" s="17">
        <v>45.99335451422229</v>
      </c>
      <c r="U16" s="17">
        <v>50.501845890278219</v>
      </c>
      <c r="V16" s="17">
        <v>50.501845890278219</v>
      </c>
      <c r="W16" s="17">
        <v>50.635192250389821</v>
      </c>
      <c r="X16" s="17">
        <v>50.635192250389821</v>
      </c>
      <c r="Y16" s="17">
        <v>1646.3094140419435</v>
      </c>
      <c r="Z16" s="17">
        <v>1646.1519992606873</v>
      </c>
      <c r="AA16" s="7">
        <v>43857</v>
      </c>
      <c r="AB16" s="352">
        <v>230.11474246549236</v>
      </c>
      <c r="AC16" s="352">
        <v>606.02215068333862</v>
      </c>
      <c r="AD16" s="352">
        <v>810.16307600623713</v>
      </c>
      <c r="AE16" s="354">
        <v>1646.2999691550679</v>
      </c>
      <c r="AF16" s="12">
        <v>3.14</v>
      </c>
      <c r="AG16" s="12">
        <v>16.77</v>
      </c>
      <c r="AH16" s="12">
        <v>65.28</v>
      </c>
      <c r="AI16" s="20">
        <v>4.4270833333333339</v>
      </c>
      <c r="AJ16" s="20">
        <v>3.2520325203252036</v>
      </c>
      <c r="AK16" s="20">
        <v>2.5675136357589463</v>
      </c>
      <c r="AL16" s="68">
        <v>81.646542607684509</v>
      </c>
      <c r="AM16" s="68">
        <v>58.209059934160187</v>
      </c>
      <c r="AN16" s="68">
        <v>56.097202138470081</v>
      </c>
      <c r="AO16" s="395">
        <v>0.97213622291021684</v>
      </c>
      <c r="AP16" s="395">
        <v>0.9681330100450295</v>
      </c>
      <c r="AQ16" s="395">
        <v>0.98571557998369219</v>
      </c>
      <c r="AR16" s="395">
        <v>0.97350817183113025</v>
      </c>
      <c r="AS16" s="395">
        <v>0.96150352649150894</v>
      </c>
      <c r="AT16" s="395">
        <v>0.97764512467414721</v>
      </c>
      <c r="AU16" s="395">
        <v>0.93568209272132985</v>
      </c>
      <c r="AV16" s="395">
        <v>0.97427527110114376</v>
      </c>
      <c r="AW16" s="395">
        <v>0.97568404020035482</v>
      </c>
    </row>
    <row r="17" spans="1:58" x14ac:dyDescent="0.25">
      <c r="A17" s="12">
        <v>3.2299999999999995</v>
      </c>
      <c r="B17" s="12">
        <v>17.321999999999999</v>
      </c>
      <c r="C17" s="12">
        <v>66.195999999999998</v>
      </c>
      <c r="D17" s="20">
        <v>4.3098018023774003</v>
      </c>
      <c r="E17" s="20">
        <v>3.1268407365577531</v>
      </c>
      <c r="F17" s="20">
        <v>2.510117188534128</v>
      </c>
      <c r="G17" s="21">
        <v>72.921558070481296</v>
      </c>
      <c r="H17" s="21">
        <v>55.686438219150958</v>
      </c>
      <c r="I17" s="21">
        <v>54.094528757662928</v>
      </c>
      <c r="J17" s="8">
        <v>3.2299999999999995</v>
      </c>
      <c r="K17" s="8">
        <v>17.321999999999999</v>
      </c>
      <c r="L17" s="8">
        <v>66.195999999999998</v>
      </c>
      <c r="M17" s="8">
        <v>4.3040275419922231</v>
      </c>
      <c r="N17" s="8">
        <v>3.1268407365577531</v>
      </c>
      <c r="O17" s="8">
        <v>2.510117188534128</v>
      </c>
      <c r="P17" s="44">
        <v>72.921558070481296</v>
      </c>
      <c r="Q17" s="44">
        <v>55.686438219150958</v>
      </c>
      <c r="R17" s="44">
        <v>54.094528757662928</v>
      </c>
      <c r="S17" s="17">
        <v>46.024837470473557</v>
      </c>
      <c r="T17" s="17">
        <v>45.99335451422229</v>
      </c>
      <c r="U17" s="17">
        <v>50.501845890278219</v>
      </c>
      <c r="V17" s="17">
        <v>50.501845890278219</v>
      </c>
      <c r="W17" s="17">
        <v>50.717239659997858</v>
      </c>
      <c r="X17" s="17">
        <v>50.717239659997858</v>
      </c>
      <c r="Y17" s="17">
        <v>1647.6221725956721</v>
      </c>
      <c r="Z17" s="17">
        <v>1647.4647578144159</v>
      </c>
      <c r="AA17" s="7">
        <v>43864</v>
      </c>
      <c r="AB17" s="352">
        <v>230.11474246549236</v>
      </c>
      <c r="AC17" s="352">
        <v>606.02215068333862</v>
      </c>
      <c r="AD17" s="352">
        <v>811.47583455996573</v>
      </c>
      <c r="AE17" s="354">
        <v>1647.6127277087965</v>
      </c>
      <c r="AF17" s="12">
        <v>3.14</v>
      </c>
      <c r="AG17" s="12">
        <v>16.77</v>
      </c>
      <c r="AH17" s="12">
        <v>65.28</v>
      </c>
      <c r="AI17" s="20">
        <v>4.4270833333333339</v>
      </c>
      <c r="AJ17" s="20">
        <v>3.2520325203252036</v>
      </c>
      <c r="AK17" s="20">
        <v>2.5675136357589463</v>
      </c>
      <c r="AL17" s="68">
        <v>81.646542607684509</v>
      </c>
      <c r="AM17" s="68">
        <v>58.209059934160187</v>
      </c>
      <c r="AN17" s="68">
        <v>56.097202138470081</v>
      </c>
      <c r="AO17" s="395">
        <v>0.97213622291021684</v>
      </c>
      <c r="AP17" s="395">
        <v>0.9681330100450295</v>
      </c>
      <c r="AQ17" s="395">
        <v>0.98616230587950937</v>
      </c>
      <c r="AR17" s="395">
        <v>0.97350817183113025</v>
      </c>
      <c r="AS17" s="395">
        <v>0.96150352649150894</v>
      </c>
      <c r="AT17" s="395">
        <v>0.97764512467414721</v>
      </c>
      <c r="AU17" s="395">
        <v>0.93568209272132985</v>
      </c>
      <c r="AV17" s="395">
        <v>0.97427527110114376</v>
      </c>
      <c r="AW17" s="395">
        <v>0.97884296496014478</v>
      </c>
    </row>
    <row r="18" spans="1:58" x14ac:dyDescent="0.25">
      <c r="A18" s="12">
        <v>3.2299999999999995</v>
      </c>
      <c r="B18" s="12">
        <v>17.321999999999999</v>
      </c>
      <c r="C18" s="12">
        <v>66.195999999999998</v>
      </c>
      <c r="D18" s="20">
        <v>4.3098018023774003</v>
      </c>
      <c r="E18" s="20">
        <v>3.1268407365577531</v>
      </c>
      <c r="F18" s="20">
        <v>2.510117188534128</v>
      </c>
      <c r="G18" s="21">
        <v>72.921558070481296</v>
      </c>
      <c r="H18" s="21">
        <v>55.686438219150958</v>
      </c>
      <c r="I18" s="21">
        <v>54.094528757662928</v>
      </c>
      <c r="J18" s="8">
        <v>3.2299999999999995</v>
      </c>
      <c r="K18" s="8">
        <v>17.321999999999999</v>
      </c>
      <c r="L18" s="8">
        <v>66.195999999999998</v>
      </c>
      <c r="M18" s="8">
        <v>4.3040275419922231</v>
      </c>
      <c r="N18" s="8">
        <v>3.1268407365577531</v>
      </c>
      <c r="O18" s="8">
        <v>2.510117188534128</v>
      </c>
      <c r="P18" s="44">
        <v>72.921558070481296</v>
      </c>
      <c r="Q18" s="44">
        <v>55.686438219150958</v>
      </c>
      <c r="R18" s="44">
        <v>54.094528757662928</v>
      </c>
      <c r="S18" s="17">
        <v>46.024837470473557</v>
      </c>
      <c r="T18" s="17">
        <v>45.99335451422229</v>
      </c>
      <c r="U18" s="17">
        <v>50.501845890278219</v>
      </c>
      <c r="V18" s="17">
        <v>50.501845890278219</v>
      </c>
      <c r="W18" s="17">
        <v>50.717239659997858</v>
      </c>
      <c r="X18" s="17">
        <v>50.717239659997858</v>
      </c>
      <c r="Y18" s="17">
        <v>1647.6221725956721</v>
      </c>
      <c r="Z18" s="17">
        <v>1647.4647578144159</v>
      </c>
      <c r="AA18" s="7">
        <v>43871</v>
      </c>
      <c r="AB18" s="352">
        <v>230.11474246549236</v>
      </c>
      <c r="AC18" s="352">
        <v>606.02215068333862</v>
      </c>
      <c r="AD18" s="352">
        <v>811.47583455996573</v>
      </c>
      <c r="AE18" s="354">
        <v>1647.6127277087965</v>
      </c>
      <c r="AF18" s="12">
        <v>3.14</v>
      </c>
      <c r="AG18" s="12">
        <v>16.77</v>
      </c>
      <c r="AH18" s="12">
        <v>65.28</v>
      </c>
      <c r="AI18" s="20">
        <v>4.4270833333333339</v>
      </c>
      <c r="AJ18" s="20">
        <v>3.2520325203252036</v>
      </c>
      <c r="AK18" s="20">
        <v>2.5675136357589463</v>
      </c>
      <c r="AL18" s="68">
        <v>81.646542607684509</v>
      </c>
      <c r="AM18" s="68">
        <v>58.209059934160187</v>
      </c>
      <c r="AN18" s="68">
        <v>56.097202138470081</v>
      </c>
      <c r="AO18" s="395">
        <v>0.97213622291021684</v>
      </c>
      <c r="AP18" s="395">
        <v>0.9681330100450295</v>
      </c>
      <c r="AQ18" s="395">
        <v>0.98616230587950937</v>
      </c>
      <c r="AR18" s="395">
        <v>0.97350817183113025</v>
      </c>
      <c r="AS18" s="395">
        <v>0.96150352649150894</v>
      </c>
      <c r="AT18" s="395">
        <v>0.97764512467414721</v>
      </c>
      <c r="AU18" s="395">
        <v>0.93568209272132985</v>
      </c>
      <c r="AV18" s="395">
        <v>0.97427527110114376</v>
      </c>
      <c r="AW18" s="395">
        <v>0.97884296496014478</v>
      </c>
    </row>
    <row r="19" spans="1:58" x14ac:dyDescent="0.25">
      <c r="A19" s="12">
        <v>3.2299999999999995</v>
      </c>
      <c r="B19" s="12">
        <v>17.321999999999999</v>
      </c>
      <c r="C19" s="12">
        <v>66.195999999999998</v>
      </c>
      <c r="D19" s="20">
        <v>4.3098018023774003</v>
      </c>
      <c r="E19" s="20">
        <v>3.1268407365577531</v>
      </c>
      <c r="F19" s="20">
        <v>2.510117188534128</v>
      </c>
      <c r="G19" s="21">
        <v>72.921558070481296</v>
      </c>
      <c r="H19" s="21">
        <v>55.686438219150958</v>
      </c>
      <c r="I19" s="21">
        <v>54.094528757662928</v>
      </c>
      <c r="J19" s="8">
        <v>3.2299999999999995</v>
      </c>
      <c r="K19" s="8">
        <v>17.321999999999999</v>
      </c>
      <c r="L19" s="8">
        <v>66.195999999999998</v>
      </c>
      <c r="M19" s="8">
        <v>4.3040275419922231</v>
      </c>
      <c r="N19" s="8">
        <v>3.1268407365577531</v>
      </c>
      <c r="O19" s="8">
        <v>2.510117188534128</v>
      </c>
      <c r="P19" s="44">
        <v>72.921558070481296</v>
      </c>
      <c r="Q19" s="44">
        <v>55.686438219150958</v>
      </c>
      <c r="R19" s="44">
        <v>54.094528757662928</v>
      </c>
      <c r="S19" s="17">
        <v>46.024837470473557</v>
      </c>
      <c r="T19" s="17">
        <v>45.99335451422229</v>
      </c>
      <c r="U19" s="17">
        <v>50.501845890278219</v>
      </c>
      <c r="V19" s="17">
        <v>50.501845890278219</v>
      </c>
      <c r="W19" s="17">
        <v>50.717239659997858</v>
      </c>
      <c r="X19" s="17">
        <v>50.717239659997858</v>
      </c>
      <c r="Y19" s="17">
        <v>1647.6221725956721</v>
      </c>
      <c r="Z19" s="17">
        <v>1647.4647578144159</v>
      </c>
      <c r="AA19" s="7">
        <v>43878</v>
      </c>
      <c r="AB19" s="352">
        <v>230.11474246549236</v>
      </c>
      <c r="AC19" s="352">
        <v>606.02215068333862</v>
      </c>
      <c r="AD19" s="352">
        <v>811.47583455996573</v>
      </c>
      <c r="AE19" s="354">
        <v>1647.6127277087965</v>
      </c>
      <c r="AF19" s="12">
        <v>3.14</v>
      </c>
      <c r="AG19" s="12">
        <v>16.77</v>
      </c>
      <c r="AH19" s="12">
        <v>65.28</v>
      </c>
      <c r="AI19" s="20">
        <v>4.4270833333333339</v>
      </c>
      <c r="AJ19" s="20">
        <v>3.2520325203252036</v>
      </c>
      <c r="AK19" s="20">
        <v>2.5675136357589463</v>
      </c>
      <c r="AL19" s="68">
        <v>81.646542607684509</v>
      </c>
      <c r="AM19" s="68">
        <v>58.209059934160187</v>
      </c>
      <c r="AN19" s="68">
        <v>56.097202138470081</v>
      </c>
      <c r="AO19" s="395">
        <v>0.97213622291021684</v>
      </c>
      <c r="AP19" s="395">
        <v>0.9681330100450295</v>
      </c>
      <c r="AQ19" s="395">
        <v>0.98616230587950937</v>
      </c>
      <c r="AR19" s="395">
        <v>0.97350817183113025</v>
      </c>
      <c r="AS19" s="395">
        <v>0.96150352649150894</v>
      </c>
      <c r="AT19" s="395">
        <v>0.97764512467414721</v>
      </c>
      <c r="AU19" s="395">
        <v>0.93568209272132985</v>
      </c>
      <c r="AV19" s="395">
        <v>0.97427527110114376</v>
      </c>
      <c r="AW19" s="395">
        <v>0.97884296496014478</v>
      </c>
    </row>
    <row r="20" spans="1:58" x14ac:dyDescent="0.25">
      <c r="A20" s="12">
        <v>3.2299999999999995</v>
      </c>
      <c r="B20" s="12">
        <v>17.321999999999999</v>
      </c>
      <c r="C20" s="12">
        <v>65.899999999999991</v>
      </c>
      <c r="D20" s="20">
        <v>4.3098018023774003</v>
      </c>
      <c r="E20" s="20">
        <v>3.1268407365577531</v>
      </c>
      <c r="F20" s="20">
        <v>2.510117188534128</v>
      </c>
      <c r="G20" s="21">
        <v>72.921558070481296</v>
      </c>
      <c r="H20" s="21">
        <v>55.686438219150958</v>
      </c>
      <c r="I20" s="21">
        <v>54.094528757662928</v>
      </c>
      <c r="J20" s="8">
        <v>3.2299999999999995</v>
      </c>
      <c r="K20" s="8">
        <v>17.321999999999999</v>
      </c>
      <c r="L20" s="8">
        <v>65.899999999999991</v>
      </c>
      <c r="M20" s="8">
        <v>4.3040275419922231</v>
      </c>
      <c r="N20" s="8">
        <v>3.1268407365577531</v>
      </c>
      <c r="O20" s="8">
        <v>2.510117188534128</v>
      </c>
      <c r="P20" s="44">
        <v>72.921558070481296</v>
      </c>
      <c r="Q20" s="44">
        <v>55.686438219150958</v>
      </c>
      <c r="R20" s="44">
        <v>54.094528757662928</v>
      </c>
      <c r="S20" s="17">
        <v>46.024837470473557</v>
      </c>
      <c r="T20" s="17">
        <v>45.99335451422229</v>
      </c>
      <c r="U20" s="17">
        <v>50.501845890278219</v>
      </c>
      <c r="V20" s="17">
        <v>50.501845890278219</v>
      </c>
      <c r="W20" s="17">
        <v>50.801119242872687</v>
      </c>
      <c r="X20" s="17">
        <v>50.801119242872687</v>
      </c>
      <c r="Y20" s="17">
        <v>1648.9642459216693</v>
      </c>
      <c r="Z20" s="17">
        <v>1648.8068311404131</v>
      </c>
      <c r="AA20" s="7">
        <v>43885</v>
      </c>
      <c r="AB20" s="352">
        <v>230.11474246549236</v>
      </c>
      <c r="AC20" s="352">
        <v>606.02215068333862</v>
      </c>
      <c r="AD20" s="352">
        <v>812.81790788596288</v>
      </c>
      <c r="AE20" s="354">
        <v>1648.9548010347937</v>
      </c>
      <c r="AF20" s="12">
        <v>3.14</v>
      </c>
      <c r="AG20" s="12">
        <v>16.77</v>
      </c>
      <c r="AH20" s="12">
        <v>65.28</v>
      </c>
      <c r="AI20" s="20">
        <v>4.4270833333333339</v>
      </c>
      <c r="AJ20" s="20">
        <v>3.2520325203252036</v>
      </c>
      <c r="AK20" s="20">
        <v>2.5675136357589463</v>
      </c>
      <c r="AL20" s="68">
        <v>81.646542607684509</v>
      </c>
      <c r="AM20" s="68">
        <v>58.209059934160187</v>
      </c>
      <c r="AN20" s="68">
        <v>56.097202138470081</v>
      </c>
      <c r="AO20" s="395">
        <v>0.97213622291021684</v>
      </c>
      <c r="AP20" s="395">
        <v>0.9681330100450295</v>
      </c>
      <c r="AQ20" s="395">
        <v>0.99059180576631278</v>
      </c>
      <c r="AR20" s="395">
        <v>0.97350817183113025</v>
      </c>
      <c r="AS20" s="395">
        <v>0.96150352649150894</v>
      </c>
      <c r="AT20" s="395">
        <v>0.97764512467414721</v>
      </c>
      <c r="AU20" s="395">
        <v>0.93568209272132985</v>
      </c>
      <c r="AV20" s="395">
        <v>0.97427527110114376</v>
      </c>
      <c r="AW20" s="395">
        <v>0.97884296496014478</v>
      </c>
    </row>
    <row r="21" spans="1:58" x14ac:dyDescent="0.25">
      <c r="A21" s="12">
        <v>3.1759999999999997</v>
      </c>
      <c r="B21" s="12">
        <v>17.321999999999999</v>
      </c>
      <c r="C21" s="12">
        <v>65.738</v>
      </c>
      <c r="D21" s="20">
        <v>4.3098018023774003</v>
      </c>
      <c r="E21" s="20">
        <v>3.2065796364398755</v>
      </c>
      <c r="F21" s="20">
        <v>2.5998822830821391</v>
      </c>
      <c r="G21" s="21">
        <v>75.345430233699517</v>
      </c>
      <c r="H21" s="21">
        <v>55.686438219150958</v>
      </c>
      <c r="I21" s="21">
        <v>54.94424164813968</v>
      </c>
      <c r="J21" s="8">
        <v>3.1759999999999997</v>
      </c>
      <c r="K21" s="8">
        <v>17.321999999999999</v>
      </c>
      <c r="L21" s="8">
        <v>65.738</v>
      </c>
      <c r="M21" s="8">
        <v>4.3040275419922231</v>
      </c>
      <c r="N21" s="8">
        <v>3.2065796364398755</v>
      </c>
      <c r="O21" s="8">
        <v>2.5998822830821391</v>
      </c>
      <c r="P21" s="44">
        <v>75.345430233699517</v>
      </c>
      <c r="Q21" s="44">
        <v>55.686438219150958</v>
      </c>
      <c r="R21" s="44">
        <v>54.94424164813968</v>
      </c>
      <c r="S21" s="17">
        <v>46.53050561581373</v>
      </c>
      <c r="T21" s="17">
        <v>46.499022659562456</v>
      </c>
      <c r="U21" s="17">
        <v>50.992991288102886</v>
      </c>
      <c r="V21" s="17">
        <v>50.992991288102886</v>
      </c>
      <c r="W21" s="17">
        <v>51.723951345307739</v>
      </c>
      <c r="X21" s="17">
        <v>51.723951345307739</v>
      </c>
      <c r="Y21" s="17">
        <v>1672.1516450612271</v>
      </c>
      <c r="Z21" s="17">
        <v>1671.9942302799709</v>
      </c>
      <c r="AA21" s="7">
        <v>43892</v>
      </c>
      <c r="AB21" s="352">
        <v>232.64308319219325</v>
      </c>
      <c r="AC21" s="352">
        <v>611.91589545723446</v>
      </c>
      <c r="AD21" s="352">
        <v>827.58322152492383</v>
      </c>
      <c r="AE21" s="354">
        <v>1672.1422001743517</v>
      </c>
      <c r="AF21" s="12">
        <v>3.13</v>
      </c>
      <c r="AG21" s="12">
        <v>16.77</v>
      </c>
      <c r="AH21" s="12">
        <v>65.28</v>
      </c>
      <c r="AI21" s="20">
        <v>4.4270833333333339</v>
      </c>
      <c r="AJ21" s="20">
        <v>3.4680014301036826</v>
      </c>
      <c r="AK21" s="20">
        <v>2.6312583749543181</v>
      </c>
      <c r="AL21" s="68">
        <v>81.646542607684509</v>
      </c>
      <c r="AM21" s="68">
        <v>58.209059934160187</v>
      </c>
      <c r="AN21" s="68">
        <v>56.180033835934495</v>
      </c>
      <c r="AO21" s="395">
        <v>0.98551637279596982</v>
      </c>
      <c r="AP21" s="395">
        <v>0.9681330100450295</v>
      </c>
      <c r="AQ21" s="395">
        <v>0.9930329489792814</v>
      </c>
      <c r="AR21" s="395">
        <v>0.97350817183113025</v>
      </c>
      <c r="AS21" s="395">
        <v>0.92461889104353934</v>
      </c>
      <c r="AT21" s="395">
        <v>0.98807563249172603</v>
      </c>
      <c r="AU21" s="395">
        <v>0.9538538440205262</v>
      </c>
      <c r="AV21" s="395">
        <v>0.97427527110114376</v>
      </c>
      <c r="AW21" s="395">
        <v>0.98700137371077934</v>
      </c>
      <c r="AX21" s="431" t="s">
        <v>731</v>
      </c>
      <c r="BB21" s="432" t="s">
        <v>732</v>
      </c>
      <c r="BC21" s="432" t="s">
        <v>733</v>
      </c>
      <c r="BF21" s="431" t="s">
        <v>734</v>
      </c>
    </row>
    <row r="22" spans="1:58" x14ac:dyDescent="0.25">
      <c r="A22" s="12">
        <v>3.1759999999999997</v>
      </c>
      <c r="B22" s="12">
        <v>17.321999999999999</v>
      </c>
      <c r="C22" s="12">
        <v>64.512</v>
      </c>
      <c r="D22" s="20">
        <v>4.3552013181158982</v>
      </c>
      <c r="E22" s="20">
        <v>3.2065796364398755</v>
      </c>
      <c r="F22" s="20">
        <v>2.6099345993080236</v>
      </c>
      <c r="G22" s="21">
        <v>76.212499433204016</v>
      </c>
      <c r="H22" s="21">
        <v>55.686438219150958</v>
      </c>
      <c r="I22" s="21">
        <v>55.086386416024027</v>
      </c>
      <c r="J22" s="8">
        <v>3.1759999999999997</v>
      </c>
      <c r="K22" s="8">
        <v>17.321999999999999</v>
      </c>
      <c r="L22" s="8">
        <v>64.512</v>
      </c>
      <c r="M22" s="8">
        <v>4.3552013181158982</v>
      </c>
      <c r="N22" s="8">
        <v>3.2065796364398755</v>
      </c>
      <c r="O22" s="8">
        <v>2.6099345993080236</v>
      </c>
      <c r="P22" s="44">
        <v>76.212499433204016</v>
      </c>
      <c r="Q22" s="44">
        <v>55.686438219150958</v>
      </c>
      <c r="R22" s="44">
        <v>55.086386416024027</v>
      </c>
      <c r="S22" s="17">
        <v>46.867862187669957</v>
      </c>
      <c r="T22" s="17">
        <v>46.867862187669957</v>
      </c>
      <c r="U22" s="17">
        <v>50.992991288102886</v>
      </c>
      <c r="V22" s="17">
        <v>50.992991288102886</v>
      </c>
      <c r="W22" s="17">
        <v>52.191150028916923</v>
      </c>
      <c r="X22" s="17">
        <v>52.191150028916923</v>
      </c>
      <c r="Y22" s="17">
        <v>1681.3136068582553</v>
      </c>
      <c r="Z22" s="17">
        <v>1681.3136068582553</v>
      </c>
      <c r="AA22" s="7">
        <v>43899</v>
      </c>
      <c r="AB22" s="352">
        <v>234.3393109383498</v>
      </c>
      <c r="AC22" s="352">
        <v>611.91589545723446</v>
      </c>
      <c r="AD22" s="352">
        <v>835.05840046267065</v>
      </c>
      <c r="AE22" s="354">
        <v>1681.3136068582553</v>
      </c>
      <c r="AF22" s="12">
        <v>3.13</v>
      </c>
      <c r="AG22" s="12">
        <v>16.77</v>
      </c>
      <c r="AH22" s="12">
        <v>62.53</v>
      </c>
      <c r="AI22" s="20">
        <v>4.4642857142857135</v>
      </c>
      <c r="AJ22" s="20">
        <v>3.4680014301036826</v>
      </c>
      <c r="AK22" s="20">
        <v>2.6312583749543181</v>
      </c>
      <c r="AL22" s="68">
        <v>81.646542607684509</v>
      </c>
      <c r="AM22" s="68">
        <v>58.209059934160187</v>
      </c>
      <c r="AN22" s="68">
        <v>56.180033835934495</v>
      </c>
      <c r="AO22" s="395">
        <v>0.98551637279596982</v>
      </c>
      <c r="AP22" s="395">
        <v>0.9681330100450295</v>
      </c>
      <c r="AQ22" s="395">
        <v>0.96927703373015872</v>
      </c>
      <c r="AR22" s="395">
        <v>0.97556509525796131</v>
      </c>
      <c r="AS22" s="395">
        <v>0.92461889104353934</v>
      </c>
      <c r="AT22" s="395">
        <v>0.99189597804257257</v>
      </c>
      <c r="AU22" s="395">
        <v>0.96029561257424256</v>
      </c>
      <c r="AV22" s="395">
        <v>0.97427527110114376</v>
      </c>
      <c r="AW22" s="395">
        <v>0.98850260093339659</v>
      </c>
      <c r="AZ22" s="431" t="s">
        <v>735</v>
      </c>
      <c r="BA22" s="432" t="s">
        <v>736</v>
      </c>
    </row>
    <row r="23" spans="1:58" x14ac:dyDescent="0.25">
      <c r="A23" s="12">
        <v>3.1339999999999999</v>
      </c>
      <c r="B23" s="12">
        <v>17.321999999999999</v>
      </c>
      <c r="C23" s="12">
        <v>64.054000000000002</v>
      </c>
      <c r="D23" s="20">
        <v>4.3995678506008575</v>
      </c>
      <c r="E23" s="20">
        <v>3.2068389881239225</v>
      </c>
      <c r="F23" s="20">
        <v>2.706903557972467</v>
      </c>
      <c r="G23" s="21">
        <v>76.728965399369017</v>
      </c>
      <c r="H23" s="21">
        <v>55.686438219150958</v>
      </c>
      <c r="I23" s="21">
        <v>58.147820335773112</v>
      </c>
      <c r="J23" s="8">
        <v>3.1339999999999999</v>
      </c>
      <c r="K23" s="8">
        <v>17.321999999999999</v>
      </c>
      <c r="L23" s="8">
        <v>64.054000000000002</v>
      </c>
      <c r="M23" s="8">
        <v>4.3995678506008575</v>
      </c>
      <c r="N23" s="8">
        <v>3.2068389881239225</v>
      </c>
      <c r="O23" s="8">
        <v>2.706903557972467</v>
      </c>
      <c r="P23" s="44">
        <v>76.728965399369017</v>
      </c>
      <c r="Q23" s="44">
        <v>55.686438219150958</v>
      </c>
      <c r="R23" s="44">
        <v>58.147820335773112</v>
      </c>
      <c r="S23" s="17">
        <v>47.367324606331564</v>
      </c>
      <c r="T23" s="17">
        <v>47.367324606331564</v>
      </c>
      <c r="U23" s="17">
        <v>50.99458874412781</v>
      </c>
      <c r="V23" s="17">
        <v>50.99458874412781</v>
      </c>
      <c r="W23" s="17">
        <v>53.807224046799419</v>
      </c>
      <c r="X23" s="17">
        <v>53.807224046799419</v>
      </c>
      <c r="Y23" s="17">
        <v>1709.6872727099822</v>
      </c>
      <c r="Z23" s="17">
        <v>1709.6872727099822</v>
      </c>
      <c r="AA23" s="7">
        <v>43906</v>
      </c>
      <c r="AB23" s="352">
        <v>236.83662303165781</v>
      </c>
      <c r="AC23" s="352">
        <v>611.93506492953361</v>
      </c>
      <c r="AD23" s="352">
        <v>860.91558474879059</v>
      </c>
      <c r="AE23" s="354">
        <v>1709.6872727099822</v>
      </c>
      <c r="AF23" s="12">
        <v>3</v>
      </c>
      <c r="AG23" s="12">
        <v>16.77</v>
      </c>
      <c r="AH23" s="12">
        <v>62.53</v>
      </c>
      <c r="AI23" s="20">
        <v>4.4701986754966887</v>
      </c>
      <c r="AJ23" s="20">
        <v>3.4680014301036826</v>
      </c>
      <c r="AK23" s="20">
        <v>2.7800053461641276</v>
      </c>
      <c r="AL23" s="68">
        <v>81.646542607684509</v>
      </c>
      <c r="AM23" s="68">
        <v>58.209059934160187</v>
      </c>
      <c r="AN23" s="68">
        <v>59.519234322349604</v>
      </c>
      <c r="AO23" s="395">
        <v>0.95724313975749842</v>
      </c>
      <c r="AP23" s="395">
        <v>0.9681330100450295</v>
      </c>
      <c r="AQ23" s="395">
        <v>0.9762075748587129</v>
      </c>
      <c r="AR23" s="395">
        <v>0.98419962287515483</v>
      </c>
      <c r="AS23" s="395">
        <v>0.92469367523532076</v>
      </c>
      <c r="AT23" s="395">
        <v>0.97370444330528816</v>
      </c>
      <c r="AU23" s="395">
        <v>0.96411828518872633</v>
      </c>
      <c r="AV23" s="395">
        <v>0.97427527110114376</v>
      </c>
      <c r="AW23" s="395">
        <v>0.98638115685001004</v>
      </c>
      <c r="AX23" s="431" t="s">
        <v>737</v>
      </c>
      <c r="BA23" s="432" t="s">
        <v>738</v>
      </c>
      <c r="BC23" s="432" t="s">
        <v>739</v>
      </c>
      <c r="BF23" s="431" t="s">
        <v>740</v>
      </c>
    </row>
    <row r="24" spans="1:58" x14ac:dyDescent="0.25">
      <c r="A24" s="12">
        <v>3.1339999999999999</v>
      </c>
      <c r="B24" s="12">
        <v>17.321999999999999</v>
      </c>
      <c r="C24" s="12">
        <v>64.054000000000002</v>
      </c>
      <c r="D24" s="20">
        <v>4.3995678506008575</v>
      </c>
      <c r="E24" s="20">
        <v>3.2068389881239225</v>
      </c>
      <c r="F24" s="20">
        <v>2.706903557972467</v>
      </c>
      <c r="G24" s="21">
        <v>76.728965399369017</v>
      </c>
      <c r="H24" s="21">
        <v>55.686438219150958</v>
      </c>
      <c r="I24" s="21">
        <v>58.147820335773112</v>
      </c>
      <c r="J24" s="8">
        <v>3.1339999999999999</v>
      </c>
      <c r="K24" s="8">
        <v>17.321999999999999</v>
      </c>
      <c r="L24" s="8">
        <v>64.054000000000002</v>
      </c>
      <c r="M24" s="8">
        <v>4.3995678506008575</v>
      </c>
      <c r="N24" s="8">
        <v>3.2068389881239225</v>
      </c>
      <c r="O24" s="8">
        <v>2.706903557972467</v>
      </c>
      <c r="P24" s="44">
        <v>76.728965399369017</v>
      </c>
      <c r="Q24" s="44">
        <v>55.686438219150958</v>
      </c>
      <c r="R24" s="44">
        <v>58.147820335773112</v>
      </c>
      <c r="S24" s="17">
        <v>47.367324606331564</v>
      </c>
      <c r="T24" s="17">
        <v>47.367324606331564</v>
      </c>
      <c r="U24" s="17">
        <v>50.99458874412781</v>
      </c>
      <c r="V24" s="17">
        <v>50.99458874412781</v>
      </c>
      <c r="W24" s="17">
        <v>53.807224046799419</v>
      </c>
      <c r="X24" s="17">
        <v>53.807224046799419</v>
      </c>
      <c r="Y24" s="17">
        <v>1709.6872727099822</v>
      </c>
      <c r="Z24" s="17">
        <v>1709.6872727099822</v>
      </c>
      <c r="AA24" s="7">
        <v>43913</v>
      </c>
      <c r="AB24" s="352">
        <v>236.83662303165781</v>
      </c>
      <c r="AC24" s="352">
        <v>611.93506492953361</v>
      </c>
      <c r="AD24" s="352">
        <v>860.91558474879059</v>
      </c>
      <c r="AE24" s="354">
        <v>1709.6872727099822</v>
      </c>
      <c r="AF24" s="12">
        <v>3</v>
      </c>
      <c r="AG24" s="12">
        <v>16.77</v>
      </c>
      <c r="AH24" s="12">
        <v>62.53</v>
      </c>
      <c r="AI24" s="20">
        <v>4.4701986754966887</v>
      </c>
      <c r="AJ24" s="20">
        <v>3.4680014301036826</v>
      </c>
      <c r="AK24" s="20">
        <v>2.7800053461641276</v>
      </c>
      <c r="AL24" s="68">
        <v>81.646542607684509</v>
      </c>
      <c r="AM24" s="68">
        <v>58.209059934160187</v>
      </c>
      <c r="AN24" s="68">
        <v>59.519234322349604</v>
      </c>
      <c r="AO24" s="395">
        <v>0.95724313975749842</v>
      </c>
      <c r="AP24" s="395">
        <v>0.9681330100450295</v>
      </c>
      <c r="AQ24" s="395">
        <v>0.9762075748587129</v>
      </c>
      <c r="AR24" s="395">
        <v>0.98419962287515483</v>
      </c>
      <c r="AS24" s="395">
        <v>0.92469367523532076</v>
      </c>
      <c r="AT24" s="395">
        <v>0.97370444330528816</v>
      </c>
      <c r="AU24" s="395">
        <v>0.96411828518872633</v>
      </c>
      <c r="AV24" s="395">
        <v>0.97427527110114376</v>
      </c>
      <c r="AW24" s="395">
        <v>0.98638115685001004</v>
      </c>
    </row>
    <row r="25" spans="1:58" x14ac:dyDescent="0.25">
      <c r="A25" s="12">
        <v>3.1339999999999999</v>
      </c>
      <c r="B25" s="12">
        <v>17.321999999999999</v>
      </c>
      <c r="C25" s="12">
        <v>64.054000000000002</v>
      </c>
      <c r="D25" s="20">
        <v>4.3995678506008575</v>
      </c>
      <c r="E25" s="20">
        <v>3.2068389881239225</v>
      </c>
      <c r="F25" s="20">
        <v>2.706903557972467</v>
      </c>
      <c r="G25" s="21">
        <v>76.728965399369017</v>
      </c>
      <c r="H25" s="21">
        <v>55.686438219150958</v>
      </c>
      <c r="I25" s="21">
        <v>58.147820335773112</v>
      </c>
      <c r="J25" s="8">
        <v>3.1339999999999999</v>
      </c>
      <c r="K25" s="8">
        <v>17.321999999999999</v>
      </c>
      <c r="L25" s="8">
        <v>64.054000000000002</v>
      </c>
      <c r="M25" s="8">
        <v>4.3995678506008575</v>
      </c>
      <c r="N25" s="8">
        <v>3.2068389881239225</v>
      </c>
      <c r="O25" s="8">
        <v>2.706903557972467</v>
      </c>
      <c r="P25" s="44">
        <v>76.728965399369017</v>
      </c>
      <c r="Q25" s="44">
        <v>55.686438219150958</v>
      </c>
      <c r="R25" s="44">
        <v>58.147820335773112</v>
      </c>
      <c r="S25" s="17">
        <v>47.367324606331564</v>
      </c>
      <c r="T25" s="17">
        <v>47.367324606331564</v>
      </c>
      <c r="U25" s="17">
        <v>50.99458874412781</v>
      </c>
      <c r="V25" s="17">
        <v>50.99458874412781</v>
      </c>
      <c r="W25" s="17">
        <v>53.807224046799419</v>
      </c>
      <c r="X25" s="17">
        <v>53.807224046799419</v>
      </c>
      <c r="Y25" s="17">
        <v>1709.6872727099822</v>
      </c>
      <c r="Z25" s="17">
        <v>1709.6872727099822</v>
      </c>
      <c r="AA25" s="7">
        <v>43920</v>
      </c>
      <c r="AB25" s="352">
        <v>236.83662303165781</v>
      </c>
      <c r="AC25" s="352">
        <v>611.93506492953361</v>
      </c>
      <c r="AD25" s="352">
        <v>860.91558474879059</v>
      </c>
      <c r="AE25" s="354">
        <v>1709.6872727099822</v>
      </c>
      <c r="AF25" s="12">
        <v>3</v>
      </c>
      <c r="AG25" s="12">
        <v>16.77</v>
      </c>
      <c r="AH25" s="12">
        <v>62.53</v>
      </c>
      <c r="AI25" s="20">
        <v>4.4701986754966887</v>
      </c>
      <c r="AJ25" s="20">
        <v>3.4680014301036826</v>
      </c>
      <c r="AK25" s="20">
        <v>2.7800053461641276</v>
      </c>
      <c r="AL25" s="68">
        <v>81.646542607684509</v>
      </c>
      <c r="AM25" s="68">
        <v>58.209059934160187</v>
      </c>
      <c r="AN25" s="68">
        <v>59.519234322349604</v>
      </c>
      <c r="AO25" s="395">
        <v>0.95724313975749842</v>
      </c>
      <c r="AP25" s="395">
        <v>0.9681330100450295</v>
      </c>
      <c r="AQ25" s="395">
        <v>0.9762075748587129</v>
      </c>
      <c r="AR25" s="395">
        <v>0.98419962287515483</v>
      </c>
      <c r="AS25" s="395">
        <v>0.92469367523532076</v>
      </c>
      <c r="AT25" s="395">
        <v>0.97370444330528816</v>
      </c>
      <c r="AU25" s="395">
        <v>0.96411828518872633</v>
      </c>
      <c r="AV25" s="395">
        <v>0.97427527110114376</v>
      </c>
      <c r="AW25" s="395">
        <v>0.98638115685001004</v>
      </c>
    </row>
    <row r="26" spans="1:58" x14ac:dyDescent="0.25">
      <c r="A26" s="12">
        <v>3.1339999999999999</v>
      </c>
      <c r="B26" s="12">
        <v>17.321999999999999</v>
      </c>
      <c r="C26" s="12">
        <v>63.664000000000001</v>
      </c>
      <c r="D26" s="20">
        <v>4.3995678506008575</v>
      </c>
      <c r="E26" s="20">
        <v>3.2068389881239225</v>
      </c>
      <c r="F26" s="20">
        <v>2.706903557972467</v>
      </c>
      <c r="G26" s="21">
        <v>76.728965399369017</v>
      </c>
      <c r="H26" s="21">
        <v>55.686438219150958</v>
      </c>
      <c r="I26" s="21">
        <v>58.147820335773112</v>
      </c>
      <c r="J26" s="8">
        <v>3.1339999999999999</v>
      </c>
      <c r="K26" s="8">
        <v>17.321999999999999</v>
      </c>
      <c r="L26" s="8">
        <v>63.664000000000001</v>
      </c>
      <c r="M26" s="8">
        <v>4.3995678506008575</v>
      </c>
      <c r="N26" s="8">
        <v>3.2068389881239225</v>
      </c>
      <c r="O26" s="8">
        <v>2.706903557972467</v>
      </c>
      <c r="P26" s="44">
        <v>76.728965399369017</v>
      </c>
      <c r="Q26" s="44">
        <v>55.686438219150958</v>
      </c>
      <c r="R26" s="44">
        <v>58.147820335773112</v>
      </c>
      <c r="S26" s="17">
        <v>47.367324606331564</v>
      </c>
      <c r="T26" s="17">
        <v>47.367324606331564</v>
      </c>
      <c r="U26" s="17">
        <v>50.99458874412781</v>
      </c>
      <c r="V26" s="17">
        <v>50.99458874412781</v>
      </c>
      <c r="W26" s="17">
        <v>53.925448181134179</v>
      </c>
      <c r="X26" s="17">
        <v>53.925448181134179</v>
      </c>
      <c r="Y26" s="17">
        <v>1711.5788588593384</v>
      </c>
      <c r="Z26" s="17">
        <v>1711.5788588593384</v>
      </c>
      <c r="AA26" s="7">
        <v>43927</v>
      </c>
      <c r="AB26" s="352">
        <v>236.83662303165781</v>
      </c>
      <c r="AC26" s="352">
        <v>611.93506492953361</v>
      </c>
      <c r="AD26" s="352">
        <v>862.80717089814686</v>
      </c>
      <c r="AE26" s="354">
        <v>1711.5788588593384</v>
      </c>
      <c r="AF26" s="12">
        <v>3</v>
      </c>
      <c r="AG26" s="12">
        <v>16.77</v>
      </c>
      <c r="AH26" s="12">
        <v>62.53</v>
      </c>
      <c r="AI26" s="20">
        <v>4.4701986754966887</v>
      </c>
      <c r="AJ26" s="20">
        <v>3.4680014301036826</v>
      </c>
      <c r="AK26" s="20">
        <v>2.7800053461641276</v>
      </c>
      <c r="AL26" s="68">
        <v>81.646542607684509</v>
      </c>
      <c r="AM26" s="68">
        <v>58.209059934160187</v>
      </c>
      <c r="AN26" s="68">
        <v>59.519234322349604</v>
      </c>
      <c r="AO26" s="395">
        <v>0.95724313975749842</v>
      </c>
      <c r="AP26" s="395">
        <v>0.9681330100450295</v>
      </c>
      <c r="AQ26" s="395">
        <v>0.98218773561196282</v>
      </c>
      <c r="AR26" s="395">
        <v>0.98419962287515483</v>
      </c>
      <c r="AS26" s="395">
        <v>0.92469367523532076</v>
      </c>
      <c r="AT26" s="395">
        <v>0.97370444330528816</v>
      </c>
      <c r="AU26" s="395">
        <v>0.96411828518872633</v>
      </c>
      <c r="AV26" s="395">
        <v>0.97427527110114376</v>
      </c>
      <c r="AW26" s="395">
        <v>0.98638115685001004</v>
      </c>
    </row>
    <row r="27" spans="1:58" x14ac:dyDescent="0.25">
      <c r="A27" s="12">
        <v>3.1240000000000001</v>
      </c>
      <c r="B27" s="12">
        <v>16.580000000000002</v>
      </c>
      <c r="C27" s="12">
        <v>63.664000000000001</v>
      </c>
      <c r="D27" s="20">
        <v>4.4087190745770641</v>
      </c>
      <c r="E27" s="20">
        <v>3.2068389881239225</v>
      </c>
      <c r="F27" s="20">
        <v>2.7424577486206987</v>
      </c>
      <c r="G27" s="21">
        <v>78.359094620292083</v>
      </c>
      <c r="H27" s="21">
        <v>57.525540399505218</v>
      </c>
      <c r="I27" s="21">
        <v>58.667699449357052</v>
      </c>
      <c r="J27" s="8">
        <v>3.1240000000000001</v>
      </c>
      <c r="K27" s="8">
        <v>16.580000000000002</v>
      </c>
      <c r="L27" s="8">
        <v>63.664000000000001</v>
      </c>
      <c r="M27" s="8">
        <v>4.4087190745770641</v>
      </c>
      <c r="N27" s="8">
        <v>3.2068389881239225</v>
      </c>
      <c r="O27" s="8">
        <v>2.7424577486206987</v>
      </c>
      <c r="P27" s="44">
        <v>78.359094620292083</v>
      </c>
      <c r="Q27" s="44">
        <v>57.525540399505218</v>
      </c>
      <c r="R27" s="44">
        <v>58.667699449357052</v>
      </c>
      <c r="S27" s="17">
        <v>47.635489299697625</v>
      </c>
      <c r="T27" s="17">
        <v>47.635489299697625</v>
      </c>
      <c r="U27" s="17">
        <v>52.244603448386826</v>
      </c>
      <c r="V27" s="17">
        <v>52.244603448386826</v>
      </c>
      <c r="W27" s="17">
        <v>54.318162487764965</v>
      </c>
      <c r="X27" s="17">
        <v>54.318162487764965</v>
      </c>
      <c r="Y27" s="17">
        <v>1734.2032876833694</v>
      </c>
      <c r="Z27" s="17">
        <v>1734.2032876833694</v>
      </c>
      <c r="AA27" s="7">
        <v>43934</v>
      </c>
      <c r="AB27" s="352">
        <v>238.17744649848811</v>
      </c>
      <c r="AC27" s="352">
        <v>626.93524138064186</v>
      </c>
      <c r="AD27" s="352">
        <v>869.09059980423933</v>
      </c>
      <c r="AE27" s="354">
        <v>1734.2032876833694</v>
      </c>
      <c r="AF27" s="12">
        <v>3</v>
      </c>
      <c r="AG27" s="12">
        <v>14.12</v>
      </c>
      <c r="AH27" s="12">
        <v>62.53</v>
      </c>
      <c r="AI27" s="20">
        <v>4.4701986754966887</v>
      </c>
      <c r="AJ27" s="20">
        <v>3.4680014301036826</v>
      </c>
      <c r="AK27" s="20">
        <v>2.7800053461641276</v>
      </c>
      <c r="AL27" s="68">
        <v>81.646542607684509</v>
      </c>
      <c r="AM27" s="68">
        <v>63.130810763502097</v>
      </c>
      <c r="AN27" s="68">
        <v>59.519234322349604</v>
      </c>
      <c r="AO27" s="395">
        <v>0.96030729833546735</v>
      </c>
      <c r="AP27" s="395">
        <v>0.85162846803377545</v>
      </c>
      <c r="AQ27" s="395">
        <v>0.98218773561196282</v>
      </c>
      <c r="AR27" s="395">
        <v>0.98624678557205436</v>
      </c>
      <c r="AS27" s="395">
        <v>0.92469367523532076</v>
      </c>
      <c r="AT27" s="395">
        <v>0.98649369592211844</v>
      </c>
      <c r="AU27" s="395">
        <v>0.97611491170878728</v>
      </c>
      <c r="AV27" s="395">
        <v>0.94677475824135726</v>
      </c>
      <c r="AW27" s="395">
        <v>0.99155922754532111</v>
      </c>
      <c r="AY27" s="431" t="s">
        <v>741</v>
      </c>
      <c r="BE27" s="431" t="s">
        <v>741</v>
      </c>
    </row>
    <row r="28" spans="1:58" x14ac:dyDescent="0.25">
      <c r="A28" s="12">
        <v>3.1240000000000001</v>
      </c>
      <c r="B28" s="12">
        <v>16.580000000000002</v>
      </c>
      <c r="C28" s="12">
        <v>63.664000000000001</v>
      </c>
      <c r="D28" s="20">
        <v>4.4087190745770641</v>
      </c>
      <c r="E28" s="20">
        <v>3.2068389881239225</v>
      </c>
      <c r="F28" s="20">
        <v>2.7424577486206987</v>
      </c>
      <c r="G28" s="21">
        <v>78.359094620292083</v>
      </c>
      <c r="H28" s="21">
        <v>57.525540399505218</v>
      </c>
      <c r="I28" s="21">
        <v>58.667699449357052</v>
      </c>
      <c r="J28" s="8">
        <v>3.1240000000000001</v>
      </c>
      <c r="K28" s="8">
        <v>16.580000000000002</v>
      </c>
      <c r="L28" s="8">
        <v>63.664000000000001</v>
      </c>
      <c r="M28" s="8">
        <v>4.4087190745770641</v>
      </c>
      <c r="N28" s="8">
        <v>3.2068389881239225</v>
      </c>
      <c r="O28" s="8">
        <v>2.7424577486206987</v>
      </c>
      <c r="P28" s="44">
        <v>78.359094620292083</v>
      </c>
      <c r="Q28" s="44">
        <v>57.525540399505218</v>
      </c>
      <c r="R28" s="44">
        <v>58.667699449357052</v>
      </c>
      <c r="S28" s="17">
        <v>47.635489299697625</v>
      </c>
      <c r="T28" s="17">
        <v>47.635489299697625</v>
      </c>
      <c r="U28" s="17">
        <v>52.244603448386826</v>
      </c>
      <c r="V28" s="17">
        <v>52.244603448386826</v>
      </c>
      <c r="W28" s="17">
        <v>54.318162487764965</v>
      </c>
      <c r="X28" s="17">
        <v>54.318162487764965</v>
      </c>
      <c r="Y28" s="17">
        <v>1734.2032876833694</v>
      </c>
      <c r="Z28" s="17">
        <v>1734.2032876833694</v>
      </c>
      <c r="AA28" s="7">
        <v>43941</v>
      </c>
      <c r="AB28" s="352">
        <v>238.17744649848811</v>
      </c>
      <c r="AC28" s="352">
        <v>626.93524138064186</v>
      </c>
      <c r="AD28" s="352">
        <v>869.09059980423933</v>
      </c>
      <c r="AE28" s="354">
        <v>1734.2032876833694</v>
      </c>
      <c r="AF28" s="12">
        <v>3</v>
      </c>
      <c r="AG28" s="12">
        <v>14.12</v>
      </c>
      <c r="AH28" s="12">
        <v>62.53</v>
      </c>
      <c r="AI28" s="20">
        <v>4.4701986754966887</v>
      </c>
      <c r="AJ28" s="20">
        <v>3.4680014301036826</v>
      </c>
      <c r="AK28" s="20">
        <v>2.7800053461641276</v>
      </c>
      <c r="AL28" s="68">
        <v>81.646542607684509</v>
      </c>
      <c r="AM28" s="68">
        <v>63.130810763502097</v>
      </c>
      <c r="AN28" s="68">
        <v>59.519234322349604</v>
      </c>
      <c r="AO28" s="395">
        <v>0.96030729833546735</v>
      </c>
      <c r="AP28" s="395">
        <v>0.85162846803377545</v>
      </c>
      <c r="AQ28" s="395">
        <v>0.98218773561196282</v>
      </c>
      <c r="AR28" s="395">
        <v>0.98624678557205436</v>
      </c>
      <c r="AS28" s="395">
        <v>0.92469367523532076</v>
      </c>
      <c r="AT28" s="395">
        <v>0.98649369592211844</v>
      </c>
      <c r="AU28" s="395">
        <v>0.97611491170878728</v>
      </c>
      <c r="AV28" s="395">
        <v>0.94677475824135726</v>
      </c>
      <c r="AW28" s="395">
        <v>0.99155922754532111</v>
      </c>
    </row>
    <row r="29" spans="1:58" x14ac:dyDescent="0.25">
      <c r="A29" s="12">
        <v>3.1120000000000001</v>
      </c>
      <c r="B29" s="12">
        <v>16.23</v>
      </c>
      <c r="C29" s="12">
        <v>63.664000000000001</v>
      </c>
      <c r="D29" s="20">
        <v>4.4087190745770641</v>
      </c>
      <c r="E29" s="20">
        <v>3.2068389881239225</v>
      </c>
      <c r="F29" s="20">
        <v>2.7424577486206987</v>
      </c>
      <c r="G29" s="21">
        <v>78.553925119737229</v>
      </c>
      <c r="H29" s="21">
        <v>57.525540399505218</v>
      </c>
      <c r="I29" s="21">
        <v>58.667699449357052</v>
      </c>
      <c r="J29" s="8">
        <v>3.1120000000000001</v>
      </c>
      <c r="K29" s="8">
        <v>16.23</v>
      </c>
      <c r="L29" s="8">
        <v>63.664000000000001</v>
      </c>
      <c r="M29" s="8">
        <v>4.4087190745770641</v>
      </c>
      <c r="N29" s="8">
        <v>3.2068389881239225</v>
      </c>
      <c r="O29" s="8">
        <v>2.7424577486206987</v>
      </c>
      <c r="P29" s="44">
        <v>78.553925119737229</v>
      </c>
      <c r="Q29" s="44">
        <v>57.525540399505218</v>
      </c>
      <c r="R29" s="44">
        <v>58.667699449357052</v>
      </c>
      <c r="S29" s="17">
        <v>47.715365122013495</v>
      </c>
      <c r="T29" s="17">
        <v>47.715365122013495</v>
      </c>
      <c r="U29" s="17">
        <v>52.663833351461371</v>
      </c>
      <c r="V29" s="17">
        <v>52.663833351461371</v>
      </c>
      <c r="W29" s="17">
        <v>54.318162487764965</v>
      </c>
      <c r="X29" s="17">
        <v>54.318162487764965</v>
      </c>
      <c r="Y29" s="17">
        <v>1739.6334256318435</v>
      </c>
      <c r="Z29" s="17">
        <v>1739.6334256318435</v>
      </c>
      <c r="AA29" s="7">
        <v>43948</v>
      </c>
      <c r="AB29" s="352">
        <v>238.57682561006749</v>
      </c>
      <c r="AC29" s="352">
        <v>631.96600021753636</v>
      </c>
      <c r="AD29" s="352">
        <v>869.09059980423933</v>
      </c>
      <c r="AE29" s="354">
        <v>1739.6334256318435</v>
      </c>
      <c r="AF29" s="12">
        <v>3</v>
      </c>
      <c r="AG29" s="12">
        <v>14.12</v>
      </c>
      <c r="AH29" s="12">
        <v>62.53</v>
      </c>
      <c r="AI29" s="20">
        <v>4.4701986754966887</v>
      </c>
      <c r="AJ29" s="20">
        <v>3.4680014301036826</v>
      </c>
      <c r="AK29" s="20">
        <v>2.7800053461641276</v>
      </c>
      <c r="AL29" s="68">
        <v>81.646542607684509</v>
      </c>
      <c r="AM29" s="68">
        <v>63.130810763502097</v>
      </c>
      <c r="AN29" s="68">
        <v>59.519234322349604</v>
      </c>
      <c r="AO29" s="395">
        <v>0.96401028277634959</v>
      </c>
      <c r="AP29" s="395">
        <v>0.86999383857054835</v>
      </c>
      <c r="AQ29" s="395">
        <v>0.98218773561196282</v>
      </c>
      <c r="AR29" s="395">
        <v>0.98624678557205436</v>
      </c>
      <c r="AS29" s="395">
        <v>0.92469367523532076</v>
      </c>
      <c r="AT29" s="395">
        <v>0.98649369592211844</v>
      </c>
      <c r="AU29" s="395">
        <v>0.97754182455298799</v>
      </c>
      <c r="AV29" s="395">
        <v>0.94677475824135726</v>
      </c>
      <c r="AW29" s="395">
        <v>0.99155922754532111</v>
      </c>
    </row>
    <row r="30" spans="1:58" x14ac:dyDescent="0.25">
      <c r="A30" s="12">
        <v>3.1120000000000001</v>
      </c>
      <c r="B30" s="12">
        <v>16.23</v>
      </c>
      <c r="C30" s="12">
        <v>63.281999999999996</v>
      </c>
      <c r="D30" s="20">
        <v>4.4087190745770641</v>
      </c>
      <c r="E30" s="20">
        <v>3.2068389881239225</v>
      </c>
      <c r="F30" s="20">
        <v>2.7424577486206987</v>
      </c>
      <c r="G30" s="21">
        <v>78.553925119737229</v>
      </c>
      <c r="H30" s="21">
        <v>57.525540399505218</v>
      </c>
      <c r="I30" s="21">
        <v>59.569191913715777</v>
      </c>
      <c r="J30" s="8">
        <v>3.1120000000000001</v>
      </c>
      <c r="K30" s="8">
        <v>16.23</v>
      </c>
      <c r="L30" s="8">
        <v>63.281999999999996</v>
      </c>
      <c r="M30" s="8">
        <v>4.4087190745770641</v>
      </c>
      <c r="N30" s="8">
        <v>3.2068389881239225</v>
      </c>
      <c r="O30" s="8">
        <v>2.7424577486206987</v>
      </c>
      <c r="P30" s="44">
        <v>78.553925119737229</v>
      </c>
      <c r="Q30" s="44">
        <v>57.525540399505218</v>
      </c>
      <c r="R30" s="44">
        <v>59.569191913715777</v>
      </c>
      <c r="S30" s="17">
        <v>47.715365122013495</v>
      </c>
      <c r="T30" s="17">
        <v>47.715365122013495</v>
      </c>
      <c r="U30" s="17">
        <v>52.663833351461371</v>
      </c>
      <c r="V30" s="17">
        <v>52.663833351461371</v>
      </c>
      <c r="W30" s="17">
        <v>54.659159331760961</v>
      </c>
      <c r="X30" s="17">
        <v>54.659159331760961</v>
      </c>
      <c r="Y30" s="17">
        <v>1745.0893751357794</v>
      </c>
      <c r="Z30" s="17">
        <v>1745.0893751357794</v>
      </c>
      <c r="AA30" s="7">
        <v>43955</v>
      </c>
      <c r="AB30" s="352">
        <v>238.57682561006749</v>
      </c>
      <c r="AC30" s="352">
        <v>631.96600021753636</v>
      </c>
      <c r="AD30" s="352">
        <v>874.54654930817537</v>
      </c>
      <c r="AE30" s="354">
        <v>1745.0893751357792</v>
      </c>
      <c r="AF30" s="12">
        <v>3</v>
      </c>
      <c r="AG30" s="12">
        <v>14.12</v>
      </c>
      <c r="AH30" s="12">
        <v>62.53</v>
      </c>
      <c r="AI30" s="20">
        <v>4.4701986754966887</v>
      </c>
      <c r="AJ30" s="20">
        <v>3.4680014301036826</v>
      </c>
      <c r="AK30" s="20">
        <v>2.7800053461641276</v>
      </c>
      <c r="AL30" s="68">
        <v>81.646542607684509</v>
      </c>
      <c r="AM30" s="68">
        <v>63.130810763502097</v>
      </c>
      <c r="AN30" s="68">
        <v>61.965588854670706</v>
      </c>
      <c r="AO30" s="395">
        <v>0.96401028277634959</v>
      </c>
      <c r="AP30" s="395">
        <v>0.86999383857054835</v>
      </c>
      <c r="AQ30" s="395">
        <v>0.98811668404917674</v>
      </c>
      <c r="AR30" s="395">
        <v>0.98624678557205436</v>
      </c>
      <c r="AS30" s="395">
        <v>0.92469367523532076</v>
      </c>
      <c r="AT30" s="395">
        <v>0.98649369592211844</v>
      </c>
      <c r="AU30" s="395">
        <v>0.97754182455298799</v>
      </c>
      <c r="AV30" s="395">
        <v>0.94677475824135726</v>
      </c>
      <c r="AW30" s="395">
        <v>0.97706665639204682</v>
      </c>
      <c r="BF30" s="431" t="s">
        <v>742</v>
      </c>
    </row>
    <row r="31" spans="1:58" x14ac:dyDescent="0.25">
      <c r="A31" s="12">
        <v>3.1120000000000001</v>
      </c>
      <c r="B31" s="12">
        <v>16.23</v>
      </c>
      <c r="C31" s="12">
        <v>63.281999999999996</v>
      </c>
      <c r="D31" s="20">
        <v>4.4087190745770641</v>
      </c>
      <c r="E31" s="20">
        <v>3.2068389881239225</v>
      </c>
      <c r="F31" s="20">
        <v>2.7424577486206987</v>
      </c>
      <c r="G31" s="21">
        <v>78.553925119737229</v>
      </c>
      <c r="H31" s="21">
        <v>57.525540399505218</v>
      </c>
      <c r="I31" s="21">
        <v>59.569191913715777</v>
      </c>
      <c r="J31" s="8">
        <v>3.1120000000000001</v>
      </c>
      <c r="K31" s="8">
        <v>16.23</v>
      </c>
      <c r="L31" s="8">
        <v>63.281999999999996</v>
      </c>
      <c r="M31" s="8">
        <v>4.4087190745770641</v>
      </c>
      <c r="N31" s="8">
        <v>3.2068389881239225</v>
      </c>
      <c r="O31" s="8">
        <v>2.7424577486206987</v>
      </c>
      <c r="P31" s="44">
        <v>78.553925119737229</v>
      </c>
      <c r="Q31" s="44">
        <v>57.525540399505218</v>
      </c>
      <c r="R31" s="44">
        <v>59.569191913715777</v>
      </c>
      <c r="S31" s="17">
        <v>47.715365122013495</v>
      </c>
      <c r="T31" s="17">
        <v>47.715365122013495</v>
      </c>
      <c r="U31" s="17">
        <v>52.663833351461371</v>
      </c>
      <c r="V31" s="17">
        <v>52.663833351461371</v>
      </c>
      <c r="W31" s="17">
        <v>54.659159331760961</v>
      </c>
      <c r="X31" s="17">
        <v>54.659159331760961</v>
      </c>
      <c r="Y31" s="17">
        <v>1745.0893751357794</v>
      </c>
      <c r="Z31" s="17">
        <v>1745.0893751357794</v>
      </c>
      <c r="AA31" s="7">
        <v>43962</v>
      </c>
      <c r="AB31" s="352">
        <v>238.57682561006749</v>
      </c>
      <c r="AC31" s="352">
        <v>631.96600021753636</v>
      </c>
      <c r="AD31" s="352">
        <v>874.54654930817537</v>
      </c>
      <c r="AE31" s="354">
        <v>1745.0893751357792</v>
      </c>
      <c r="AF31" s="12">
        <v>3</v>
      </c>
      <c r="AG31" s="12">
        <v>14.12</v>
      </c>
      <c r="AH31" s="12">
        <v>62.53</v>
      </c>
      <c r="AI31" s="20">
        <v>4.4701986754966887</v>
      </c>
      <c r="AJ31" s="20">
        <v>3.4680014301036826</v>
      </c>
      <c r="AK31" s="20">
        <v>2.7800053461641276</v>
      </c>
      <c r="AL31" s="68">
        <v>81.646542607684509</v>
      </c>
      <c r="AM31" s="68">
        <v>63.130810763502097</v>
      </c>
      <c r="AN31" s="68">
        <v>61.965588854670706</v>
      </c>
      <c r="AO31" s="395">
        <v>0.96401028277634959</v>
      </c>
      <c r="AP31" s="395">
        <v>0.86999383857054835</v>
      </c>
      <c r="AQ31" s="395">
        <v>0.98811668404917674</v>
      </c>
      <c r="AR31" s="395">
        <v>0.98624678557205436</v>
      </c>
      <c r="AS31" s="395">
        <v>0.92469367523532076</v>
      </c>
      <c r="AT31" s="395">
        <v>0.98649369592211844</v>
      </c>
      <c r="AU31" s="395">
        <v>0.97754182455298799</v>
      </c>
      <c r="AV31" s="395">
        <v>0.94677475824135726</v>
      </c>
      <c r="AW31" s="395">
        <v>0.97706665639204682</v>
      </c>
    </row>
    <row r="32" spans="1:58" x14ac:dyDescent="0.25">
      <c r="A32" s="12">
        <v>3.1120000000000001</v>
      </c>
      <c r="B32" s="12">
        <v>16.23</v>
      </c>
      <c r="C32" s="12">
        <v>63.281999999999996</v>
      </c>
      <c r="D32" s="20">
        <v>4.4087190745770641</v>
      </c>
      <c r="E32" s="20">
        <v>3.2068389881239225</v>
      </c>
      <c r="F32" s="20">
        <v>2.7424577486206987</v>
      </c>
      <c r="G32" s="21">
        <v>78.553925119737229</v>
      </c>
      <c r="H32" s="21">
        <v>57.525540399505218</v>
      </c>
      <c r="I32" s="21">
        <v>59.569191913715777</v>
      </c>
      <c r="J32" s="8">
        <v>3.1120000000000001</v>
      </c>
      <c r="K32" s="8">
        <v>16.23</v>
      </c>
      <c r="L32" s="8">
        <v>63.281999999999996</v>
      </c>
      <c r="M32" s="8">
        <v>4.4087190745770641</v>
      </c>
      <c r="N32" s="8">
        <v>3.2068389881239225</v>
      </c>
      <c r="O32" s="8">
        <v>2.7424577486206987</v>
      </c>
      <c r="P32" s="44">
        <v>78.553925119737229</v>
      </c>
      <c r="Q32" s="44">
        <v>57.525540399505218</v>
      </c>
      <c r="R32" s="44">
        <v>59.569191913715777</v>
      </c>
      <c r="S32" s="17">
        <v>47.715365122013495</v>
      </c>
      <c r="T32" s="17">
        <v>47.715365122013495</v>
      </c>
      <c r="U32" s="17">
        <v>52.663833351461371</v>
      </c>
      <c r="V32" s="17">
        <v>52.663833351461371</v>
      </c>
      <c r="W32" s="17">
        <v>54.659159331760961</v>
      </c>
      <c r="X32" s="17">
        <v>54.659159331760961</v>
      </c>
      <c r="Y32" s="17">
        <v>1745.0893751357794</v>
      </c>
      <c r="Z32" s="17">
        <v>1745.0893751357794</v>
      </c>
      <c r="AA32" s="7">
        <v>43969</v>
      </c>
      <c r="AB32" s="352">
        <v>238.57682561006749</v>
      </c>
      <c r="AC32" s="352">
        <v>631.96600021753636</v>
      </c>
      <c r="AD32" s="352">
        <v>874.54654930817537</v>
      </c>
      <c r="AE32" s="354">
        <v>1745.0893751357792</v>
      </c>
      <c r="AF32" s="12">
        <v>3</v>
      </c>
      <c r="AG32" s="12">
        <v>14.12</v>
      </c>
      <c r="AH32" s="12">
        <v>62.53</v>
      </c>
      <c r="AI32" s="20">
        <v>4.4701986754966887</v>
      </c>
      <c r="AJ32" s="20">
        <v>3.4680014301036826</v>
      </c>
      <c r="AK32" s="20">
        <v>2.7800053461641276</v>
      </c>
      <c r="AL32" s="68">
        <v>81.646542607684509</v>
      </c>
      <c r="AM32" s="68">
        <v>63.130810763502097</v>
      </c>
      <c r="AN32" s="68">
        <v>61.965588854670706</v>
      </c>
      <c r="AO32" s="395">
        <v>0.96401028277634959</v>
      </c>
      <c r="AP32" s="395">
        <v>0.86999383857054835</v>
      </c>
      <c r="AQ32" s="395">
        <v>0.98811668404917674</v>
      </c>
      <c r="AR32" s="395">
        <v>0.98624678557205436</v>
      </c>
      <c r="AS32" s="395">
        <v>0.92469367523532076</v>
      </c>
      <c r="AT32" s="395">
        <v>0.98649369592211844</v>
      </c>
      <c r="AU32" s="395">
        <v>0.97754182455298799</v>
      </c>
      <c r="AV32" s="395">
        <v>0.94677475824135726</v>
      </c>
      <c r="AW32" s="395">
        <v>0.97706665639204682</v>
      </c>
    </row>
    <row r="33" spans="1:58" x14ac:dyDescent="0.25">
      <c r="A33" s="12">
        <v>3.1120000000000001</v>
      </c>
      <c r="B33" s="12">
        <v>16.23</v>
      </c>
      <c r="C33" s="12">
        <v>63.043999999999997</v>
      </c>
      <c r="D33" s="20">
        <v>4.4087190745770641</v>
      </c>
      <c r="E33" s="20">
        <v>3.2068389881239225</v>
      </c>
      <c r="F33" s="20">
        <v>2.7624141368340993</v>
      </c>
      <c r="G33" s="21">
        <v>78.553925119737229</v>
      </c>
      <c r="H33" s="21">
        <v>57.525540399505218</v>
      </c>
      <c r="I33" s="21">
        <v>60.567055517589054</v>
      </c>
      <c r="J33" s="8">
        <v>3.1120000000000001</v>
      </c>
      <c r="K33" s="8">
        <v>16.23</v>
      </c>
      <c r="L33" s="8">
        <v>63.043999999999997</v>
      </c>
      <c r="M33" s="8">
        <v>4.4087190745770641</v>
      </c>
      <c r="N33" s="8">
        <v>3.2068389881239225</v>
      </c>
      <c r="O33" s="8">
        <v>2.7624141368340993</v>
      </c>
      <c r="P33" s="44">
        <v>78.553925119737229</v>
      </c>
      <c r="Q33" s="44">
        <v>57.525540399505218</v>
      </c>
      <c r="R33" s="44">
        <v>60.567055517589054</v>
      </c>
      <c r="S33" s="17">
        <v>47.715365122013495</v>
      </c>
      <c r="T33" s="17">
        <v>47.715365122013495</v>
      </c>
      <c r="U33" s="17">
        <v>52.663833351461371</v>
      </c>
      <c r="V33" s="17">
        <v>52.663833351461371</v>
      </c>
      <c r="W33" s="17">
        <v>55.128604061496098</v>
      </c>
      <c r="X33" s="17">
        <v>55.128604061496098</v>
      </c>
      <c r="Y33" s="17">
        <v>1752.6004908115415</v>
      </c>
      <c r="Z33" s="17">
        <v>1752.6004908115415</v>
      </c>
      <c r="AA33" s="7">
        <v>43976</v>
      </c>
      <c r="AB33" s="352">
        <v>238.57682561006749</v>
      </c>
      <c r="AC33" s="352">
        <v>631.96600021753636</v>
      </c>
      <c r="AD33" s="352">
        <v>882.05766498393757</v>
      </c>
      <c r="AE33" s="354">
        <v>1752.6004908115412</v>
      </c>
      <c r="AF33" s="12">
        <v>3</v>
      </c>
      <c r="AG33" s="12">
        <v>14.12</v>
      </c>
      <c r="AH33" s="12">
        <v>62.53</v>
      </c>
      <c r="AI33" s="20">
        <v>4.4701986754966887</v>
      </c>
      <c r="AJ33" s="20">
        <v>3.4680014301036826</v>
      </c>
      <c r="AK33" s="20">
        <v>2.8129602356406478</v>
      </c>
      <c r="AL33" s="68">
        <v>81.646542607684509</v>
      </c>
      <c r="AM33" s="68">
        <v>63.130810763502097</v>
      </c>
      <c r="AN33" s="68">
        <v>63.87707282206086</v>
      </c>
      <c r="AO33" s="395">
        <v>0.96401028277634959</v>
      </c>
      <c r="AP33" s="395">
        <v>0.86999383857054835</v>
      </c>
      <c r="AQ33" s="395">
        <v>0.9918469640251254</v>
      </c>
      <c r="AR33" s="395">
        <v>0.98624678557205436</v>
      </c>
      <c r="AS33" s="395">
        <v>0.92469367523532076</v>
      </c>
      <c r="AT33" s="395">
        <v>0.98203099419390238</v>
      </c>
      <c r="AU33" s="395">
        <v>0.97754182455298799</v>
      </c>
      <c r="AV33" s="395">
        <v>0.94677475824135726</v>
      </c>
      <c r="AW33" s="395">
        <v>0.96918512048320682</v>
      </c>
      <c r="BC33" s="432" t="s">
        <v>743</v>
      </c>
      <c r="BF33" s="431" t="s">
        <v>743</v>
      </c>
    </row>
    <row r="34" spans="1:58" x14ac:dyDescent="0.25">
      <c r="A34" s="12">
        <v>3.1120000000000001</v>
      </c>
      <c r="B34" s="12">
        <v>16.23</v>
      </c>
      <c r="C34" s="12">
        <v>62.708000000000006</v>
      </c>
      <c r="D34" s="20">
        <v>4.4087190745770641</v>
      </c>
      <c r="E34" s="20">
        <v>3.2068389881239225</v>
      </c>
      <c r="F34" s="20">
        <v>2.7624141368340993</v>
      </c>
      <c r="G34" s="21">
        <v>78.937165554193427</v>
      </c>
      <c r="H34" s="21">
        <v>57.525540399505218</v>
      </c>
      <c r="I34" s="21">
        <v>60.567055517589054</v>
      </c>
      <c r="J34" s="8">
        <v>3.1120000000000001</v>
      </c>
      <c r="K34" s="8">
        <v>16.23</v>
      </c>
      <c r="L34" s="8">
        <v>62.708000000000006</v>
      </c>
      <c r="M34" s="8">
        <v>4.4087190745770641</v>
      </c>
      <c r="N34" s="8">
        <v>3.2068389881239225</v>
      </c>
      <c r="O34" s="8">
        <v>2.7624141368340993</v>
      </c>
      <c r="P34" s="44">
        <v>78.937165554193427</v>
      </c>
      <c r="Q34" s="44">
        <v>57.525540399505218</v>
      </c>
      <c r="R34" s="44">
        <v>60.567055517589054</v>
      </c>
      <c r="S34" s="17">
        <v>47.755067401741087</v>
      </c>
      <c r="T34" s="17">
        <v>47.755067401741087</v>
      </c>
      <c r="U34" s="17">
        <v>52.663833351461371</v>
      </c>
      <c r="V34" s="17">
        <v>52.663833351461371</v>
      </c>
      <c r="W34" s="17">
        <v>55.233668145930096</v>
      </c>
      <c r="X34" s="17">
        <v>55.233668145930096</v>
      </c>
      <c r="Y34" s="17">
        <v>1754.4800275611235</v>
      </c>
      <c r="Z34" s="17">
        <v>1754.4800275611235</v>
      </c>
      <c r="AA34" s="7">
        <v>43983</v>
      </c>
      <c r="AB34" s="352">
        <v>238.77533700870541</v>
      </c>
      <c r="AC34" s="352">
        <v>631.96600021753636</v>
      </c>
      <c r="AD34" s="352">
        <v>883.73869033488143</v>
      </c>
      <c r="AE34" s="354">
        <v>1754.4800275611235</v>
      </c>
      <c r="AF34" s="12">
        <v>3</v>
      </c>
      <c r="AG34" s="12">
        <v>14.12</v>
      </c>
      <c r="AH34" s="12">
        <v>61.94</v>
      </c>
      <c r="AI34" s="20">
        <v>4.4701986754966887</v>
      </c>
      <c r="AJ34" s="20">
        <v>3.4680014301036826</v>
      </c>
      <c r="AK34" s="20">
        <v>2.8129602356406478</v>
      </c>
      <c r="AL34" s="68">
        <v>81.646542607684509</v>
      </c>
      <c r="AM34" s="68">
        <v>63.130810763502097</v>
      </c>
      <c r="AN34" s="68">
        <v>63.87707282206086</v>
      </c>
      <c r="AO34" s="395">
        <v>0.96401028277634959</v>
      </c>
      <c r="AP34" s="395">
        <v>0.86999383857054835</v>
      </c>
      <c r="AQ34" s="395">
        <v>0.98775275881865143</v>
      </c>
      <c r="AR34" s="395">
        <v>0.98624678557205436</v>
      </c>
      <c r="AS34" s="395">
        <v>0.92469367523532076</v>
      </c>
      <c r="AT34" s="395">
        <v>0.98203099419390238</v>
      </c>
      <c r="AU34" s="395">
        <v>0.98034438132553126</v>
      </c>
      <c r="AV34" s="395">
        <v>0.94677475824135726</v>
      </c>
      <c r="AW34" s="395">
        <v>0.96918512048320682</v>
      </c>
      <c r="AZ34" s="431" t="s">
        <v>744</v>
      </c>
    </row>
    <row r="35" spans="1:58" x14ac:dyDescent="0.25">
      <c r="A35" s="12">
        <v>3.1120000000000001</v>
      </c>
      <c r="B35" s="12">
        <v>16.23</v>
      </c>
      <c r="C35" s="12">
        <v>62.708000000000006</v>
      </c>
      <c r="D35" s="20">
        <v>4.4087190745770641</v>
      </c>
      <c r="E35" s="20">
        <v>3.2068389881239225</v>
      </c>
      <c r="F35" s="20">
        <v>2.7624141368340993</v>
      </c>
      <c r="G35" s="21">
        <v>78.937165554193427</v>
      </c>
      <c r="H35" s="21">
        <v>57.525540399505218</v>
      </c>
      <c r="I35" s="21">
        <v>60.567055517589054</v>
      </c>
      <c r="J35" s="8">
        <v>3.1120000000000001</v>
      </c>
      <c r="K35" s="8">
        <v>16.23</v>
      </c>
      <c r="L35" s="8">
        <v>62.708000000000006</v>
      </c>
      <c r="M35" s="8">
        <v>4.4087190745770641</v>
      </c>
      <c r="N35" s="8">
        <v>3.2068389881239225</v>
      </c>
      <c r="O35" s="8">
        <v>2.7624141368340993</v>
      </c>
      <c r="P35" s="44">
        <v>78.937165554193427</v>
      </c>
      <c r="Q35" s="44">
        <v>57.525540399505218</v>
      </c>
      <c r="R35" s="44">
        <v>60.567055517589054</v>
      </c>
      <c r="S35" s="17">
        <v>47.755067401741087</v>
      </c>
      <c r="T35" s="17">
        <v>47.755067401741087</v>
      </c>
      <c r="U35" s="17">
        <v>52.663833351461371</v>
      </c>
      <c r="V35" s="17">
        <v>52.663833351461371</v>
      </c>
      <c r="W35" s="17">
        <v>55.233668145930096</v>
      </c>
      <c r="X35" s="17">
        <v>55.233668145930096</v>
      </c>
      <c r="Y35" s="17">
        <v>1754.4800275611235</v>
      </c>
      <c r="Z35" s="17">
        <v>1754.4800275611235</v>
      </c>
      <c r="AA35" s="7">
        <v>43990</v>
      </c>
      <c r="AB35" s="352">
        <v>238.77533700870541</v>
      </c>
      <c r="AC35" s="352">
        <v>631.96600021753636</v>
      </c>
      <c r="AD35" s="352">
        <v>883.73869033488143</v>
      </c>
      <c r="AE35" s="354">
        <v>1754.4800275611235</v>
      </c>
      <c r="AF35" s="12">
        <v>3</v>
      </c>
      <c r="AG35" s="12">
        <v>14.12</v>
      </c>
      <c r="AH35" s="12">
        <v>61.94</v>
      </c>
      <c r="AI35" s="20">
        <v>4.4701986754966887</v>
      </c>
      <c r="AJ35" s="20">
        <v>3.4680014301036826</v>
      </c>
      <c r="AK35" s="20">
        <v>2.8129602356406478</v>
      </c>
      <c r="AL35" s="68">
        <v>81.646542607684509</v>
      </c>
      <c r="AM35" s="68">
        <v>63.130810763502097</v>
      </c>
      <c r="AN35" s="68">
        <v>63.87707282206086</v>
      </c>
      <c r="AO35" s="395">
        <v>0.96401028277634959</v>
      </c>
      <c r="AP35" s="395">
        <v>0.86999383857054835</v>
      </c>
      <c r="AQ35" s="395">
        <v>0.98775275881865143</v>
      </c>
      <c r="AR35" s="395">
        <v>0.98624678557205436</v>
      </c>
      <c r="AS35" s="395">
        <v>0.92469367523532076</v>
      </c>
      <c r="AT35" s="395">
        <v>0.98203099419390238</v>
      </c>
      <c r="AU35" s="395">
        <v>0.98034438132553126</v>
      </c>
      <c r="AV35" s="395">
        <v>0.94677475824135726</v>
      </c>
      <c r="AW35" s="395">
        <v>0.96918512048320682</v>
      </c>
    </row>
    <row r="36" spans="1:58" x14ac:dyDescent="0.25">
      <c r="A36" s="12">
        <v>3.1120000000000001</v>
      </c>
      <c r="B36" s="12">
        <v>16.23</v>
      </c>
      <c r="C36" s="12">
        <v>62.608000000000004</v>
      </c>
      <c r="D36" s="20">
        <v>4.4087190745770641</v>
      </c>
      <c r="E36" s="20">
        <v>3.2068389881239225</v>
      </c>
      <c r="F36" s="20">
        <v>2.7624141368340993</v>
      </c>
      <c r="G36" s="21">
        <v>78.937165554193427</v>
      </c>
      <c r="H36" s="21">
        <v>57.525540399505218</v>
      </c>
      <c r="I36" s="21">
        <v>60.567055517589054</v>
      </c>
      <c r="J36" s="8">
        <v>3.1120000000000001</v>
      </c>
      <c r="K36" s="8">
        <v>16.23</v>
      </c>
      <c r="L36" s="8">
        <v>62.608000000000004</v>
      </c>
      <c r="M36" s="8">
        <v>4.4087190745770641</v>
      </c>
      <c r="N36" s="8">
        <v>3.2068389881239225</v>
      </c>
      <c r="O36" s="8">
        <v>2.7624141368340993</v>
      </c>
      <c r="P36" s="44">
        <v>78.937165554193427</v>
      </c>
      <c r="Q36" s="44">
        <v>57.525540399505218</v>
      </c>
      <c r="R36" s="44">
        <v>60.567055517589054</v>
      </c>
      <c r="S36" s="17">
        <v>47.755067401741087</v>
      </c>
      <c r="T36" s="17">
        <v>47.755067401741087</v>
      </c>
      <c r="U36" s="17">
        <v>52.663833351461371</v>
      </c>
      <c r="V36" s="17">
        <v>52.663833351461371</v>
      </c>
      <c r="W36" s="17">
        <v>55.265154975446109</v>
      </c>
      <c r="X36" s="17">
        <v>55.265154975446109</v>
      </c>
      <c r="Y36" s="17">
        <v>1754.9838168333797</v>
      </c>
      <c r="Z36" s="17">
        <v>1754.9838168333797</v>
      </c>
      <c r="AA36" s="7">
        <v>43997</v>
      </c>
      <c r="AB36" s="352">
        <v>238.77533700870541</v>
      </c>
      <c r="AC36" s="352">
        <v>631.96600021753636</v>
      </c>
      <c r="AD36" s="352">
        <v>884.24247960713774</v>
      </c>
      <c r="AE36" s="354">
        <v>1754.9838168333797</v>
      </c>
      <c r="AF36" s="12">
        <v>3</v>
      </c>
      <c r="AG36" s="12">
        <v>14.12</v>
      </c>
      <c r="AH36" s="12">
        <v>61.94</v>
      </c>
      <c r="AI36" s="20">
        <v>4.4701986754966887</v>
      </c>
      <c r="AJ36" s="20">
        <v>3.4680014301036826</v>
      </c>
      <c r="AK36" s="20">
        <v>2.8129602356406478</v>
      </c>
      <c r="AL36" s="68">
        <v>81.646542607684509</v>
      </c>
      <c r="AM36" s="68">
        <v>63.130810763502097</v>
      </c>
      <c r="AN36" s="68">
        <v>63.87707282206086</v>
      </c>
      <c r="AO36" s="395">
        <v>0.96401028277634959</v>
      </c>
      <c r="AP36" s="395">
        <v>0.86999383857054835</v>
      </c>
      <c r="AQ36" s="395">
        <v>0.98933043700485546</v>
      </c>
      <c r="AR36" s="395">
        <v>0.98624678557205436</v>
      </c>
      <c r="AS36" s="395">
        <v>0.92469367523532076</v>
      </c>
      <c r="AT36" s="395">
        <v>0.98203099419390238</v>
      </c>
      <c r="AU36" s="395">
        <v>0.98034438132553126</v>
      </c>
      <c r="AV36" s="395">
        <v>0.94677475824135726</v>
      </c>
      <c r="AW36" s="395">
        <v>0.96918512048320682</v>
      </c>
    </row>
    <row r="37" spans="1:58" x14ac:dyDescent="0.25">
      <c r="A37" s="12">
        <v>3.1120000000000001</v>
      </c>
      <c r="B37" s="12">
        <v>16.23</v>
      </c>
      <c r="C37" s="12">
        <v>62.608000000000004</v>
      </c>
      <c r="D37" s="20">
        <v>4.4087190745770641</v>
      </c>
      <c r="E37" s="20">
        <v>3.2068389881239225</v>
      </c>
      <c r="F37" s="20">
        <v>2.7624141368340993</v>
      </c>
      <c r="G37" s="21">
        <v>78.937165554193427</v>
      </c>
      <c r="H37" s="21">
        <v>57.525540399505218</v>
      </c>
      <c r="I37" s="21">
        <v>60.567055517589054</v>
      </c>
      <c r="J37" s="8">
        <v>3.1120000000000001</v>
      </c>
      <c r="K37" s="8">
        <v>16.23</v>
      </c>
      <c r="L37" s="8">
        <v>62.608000000000004</v>
      </c>
      <c r="M37" s="8">
        <v>4.4087190745770641</v>
      </c>
      <c r="N37" s="8">
        <v>3.2068389881239225</v>
      </c>
      <c r="O37" s="8">
        <v>2.7624141368340993</v>
      </c>
      <c r="P37" s="44">
        <v>78.937165554193427</v>
      </c>
      <c r="Q37" s="44">
        <v>57.525540399505218</v>
      </c>
      <c r="R37" s="44">
        <v>60.567055517589054</v>
      </c>
      <c r="S37" s="17">
        <v>47.755067401741087</v>
      </c>
      <c r="T37" s="17">
        <v>47.755067401741087</v>
      </c>
      <c r="U37" s="17">
        <v>52.663833351461371</v>
      </c>
      <c r="V37" s="17">
        <v>52.663833351461371</v>
      </c>
      <c r="W37" s="17">
        <v>55.265154975446109</v>
      </c>
      <c r="X37" s="17">
        <v>55.265154975446109</v>
      </c>
      <c r="Y37" s="17">
        <v>1754.9838168333797</v>
      </c>
      <c r="Z37" s="17">
        <v>1754.9838168333797</v>
      </c>
      <c r="AA37" s="7">
        <v>44004</v>
      </c>
      <c r="AB37" s="352">
        <v>238.77533700870541</v>
      </c>
      <c r="AC37" s="352">
        <v>631.96600021753636</v>
      </c>
      <c r="AD37" s="352">
        <v>884.24247960713774</v>
      </c>
      <c r="AE37" s="354">
        <v>1754.9838168333797</v>
      </c>
      <c r="AF37" s="12">
        <v>3</v>
      </c>
      <c r="AG37" s="12">
        <v>14.12</v>
      </c>
      <c r="AH37" s="12">
        <v>61.94</v>
      </c>
      <c r="AI37" s="20">
        <v>4.4701986754966887</v>
      </c>
      <c r="AJ37" s="20">
        <v>3.4680014301036826</v>
      </c>
      <c r="AK37" s="20">
        <v>2.8129602356406478</v>
      </c>
      <c r="AL37" s="68">
        <v>81.646542607684509</v>
      </c>
      <c r="AM37" s="68">
        <v>63.130810763502097</v>
      </c>
      <c r="AN37" s="68">
        <v>63.87707282206086</v>
      </c>
      <c r="AO37" s="395">
        <v>0.96401028277634959</v>
      </c>
      <c r="AP37" s="395">
        <v>0.86999383857054835</v>
      </c>
      <c r="AQ37" s="395">
        <v>0.98933043700485546</v>
      </c>
      <c r="AR37" s="395">
        <v>0.98624678557205436</v>
      </c>
      <c r="AS37" s="395">
        <v>0.92469367523532076</v>
      </c>
      <c r="AT37" s="395">
        <v>0.98203099419390238</v>
      </c>
      <c r="AU37" s="395">
        <v>0.98034438132553126</v>
      </c>
      <c r="AV37" s="395">
        <v>0.94677475824135726</v>
      </c>
      <c r="AW37" s="395">
        <v>0.96918512048320682</v>
      </c>
    </row>
    <row r="38" spans="1:58" x14ac:dyDescent="0.25">
      <c r="A38" s="12">
        <v>3.1120000000000001</v>
      </c>
      <c r="B38" s="12">
        <v>16.23</v>
      </c>
      <c r="C38" s="12">
        <v>62.608000000000004</v>
      </c>
      <c r="D38" s="20">
        <v>4.4087190745770641</v>
      </c>
      <c r="E38" s="20">
        <v>3.2068389881239225</v>
      </c>
      <c r="F38" s="20">
        <v>2.7624141368340993</v>
      </c>
      <c r="G38" s="21">
        <v>78.937165554193427</v>
      </c>
      <c r="H38" s="21">
        <v>57.525540399505218</v>
      </c>
      <c r="I38" s="21">
        <v>60.567055517589054</v>
      </c>
      <c r="J38" s="8">
        <v>3.1120000000000001</v>
      </c>
      <c r="K38" s="8">
        <v>16.23</v>
      </c>
      <c r="L38" s="8">
        <v>62.608000000000004</v>
      </c>
      <c r="M38" s="8">
        <v>4.4087190745770641</v>
      </c>
      <c r="N38" s="8">
        <v>3.2068389881239225</v>
      </c>
      <c r="O38" s="8">
        <v>2.7624141368340993</v>
      </c>
      <c r="P38" s="44">
        <v>78.937165554193427</v>
      </c>
      <c r="Q38" s="44">
        <v>57.525540399505218</v>
      </c>
      <c r="R38" s="44">
        <v>60.567055517589054</v>
      </c>
      <c r="S38" s="17">
        <v>47.755067401741087</v>
      </c>
      <c r="T38" s="17">
        <v>47.755067401741087</v>
      </c>
      <c r="U38" s="17">
        <v>52.663833351461371</v>
      </c>
      <c r="V38" s="17">
        <v>52.663833351461371</v>
      </c>
      <c r="W38" s="17">
        <v>55.265154975446109</v>
      </c>
      <c r="X38" s="17">
        <v>55.265154975446109</v>
      </c>
      <c r="Y38" s="17">
        <v>1754.9838168333797</v>
      </c>
      <c r="Z38" s="17">
        <v>1754.9838168333797</v>
      </c>
      <c r="AA38" s="7">
        <v>44011</v>
      </c>
      <c r="AB38" s="352">
        <v>238.77533700870541</v>
      </c>
      <c r="AC38" s="352">
        <v>631.96600021753636</v>
      </c>
      <c r="AD38" s="352">
        <v>884.24247960713774</v>
      </c>
      <c r="AE38" s="354">
        <v>1754.9838168333797</v>
      </c>
      <c r="AF38" s="12">
        <v>3</v>
      </c>
      <c r="AG38" s="12">
        <v>14.12</v>
      </c>
      <c r="AH38" s="12">
        <v>61.94</v>
      </c>
      <c r="AI38" s="20">
        <v>4.4701986754966887</v>
      </c>
      <c r="AJ38" s="20">
        <v>3.4680014301036826</v>
      </c>
      <c r="AK38" s="20">
        <v>2.8129602356406478</v>
      </c>
      <c r="AL38" s="68">
        <v>81.646542607684509</v>
      </c>
      <c r="AM38" s="68">
        <v>63.130810763502097</v>
      </c>
      <c r="AN38" s="68">
        <v>63.87707282206086</v>
      </c>
      <c r="AO38" s="395">
        <v>0.96401028277634959</v>
      </c>
      <c r="AP38" s="395">
        <v>0.86999383857054835</v>
      </c>
      <c r="AQ38" s="395">
        <v>0.98933043700485546</v>
      </c>
      <c r="AR38" s="395">
        <v>0.98624678557205436</v>
      </c>
      <c r="AS38" s="395">
        <v>0.92469367523532076</v>
      </c>
      <c r="AT38" s="395">
        <v>0.98203099419390238</v>
      </c>
      <c r="AU38" s="395">
        <v>0.98034438132553126</v>
      </c>
      <c r="AV38" s="395">
        <v>0.94677475824135726</v>
      </c>
      <c r="AW38" s="395">
        <v>0.96918512048320682</v>
      </c>
    </row>
    <row r="39" spans="1:58" x14ac:dyDescent="0.25">
      <c r="A39" s="12">
        <v>3.1120000000000001</v>
      </c>
      <c r="B39" s="12">
        <v>16.23</v>
      </c>
      <c r="C39" s="12">
        <v>62.608000000000004</v>
      </c>
      <c r="D39" s="20">
        <v>4.4087190745770641</v>
      </c>
      <c r="E39" s="20">
        <v>3.2068389881239225</v>
      </c>
      <c r="F39" s="20">
        <v>2.7624141368340993</v>
      </c>
      <c r="G39" s="21">
        <v>78.937165554193427</v>
      </c>
      <c r="H39" s="21">
        <v>57.525540399505218</v>
      </c>
      <c r="I39" s="21">
        <v>60.567055517589054</v>
      </c>
      <c r="J39" s="8">
        <v>3.1120000000000001</v>
      </c>
      <c r="K39" s="8">
        <v>16.23</v>
      </c>
      <c r="L39" s="8">
        <v>62.608000000000004</v>
      </c>
      <c r="M39" s="8">
        <v>4.4087190745770641</v>
      </c>
      <c r="N39" s="8">
        <v>3.2068389881239225</v>
      </c>
      <c r="O39" s="8">
        <v>2.7624141368340993</v>
      </c>
      <c r="P39" s="44">
        <v>78.937165554193427</v>
      </c>
      <c r="Q39" s="44">
        <v>57.525540399505218</v>
      </c>
      <c r="R39" s="44">
        <v>60.567055517589054</v>
      </c>
      <c r="S39" s="17">
        <v>47.755067401741087</v>
      </c>
      <c r="T39" s="17">
        <v>47.755067401741087</v>
      </c>
      <c r="U39" s="17">
        <v>52.663833351461371</v>
      </c>
      <c r="V39" s="17">
        <v>52.663833351461371</v>
      </c>
      <c r="W39" s="17">
        <v>55.265154975446109</v>
      </c>
      <c r="X39" s="17">
        <v>55.265154975446109</v>
      </c>
      <c r="Y39" s="17">
        <v>1754.9838168333797</v>
      </c>
      <c r="Z39" s="17">
        <v>1754.9838168333797</v>
      </c>
      <c r="AA39" s="7">
        <v>44018</v>
      </c>
      <c r="AB39" s="352">
        <v>238.77533700870541</v>
      </c>
      <c r="AC39" s="352">
        <v>631.96600021753636</v>
      </c>
      <c r="AD39" s="352">
        <v>884.24247960713774</v>
      </c>
      <c r="AE39" s="354">
        <v>1754.9838168333797</v>
      </c>
      <c r="AF39" s="12">
        <v>3</v>
      </c>
      <c r="AG39" s="12">
        <v>14.12</v>
      </c>
      <c r="AH39" s="12">
        <v>61.94</v>
      </c>
      <c r="AI39" s="20">
        <v>4.4701986754966887</v>
      </c>
      <c r="AJ39" s="20">
        <v>3.4680014301036826</v>
      </c>
      <c r="AK39" s="20">
        <v>2.8129602356406478</v>
      </c>
      <c r="AL39" s="68">
        <v>81.646542607684509</v>
      </c>
      <c r="AM39" s="68">
        <v>63.130810763502097</v>
      </c>
      <c r="AN39" s="68">
        <v>63.87707282206086</v>
      </c>
      <c r="AO39" s="395">
        <v>0.96401028277634959</v>
      </c>
      <c r="AP39" s="395">
        <v>0.86999383857054835</v>
      </c>
      <c r="AQ39" s="395">
        <v>0.98933043700485546</v>
      </c>
      <c r="AR39" s="395">
        <v>0.98624678557205436</v>
      </c>
      <c r="AS39" s="395">
        <v>0.92469367523532076</v>
      </c>
      <c r="AT39" s="395">
        <v>0.98203099419390238</v>
      </c>
      <c r="AU39" s="395">
        <v>0.98034438132553126</v>
      </c>
      <c r="AV39" s="395">
        <v>0.94677475824135726</v>
      </c>
      <c r="AW39" s="395">
        <v>0.96918512048320682</v>
      </c>
    </row>
    <row r="40" spans="1:58" x14ac:dyDescent="0.25">
      <c r="A40" s="12">
        <v>3.1120000000000001</v>
      </c>
      <c r="B40" s="12">
        <v>16.23</v>
      </c>
      <c r="C40" s="12">
        <v>62.608000000000004</v>
      </c>
      <c r="D40" s="20">
        <v>4.4087190745770641</v>
      </c>
      <c r="E40" s="20">
        <v>3.2068389881239225</v>
      </c>
      <c r="F40" s="20">
        <v>2.7624141368340993</v>
      </c>
      <c r="G40" s="21">
        <v>78.937165554193427</v>
      </c>
      <c r="H40" s="21">
        <v>57.525540399505218</v>
      </c>
      <c r="I40" s="21">
        <v>61.023899499824509</v>
      </c>
      <c r="J40" s="8">
        <v>3.1120000000000001</v>
      </c>
      <c r="K40" s="8">
        <v>16.23</v>
      </c>
      <c r="L40" s="8">
        <v>62.608000000000004</v>
      </c>
      <c r="M40" s="8">
        <v>4.4087190745770641</v>
      </c>
      <c r="N40" s="8">
        <v>3.2068389881239225</v>
      </c>
      <c r="O40" s="8">
        <v>2.7624141368340993</v>
      </c>
      <c r="P40" s="44">
        <v>78.937165554193427</v>
      </c>
      <c r="Q40" s="44">
        <v>57.525540399505218</v>
      </c>
      <c r="R40" s="44">
        <v>61.023899499824509</v>
      </c>
      <c r="S40" s="17">
        <v>47.755067401741087</v>
      </c>
      <c r="T40" s="17">
        <v>47.755067401741087</v>
      </c>
      <c r="U40" s="17">
        <v>52.663833351461371</v>
      </c>
      <c r="V40" s="17">
        <v>52.663833351461371</v>
      </c>
      <c r="W40" s="17">
        <v>55.378561244805752</v>
      </c>
      <c r="X40" s="17">
        <v>55.378561244805752</v>
      </c>
      <c r="Y40" s="17">
        <v>1756.798317143134</v>
      </c>
      <c r="Z40" s="17">
        <v>1756.798317143134</v>
      </c>
      <c r="AA40" s="7">
        <v>44025</v>
      </c>
      <c r="AB40" s="352">
        <v>238.77533700870541</v>
      </c>
      <c r="AC40" s="352">
        <v>631.96600021753636</v>
      </c>
      <c r="AD40" s="352">
        <v>886.05697991689203</v>
      </c>
      <c r="AE40" s="354">
        <v>1756.7983171431338</v>
      </c>
      <c r="AF40" s="12">
        <v>3</v>
      </c>
      <c r="AG40" s="12">
        <v>14.12</v>
      </c>
      <c r="AH40" s="12">
        <v>61.94</v>
      </c>
      <c r="AI40" s="20">
        <v>4.4701986754966887</v>
      </c>
      <c r="AJ40" s="20">
        <v>3.4680014301036826</v>
      </c>
      <c r="AK40" s="20">
        <v>2.8129602356406478</v>
      </c>
      <c r="AL40" s="68">
        <v>81.646542607684509</v>
      </c>
      <c r="AM40" s="68">
        <v>63.130810763502097</v>
      </c>
      <c r="AN40" s="68">
        <v>63.87707282206086</v>
      </c>
      <c r="AO40" s="395">
        <v>0.96401028277634959</v>
      </c>
      <c r="AP40" s="395">
        <v>0.86999383857054835</v>
      </c>
      <c r="AQ40" s="395">
        <v>0.98933043700485546</v>
      </c>
      <c r="AR40" s="395">
        <v>0.98624678557205436</v>
      </c>
      <c r="AS40" s="395">
        <v>0.92469367523532076</v>
      </c>
      <c r="AT40" s="395">
        <v>0.98203099419390238</v>
      </c>
      <c r="AU40" s="395">
        <v>0.98034438132553126</v>
      </c>
      <c r="AV40" s="395">
        <v>0.94677475824135726</v>
      </c>
      <c r="AW40" s="395">
        <v>0.97347867221508844</v>
      </c>
    </row>
    <row r="41" spans="1:58" x14ac:dyDescent="0.25">
      <c r="A41" s="12">
        <v>3.1120000000000001</v>
      </c>
      <c r="B41" s="12">
        <v>16.23</v>
      </c>
      <c r="C41" s="12">
        <v>62.608000000000004</v>
      </c>
      <c r="D41" s="20">
        <v>4.4087190745770641</v>
      </c>
      <c r="E41" s="20">
        <v>3.2068389881239225</v>
      </c>
      <c r="F41" s="20">
        <v>2.7624141368340993</v>
      </c>
      <c r="G41" s="21">
        <v>78.937165554193427</v>
      </c>
      <c r="H41" s="21">
        <v>57.525540399505218</v>
      </c>
      <c r="I41" s="21">
        <v>61.023899499824509</v>
      </c>
      <c r="J41" s="8">
        <v>3.1120000000000001</v>
      </c>
      <c r="K41" s="8">
        <v>16.23</v>
      </c>
      <c r="L41" s="8">
        <v>62.608000000000004</v>
      </c>
      <c r="M41" s="8">
        <v>4.4087190745770641</v>
      </c>
      <c r="N41" s="8">
        <v>3.2068389881239225</v>
      </c>
      <c r="O41" s="8">
        <v>2.7624141368340993</v>
      </c>
      <c r="P41" s="44">
        <v>78.937165554193427</v>
      </c>
      <c r="Q41" s="44">
        <v>57.525540399505218</v>
      </c>
      <c r="R41" s="44">
        <v>61.023899499824509</v>
      </c>
      <c r="S41" s="17">
        <v>47.755067401741087</v>
      </c>
      <c r="T41" s="17">
        <v>47.755067401741087</v>
      </c>
      <c r="U41" s="17">
        <v>52.663833351461371</v>
      </c>
      <c r="V41" s="17">
        <v>52.663833351461371</v>
      </c>
      <c r="W41" s="17">
        <v>55.378561244805752</v>
      </c>
      <c r="X41" s="17">
        <v>55.378561244805752</v>
      </c>
      <c r="Y41" s="17">
        <v>1756.798317143134</v>
      </c>
      <c r="Z41" s="17">
        <v>1756.798317143134</v>
      </c>
      <c r="AA41" s="7">
        <v>44032</v>
      </c>
      <c r="AB41" s="352">
        <v>238.77533700870541</v>
      </c>
      <c r="AC41" s="352">
        <v>631.96600021753636</v>
      </c>
      <c r="AD41" s="352">
        <v>886.05697991689203</v>
      </c>
      <c r="AE41" s="354">
        <v>1756.7983171431338</v>
      </c>
      <c r="AF41" s="12">
        <v>3</v>
      </c>
      <c r="AG41" s="12">
        <v>14.12</v>
      </c>
      <c r="AH41" s="12">
        <v>61.94</v>
      </c>
      <c r="AI41" s="20">
        <v>4.4701986754966887</v>
      </c>
      <c r="AJ41" s="20">
        <v>3.4680014301036826</v>
      </c>
      <c r="AK41" s="20">
        <v>2.8129602356406478</v>
      </c>
      <c r="AL41" s="68">
        <v>81.646542607684509</v>
      </c>
      <c r="AM41" s="68">
        <v>63.130810763502097</v>
      </c>
      <c r="AN41" s="68">
        <v>63.87707282206086</v>
      </c>
      <c r="AO41" s="395">
        <v>0.96401028277634959</v>
      </c>
      <c r="AP41" s="395">
        <v>0.86999383857054835</v>
      </c>
      <c r="AQ41" s="395">
        <v>0.98933043700485546</v>
      </c>
      <c r="AR41" s="395">
        <v>0.98624678557205436</v>
      </c>
      <c r="AS41" s="395">
        <v>0.92469367523532076</v>
      </c>
      <c r="AT41" s="395">
        <v>0.98203099419390238</v>
      </c>
      <c r="AU41" s="395">
        <v>0.98034438132553126</v>
      </c>
      <c r="AV41" s="395">
        <v>0.94677475824135726</v>
      </c>
      <c r="AW41" s="395">
        <v>0.97347867221508844</v>
      </c>
    </row>
    <row r="42" spans="1:58" x14ac:dyDescent="0.25">
      <c r="A42" s="12">
        <v>3.1120000000000001</v>
      </c>
      <c r="B42" s="12">
        <v>16.23</v>
      </c>
      <c r="C42" s="12">
        <v>62.442</v>
      </c>
      <c r="D42" s="20">
        <v>4.4087190745770641</v>
      </c>
      <c r="E42" s="20">
        <v>3.2068389881239225</v>
      </c>
      <c r="F42" s="20">
        <v>2.7624141368340993</v>
      </c>
      <c r="G42" s="21">
        <v>78.937165554193427</v>
      </c>
      <c r="H42" s="21">
        <v>57.525540399505218</v>
      </c>
      <c r="I42" s="21">
        <v>61.023899499824509</v>
      </c>
      <c r="J42" s="8">
        <v>3.1120000000000001</v>
      </c>
      <c r="K42" s="8">
        <v>16.23</v>
      </c>
      <c r="L42" s="8">
        <v>62.442</v>
      </c>
      <c r="M42" s="8">
        <v>4.4087190745770641</v>
      </c>
      <c r="N42" s="8">
        <v>3.2068389881239225</v>
      </c>
      <c r="O42" s="8">
        <v>2.7624141368340993</v>
      </c>
      <c r="P42" s="44">
        <v>78.937165554193427</v>
      </c>
      <c r="Q42" s="44">
        <v>57.525540399505218</v>
      </c>
      <c r="R42" s="44">
        <v>61.023899499824509</v>
      </c>
      <c r="S42" s="17">
        <v>47.755067401741087</v>
      </c>
      <c r="T42" s="17">
        <v>47.755067401741087</v>
      </c>
      <c r="U42" s="17">
        <v>52.663833351461371</v>
      </c>
      <c r="V42" s="17">
        <v>52.663833351461371</v>
      </c>
      <c r="W42" s="17">
        <v>55.431052041621705</v>
      </c>
      <c r="X42" s="17">
        <v>55.431052041621705</v>
      </c>
      <c r="Y42" s="17">
        <v>1757.6381698921891</v>
      </c>
      <c r="Z42" s="17">
        <v>1757.6381698921891</v>
      </c>
      <c r="AA42" s="7">
        <v>44039</v>
      </c>
      <c r="AB42" s="352">
        <v>238.77533700870541</v>
      </c>
      <c r="AC42" s="352">
        <v>631.96600021753636</v>
      </c>
      <c r="AD42" s="352">
        <v>886.89683266594727</v>
      </c>
      <c r="AE42" s="354">
        <v>1757.6381698921891</v>
      </c>
      <c r="AF42" s="12">
        <v>3</v>
      </c>
      <c r="AG42" s="12">
        <v>14.12</v>
      </c>
      <c r="AH42" s="12">
        <v>61.94</v>
      </c>
      <c r="AI42" s="20">
        <v>4.4701986754966887</v>
      </c>
      <c r="AJ42" s="20">
        <v>3.4680014301036826</v>
      </c>
      <c r="AK42" s="20">
        <v>2.8129602356406478</v>
      </c>
      <c r="AL42" s="68">
        <v>81.646542607684509</v>
      </c>
      <c r="AM42" s="68">
        <v>63.130810763502097</v>
      </c>
      <c r="AN42" s="68">
        <v>63.87707282206086</v>
      </c>
      <c r="AO42" s="395">
        <v>0.96401028277634959</v>
      </c>
      <c r="AP42" s="395">
        <v>0.86999383857054835</v>
      </c>
      <c r="AQ42" s="395">
        <v>0.99196053938054507</v>
      </c>
      <c r="AR42" s="395">
        <v>0.98624678557205436</v>
      </c>
      <c r="AS42" s="395">
        <v>0.92469367523532076</v>
      </c>
      <c r="AT42" s="395">
        <v>0.98203099419390238</v>
      </c>
      <c r="AU42" s="395">
        <v>0.98034438132553126</v>
      </c>
      <c r="AV42" s="395">
        <v>0.94677475824135726</v>
      </c>
      <c r="AW42" s="395">
        <v>0.97347867221508844</v>
      </c>
    </row>
    <row r="43" spans="1:58" x14ac:dyDescent="0.25">
      <c r="A43" s="12">
        <v>3.1120000000000001</v>
      </c>
      <c r="B43" s="12">
        <v>16.23</v>
      </c>
      <c r="C43" s="12">
        <v>62.442</v>
      </c>
      <c r="D43" s="20">
        <v>4.4087190745770641</v>
      </c>
      <c r="E43" s="20">
        <v>3.2068389881239225</v>
      </c>
      <c r="F43" s="20">
        <v>2.7624141368340993</v>
      </c>
      <c r="G43" s="21">
        <v>78.937165554193427</v>
      </c>
      <c r="H43" s="21">
        <v>57.525540399505218</v>
      </c>
      <c r="I43" s="21">
        <v>61.152022057008615</v>
      </c>
      <c r="J43" s="8">
        <v>3.1120000000000001</v>
      </c>
      <c r="K43" s="8">
        <v>16.23</v>
      </c>
      <c r="L43" s="8">
        <v>62.442</v>
      </c>
      <c r="M43" s="8">
        <v>4.4087190745770641</v>
      </c>
      <c r="N43" s="8">
        <v>3.2068389881239225</v>
      </c>
      <c r="O43" s="8">
        <v>2.7624141368340993</v>
      </c>
      <c r="P43" s="44">
        <v>78.937165554193427</v>
      </c>
      <c r="Q43" s="44">
        <v>57.525540399505218</v>
      </c>
      <c r="R43" s="44">
        <v>61.152022057008615</v>
      </c>
      <c r="S43" s="17">
        <v>47.755067401741087</v>
      </c>
      <c r="T43" s="17">
        <v>47.755067401741087</v>
      </c>
      <c r="U43" s="17">
        <v>52.663833351461371</v>
      </c>
      <c r="V43" s="17">
        <v>52.663833351461371</v>
      </c>
      <c r="W43" s="17">
        <v>55.462856994288408</v>
      </c>
      <c r="X43" s="17">
        <v>55.462856994288408</v>
      </c>
      <c r="Y43" s="17">
        <v>1758.1470491348564</v>
      </c>
      <c r="Z43" s="17">
        <v>1758.1470491348564</v>
      </c>
      <c r="AA43" s="7">
        <v>44046</v>
      </c>
      <c r="AB43" s="352">
        <v>238.77533700870541</v>
      </c>
      <c r="AC43" s="352">
        <v>631.96600021753636</v>
      </c>
      <c r="AD43" s="352">
        <v>887.40571190861442</v>
      </c>
      <c r="AE43" s="354">
        <v>1758.1470491348564</v>
      </c>
      <c r="AF43" s="12">
        <v>3</v>
      </c>
      <c r="AG43" s="12">
        <v>14.12</v>
      </c>
      <c r="AH43" s="12">
        <v>61.94</v>
      </c>
      <c r="AI43" s="20">
        <v>4.4701986754966887</v>
      </c>
      <c r="AJ43" s="20">
        <v>3.4680014301036826</v>
      </c>
      <c r="AK43" s="20">
        <v>2.8129602356406478</v>
      </c>
      <c r="AL43" s="68">
        <v>81.646542607684509</v>
      </c>
      <c r="AM43" s="68">
        <v>63.130810763502097</v>
      </c>
      <c r="AN43" s="68">
        <v>63.87707282206086</v>
      </c>
      <c r="AO43" s="395">
        <v>0.96401028277634959</v>
      </c>
      <c r="AP43" s="395">
        <v>0.86999383857054835</v>
      </c>
      <c r="AQ43" s="395">
        <v>0.99196053938054507</v>
      </c>
      <c r="AR43" s="395">
        <v>0.98624678557205436</v>
      </c>
      <c r="AS43" s="395">
        <v>0.92469367523532076</v>
      </c>
      <c r="AT43" s="395">
        <v>0.98203099419390238</v>
      </c>
      <c r="AU43" s="395">
        <v>0.98034438132553126</v>
      </c>
      <c r="AV43" s="395">
        <v>0.94677475824135726</v>
      </c>
      <c r="AW43" s="395">
        <v>0.97468042622082596</v>
      </c>
    </row>
    <row r="44" spans="1:58" x14ac:dyDescent="0.25">
      <c r="A44" s="12">
        <v>3.1120000000000001</v>
      </c>
      <c r="B44" s="12">
        <v>16.23</v>
      </c>
      <c r="C44" s="12">
        <v>61.811999999999998</v>
      </c>
      <c r="D44" s="20">
        <v>4.4575949299045332</v>
      </c>
      <c r="E44" s="20">
        <v>3.2068389881239225</v>
      </c>
      <c r="F44" s="20">
        <v>2.7918272220997391</v>
      </c>
      <c r="G44" s="21">
        <v>78.937165554193427</v>
      </c>
      <c r="H44" s="21">
        <v>57.525540399505218</v>
      </c>
      <c r="I44" s="21">
        <v>61.903526952543231</v>
      </c>
      <c r="J44" s="8">
        <v>3.1120000000000001</v>
      </c>
      <c r="K44" s="8">
        <v>16.23</v>
      </c>
      <c r="L44" s="8">
        <v>61.811999999999998</v>
      </c>
      <c r="M44" s="8">
        <v>4.4575949299045332</v>
      </c>
      <c r="N44" s="8">
        <v>3.2068389881239225</v>
      </c>
      <c r="O44" s="8">
        <v>2.7918272220997391</v>
      </c>
      <c r="P44" s="44">
        <v>78.937165554193427</v>
      </c>
      <c r="Q44" s="44">
        <v>57.525540399505218</v>
      </c>
      <c r="R44" s="44">
        <v>61.903526952543231</v>
      </c>
      <c r="S44" s="17">
        <v>48.021552858297298</v>
      </c>
      <c r="T44" s="17">
        <v>48.021552858297298</v>
      </c>
      <c r="U44" s="17">
        <v>52.663833351461371</v>
      </c>
      <c r="V44" s="17">
        <v>52.663833351461371</v>
      </c>
      <c r="W44" s="17">
        <v>56.069306423351847</v>
      </c>
      <c r="X44" s="17">
        <v>56.069306423351847</v>
      </c>
      <c r="Y44" s="17">
        <v>1769.1826672826526</v>
      </c>
      <c r="Z44" s="17">
        <v>1769.1826672826526</v>
      </c>
      <c r="AA44" s="7">
        <v>44053</v>
      </c>
      <c r="AB44" s="352">
        <v>240.10776429148649</v>
      </c>
      <c r="AC44" s="352">
        <v>631.96600021753636</v>
      </c>
      <c r="AD44" s="352">
        <v>897.10890277362955</v>
      </c>
      <c r="AE44" s="354">
        <v>1769.1826672826523</v>
      </c>
      <c r="AF44" s="12">
        <v>3</v>
      </c>
      <c r="AG44" s="12">
        <v>14.12</v>
      </c>
      <c r="AH44" s="12">
        <v>60.46</v>
      </c>
      <c r="AI44" s="20">
        <v>4.545454545454545</v>
      </c>
      <c r="AJ44" s="20">
        <v>3.4680014301036826</v>
      </c>
      <c r="AK44" s="20">
        <v>2.8399518652226234</v>
      </c>
      <c r="AL44" s="68">
        <v>81.646542607684509</v>
      </c>
      <c r="AM44" s="68">
        <v>63.130810763502097</v>
      </c>
      <c r="AN44" s="68">
        <v>63.87707282206086</v>
      </c>
      <c r="AO44" s="395">
        <v>0.96401028277634959</v>
      </c>
      <c r="AP44" s="395">
        <v>0.86999383857054835</v>
      </c>
      <c r="AQ44" s="395">
        <v>0.97812722448715461</v>
      </c>
      <c r="AR44" s="395">
        <v>0.98067088457899743</v>
      </c>
      <c r="AS44" s="395">
        <v>0.92469367523532076</v>
      </c>
      <c r="AT44" s="395">
        <v>0.98305441591732334</v>
      </c>
      <c r="AU44" s="395">
        <v>0.98034438132553126</v>
      </c>
      <c r="AV44" s="395">
        <v>0.94677475824135726</v>
      </c>
      <c r="AW44" s="395">
        <v>0.98170856667377893</v>
      </c>
      <c r="AZ44" s="431" t="s">
        <v>745</v>
      </c>
      <c r="BA44" s="432" t="s">
        <v>746</v>
      </c>
      <c r="BC44" s="432" t="s">
        <v>747</v>
      </c>
    </row>
    <row r="45" spans="1:58" x14ac:dyDescent="0.25">
      <c r="A45" s="12">
        <v>3.1120000000000001</v>
      </c>
      <c r="B45" s="12">
        <v>16.23</v>
      </c>
      <c r="C45" s="12">
        <v>60.385999999999996</v>
      </c>
      <c r="D45" s="20">
        <v>4.4575949299045332</v>
      </c>
      <c r="E45" s="20">
        <v>3.2068389881239225</v>
      </c>
      <c r="F45" s="20">
        <v>2.8011274074129471</v>
      </c>
      <c r="G45" s="21">
        <v>78.937165554193427</v>
      </c>
      <c r="H45" s="21">
        <v>57.525540399505218</v>
      </c>
      <c r="I45" s="21">
        <v>62.371412735321996</v>
      </c>
      <c r="J45" s="8">
        <v>3.1120000000000001</v>
      </c>
      <c r="K45" s="8">
        <v>16.23</v>
      </c>
      <c r="L45" s="8">
        <v>60.385999999999996</v>
      </c>
      <c r="M45" s="8">
        <v>4.4575949299045332</v>
      </c>
      <c r="N45" s="8">
        <v>3.2068389881239225</v>
      </c>
      <c r="O45" s="8">
        <v>2.8011274074129471</v>
      </c>
      <c r="P45" s="44">
        <v>78.937165554193427</v>
      </c>
      <c r="Q45" s="44">
        <v>57.525540399505218</v>
      </c>
      <c r="R45" s="44">
        <v>62.371412735321996</v>
      </c>
      <c r="S45" s="17">
        <v>48.021552858297298</v>
      </c>
      <c r="T45" s="17">
        <v>48.021552858297298</v>
      </c>
      <c r="U45" s="17">
        <v>52.663833351461371</v>
      </c>
      <c r="V45" s="17">
        <v>52.663833351461371</v>
      </c>
      <c r="W45" s="17">
        <v>56.726693339497416</v>
      </c>
      <c r="X45" s="17">
        <v>56.726693339497416</v>
      </c>
      <c r="Y45" s="17">
        <v>1779.7008579409817</v>
      </c>
      <c r="Z45" s="17">
        <v>1779.7008579409817</v>
      </c>
      <c r="AA45" s="7">
        <v>44060</v>
      </c>
      <c r="AB45" s="352">
        <v>240.10776429148649</v>
      </c>
      <c r="AC45" s="352">
        <v>631.96600021753636</v>
      </c>
      <c r="AD45" s="352">
        <v>907.62709343195866</v>
      </c>
      <c r="AE45" s="354">
        <v>1779.7008579409817</v>
      </c>
      <c r="AF45" s="12">
        <v>3</v>
      </c>
      <c r="AG45" s="12">
        <v>14.12</v>
      </c>
      <c r="AH45" s="12">
        <v>59.17</v>
      </c>
      <c r="AI45" s="20">
        <v>4.545454545454545</v>
      </c>
      <c r="AJ45" s="20">
        <v>3.4680014301036826</v>
      </c>
      <c r="AK45" s="20">
        <v>2.8399518652226234</v>
      </c>
      <c r="AL45" s="68">
        <v>81.646542607684509</v>
      </c>
      <c r="AM45" s="68">
        <v>63.130810763502097</v>
      </c>
      <c r="AN45" s="68">
        <v>63.87707282206086</v>
      </c>
      <c r="AO45" s="395">
        <v>0.96401028277634959</v>
      </c>
      <c r="AP45" s="395">
        <v>0.86999383857054835</v>
      </c>
      <c r="AQ45" s="395">
        <v>0.97986288212499595</v>
      </c>
      <c r="AR45" s="395">
        <v>0.98067088457899743</v>
      </c>
      <c r="AS45" s="395">
        <v>0.92469367523532076</v>
      </c>
      <c r="AT45" s="395">
        <v>0.98632918455938934</v>
      </c>
      <c r="AU45" s="395">
        <v>0.98034438132553126</v>
      </c>
      <c r="AV45" s="395">
        <v>0.94677475824135726</v>
      </c>
      <c r="AW45" s="395">
        <v>0.98606653600658034</v>
      </c>
      <c r="AZ45" s="431" t="s">
        <v>748</v>
      </c>
    </row>
    <row r="46" spans="1:58" x14ac:dyDescent="0.25">
      <c r="A46" s="12">
        <v>3.1120000000000001</v>
      </c>
      <c r="B46" s="12">
        <v>16.23</v>
      </c>
      <c r="C46" s="12">
        <v>60.385999999999996</v>
      </c>
      <c r="D46" s="20">
        <v>4.4575949299045332</v>
      </c>
      <c r="E46" s="20">
        <v>3.2068389881239225</v>
      </c>
      <c r="F46" s="20">
        <v>2.8011274074129471</v>
      </c>
      <c r="G46" s="21">
        <v>78.937165554193427</v>
      </c>
      <c r="H46" s="21">
        <v>57.525540399505218</v>
      </c>
      <c r="I46" s="21">
        <v>62.903553442615177</v>
      </c>
      <c r="J46" s="8">
        <v>3.1120000000000001</v>
      </c>
      <c r="K46" s="8">
        <v>16.23</v>
      </c>
      <c r="L46" s="8">
        <v>60.385999999999996</v>
      </c>
      <c r="M46" s="8">
        <v>4.4575949299045332</v>
      </c>
      <c r="N46" s="8">
        <v>3.2068389881239225</v>
      </c>
      <c r="O46" s="8">
        <v>2.8011274074129471</v>
      </c>
      <c r="P46" s="44">
        <v>78.937165554193427</v>
      </c>
      <c r="Q46" s="44">
        <v>57.525540399505218</v>
      </c>
      <c r="R46" s="44">
        <v>62.903553442615177</v>
      </c>
      <c r="S46" s="17">
        <v>48.021552858297298</v>
      </c>
      <c r="T46" s="17">
        <v>48.021552858297298</v>
      </c>
      <c r="U46" s="17">
        <v>52.663833351461371</v>
      </c>
      <c r="V46" s="17">
        <v>52.663833351461371</v>
      </c>
      <c r="W46" s="17">
        <v>56.858791155677949</v>
      </c>
      <c r="X46" s="17">
        <v>56.858791155677949</v>
      </c>
      <c r="Y46" s="17">
        <v>1781.8144229998702</v>
      </c>
      <c r="Z46" s="17">
        <v>1781.8144229998702</v>
      </c>
      <c r="AA46" s="7">
        <v>44067</v>
      </c>
      <c r="AB46" s="352">
        <v>240.10776429148649</v>
      </c>
      <c r="AC46" s="352">
        <v>631.96600021753636</v>
      </c>
      <c r="AD46" s="352">
        <v>909.74065849084707</v>
      </c>
      <c r="AE46" s="354">
        <v>1781.8144229998702</v>
      </c>
      <c r="AF46" s="12">
        <v>3</v>
      </c>
      <c r="AG46" s="12">
        <v>14.12</v>
      </c>
      <c r="AH46" s="12">
        <v>59.17</v>
      </c>
      <c r="AI46" s="20">
        <v>4.545454545454545</v>
      </c>
      <c r="AJ46" s="20">
        <v>3.4680014301036826</v>
      </c>
      <c r="AK46" s="20">
        <v>2.8399518652226234</v>
      </c>
      <c r="AL46" s="68">
        <v>81.646542607684509</v>
      </c>
      <c r="AM46" s="68">
        <v>63.130810763502097</v>
      </c>
      <c r="AN46" s="68">
        <v>64.028976873970009</v>
      </c>
      <c r="AO46" s="395">
        <v>0.96401028277634959</v>
      </c>
      <c r="AP46" s="395">
        <v>0.86999383857054835</v>
      </c>
      <c r="AQ46" s="395">
        <v>0.97986288212499595</v>
      </c>
      <c r="AR46" s="395">
        <v>0.98067088457899743</v>
      </c>
      <c r="AS46" s="395">
        <v>0.92469367523532076</v>
      </c>
      <c r="AT46" s="395">
        <v>0.98632918455938934</v>
      </c>
      <c r="AU46" s="395">
        <v>0.98034438132553126</v>
      </c>
      <c r="AV46" s="395">
        <v>0.94677475824135726</v>
      </c>
      <c r="AW46" s="395">
        <v>0.98962298781440883</v>
      </c>
      <c r="BF46" s="431" t="s">
        <v>749</v>
      </c>
    </row>
    <row r="47" spans="1:58" x14ac:dyDescent="0.25">
      <c r="A47" s="12">
        <v>3.1120000000000001</v>
      </c>
      <c r="B47" s="12">
        <v>16.23</v>
      </c>
      <c r="C47" s="12">
        <v>60.385999999999996</v>
      </c>
      <c r="D47" s="20">
        <v>4.4575949299045332</v>
      </c>
      <c r="E47" s="20">
        <v>3.2068389881239225</v>
      </c>
      <c r="F47" s="20">
        <v>2.8011274074129471</v>
      </c>
      <c r="G47" s="21">
        <v>78.937165554193427</v>
      </c>
      <c r="H47" s="21">
        <v>57.525540399505218</v>
      </c>
      <c r="I47" s="21">
        <v>62.903553442615177</v>
      </c>
      <c r="J47" s="8">
        <v>3.1120000000000001</v>
      </c>
      <c r="K47" s="8">
        <v>16.23</v>
      </c>
      <c r="L47" s="8">
        <v>60.385999999999996</v>
      </c>
      <c r="M47" s="8">
        <v>4.4575949299045332</v>
      </c>
      <c r="N47" s="8">
        <v>3.2068389881239225</v>
      </c>
      <c r="O47" s="8">
        <v>2.8011274074129471</v>
      </c>
      <c r="P47" s="44">
        <v>78.937165554193427</v>
      </c>
      <c r="Q47" s="44">
        <v>57.525540399505218</v>
      </c>
      <c r="R47" s="44">
        <v>62.903553442615177</v>
      </c>
      <c r="S47" s="17">
        <v>48.021552858297298</v>
      </c>
      <c r="T47" s="17">
        <v>48.021552858297298</v>
      </c>
      <c r="U47" s="17">
        <v>52.663833351461371</v>
      </c>
      <c r="V47" s="17">
        <v>52.663833351461371</v>
      </c>
      <c r="W47" s="17">
        <v>56.858791155677949</v>
      </c>
      <c r="X47" s="17">
        <v>56.858791155677949</v>
      </c>
      <c r="Y47" s="17">
        <v>1781.8144229998702</v>
      </c>
      <c r="Z47" s="17">
        <v>1781.8144229998702</v>
      </c>
      <c r="AA47" s="7">
        <v>44074</v>
      </c>
      <c r="AB47" s="352">
        <v>240.10776429148649</v>
      </c>
      <c r="AC47" s="352">
        <v>631.96600021753636</v>
      </c>
      <c r="AD47" s="352">
        <v>909.74065849084707</v>
      </c>
      <c r="AE47" s="354">
        <v>1781.8144229998702</v>
      </c>
      <c r="AF47" s="12">
        <v>3</v>
      </c>
      <c r="AG47" s="12">
        <v>14.12</v>
      </c>
      <c r="AH47" s="12">
        <v>59.17</v>
      </c>
      <c r="AI47" s="20">
        <v>4.545454545454545</v>
      </c>
      <c r="AJ47" s="20">
        <v>3.4680014301036826</v>
      </c>
      <c r="AK47" s="20">
        <v>2.8399518652226234</v>
      </c>
      <c r="AL47" s="68">
        <v>81.646542607684509</v>
      </c>
      <c r="AM47" s="68">
        <v>63.130810763502097</v>
      </c>
      <c r="AN47" s="68">
        <v>64.028976873970009</v>
      </c>
      <c r="AO47" s="395">
        <v>0.96401028277634959</v>
      </c>
      <c r="AP47" s="395">
        <v>0.86999383857054835</v>
      </c>
      <c r="AQ47" s="395">
        <v>0.97986288212499595</v>
      </c>
      <c r="AR47" s="395">
        <v>0.98067088457899743</v>
      </c>
      <c r="AS47" s="395">
        <v>0.92469367523532076</v>
      </c>
      <c r="AT47" s="395">
        <v>0.98632918455938934</v>
      </c>
      <c r="AU47" s="395">
        <v>0.98034438132553126</v>
      </c>
      <c r="AV47" s="395">
        <v>0.94677475824135726</v>
      </c>
      <c r="AW47" s="395">
        <v>0.98962298781440883</v>
      </c>
    </row>
    <row r="48" spans="1:58" x14ac:dyDescent="0.25">
      <c r="A48" s="12">
        <v>3.1120000000000001</v>
      </c>
      <c r="B48" s="12">
        <v>16.23</v>
      </c>
      <c r="C48" s="12">
        <v>60.385999999999996</v>
      </c>
      <c r="D48" s="20">
        <v>4.4575949299045332</v>
      </c>
      <c r="E48" s="20">
        <v>3.2068389881239225</v>
      </c>
      <c r="F48" s="20">
        <v>2.8011274074129471</v>
      </c>
      <c r="G48" s="21">
        <v>78.937165554193427</v>
      </c>
      <c r="H48" s="21">
        <v>57.525540399505218</v>
      </c>
      <c r="I48" s="21">
        <v>62.903553442615177</v>
      </c>
      <c r="J48" s="8">
        <v>3.1120000000000001</v>
      </c>
      <c r="K48" s="8">
        <v>16.23</v>
      </c>
      <c r="L48" s="8">
        <v>60.385999999999996</v>
      </c>
      <c r="M48" s="8">
        <v>4.4575949299045332</v>
      </c>
      <c r="N48" s="8">
        <v>3.2068389881239225</v>
      </c>
      <c r="O48" s="8">
        <v>2.8011274074129471</v>
      </c>
      <c r="P48" s="44">
        <v>78.937165554193427</v>
      </c>
      <c r="Q48" s="44">
        <v>57.525540399505218</v>
      </c>
      <c r="R48" s="44">
        <v>62.903553442615177</v>
      </c>
      <c r="S48" s="17">
        <v>48.021552858297298</v>
      </c>
      <c r="T48" s="17">
        <v>48.021552858297298</v>
      </c>
      <c r="U48" s="17">
        <v>52.663833351461371</v>
      </c>
      <c r="V48" s="17">
        <v>52.663833351461371</v>
      </c>
      <c r="W48" s="17">
        <v>56.858791155677949</v>
      </c>
      <c r="X48" s="17">
        <v>56.858791155677949</v>
      </c>
      <c r="Y48" s="17">
        <v>1781.8144229998702</v>
      </c>
      <c r="Z48" s="17">
        <v>1781.8144229998702</v>
      </c>
      <c r="AA48" s="7">
        <v>44081</v>
      </c>
      <c r="AB48" s="352">
        <v>240.10776429148649</v>
      </c>
      <c r="AC48" s="352">
        <v>631.96600021753636</v>
      </c>
      <c r="AD48" s="352">
        <v>909.74065849084707</v>
      </c>
      <c r="AE48" s="354">
        <v>1781.8144229998702</v>
      </c>
      <c r="AF48" s="12">
        <v>3</v>
      </c>
      <c r="AG48" s="12">
        <v>14.12</v>
      </c>
      <c r="AH48" s="12">
        <v>59.17</v>
      </c>
      <c r="AI48" s="20">
        <v>4.545454545454545</v>
      </c>
      <c r="AJ48" s="20">
        <v>3.4680014301036826</v>
      </c>
      <c r="AK48" s="20">
        <v>2.8399518652226234</v>
      </c>
      <c r="AL48" s="68">
        <v>81.646542607684509</v>
      </c>
      <c r="AM48" s="68">
        <v>63.130810763502097</v>
      </c>
      <c r="AN48" s="68">
        <v>64.028976873970009</v>
      </c>
      <c r="AO48" s="395">
        <v>0.96401028277634959</v>
      </c>
      <c r="AP48" s="395">
        <v>0.86999383857054835</v>
      </c>
      <c r="AQ48" s="395">
        <v>0.97986288212499595</v>
      </c>
      <c r="AR48" s="395">
        <v>0.98067088457899743</v>
      </c>
      <c r="AS48" s="395">
        <v>0.92469367523532076</v>
      </c>
      <c r="AT48" s="395">
        <v>0.98632918455938934</v>
      </c>
      <c r="AU48" s="395">
        <v>0.98034438132553126</v>
      </c>
      <c r="AV48" s="395">
        <v>0.94677475824135726</v>
      </c>
      <c r="AW48" s="395">
        <v>0.98962298781440883</v>
      </c>
    </row>
    <row r="49" spans="1:58" x14ac:dyDescent="0.25">
      <c r="A49" s="12">
        <v>3.1120000000000001</v>
      </c>
      <c r="B49" s="12">
        <v>16.23</v>
      </c>
      <c r="C49" s="12">
        <v>60.385999999999996</v>
      </c>
      <c r="D49" s="20">
        <v>4.6318624438072016</v>
      </c>
      <c r="E49" s="20">
        <v>3.2068389881239225</v>
      </c>
      <c r="F49" s="20">
        <v>2.8011274074129471</v>
      </c>
      <c r="G49" s="21">
        <v>83.136509424071718</v>
      </c>
      <c r="H49" s="21">
        <v>57.643489239354892</v>
      </c>
      <c r="I49" s="21">
        <v>62.903553442615177</v>
      </c>
      <c r="J49" s="8">
        <v>3.1120000000000001</v>
      </c>
      <c r="K49" s="8">
        <v>16.23</v>
      </c>
      <c r="L49" s="8">
        <v>60.385999999999996</v>
      </c>
      <c r="M49" s="8">
        <v>4.6318624438072016</v>
      </c>
      <c r="N49" s="8">
        <v>3.2068389881239225</v>
      </c>
      <c r="O49" s="8">
        <v>2.8011274074129471</v>
      </c>
      <c r="P49" s="44">
        <v>83.136509424071718</v>
      </c>
      <c r="Q49" s="44">
        <v>57.643489239354892</v>
      </c>
      <c r="R49" s="44">
        <v>62.903553442615177</v>
      </c>
      <c r="S49" s="17">
        <v>49.406746670695384</v>
      </c>
      <c r="T49" s="17">
        <v>49.406746670695384</v>
      </c>
      <c r="U49" s="17">
        <v>52.69059491741438</v>
      </c>
      <c r="V49" s="17">
        <v>52.69059491741438</v>
      </c>
      <c r="W49" s="17">
        <v>56.858791155677949</v>
      </c>
      <c r="X49" s="17">
        <v>56.858791155677949</v>
      </c>
      <c r="Y49" s="17">
        <v>1789.0615308532965</v>
      </c>
      <c r="Z49" s="17">
        <v>1789.0615308532965</v>
      </c>
      <c r="AA49" s="7">
        <v>44088</v>
      </c>
      <c r="AB49" s="352">
        <v>247.03373335347692</v>
      </c>
      <c r="AC49" s="352">
        <v>632.28713900897253</v>
      </c>
      <c r="AD49" s="352">
        <v>909.74065849084707</v>
      </c>
      <c r="AE49" s="354">
        <v>1789.0615308532963</v>
      </c>
      <c r="AF49" s="12">
        <v>3</v>
      </c>
      <c r="AG49" s="12">
        <v>14.12</v>
      </c>
      <c r="AH49" s="12">
        <v>59.17</v>
      </c>
      <c r="AI49" s="20">
        <v>4.8780487804878048</v>
      </c>
      <c r="AJ49" s="20">
        <v>3.4680014301036826</v>
      </c>
      <c r="AK49" s="20">
        <v>2.8399518652226234</v>
      </c>
      <c r="AL49" s="68">
        <v>92.50807452144511</v>
      </c>
      <c r="AM49" s="68">
        <v>63.130810763502097</v>
      </c>
      <c r="AN49" s="68">
        <v>64.028976873970009</v>
      </c>
      <c r="AO49" s="395">
        <v>0.96401028277634959</v>
      </c>
      <c r="AP49" s="395">
        <v>0.86999383857054835</v>
      </c>
      <c r="AQ49" s="395">
        <v>0.97986288212499595</v>
      </c>
      <c r="AR49" s="395">
        <v>0.94953180098047629</v>
      </c>
      <c r="AS49" s="395">
        <v>0.92469367523532076</v>
      </c>
      <c r="AT49" s="395">
        <v>0.98632918455938934</v>
      </c>
      <c r="AU49" s="395">
        <v>0.93910256396065273</v>
      </c>
      <c r="AV49" s="395">
        <v>0.94791618361496521</v>
      </c>
      <c r="AW49" s="395">
        <v>0.98962298781440883</v>
      </c>
      <c r="BA49" s="432" t="s">
        <v>750</v>
      </c>
      <c r="BD49" s="431" t="s">
        <v>750</v>
      </c>
    </row>
    <row r="50" spans="1:58" x14ac:dyDescent="0.25">
      <c r="A50" s="12">
        <v>3.1120000000000001</v>
      </c>
      <c r="B50" s="12">
        <v>16.23</v>
      </c>
      <c r="C50" s="12">
        <v>59.444000000000003</v>
      </c>
      <c r="D50" s="20">
        <v>4.6318624438072016</v>
      </c>
      <c r="E50" s="20">
        <v>3.2068389881239225</v>
      </c>
      <c r="F50" s="20">
        <v>2.8108872913917051</v>
      </c>
      <c r="G50" s="21">
        <v>83.136509424071718</v>
      </c>
      <c r="H50" s="21">
        <v>57.643489239354892</v>
      </c>
      <c r="I50" s="21">
        <v>64.172292074720048</v>
      </c>
      <c r="J50" s="8">
        <v>3.1120000000000001</v>
      </c>
      <c r="K50" s="8">
        <v>16.23</v>
      </c>
      <c r="L50" s="8">
        <v>59.444000000000003</v>
      </c>
      <c r="M50" s="8">
        <v>4.6318624438072016</v>
      </c>
      <c r="N50" s="8">
        <v>3.2068389881239225</v>
      </c>
      <c r="O50" s="8">
        <v>2.8108872913917051</v>
      </c>
      <c r="P50" s="44">
        <v>83.136509424071718</v>
      </c>
      <c r="Q50" s="44">
        <v>57.643489239354892</v>
      </c>
      <c r="R50" s="44">
        <v>64.172292074720048</v>
      </c>
      <c r="S50" s="17">
        <v>49.406746670695384</v>
      </c>
      <c r="T50" s="17">
        <v>49.406746670695384</v>
      </c>
      <c r="U50" s="17">
        <v>52.69059491741438</v>
      </c>
      <c r="V50" s="17">
        <v>52.69059491741438</v>
      </c>
      <c r="W50" s="17">
        <v>57.570523199528225</v>
      </c>
      <c r="X50" s="17">
        <v>57.570523199528225</v>
      </c>
      <c r="Y50" s="17">
        <v>1800.4492435549009</v>
      </c>
      <c r="Z50" s="17">
        <v>1800.4492435549009</v>
      </c>
      <c r="AA50" s="7">
        <v>44095</v>
      </c>
      <c r="AB50" s="352">
        <v>247.03373335347692</v>
      </c>
      <c r="AC50" s="352">
        <v>632.28713900897253</v>
      </c>
      <c r="AD50" s="352">
        <v>921.1283711924516</v>
      </c>
      <c r="AE50" s="354">
        <v>1800.4492435549007</v>
      </c>
      <c r="AF50" s="12">
        <v>3</v>
      </c>
      <c r="AG50" s="12">
        <v>14.12</v>
      </c>
      <c r="AH50" s="12">
        <v>58.3</v>
      </c>
      <c r="AI50" s="20">
        <v>4.8780487804878048</v>
      </c>
      <c r="AJ50" s="20">
        <v>3.4680014301036826</v>
      </c>
      <c r="AK50" s="20">
        <v>2.8399518652226234</v>
      </c>
      <c r="AL50" s="68">
        <v>92.50807452144511</v>
      </c>
      <c r="AM50" s="68">
        <v>63.130810763502097</v>
      </c>
      <c r="AN50" s="68">
        <v>67.046806836187514</v>
      </c>
      <c r="AO50" s="395">
        <v>0.96401028277634959</v>
      </c>
      <c r="AP50" s="395">
        <v>0.86999383857054835</v>
      </c>
      <c r="AQ50" s="395">
        <v>0.98075499629903762</v>
      </c>
      <c r="AR50" s="395">
        <v>0.94953180098047629</v>
      </c>
      <c r="AS50" s="395">
        <v>0.92469367523532076</v>
      </c>
      <c r="AT50" s="395">
        <v>0.98976582167224869</v>
      </c>
      <c r="AU50" s="395">
        <v>0.93910256396065273</v>
      </c>
      <c r="AV50" s="395">
        <v>0.94791618361496521</v>
      </c>
      <c r="AW50" s="395">
        <v>0.97455321889835445</v>
      </c>
      <c r="AZ50" s="431" t="s">
        <v>751</v>
      </c>
      <c r="BF50" s="431" t="s">
        <v>752</v>
      </c>
    </row>
    <row r="51" spans="1:58" x14ac:dyDescent="0.25">
      <c r="A51" s="12">
        <v>3.1120000000000001</v>
      </c>
      <c r="B51" s="12">
        <v>16.23</v>
      </c>
      <c r="C51" s="12">
        <v>59.444000000000003</v>
      </c>
      <c r="D51" s="20">
        <v>4.6318624438072016</v>
      </c>
      <c r="E51" s="20">
        <v>3.2068389881239225</v>
      </c>
      <c r="F51" s="20">
        <v>2.8108872913917051</v>
      </c>
      <c r="G51" s="21">
        <v>83.136509424071718</v>
      </c>
      <c r="H51" s="21">
        <v>57.643489239354892</v>
      </c>
      <c r="I51" s="21">
        <v>64.172292074720048</v>
      </c>
      <c r="J51" s="8">
        <v>3.1120000000000001</v>
      </c>
      <c r="K51" s="8">
        <v>16.23</v>
      </c>
      <c r="L51" s="8">
        <v>59.444000000000003</v>
      </c>
      <c r="M51" s="8">
        <v>4.6318624438072016</v>
      </c>
      <c r="N51" s="8">
        <v>3.2068389881239225</v>
      </c>
      <c r="O51" s="8">
        <v>2.8108872913917051</v>
      </c>
      <c r="P51" s="44">
        <v>83.136509424071718</v>
      </c>
      <c r="Q51" s="44">
        <v>57.643489239354892</v>
      </c>
      <c r="R51" s="44">
        <v>64.172292074720048</v>
      </c>
      <c r="S51" s="17">
        <v>49.406746670695384</v>
      </c>
      <c r="T51" s="17">
        <v>49.406746670695384</v>
      </c>
      <c r="U51" s="17">
        <v>52.69059491741438</v>
      </c>
      <c r="V51" s="17">
        <v>52.69059491741438</v>
      </c>
      <c r="W51" s="17">
        <v>57.570523199528225</v>
      </c>
      <c r="X51" s="17">
        <v>57.570523199528225</v>
      </c>
      <c r="Y51" s="17">
        <v>1800.4492435549009</v>
      </c>
      <c r="Z51" s="17">
        <v>1800.4492435549009</v>
      </c>
      <c r="AA51" s="7">
        <v>44102</v>
      </c>
      <c r="AB51" s="352">
        <v>247.03373335347692</v>
      </c>
      <c r="AC51" s="352">
        <v>632.28713900897253</v>
      </c>
      <c r="AD51" s="352">
        <v>921.1283711924516</v>
      </c>
      <c r="AE51" s="354">
        <v>1800.4492435549007</v>
      </c>
      <c r="AF51" s="12">
        <v>3</v>
      </c>
      <c r="AG51" s="12">
        <v>14.12</v>
      </c>
      <c r="AH51" s="12">
        <v>58.3</v>
      </c>
      <c r="AI51" s="20">
        <v>4.8780487804878048</v>
      </c>
      <c r="AJ51" s="20">
        <v>3.4680014301036826</v>
      </c>
      <c r="AK51" s="20">
        <v>2.8399518652226234</v>
      </c>
      <c r="AL51" s="68">
        <v>92.50807452144511</v>
      </c>
      <c r="AM51" s="68">
        <v>63.130810763502097</v>
      </c>
      <c r="AN51" s="68">
        <v>67.046806836187514</v>
      </c>
      <c r="AO51" s="395">
        <v>0.96401028277634959</v>
      </c>
      <c r="AP51" s="395">
        <v>0.86999383857054835</v>
      </c>
      <c r="AQ51" s="395">
        <v>0.98075499629903762</v>
      </c>
      <c r="AR51" s="395">
        <v>0.94953180098047629</v>
      </c>
      <c r="AS51" s="395">
        <v>0.92469367523532076</v>
      </c>
      <c r="AT51" s="395">
        <v>0.98976582167224869</v>
      </c>
      <c r="AU51" s="395">
        <v>0.93910256396065273</v>
      </c>
      <c r="AV51" s="395">
        <v>0.94791618361496521</v>
      </c>
      <c r="AW51" s="395">
        <v>0.97455321889835445</v>
      </c>
    </row>
    <row r="52" spans="1:58" x14ac:dyDescent="0.25">
      <c r="A52" s="12">
        <v>3.1120000000000001</v>
      </c>
      <c r="B52" s="12">
        <v>16.23</v>
      </c>
      <c r="C52" s="12">
        <v>59.444000000000003</v>
      </c>
      <c r="D52" s="20">
        <v>4.6318624438072016</v>
      </c>
      <c r="E52" s="20">
        <v>3.242201001733434</v>
      </c>
      <c r="F52" s="20">
        <v>2.8108872913917051</v>
      </c>
      <c r="G52" s="21">
        <v>83.136509424071718</v>
      </c>
      <c r="H52" s="21">
        <v>57.643489239354892</v>
      </c>
      <c r="I52" s="21">
        <v>64.172292074720048</v>
      </c>
      <c r="J52" s="8">
        <v>3.1120000000000001</v>
      </c>
      <c r="K52" s="8">
        <v>16.23</v>
      </c>
      <c r="L52" s="8">
        <v>59.444000000000003</v>
      </c>
      <c r="M52" s="8">
        <v>4.6318624438072016</v>
      </c>
      <c r="N52" s="8">
        <v>3.2068389881239225</v>
      </c>
      <c r="O52" s="8">
        <v>2.8108872913917051</v>
      </c>
      <c r="P52" s="44">
        <v>83.136509424071718</v>
      </c>
      <c r="Q52" s="44">
        <v>57.643489239354892</v>
      </c>
      <c r="R52" s="44">
        <v>64.172292074720048</v>
      </c>
      <c r="S52" s="17">
        <v>49.406746670695384</v>
      </c>
      <c r="T52" s="17">
        <v>49.406746670695384</v>
      </c>
      <c r="U52" s="17">
        <v>52.908404421530939</v>
      </c>
      <c r="V52" s="17">
        <v>52.69059491741438</v>
      </c>
      <c r="W52" s="17">
        <v>57.570523199528225</v>
      </c>
      <c r="X52" s="17">
        <v>57.570523199528225</v>
      </c>
      <c r="Y52" s="17">
        <v>1803.0629576042998</v>
      </c>
      <c r="Z52" s="17">
        <v>1800.4492435549009</v>
      </c>
      <c r="AA52" s="7">
        <v>44109</v>
      </c>
      <c r="AB52" s="352">
        <v>247.03373335347692</v>
      </c>
      <c r="AC52" s="352">
        <v>634.74403021540729</v>
      </c>
      <c r="AD52" s="352">
        <v>921.1283711924516</v>
      </c>
      <c r="AE52" s="354">
        <v>1802.9061347613358</v>
      </c>
      <c r="AF52" s="12">
        <v>3</v>
      </c>
      <c r="AG52" s="12">
        <v>14.12</v>
      </c>
      <c r="AH52" s="12">
        <v>58.3</v>
      </c>
      <c r="AI52" s="20">
        <v>4.8780487804878048</v>
      </c>
      <c r="AJ52" s="20">
        <v>3.4680014301036826</v>
      </c>
      <c r="AK52" s="20">
        <v>2.8399518652226234</v>
      </c>
      <c r="AL52" s="68">
        <v>92.50807452144511</v>
      </c>
      <c r="AM52" s="68">
        <v>63.130810763502097</v>
      </c>
      <c r="AN52" s="68">
        <v>67.046806836187514</v>
      </c>
      <c r="AO52" s="395">
        <v>0.96401028277634959</v>
      </c>
      <c r="AP52" s="395">
        <v>0.86999383857054835</v>
      </c>
      <c r="AQ52" s="395">
        <v>0.98075499629903762</v>
      </c>
      <c r="AR52" s="395">
        <v>0.94953180098047629</v>
      </c>
      <c r="AS52" s="395">
        <v>0.93489033008746547</v>
      </c>
      <c r="AT52" s="395">
        <v>0.98976582167224869</v>
      </c>
      <c r="AU52" s="395">
        <v>0.93910256396065273</v>
      </c>
      <c r="AV52" s="395">
        <v>0.94791618361496521</v>
      </c>
      <c r="AW52" s="395">
        <v>0.97455321889835445</v>
      </c>
    </row>
    <row r="53" spans="1:58" x14ac:dyDescent="0.25">
      <c r="A53" s="12">
        <v>3.1120000000000001</v>
      </c>
      <c r="B53" s="12">
        <v>16.23</v>
      </c>
      <c r="C53" s="12">
        <v>59.444000000000003</v>
      </c>
      <c r="D53" s="20">
        <v>4.6318624438072016</v>
      </c>
      <c r="E53" s="20">
        <v>3.242201001733434</v>
      </c>
      <c r="F53" s="20">
        <v>2.8108872913917051</v>
      </c>
      <c r="G53" s="21">
        <v>83.136509424071718</v>
      </c>
      <c r="H53" s="21">
        <v>57.643489239354892</v>
      </c>
      <c r="I53" s="21">
        <v>64.172292074720048</v>
      </c>
      <c r="J53" s="8">
        <v>3.1120000000000001</v>
      </c>
      <c r="K53" s="8">
        <v>16.23</v>
      </c>
      <c r="L53" s="8">
        <v>59.444000000000003</v>
      </c>
      <c r="M53" s="8">
        <v>4.6318624438072016</v>
      </c>
      <c r="N53" s="8">
        <v>3.2068389881239225</v>
      </c>
      <c r="O53" s="8">
        <v>2.8108872913917051</v>
      </c>
      <c r="P53" s="44">
        <v>83.136509424071718</v>
      </c>
      <c r="Q53" s="44">
        <v>57.643489239354892</v>
      </c>
      <c r="R53" s="44">
        <v>64.172292074720048</v>
      </c>
      <c r="S53" s="17">
        <v>49.406746670695384</v>
      </c>
      <c r="T53" s="17">
        <v>49.406746670695384</v>
      </c>
      <c r="U53" s="17">
        <v>52.908404421530939</v>
      </c>
      <c r="V53" s="17">
        <v>52.69059491741438</v>
      </c>
      <c r="W53" s="17">
        <v>57.570523199528225</v>
      </c>
      <c r="X53" s="17">
        <v>57.570523199528225</v>
      </c>
      <c r="Y53" s="17">
        <v>1803.0629576042998</v>
      </c>
      <c r="Z53" s="17">
        <v>1800.4492435549009</v>
      </c>
      <c r="AA53" s="7">
        <v>44116</v>
      </c>
      <c r="AB53" s="352">
        <v>247.03373335347692</v>
      </c>
      <c r="AC53" s="352">
        <v>634.74403021540729</v>
      </c>
      <c r="AD53" s="352">
        <v>921.1283711924516</v>
      </c>
      <c r="AE53" s="354">
        <v>1802.9061347613358</v>
      </c>
      <c r="AF53" s="12">
        <v>3</v>
      </c>
      <c r="AG53" s="12">
        <v>14.12</v>
      </c>
      <c r="AH53" s="12">
        <v>58.3</v>
      </c>
      <c r="AI53" s="20">
        <v>4.8780487804878048</v>
      </c>
      <c r="AJ53" s="20">
        <v>3.4680014301036826</v>
      </c>
      <c r="AK53" s="20">
        <v>2.8399518652226234</v>
      </c>
      <c r="AL53" s="68">
        <v>92.50807452144511</v>
      </c>
      <c r="AM53" s="68">
        <v>63.130810763502097</v>
      </c>
      <c r="AN53" s="68">
        <v>67.046806836187514</v>
      </c>
      <c r="AO53" s="395">
        <v>0.96401028277634959</v>
      </c>
      <c r="AP53" s="395">
        <v>0.86999383857054835</v>
      </c>
      <c r="AQ53" s="395">
        <v>0.98075499629903762</v>
      </c>
      <c r="AR53" s="395">
        <v>0.94953180098047629</v>
      </c>
      <c r="AS53" s="395">
        <v>0.93489033008746547</v>
      </c>
      <c r="AT53" s="395">
        <v>0.98976582167224869</v>
      </c>
      <c r="AU53" s="395">
        <v>0.93910256396065273</v>
      </c>
      <c r="AV53" s="395">
        <v>0.94791618361496521</v>
      </c>
      <c r="AW53" s="395">
        <v>0.97455321889835445</v>
      </c>
    </row>
    <row r="54" spans="1:58" x14ac:dyDescent="0.25">
      <c r="A54" s="12">
        <v>3.1120000000000001</v>
      </c>
      <c r="B54" s="12">
        <v>16.23</v>
      </c>
      <c r="C54" s="12">
        <v>59.444000000000003</v>
      </c>
      <c r="D54" s="20">
        <v>4.6318624438072016</v>
      </c>
      <c r="E54" s="20">
        <v>3.242201001733434</v>
      </c>
      <c r="F54" s="20">
        <v>2.8108872913917051</v>
      </c>
      <c r="G54" s="21">
        <v>83.136509424071718</v>
      </c>
      <c r="H54" s="21">
        <v>57.643489239354892</v>
      </c>
      <c r="I54" s="21">
        <v>64.172292074720048</v>
      </c>
      <c r="J54" s="8">
        <v>3.1120000000000001</v>
      </c>
      <c r="K54" s="8">
        <v>16.23</v>
      </c>
      <c r="L54" s="8">
        <v>59.444000000000003</v>
      </c>
      <c r="M54" s="8">
        <v>4.6318624438072016</v>
      </c>
      <c r="N54" s="8">
        <v>3.2068389881239225</v>
      </c>
      <c r="O54" s="8">
        <v>2.8108872913917051</v>
      </c>
      <c r="P54" s="44">
        <v>83.136509424071718</v>
      </c>
      <c r="Q54" s="44">
        <v>57.643489239354892</v>
      </c>
      <c r="R54" s="44">
        <v>64.172292074720048</v>
      </c>
      <c r="S54" s="17">
        <v>49.406746670695384</v>
      </c>
      <c r="T54" s="17">
        <v>49.406746670695384</v>
      </c>
      <c r="U54" s="17">
        <v>52.908404421530939</v>
      </c>
      <c r="V54" s="17">
        <v>52.69059491741438</v>
      </c>
      <c r="W54" s="17">
        <v>57.570523199528225</v>
      </c>
      <c r="X54" s="17">
        <v>57.570523199528225</v>
      </c>
      <c r="Y54" s="17">
        <v>1803.0629576042998</v>
      </c>
      <c r="Z54" s="17">
        <v>1800.4492435549009</v>
      </c>
      <c r="AA54" s="7">
        <v>44123</v>
      </c>
      <c r="AB54" s="352">
        <v>247.03373335347692</v>
      </c>
      <c r="AC54" s="352">
        <v>634.74403021540729</v>
      </c>
      <c r="AD54" s="352">
        <v>921.1283711924516</v>
      </c>
      <c r="AE54" s="354">
        <v>1802.9061347613358</v>
      </c>
      <c r="AF54" s="12">
        <v>3</v>
      </c>
      <c r="AG54" s="12">
        <v>14.12</v>
      </c>
      <c r="AH54" s="12">
        <v>58.3</v>
      </c>
      <c r="AI54" s="20">
        <v>4.8780487804878048</v>
      </c>
      <c r="AJ54" s="20">
        <v>3.4680014301036826</v>
      </c>
      <c r="AK54" s="20">
        <v>2.8399518652226234</v>
      </c>
      <c r="AL54" s="68">
        <v>92.50807452144511</v>
      </c>
      <c r="AM54" s="68">
        <v>63.130810763502097</v>
      </c>
      <c r="AN54" s="68">
        <v>67.046806836187514</v>
      </c>
      <c r="AO54" s="395">
        <v>0.96401028277634959</v>
      </c>
      <c r="AP54" s="395">
        <v>0.86999383857054835</v>
      </c>
      <c r="AQ54" s="395">
        <v>0.98075499629903762</v>
      </c>
      <c r="AR54" s="395">
        <v>0.94953180098047629</v>
      </c>
      <c r="AS54" s="395">
        <v>0.93489033008746547</v>
      </c>
      <c r="AT54" s="395">
        <v>0.98976582167224869</v>
      </c>
      <c r="AU54" s="395">
        <v>0.93910256396065273</v>
      </c>
      <c r="AV54" s="395">
        <v>0.94791618361496521</v>
      </c>
      <c r="AW54" s="395">
        <v>0.97455321889835445</v>
      </c>
    </row>
    <row r="55" spans="1:58" x14ac:dyDescent="0.25">
      <c r="A55" s="12">
        <v>3.1120000000000001</v>
      </c>
      <c r="B55" s="12">
        <v>16.23</v>
      </c>
      <c r="C55" s="12">
        <v>59.444000000000003</v>
      </c>
      <c r="D55" s="20">
        <v>4.6318624438072016</v>
      </c>
      <c r="E55" s="20">
        <v>3.242201001733434</v>
      </c>
      <c r="F55" s="20">
        <v>2.8108872913917051</v>
      </c>
      <c r="G55" s="21">
        <v>83.136509424071718</v>
      </c>
      <c r="H55" s="21">
        <v>57.643489239354892</v>
      </c>
      <c r="I55" s="21">
        <v>64.172292074720048</v>
      </c>
      <c r="J55" s="8">
        <v>3.1120000000000001</v>
      </c>
      <c r="K55" s="8">
        <v>16.23</v>
      </c>
      <c r="L55" s="8">
        <v>59.444000000000003</v>
      </c>
      <c r="M55" s="8">
        <v>4.6318624438072016</v>
      </c>
      <c r="N55" s="8">
        <v>3.2068389881239225</v>
      </c>
      <c r="O55" s="8">
        <v>2.8108872913917051</v>
      </c>
      <c r="P55" s="44">
        <v>83.136509424071718</v>
      </c>
      <c r="Q55" s="44">
        <v>57.643489239354892</v>
      </c>
      <c r="R55" s="44">
        <v>64.172292074720048</v>
      </c>
      <c r="S55" s="17">
        <v>49.406746670695384</v>
      </c>
      <c r="T55" s="17">
        <v>49.406746670695384</v>
      </c>
      <c r="U55" s="17">
        <v>52.908404421530939</v>
      </c>
      <c r="V55" s="17">
        <v>52.69059491741438</v>
      </c>
      <c r="W55" s="17">
        <v>57.570523199528225</v>
      </c>
      <c r="X55" s="17">
        <v>57.570523199528225</v>
      </c>
      <c r="Y55" s="17">
        <v>1803.0629576042998</v>
      </c>
      <c r="Z55" s="17">
        <v>1800.4492435549009</v>
      </c>
      <c r="AA55" s="7">
        <v>44130</v>
      </c>
      <c r="AB55" s="352">
        <v>247.03373335347692</v>
      </c>
      <c r="AC55" s="352">
        <v>634.74403021540729</v>
      </c>
      <c r="AD55" s="352">
        <v>921.1283711924516</v>
      </c>
      <c r="AE55" s="354">
        <v>1802.9061347613358</v>
      </c>
      <c r="AF55" s="12">
        <v>3</v>
      </c>
      <c r="AG55" s="12">
        <v>14.12</v>
      </c>
      <c r="AH55" s="12">
        <v>58.3</v>
      </c>
      <c r="AI55" s="20">
        <v>4.8780487804878048</v>
      </c>
      <c r="AJ55" s="20">
        <v>3.4680014301036826</v>
      </c>
      <c r="AK55" s="20">
        <v>2.8399518652226234</v>
      </c>
      <c r="AL55" s="68">
        <v>92.50807452144511</v>
      </c>
      <c r="AM55" s="68">
        <v>63.130810763502097</v>
      </c>
      <c r="AN55" s="68">
        <v>67.046806836187514</v>
      </c>
      <c r="AO55" s="395">
        <v>0.96401028277634959</v>
      </c>
      <c r="AP55" s="395">
        <v>0.86999383857054835</v>
      </c>
      <c r="AQ55" s="395">
        <v>0.98075499629903762</v>
      </c>
      <c r="AR55" s="395">
        <v>0.94953180098047629</v>
      </c>
      <c r="AS55" s="395">
        <v>0.93489033008746547</v>
      </c>
      <c r="AT55" s="395">
        <v>0.98976582167224869</v>
      </c>
      <c r="AU55" s="395">
        <v>0.93910256396065273</v>
      </c>
      <c r="AV55" s="395">
        <v>0.94791618361496521</v>
      </c>
      <c r="AW55" s="395">
        <v>0.97455321889835445</v>
      </c>
    </row>
    <row r="56" spans="1:58" x14ac:dyDescent="0.25">
      <c r="A56" s="12">
        <v>3.1120000000000001</v>
      </c>
      <c r="B56" s="12">
        <v>16.23</v>
      </c>
      <c r="C56" s="12">
        <v>59.444000000000003</v>
      </c>
      <c r="D56" s="20">
        <v>4.6318624438072016</v>
      </c>
      <c r="E56" s="20">
        <v>3.242201001733434</v>
      </c>
      <c r="F56" s="20">
        <v>2.8108872913917051</v>
      </c>
      <c r="G56" s="21">
        <v>83.136509424071718</v>
      </c>
      <c r="H56" s="21">
        <v>57.643489239354892</v>
      </c>
      <c r="I56" s="21">
        <v>64.172292074720048</v>
      </c>
      <c r="J56" s="8">
        <v>3.1120000000000001</v>
      </c>
      <c r="K56" s="8">
        <v>16.23</v>
      </c>
      <c r="L56" s="8">
        <v>59.444000000000003</v>
      </c>
      <c r="M56" s="8">
        <v>4.6318624438072016</v>
      </c>
      <c r="N56" s="8">
        <v>3.2068389881239225</v>
      </c>
      <c r="O56" s="8">
        <v>2.8108872913917051</v>
      </c>
      <c r="P56" s="44">
        <v>83.136509424071718</v>
      </c>
      <c r="Q56" s="44">
        <v>57.643489239354892</v>
      </c>
      <c r="R56" s="44">
        <v>64.172292074720048</v>
      </c>
      <c r="S56" s="17">
        <v>49.406746670695384</v>
      </c>
      <c r="T56" s="17">
        <v>49.406746670695384</v>
      </c>
      <c r="U56" s="17">
        <v>52.908404421530939</v>
      </c>
      <c r="V56" s="17">
        <v>52.69059491741438</v>
      </c>
      <c r="W56" s="17">
        <v>57.570523199528225</v>
      </c>
      <c r="X56" s="17">
        <v>57.570523199528225</v>
      </c>
      <c r="Y56" s="17">
        <v>1803.0629576042998</v>
      </c>
      <c r="Z56" s="17">
        <v>1800.4492435549009</v>
      </c>
      <c r="AA56" s="7">
        <v>44137</v>
      </c>
      <c r="AB56" s="352">
        <v>247.03373335347692</v>
      </c>
      <c r="AC56" s="352">
        <v>634.74403021540729</v>
      </c>
      <c r="AD56" s="352">
        <v>921.1283711924516</v>
      </c>
      <c r="AE56" s="354">
        <v>1802.9061347613358</v>
      </c>
      <c r="AF56" s="12">
        <v>3</v>
      </c>
      <c r="AG56" s="12">
        <v>14.12</v>
      </c>
      <c r="AH56" s="12">
        <v>58.3</v>
      </c>
      <c r="AI56" s="20">
        <v>4.8780487804878048</v>
      </c>
      <c r="AJ56" s="20">
        <v>3.4680014301036826</v>
      </c>
      <c r="AK56" s="20">
        <v>2.8399518652226234</v>
      </c>
      <c r="AL56" s="68">
        <v>92.50807452144511</v>
      </c>
      <c r="AM56" s="68">
        <v>63.130810763502097</v>
      </c>
      <c r="AN56" s="68">
        <v>67.046806836187514</v>
      </c>
      <c r="AO56" s="395">
        <v>0.96401028277634959</v>
      </c>
      <c r="AP56" s="395">
        <v>0.86999383857054835</v>
      </c>
      <c r="AQ56" s="395">
        <v>0.98075499629903762</v>
      </c>
      <c r="AR56" s="395">
        <v>0.94953180098047629</v>
      </c>
      <c r="AS56" s="395">
        <v>0.93489033008746547</v>
      </c>
      <c r="AT56" s="395">
        <v>0.98976582167224869</v>
      </c>
      <c r="AU56" s="395">
        <v>0.93910256396065273</v>
      </c>
      <c r="AV56" s="395">
        <v>0.94791618361496521</v>
      </c>
      <c r="AW56" s="395">
        <v>0.97455321889835445</v>
      </c>
    </row>
    <row r="57" spans="1:58" x14ac:dyDescent="0.25">
      <c r="A57" s="12">
        <v>3.1120000000000001</v>
      </c>
      <c r="B57" s="12">
        <v>16.23</v>
      </c>
      <c r="C57" s="12">
        <v>59.444000000000003</v>
      </c>
      <c r="D57" s="20">
        <v>4.6318624438072016</v>
      </c>
      <c r="E57" s="20">
        <v>3.242201001733434</v>
      </c>
      <c r="F57" s="20">
        <v>2.8108872913917051</v>
      </c>
      <c r="G57" s="21">
        <v>83.136509424071718</v>
      </c>
      <c r="H57" s="21">
        <v>57.643489239354892</v>
      </c>
      <c r="I57" s="21">
        <v>64.172292074720048</v>
      </c>
      <c r="J57" s="8">
        <v>3.1120000000000001</v>
      </c>
      <c r="K57" s="8">
        <v>16.23</v>
      </c>
      <c r="L57" s="8">
        <v>59.444000000000003</v>
      </c>
      <c r="M57" s="8">
        <v>4.6318624438072016</v>
      </c>
      <c r="N57" s="8">
        <v>3.2068389881239225</v>
      </c>
      <c r="O57" s="8">
        <v>2.8108872913917051</v>
      </c>
      <c r="P57" s="44">
        <v>83.136509424071718</v>
      </c>
      <c r="Q57" s="44">
        <v>57.643489239354892</v>
      </c>
      <c r="R57" s="44">
        <v>64.172292074720048</v>
      </c>
      <c r="S57" s="17">
        <v>49.406746670695384</v>
      </c>
      <c r="T57" s="17">
        <v>49.406746670695384</v>
      </c>
      <c r="U57" s="17">
        <v>52.908404421530939</v>
      </c>
      <c r="V57" s="17">
        <v>52.69059491741438</v>
      </c>
      <c r="W57" s="17">
        <v>57.570523199528225</v>
      </c>
      <c r="X57" s="17">
        <v>57.570523199528225</v>
      </c>
      <c r="Y57" s="17">
        <v>1803.0629576042998</v>
      </c>
      <c r="Z57" s="17">
        <v>1800.4492435549009</v>
      </c>
      <c r="AA57" s="7">
        <v>44144</v>
      </c>
      <c r="AB57" s="352">
        <v>247.03373335347692</v>
      </c>
      <c r="AC57" s="352">
        <v>634.74403021540729</v>
      </c>
      <c r="AD57" s="352">
        <v>921.1283711924516</v>
      </c>
      <c r="AE57" s="354">
        <v>1802.9061347613358</v>
      </c>
      <c r="AF57" s="12">
        <v>3</v>
      </c>
      <c r="AG57" s="12">
        <v>14.12</v>
      </c>
      <c r="AH57" s="12">
        <v>58.3</v>
      </c>
      <c r="AI57" s="20">
        <v>4.8780487804878048</v>
      </c>
      <c r="AJ57" s="20">
        <v>3.4680014301036826</v>
      </c>
      <c r="AK57" s="20">
        <v>2.8399518652226234</v>
      </c>
      <c r="AL57" s="68">
        <v>92.50807452144511</v>
      </c>
      <c r="AM57" s="68">
        <v>63.130810763502097</v>
      </c>
      <c r="AN57" s="68">
        <v>67.046806836187514</v>
      </c>
      <c r="AO57" s="395">
        <v>0.96401028277634959</v>
      </c>
      <c r="AP57" s="395">
        <v>0.86999383857054835</v>
      </c>
      <c r="AQ57" s="395">
        <v>0.98075499629903762</v>
      </c>
      <c r="AR57" s="395">
        <v>0.94953180098047629</v>
      </c>
      <c r="AS57" s="395">
        <v>0.93489033008746547</v>
      </c>
      <c r="AT57" s="395">
        <v>0.98976582167224869</v>
      </c>
      <c r="AU57" s="395">
        <v>0.93910256396065273</v>
      </c>
      <c r="AV57" s="395">
        <v>0.94791618361496521</v>
      </c>
      <c r="AW57" s="395">
        <v>0.97455321889835445</v>
      </c>
    </row>
    <row r="58" spans="1:58" x14ac:dyDescent="0.25">
      <c r="A58" s="12">
        <v>3.1120000000000001</v>
      </c>
      <c r="B58" s="12">
        <v>16.23</v>
      </c>
      <c r="C58" s="12">
        <v>59.444000000000003</v>
      </c>
      <c r="D58" s="20">
        <v>4.6318624438072016</v>
      </c>
      <c r="E58" s="20">
        <v>3.242201001733434</v>
      </c>
      <c r="F58" s="20">
        <v>2.8108872913917051</v>
      </c>
      <c r="G58" s="21">
        <v>83.136509424071718</v>
      </c>
      <c r="H58" s="21">
        <v>57.643489239354892</v>
      </c>
      <c r="I58" s="21">
        <v>64.172292074720048</v>
      </c>
      <c r="J58" s="8">
        <v>3.1120000000000001</v>
      </c>
      <c r="K58" s="8">
        <v>16.23</v>
      </c>
      <c r="L58" s="8">
        <v>59.444000000000003</v>
      </c>
      <c r="M58" s="8">
        <v>4.6318624438072016</v>
      </c>
      <c r="N58" s="8">
        <v>3.2068389881239225</v>
      </c>
      <c r="O58" s="8">
        <v>2.8108872913917051</v>
      </c>
      <c r="P58" s="44">
        <v>83.136509424071718</v>
      </c>
      <c r="Q58" s="44">
        <v>57.643489239354892</v>
      </c>
      <c r="R58" s="44">
        <v>64.172292074720048</v>
      </c>
      <c r="S58" s="17">
        <v>49.406746670695384</v>
      </c>
      <c r="T58" s="17">
        <v>49.406746670695384</v>
      </c>
      <c r="U58" s="17">
        <v>52.908404421530939</v>
      </c>
      <c r="V58" s="17">
        <v>52.69059491741438</v>
      </c>
      <c r="W58" s="17">
        <v>57.570523199528225</v>
      </c>
      <c r="X58" s="17">
        <v>57.570523199528225</v>
      </c>
      <c r="Y58" s="17">
        <v>1803.0629576042998</v>
      </c>
      <c r="Z58" s="17">
        <v>1800.4492435549009</v>
      </c>
      <c r="AA58" s="7">
        <v>44151</v>
      </c>
      <c r="AB58" s="352">
        <v>247.03373335347692</v>
      </c>
      <c r="AC58" s="352">
        <v>634.74403021540729</v>
      </c>
      <c r="AD58" s="352">
        <v>921.1283711924516</v>
      </c>
      <c r="AE58" s="354">
        <v>1802.9061347613358</v>
      </c>
      <c r="AF58" s="12">
        <v>3</v>
      </c>
      <c r="AG58" s="12">
        <v>14.12</v>
      </c>
      <c r="AH58" s="12">
        <v>58.3</v>
      </c>
      <c r="AI58" s="20">
        <v>4.8780487804878048</v>
      </c>
      <c r="AJ58" s="20">
        <v>3.4680014301036826</v>
      </c>
      <c r="AK58" s="20">
        <v>2.8399518652226234</v>
      </c>
      <c r="AL58" s="68">
        <v>92.50807452144511</v>
      </c>
      <c r="AM58" s="68">
        <v>63.130810763502097</v>
      </c>
      <c r="AN58" s="68">
        <v>67.046806836187514</v>
      </c>
      <c r="AO58" s="395">
        <v>0.96401028277634959</v>
      </c>
      <c r="AP58" s="395">
        <v>0.86999383857054835</v>
      </c>
      <c r="AQ58" s="395">
        <v>0.98075499629903762</v>
      </c>
      <c r="AR58" s="395">
        <v>0.94953180098047629</v>
      </c>
      <c r="AS58" s="395">
        <v>0.93489033008746547</v>
      </c>
      <c r="AT58" s="395">
        <v>0.98976582167224869</v>
      </c>
      <c r="AU58" s="395">
        <v>0.93910256396065273</v>
      </c>
      <c r="AV58" s="395">
        <v>0.94791618361496521</v>
      </c>
      <c r="AW58" s="395">
        <v>0.97455321889835445</v>
      </c>
    </row>
    <row r="59" spans="1:58" x14ac:dyDescent="0.25">
      <c r="A59" s="12">
        <v>3.1120000000000001</v>
      </c>
      <c r="B59" s="12">
        <v>16.23</v>
      </c>
      <c r="C59" s="12">
        <v>59.444000000000003</v>
      </c>
      <c r="D59" s="20">
        <v>4.6318624438072016</v>
      </c>
      <c r="E59" s="20">
        <v>3.242201001733434</v>
      </c>
      <c r="F59" s="20">
        <v>2.8108872913917051</v>
      </c>
      <c r="G59" s="21">
        <v>83.136509424071718</v>
      </c>
      <c r="H59" s="21">
        <v>57.643489239354892</v>
      </c>
      <c r="I59" s="21">
        <v>64.172292074720048</v>
      </c>
      <c r="J59" s="8">
        <v>3.1120000000000001</v>
      </c>
      <c r="K59" s="8">
        <v>16.23</v>
      </c>
      <c r="L59" s="8">
        <v>59.444000000000003</v>
      </c>
      <c r="M59" s="8">
        <v>4.6318624438072016</v>
      </c>
      <c r="N59" s="8">
        <v>3.2068389881239225</v>
      </c>
      <c r="O59" s="8">
        <v>2.8108872913917051</v>
      </c>
      <c r="P59" s="44">
        <v>83.136509424071718</v>
      </c>
      <c r="Q59" s="44">
        <v>57.643489239354892</v>
      </c>
      <c r="R59" s="44">
        <v>64.172292074720048</v>
      </c>
      <c r="S59" s="17">
        <v>49.406746670695384</v>
      </c>
      <c r="T59" s="17">
        <v>49.406746670695384</v>
      </c>
      <c r="U59" s="17">
        <v>52.908404421530939</v>
      </c>
      <c r="V59" s="17">
        <v>52.69059491741438</v>
      </c>
      <c r="W59" s="17">
        <v>57.570523199528225</v>
      </c>
      <c r="X59" s="17">
        <v>57.570523199528225</v>
      </c>
      <c r="Y59" s="17">
        <v>1803.0629576042998</v>
      </c>
      <c r="Z59" s="17">
        <v>1800.4492435549009</v>
      </c>
      <c r="AA59" s="7">
        <v>44158</v>
      </c>
      <c r="AB59" s="352">
        <v>247.03373335347692</v>
      </c>
      <c r="AC59" s="352">
        <v>634.74403021540729</v>
      </c>
      <c r="AD59" s="352">
        <v>921.1283711924516</v>
      </c>
      <c r="AE59" s="354">
        <v>1802.9061347613358</v>
      </c>
      <c r="AF59" s="12">
        <v>3</v>
      </c>
      <c r="AG59" s="12">
        <v>14.12</v>
      </c>
      <c r="AH59" s="12">
        <v>58.3</v>
      </c>
      <c r="AI59" s="20">
        <v>4.8780487804878048</v>
      </c>
      <c r="AJ59" s="20">
        <v>3.4680014301036826</v>
      </c>
      <c r="AK59" s="20">
        <v>2.8399518652226234</v>
      </c>
      <c r="AL59" s="68">
        <v>92.50807452144511</v>
      </c>
      <c r="AM59" s="68">
        <v>63.130810763502097</v>
      </c>
      <c r="AN59" s="68">
        <v>67.046806836187514</v>
      </c>
      <c r="AO59" s="395">
        <v>0.96401028277634959</v>
      </c>
      <c r="AP59" s="395">
        <v>0.86999383857054835</v>
      </c>
      <c r="AQ59" s="395">
        <v>0.98075499629903762</v>
      </c>
      <c r="AR59" s="395">
        <v>0.94953180098047629</v>
      </c>
      <c r="AS59" s="395">
        <v>0.93489033008746547</v>
      </c>
      <c r="AT59" s="395">
        <v>0.98976582167224869</v>
      </c>
      <c r="AU59" s="395">
        <v>0.93910256396065273</v>
      </c>
      <c r="AV59" s="395">
        <v>0.94791618361496521</v>
      </c>
      <c r="AW59" s="395">
        <v>0.97455321889835445</v>
      </c>
    </row>
    <row r="60" spans="1:58" x14ac:dyDescent="0.25">
      <c r="A60" s="12">
        <v>3.1120000000000001</v>
      </c>
      <c r="B60" s="12">
        <v>15.437999999999999</v>
      </c>
      <c r="C60" s="12">
        <v>59.164000000000001</v>
      </c>
      <c r="D60" s="20">
        <v>4.6318624438072016</v>
      </c>
      <c r="E60" s="20">
        <v>3.242201001733434</v>
      </c>
      <c r="F60" s="20">
        <v>2.8108872913917051</v>
      </c>
      <c r="G60" s="21">
        <v>85.6596959742416</v>
      </c>
      <c r="H60" s="21">
        <v>57.943067272629023</v>
      </c>
      <c r="I60" s="21">
        <v>64.403524488878247</v>
      </c>
      <c r="J60" s="8">
        <v>3.1120000000000001</v>
      </c>
      <c r="K60" s="8">
        <v>15.437999999999999</v>
      </c>
      <c r="L60" s="8">
        <v>59.444000000000003</v>
      </c>
      <c r="M60" s="8">
        <v>4.6318624438072016</v>
      </c>
      <c r="N60" s="8">
        <v>3.2068389881239225</v>
      </c>
      <c r="O60" s="8">
        <v>2.8108872913917051</v>
      </c>
      <c r="P60" s="44">
        <v>85.6596959742416</v>
      </c>
      <c r="Q60" s="44">
        <v>57.943067272629023</v>
      </c>
      <c r="R60" s="44">
        <v>64.172292074720048</v>
      </c>
      <c r="S60" s="17">
        <v>49.668139387155193</v>
      </c>
      <c r="T60" s="17">
        <v>49.668139387155193</v>
      </c>
      <c r="U60" s="17">
        <v>53.99520878147807</v>
      </c>
      <c r="V60" s="17">
        <v>53.777399277361518</v>
      </c>
      <c r="W60" s="17">
        <v>57.726341911270765</v>
      </c>
      <c r="X60" s="17">
        <v>57.570523199528225</v>
      </c>
      <c r="Y60" s="17">
        <v>1819.9046728938449</v>
      </c>
      <c r="Z60" s="17">
        <v>1814.7978594565657</v>
      </c>
      <c r="AA60" s="7">
        <v>44165</v>
      </c>
      <c r="AB60" s="352">
        <v>248.34069693577595</v>
      </c>
      <c r="AC60" s="352">
        <v>647.78568253477283</v>
      </c>
      <c r="AD60" s="352">
        <v>923.47188461705935</v>
      </c>
      <c r="AE60" s="354">
        <v>1819.598264087608</v>
      </c>
      <c r="AF60" s="12">
        <v>3</v>
      </c>
      <c r="AG60" s="12">
        <v>13.41</v>
      </c>
      <c r="AH60" s="12">
        <v>58.3</v>
      </c>
      <c r="AI60" s="20">
        <v>4.8780487804878048</v>
      </c>
      <c r="AJ60" s="20">
        <v>3.4680014301036826</v>
      </c>
      <c r="AK60" s="20">
        <v>2.8399518652226234</v>
      </c>
      <c r="AL60" s="68">
        <v>92.50807452144511</v>
      </c>
      <c r="AM60" s="68">
        <v>63.130810763502097</v>
      </c>
      <c r="AN60" s="68">
        <v>67.046806836187514</v>
      </c>
      <c r="AO60" s="395">
        <v>0.96401028277634959</v>
      </c>
      <c r="AP60" s="395">
        <v>0.86863583365720953</v>
      </c>
      <c r="AQ60" s="395">
        <v>0.98539652491379881</v>
      </c>
      <c r="AR60" s="395">
        <v>0.94953180098047629</v>
      </c>
      <c r="AS60" s="395">
        <v>0.93489033008746547</v>
      </c>
      <c r="AT60" s="395">
        <v>0.98976582167224869</v>
      </c>
      <c r="AU60" s="395">
        <v>0.95576497223510037</v>
      </c>
      <c r="AV60" s="395">
        <v>0.95081097263110836</v>
      </c>
      <c r="AW60" s="395">
        <v>0.97661734412850265</v>
      </c>
      <c r="AY60" s="431" t="s">
        <v>753</v>
      </c>
    </row>
    <row r="61" spans="1:58" x14ac:dyDescent="0.25">
      <c r="A61" s="12">
        <v>3.1120000000000001</v>
      </c>
      <c r="B61" s="12">
        <v>15.437999999999999</v>
      </c>
      <c r="C61" s="12">
        <v>58.58</v>
      </c>
      <c r="D61" s="20">
        <v>4.6318624438072016</v>
      </c>
      <c r="E61" s="20">
        <v>3.242201001733434</v>
      </c>
      <c r="F61" s="20">
        <v>2.8108872913917051</v>
      </c>
      <c r="G61" s="21">
        <v>85.6596959742416</v>
      </c>
      <c r="H61" s="21">
        <v>57.943067272629023</v>
      </c>
      <c r="I61" s="21">
        <v>64.403524488878247</v>
      </c>
      <c r="J61" s="8">
        <v>3.1120000000000001</v>
      </c>
      <c r="K61" s="8">
        <v>15.437999999999999</v>
      </c>
      <c r="L61" s="8">
        <v>59.444000000000003</v>
      </c>
      <c r="M61" s="8">
        <v>4.6318624438072016</v>
      </c>
      <c r="N61" s="8">
        <v>3.2068389881239225</v>
      </c>
      <c r="O61" s="8">
        <v>2.8108872913917051</v>
      </c>
      <c r="P61" s="44">
        <v>85.6596959742416</v>
      </c>
      <c r="Q61" s="44">
        <v>57.943067272629023</v>
      </c>
      <c r="R61" s="44">
        <v>64.172292074720048</v>
      </c>
      <c r="S61" s="17">
        <v>49.668139387155193</v>
      </c>
      <c r="T61" s="17">
        <v>49.668139387155193</v>
      </c>
      <c r="U61" s="17">
        <v>53.99520878147807</v>
      </c>
      <c r="V61" s="17">
        <v>53.777399277361518</v>
      </c>
      <c r="W61" s="17">
        <v>57.934641141152717</v>
      </c>
      <c r="X61" s="17">
        <v>57.570523199528225</v>
      </c>
      <c r="Y61" s="17">
        <v>1823.237460571956</v>
      </c>
      <c r="Z61" s="17">
        <v>1814.7978594565657</v>
      </c>
      <c r="AA61" s="7">
        <v>44172</v>
      </c>
      <c r="AB61" s="352">
        <v>248.34069693577595</v>
      </c>
      <c r="AC61" s="352">
        <v>647.78568253477283</v>
      </c>
      <c r="AD61" s="352">
        <v>926.60470503448391</v>
      </c>
      <c r="AE61" s="354">
        <v>1822.7310845050324</v>
      </c>
      <c r="AF61" s="12">
        <v>3</v>
      </c>
      <c r="AG61" s="12">
        <v>13.41</v>
      </c>
      <c r="AH61" s="12">
        <v>57.36</v>
      </c>
      <c r="AI61" s="20">
        <v>4.8780487804878048</v>
      </c>
      <c r="AJ61" s="20">
        <v>3.4680014301036826</v>
      </c>
      <c r="AK61" s="20">
        <v>2.8399518652226234</v>
      </c>
      <c r="AL61" s="68">
        <v>92.50807452144511</v>
      </c>
      <c r="AM61" s="68">
        <v>63.130810763502097</v>
      </c>
      <c r="AN61" s="68">
        <v>67.046806836187514</v>
      </c>
      <c r="AO61" s="395">
        <v>0.96401028277634959</v>
      </c>
      <c r="AP61" s="395">
        <v>0.86863583365720953</v>
      </c>
      <c r="AQ61" s="395">
        <v>0.9791737794469102</v>
      </c>
      <c r="AR61" s="395">
        <v>0.94953180098047629</v>
      </c>
      <c r="AS61" s="395">
        <v>0.93489033008746547</v>
      </c>
      <c r="AT61" s="395">
        <v>0.98976582167224869</v>
      </c>
      <c r="AU61" s="395">
        <v>0.95576497223510037</v>
      </c>
      <c r="AV61" s="395">
        <v>0.95081097263110836</v>
      </c>
      <c r="AW61" s="395">
        <v>0.97661734412850265</v>
      </c>
      <c r="AZ61" s="431" t="s">
        <v>754</v>
      </c>
    </row>
  </sheetData>
  <phoneticPr fontId="1" type="noConversion"/>
  <conditionalFormatting sqref="AO1:AW1048576">
    <cfRule type="cellIs" dxfId="820" priority="6" operator="greaterThan">
      <formula>0.99</formula>
    </cfRule>
    <cfRule type="cellIs" dxfId="819" priority="7" operator="greaterThan">
      <formula>0.98</formula>
    </cfRule>
    <cfRule type="cellIs" dxfId="818" priority="8" operator="greaterThan">
      <formula>0.97</formula>
    </cfRule>
    <cfRule type="cellIs" dxfId="817" priority="9" operator="greaterThan">
      <formula>0.96</formula>
    </cfRule>
    <cfRule type="cellIs" dxfId="816" priority="10" operator="greaterThan">
      <formula>0.95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2B32"/>
  </sheetPr>
  <dimension ref="A1:BD46"/>
  <sheetViews>
    <sheetView workbookViewId="0">
      <pane xSplit="3" ySplit="1" topLeftCell="D21" activePane="bottomRight" state="frozen"/>
      <selection pane="topRight" activeCell="D1" sqref="D1"/>
      <selection pane="bottomLeft" activeCell="A2" sqref="A2"/>
      <selection pane="bottomRight"/>
    </sheetView>
  </sheetViews>
  <sheetFormatPr defaultColWidth="9" defaultRowHeight="13.2" x14ac:dyDescent="0.25"/>
  <cols>
    <col min="1" max="1" width="5.5546875" style="11" bestFit="1" customWidth="1"/>
    <col min="2" max="2" width="3.5546875" style="11" bestFit="1" customWidth="1"/>
    <col min="3" max="3" width="5.33203125" style="34" hidden="1" customWidth="1"/>
    <col min="4" max="4" width="5.33203125" style="11" bestFit="1" customWidth="1"/>
    <col min="5" max="5" width="6.5546875" style="11" hidden="1" customWidth="1"/>
    <col min="6" max="6" width="8.5546875" style="11" hidden="1" customWidth="1"/>
    <col min="7" max="7" width="7.5546875" style="11" hidden="1" customWidth="1"/>
    <col min="8" max="10" width="6.5546875" style="11" hidden="1" customWidth="1"/>
    <col min="11" max="12" width="5.5546875" style="11" hidden="1" customWidth="1"/>
    <col min="13" max="13" width="6.5546875" style="11" hidden="1" customWidth="1"/>
    <col min="14" max="14" width="6.6640625" style="21" bestFit="1" customWidth="1"/>
    <col min="15" max="15" width="6.77734375" style="12" bestFit="1" customWidth="1"/>
    <col min="16" max="16" width="6.6640625" style="33" bestFit="1" customWidth="1"/>
    <col min="17" max="17" width="6.77734375" style="20" bestFit="1" customWidth="1"/>
    <col min="18" max="18" width="6.6640625" style="33" bestFit="1" customWidth="1"/>
    <col min="19" max="19" width="7.6640625" style="33" hidden="1" customWidth="1"/>
    <col min="20" max="20" width="6.6640625" style="34" bestFit="1" customWidth="1"/>
    <col min="21" max="22" width="6.77734375" style="12" bestFit="1" customWidth="1"/>
    <col min="23" max="25" width="6.6640625" style="33" bestFit="1" customWidth="1"/>
    <col min="26" max="26" width="5.21875" style="35" bestFit="1" customWidth="1"/>
    <col min="27" max="27" width="5.6640625" style="34" bestFit="1" customWidth="1"/>
    <col min="28" max="28" width="6.6640625" style="33" bestFit="1" customWidth="1"/>
    <col min="29" max="29" width="5.6640625" style="21" bestFit="1" customWidth="1"/>
    <col min="30" max="30" width="5.33203125" style="468" bestFit="1" customWidth="1"/>
    <col min="31" max="31" width="9" style="12" bestFit="1" customWidth="1"/>
    <col min="32" max="41" width="3.77734375" style="11" customWidth="1"/>
    <col min="42" max="42" width="5.33203125" style="35" bestFit="1" customWidth="1"/>
    <col min="43" max="47" width="4.77734375" style="353" customWidth="1"/>
    <col min="48" max="52" width="5" style="506" bestFit="1" customWidth="1"/>
    <col min="53" max="53" width="5.33203125" style="35" bestFit="1" customWidth="1"/>
    <col min="54" max="54" width="6.109375" style="35" bestFit="1" customWidth="1"/>
    <col min="55" max="56" width="9" style="12" bestFit="1" customWidth="1"/>
    <col min="57" max="16384" width="9" style="19"/>
  </cols>
  <sheetData>
    <row r="1" spans="1:56" x14ac:dyDescent="0.25">
      <c r="A1" s="22" t="str">
        <f>IF(Arb!$AJ$28=1,"Year","年")</f>
        <v>年</v>
      </c>
      <c r="B1" s="22" t="str">
        <f>IF(Arb!$AJ$28=1,"M","月")</f>
        <v>月</v>
      </c>
      <c r="C1" s="23" t="str">
        <f>IF(Arb!$AJ$28=1,"Level","级别")</f>
        <v>级别</v>
      </c>
      <c r="D1" s="24" t="str">
        <f>IF(Arb!$AJ$28=1,"Games","局数")</f>
        <v>局数</v>
      </c>
      <c r="E1" s="24" t="s">
        <v>424</v>
      </c>
      <c r="F1" s="24" t="s">
        <v>425</v>
      </c>
      <c r="G1" s="24" t="s">
        <v>426</v>
      </c>
      <c r="H1" s="24" t="s">
        <v>427</v>
      </c>
      <c r="I1" s="24" t="s">
        <v>428</v>
      </c>
      <c r="J1" s="24" t="s">
        <v>429</v>
      </c>
      <c r="K1" s="24" t="s">
        <v>431</v>
      </c>
      <c r="L1" s="24" t="s">
        <v>432</v>
      </c>
      <c r="M1" s="22" t="s">
        <v>430</v>
      </c>
      <c r="N1" s="25" t="s">
        <v>288</v>
      </c>
      <c r="O1" s="26" t="s">
        <v>6</v>
      </c>
      <c r="P1" s="27" t="s">
        <v>2</v>
      </c>
      <c r="Q1" s="28" t="s">
        <v>368</v>
      </c>
      <c r="R1" s="27" t="s">
        <v>369</v>
      </c>
      <c r="S1" s="27" t="s">
        <v>0</v>
      </c>
      <c r="T1" s="23" t="s">
        <v>289</v>
      </c>
      <c r="U1" s="14" t="s">
        <v>446</v>
      </c>
      <c r="V1" s="14" t="s">
        <v>447</v>
      </c>
      <c r="W1" s="27" t="s">
        <v>370</v>
      </c>
      <c r="X1" s="27" t="s">
        <v>371</v>
      </c>
      <c r="Y1" s="27" t="s">
        <v>381</v>
      </c>
      <c r="Z1" s="29" t="s">
        <v>372</v>
      </c>
      <c r="AA1" s="23" t="str">
        <f>IF(Arb!$AJ$28=1,"Moving","移速")</f>
        <v>移速</v>
      </c>
      <c r="AB1" s="27" t="s">
        <v>380</v>
      </c>
      <c r="AC1" s="25" t="str">
        <f>IF(Arb!$AJ$28=1,"Sao","风骚")</f>
        <v>风骚</v>
      </c>
      <c r="AD1" s="466" t="str">
        <f>IF(Arb!$AJ$28=1,"Act","天数")</f>
        <v>天数</v>
      </c>
      <c r="AE1" s="14" t="str">
        <f>IF(Arb!$AJ$28=1,"Game/Day","局/天")</f>
        <v>局/天</v>
      </c>
      <c r="AF1" s="24" t="s">
        <v>80</v>
      </c>
      <c r="AG1" s="24" t="s">
        <v>81</v>
      </c>
      <c r="AH1" s="24" t="s">
        <v>82</v>
      </c>
      <c r="AI1" s="24" t="s">
        <v>83</v>
      </c>
      <c r="AJ1" s="24" t="s">
        <v>84</v>
      </c>
      <c r="AK1" s="24" t="s">
        <v>85</v>
      </c>
      <c r="AL1" s="24" t="s">
        <v>72</v>
      </c>
      <c r="AM1" s="24" t="s">
        <v>73</v>
      </c>
      <c r="AN1" s="24" t="s">
        <v>74</v>
      </c>
      <c r="AO1" s="24" t="s">
        <v>75</v>
      </c>
      <c r="AP1" s="30" t="str">
        <f>IF(Arb!$AJ$28=1,"Value","价值")</f>
        <v>价值</v>
      </c>
      <c r="AQ1" s="351" t="s">
        <v>556</v>
      </c>
      <c r="AR1" s="507" t="s">
        <v>557</v>
      </c>
      <c r="AS1" s="507" t="s">
        <v>558</v>
      </c>
      <c r="AT1" s="507" t="s">
        <v>559</v>
      </c>
      <c r="AU1" s="507" t="s">
        <v>560</v>
      </c>
      <c r="AV1" s="507" t="s">
        <v>561</v>
      </c>
      <c r="AW1" s="507" t="s">
        <v>562</v>
      </c>
      <c r="AX1" s="507" t="s">
        <v>563</v>
      </c>
      <c r="AY1" s="507" t="s">
        <v>564</v>
      </c>
      <c r="AZ1" s="507" t="s">
        <v>565</v>
      </c>
      <c r="BA1" s="30" t="str">
        <f>IF(Arb!$AJ$28=1,"Value","价值")</f>
        <v>价值</v>
      </c>
      <c r="BB1" s="29" t="str">
        <f>IF(Arb!$AJ$28=1,"Performance","表现")</f>
        <v>表现</v>
      </c>
      <c r="BC1" s="26" t="str">
        <f>IF(Arb!$AJ$28=1,"P/D","表现/天")</f>
        <v>表现/天</v>
      </c>
      <c r="BD1" s="26" t="str">
        <f>IF(Arb!$AJ$28=1,"P/G","表现/局")</f>
        <v>表现/局</v>
      </c>
    </row>
    <row r="2" spans="1:56" x14ac:dyDescent="0.25">
      <c r="A2" s="549">
        <f t="shared" ref="A2" si="0">IF(B3=1,A3-1,A3)</f>
        <v>2020</v>
      </c>
      <c r="B2" s="549">
        <f t="shared" ref="B2:B10" si="1">IF(B3=1,12,B3-1)</f>
        <v>2</v>
      </c>
      <c r="C2" s="558" t="s">
        <v>38</v>
      </c>
      <c r="D2" s="544">
        <f ca="1">COUNTIFS(OFFSET(Arb!$B$2,,,Arb!$AJ$36,),$B2,OFFSET(Arb!$C$2,,,Arb!$AJ$36,),$A2,OFFSET(Arb!$AI$2,,,Arb!$AJ$36,),TRUE)</f>
        <v>43</v>
      </c>
      <c r="E2" s="544">
        <f ca="1">SUMIFS(OFFSET(Arb!$I$2,,,Arb!$AJ$36,),OFFSET(Arb!$B$2,,,Arb!$AJ$36,),$B2,OFFSET(Arb!$C$2,,,Arb!$AJ$36,),$A2,OFFSET(Arb!$AI$2,,,Arb!$AJ$36,),TRUE)</f>
        <v>700</v>
      </c>
      <c r="F2" s="544">
        <f ca="1">SUMIFS(OFFSET(Arb!$H$2,,,Arb!$AJ$36,),OFFSET(Arb!$B$2,,,Arb!$AJ$36,),$B2,OFFSET(Arb!$C$2,,,Arb!$AJ$36,),$A2,OFFSET(Arb!$AI$2,,,Arb!$AJ$36,),TRUE)</f>
        <v>270.89</v>
      </c>
      <c r="G2" s="544">
        <f ca="1">SUMIFS(OFFSET(Arb!$AC$2,,,Arb!$AJ$36,),OFFSET(Arb!$B$2,,,Arb!$AJ$36,),$B2,OFFSET(Arb!$C$2,,,Arb!$AJ$36,),$A2,OFFSET(Arb!$AI$2,,,Arb!$AJ$36,),TRUE)</f>
        <v>39048</v>
      </c>
      <c r="H2" s="544">
        <f ca="1">SUMIFS(OFFSET(Arb!$U$2,,,Arb!$AJ$36,),OFFSET(Arb!$B$2,,,Arb!$AJ$36,),$B2,OFFSET(Arb!$C$2,,,Arb!$AJ$36,),$A2,OFFSET(Arb!$AI$2,,,Arb!$AJ$36,),TRUE)</f>
        <v>997</v>
      </c>
      <c r="I2" s="544">
        <f ca="1">SUMIFS(OFFSET(Arb!$V$2,,,Arb!$AJ$36,),OFFSET(Arb!$B$2,,,Arb!$AJ$36,),$B2,OFFSET(Arb!$C$2,,,Arb!$AJ$36,),$A2,OFFSET(Arb!$AI$2,,,Arb!$AJ$36,),TRUE)</f>
        <v>110</v>
      </c>
      <c r="J2" s="544">
        <f ca="1">SUMIFS(OFFSET(Arb!$X$2,,,Arb!$AJ$36,),OFFSET(Arb!$B$2,,,Arb!$AJ$36,),$B2,OFFSET(Arb!$C$2,,,Arb!$AJ$36,),$A2,OFFSET(Arb!$AI$2,,,Arb!$AJ$36,),TRUE)</f>
        <v>917</v>
      </c>
      <c r="K2" s="544">
        <f ca="1">SUMIFS(OFFSET(Arb!$AA$2,,,Arb!$AJ$36,),OFFSET(Arb!$B$2,,,Arb!$AJ$36,),$B2,OFFSET(Arb!$C$2,,,Arb!$AJ$36,),$A2,OFFSET(Arb!$AI$2,,,Arb!$AJ$36,),TRUE)</f>
        <v>118</v>
      </c>
      <c r="L2" s="544">
        <f ca="1">SUMIFS(OFFSET(Arb!$AB$2,,,Arb!$AJ$36,),OFFSET(Arb!$B$2,,,Arb!$AJ$36,),$B2,OFFSET(Arb!$C$2,,,Arb!$AJ$36,),$A2,OFFSET(Arb!$AI$2,,,Arb!$AJ$36,),TRUE)</f>
        <v>139</v>
      </c>
      <c r="M2" s="547">
        <f t="shared" ref="M2" ca="1" si="2">H2+I2</f>
        <v>1107</v>
      </c>
      <c r="N2" s="21">
        <f t="shared" ref="N2" ca="1" si="3">IFERROR(E2/D2,"")</f>
        <v>16.279069767441861</v>
      </c>
      <c r="O2" s="12">
        <f t="shared" ref="O2" ca="1" si="4">IFERROR(F2/D2,"")</f>
        <v>6.2997674418604648</v>
      </c>
      <c r="P2" s="33">
        <f t="shared" ref="P2" ca="1" si="5">IFERROR(N2/O2,"")</f>
        <v>2.5840747166746652</v>
      </c>
      <c r="Q2" s="20">
        <f t="shared" ref="Q2" ca="1" si="6">IFERROR(J2/F2,"")</f>
        <v>3.3851378788438113</v>
      </c>
      <c r="R2" s="33">
        <f t="shared" ref="R2" ca="1" si="7">IFERROR(M2/F2,"")</f>
        <v>4.0865295876555061</v>
      </c>
      <c r="S2" s="33">
        <f t="shared" ref="S2" ca="1" si="8">IFERROR(O2^1.7/N2,"")</f>
        <v>1.4035312782781284</v>
      </c>
      <c r="T2" s="34">
        <f t="shared" ref="T2" ca="1" si="9">IFERROR((IF(C2="beg",47.299,0)+IF(C2="int",153.73,0)+IF(C2="exp",435.001,0))/S2,"")</f>
        <v>33.699997094490882</v>
      </c>
      <c r="U2" s="12">
        <f t="shared" ref="U2" ca="1" si="10">IFERROR(K2/D2,"")</f>
        <v>2.7441860465116279</v>
      </c>
      <c r="V2" s="12">
        <f t="shared" ref="V2" ca="1" si="11">IFERROR(L2/D2,"")</f>
        <v>3.2325581395348837</v>
      </c>
      <c r="W2" s="33">
        <f t="shared" ref="W2" ca="1" si="12">IFERROR(Q2/R2,"")</f>
        <v>0.82836495031616986</v>
      </c>
      <c r="X2" s="33">
        <f t="shared" ref="X2" ca="1" si="13">IFERROR(P2/Q2,"")</f>
        <v>0.76335877862595425</v>
      </c>
      <c r="Y2" s="33">
        <f t="shared" ref="Y2" ca="1" si="14">IFERROR(E2/M2,"")</f>
        <v>0.63233965672990067</v>
      </c>
      <c r="Z2" s="550">
        <f t="shared" ref="Z2" ca="1" si="15">IFERROR(G2/D2/16,"")</f>
        <v>56.755813953488371</v>
      </c>
      <c r="AA2" s="34">
        <f t="shared" ref="AA2" ca="1" si="16">IFERROR(Z2/O2,"")</f>
        <v>9.0091919229207438</v>
      </c>
      <c r="AB2" s="33">
        <f t="shared" ref="AB2" ca="1" si="17">IFERROR(N2/Z2,"")</f>
        <v>0.28682646998565869</v>
      </c>
      <c r="AC2" s="21">
        <f t="shared" ref="AC2" ca="1" si="18">IFERROR(AA2*Q2,"")</f>
        <v>30.497356836052724</v>
      </c>
      <c r="AD2" s="547">
        <f ca="1">INDEX(OFFSET(Arb!AK$36,,B2,23,),MATCH(A2,OFFSET(Arb!AK$36,,,23,),0))</f>
        <v>15</v>
      </c>
      <c r="AE2" s="12">
        <f t="shared" ref="AE2" ca="1" si="19">D2/AD2</f>
        <v>2.8666666666666667</v>
      </c>
      <c r="AF2" s="547">
        <f ca="1">COUNTIFS(BV!$H$2:$H$54,"&gt;=" &amp; DATE($A2,$B2,1),BV!$H$2:$H$54,"&lt;" &amp; DATE(IF($B2=12,$A2+1,$A2),IF($B2=12,1,$B2+1),1))</f>
        <v>0</v>
      </c>
      <c r="AG2" s="547">
        <f ca="1">COUNTIFS(BV!$P$2:$P$54,"&gt;=" &amp; DATE($A2,$B2,1),BV!$P$2:$P$54,"&lt;" &amp; DATE(IF($B2=12,$A2+1,$A2),IF($B2=12,1,$B2+1),1))</f>
        <v>0</v>
      </c>
      <c r="AH2" s="547">
        <f ca="1">COUNTIFS(BV!$X$2:$X$54,"&gt;=" &amp; DATE($A2,$B2,1),BV!$X$2:$X$54,"&lt;" &amp; DATE(IF($B2=12,$A2+1,$A2),IF($B2=12,1,$B2+1),1))</f>
        <v>1</v>
      </c>
      <c r="AI2" s="547">
        <f ca="1">COUNTIFS(BV!$AF$2:$AF$54,"&gt;=" &amp; DATE($A2,$B2,1),BV!$AF$2:$AF$54,"&lt;" &amp; DATE(IF($B2=12,$A2+1,$A2),IF($B2=12,1,$B2+1),1))</f>
        <v>0</v>
      </c>
      <c r="AJ2" s="547">
        <f ca="1">COUNTIFS(BV!$AN$2:$AN$54,"&gt;=" &amp; DATE($A2,$B2,1),BV!$AN$2:$AN$54,"&lt;" &amp; DATE(IF($B2=12,$A2+1,$A2),IF($B2=12,1,$B2+1),1))</f>
        <v>1</v>
      </c>
      <c r="AK2" s="547">
        <f ca="1">COUNTIFS(BV!$AV$2:$AV$54,"&gt;=" &amp; DATE($A2,$B2,1),BV!$AV$2:$AV$54,"&lt;" &amp; DATE(IF($B2=12,$A2+1,$A2),IF($B2=12,1,$B2+1),1))</f>
        <v>3</v>
      </c>
      <c r="AL2" s="547">
        <f ca="1">COUNTIFS(BV!$BD$2:$BD$54,"&gt;=" &amp; DATE($A2,$B2,1),BV!$BD$2:$BD$54,"&lt;" &amp; DATE(IF($B2=12,$A2+1,$A2),IF($B2=12,1,$B2+1),1))</f>
        <v>0</v>
      </c>
      <c r="AM2" s="547">
        <f ca="1">COUNTIFS(BV!$BL$2:$BL$54,"&gt;=" &amp; DATE($A2,$B2,1),BV!$BL$2:$BL$54,"&lt;" &amp; DATE(IF($B2=12,$A2+1,$A2),IF($B2=12,1,$B2+1),1))</f>
        <v>0</v>
      </c>
      <c r="AN2" s="547">
        <f ca="1">COUNTIFS(BV!$BT$2:$BT$54,"&gt;=" &amp; DATE($A2,$B2,1),BV!$BT$2:$BT$54,"&lt;" &amp; DATE(IF($B2=12,$A2+1,$A2),IF($B2=12,1,$B2+1),1))</f>
        <v>0</v>
      </c>
      <c r="AO2" s="547">
        <f ca="1">COUNTIFS(BV!$CB$2:$CB$54,"&gt;=" &amp; DATE($A2,$B2,1),BV!$CB$2:$CB$54,"&lt;" &amp; DATE(IF($B2=12,$A2+1,$A2),IF($B2=12,1,$B2+1),1))</f>
        <v>0</v>
      </c>
      <c r="AP2" s="35">
        <f t="shared" ref="AP2" ca="1" si="20">(AF2+AG2/2+AH2/3+AI2/4+AJ2/5+AK2/6+AL2/7+AM2/8+AN2/9+AO2/10)*10</f>
        <v>10.333333333333332</v>
      </c>
      <c r="AQ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AR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AS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AT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2</v>
      </c>
      <c r="AU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AV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1</v>
      </c>
      <c r="AW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AX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1</v>
      </c>
      <c r="AY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AZ2" s="547">
        <f ca="1">COUNTIFS(OFFSET(Time!$J$2,(COLUMN()-43)*20,,20,),"&gt;=" &amp; DATE($A2,$B2,1),OFFSET(Time!$J$2,(COLUMN()-43)*20,,20,),"&lt;" &amp; DATE(IF($B2=12,$A2+1,$A2),IF($B2=12,1,$B2+1),1))+COUNTIFS(OFFSET(Bvs!$J$2,(COLUMN()-43)*20,,20,),"&gt;=" &amp; DATE($A2,$B2,1),OFFSET(Bvs!$J$2,(COLUMN()-43)*20,,20,),"&lt;" &amp; DATE(IF($B2=12,$A2+1,$A2),IF($B2=12,1,$B2+1),1))+COUNTIFS(OFFSET(QG!$J$2,(COLUMN()-43)*20,,20,),"&gt;=" &amp; DATE($A2,$B2,1),OFFSET(QG!$J$2,(COLUMN()-43)*20,,20,),"&lt;" &amp; DATE(IF($B2=12,$A2+1,$A2),IF($B2=12,1,$B2+1),1))</f>
        <v>0</v>
      </c>
      <c r="BA2" s="35">
        <f t="shared" ref="BA2" ca="1" si="21">(AQ2+AR2/2+AS2/3+AT2/4+AU2/5+AV2/6+AW2/7+AX2/8+AY2/9+AZ2/10)*10</f>
        <v>7.9166666666666661</v>
      </c>
      <c r="BB2" s="35">
        <f t="shared" ref="BB2" ca="1" si="22">AP2+BA2</f>
        <v>18.25</v>
      </c>
      <c r="BC2" s="12">
        <f t="shared" ref="BC2" ca="1" si="23">BB2/AD2</f>
        <v>1.2166666666666666</v>
      </c>
      <c r="BD2" s="12">
        <f t="shared" ref="BD2" ca="1" si="24">IF(AE2=0,0,BC2/AE2)</f>
        <v>0.42441860465116277</v>
      </c>
    </row>
    <row r="3" spans="1:56" x14ac:dyDescent="0.25">
      <c r="A3" s="31">
        <f t="shared" ref="A3" si="25">IF(B4=1,A4-1,A4)</f>
        <v>2020</v>
      </c>
      <c r="B3" s="31">
        <f t="shared" si="1"/>
        <v>3</v>
      </c>
      <c r="C3" s="32" t="s">
        <v>38</v>
      </c>
      <c r="D3" s="1">
        <f ca="1">COUNTIFS(OFFSET(Arb!$B$2,,,Arb!$AJ$36,),$B3,OFFSET(Arb!$C$2,,,Arb!$AJ$36,),$A3,OFFSET(Arb!$AI$2,,,Arb!$AJ$36,),TRUE)</f>
        <v>143</v>
      </c>
      <c r="E3" s="1">
        <f ca="1">SUMIFS(OFFSET(Arb!$I$2,,,Arb!$AJ$36,),OFFSET(Arb!$B$2,,,Arb!$AJ$36,),$B3,OFFSET(Arb!$C$2,,,Arb!$AJ$36,),$A3,OFFSET(Arb!$AI$2,,,Arb!$AJ$36,),TRUE)</f>
        <v>2403</v>
      </c>
      <c r="F3" s="1">
        <f ca="1">SUMIFS(OFFSET(Arb!$H$2,,,Arb!$AJ$36,),OFFSET(Arb!$B$2,,,Arb!$AJ$36,),$B3,OFFSET(Arb!$C$2,,,Arb!$AJ$36,),$A3,OFFSET(Arb!$AI$2,,,Arb!$AJ$36,),TRUE)</f>
        <v>832.69</v>
      </c>
      <c r="G3" s="1">
        <f ca="1">SUMIFS(OFFSET(Arb!$AC$2,,,Arb!$AJ$36,),OFFSET(Arb!$B$2,,,Arb!$AJ$36,),$B3,OFFSET(Arb!$C$2,,,Arb!$AJ$36,),$A3,OFFSET(Arb!$AI$2,,,Arb!$AJ$36,),TRUE)</f>
        <v>120371</v>
      </c>
      <c r="H3" s="1">
        <f ca="1">SUMIFS(OFFSET(Arb!$U$2,,,Arb!$AJ$36,),OFFSET(Arb!$B$2,,,Arb!$AJ$36,),$B3,OFFSET(Arb!$C$2,,,Arb!$AJ$36,),$A3,OFFSET(Arb!$AI$2,,,Arb!$AJ$36,),TRUE)</f>
        <v>3084</v>
      </c>
      <c r="I3" s="1">
        <f ca="1">SUMIFS(OFFSET(Arb!$V$2,,,Arb!$AJ$36,),OFFSET(Arb!$B$2,,,Arb!$AJ$36,),$B3,OFFSET(Arb!$C$2,,,Arb!$AJ$36,),$A3,OFFSET(Arb!$AI$2,,,Arb!$AJ$36,),TRUE)</f>
        <v>505</v>
      </c>
      <c r="J3" s="1">
        <f ca="1">SUMIFS(OFFSET(Arb!$X$2,,,Arb!$AJ$36,),OFFSET(Arb!$B$2,,,Arb!$AJ$36,),$B3,OFFSET(Arb!$C$2,,,Arb!$AJ$36,),$A3,OFFSET(Arb!$AI$2,,,Arb!$AJ$36,),TRUE)</f>
        <v>3053</v>
      </c>
      <c r="K3" s="1">
        <f ca="1">SUMIFS(OFFSET(Arb!$AA$2,,,Arb!$AJ$36,),OFFSET(Arb!$B$2,,,Arb!$AJ$36,),$B3,OFFSET(Arb!$C$2,,,Arb!$AJ$36,),$A3,OFFSET(Arb!$AI$2,,,Arb!$AJ$36,),TRUE)</f>
        <v>380</v>
      </c>
      <c r="L3" s="1">
        <f ca="1">SUMIFS(OFFSET(Arb!$AB$2,,,Arb!$AJ$36,),OFFSET(Arb!$B$2,,,Arb!$AJ$36,),$B3,OFFSET(Arb!$C$2,,,Arb!$AJ$36,),$A3,OFFSET(Arb!$AI$2,,,Arb!$AJ$36,),TRUE)</f>
        <v>444</v>
      </c>
      <c r="M3" s="11">
        <f t="shared" ref="M3:M34" ca="1" si="26">H3+I3</f>
        <v>3589</v>
      </c>
      <c r="N3" s="21">
        <f t="shared" ref="N3:N34" ca="1" si="27">IFERROR(E3/D3,"")</f>
        <v>16.804195804195803</v>
      </c>
      <c r="O3" s="12">
        <f t="shared" ref="O3:O34" ca="1" si="28">IFERROR(F3/D3,"")</f>
        <v>5.8230069930069934</v>
      </c>
      <c r="P3" s="33">
        <f t="shared" ref="P3" ca="1" si="29">IFERROR(N3/O3,"")</f>
        <v>2.8858278591072306</v>
      </c>
      <c r="Q3" s="20">
        <f t="shared" ref="Q3:Q34" ca="1" si="30">IFERROR(J3/F3,"")</f>
        <v>3.6664304843339055</v>
      </c>
      <c r="R3" s="33">
        <f t="shared" ref="R3:R34" ca="1" si="31">IFERROR(M3/F3,"")</f>
        <v>4.3101274183669789</v>
      </c>
      <c r="S3" s="33">
        <f t="shared" ref="S3" ca="1" si="32">IFERROR(O3^1.7/N3,"")</f>
        <v>1.1894130426321239</v>
      </c>
      <c r="T3" s="34">
        <f t="shared" ref="T3:T34" ca="1" si="33">IFERROR((IF(C3="beg",47.299,0)+IF(C3="int",153.73,0)+IF(C3="exp",435.001,0))/S3,"")</f>
        <v>39.766673396593319</v>
      </c>
      <c r="U3" s="12">
        <f t="shared" ref="U3:U34" ca="1" si="34">IFERROR(K3/D3,"")</f>
        <v>2.6573426573426575</v>
      </c>
      <c r="V3" s="12">
        <f t="shared" ref="V3:V34" ca="1" si="35">IFERROR(L3/D3,"")</f>
        <v>3.104895104895105</v>
      </c>
      <c r="W3" s="33">
        <f t="shared" ref="W3" ca="1" si="36">IFERROR(Q3/R3,"")</f>
        <v>0.85065477848983007</v>
      </c>
      <c r="X3" s="33">
        <f t="shared" ref="X3" ca="1" si="37">IFERROR(P3/Q3,"")</f>
        <v>0.78709466098919101</v>
      </c>
      <c r="Y3" s="33">
        <f t="shared" ref="Y3:Y34" ca="1" si="38">IFERROR(E3/M3,"")</f>
        <v>0.66954583449428806</v>
      </c>
      <c r="Z3" s="17">
        <f t="shared" ref="Z3:Z34" ca="1" si="39">IFERROR(G3/D3/16,"")</f>
        <v>52.6097027972028</v>
      </c>
      <c r="AA3" s="34">
        <f t="shared" ref="AA3" ca="1" si="40">IFERROR(Z3/O3,"")</f>
        <v>9.0347998654961632</v>
      </c>
      <c r="AB3" s="33">
        <f t="shared" ref="AB3" ca="1" si="41">IFERROR(N3/Z3,"")</f>
        <v>0.31941248307316544</v>
      </c>
      <c r="AC3" s="21">
        <f t="shared" ref="AC3:AC34" ca="1" si="42">IFERROR(AA3*Q3,"")</f>
        <v>33.125465646711</v>
      </c>
      <c r="AD3" s="468">
        <f ca="1">INDEX(OFFSET(Arb!AK$36,,B3,23,),MATCH(A3,OFFSET(Arb!AK$36,,,23,),0))</f>
        <v>26</v>
      </c>
      <c r="AE3" s="12">
        <f t="shared" ref="AE3:AE34" ca="1" si="43">D3/AD3</f>
        <v>5.5</v>
      </c>
      <c r="AF3" s="11">
        <f ca="1">COUNTIFS(BV!$H$2:$H$54,"&gt;=" &amp; DATE($A3,$B3,1),BV!$H$2:$H$54,"&lt;" &amp; DATE(IF($B3=12,$A3+1,$A3),IF($B3=12,1,$B3+1),1))</f>
        <v>5</v>
      </c>
      <c r="AG3" s="11">
        <f ca="1">COUNTIFS(BV!$P$2:$P$54,"&gt;=" &amp; DATE($A3,$B3,1),BV!$P$2:$P$54,"&lt;" &amp; DATE(IF($B3=12,$A3+1,$A3),IF($B3=12,1,$B3+1),1))</f>
        <v>3</v>
      </c>
      <c r="AH3" s="11">
        <f ca="1">COUNTIFS(BV!$X$2:$X$54,"&gt;=" &amp; DATE($A3,$B3,1),BV!$X$2:$X$54,"&lt;" &amp; DATE(IF($B3=12,$A3+1,$A3),IF($B3=12,1,$B3+1),1))</f>
        <v>4</v>
      </c>
      <c r="AI3" s="11">
        <f ca="1">COUNTIFS(BV!$AF$2:$AF$54,"&gt;=" &amp; DATE($A3,$B3,1),BV!$AF$2:$AF$54,"&lt;" &amp; DATE(IF($B3=12,$A3+1,$A3),IF($B3=12,1,$B3+1),1))</f>
        <v>7</v>
      </c>
      <c r="AJ3" s="11">
        <f ca="1">COUNTIFS(BV!$AN$2:$AN$54,"&gt;=" &amp; DATE($A3,$B3,1),BV!$AN$2:$AN$54,"&lt;" &amp; DATE(IF($B3=12,$A3+1,$A3),IF($B3=12,1,$B3+1),1))</f>
        <v>2</v>
      </c>
      <c r="AK3" s="11">
        <f ca="1">COUNTIFS(BV!$AV$2:$AV$54,"&gt;=" &amp; DATE($A3,$B3,1),BV!$AV$2:$AV$54,"&lt;" &amp; DATE(IF($B3=12,$A3+1,$A3),IF($B3=12,1,$B3+1),1))</f>
        <v>1</v>
      </c>
      <c r="AL3" s="11">
        <f ca="1">COUNTIFS(BV!$BD$2:$BD$54,"&gt;=" &amp; DATE($A3,$B3,1),BV!$BD$2:$BD$54,"&lt;" &amp; DATE(IF($B3=12,$A3+1,$A3),IF($B3=12,1,$B3+1),1))</f>
        <v>1</v>
      </c>
      <c r="AM3" s="11">
        <f ca="1">COUNTIFS(BV!$BL$2:$BL$54,"&gt;=" &amp; DATE($A3,$B3,1),BV!$BL$2:$BL$54,"&lt;" &amp; DATE(IF($B3=12,$A3+1,$A3),IF($B3=12,1,$B3+1),1))</f>
        <v>6</v>
      </c>
      <c r="AN3" s="11">
        <f ca="1">COUNTIFS(BV!$BT$2:$BT$54,"&gt;=" &amp; DATE($A3,$B3,1),BV!$BT$2:$BT$54,"&lt;" &amp; DATE(IF($B3=12,$A3+1,$A3),IF($B3=12,1,$B3+1),1))</f>
        <v>2</v>
      </c>
      <c r="AO3" s="11">
        <f ca="1">COUNTIFS(BV!$CB$2:$CB$54,"&gt;=" &amp; DATE($A3,$B3,1),BV!$CB$2:$CB$54,"&lt;" &amp; DATE(IF($B3=12,$A3+1,$A3),IF($B3=12,1,$B3+1),1))</f>
        <v>0</v>
      </c>
      <c r="AP3" s="35">
        <f t="shared" ref="AP3:AP24" ca="1" si="44">(AF3+AG3/2+AH3/3+AI3/4+AJ3/5+AK3/6+AL3/7+AM3/8+AN3/9+AO3/10)*10</f>
        <v>112.65079365079362</v>
      </c>
      <c r="AQ3" s="353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10</v>
      </c>
      <c r="AR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4</v>
      </c>
      <c r="AS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8</v>
      </c>
      <c r="AT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6</v>
      </c>
      <c r="AU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7</v>
      </c>
      <c r="AV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3</v>
      </c>
      <c r="AW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8</v>
      </c>
      <c r="AX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3</v>
      </c>
      <c r="AY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4</v>
      </c>
      <c r="AZ3" s="506">
        <f ca="1">COUNTIFS(OFFSET(Time!$J$2,(COLUMN()-43)*20,,20,),"&gt;=" &amp; DATE($A3,$B3,1),OFFSET(Time!$J$2,(COLUMN()-43)*20,,20,),"&lt;" &amp; DATE(IF($B3=12,$A3+1,$A3),IF($B3=12,1,$B3+1),1))+COUNTIFS(OFFSET(Bvs!$J$2,(COLUMN()-43)*20,,20,),"&gt;=" &amp; DATE($A3,$B3,1),OFFSET(Bvs!$J$2,(COLUMN()-43)*20,,20,),"&lt;" &amp; DATE(IF($B3=12,$A3+1,$A3),IF($B3=12,1,$B3+1),1))+COUNTIFS(OFFSET(QG!$J$2,(COLUMN()-43)*20,,20,),"&gt;=" &amp; DATE($A3,$B3,1),OFFSET(QG!$J$2,(COLUMN()-43)*20,,20,),"&lt;" &amp; DATE(IF($B3=12,$A3+1,$A3),IF($B3=12,1,$B3+1),1))</f>
        <v>2</v>
      </c>
      <c r="BA3" s="35">
        <f t="shared" ref="BA3:BA45" ca="1" si="45">(AQ3+AR3/2+AS3/3+AT3/4+AU3/5+AV3/6+AW3/7+AX3/8+AY3/9+AZ3/10)*10</f>
        <v>202.28968253968247</v>
      </c>
      <c r="BB3" s="35">
        <f t="shared" ref="BB3:BB45" ca="1" si="46">AP3+BA3</f>
        <v>314.94047619047609</v>
      </c>
      <c r="BC3" s="12">
        <f t="shared" ref="BC3:BC24" ca="1" si="47">BB3/AD3</f>
        <v>12.113095238095234</v>
      </c>
      <c r="BD3" s="12">
        <f t="shared" ref="BD3:BD34" ca="1" si="48">IF(AE3=0,0,BC3/AE3)</f>
        <v>2.2023809523809517</v>
      </c>
    </row>
    <row r="4" spans="1:56" x14ac:dyDescent="0.25">
      <c r="A4" s="31">
        <f t="shared" ref="A4" si="49">IF(B5=1,A5-1,A5)</f>
        <v>2020</v>
      </c>
      <c r="B4" s="31">
        <f t="shared" si="1"/>
        <v>4</v>
      </c>
      <c r="C4" s="32" t="s">
        <v>38</v>
      </c>
      <c r="D4" s="1">
        <f ca="1">COUNTIFS(OFFSET(Arb!$B$2,,,Arb!$AJ$36,),$B4,OFFSET(Arb!$C$2,,,Arb!$AJ$36,),$A4,OFFSET(Arb!$AI$2,,,Arb!$AJ$36,),TRUE)</f>
        <v>133</v>
      </c>
      <c r="E4" s="1">
        <f ca="1">SUMIFS(OFFSET(Arb!$I$2,,,Arb!$AJ$36,),OFFSET(Arb!$B$2,,,Arb!$AJ$36,),$B4,OFFSET(Arb!$C$2,,,Arb!$AJ$36,),$A4,OFFSET(Arb!$AI$2,,,Arb!$AJ$36,),TRUE)</f>
        <v>2210</v>
      </c>
      <c r="F4" s="1">
        <f ca="1">SUMIFS(OFFSET(Arb!$H$2,,,Arb!$AJ$36,),OFFSET(Arb!$B$2,,,Arb!$AJ$36,),$B4,OFFSET(Arb!$C$2,,,Arb!$AJ$36,),$A4,OFFSET(Arb!$AI$2,,,Arb!$AJ$36,),TRUE)</f>
        <v>898.06999999999994</v>
      </c>
      <c r="G4" s="1">
        <f ca="1">SUMIFS(OFFSET(Arb!$AC$2,,,Arb!$AJ$36,),OFFSET(Arb!$B$2,,,Arb!$AJ$36,),$B4,OFFSET(Arb!$C$2,,,Arb!$AJ$36,),$A4,OFFSET(Arb!$AI$2,,,Arb!$AJ$36,),TRUE)</f>
        <v>110608</v>
      </c>
      <c r="H4" s="1">
        <f ca="1">SUMIFS(OFFSET(Arb!$U$2,,,Arb!$AJ$36,),OFFSET(Arb!$B$2,,,Arb!$AJ$36,),$B4,OFFSET(Arb!$C$2,,,Arb!$AJ$36,),$A4,OFFSET(Arb!$AI$2,,,Arb!$AJ$36,),TRUE)</f>
        <v>3035</v>
      </c>
      <c r="I4" s="1">
        <f ca="1">SUMIFS(OFFSET(Arb!$V$2,,,Arb!$AJ$36,),OFFSET(Arb!$B$2,,,Arb!$AJ$36,),$B4,OFFSET(Arb!$C$2,,,Arb!$AJ$36,),$A4,OFFSET(Arb!$AI$2,,,Arb!$AJ$36,),TRUE)</f>
        <v>353</v>
      </c>
      <c r="J4" s="1">
        <f ca="1">SUMIFS(OFFSET(Arb!$X$2,,,Arb!$AJ$36,),OFFSET(Arb!$B$2,,,Arb!$AJ$36,),$B4,OFFSET(Arb!$C$2,,,Arb!$AJ$36,),$A4,OFFSET(Arb!$AI$2,,,Arb!$AJ$36,),TRUE)</f>
        <v>2929</v>
      </c>
      <c r="K4" s="1">
        <f ca="1">SUMIFS(OFFSET(Arb!$AA$2,,,Arb!$AJ$36,),OFFSET(Arb!$B$2,,,Arb!$AJ$36,),$B4,OFFSET(Arb!$C$2,,,Arb!$AJ$36,),$A4,OFFSET(Arb!$AI$2,,,Arb!$AJ$36,),TRUE)</f>
        <v>348</v>
      </c>
      <c r="L4" s="1">
        <f ca="1">SUMIFS(OFFSET(Arb!$AB$2,,,Arb!$AJ$36,),OFFSET(Arb!$B$2,,,Arb!$AJ$36,),$B4,OFFSET(Arb!$C$2,,,Arb!$AJ$36,),$A4,OFFSET(Arb!$AI$2,,,Arb!$AJ$36,),TRUE)</f>
        <v>395</v>
      </c>
      <c r="M4" s="11">
        <f t="shared" ca="1" si="26"/>
        <v>3388</v>
      </c>
      <c r="N4" s="21">
        <f t="shared" ca="1" si="27"/>
        <v>16.616541353383457</v>
      </c>
      <c r="O4" s="12">
        <f t="shared" ca="1" si="28"/>
        <v>6.7524060150375931</v>
      </c>
      <c r="P4" s="33">
        <f t="shared" ref="P4" ca="1" si="50">IFERROR(N4/O4,"")</f>
        <v>2.4608326745131226</v>
      </c>
      <c r="Q4" s="20">
        <f t="shared" ca="1" si="30"/>
        <v>3.2614384179406954</v>
      </c>
      <c r="R4" s="33">
        <f t="shared" ca="1" si="31"/>
        <v>3.7725344349549594</v>
      </c>
      <c r="S4" s="33">
        <f t="shared" ref="S4" ca="1" si="51">IFERROR(O4^1.7/N4,"")</f>
        <v>1.5471730753477067</v>
      </c>
      <c r="T4" s="34">
        <f t="shared" ca="1" si="33"/>
        <v>30.571240382637978</v>
      </c>
      <c r="U4" s="12">
        <f t="shared" ca="1" si="34"/>
        <v>2.6165413533834587</v>
      </c>
      <c r="V4" s="12">
        <f t="shared" ca="1" si="35"/>
        <v>2.969924812030075</v>
      </c>
      <c r="W4" s="33">
        <f t="shared" ref="W4" ca="1" si="52">IFERROR(Q4/R4,"")</f>
        <v>0.86452184179456903</v>
      </c>
      <c r="X4" s="33">
        <f t="shared" ref="X4" ca="1" si="53">IFERROR(P4/Q4,"")</f>
        <v>0.75452372823489233</v>
      </c>
      <c r="Y4" s="33">
        <f t="shared" ca="1" si="38"/>
        <v>0.65230224321133412</v>
      </c>
      <c r="Z4" s="17">
        <f t="shared" ca="1" si="39"/>
        <v>51.977443609022558</v>
      </c>
      <c r="AA4" s="34">
        <f t="shared" ref="AA4" ca="1" si="54">IFERROR(Z4/O4,"")</f>
        <v>7.6976182257507775</v>
      </c>
      <c r="AB4" s="33">
        <f t="shared" ref="AB4" ca="1" si="55">IFERROR(N4/Z4,"")</f>
        <v>0.31968754520468678</v>
      </c>
      <c r="AC4" s="21">
        <f t="shared" ca="1" si="42"/>
        <v>25.105307808104079</v>
      </c>
      <c r="AD4" s="468">
        <f ca="1">INDEX(OFFSET(Arb!AK$36,,B4,23,),MATCH(A4,OFFSET(Arb!AK$36,,,23,),0))</f>
        <v>21</v>
      </c>
      <c r="AE4" s="12">
        <f t="shared" ca="1" si="43"/>
        <v>6.333333333333333</v>
      </c>
      <c r="AF4" s="11">
        <f ca="1">COUNTIFS(BV!$H$2:$H$54,"&gt;=" &amp; DATE($A4,$B4,1),BV!$H$2:$H$54,"&lt;" &amp; DATE(IF($B4=12,$A4+1,$A4),IF($B4=12,1,$B4+1),1))</f>
        <v>4</v>
      </c>
      <c r="AG4" s="11">
        <f ca="1">COUNTIFS(BV!$P$2:$P$54,"&gt;=" &amp; DATE($A4,$B4,1),BV!$P$2:$P$54,"&lt;" &amp; DATE(IF($B4=12,$A4+1,$A4),IF($B4=12,1,$B4+1),1))</f>
        <v>2</v>
      </c>
      <c r="AH4" s="11">
        <f ca="1">COUNTIFS(BV!$X$2:$X$54,"&gt;=" &amp; DATE($A4,$B4,1),BV!$X$2:$X$54,"&lt;" &amp; DATE(IF($B4=12,$A4+1,$A4),IF($B4=12,1,$B4+1),1))</f>
        <v>3</v>
      </c>
      <c r="AI4" s="11">
        <f ca="1">COUNTIFS(BV!$AF$2:$AF$54,"&gt;=" &amp; DATE($A4,$B4,1),BV!$AF$2:$AF$54,"&lt;" &amp; DATE(IF($B4=12,$A4+1,$A4),IF($B4=12,1,$B4+1),1))</f>
        <v>5</v>
      </c>
      <c r="AJ4" s="11">
        <f ca="1">COUNTIFS(BV!$AN$2:$AN$54,"&gt;=" &amp; DATE($A4,$B4,1),BV!$AN$2:$AN$54,"&lt;" &amp; DATE(IF($B4=12,$A4+1,$A4),IF($B4=12,1,$B4+1),1))</f>
        <v>3</v>
      </c>
      <c r="AK4" s="11">
        <f ca="1">COUNTIFS(BV!$AV$2:$AV$54,"&gt;=" &amp; DATE($A4,$B4,1),BV!$AV$2:$AV$54,"&lt;" &amp; DATE(IF($B4=12,$A4+1,$A4),IF($B4=12,1,$B4+1),1))</f>
        <v>3</v>
      </c>
      <c r="AL4" s="11">
        <f ca="1">COUNTIFS(BV!$BD$2:$BD$54,"&gt;=" &amp; DATE($A4,$B4,1),BV!$BD$2:$BD$54,"&lt;" &amp; DATE(IF($B4=12,$A4+1,$A4),IF($B4=12,1,$B4+1),1))</f>
        <v>1</v>
      </c>
      <c r="AM4" s="11">
        <f ca="1">COUNTIFS(BV!$BL$2:$BL$54,"&gt;=" &amp; DATE($A4,$B4,1),BV!$BL$2:$BL$54,"&lt;" &amp; DATE(IF($B4=12,$A4+1,$A4),IF($B4=12,1,$B4+1),1))</f>
        <v>1</v>
      </c>
      <c r="AN4" s="11">
        <f ca="1">COUNTIFS(BV!$BT$2:$BT$54,"&gt;=" &amp; DATE($A4,$B4,1),BV!$BT$2:$BT$54,"&lt;" &amp; DATE(IF($B4=12,$A4+1,$A4),IF($B4=12,1,$B4+1),1))</f>
        <v>4</v>
      </c>
      <c r="AO4" s="11">
        <f ca="1">COUNTIFS(BV!$CB$2:$CB$54,"&gt;=" &amp; DATE($A4,$B4,1),BV!$CB$2:$CB$54,"&lt;" &amp; DATE(IF($B4=12,$A4+1,$A4),IF($B4=12,1,$B4+1),1))</f>
        <v>0</v>
      </c>
      <c r="AP4" s="35">
        <f t="shared" ca="1" si="44"/>
        <v>90.623015873015873</v>
      </c>
      <c r="AQ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7</v>
      </c>
      <c r="AR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4</v>
      </c>
      <c r="AS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7</v>
      </c>
      <c r="AT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3</v>
      </c>
      <c r="AU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4</v>
      </c>
      <c r="AV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6</v>
      </c>
      <c r="AW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3</v>
      </c>
      <c r="AX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9</v>
      </c>
      <c r="AY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6</v>
      </c>
      <c r="AZ4" s="506">
        <f ca="1">COUNTIFS(OFFSET(Time!$J$2,(COLUMN()-43)*20,,20,),"&gt;=" &amp; DATE($A4,$B4,1),OFFSET(Time!$J$2,(COLUMN()-43)*20,,20,),"&lt;" &amp; DATE(IF($B4=12,$A4+1,$A4),IF($B4=12,1,$B4+1),1))+COUNTIFS(OFFSET(Bvs!$J$2,(COLUMN()-43)*20,,20,),"&gt;=" &amp; DATE($A4,$B4,1),OFFSET(Bvs!$J$2,(COLUMN()-43)*20,,20,),"&lt;" &amp; DATE(IF($B4=12,$A4+1,$A4),IF($B4=12,1,$B4+1),1))+COUNTIFS(OFFSET(QG!$J$2,(COLUMN()-43)*20,,20,),"&gt;=" &amp; DATE($A4,$B4,1),OFFSET(QG!$J$2,(COLUMN()-43)*20,,20,),"&lt;" &amp; DATE(IF($B4=12,$A4+1,$A4),IF($B4=12,1,$B4+1),1))</f>
        <v>5</v>
      </c>
      <c r="BA4" s="35">
        <f t="shared" ca="1" si="45"/>
        <v>166.03571428571431</v>
      </c>
      <c r="BB4" s="35">
        <f t="shared" ca="1" si="46"/>
        <v>256.65873015873018</v>
      </c>
      <c r="BC4" s="12">
        <f t="shared" ca="1" si="47"/>
        <v>12.221844293272866</v>
      </c>
      <c r="BD4" s="12">
        <f t="shared" ca="1" si="48"/>
        <v>1.9297648884115053</v>
      </c>
    </row>
    <row r="5" spans="1:56" x14ac:dyDescent="0.25">
      <c r="A5" s="31">
        <f t="shared" ref="A5" si="56">IF(B6=1,A6-1,A6)</f>
        <v>2020</v>
      </c>
      <c r="B5" s="31">
        <f t="shared" si="1"/>
        <v>5</v>
      </c>
      <c r="C5" s="32" t="s">
        <v>38</v>
      </c>
      <c r="D5" s="1">
        <f ca="1">COUNTIFS(OFFSET(Arb!$B$2,,,Arb!$AJ$36,),$B5,OFFSET(Arb!$C$2,,,Arb!$AJ$36,),$A5,OFFSET(Arb!$AI$2,,,Arb!$AJ$36,),TRUE)</f>
        <v>40</v>
      </c>
      <c r="E5" s="1">
        <f ca="1">SUMIFS(OFFSET(Arb!$I$2,,,Arb!$AJ$36,),OFFSET(Arb!$B$2,,,Arb!$AJ$36,),$B5,OFFSET(Arb!$C$2,,,Arb!$AJ$36,),$A5,OFFSET(Arb!$AI$2,,,Arb!$AJ$36,),TRUE)</f>
        <v>651</v>
      </c>
      <c r="F5" s="1">
        <f ca="1">SUMIFS(OFFSET(Arb!$H$2,,,Arb!$AJ$36,),OFFSET(Arb!$B$2,,,Arb!$AJ$36,),$B5,OFFSET(Arb!$C$2,,,Arb!$AJ$36,),$A5,OFFSET(Arb!$AI$2,,,Arb!$AJ$36,),TRUE)</f>
        <v>222.50999999999993</v>
      </c>
      <c r="G5" s="1">
        <f ca="1">SUMIFS(OFFSET(Arb!$AC$2,,,Arb!$AJ$36,),OFFSET(Arb!$B$2,,,Arb!$AJ$36,),$B5,OFFSET(Arb!$C$2,,,Arb!$AJ$36,),$A5,OFFSET(Arb!$AI$2,,,Arb!$AJ$36,),TRUE)</f>
        <v>32640</v>
      </c>
      <c r="H5" s="1">
        <f ca="1">SUMIFS(OFFSET(Arb!$U$2,,,Arb!$AJ$36,),OFFSET(Arb!$B$2,,,Arb!$AJ$36,),$B5,OFFSET(Arb!$C$2,,,Arb!$AJ$36,),$A5,OFFSET(Arb!$AI$2,,,Arb!$AJ$36,),TRUE)</f>
        <v>929</v>
      </c>
      <c r="I5" s="1">
        <f ca="1">SUMIFS(OFFSET(Arb!$V$2,,,Arb!$AJ$36,),OFFSET(Arb!$B$2,,,Arb!$AJ$36,),$B5,OFFSET(Arb!$C$2,,,Arb!$AJ$36,),$A5,OFFSET(Arb!$AI$2,,,Arb!$AJ$36,),TRUE)</f>
        <v>47</v>
      </c>
      <c r="J5" s="1">
        <f ca="1">SUMIFS(OFFSET(Arb!$X$2,,,Arb!$AJ$36,),OFFSET(Arb!$B$2,,,Arb!$AJ$36,),$B5,OFFSET(Arb!$C$2,,,Arb!$AJ$36,),$A5,OFFSET(Arb!$AI$2,,,Arb!$AJ$36,),TRUE)</f>
        <v>825</v>
      </c>
      <c r="K5" s="1">
        <f ca="1">SUMIFS(OFFSET(Arb!$AA$2,,,Arb!$AJ$36,),OFFSET(Arb!$B$2,,,Arb!$AJ$36,),$B5,OFFSET(Arb!$C$2,,,Arb!$AJ$36,),$A5,OFFSET(Arb!$AI$2,,,Arb!$AJ$36,),TRUE)</f>
        <v>108</v>
      </c>
      <c r="L5" s="1">
        <f ca="1">SUMIFS(OFFSET(Arb!$AB$2,,,Arb!$AJ$36,),OFFSET(Arb!$B$2,,,Arb!$AJ$36,),$B5,OFFSET(Arb!$C$2,,,Arb!$AJ$36,),$A5,OFFSET(Arb!$AI$2,,,Arb!$AJ$36,),TRUE)</f>
        <v>132</v>
      </c>
      <c r="M5" s="11">
        <f t="shared" ca="1" si="26"/>
        <v>976</v>
      </c>
      <c r="N5" s="21">
        <f t="shared" ca="1" si="27"/>
        <v>16.274999999999999</v>
      </c>
      <c r="O5" s="12">
        <f t="shared" ca="1" si="28"/>
        <v>5.5627499999999985</v>
      </c>
      <c r="P5" s="33">
        <f t="shared" ref="P5" ca="1" si="57">IFERROR(N5/O5,"")</f>
        <v>2.9257112039908324</v>
      </c>
      <c r="Q5" s="20">
        <f t="shared" ca="1" si="30"/>
        <v>3.7076985304031291</v>
      </c>
      <c r="R5" s="33">
        <f t="shared" ca="1" si="31"/>
        <v>4.3863197159678231</v>
      </c>
      <c r="S5" s="33">
        <f t="shared" ref="S5" ca="1" si="58">IFERROR(O5^1.7/N5,"")</f>
        <v>1.1362430108458275</v>
      </c>
      <c r="T5" s="34">
        <f t="shared" ca="1" si="33"/>
        <v>41.62753878221023</v>
      </c>
      <c r="U5" s="12">
        <f t="shared" ca="1" si="34"/>
        <v>2.7</v>
      </c>
      <c r="V5" s="12">
        <f t="shared" ca="1" si="35"/>
        <v>3.3</v>
      </c>
      <c r="W5" s="33">
        <f t="shared" ref="W5" ca="1" si="59">IFERROR(Q5/R5,"")</f>
        <v>0.84528688524590168</v>
      </c>
      <c r="X5" s="33">
        <f t="shared" ref="X5" ca="1" si="60">IFERROR(P5/Q5,"")</f>
        <v>0.78909090909090895</v>
      </c>
      <c r="Y5" s="33">
        <f t="shared" ca="1" si="38"/>
        <v>0.66700819672131151</v>
      </c>
      <c r="Z5" s="17">
        <f t="shared" ca="1" si="39"/>
        <v>51</v>
      </c>
      <c r="AA5" s="34">
        <f t="shared" ref="AA5" ca="1" si="61">IFERROR(Z5/O5,"")</f>
        <v>9.1681272751786462</v>
      </c>
      <c r="AB5" s="33">
        <f t="shared" ref="AB5" ca="1" si="62">IFERROR(N5/Z5,"")</f>
        <v>0.31911764705882351</v>
      </c>
      <c r="AC5" s="21">
        <f t="shared" ca="1" si="42"/>
        <v>33.992652024728713</v>
      </c>
      <c r="AD5" s="468">
        <f ca="1">INDEX(OFFSET(Arb!AK$36,,B5,23,),MATCH(A5,OFFSET(Arb!AK$36,,,23,),0))</f>
        <v>15</v>
      </c>
      <c r="AE5" s="12">
        <f t="shared" ca="1" si="43"/>
        <v>2.6666666666666665</v>
      </c>
      <c r="AF5" s="11">
        <f ca="1">COUNTIFS(BV!$H$2:$H$54,"&gt;=" &amp; DATE($A5,$B5,1),BV!$H$2:$H$54,"&lt;" &amp; DATE(IF($B5=12,$A5+1,$A5),IF($B5=12,1,$B5+1),1))</f>
        <v>1</v>
      </c>
      <c r="AG5" s="11">
        <f ca="1">COUNTIFS(BV!$P$2:$P$54,"&gt;=" &amp; DATE($A5,$B5,1),BV!$P$2:$P$54,"&lt;" &amp; DATE(IF($B5=12,$A5+1,$A5),IF($B5=12,1,$B5+1),1))</f>
        <v>0</v>
      </c>
      <c r="AH5" s="11">
        <f ca="1">COUNTIFS(BV!$X$2:$X$54,"&gt;=" &amp; DATE($A5,$B5,1),BV!$X$2:$X$54,"&lt;" &amp; DATE(IF($B5=12,$A5+1,$A5),IF($B5=12,1,$B5+1),1))</f>
        <v>0</v>
      </c>
      <c r="AI5" s="11">
        <f ca="1">COUNTIFS(BV!$AF$2:$AF$54,"&gt;=" &amp; DATE($A5,$B5,1),BV!$AF$2:$AF$54,"&lt;" &amp; DATE(IF($B5=12,$A5+1,$A5),IF($B5=12,1,$B5+1),1))</f>
        <v>1</v>
      </c>
      <c r="AJ5" s="11">
        <f ca="1">COUNTIFS(BV!$AN$2:$AN$54,"&gt;=" &amp; DATE($A5,$B5,1),BV!$AN$2:$AN$54,"&lt;" &amp; DATE(IF($B5=12,$A5+1,$A5),IF($B5=12,1,$B5+1),1))</f>
        <v>0</v>
      </c>
      <c r="AK5" s="11">
        <f ca="1">COUNTIFS(BV!$AV$2:$AV$54,"&gt;=" &amp; DATE($A5,$B5,1),BV!$AV$2:$AV$54,"&lt;" &amp; DATE(IF($B5=12,$A5+1,$A5),IF($B5=12,1,$B5+1),1))</f>
        <v>0</v>
      </c>
      <c r="AL5" s="11">
        <f ca="1">COUNTIFS(BV!$BD$2:$BD$54,"&gt;=" &amp; DATE($A5,$B5,1),BV!$BD$2:$BD$54,"&lt;" &amp; DATE(IF($B5=12,$A5+1,$A5),IF($B5=12,1,$B5+1),1))</f>
        <v>0</v>
      </c>
      <c r="AM5" s="11">
        <f ca="1">COUNTIFS(BV!$BL$2:$BL$54,"&gt;=" &amp; DATE($A5,$B5,1),BV!$BL$2:$BL$54,"&lt;" &amp; DATE(IF($B5=12,$A5+1,$A5),IF($B5=12,1,$B5+1),1))</f>
        <v>0</v>
      </c>
      <c r="AN5" s="11">
        <f ca="1">COUNTIFS(BV!$BT$2:$BT$54,"&gt;=" &amp; DATE($A5,$B5,1),BV!$BT$2:$BT$54,"&lt;" &amp; DATE(IF($B5=12,$A5+1,$A5),IF($B5=12,1,$B5+1),1))</f>
        <v>0</v>
      </c>
      <c r="AO5" s="11">
        <f ca="1">COUNTIFS(BV!$CB$2:$CB$54,"&gt;=" &amp; DATE($A5,$B5,1),BV!$CB$2:$CB$54,"&lt;" &amp; DATE(IF($B5=12,$A5+1,$A5),IF($B5=12,1,$B5+1),1))</f>
        <v>0</v>
      </c>
      <c r="AP5" s="35">
        <f t="shared" ca="1" si="44"/>
        <v>12.5</v>
      </c>
      <c r="AQ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2</v>
      </c>
      <c r="AR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0</v>
      </c>
      <c r="AS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0</v>
      </c>
      <c r="AT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0</v>
      </c>
      <c r="AU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4</v>
      </c>
      <c r="AV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0</v>
      </c>
      <c r="AW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2</v>
      </c>
      <c r="AX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2</v>
      </c>
      <c r="AY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2</v>
      </c>
      <c r="AZ5" s="506">
        <f ca="1">COUNTIFS(OFFSET(Time!$J$2,(COLUMN()-43)*20,,20,),"&gt;=" &amp; DATE($A5,$B5,1),OFFSET(Time!$J$2,(COLUMN()-43)*20,,20,),"&lt;" &amp; DATE(IF($B5=12,$A5+1,$A5),IF($B5=12,1,$B5+1),1))+COUNTIFS(OFFSET(Bvs!$J$2,(COLUMN()-43)*20,,20,),"&gt;=" &amp; DATE($A5,$B5,1),OFFSET(Bvs!$J$2,(COLUMN()-43)*20,,20,),"&lt;" &amp; DATE(IF($B5=12,$A5+1,$A5),IF($B5=12,1,$B5+1),1))+COUNTIFS(OFFSET(QG!$J$2,(COLUMN()-43)*20,,20,),"&gt;=" &amp; DATE($A5,$B5,1),OFFSET(QG!$J$2,(COLUMN()-43)*20,,20,),"&lt;" &amp; DATE(IF($B5=12,$A5+1,$A5),IF($B5=12,1,$B5+1),1))</f>
        <v>3</v>
      </c>
      <c r="BA5" s="35">
        <f t="shared" ca="1" si="45"/>
        <v>38.579365079365076</v>
      </c>
      <c r="BB5" s="35">
        <f t="shared" ca="1" si="46"/>
        <v>51.079365079365076</v>
      </c>
      <c r="BC5" s="12">
        <f t="shared" ca="1" si="47"/>
        <v>3.405291005291005</v>
      </c>
      <c r="BD5" s="12">
        <f t="shared" ca="1" si="48"/>
        <v>1.2769841269841269</v>
      </c>
    </row>
    <row r="6" spans="1:56" x14ac:dyDescent="0.25">
      <c r="A6" s="31">
        <f t="shared" ref="A6" si="63">IF(B7=1,A7-1,A7)</f>
        <v>2020</v>
      </c>
      <c r="B6" s="31">
        <f t="shared" si="1"/>
        <v>6</v>
      </c>
      <c r="C6" s="32" t="s">
        <v>38</v>
      </c>
      <c r="D6" s="1">
        <f ca="1">COUNTIFS(OFFSET(Arb!$B$2,,,Arb!$AJ$36,),$B6,OFFSET(Arb!$C$2,,,Arb!$AJ$36,),$A6,OFFSET(Arb!$AI$2,,,Arb!$AJ$36,),TRUE)</f>
        <v>80</v>
      </c>
      <c r="E6" s="1">
        <f ca="1">SUMIFS(OFFSET(Arb!$I$2,,,Arb!$AJ$36,),OFFSET(Arb!$B$2,,,Arb!$AJ$36,),$B6,OFFSET(Arb!$C$2,,,Arb!$AJ$36,),$A6,OFFSET(Arb!$AI$2,,,Arb!$AJ$36,),TRUE)</f>
        <v>1386</v>
      </c>
      <c r="F6" s="1">
        <f ca="1">SUMIFS(OFFSET(Arb!$H$2,,,Arb!$AJ$36,),OFFSET(Arb!$B$2,,,Arb!$AJ$36,),$B6,OFFSET(Arb!$C$2,,,Arb!$AJ$36,),$A6,OFFSET(Arb!$AI$2,,,Arb!$AJ$36,),TRUE)</f>
        <v>462.30999999999995</v>
      </c>
      <c r="G6" s="1">
        <f ca="1">SUMIFS(OFFSET(Arb!$AC$2,,,Arb!$AJ$36,),OFFSET(Arb!$B$2,,,Arb!$AJ$36,),$B6,OFFSET(Arb!$C$2,,,Arb!$AJ$36,),$A6,OFFSET(Arb!$AI$2,,,Arb!$AJ$36,),TRUE)</f>
        <v>66995</v>
      </c>
      <c r="H6" s="1">
        <f ca="1">SUMIFS(OFFSET(Arb!$U$2,,,Arb!$AJ$36,),OFFSET(Arb!$B$2,,,Arb!$AJ$36,),$B6,OFFSET(Arb!$C$2,,,Arb!$AJ$36,),$A6,OFFSET(Arb!$AI$2,,,Arb!$AJ$36,),TRUE)</f>
        <v>1878</v>
      </c>
      <c r="I6" s="1">
        <f ca="1">SUMIFS(OFFSET(Arb!$V$2,,,Arb!$AJ$36,),OFFSET(Arb!$B$2,,,Arb!$AJ$36,),$B6,OFFSET(Arb!$C$2,,,Arb!$AJ$36,),$A6,OFFSET(Arb!$AI$2,,,Arb!$AJ$36,),TRUE)</f>
        <v>231</v>
      </c>
      <c r="J6" s="1">
        <f ca="1">SUMIFS(OFFSET(Arb!$X$2,,,Arb!$AJ$36,),OFFSET(Arb!$B$2,,,Arb!$AJ$36,),$B6,OFFSET(Arb!$C$2,,,Arb!$AJ$36,),$A6,OFFSET(Arb!$AI$2,,,Arb!$AJ$36,),TRUE)</f>
        <v>1744</v>
      </c>
      <c r="K6" s="1">
        <f ca="1">SUMIFS(OFFSET(Arb!$AA$2,,,Arb!$AJ$36,),OFFSET(Arb!$B$2,,,Arb!$AJ$36,),$B6,OFFSET(Arb!$C$2,,,Arb!$AJ$36,),$A6,OFFSET(Arb!$AI$2,,,Arb!$AJ$36,),TRUE)</f>
        <v>221</v>
      </c>
      <c r="L6" s="1">
        <f ca="1">SUMIFS(OFFSET(Arb!$AB$2,,,Arb!$AJ$36,),OFFSET(Arb!$B$2,,,Arb!$AJ$36,),$B6,OFFSET(Arb!$C$2,,,Arb!$AJ$36,),$A6,OFFSET(Arb!$AI$2,,,Arb!$AJ$36,),TRUE)</f>
        <v>224</v>
      </c>
      <c r="M6" s="11">
        <f t="shared" ca="1" si="26"/>
        <v>2109</v>
      </c>
      <c r="N6" s="21">
        <f t="shared" ca="1" si="27"/>
        <v>17.324999999999999</v>
      </c>
      <c r="O6" s="12">
        <f t="shared" ca="1" si="28"/>
        <v>5.7788749999999993</v>
      </c>
      <c r="P6" s="33">
        <f t="shared" ref="P6" ca="1" si="64">IFERROR(N6/O6,"")</f>
        <v>2.9979883627868746</v>
      </c>
      <c r="Q6" s="20">
        <f t="shared" ca="1" si="30"/>
        <v>3.772360537301811</v>
      </c>
      <c r="R6" s="33">
        <f t="shared" ca="1" si="31"/>
        <v>4.5618740671843572</v>
      </c>
      <c r="S6" s="33">
        <f t="shared" ref="S6" ca="1" si="65">IFERROR(O6^1.7/N6,"")</f>
        <v>1.1388338507722746</v>
      </c>
      <c r="T6" s="34">
        <f t="shared" ca="1" si="33"/>
        <v>41.532836390422752</v>
      </c>
      <c r="U6" s="12">
        <f t="shared" ca="1" si="34"/>
        <v>2.7625000000000002</v>
      </c>
      <c r="V6" s="12">
        <f t="shared" ca="1" si="35"/>
        <v>2.8</v>
      </c>
      <c r="W6" s="33">
        <f t="shared" ref="W6" ca="1" si="66">IFERROR(Q6/R6,"")</f>
        <v>0.82693219535324802</v>
      </c>
      <c r="X6" s="33">
        <f t="shared" ref="X6" ca="1" si="67">IFERROR(P6/Q6,"")</f>
        <v>0.79472477064220171</v>
      </c>
      <c r="Y6" s="33">
        <f t="shared" ca="1" si="38"/>
        <v>0.65718349928876241</v>
      </c>
      <c r="Z6" s="17">
        <f t="shared" ca="1" si="39"/>
        <v>52.33984375</v>
      </c>
      <c r="AA6" s="34">
        <f t="shared" ref="AA6" ca="1" si="68">IFERROR(Z6/O6,"")</f>
        <v>9.0570991326166439</v>
      </c>
      <c r="AB6" s="33">
        <f t="shared" ref="AB6" ca="1" si="69">IFERROR(N6/Z6,"")</f>
        <v>0.33100977684901856</v>
      </c>
      <c r="AC6" s="21">
        <f t="shared" ca="1" si="42"/>
        <v>34.166643350313485</v>
      </c>
      <c r="AD6" s="468">
        <f ca="1">INDEX(OFFSET(Arb!AK$36,,B6,23,),MATCH(A6,OFFSET(Arb!AK$36,,,23,),0))</f>
        <v>15</v>
      </c>
      <c r="AE6" s="12">
        <f t="shared" ca="1" si="43"/>
        <v>5.333333333333333</v>
      </c>
      <c r="AF6" s="11">
        <f ca="1">COUNTIFS(BV!$H$2:$H$54,"&gt;=" &amp; DATE($A6,$B6,1),BV!$H$2:$H$54,"&lt;" &amp; DATE(IF($B6=12,$A6+1,$A6),IF($B6=12,1,$B6+1),1))</f>
        <v>0</v>
      </c>
      <c r="AG6" s="11">
        <f ca="1">COUNTIFS(BV!$P$2:$P$54,"&gt;=" &amp; DATE($A6,$B6,1),BV!$P$2:$P$54,"&lt;" &amp; DATE(IF($B6=12,$A6+1,$A6),IF($B6=12,1,$B6+1),1))</f>
        <v>2</v>
      </c>
      <c r="AH6" s="11">
        <f ca="1">COUNTIFS(BV!$X$2:$X$54,"&gt;=" &amp; DATE($A6,$B6,1),BV!$X$2:$X$54,"&lt;" &amp; DATE(IF($B6=12,$A6+1,$A6),IF($B6=12,1,$B6+1),1))</f>
        <v>5</v>
      </c>
      <c r="AI6" s="11">
        <f ca="1">COUNTIFS(BV!$AF$2:$AF$54,"&gt;=" &amp; DATE($A6,$B6,1),BV!$AF$2:$AF$54,"&lt;" &amp; DATE(IF($B6=12,$A6+1,$A6),IF($B6=12,1,$B6+1),1))</f>
        <v>0</v>
      </c>
      <c r="AJ6" s="11">
        <f ca="1">COUNTIFS(BV!$AN$2:$AN$54,"&gt;=" &amp; DATE($A6,$B6,1),BV!$AN$2:$AN$54,"&lt;" &amp; DATE(IF($B6=12,$A6+1,$A6),IF($B6=12,1,$B6+1),1))</f>
        <v>1</v>
      </c>
      <c r="AK6" s="11">
        <f ca="1">COUNTIFS(BV!$AV$2:$AV$54,"&gt;=" &amp; DATE($A6,$B6,1),BV!$AV$2:$AV$54,"&lt;" &amp; DATE(IF($B6=12,$A6+1,$A6),IF($B6=12,1,$B6+1),1))</f>
        <v>3</v>
      </c>
      <c r="AL6" s="11">
        <f ca="1">COUNTIFS(BV!$BD$2:$BD$54,"&gt;=" &amp; DATE($A6,$B6,1),BV!$BD$2:$BD$54,"&lt;" &amp; DATE(IF($B6=12,$A6+1,$A6),IF($B6=12,1,$B6+1),1))</f>
        <v>4</v>
      </c>
      <c r="AM6" s="11">
        <f ca="1">COUNTIFS(BV!$BL$2:$BL$54,"&gt;=" &amp; DATE($A6,$B6,1),BV!$BL$2:$BL$54,"&lt;" &amp; DATE(IF($B6=12,$A6+1,$A6),IF($B6=12,1,$B6+1),1))</f>
        <v>3</v>
      </c>
      <c r="AN6" s="11">
        <f ca="1">COUNTIFS(BV!$BT$2:$BT$54,"&gt;=" &amp; DATE($A6,$B6,1),BV!$BT$2:$BT$54,"&lt;" &amp; DATE(IF($B6=12,$A6+1,$A6),IF($B6=12,1,$B6+1),1))</f>
        <v>2</v>
      </c>
      <c r="AO6" s="11">
        <f ca="1">COUNTIFS(BV!$CB$2:$CB$54,"&gt;=" &amp; DATE($A6,$B6,1),BV!$CB$2:$CB$54,"&lt;" &amp; DATE(IF($B6=12,$A6+1,$A6),IF($B6=12,1,$B6+1),1))</f>
        <v>2</v>
      </c>
      <c r="AP6" s="35">
        <f t="shared" ca="1" si="44"/>
        <v>47.353174603174608</v>
      </c>
      <c r="AQ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4</v>
      </c>
      <c r="AR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6</v>
      </c>
      <c r="AS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1</v>
      </c>
      <c r="AT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5</v>
      </c>
      <c r="AU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6</v>
      </c>
      <c r="AV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6</v>
      </c>
      <c r="AW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6</v>
      </c>
      <c r="AX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2</v>
      </c>
      <c r="AY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5</v>
      </c>
      <c r="AZ6" s="506">
        <f ca="1">COUNTIFS(OFFSET(Time!$J$2,(COLUMN()-43)*20,,20,),"&gt;=" &amp; DATE($A6,$B6,1),OFFSET(Time!$J$2,(COLUMN()-43)*20,,20,),"&lt;" &amp; DATE(IF($B6=12,$A6+1,$A6),IF($B6=12,1,$B6+1),1))+COUNTIFS(OFFSET(Bvs!$J$2,(COLUMN()-43)*20,,20,),"&gt;=" &amp; DATE($A6,$B6,1),OFFSET(Bvs!$J$2,(COLUMN()-43)*20,,20,),"&lt;" &amp; DATE(IF($B6=12,$A6+1,$A6),IF($B6=12,1,$B6+1),1))+COUNTIFS(OFFSET(QG!$J$2,(COLUMN()-43)*20,,20,),"&gt;=" &amp; DATE($A6,$B6,1),OFFSET(QG!$J$2,(COLUMN()-43)*20,,20,),"&lt;" &amp; DATE(IF($B6=12,$A6+1,$A6),IF($B6=12,1,$B6+1),1))</f>
        <v>4</v>
      </c>
      <c r="BA6" s="35">
        <f t="shared" ca="1" si="45"/>
        <v>128.46031746031744</v>
      </c>
      <c r="BB6" s="35">
        <f t="shared" ca="1" si="46"/>
        <v>175.81349206349205</v>
      </c>
      <c r="BC6" s="12">
        <f t="shared" ca="1" si="47"/>
        <v>11.72089947089947</v>
      </c>
      <c r="BD6" s="12">
        <f t="shared" ca="1" si="48"/>
        <v>2.1976686507936507</v>
      </c>
    </row>
    <row r="7" spans="1:56" x14ac:dyDescent="0.25">
      <c r="A7" s="31">
        <f t="shared" ref="A7" si="70">IF(B8=1,A8-1,A8)</f>
        <v>2020</v>
      </c>
      <c r="B7" s="31">
        <f t="shared" si="1"/>
        <v>7</v>
      </c>
      <c r="C7" s="32" t="s">
        <v>38</v>
      </c>
      <c r="D7" s="1">
        <f ca="1">COUNTIFS(OFFSET(Arb!$B$2,,,Arb!$AJ$36,),$B7,OFFSET(Arb!$C$2,,,Arb!$AJ$36,),$A7,OFFSET(Arb!$AI$2,,,Arb!$AJ$36,),TRUE)</f>
        <v>9</v>
      </c>
      <c r="E7" s="1">
        <f ca="1">SUMIFS(OFFSET(Arb!$I$2,,,Arb!$AJ$36,),OFFSET(Arb!$B$2,,,Arb!$AJ$36,),$B7,OFFSET(Arb!$C$2,,,Arb!$AJ$36,),$A7,OFFSET(Arb!$AI$2,,,Arb!$AJ$36,),TRUE)</f>
        <v>131</v>
      </c>
      <c r="F7" s="1">
        <f ca="1">SUMIFS(OFFSET(Arb!$H$2,,,Arb!$AJ$36,),OFFSET(Arb!$B$2,,,Arb!$AJ$36,),$B7,OFFSET(Arb!$C$2,,,Arb!$AJ$36,),$A7,OFFSET(Arb!$AI$2,,,Arb!$AJ$36,),TRUE)</f>
        <v>46.199999999999996</v>
      </c>
      <c r="G7" s="1">
        <f ca="1">SUMIFS(OFFSET(Arb!$AC$2,,,Arb!$AJ$36,),OFFSET(Arb!$B$2,,,Arb!$AJ$36,),$B7,OFFSET(Arb!$C$2,,,Arb!$AJ$36,),$A7,OFFSET(Arb!$AI$2,,,Arb!$AJ$36,),TRUE)</f>
        <v>6808</v>
      </c>
      <c r="H7" s="1">
        <f ca="1">SUMIFS(OFFSET(Arb!$U$2,,,Arb!$AJ$36,),OFFSET(Arb!$B$2,,,Arb!$AJ$36,),$B7,OFFSET(Arb!$C$2,,,Arb!$AJ$36,),$A7,OFFSET(Arb!$AI$2,,,Arb!$AJ$36,),TRUE)</f>
        <v>210</v>
      </c>
      <c r="I7" s="1">
        <f ca="1">SUMIFS(OFFSET(Arb!$V$2,,,Arb!$AJ$36,),OFFSET(Arb!$B$2,,,Arb!$AJ$36,),$B7,OFFSET(Arb!$C$2,,,Arb!$AJ$36,),$A7,OFFSET(Arb!$AI$2,,,Arb!$AJ$36,),TRUE)</f>
        <v>0</v>
      </c>
      <c r="J7" s="1">
        <f ca="1">SUMIFS(OFFSET(Arb!$X$2,,,Arb!$AJ$36,),OFFSET(Arb!$B$2,,,Arb!$AJ$36,),$B7,OFFSET(Arb!$C$2,,,Arb!$AJ$36,),$A7,OFFSET(Arb!$AI$2,,,Arb!$AJ$36,),TRUE)</f>
        <v>172</v>
      </c>
      <c r="K7" s="1">
        <f ca="1">SUMIFS(OFFSET(Arb!$AA$2,,,Arb!$AJ$36,),OFFSET(Arb!$B$2,,,Arb!$AJ$36,),$B7,OFFSET(Arb!$C$2,,,Arb!$AJ$36,),$A7,OFFSET(Arb!$AI$2,,,Arb!$AJ$36,),TRUE)</f>
        <v>23</v>
      </c>
      <c r="L7" s="1">
        <f ca="1">SUMIFS(OFFSET(Arb!$AB$2,,,Arb!$AJ$36,),OFFSET(Arb!$B$2,,,Arb!$AJ$36,),$B7,OFFSET(Arb!$C$2,,,Arb!$AJ$36,),$A7,OFFSET(Arb!$AI$2,,,Arb!$AJ$36,),TRUE)</f>
        <v>32</v>
      </c>
      <c r="M7" s="11">
        <f t="shared" ca="1" si="26"/>
        <v>210</v>
      </c>
      <c r="N7" s="21">
        <f t="shared" ca="1" si="27"/>
        <v>14.555555555555555</v>
      </c>
      <c r="O7" s="12">
        <f t="shared" ca="1" si="28"/>
        <v>5.1333333333333329</v>
      </c>
      <c r="P7" s="33">
        <f t="shared" ref="P7" ca="1" si="71">IFERROR(N7/O7,"")</f>
        <v>2.8354978354978355</v>
      </c>
      <c r="Q7" s="20">
        <f t="shared" ca="1" si="30"/>
        <v>3.7229437229437234</v>
      </c>
      <c r="R7" s="33">
        <f t="shared" ca="1" si="31"/>
        <v>4.5454545454545459</v>
      </c>
      <c r="S7" s="33">
        <f t="shared" ref="S7" ca="1" si="72">IFERROR(O7^1.7/N7,"")</f>
        <v>1.1082820674222802</v>
      </c>
      <c r="T7" s="34">
        <f t="shared" ca="1" si="33"/>
        <v>42.677763531815792</v>
      </c>
      <c r="U7" s="12">
        <f t="shared" ca="1" si="34"/>
        <v>2.5555555555555554</v>
      </c>
      <c r="V7" s="12">
        <f t="shared" ca="1" si="35"/>
        <v>3.5555555555555554</v>
      </c>
      <c r="W7" s="33">
        <f t="shared" ref="W7" ca="1" si="73">IFERROR(Q7/R7,"")</f>
        <v>0.81904761904761914</v>
      </c>
      <c r="X7" s="33">
        <f t="shared" ref="X7" ca="1" si="74">IFERROR(P7/Q7,"")</f>
        <v>0.7616279069767441</v>
      </c>
      <c r="Y7" s="33">
        <f t="shared" ca="1" si="38"/>
        <v>0.62380952380952381</v>
      </c>
      <c r="Z7" s="17">
        <f t="shared" ca="1" si="39"/>
        <v>47.277777777777779</v>
      </c>
      <c r="AA7" s="34">
        <f t="shared" ref="AA7" ca="1" si="75">IFERROR(Z7/O7,"")</f>
        <v>9.2099567099567103</v>
      </c>
      <c r="AB7" s="33">
        <f t="shared" ref="AB7" ca="1" si="76">IFERROR(N7/Z7,"")</f>
        <v>0.30787309048178613</v>
      </c>
      <c r="AC7" s="21">
        <f t="shared" ca="1" si="42"/>
        <v>34.288150521916762</v>
      </c>
      <c r="AD7" s="468">
        <f ca="1">INDEX(OFFSET(Arb!AK$36,,B7,23,),MATCH(A7,OFFSET(Arb!AK$36,,,23,),0))</f>
        <v>18</v>
      </c>
      <c r="AE7" s="12">
        <f t="shared" ca="1" si="43"/>
        <v>0.5</v>
      </c>
      <c r="AF7" s="11">
        <f ca="1">COUNTIFS(BV!$H$2:$H$54,"&gt;=" &amp; DATE($A7,$B7,1),BV!$H$2:$H$54,"&lt;" &amp; DATE(IF($B7=12,$A7+1,$A7),IF($B7=12,1,$B7+1),1))</f>
        <v>0</v>
      </c>
      <c r="AG7" s="11">
        <f ca="1">COUNTIFS(BV!$P$2:$P$54,"&gt;=" &amp; DATE($A7,$B7,1),BV!$P$2:$P$54,"&lt;" &amp; DATE(IF($B7=12,$A7+1,$A7),IF($B7=12,1,$B7+1),1))</f>
        <v>0</v>
      </c>
      <c r="AH7" s="11">
        <f ca="1">COUNTIFS(BV!$X$2:$X$54,"&gt;=" &amp; DATE($A7,$B7,1),BV!$X$2:$X$54,"&lt;" &amp; DATE(IF($B7=12,$A7+1,$A7),IF($B7=12,1,$B7+1),1))</f>
        <v>0</v>
      </c>
      <c r="AI7" s="11">
        <f ca="1">COUNTIFS(BV!$AF$2:$AF$54,"&gt;=" &amp; DATE($A7,$B7,1),BV!$AF$2:$AF$54,"&lt;" &amp; DATE(IF($B7=12,$A7+1,$A7),IF($B7=12,1,$B7+1),1))</f>
        <v>1</v>
      </c>
      <c r="AJ7" s="11">
        <f ca="1">COUNTIFS(BV!$AN$2:$AN$54,"&gt;=" &amp; DATE($A7,$B7,1),BV!$AN$2:$AN$54,"&lt;" &amp; DATE(IF($B7=12,$A7+1,$A7),IF($B7=12,1,$B7+1),1))</f>
        <v>0</v>
      </c>
      <c r="AK7" s="11">
        <f ca="1">COUNTIFS(BV!$AV$2:$AV$54,"&gt;=" &amp; DATE($A7,$B7,1),BV!$AV$2:$AV$54,"&lt;" &amp; DATE(IF($B7=12,$A7+1,$A7),IF($B7=12,1,$B7+1),1))</f>
        <v>0</v>
      </c>
      <c r="AL7" s="11">
        <f ca="1">COUNTIFS(BV!$BD$2:$BD$54,"&gt;=" &amp; DATE($A7,$B7,1),BV!$BD$2:$BD$54,"&lt;" &amp; DATE(IF($B7=12,$A7+1,$A7),IF($B7=12,1,$B7+1),1))</f>
        <v>0</v>
      </c>
      <c r="AM7" s="11">
        <f ca="1">COUNTIFS(BV!$BL$2:$BL$54,"&gt;=" &amp; DATE($A7,$B7,1),BV!$BL$2:$BL$54,"&lt;" &amp; DATE(IF($B7=12,$A7+1,$A7),IF($B7=12,1,$B7+1),1))</f>
        <v>0</v>
      </c>
      <c r="AN7" s="11">
        <f ca="1">COUNTIFS(BV!$BT$2:$BT$54,"&gt;=" &amp; DATE($A7,$B7,1),BV!$BT$2:$BT$54,"&lt;" &amp; DATE(IF($B7=12,$A7+1,$A7),IF($B7=12,1,$B7+1),1))</f>
        <v>0</v>
      </c>
      <c r="AO7" s="11">
        <f ca="1">COUNTIFS(BV!$CB$2:$CB$54,"&gt;=" &amp; DATE($A7,$B7,1),BV!$CB$2:$CB$54,"&lt;" &amp; DATE(IF($B7=12,$A7+1,$A7),IF($B7=12,1,$B7+1),1))</f>
        <v>0</v>
      </c>
      <c r="AP7" s="35">
        <f t="shared" ca="1" si="44"/>
        <v>2.5</v>
      </c>
      <c r="AQ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R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S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T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U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V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W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X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AY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1</v>
      </c>
      <c r="AZ7" s="506">
        <f ca="1">COUNTIFS(OFFSET(Time!$J$2,(COLUMN()-43)*20,,20,),"&gt;=" &amp; DATE($A7,$B7,1),OFFSET(Time!$J$2,(COLUMN()-43)*20,,20,),"&lt;" &amp; DATE(IF($B7=12,$A7+1,$A7),IF($B7=12,1,$B7+1),1))+COUNTIFS(OFFSET(Bvs!$J$2,(COLUMN()-43)*20,,20,),"&gt;=" &amp; DATE($A7,$B7,1),OFFSET(Bvs!$J$2,(COLUMN()-43)*20,,20,),"&lt;" &amp; DATE(IF($B7=12,$A7+1,$A7),IF($B7=12,1,$B7+1),1))+COUNTIFS(OFFSET(QG!$J$2,(COLUMN()-43)*20,,20,),"&gt;=" &amp; DATE($A7,$B7,1),OFFSET(QG!$J$2,(COLUMN()-43)*20,,20,),"&lt;" &amp; DATE(IF($B7=12,$A7+1,$A7),IF($B7=12,1,$B7+1),1))</f>
        <v>0</v>
      </c>
      <c r="BA7" s="35">
        <f t="shared" ca="1" si="45"/>
        <v>1.1111111111111112</v>
      </c>
      <c r="BB7" s="35">
        <f t="shared" ca="1" si="46"/>
        <v>3.6111111111111112</v>
      </c>
      <c r="BC7" s="12">
        <f t="shared" ca="1" si="47"/>
        <v>0.20061728395061729</v>
      </c>
      <c r="BD7" s="12">
        <f t="shared" ca="1" si="48"/>
        <v>0.40123456790123457</v>
      </c>
    </row>
    <row r="8" spans="1:56" x14ac:dyDescent="0.25">
      <c r="A8" s="31">
        <f t="shared" ref="A8:A10" si="77">IF(B9=1,A9-1,A9)</f>
        <v>2020</v>
      </c>
      <c r="B8" s="31">
        <f t="shared" si="1"/>
        <v>8</v>
      </c>
      <c r="C8" s="32" t="s">
        <v>41</v>
      </c>
      <c r="D8" s="1">
        <f ca="1">COUNTIFS(OFFSET(Arb!$B$2,,,Arb!$AJ$36,),$B8,OFFSET(Arb!$C$2,,,Arb!$AJ$36,),$A8,OFFSET(Arb!$AI$2,,,Arb!$AJ$36,),TRUE)</f>
        <v>27</v>
      </c>
      <c r="E8" s="1">
        <f ca="1">SUMIFS(OFFSET(Arb!$I$2,,,Arb!$AJ$36,),OFFSET(Arb!$B$2,,,Arb!$AJ$36,),$B8,OFFSET(Arb!$C$2,,,Arb!$AJ$36,),$A8,OFFSET(Arb!$AI$2,,,Arb!$AJ$36,),TRUE)</f>
        <v>477</v>
      </c>
      <c r="F8" s="1">
        <f ca="1">SUMIFS(OFFSET(Arb!$H$2,,,Arb!$AJ$36,),OFFSET(Arb!$B$2,,,Arb!$AJ$36,),$B8,OFFSET(Arb!$C$2,,,Arb!$AJ$36,),$A8,OFFSET(Arb!$AI$2,,,Arb!$AJ$36,),TRUE)</f>
        <v>148.6</v>
      </c>
      <c r="G8" s="1">
        <f ca="1">SUMIFS(OFFSET(Arb!$AC$2,,,Arb!$AJ$36,),OFFSET(Arb!$B$2,,,Arb!$AJ$36,),$B8,OFFSET(Arb!$C$2,,,Arb!$AJ$36,),$A8,OFFSET(Arb!$AI$2,,,Arb!$AJ$36,),TRUE)</f>
        <v>22519</v>
      </c>
      <c r="H8" s="1">
        <f ca="1">SUMIFS(OFFSET(Arb!$U$2,,,Arb!$AJ$36,),OFFSET(Arb!$B$2,,,Arb!$AJ$36,),$B8,OFFSET(Arb!$C$2,,,Arb!$AJ$36,),$A8,OFFSET(Arb!$AI$2,,,Arb!$AJ$36,),TRUE)</f>
        <v>695</v>
      </c>
      <c r="I8" s="1">
        <f ca="1">SUMIFS(OFFSET(Arb!$V$2,,,Arb!$AJ$36,),OFFSET(Arb!$B$2,,,Arb!$AJ$36,),$B8,OFFSET(Arb!$C$2,,,Arb!$AJ$36,),$A8,OFFSET(Arb!$AI$2,,,Arb!$AJ$36,),TRUE)</f>
        <v>0</v>
      </c>
      <c r="J8" s="1">
        <f ca="1">SUMIFS(OFFSET(Arb!$X$2,,,Arb!$AJ$36,),OFFSET(Arb!$B$2,,,Arb!$AJ$36,),$B8,OFFSET(Arb!$C$2,,,Arb!$AJ$36,),$A8,OFFSET(Arb!$AI$2,,,Arb!$AJ$36,),TRUE)</f>
        <v>597</v>
      </c>
      <c r="K8" s="1">
        <f ca="1">SUMIFS(OFFSET(Arb!$AA$2,,,Arb!$AJ$36,),OFFSET(Arb!$B$2,,,Arb!$AJ$36,),$B8,OFFSET(Arb!$C$2,,,Arb!$AJ$36,),$A8,OFFSET(Arb!$AI$2,,,Arb!$AJ$36,),TRUE)</f>
        <v>70</v>
      </c>
      <c r="L8" s="1">
        <f ca="1">SUMIFS(OFFSET(Arb!$AB$2,,,Arb!$AJ$36,),OFFSET(Arb!$B$2,,,Arb!$AJ$36,),$B8,OFFSET(Arb!$C$2,,,Arb!$AJ$36,),$A8,OFFSET(Arb!$AI$2,,,Arb!$AJ$36,),TRUE)</f>
        <v>85</v>
      </c>
      <c r="M8" s="11">
        <f t="shared" ca="1" si="26"/>
        <v>695</v>
      </c>
      <c r="N8" s="21">
        <f t="shared" ca="1" si="27"/>
        <v>17.666666666666668</v>
      </c>
      <c r="O8" s="12">
        <f t="shared" ca="1" si="28"/>
        <v>5.5037037037037031</v>
      </c>
      <c r="P8" s="33">
        <f t="shared" ref="P8:P34" ca="1" si="78">IFERROR(N8/O8,"")</f>
        <v>3.2099596231493948</v>
      </c>
      <c r="Q8" s="20">
        <f t="shared" ca="1" si="30"/>
        <v>4.0174966352624493</v>
      </c>
      <c r="R8" s="33">
        <f t="shared" ca="1" si="31"/>
        <v>4.6769851951547778</v>
      </c>
      <c r="S8" s="33">
        <f t="shared" ref="S8:S34" ca="1" si="79">IFERROR(O8^1.7/N8,"")</f>
        <v>1.0279191620376549</v>
      </c>
      <c r="T8" s="34">
        <f t="shared" ca="1" si="33"/>
        <v>46.014318777985125</v>
      </c>
      <c r="U8" s="12">
        <f t="shared" ca="1" si="34"/>
        <v>2.5925925925925926</v>
      </c>
      <c r="V8" s="12">
        <f t="shared" ca="1" si="35"/>
        <v>3.1481481481481484</v>
      </c>
      <c r="W8" s="33">
        <f t="shared" ref="W8:W34" ca="1" si="80">IFERROR(Q8/R8,"")</f>
        <v>0.85899280575539561</v>
      </c>
      <c r="X8" s="33">
        <f t="shared" ref="X8:X34" ca="1" si="81">IFERROR(P8/Q8,"")</f>
        <v>0.79899497487437199</v>
      </c>
      <c r="Y8" s="33">
        <f t="shared" ca="1" si="38"/>
        <v>0.68633093525179856</v>
      </c>
      <c r="Z8" s="17">
        <f t="shared" ca="1" si="39"/>
        <v>52.127314814814817</v>
      </c>
      <c r="AA8" s="34">
        <f t="shared" ref="AA8:AA34" ca="1" si="82">IFERROR(Z8/O8,"")</f>
        <v>9.4713156123822362</v>
      </c>
      <c r="AB8" s="33">
        <f t="shared" ref="AB8:AB34" ca="1" si="83">IFERROR(N8/Z8,"")</f>
        <v>0.33891380611927707</v>
      </c>
      <c r="AC8" s="21">
        <f t="shared" ca="1" si="42"/>
        <v>38.05097860425434</v>
      </c>
      <c r="AD8" s="468">
        <f ca="1">INDEX(OFFSET(Arb!AK$36,,B8,23,),MATCH(A8,OFFSET(Arb!AK$36,,,23,),0))</f>
        <v>21</v>
      </c>
      <c r="AE8" s="12">
        <f t="shared" ca="1" si="43"/>
        <v>1.2857142857142858</v>
      </c>
      <c r="AF8" s="11">
        <f ca="1">COUNTIFS(BV!$H$2:$H$54,"&gt;=" &amp; DATE($A8,$B8,1),BV!$H$2:$H$54,"&lt;" &amp; DATE(IF($B8=12,$A8+1,$A8),IF($B8=12,1,$B8+1),1))</f>
        <v>1</v>
      </c>
      <c r="AG8" s="11">
        <f ca="1">COUNTIFS(BV!$P$2:$P$54,"&gt;=" &amp; DATE($A8,$B8,1),BV!$P$2:$P$54,"&lt;" &amp; DATE(IF($B8=12,$A8+1,$A8),IF($B8=12,1,$B8+1),1))</f>
        <v>1</v>
      </c>
      <c r="AH8" s="11">
        <f ca="1">COUNTIFS(BV!$X$2:$X$54,"&gt;=" &amp; DATE($A8,$B8,1),BV!$X$2:$X$54,"&lt;" &amp; DATE(IF($B8=12,$A8+1,$A8),IF($B8=12,1,$B8+1),1))</f>
        <v>2</v>
      </c>
      <c r="AI8" s="11">
        <f ca="1">COUNTIFS(BV!$AF$2:$AF$54,"&gt;=" &amp; DATE($A8,$B8,1),BV!$AF$2:$AF$54,"&lt;" &amp; DATE(IF($B8=12,$A8+1,$A8),IF($B8=12,1,$B8+1),1))</f>
        <v>0</v>
      </c>
      <c r="AJ8" s="11">
        <f ca="1">COUNTIFS(BV!$AN$2:$AN$54,"&gt;=" &amp; DATE($A8,$B8,1),BV!$AN$2:$AN$54,"&lt;" &amp; DATE(IF($B8=12,$A8+1,$A8),IF($B8=12,1,$B8+1),1))</f>
        <v>2</v>
      </c>
      <c r="AK8" s="11">
        <f ca="1">COUNTIFS(BV!$AV$2:$AV$54,"&gt;=" &amp; DATE($A8,$B8,1),BV!$AV$2:$AV$54,"&lt;" &amp; DATE(IF($B8=12,$A8+1,$A8),IF($B8=12,1,$B8+1),1))</f>
        <v>0</v>
      </c>
      <c r="AL8" s="11">
        <f ca="1">COUNTIFS(BV!$BD$2:$BD$54,"&gt;=" &amp; DATE($A8,$B8,1),BV!$BD$2:$BD$54,"&lt;" &amp; DATE(IF($B8=12,$A8+1,$A8),IF($B8=12,1,$B8+1),1))</f>
        <v>0</v>
      </c>
      <c r="AM8" s="11">
        <f ca="1">COUNTIFS(BV!$BL$2:$BL$54,"&gt;=" &amp; DATE($A8,$B8,1),BV!$BL$2:$BL$54,"&lt;" &amp; DATE(IF($B8=12,$A8+1,$A8),IF($B8=12,1,$B8+1),1))</f>
        <v>1</v>
      </c>
      <c r="AN8" s="11">
        <f ca="1">COUNTIFS(BV!$BT$2:$BT$54,"&gt;=" &amp; DATE($A8,$B8,1),BV!$BT$2:$BT$54,"&lt;" &amp; DATE(IF($B8=12,$A8+1,$A8),IF($B8=12,1,$B8+1),1))</f>
        <v>2</v>
      </c>
      <c r="AO8" s="11">
        <f ca="1">COUNTIFS(BV!$CB$2:$CB$54,"&gt;=" &amp; DATE($A8,$B8,1),BV!$CB$2:$CB$54,"&lt;" &amp; DATE(IF($B8=12,$A8+1,$A8),IF($B8=12,1,$B8+1),1))</f>
        <v>1</v>
      </c>
      <c r="AP8" s="35">
        <f t="shared" ca="1" si="44"/>
        <v>30.138888888888889</v>
      </c>
      <c r="AQ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1</v>
      </c>
      <c r="AR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4</v>
      </c>
      <c r="AS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1</v>
      </c>
      <c r="AT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1</v>
      </c>
      <c r="AU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1</v>
      </c>
      <c r="AV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2</v>
      </c>
      <c r="AW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4</v>
      </c>
      <c r="AX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1</v>
      </c>
      <c r="AY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0</v>
      </c>
      <c r="AZ8" s="506">
        <f ca="1">COUNTIFS(OFFSET(Time!$J$2,(COLUMN()-43)*20,,20,),"&gt;=" &amp; DATE($A8,$B8,1),OFFSET(Time!$J$2,(COLUMN()-43)*20,,20,),"&lt;" &amp; DATE(IF($B8=12,$A8+1,$A8),IF($B8=12,1,$B8+1),1))+COUNTIFS(OFFSET(Bvs!$J$2,(COLUMN()-43)*20,,20,),"&gt;=" &amp; DATE($A8,$B8,1),OFFSET(Bvs!$J$2,(COLUMN()-43)*20,,20,),"&lt;" &amp; DATE(IF($B8=12,$A8+1,$A8),IF($B8=12,1,$B8+1),1))+COUNTIFS(OFFSET(QG!$J$2,(COLUMN()-43)*20,,20,),"&gt;=" &amp; DATE($A8,$B8,1),OFFSET(QG!$J$2,(COLUMN()-43)*20,,20,),"&lt;" &amp; DATE(IF($B8=12,$A8+1,$A8),IF($B8=12,1,$B8+1),1))</f>
        <v>4</v>
      </c>
      <c r="BA8" s="35">
        <f t="shared" ca="1" si="45"/>
        <v>52.130952380952387</v>
      </c>
      <c r="BB8" s="35">
        <f t="shared" ca="1" si="46"/>
        <v>82.26984126984128</v>
      </c>
      <c r="BC8" s="12">
        <f t="shared" ca="1" si="47"/>
        <v>3.9176114890400608</v>
      </c>
      <c r="BD8" s="12">
        <f t="shared" ca="1" si="48"/>
        <v>3.0470311581422691</v>
      </c>
    </row>
    <row r="9" spans="1:56" x14ac:dyDescent="0.25">
      <c r="A9" s="31">
        <f t="shared" si="77"/>
        <v>2020</v>
      </c>
      <c r="B9" s="31">
        <f t="shared" si="1"/>
        <v>9</v>
      </c>
      <c r="C9" s="32" t="s">
        <v>41</v>
      </c>
      <c r="D9" s="1">
        <f ca="1">COUNTIFS(OFFSET(Arb!$B$2,,,Arb!$AJ$36,),$B9,OFFSET(Arb!$C$2,,,Arb!$AJ$36,),$A9,OFFSET(Arb!$AI$2,,,Arb!$AJ$36,),TRUE)</f>
        <v>68</v>
      </c>
      <c r="E9" s="1">
        <f ca="1">SUMIFS(OFFSET(Arb!$I$2,,,Arb!$AJ$36,),OFFSET(Arb!$B$2,,,Arb!$AJ$36,),$B9,OFFSET(Arb!$C$2,,,Arb!$AJ$36,),$A9,OFFSET(Arb!$AI$2,,,Arb!$AJ$36,),TRUE)</f>
        <v>1056</v>
      </c>
      <c r="F9" s="1">
        <f ca="1">SUMIFS(OFFSET(Arb!$H$2,,,Arb!$AJ$36,),OFFSET(Arb!$B$2,,,Arb!$AJ$36,),$B9,OFFSET(Arb!$C$2,,,Arb!$AJ$36,),$A9,OFFSET(Arb!$AI$2,,,Arb!$AJ$36,),TRUE)</f>
        <v>356.0899999999998</v>
      </c>
      <c r="G9" s="1">
        <f ca="1">SUMIFS(OFFSET(Arb!$AC$2,,,Arb!$AJ$36,),OFFSET(Arb!$B$2,,,Arb!$AJ$36,),$B9,OFFSET(Arb!$C$2,,,Arb!$AJ$36,),$A9,OFFSET(Arb!$AI$2,,,Arb!$AJ$36,),TRUE)</f>
        <v>55946</v>
      </c>
      <c r="H9" s="1">
        <f ca="1">SUMIFS(OFFSET(Arb!$U$2,,,Arb!$AJ$36,),OFFSET(Arb!$B$2,,,Arb!$AJ$36,),$B9,OFFSET(Arb!$C$2,,,Arb!$AJ$36,),$A9,OFFSET(Arb!$AI$2,,,Arb!$AJ$36,),TRUE)</f>
        <v>1209</v>
      </c>
      <c r="I9" s="1">
        <f ca="1">SUMIFS(OFFSET(Arb!$V$2,,,Arb!$AJ$36,),OFFSET(Arb!$B$2,,,Arb!$AJ$36,),$B9,OFFSET(Arb!$C$2,,,Arb!$AJ$36,),$A9,OFFSET(Arb!$AI$2,,,Arb!$AJ$36,),TRUE)</f>
        <v>369</v>
      </c>
      <c r="J9" s="1">
        <f ca="1">SUMIFS(OFFSET(Arb!$X$2,,,Arb!$AJ$36,),OFFSET(Arb!$B$2,,,Arb!$AJ$36,),$B9,OFFSET(Arb!$C$2,,,Arb!$AJ$36,),$A9,OFFSET(Arb!$AI$2,,,Arb!$AJ$36,),TRUE)</f>
        <v>1337</v>
      </c>
      <c r="K9" s="1">
        <f ca="1">SUMIFS(OFFSET(Arb!$AA$2,,,Arb!$AJ$36,),OFFSET(Arb!$B$2,,,Arb!$AJ$36,),$B9,OFFSET(Arb!$C$2,,,Arb!$AJ$36,),$A9,OFFSET(Arb!$AI$2,,,Arb!$AJ$36,),TRUE)</f>
        <v>176</v>
      </c>
      <c r="L9" s="1">
        <f ca="1">SUMIFS(OFFSET(Arb!$AB$2,,,Arb!$AJ$36,),OFFSET(Arb!$B$2,,,Arb!$AJ$36,),$B9,OFFSET(Arb!$C$2,,,Arb!$AJ$36,),$A9,OFFSET(Arb!$AI$2,,,Arb!$AJ$36,),TRUE)</f>
        <v>215</v>
      </c>
      <c r="M9" s="11">
        <f t="shared" ca="1" si="26"/>
        <v>1578</v>
      </c>
      <c r="N9" s="21">
        <f t="shared" ca="1" si="27"/>
        <v>15.529411764705882</v>
      </c>
      <c r="O9" s="12">
        <f t="shared" ca="1" si="28"/>
        <v>5.2366176470588206</v>
      </c>
      <c r="P9" s="33">
        <f t="shared" ca="1" si="78"/>
        <v>2.9655424190513648</v>
      </c>
      <c r="Q9" s="20">
        <f t="shared" ca="1" si="30"/>
        <v>3.7546687635148439</v>
      </c>
      <c r="R9" s="33">
        <f t="shared" ca="1" si="31"/>
        <v>4.4314639557415285</v>
      </c>
      <c r="S9" s="33">
        <f t="shared" ca="1" si="79"/>
        <v>1.0745619665073241</v>
      </c>
      <c r="T9" s="34">
        <f t="shared" ca="1" si="33"/>
        <v>44.017005509451572</v>
      </c>
      <c r="U9" s="12">
        <f t="shared" ca="1" si="34"/>
        <v>2.5882352941176472</v>
      </c>
      <c r="V9" s="12">
        <f t="shared" ca="1" si="35"/>
        <v>3.1617647058823528</v>
      </c>
      <c r="W9" s="33">
        <f t="shared" ca="1" si="80"/>
        <v>0.84727503168567808</v>
      </c>
      <c r="X9" s="33">
        <f t="shared" ca="1" si="81"/>
        <v>0.78982797307404629</v>
      </c>
      <c r="Y9" s="33">
        <f t="shared" ca="1" si="38"/>
        <v>0.66920152091254748</v>
      </c>
      <c r="Z9" s="17">
        <f t="shared" ca="1" si="39"/>
        <v>51.420955882352942</v>
      </c>
      <c r="AA9" s="34">
        <f t="shared" ca="1" si="82"/>
        <v>9.8194978797495072</v>
      </c>
      <c r="AB9" s="33">
        <f t="shared" ca="1" si="83"/>
        <v>0.30200550530869053</v>
      </c>
      <c r="AC9" s="21">
        <f t="shared" ca="1" si="42"/>
        <v>36.86896196249571</v>
      </c>
      <c r="AD9" s="468">
        <f ca="1">INDEX(OFFSET(Arb!AK$36,,B9,23,),MATCH(A9,OFFSET(Arb!AK$36,,,23,),0))</f>
        <v>16</v>
      </c>
      <c r="AE9" s="12">
        <f t="shared" ca="1" si="43"/>
        <v>4.25</v>
      </c>
      <c r="AF9" s="11">
        <f ca="1">COUNTIFS(BV!$H$2:$H$54,"&gt;=" &amp; DATE($A9,$B9,1),BV!$H$2:$H$54,"&lt;" &amp; DATE(IF($B9=12,$A9+1,$A9),IF($B9=12,1,$B9+1),1))</f>
        <v>6</v>
      </c>
      <c r="AG9" s="11">
        <f ca="1">COUNTIFS(BV!$P$2:$P$54,"&gt;=" &amp; DATE($A9,$B9,1),BV!$P$2:$P$54,"&lt;" &amp; DATE(IF($B9=12,$A9+1,$A9),IF($B9=12,1,$B9+1),1))</f>
        <v>1</v>
      </c>
      <c r="AH9" s="11">
        <f ca="1">COUNTIFS(BV!$X$2:$X$54,"&gt;=" &amp; DATE($A9,$B9,1),BV!$X$2:$X$54,"&lt;" &amp; DATE(IF($B9=12,$A9+1,$A9),IF($B9=12,1,$B9+1),1))</f>
        <v>1</v>
      </c>
      <c r="AI9" s="11">
        <f ca="1">COUNTIFS(BV!$AF$2:$AF$54,"&gt;=" &amp; DATE($A9,$B9,1),BV!$AF$2:$AF$54,"&lt;" &amp; DATE(IF($B9=12,$A9+1,$A9),IF($B9=12,1,$B9+1),1))</f>
        <v>1</v>
      </c>
      <c r="AJ9" s="11">
        <f ca="1">COUNTIFS(BV!$AN$2:$AN$54,"&gt;=" &amp; DATE($A9,$B9,1),BV!$AN$2:$AN$54,"&lt;" &amp; DATE(IF($B9=12,$A9+1,$A9),IF($B9=12,1,$B9+1),1))</f>
        <v>4</v>
      </c>
      <c r="AK9" s="11">
        <f ca="1">COUNTIFS(BV!$AV$2:$AV$54,"&gt;=" &amp; DATE($A9,$B9,1),BV!$AV$2:$AV$54,"&lt;" &amp; DATE(IF($B9=12,$A9+1,$A9),IF($B9=12,1,$B9+1),1))</f>
        <v>1</v>
      </c>
      <c r="AL9" s="11">
        <f ca="1">COUNTIFS(BV!$BD$2:$BD$54,"&gt;=" &amp; DATE($A9,$B9,1),BV!$BD$2:$BD$54,"&lt;" &amp; DATE(IF($B9=12,$A9+1,$A9),IF($B9=12,1,$B9+1),1))</f>
        <v>0</v>
      </c>
      <c r="AM9" s="11">
        <f ca="1">COUNTIFS(BV!$BL$2:$BL$54,"&gt;=" &amp; DATE($A9,$B9,1),BV!$BL$2:$BL$54,"&lt;" &amp; DATE(IF($B9=12,$A9+1,$A9),IF($B9=12,1,$B9+1),1))</f>
        <v>1</v>
      </c>
      <c r="AN9" s="11">
        <f ca="1">COUNTIFS(BV!$BT$2:$BT$54,"&gt;=" &amp; DATE($A9,$B9,1),BV!$BT$2:$BT$54,"&lt;" &amp; DATE(IF($B9=12,$A9+1,$A9),IF($B9=12,1,$B9+1),1))</f>
        <v>1</v>
      </c>
      <c r="AO9" s="11">
        <f ca="1">COUNTIFS(BV!$CB$2:$CB$54,"&gt;=" &amp; DATE($A9,$B9,1),BV!$CB$2:$CB$54,"&lt;" &amp; DATE(IF($B9=12,$A9+1,$A9),IF($B9=12,1,$B9+1),1))</f>
        <v>2</v>
      </c>
      <c r="AP9" s="35">
        <f t="shared" ca="1" si="44"/>
        <v>84.861111111111086</v>
      </c>
      <c r="AQ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9</v>
      </c>
      <c r="AR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AS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AT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2</v>
      </c>
      <c r="AU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AV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AW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AX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AY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3</v>
      </c>
      <c r="AZ9" s="506">
        <f ca="1">COUNTIFS(OFFSET(Time!$J$2,(COLUMN()-43)*20,,20,),"&gt;=" &amp; DATE($A9,$B9,1),OFFSET(Time!$J$2,(COLUMN()-43)*20,,20,),"&lt;" &amp; DATE(IF($B9=12,$A9+1,$A9),IF($B9=12,1,$B9+1),1))+COUNTIFS(OFFSET(Bvs!$J$2,(COLUMN()-43)*20,,20,),"&gt;=" &amp; DATE($A9,$B9,1),OFFSET(Bvs!$J$2,(COLUMN()-43)*20,,20,),"&lt;" &amp; DATE(IF($B9=12,$A9+1,$A9),IF($B9=12,1,$B9+1),1))+COUNTIFS(OFFSET(QG!$J$2,(COLUMN()-43)*20,,20,),"&gt;=" &amp; DATE($A9,$B9,1),OFFSET(QG!$J$2,(COLUMN()-43)*20,,20,),"&lt;" &amp; DATE(IF($B9=12,$A9+1,$A9),IF($B9=12,1,$B9+1),1))</f>
        <v>4</v>
      </c>
      <c r="BA9" s="35">
        <f t="shared" ca="1" si="45"/>
        <v>161.04761904761904</v>
      </c>
      <c r="BB9" s="35">
        <f t="shared" ca="1" si="46"/>
        <v>245.90873015873012</v>
      </c>
      <c r="BC9" s="12">
        <f t="shared" ca="1" si="47"/>
        <v>15.369295634920633</v>
      </c>
      <c r="BD9" s="12">
        <f t="shared" ca="1" si="48"/>
        <v>3.6163048552754429</v>
      </c>
    </row>
    <row r="10" spans="1:56" x14ac:dyDescent="0.25">
      <c r="A10" s="31">
        <f t="shared" si="77"/>
        <v>2020</v>
      </c>
      <c r="B10" s="31">
        <f t="shared" si="1"/>
        <v>10</v>
      </c>
      <c r="C10" s="32" t="s">
        <v>41</v>
      </c>
      <c r="D10" s="1">
        <f ca="1">COUNTIFS(OFFSET(Arb!$B$2,,,Arb!$AJ$36,),$B10,OFFSET(Arb!$C$2,,,Arb!$AJ$36,),$A10,OFFSET(Arb!$AI$2,,,Arb!$AJ$36,),TRUE)</f>
        <v>88</v>
      </c>
      <c r="E10" s="1">
        <f ca="1">SUMIFS(OFFSET(Arb!$I$2,,,Arb!$AJ$36,),OFFSET(Arb!$B$2,,,Arb!$AJ$36,),$B10,OFFSET(Arb!$C$2,,,Arb!$AJ$36,),$A10,OFFSET(Arb!$AI$2,,,Arb!$AJ$36,),TRUE)</f>
        <v>1488</v>
      </c>
      <c r="F10" s="1">
        <f ca="1">SUMIFS(OFFSET(Arb!$H$2,,,Arb!$AJ$36,),OFFSET(Arb!$B$2,,,Arb!$AJ$36,),$B10,OFFSET(Arb!$C$2,,,Arb!$AJ$36,),$A10,OFFSET(Arb!$AI$2,,,Arb!$AJ$36,),TRUE)</f>
        <v>536.61</v>
      </c>
      <c r="G10" s="1">
        <f ca="1">SUMIFS(OFFSET(Arb!$AC$2,,,Arb!$AJ$36,),OFFSET(Arb!$B$2,,,Arb!$AJ$36,),$B10,OFFSET(Arb!$C$2,,,Arb!$AJ$36,),$A10,OFFSET(Arb!$AI$2,,,Arb!$AJ$36,),TRUE)</f>
        <v>72320</v>
      </c>
      <c r="H10" s="1">
        <f ca="1">SUMIFS(OFFSET(Arb!$U$2,,,Arb!$AJ$36,),OFFSET(Arb!$B$2,,,Arb!$AJ$36,),$B10,OFFSET(Arb!$C$2,,,Arb!$AJ$36,),$A10,OFFSET(Arb!$AI$2,,,Arb!$AJ$36,),TRUE)</f>
        <v>675</v>
      </c>
      <c r="I10" s="1">
        <f ca="1">SUMIFS(OFFSET(Arb!$V$2,,,Arb!$AJ$36,),OFFSET(Arb!$B$2,,,Arb!$AJ$36,),$B10,OFFSET(Arb!$C$2,,,Arb!$AJ$36,),$A10,OFFSET(Arb!$AI$2,,,Arb!$AJ$36,),TRUE)</f>
        <v>1518</v>
      </c>
      <c r="J10" s="1">
        <f ca="1">SUMIFS(OFFSET(Arb!$X$2,,,Arb!$AJ$36,),OFFSET(Arb!$B$2,,,Arb!$AJ$36,),$B10,OFFSET(Arb!$C$2,,,Arb!$AJ$36,),$A10,OFFSET(Arb!$AI$2,,,Arb!$AJ$36,),TRUE)</f>
        <v>1829</v>
      </c>
      <c r="K10" s="1">
        <f ca="1">SUMIFS(OFFSET(Arb!$AA$2,,,Arb!$AJ$36,),OFFSET(Arb!$B$2,,,Arb!$AJ$36,),$B10,OFFSET(Arb!$C$2,,,Arb!$AJ$36,),$A10,OFFSET(Arb!$AI$2,,,Arb!$AJ$36,),TRUE)</f>
        <v>240</v>
      </c>
      <c r="L10" s="1">
        <f ca="1">SUMIFS(OFFSET(Arb!$AB$2,,,Arb!$AJ$36,),OFFSET(Arb!$B$2,,,Arb!$AJ$36,),$B10,OFFSET(Arb!$C$2,,,Arb!$AJ$36,),$A10,OFFSET(Arb!$AI$2,,,Arb!$AJ$36,),TRUE)</f>
        <v>264</v>
      </c>
      <c r="M10" s="11">
        <f t="shared" ca="1" si="26"/>
        <v>2193</v>
      </c>
      <c r="N10" s="21">
        <f t="shared" ca="1" si="27"/>
        <v>16.90909090909091</v>
      </c>
      <c r="O10" s="12">
        <f t="shared" ca="1" si="28"/>
        <v>6.0978409090909089</v>
      </c>
      <c r="P10" s="33">
        <f t="shared" ca="1" si="78"/>
        <v>2.7729636048526864</v>
      </c>
      <c r="Q10" s="20">
        <f t="shared" ca="1" si="30"/>
        <v>3.4084344309647601</v>
      </c>
      <c r="R10" s="33">
        <f t="shared" ca="1" si="31"/>
        <v>4.0867669257002293</v>
      </c>
      <c r="S10" s="33">
        <f t="shared" ca="1" si="79"/>
        <v>1.2784362990046538</v>
      </c>
      <c r="T10" s="34">
        <f t="shared" ca="1" si="33"/>
        <v>36.997541478465031</v>
      </c>
      <c r="U10" s="12">
        <f t="shared" ca="1" si="34"/>
        <v>2.7272727272727271</v>
      </c>
      <c r="V10" s="12">
        <f t="shared" ca="1" si="35"/>
        <v>3</v>
      </c>
      <c r="W10" s="33">
        <f t="shared" ca="1" si="80"/>
        <v>0.83401732786137706</v>
      </c>
      <c r="X10" s="33">
        <f t="shared" ca="1" si="81"/>
        <v>0.81355932203389836</v>
      </c>
      <c r="Y10" s="33">
        <f t="shared" ca="1" si="38"/>
        <v>0.67852257181942544</v>
      </c>
      <c r="Z10" s="17">
        <f t="shared" ca="1" si="39"/>
        <v>51.363636363636367</v>
      </c>
      <c r="AA10" s="34">
        <f t="shared" ca="1" si="82"/>
        <v>8.4232496599019786</v>
      </c>
      <c r="AB10" s="33">
        <f t="shared" ca="1" si="83"/>
        <v>0.32920353982300887</v>
      </c>
      <c r="AC10" s="21">
        <f t="shared" ca="1" si="42"/>
        <v>28.710094161422109</v>
      </c>
      <c r="AD10" s="468">
        <f ca="1">INDEX(OFFSET(Arb!AK$36,,B10,23,),MATCH(A10,OFFSET(Arb!AK$36,,,23,),0))</f>
        <v>12</v>
      </c>
      <c r="AE10" s="12">
        <f t="shared" ca="1" si="43"/>
        <v>7.333333333333333</v>
      </c>
      <c r="AF10" s="11">
        <f ca="1">COUNTIFS(BV!$H$2:$H$54,"&gt;=" &amp; DATE($A10,$B10,1),BV!$H$2:$H$54,"&lt;" &amp; DATE(IF($B10=12,$A10+1,$A10),IF($B10=12,1,$B10+1),1))</f>
        <v>0</v>
      </c>
      <c r="AG10" s="11">
        <f ca="1">COUNTIFS(BV!$P$2:$P$54,"&gt;=" &amp; DATE($A10,$B10,1),BV!$P$2:$P$54,"&lt;" &amp; DATE(IF($B10=12,$A10+1,$A10),IF($B10=12,1,$B10+1),1))</f>
        <v>7</v>
      </c>
      <c r="AH10" s="11">
        <f ca="1">COUNTIFS(BV!$X$2:$X$54,"&gt;=" &amp; DATE($A10,$B10,1),BV!$X$2:$X$54,"&lt;" &amp; DATE(IF($B10=12,$A10+1,$A10),IF($B10=12,1,$B10+1),1))</f>
        <v>2</v>
      </c>
      <c r="AI10" s="11">
        <f ca="1">COUNTIFS(BV!$AF$2:$AF$54,"&gt;=" &amp; DATE($A10,$B10,1),BV!$AF$2:$AF$54,"&lt;" &amp; DATE(IF($B10=12,$A10+1,$A10),IF($B10=12,1,$B10+1),1))</f>
        <v>1</v>
      </c>
      <c r="AJ10" s="11">
        <f ca="1">COUNTIFS(BV!$AN$2:$AN$54,"&gt;=" &amp; DATE($A10,$B10,1),BV!$AN$2:$AN$54,"&lt;" &amp; DATE(IF($B10=12,$A10+1,$A10),IF($B10=12,1,$B10+1),1))</f>
        <v>0</v>
      </c>
      <c r="AK10" s="11">
        <f ca="1">COUNTIFS(BV!$AV$2:$AV$54,"&gt;=" &amp; DATE($A10,$B10,1),BV!$AV$2:$AV$54,"&lt;" &amp; DATE(IF($B10=12,$A10+1,$A10),IF($B10=12,1,$B10+1),1))</f>
        <v>1</v>
      </c>
      <c r="AL10" s="11">
        <f ca="1">COUNTIFS(BV!$BD$2:$BD$54,"&gt;=" &amp; DATE($A10,$B10,1),BV!$BD$2:$BD$54,"&lt;" &amp; DATE(IF($B10=12,$A10+1,$A10),IF($B10=12,1,$B10+1),1))</f>
        <v>2</v>
      </c>
      <c r="AM10" s="11">
        <f ca="1">COUNTIFS(BV!$BL$2:$BL$54,"&gt;=" &amp; DATE($A10,$B10,1),BV!$BL$2:$BL$54,"&lt;" &amp; DATE(IF($B10=12,$A10+1,$A10),IF($B10=12,1,$B10+1),1))</f>
        <v>0</v>
      </c>
      <c r="AN10" s="11">
        <f ca="1">COUNTIFS(BV!$BT$2:$BT$54,"&gt;=" &amp; DATE($A10,$B10,1),BV!$BT$2:$BT$54,"&lt;" &amp; DATE(IF($B10=12,$A10+1,$A10),IF($B10=12,1,$B10+1),1))</f>
        <v>0</v>
      </c>
      <c r="AO10" s="11">
        <f ca="1">COUNTIFS(BV!$CB$2:$CB$54,"&gt;=" &amp; DATE($A10,$B10,1),BV!$CB$2:$CB$54,"&lt;" &amp; DATE(IF($B10=12,$A10+1,$A10),IF($B10=12,1,$B10+1),1))</f>
        <v>4</v>
      </c>
      <c r="AP10" s="35">
        <f t="shared" ca="1" si="44"/>
        <v>52.690476190476197</v>
      </c>
      <c r="AQ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4</v>
      </c>
      <c r="AR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2</v>
      </c>
      <c r="AS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5</v>
      </c>
      <c r="AT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3</v>
      </c>
      <c r="AU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1</v>
      </c>
      <c r="AV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2</v>
      </c>
      <c r="AW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0</v>
      </c>
      <c r="AX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4</v>
      </c>
      <c r="AY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2</v>
      </c>
      <c r="AZ10" s="506">
        <f ca="1">COUNTIFS(OFFSET(Time!$J$2,(COLUMN()-43)*20,,20,),"&gt;=" &amp; DATE($A10,$B10,1),OFFSET(Time!$J$2,(COLUMN()-43)*20,,20,),"&lt;" &amp; DATE(IF($B10=12,$A10+1,$A10),IF($B10=12,1,$B10+1),1))+COUNTIFS(OFFSET(Bvs!$J$2,(COLUMN()-43)*20,,20,),"&gt;=" &amp; DATE($A10,$B10,1),OFFSET(Bvs!$J$2,(COLUMN()-43)*20,,20,),"&lt;" &amp; DATE(IF($B10=12,$A10+1,$A10),IF($B10=12,1,$B10+1),1))+COUNTIFS(OFFSET(QG!$J$2,(COLUMN()-43)*20,,20,),"&gt;=" &amp; DATE($A10,$B10,1),OFFSET(QG!$J$2,(COLUMN()-43)*20,,20,),"&lt;" &amp; DATE(IF($B10=12,$A10+1,$A10),IF($B10=12,1,$B10+1),1))</f>
        <v>6</v>
      </c>
      <c r="BA10" s="35">
        <f t="shared" ca="1" si="45"/>
        <v>92.7222222222222</v>
      </c>
      <c r="BB10" s="35">
        <f t="shared" ca="1" si="46"/>
        <v>145.4126984126984</v>
      </c>
      <c r="BC10" s="12">
        <f t="shared" ca="1" si="47"/>
        <v>12.117724867724867</v>
      </c>
      <c r="BD10" s="12">
        <f t="shared" ca="1" si="48"/>
        <v>1.6524170274170273</v>
      </c>
    </row>
    <row r="11" spans="1:56" x14ac:dyDescent="0.25">
      <c r="A11" s="31">
        <f>IF(B12=1,A12-1,A12)</f>
        <v>2020</v>
      </c>
      <c r="B11" s="31">
        <f>IF(B12=1,12,B12-1)</f>
        <v>11</v>
      </c>
      <c r="C11" s="32" t="s">
        <v>41</v>
      </c>
      <c r="D11" s="1">
        <f ca="1">COUNTIFS(OFFSET(Arb!$B$2,,,Arb!$AJ$36,),$B11,OFFSET(Arb!$C$2,,,Arb!$AJ$36,),$A11,OFFSET(Arb!$AI$2,,,Arb!$AJ$36,),TRUE)</f>
        <v>2</v>
      </c>
      <c r="E11" s="1">
        <f ca="1">SUMIFS(OFFSET(Arb!$I$2,,,Arb!$AJ$36,),OFFSET(Arb!$B$2,,,Arb!$AJ$36,),$B11,OFFSET(Arb!$C$2,,,Arb!$AJ$36,),$A11,OFFSET(Arb!$AI$2,,,Arb!$AJ$36,),TRUE)</f>
        <v>32</v>
      </c>
      <c r="F11" s="1">
        <f ca="1">SUMIFS(OFFSET(Arb!$H$2,,,Arb!$AJ$36,),OFFSET(Arb!$B$2,,,Arb!$AJ$36,),$B11,OFFSET(Arb!$C$2,,,Arb!$AJ$36,),$A11,OFFSET(Arb!$AI$2,,,Arb!$AJ$36,),TRUE)</f>
        <v>14.08</v>
      </c>
      <c r="G11" s="1">
        <f ca="1">SUMIFS(OFFSET(Arb!$AC$2,,,Arb!$AJ$36,),OFFSET(Arb!$B$2,,,Arb!$AJ$36,),$B11,OFFSET(Arb!$C$2,,,Arb!$AJ$36,),$A11,OFFSET(Arb!$AI$2,,,Arb!$AJ$36,),TRUE)</f>
        <v>1516</v>
      </c>
      <c r="H11" s="1">
        <f ca="1">SUMIFS(OFFSET(Arb!$U$2,,,Arb!$AJ$36,),OFFSET(Arb!$B$2,,,Arb!$AJ$36,),$B11,OFFSET(Arb!$C$2,,,Arb!$AJ$36,),$A11,OFFSET(Arb!$AI$2,,,Arb!$AJ$36,),TRUE)</f>
        <v>0</v>
      </c>
      <c r="I11" s="1">
        <f ca="1">SUMIFS(OFFSET(Arb!$V$2,,,Arb!$AJ$36,),OFFSET(Arb!$B$2,,,Arb!$AJ$36,),$B11,OFFSET(Arb!$C$2,,,Arb!$AJ$36,),$A11,OFFSET(Arb!$AI$2,,,Arb!$AJ$36,),TRUE)</f>
        <v>42</v>
      </c>
      <c r="J11" s="1">
        <f ca="1">SUMIFS(OFFSET(Arb!$X$2,,,Arb!$AJ$36,),OFFSET(Arb!$B$2,,,Arb!$AJ$36,),$B11,OFFSET(Arb!$C$2,,,Arb!$AJ$36,),$A11,OFFSET(Arb!$AI$2,,,Arb!$AJ$36,),TRUE)</f>
        <v>38</v>
      </c>
      <c r="K11" s="1">
        <f ca="1">SUMIFS(OFFSET(Arb!$AA$2,,,Arb!$AJ$36,),OFFSET(Arb!$B$2,,,Arb!$AJ$36,),$B11,OFFSET(Arb!$C$2,,,Arb!$AJ$36,),$A11,OFFSET(Arb!$AI$2,,,Arb!$AJ$36,),TRUE)</f>
        <v>5</v>
      </c>
      <c r="L11" s="1">
        <f ca="1">SUMIFS(OFFSET(Arb!$AB$2,,,Arb!$AJ$36,),OFFSET(Arb!$B$2,,,Arb!$AJ$36,),$B11,OFFSET(Arb!$C$2,,,Arb!$AJ$36,),$A11,OFFSET(Arb!$AI$2,,,Arb!$AJ$36,),TRUE)</f>
        <v>5</v>
      </c>
      <c r="M11" s="11">
        <f t="shared" ca="1" si="26"/>
        <v>42</v>
      </c>
      <c r="N11" s="21">
        <f t="shared" ca="1" si="27"/>
        <v>16</v>
      </c>
      <c r="O11" s="12">
        <f t="shared" ca="1" si="28"/>
        <v>7.04</v>
      </c>
      <c r="P11" s="33">
        <f t="shared" ca="1" si="78"/>
        <v>2.2727272727272729</v>
      </c>
      <c r="Q11" s="20">
        <f t="shared" ca="1" si="30"/>
        <v>2.6988636363636362</v>
      </c>
      <c r="R11" s="33">
        <f t="shared" ca="1" si="31"/>
        <v>2.9829545454545454</v>
      </c>
      <c r="S11" s="33">
        <f t="shared" ca="1" si="79"/>
        <v>1.724858756858842</v>
      </c>
      <c r="T11" s="34">
        <f t="shared" ca="1" si="33"/>
        <v>27.421955456884305</v>
      </c>
      <c r="U11" s="12">
        <f t="shared" ca="1" si="34"/>
        <v>2.5</v>
      </c>
      <c r="V11" s="12">
        <f t="shared" ca="1" si="35"/>
        <v>2.5</v>
      </c>
      <c r="W11" s="33">
        <f t="shared" ca="1" si="80"/>
        <v>0.90476190476190477</v>
      </c>
      <c r="X11" s="33">
        <f t="shared" ca="1" si="81"/>
        <v>0.8421052631578948</v>
      </c>
      <c r="Y11" s="33">
        <f t="shared" ca="1" si="38"/>
        <v>0.76190476190476186</v>
      </c>
      <c r="Z11" s="17">
        <f t="shared" ca="1" si="39"/>
        <v>47.375</v>
      </c>
      <c r="AA11" s="34">
        <f t="shared" ca="1" si="82"/>
        <v>6.7294034090909092</v>
      </c>
      <c r="AB11" s="33">
        <f t="shared" ca="1" si="83"/>
        <v>0.33773087071240104</v>
      </c>
      <c r="AC11" s="21">
        <f t="shared" ca="1" si="42"/>
        <v>18.161742155216942</v>
      </c>
      <c r="AD11" s="468">
        <f ca="1">INDEX(OFFSET(Arb!AK$36,,B11,23,),MATCH(A11,OFFSET(Arb!AK$36,,,23,),0))</f>
        <v>13</v>
      </c>
      <c r="AE11" s="12">
        <f t="shared" ca="1" si="43"/>
        <v>0.15384615384615385</v>
      </c>
      <c r="AF11" s="11">
        <f ca="1">COUNTIFS(BV!$H$2:$H$54,"&gt;=" &amp; DATE($A11,$B11,1),BV!$H$2:$H$54,"&lt;" &amp; DATE(IF($B11=12,$A11+1,$A11),IF($B11=12,1,$B11+1),1))</f>
        <v>0</v>
      </c>
      <c r="AG11" s="11">
        <f ca="1">COUNTIFS(BV!$P$2:$P$54,"&gt;=" &amp; DATE($A11,$B11,1),BV!$P$2:$P$54,"&lt;" &amp; DATE(IF($B11=12,$A11+1,$A11),IF($B11=12,1,$B11+1),1))</f>
        <v>0</v>
      </c>
      <c r="AH11" s="11">
        <f ca="1">COUNTIFS(BV!$X$2:$X$54,"&gt;=" &amp; DATE($A11,$B11,1),BV!$X$2:$X$54,"&lt;" &amp; DATE(IF($B11=12,$A11+1,$A11),IF($B11=12,1,$B11+1),1))</f>
        <v>0</v>
      </c>
      <c r="AI11" s="11">
        <f ca="1">COUNTIFS(BV!$AF$2:$AF$54,"&gt;=" &amp; DATE($A11,$B11,1),BV!$AF$2:$AF$54,"&lt;" &amp; DATE(IF($B11=12,$A11+1,$A11),IF($B11=12,1,$B11+1),1))</f>
        <v>0</v>
      </c>
      <c r="AJ11" s="11">
        <f ca="1">COUNTIFS(BV!$AN$2:$AN$54,"&gt;=" &amp; DATE($A11,$B11,1),BV!$AN$2:$AN$54,"&lt;" &amp; DATE(IF($B11=12,$A11+1,$A11),IF($B11=12,1,$B11+1),1))</f>
        <v>0</v>
      </c>
      <c r="AK11" s="11">
        <f ca="1">COUNTIFS(BV!$AV$2:$AV$54,"&gt;=" &amp; DATE($A11,$B11,1),BV!$AV$2:$AV$54,"&lt;" &amp; DATE(IF($B11=12,$A11+1,$A11),IF($B11=12,1,$B11+1),1))</f>
        <v>0</v>
      </c>
      <c r="AL11" s="11">
        <f ca="1">COUNTIFS(BV!$BD$2:$BD$54,"&gt;=" &amp; DATE($A11,$B11,1),BV!$BD$2:$BD$54,"&lt;" &amp; DATE(IF($B11=12,$A11+1,$A11),IF($B11=12,1,$B11+1),1))</f>
        <v>0</v>
      </c>
      <c r="AM11" s="11">
        <f ca="1">COUNTIFS(BV!$BL$2:$BL$54,"&gt;=" &amp; DATE($A11,$B11,1),BV!$BL$2:$BL$54,"&lt;" &amp; DATE(IF($B11=12,$A11+1,$A11),IF($B11=12,1,$B11+1),1))</f>
        <v>0</v>
      </c>
      <c r="AN11" s="11">
        <f ca="1">COUNTIFS(BV!$BT$2:$BT$54,"&gt;=" &amp; DATE($A11,$B11,1),BV!$BT$2:$BT$54,"&lt;" &amp; DATE(IF($B11=12,$A11+1,$A11),IF($B11=12,1,$B11+1),1))</f>
        <v>0</v>
      </c>
      <c r="AO11" s="11">
        <f ca="1">COUNTIFS(BV!$CB$2:$CB$54,"&gt;=" &amp; DATE($A11,$B11,1),BV!$CB$2:$CB$54,"&lt;" &amp; DATE(IF($B11=12,$A11+1,$A11),IF($B11=12,1,$B11+1),1))</f>
        <v>0</v>
      </c>
      <c r="AP11" s="35">
        <f t="shared" ca="1" si="44"/>
        <v>0</v>
      </c>
      <c r="AQ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R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S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T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U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V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W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X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Y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AZ11" s="506">
        <f ca="1">COUNTIFS(OFFSET(Time!$J$2,(COLUMN()-43)*20,,20,),"&gt;=" &amp; DATE($A11,$B11,1),OFFSET(Time!$J$2,(COLUMN()-43)*20,,20,),"&lt;" &amp; DATE(IF($B11=12,$A11+1,$A11),IF($B11=12,1,$B11+1),1))+COUNTIFS(OFFSET(Bvs!$J$2,(COLUMN()-43)*20,,20,),"&gt;=" &amp; DATE($A11,$B11,1),OFFSET(Bvs!$J$2,(COLUMN()-43)*20,,20,),"&lt;" &amp; DATE(IF($B11=12,$A11+1,$A11),IF($B11=12,1,$B11+1),1))+COUNTIFS(OFFSET(QG!$J$2,(COLUMN()-43)*20,,20,),"&gt;=" &amp; DATE($A11,$B11,1),OFFSET(QG!$J$2,(COLUMN()-43)*20,,20,),"&lt;" &amp; DATE(IF($B11=12,$A11+1,$A11),IF($B11=12,1,$B11+1),1))</f>
        <v>0</v>
      </c>
      <c r="BA11" s="35">
        <f t="shared" ca="1" si="45"/>
        <v>0</v>
      </c>
      <c r="BB11" s="35">
        <f t="shared" ca="1" si="46"/>
        <v>0</v>
      </c>
      <c r="BC11" s="12">
        <f t="shared" ca="1" si="47"/>
        <v>0</v>
      </c>
      <c r="BD11" s="12">
        <f t="shared" ca="1" si="48"/>
        <v>0</v>
      </c>
    </row>
    <row r="12" spans="1:56" ht="13.8" thickBot="1" x14ac:dyDescent="0.3">
      <c r="A12" s="362">
        <f>A23</f>
        <v>2020</v>
      </c>
      <c r="B12" s="362">
        <f>B23</f>
        <v>12</v>
      </c>
      <c r="C12" s="363" t="s">
        <v>41</v>
      </c>
      <c r="D12" s="146">
        <f ca="1">COUNTIFS(OFFSET(Arb!$B$2,,,Arb!$AJ$36,),$B12,OFFSET(Arb!$C$2,,,Arb!$AJ$36,),$A12,OFFSET(Arb!$AI$2,,,Arb!$AJ$36,),TRUE)</f>
        <v>109</v>
      </c>
      <c r="E12" s="146">
        <f ca="1">SUMIFS(OFFSET(Arb!$I$2,,,Arb!$AJ$36,),OFFSET(Arb!$B$2,,,Arb!$AJ$36,),$B12,OFFSET(Arb!$C$2,,,Arb!$AJ$36,),$A12,OFFSET(Arb!$AI$2,,,Arb!$AJ$36,),TRUE)</f>
        <v>1754</v>
      </c>
      <c r="F12" s="146">
        <f ca="1">SUMIFS(OFFSET(Arb!$H$2,,,Arb!$AJ$36,),OFFSET(Arb!$B$2,,,Arb!$AJ$36,),$B12,OFFSET(Arb!$C$2,,,Arb!$AJ$36,),$A12,OFFSET(Arb!$AI$2,,,Arb!$AJ$36,),TRUE)</f>
        <v>613.04000000000019</v>
      </c>
      <c r="G12" s="146">
        <f ca="1">SUMIFS(OFFSET(Arb!$AC$2,,,Arb!$AJ$36,),OFFSET(Arb!$B$2,,,Arb!$AJ$36,),$B12,OFFSET(Arb!$C$2,,,Arb!$AJ$36,),$A12,OFFSET(Arb!$AI$2,,,Arb!$AJ$36,),TRUE)</f>
        <v>87996</v>
      </c>
      <c r="H12" s="146">
        <f ca="1">SUMIFS(OFFSET(Arb!$U$2,,,Arb!$AJ$36,),OFFSET(Arb!$B$2,,,Arb!$AJ$36,),$B12,OFFSET(Arb!$C$2,,,Arb!$AJ$36,),$A12,OFFSET(Arb!$AI$2,,,Arb!$AJ$36,),TRUE)</f>
        <v>671</v>
      </c>
      <c r="I12" s="146">
        <f ca="1">SUMIFS(OFFSET(Arb!$V$2,,,Arb!$AJ$36,),OFFSET(Arb!$B$2,,,Arb!$AJ$36,),$B12,OFFSET(Arb!$C$2,,,Arb!$AJ$36,),$A12,OFFSET(Arb!$AI$2,,,Arb!$AJ$36,),TRUE)</f>
        <v>1767</v>
      </c>
      <c r="J12" s="146">
        <f ca="1">SUMIFS(OFFSET(Arb!$X$2,,,Arb!$AJ$36,),OFFSET(Arb!$B$2,,,Arb!$AJ$36,),$B12,OFFSET(Arb!$C$2,,,Arb!$AJ$36,),$A12,OFFSET(Arb!$AI$2,,,Arb!$AJ$36,),TRUE)</f>
        <v>2098</v>
      </c>
      <c r="K12" s="146">
        <f ca="1">SUMIFS(OFFSET(Arb!$AA$2,,,Arb!$AJ$36,),OFFSET(Arb!$B$2,,,Arb!$AJ$36,),$B12,OFFSET(Arb!$C$2,,,Arb!$AJ$36,),$A12,OFFSET(Arb!$AI$2,,,Arb!$AJ$36,),TRUE)</f>
        <v>281</v>
      </c>
      <c r="L12" s="146">
        <f ca="1">SUMIFS(OFFSET(Arb!$AB$2,,,Arb!$AJ$36,),OFFSET(Arb!$B$2,,,Arb!$AJ$36,),$B12,OFFSET(Arb!$C$2,,,Arb!$AJ$36,),$A12,OFFSET(Arb!$AI$2,,,Arb!$AJ$36,),TRUE)</f>
        <v>354</v>
      </c>
      <c r="M12" s="94">
        <f t="shared" ca="1" si="26"/>
        <v>2438</v>
      </c>
      <c r="N12" s="129">
        <f t="shared" ca="1" si="27"/>
        <v>16.091743119266056</v>
      </c>
      <c r="O12" s="364">
        <f t="shared" ca="1" si="28"/>
        <v>5.6242201834862406</v>
      </c>
      <c r="P12" s="96">
        <f t="shared" ca="1" si="78"/>
        <v>2.8611509852538162</v>
      </c>
      <c r="Q12" s="365">
        <f t="shared" ca="1" si="30"/>
        <v>3.4222889207882021</v>
      </c>
      <c r="R12" s="96">
        <f t="shared" ca="1" si="31"/>
        <v>3.9769019966070718</v>
      </c>
      <c r="S12" s="96">
        <f t="shared" ca="1" si="79"/>
        <v>1.1708542690056107</v>
      </c>
      <c r="T12" s="95">
        <f t="shared" ca="1" si="33"/>
        <v>40.397000081120552</v>
      </c>
      <c r="U12" s="364">
        <f t="shared" ca="1" si="34"/>
        <v>2.5779816513761467</v>
      </c>
      <c r="V12" s="364">
        <f t="shared" ca="1" si="35"/>
        <v>3.2477064220183487</v>
      </c>
      <c r="W12" s="96">
        <f t="shared" ca="1" si="80"/>
        <v>0.86054142739950779</v>
      </c>
      <c r="X12" s="96">
        <f t="shared" ca="1" si="81"/>
        <v>0.83603431839847475</v>
      </c>
      <c r="Y12" s="96">
        <f t="shared" ca="1" si="38"/>
        <v>0.71944216570959807</v>
      </c>
      <c r="Z12" s="147">
        <f t="shared" ca="1" si="39"/>
        <v>50.456422018348626</v>
      </c>
      <c r="AA12" s="95">
        <f t="shared" ca="1" si="82"/>
        <v>8.9712743051024368</v>
      </c>
      <c r="AB12" s="96">
        <f t="shared" ca="1" si="83"/>
        <v>0.31892358743579252</v>
      </c>
      <c r="AC12" s="129">
        <f t="shared" ca="1" si="42"/>
        <v>30.702292659703946</v>
      </c>
      <c r="AD12" s="468">
        <f ca="1">INDEX(OFFSET(Arb!AK$36,,B12,23,),MATCH(A12,OFFSET(Arb!AK$36,,,23,),0))</f>
        <v>3</v>
      </c>
      <c r="AE12" s="364">
        <f t="shared" ca="1" si="43"/>
        <v>36.333333333333336</v>
      </c>
      <c r="AF12" s="94">
        <f ca="1">COUNTIFS(BV!$H$2:$H$54,"&gt;=" &amp; DATE($A12,$B12,1),BV!$H$2:$H$54,"&lt;" &amp; DATE(IF($B12=12,$A12+1,$A12),IF($B12=12,1,$B12+1),1))</f>
        <v>4</v>
      </c>
      <c r="AG12" s="94">
        <f ca="1">COUNTIFS(BV!$P$2:$P$54,"&gt;=" &amp; DATE($A12,$B12,1),BV!$P$2:$P$54,"&lt;" &amp; DATE(IF($B12=12,$A12+1,$A12),IF($B12=12,1,$B12+1),1))</f>
        <v>3</v>
      </c>
      <c r="AH12" s="94">
        <f ca="1">COUNTIFS(BV!$X$2:$X$54,"&gt;=" &amp; DATE($A12,$B12,1),BV!$X$2:$X$54,"&lt;" &amp; DATE(IF($B12=12,$A12+1,$A12),IF($B12=12,1,$B12+1),1))</f>
        <v>1</v>
      </c>
      <c r="AI12" s="94">
        <f ca="1">COUNTIFS(BV!$AF$2:$AF$54,"&gt;=" &amp; DATE($A12,$B12,1),BV!$AF$2:$AF$54,"&lt;" &amp; DATE(IF($B12=12,$A12+1,$A12),IF($B12=12,1,$B12+1),1))</f>
        <v>2</v>
      </c>
      <c r="AJ12" s="94">
        <f ca="1">COUNTIFS(BV!$AN$2:$AN$54,"&gt;=" &amp; DATE($A12,$B12,1),BV!$AN$2:$AN$54,"&lt;" &amp; DATE(IF($B12=12,$A12+1,$A12),IF($B12=12,1,$B12+1),1))</f>
        <v>2</v>
      </c>
      <c r="AK12" s="94">
        <f ca="1">COUNTIFS(BV!$AV$2:$AV$54,"&gt;=" &amp; DATE($A12,$B12,1),BV!$AV$2:$AV$54,"&lt;" &amp; DATE(IF($B12=12,$A12+1,$A12),IF($B12=12,1,$B12+1),1))</f>
        <v>1</v>
      </c>
      <c r="AL12" s="94">
        <f ca="1">COUNTIFS(BV!$BD$2:$BD$54,"&gt;=" &amp; DATE($A12,$B12,1),BV!$BD$2:$BD$54,"&lt;" &amp; DATE(IF($B12=12,$A12+1,$A12),IF($B12=12,1,$B12+1),1))</f>
        <v>3</v>
      </c>
      <c r="AM12" s="94">
        <f ca="1">COUNTIFS(BV!$BL$2:$BL$54,"&gt;=" &amp; DATE($A12,$B12,1),BV!$BL$2:$BL$54,"&lt;" &amp; DATE(IF($B12=12,$A12+1,$A12),IF($B12=12,1,$B12+1),1))</f>
        <v>1</v>
      </c>
      <c r="AN12" s="94">
        <f ca="1">COUNTIFS(BV!$BT$2:$BT$54,"&gt;=" &amp; DATE($A12,$B12,1),BV!$BT$2:$BT$54,"&lt;" &amp; DATE(IF($B12=12,$A12+1,$A12),IF($B12=12,1,$B12+1),1))</f>
        <v>1</v>
      </c>
      <c r="AO12" s="94">
        <f ca="1">COUNTIFS(BV!$CB$2:$CB$54,"&gt;=" &amp; DATE($A12,$B12,1),BV!$CB$2:$CB$54,"&lt;" &amp; DATE(IF($B12=12,$A12+1,$A12),IF($B12=12,1,$B12+1),1))</f>
        <v>2</v>
      </c>
      <c r="AP12" s="366">
        <f t="shared" ca="1" si="44"/>
        <v>77.646825396825406</v>
      </c>
      <c r="AQ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6</v>
      </c>
      <c r="AR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5</v>
      </c>
      <c r="AS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6</v>
      </c>
      <c r="AT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4</v>
      </c>
      <c r="AU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4</v>
      </c>
      <c r="AV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8</v>
      </c>
      <c r="AW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3</v>
      </c>
      <c r="AX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2</v>
      </c>
      <c r="AY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5</v>
      </c>
      <c r="AZ12" s="506">
        <f ca="1">COUNTIFS(OFFSET(Time!$J$2,(COLUMN()-43)*20,,20,),"&gt;=" &amp; DATE($A12,$B12,1),OFFSET(Time!$J$2,(COLUMN()-43)*20,,20,),"&lt;" &amp; DATE(IF($B12=12,$A12+1,$A12),IF($B12=12,1,$B12+1),1))+COUNTIFS(OFFSET(Bvs!$J$2,(COLUMN()-43)*20,,20,),"&gt;=" &amp; DATE($A12,$B12,1),OFFSET(Bvs!$J$2,(COLUMN()-43)*20,,20,),"&lt;" &amp; DATE(IF($B12=12,$A12+1,$A12),IF($B12=12,1,$B12+1),1))+COUNTIFS(OFFSET(QG!$J$2,(COLUMN()-43)*20,,20,),"&gt;=" &amp; DATE($A12,$B12,1),OFFSET(QG!$J$2,(COLUMN()-43)*20,,20,),"&lt;" &amp; DATE(IF($B12=12,$A12+1,$A12),IF($B12=12,1,$B12+1),1))</f>
        <v>2</v>
      </c>
      <c r="BA12" s="366">
        <f t="shared" ca="1" si="45"/>
        <v>150.67460317460319</v>
      </c>
      <c r="BB12" s="366">
        <f t="shared" ca="1" si="46"/>
        <v>228.32142857142861</v>
      </c>
      <c r="BC12" s="364">
        <f t="shared" ca="1" si="47"/>
        <v>76.107142857142875</v>
      </c>
      <c r="BD12" s="364">
        <f t="shared" ca="1" si="48"/>
        <v>2.0946920052424645</v>
      </c>
    </row>
    <row r="13" spans="1:56" ht="13.8" thickBot="1" x14ac:dyDescent="0.3">
      <c r="A13" s="370">
        <f t="shared" ref="A13" si="84">IF(B14=1,A14-1,A14)</f>
        <v>2020</v>
      </c>
      <c r="B13" s="371">
        <f t="shared" ref="B13:B21" si="85">IF(B14=1,12,B14-1)</f>
        <v>2</v>
      </c>
      <c r="C13" s="372" t="s">
        <v>39</v>
      </c>
      <c r="D13" s="157">
        <f ca="1">COUNTIFS(OFFSET(Arb!$B$2,Arb!$AJ$36,,Arb!$AJ$37,),$B13,OFFSET(Arb!$C$2,Arb!$AJ$36,,Arb!$AJ$37,),$A13,OFFSET(Arb!$AI$2,Arb!$AJ$36,,Arb!$AJ$37,),TRUE)</f>
        <v>40</v>
      </c>
      <c r="E13" s="157">
        <f ca="1">SUMIFS(OFFSET(Arb!$I$2,Arb!$AJ$36,,Arb!$AJ$37,),OFFSET(Arb!$B$2,Arb!$AJ$36,,Arb!$AJ$37,),$B13,OFFSET(Arb!$C$2,Arb!$AJ$36,,Arb!$AJ$37,),$A13,OFFSET(Arb!$AI$2,Arb!$AJ$36,,Arb!$AJ$37,),TRUE)</f>
        <v>2444</v>
      </c>
      <c r="F13" s="157">
        <f ca="1">SUMIFS(OFFSET(Arb!$H$2,Arb!$AJ$36,,Arb!$AJ$37,),OFFSET(Arb!$B$2,Arb!$AJ$36,,Arb!$AJ$37,),$B13,OFFSET(Arb!$C$2,Arb!$AJ$36,,Arb!$AJ$37,),$A13,OFFSET(Arb!$AI$2,Arb!$AJ$36,,Arb!$AJ$37,),TRUE)</f>
        <v>1002.8499999999998</v>
      </c>
      <c r="G13" s="157">
        <f ca="1">SUMIFS(OFFSET(Arb!$AC$2,Arb!$AJ$36,,Arb!$AJ$37,),OFFSET(Arb!$B$2,Arb!$AJ$36,,Arb!$AJ$37,),$B13,OFFSET(Arb!$C$2,Arb!$AJ$36,,Arb!$AJ$37,),$A13,OFFSET(Arb!$AI$2,Arb!$AJ$36,,Arb!$AJ$37,),TRUE)</f>
        <v>131593</v>
      </c>
      <c r="H13" s="157">
        <f ca="1">SUMIFS(OFFSET(Arb!$U$2,Arb!$AJ$36,,Arb!$AJ$37,),OFFSET(Arb!$B$2,Arb!$AJ$36,,Arb!$AJ$37,),$B13,OFFSET(Arb!$C$2,Arb!$AJ$36,,Arb!$AJ$37,),$A13,OFFSET(Arb!$AI$2,Arb!$AJ$36,,Arb!$AJ$37,),TRUE)</f>
        <v>3373</v>
      </c>
      <c r="I13" s="157">
        <f ca="1">SUMIFS(OFFSET(Arb!$V$2,Arb!$AJ$36,,Arb!$AJ$37,),OFFSET(Arb!$B$2,Arb!$AJ$36,,Arb!$AJ$37,),$B13,OFFSET(Arb!$C$2,Arb!$AJ$36,,Arb!$AJ$37,),$A13,OFFSET(Arb!$AI$2,Arb!$AJ$36,,Arb!$AJ$37,),TRUE)</f>
        <v>133</v>
      </c>
      <c r="J13" s="157">
        <f ca="1">SUMIFS(OFFSET(Arb!$X$2,Arb!$AJ$36,,Arb!$AJ$37,),OFFSET(Arb!$B$2,Arb!$AJ$36,,Arb!$AJ$37,),$B13,OFFSET(Arb!$C$2,Arb!$AJ$36,,Arb!$AJ$37,),$A13,OFFSET(Arb!$AI$2,Arb!$AJ$36,,Arb!$AJ$37,),TRUE)</f>
        <v>3068</v>
      </c>
      <c r="K13" s="157">
        <f ca="1">SUMIFS(OFFSET(Arb!$AA$2,Arb!$AJ$36,,Arb!$AJ$37,),OFFSET(Arb!$B$2,Arb!$AJ$36,,Arb!$AJ$37,),$B13,OFFSET(Arb!$C$2,Arb!$AJ$36,,Arb!$AJ$37,),$A13,OFFSET(Arb!$AI$2,Arb!$AJ$36,,Arb!$AJ$37,),TRUE)</f>
        <v>282</v>
      </c>
      <c r="L13" s="157">
        <f ca="1">SUMIFS(OFFSET(Arb!$AB$2,Arb!$AJ$36,,Arb!$AJ$37,),OFFSET(Arb!$B$2,Arb!$AJ$36,,Arb!$AJ$37,),$B13,OFFSET(Arb!$C$2,Arb!$AJ$36,,Arb!$AJ$37,),$A13,OFFSET(Arb!$AI$2,Arb!$AJ$36,,Arb!$AJ$37,),TRUE)</f>
        <v>341</v>
      </c>
      <c r="M13" s="104">
        <f t="shared" ref="M13" ca="1" si="86">H13+I13</f>
        <v>3506</v>
      </c>
      <c r="N13" s="132">
        <f t="shared" ref="N13" ca="1" si="87">IFERROR(E13/D13,"")</f>
        <v>61.1</v>
      </c>
      <c r="O13" s="373">
        <f t="shared" ref="O13" ca="1" si="88">IFERROR(F13/D13,"")</f>
        <v>25.071249999999996</v>
      </c>
      <c r="P13" s="106">
        <f t="shared" ca="1" si="78"/>
        <v>2.4370543949743237</v>
      </c>
      <c r="Q13" s="374">
        <f t="shared" ref="Q13" ca="1" si="89">IFERROR(J13/F13,"")</f>
        <v>3.0592810490103211</v>
      </c>
      <c r="R13" s="106">
        <f t="shared" ref="R13" ca="1" si="90">IFERROR(M13/F13,"")</f>
        <v>3.4960362965548195</v>
      </c>
      <c r="S13" s="106">
        <f t="shared" ca="1" si="79"/>
        <v>3.9134335916011969</v>
      </c>
      <c r="T13" s="105">
        <f t="shared" ref="T13" ca="1" si="91">IFERROR((IF(C13="beg",47.299,0)+IF(C13="int",153.73,0)+IF(C13="exp",435.001,0))/S13,"")</f>
        <v>39.282639248031998</v>
      </c>
      <c r="U13" s="373">
        <f t="shared" ref="U13" ca="1" si="92">IFERROR(K13/D13,"")</f>
        <v>7.05</v>
      </c>
      <c r="V13" s="373">
        <f t="shared" ref="V13" ca="1" si="93">IFERROR(L13/D13,"")</f>
        <v>8.5250000000000004</v>
      </c>
      <c r="W13" s="106">
        <f t="shared" ca="1" si="80"/>
        <v>0.87507130633200225</v>
      </c>
      <c r="X13" s="106">
        <f t="shared" ca="1" si="81"/>
        <v>0.79661016949152552</v>
      </c>
      <c r="Y13" s="106">
        <f t="shared" ref="Y13" ca="1" si="94">IFERROR(E13/M13,"")</f>
        <v>0.69709070165430687</v>
      </c>
      <c r="Z13" s="158">
        <f t="shared" ref="Z13" ca="1" si="95">IFERROR(G13/D13/16,"")</f>
        <v>205.61406249999999</v>
      </c>
      <c r="AA13" s="105">
        <f t="shared" ca="1" si="82"/>
        <v>8.2011891110335551</v>
      </c>
      <c r="AB13" s="106">
        <f t="shared" ca="1" si="83"/>
        <v>0.29715866345474307</v>
      </c>
      <c r="AC13" s="132">
        <f t="shared" ref="AC13" ca="1" si="96">IFERROR(AA13*Q13,"")</f>
        <v>25.089742426734755</v>
      </c>
      <c r="AD13" s="547" t="str">
        <f>AD1</f>
        <v>天数</v>
      </c>
      <c r="AE13" s="373" t="e">
        <f t="shared" ref="AE13" ca="1" si="97">D13/AD13</f>
        <v>#VALUE!</v>
      </c>
      <c r="AF13" s="104">
        <f ca="1">COUNTIFS(BV!$H$55:$H$160,"&gt;=" &amp; DATE($A13,$B13,1),BV!$H$55:$H$160,"&lt;" &amp; DATE(IF($B13=12,$A13+1,$A13),IF($B13=12,1,$B13+1),1))</f>
        <v>6</v>
      </c>
      <c r="AG13" s="104">
        <f ca="1">COUNTIFS(BV!$P$55:$P$160,"&gt;=" &amp; DATE($A13,$B13,1),BV!$P$55:$P$160,"&lt;" &amp; DATE(IF($B13=12,$A13+1,$A13),IF($B13=12,1,$B13+1),1))</f>
        <v>7</v>
      </c>
      <c r="AH13" s="104">
        <f ca="1">COUNTIFS(BV!$X$55:$X$160,"&gt;=" &amp; DATE($A13,$B13,1),BV!$X$55:$X$160,"&lt;" &amp; DATE(IF($B13=12,$A13+1,$A13),IF($B13=12,1,$B13+1),1))</f>
        <v>5</v>
      </c>
      <c r="AI13" s="104">
        <f ca="1">COUNTIFS(BV!$AF$55:$AF$160,"&gt;=" &amp; DATE($A13,$B13,1),BV!$AF$55:$AF$160,"&lt;" &amp; DATE(IF($B13=12,$A13+1,$A13),IF($B13=12,1,$B13+1),1))</f>
        <v>3</v>
      </c>
      <c r="AJ13" s="104">
        <f ca="1">COUNTIFS(BV!$AN$55:$AN$160,"&gt;=" &amp; DATE($A13,$B13,1),BV!$AN$55:$AN$160,"&lt;" &amp; DATE(IF($B13=12,$A13+1,$A13),IF($B13=12,1,$B13+1),1))</f>
        <v>1</v>
      </c>
      <c r="AK13" s="104">
        <f ca="1">COUNTIFS(BV!$AV$55:$AV$160,"&gt;=" &amp; DATE($A13,$B13,1),BV!$AV$55:$AV$160,"&lt;" &amp; DATE(IF($B13=12,$A13+1,$A13),IF($B13=12,1,$B13+1),1))</f>
        <v>4</v>
      </c>
      <c r="AL13" s="104">
        <f ca="1">COUNTIFS(BV!$BD$55:$BD$160,"&gt;=" &amp; DATE($A13,$B13,1),BV!$BD$55:$BD$160,"&lt;" &amp; DATE(IF($B13=12,$A13+1,$A13),IF($B13=12,1,$B13+1),1))</f>
        <v>3</v>
      </c>
      <c r="AM13" s="104">
        <f ca="1">COUNTIFS(BV!$BL$55:$BL$160,"&gt;=" &amp; DATE($A13,$B13,1),BV!$BL$55:$BL$160,"&lt;" &amp; DATE(IF($B13=12,$A13+1,$A13),IF($B13=12,1,$B13+1),1))</f>
        <v>0</v>
      </c>
      <c r="AN13" s="104">
        <f ca="1">COUNTIFS(BV!$BT$55:$BT$160,"&gt;=" &amp; DATE($A13,$B13,1),BV!$BT$55:$BT$160,"&lt;" &amp; DATE(IF($B13=12,$A13+1,$A13),IF($B13=12,1,$B13+1),1))</f>
        <v>3</v>
      </c>
      <c r="AO13" s="104">
        <f ca="1">COUNTIFS(BV!$CB$55:$CB$160,"&gt;=" &amp; DATE($A13,$B13,1),BV!$CB$55:$CB$160,"&lt;" &amp; DATE(IF($B13=12,$A13+1,$A13),IF($B13=12,1,$B13+1),1))</f>
        <v>0</v>
      </c>
      <c r="AP13" s="375">
        <f t="shared" ref="AP13" ca="1" si="98">(AF13+AG13/2+AH13/3+AI13/4+AJ13/5+AK13/6+AL13/7+AM13/8+AN13/9+AO13/10)*10</f>
        <v>135.45238095238093</v>
      </c>
      <c r="AQ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1</v>
      </c>
      <c r="AR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12</v>
      </c>
      <c r="AS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5</v>
      </c>
      <c r="AT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7</v>
      </c>
      <c r="AU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4</v>
      </c>
      <c r="AV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2</v>
      </c>
      <c r="AW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11</v>
      </c>
      <c r="AX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3</v>
      </c>
      <c r="AY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5</v>
      </c>
      <c r="AZ13" s="547">
        <f ca="1">COUNTIFS(OFFSET(Time!$T$2,(COLUMN()-43)*20,,20,),"&gt;=" &amp; DATE($A13,$B13,1),OFFSET(Time!$T$2,(COLUMN()-43)*20,,20,),"&lt;" &amp; DATE(IF($B13=12,$A13+1,$A13),IF($B13=12,1,$B13+1),1))+COUNTIFS(OFFSET(Bvs!$T$2,(COLUMN()-43)*20,,20,),"&gt;=" &amp; DATE($A13,$B13,1),OFFSET(Bvs!$T$2,(COLUMN()-43)*20,,20,),"&lt;" &amp; DATE(IF($B13=12,$A13+1,$A13),IF($B13=12,1,$B13+1),1))+COUNTIFS(OFFSET(QG!$T$2,(COLUMN()-43)*20,,20,),"&gt;=" &amp; DATE($A13,$B13,1),OFFSET(QG!$T$2,(COLUMN()-43)*20,,20,),"&lt;" &amp; DATE(IF($B13=12,$A13+1,$A13),IF($B13=12,1,$B13+1),1))</f>
        <v>2</v>
      </c>
      <c r="BA13" s="375">
        <f t="shared" ref="BA13" ca="1" si="99">(AQ13+AR13/2+AS13/3+AT13/4+AU13/5+AV13/6+AW13/7+AX13/8+AY13/9+AZ13/10)*10</f>
        <v>142.51984126984127</v>
      </c>
      <c r="BB13" s="375">
        <f t="shared" ref="BB13" ca="1" si="100">AP13+BA13</f>
        <v>277.97222222222217</v>
      </c>
      <c r="BC13" s="373" t="e">
        <f t="shared" ref="BC13" ca="1" si="101">BB13/AD13</f>
        <v>#VALUE!</v>
      </c>
      <c r="BD13" s="376" t="e">
        <f t="shared" ref="BD13" ca="1" si="102">IF(AE13=0,0,BC13/AE13)</f>
        <v>#VALUE!</v>
      </c>
    </row>
    <row r="14" spans="1:56" x14ac:dyDescent="0.25">
      <c r="A14" s="370">
        <f t="shared" ref="A14" si="103">IF(B15=1,A15-1,A15)</f>
        <v>2020</v>
      </c>
      <c r="B14" s="371">
        <f t="shared" si="85"/>
        <v>3</v>
      </c>
      <c r="C14" s="372" t="s">
        <v>39</v>
      </c>
      <c r="D14" s="157">
        <f ca="1">COUNTIFS(OFFSET(Arb!$B$2,Arb!$AJ$36,,Arb!$AJ$37,),$B14,OFFSET(Arb!$C$2,Arb!$AJ$36,,Arb!$AJ$37,),$A14,OFFSET(Arb!$AI$2,Arb!$AJ$36,,Arb!$AJ$37,),TRUE)</f>
        <v>28</v>
      </c>
      <c r="E14" s="157">
        <f ca="1">SUMIFS(OFFSET(Arb!$I$2,Arb!$AJ$36,,Arb!$AJ$37,),OFFSET(Arb!$B$2,Arb!$AJ$36,,Arb!$AJ$37,),$B14,OFFSET(Arb!$C$2,Arb!$AJ$36,,Arb!$AJ$37,),$A14,OFFSET(Arb!$AI$2,Arb!$AJ$36,,Arb!$AJ$37,),TRUE)</f>
        <v>1848</v>
      </c>
      <c r="F14" s="157">
        <f ca="1">SUMIFS(OFFSET(Arb!$H$2,Arb!$AJ$36,,Arb!$AJ$37,),OFFSET(Arb!$B$2,Arb!$AJ$36,,Arb!$AJ$37,),$B14,OFFSET(Arb!$C$2,Arb!$AJ$36,,Arb!$AJ$37,),$A14,OFFSET(Arb!$AI$2,Arb!$AJ$36,,Arb!$AJ$37,),TRUE)</f>
        <v>719.68999999999994</v>
      </c>
      <c r="G14" s="157">
        <f ca="1">SUMIFS(OFFSET(Arb!$AC$2,Arb!$AJ$36,,Arb!$AJ$37,),OFFSET(Arb!$B$2,Arb!$AJ$36,,Arb!$AJ$37,),$B14,OFFSET(Arb!$C$2,Arb!$AJ$36,,Arb!$AJ$37,),$A14,OFFSET(Arb!$AI$2,Arb!$AJ$36,,Arb!$AJ$37,),TRUE)</f>
        <v>93450</v>
      </c>
      <c r="H14" s="157">
        <f ca="1">SUMIFS(OFFSET(Arb!$U$2,Arb!$AJ$36,,Arb!$AJ$37,),OFFSET(Arb!$B$2,Arb!$AJ$36,,Arb!$AJ$37,),$B14,OFFSET(Arb!$C$2,Arb!$AJ$36,,Arb!$AJ$37,),$A14,OFFSET(Arb!$AI$2,Arb!$AJ$36,,Arb!$AJ$37,),TRUE)</f>
        <v>2637</v>
      </c>
      <c r="I14" s="157">
        <f ca="1">SUMIFS(OFFSET(Arb!$V$2,Arb!$AJ$36,,Arb!$AJ$37,),OFFSET(Arb!$B$2,Arb!$AJ$36,,Arb!$AJ$37,),$B14,OFFSET(Arb!$C$2,Arb!$AJ$36,,Arb!$AJ$37,),$A14,OFFSET(Arb!$AI$2,Arb!$AJ$36,,Arb!$AJ$37,),TRUE)</f>
        <v>0</v>
      </c>
      <c r="J14" s="157">
        <f ca="1">SUMIFS(OFFSET(Arb!$X$2,Arb!$AJ$36,,Arb!$AJ$37,),OFFSET(Arb!$B$2,Arb!$AJ$36,,Arb!$AJ$37,),$B14,OFFSET(Arb!$C$2,Arb!$AJ$36,,Arb!$AJ$37,),$A14,OFFSET(Arb!$AI$2,Arb!$AJ$36,,Arb!$AJ$37,),TRUE)</f>
        <v>2339</v>
      </c>
      <c r="K14" s="157">
        <f ca="1">SUMIFS(OFFSET(Arb!$AA$2,Arb!$AJ$36,,Arb!$AJ$37,),OFFSET(Arb!$B$2,Arb!$AJ$36,,Arb!$AJ$37,),$B14,OFFSET(Arb!$C$2,Arb!$AJ$36,,Arb!$AJ$37,),$A14,OFFSET(Arb!$AI$2,Arb!$AJ$36,,Arb!$AJ$37,),TRUE)</f>
        <v>201</v>
      </c>
      <c r="L14" s="157">
        <f ca="1">SUMIFS(OFFSET(Arb!$AB$2,Arb!$AJ$36,,Arb!$AJ$37,),OFFSET(Arb!$B$2,Arb!$AJ$36,,Arb!$AJ$37,),$B14,OFFSET(Arb!$C$2,Arb!$AJ$36,,Arb!$AJ$37,),$A14,OFFSET(Arb!$AI$2,Arb!$AJ$36,,Arb!$AJ$37,),TRUE)</f>
        <v>225</v>
      </c>
      <c r="M14" s="104">
        <f t="shared" ca="1" si="26"/>
        <v>2637</v>
      </c>
      <c r="N14" s="132">
        <f t="shared" ca="1" si="27"/>
        <v>66</v>
      </c>
      <c r="O14" s="373">
        <f t="shared" ca="1" si="28"/>
        <v>25.703214285714285</v>
      </c>
      <c r="P14" s="106">
        <f t="shared" ref="P14" ca="1" si="104">IFERROR(N14/O14,"")</f>
        <v>2.5677722352679626</v>
      </c>
      <c r="Q14" s="374">
        <f t="shared" ca="1" si="30"/>
        <v>3.2500104211535525</v>
      </c>
      <c r="R14" s="106">
        <f t="shared" ca="1" si="31"/>
        <v>3.6640775889619146</v>
      </c>
      <c r="S14" s="106">
        <f t="shared" ref="S14" ca="1" si="105">IFERROR(O14^1.7/N14,"")</f>
        <v>3.7795031115946314</v>
      </c>
      <c r="T14" s="105">
        <f t="shared" ca="1" si="33"/>
        <v>40.674658932914305</v>
      </c>
      <c r="U14" s="373">
        <f t="shared" ca="1" si="34"/>
        <v>7.1785714285714288</v>
      </c>
      <c r="V14" s="373">
        <f t="shared" ca="1" si="35"/>
        <v>8.0357142857142865</v>
      </c>
      <c r="W14" s="106">
        <f t="shared" ref="W14" ca="1" si="106">IFERROR(Q14/R14,"")</f>
        <v>0.88699279484262417</v>
      </c>
      <c r="X14" s="106">
        <f t="shared" ref="X14" ca="1" si="107">IFERROR(P14/Q14,"")</f>
        <v>0.79008123129542529</v>
      </c>
      <c r="Y14" s="106">
        <f t="shared" ca="1" si="38"/>
        <v>0.7007963594994312</v>
      </c>
      <c r="Z14" s="158">
        <f t="shared" ca="1" si="39"/>
        <v>208.59375</v>
      </c>
      <c r="AA14" s="105">
        <f t="shared" ref="AA14" ca="1" si="108">IFERROR(Z14/O14,"")</f>
        <v>8.1154733287943426</v>
      </c>
      <c r="AB14" s="106">
        <f t="shared" ref="AB14" ca="1" si="109">IFERROR(N14/Z14,"")</f>
        <v>0.31640449438202245</v>
      </c>
      <c r="AC14" s="132">
        <f t="shared" ca="1" si="42"/>
        <v>26.375372891175324</v>
      </c>
      <c r="AD14" s="468">
        <f ca="1">AD3</f>
        <v>26</v>
      </c>
      <c r="AE14" s="373">
        <f t="shared" ca="1" si="43"/>
        <v>1.0769230769230769</v>
      </c>
      <c r="AF14" s="104">
        <f ca="1">COUNTIFS(BV!$H$55:$H$160,"&gt;=" &amp; DATE($A14,$B14,1),BV!$H$55:$H$160,"&lt;" &amp; DATE(IF($B14=12,$A14+1,$A14),IF($B14=12,1,$B14+1),1))</f>
        <v>6</v>
      </c>
      <c r="AG14" s="104">
        <f ca="1">COUNTIFS(BV!$P$55:$P$160,"&gt;=" &amp; DATE($A14,$B14,1),BV!$P$55:$P$160,"&lt;" &amp; DATE(IF($B14=12,$A14+1,$A14),IF($B14=12,1,$B14+1),1))</f>
        <v>3</v>
      </c>
      <c r="AH14" s="104">
        <f ca="1">COUNTIFS(BV!$X$55:$X$160,"&gt;=" &amp; DATE($A14,$B14,1),BV!$X$55:$X$160,"&lt;" &amp; DATE(IF($B14=12,$A14+1,$A14),IF($B14=12,1,$B14+1),1))</f>
        <v>2</v>
      </c>
      <c r="AI14" s="104">
        <f ca="1">COUNTIFS(BV!$AF$55:$AF$160,"&gt;=" &amp; DATE($A14,$B14,1),BV!$AF$55:$AF$160,"&lt;" &amp; DATE(IF($B14=12,$A14+1,$A14),IF($B14=12,1,$B14+1),1))</f>
        <v>3</v>
      </c>
      <c r="AJ14" s="104">
        <f ca="1">COUNTIFS(BV!$AN$55:$AN$160,"&gt;=" &amp; DATE($A14,$B14,1),BV!$AN$55:$AN$160,"&lt;" &amp; DATE(IF($B14=12,$A14+1,$A14),IF($B14=12,1,$B14+1),1))</f>
        <v>1</v>
      </c>
      <c r="AK14" s="104">
        <f ca="1">COUNTIFS(BV!$AV$55:$AV$160,"&gt;=" &amp; DATE($A14,$B14,1),BV!$AV$55:$AV$160,"&lt;" &amp; DATE(IF($B14=12,$A14+1,$A14),IF($B14=12,1,$B14+1),1))</f>
        <v>2</v>
      </c>
      <c r="AL14" s="104">
        <f ca="1">COUNTIFS(BV!$BD$55:$BD$160,"&gt;=" &amp; DATE($A14,$B14,1),BV!$BD$55:$BD$160,"&lt;" &amp; DATE(IF($B14=12,$A14+1,$A14),IF($B14=12,1,$B14+1),1))</f>
        <v>3</v>
      </c>
      <c r="AM14" s="104">
        <f ca="1">COUNTIFS(BV!$BL$55:$BL$160,"&gt;=" &amp; DATE($A14,$B14,1),BV!$BL$55:$BL$160,"&lt;" &amp; DATE(IF($B14=12,$A14+1,$A14),IF($B14=12,1,$B14+1),1))</f>
        <v>1</v>
      </c>
      <c r="AN14" s="104">
        <f ca="1">COUNTIFS(BV!$BT$55:$BT$160,"&gt;=" &amp; DATE($A14,$B14,1),BV!$BT$55:$BT$160,"&lt;" &amp; DATE(IF($B14=12,$A14+1,$A14),IF($B14=12,1,$B14+1),1))</f>
        <v>1</v>
      </c>
      <c r="AO14" s="104">
        <f ca="1">COUNTIFS(BV!$CB$55:$CB$160,"&gt;=" &amp; DATE($A14,$B14,1),BV!$CB$55:$CB$160,"&lt;" &amp; DATE(IF($B14=12,$A14+1,$A14),IF($B14=12,1,$B14+1),1))</f>
        <v>0</v>
      </c>
      <c r="AP14" s="375">
        <f t="shared" ca="1" si="44"/>
        <v>101.14682539682539</v>
      </c>
      <c r="AQ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5</v>
      </c>
      <c r="AR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2</v>
      </c>
      <c r="AS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5</v>
      </c>
      <c r="AT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3</v>
      </c>
      <c r="AU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3</v>
      </c>
      <c r="AV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6</v>
      </c>
      <c r="AW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0</v>
      </c>
      <c r="AX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5</v>
      </c>
      <c r="AY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3</v>
      </c>
      <c r="AZ14" s="506">
        <f ca="1">COUNTIFS(OFFSET(Time!$T$2,(COLUMN()-43)*20,,20,),"&gt;=" &amp; DATE($A14,$B14,1),OFFSET(Time!$T$2,(COLUMN()-43)*20,,20,),"&lt;" &amp; DATE(IF($B14=12,$A14+1,$A14),IF($B14=12,1,$B14+1),1))+COUNTIFS(OFFSET(Bvs!$T$2,(COLUMN()-43)*20,,20,),"&gt;=" &amp; DATE($A14,$B14,1),OFFSET(Bvs!$T$2,(COLUMN()-43)*20,,20,),"&lt;" &amp; DATE(IF($B14=12,$A14+1,$A14),IF($B14=12,1,$B14+1),1))+COUNTIFS(OFFSET(QG!$T$2,(COLUMN()-43)*20,,20,),"&gt;=" &amp; DATE($A14,$B14,1),OFFSET(QG!$T$2,(COLUMN()-43)*20,,20,),"&lt;" &amp; DATE(IF($B14=12,$A14+1,$A14),IF($B14=12,1,$B14+1),1))</f>
        <v>2</v>
      </c>
      <c r="BA14" s="375">
        <f t="shared" ca="1" si="45"/>
        <v>111.75</v>
      </c>
      <c r="BB14" s="375">
        <f t="shared" ca="1" si="46"/>
        <v>212.89682539682539</v>
      </c>
      <c r="BC14" s="373">
        <f t="shared" ca="1" si="47"/>
        <v>8.1883394383394386</v>
      </c>
      <c r="BD14" s="376">
        <f t="shared" ca="1" si="48"/>
        <v>7.6034580498866218</v>
      </c>
    </row>
    <row r="15" spans="1:56" x14ac:dyDescent="0.25">
      <c r="A15" s="377">
        <f t="shared" ref="A15" si="110">IF(B16=1,A16-1,A16)</f>
        <v>2020</v>
      </c>
      <c r="B15" s="360">
        <f t="shared" si="85"/>
        <v>4</v>
      </c>
      <c r="C15" s="361" t="s">
        <v>39</v>
      </c>
      <c r="D15" s="356">
        <f ca="1">COUNTIFS(OFFSET(Arb!$B$2,Arb!$AJ$36,,Arb!$AJ$37,),$B15,OFFSET(Arb!$C$2,Arb!$AJ$36,,Arb!$AJ$37,),$A15,OFFSET(Arb!$AI$2,Arb!$AJ$36,,Arb!$AJ$37,),TRUE)</f>
        <v>41</v>
      </c>
      <c r="E15" s="356">
        <f ca="1">SUMIFS(OFFSET(Arb!$I$2,Arb!$AJ$36,,Arb!$AJ$37,),OFFSET(Arb!$B$2,Arb!$AJ$36,,Arb!$AJ$37,),$B15,OFFSET(Arb!$C$2,Arb!$AJ$36,,Arb!$AJ$37,),$A15,OFFSET(Arb!$AI$2,Arb!$AJ$36,,Arb!$AJ$37,),TRUE)</f>
        <v>2467</v>
      </c>
      <c r="F15" s="356">
        <f ca="1">SUMIFS(OFFSET(Arb!$H$2,Arb!$AJ$36,,Arb!$AJ$37,),OFFSET(Arb!$B$2,Arb!$AJ$36,,Arb!$AJ$37,),$B15,OFFSET(Arb!$C$2,Arb!$AJ$36,,Arb!$AJ$37,),$A15,OFFSET(Arb!$AI$2,Arb!$AJ$36,,Arb!$AJ$37,),TRUE)</f>
        <v>1243.7099999999998</v>
      </c>
      <c r="G15" s="356">
        <f ca="1">SUMIFS(OFFSET(Arb!$AC$2,Arb!$AJ$36,,Arb!$AJ$37,),OFFSET(Arb!$B$2,Arb!$AJ$36,,Arb!$AJ$37,),$B15,OFFSET(Arb!$C$2,Arb!$AJ$36,,Arb!$AJ$37,),$A15,OFFSET(Arb!$AI$2,Arb!$AJ$36,,Arb!$AJ$37,),TRUE)</f>
        <v>130808</v>
      </c>
      <c r="H15" s="356">
        <f ca="1">SUMIFS(OFFSET(Arb!$U$2,Arb!$AJ$36,,Arb!$AJ$37,),OFFSET(Arb!$B$2,Arb!$AJ$36,,Arb!$AJ$37,),$B15,OFFSET(Arb!$C$2,Arb!$AJ$36,,Arb!$AJ$37,),$A15,OFFSET(Arb!$AI$2,Arb!$AJ$36,,Arb!$AJ$37,),TRUE)</f>
        <v>3376</v>
      </c>
      <c r="I15" s="356">
        <f ca="1">SUMIFS(OFFSET(Arb!$V$2,Arb!$AJ$36,,Arb!$AJ$37,),OFFSET(Arb!$B$2,Arb!$AJ$36,,Arb!$AJ$37,),$B15,OFFSET(Arb!$C$2,Arb!$AJ$36,,Arb!$AJ$37,),$A15,OFFSET(Arb!$AI$2,Arb!$AJ$36,,Arb!$AJ$37,),TRUE)</f>
        <v>127</v>
      </c>
      <c r="J15" s="356">
        <f ca="1">SUMIFS(OFFSET(Arb!$X$2,Arb!$AJ$36,,Arb!$AJ$37,),OFFSET(Arb!$B$2,Arb!$AJ$36,,Arb!$AJ$37,),$B15,OFFSET(Arb!$C$2,Arb!$AJ$36,,Arb!$AJ$37,),$A15,OFFSET(Arb!$AI$2,Arb!$AJ$36,,Arb!$AJ$37,),TRUE)</f>
        <v>3123</v>
      </c>
      <c r="K15" s="356">
        <f ca="1">SUMIFS(OFFSET(Arb!$AA$2,Arb!$AJ$36,,Arb!$AJ$37,),OFFSET(Arb!$B$2,Arb!$AJ$36,,Arb!$AJ$37,),$B15,OFFSET(Arb!$C$2,Arb!$AJ$36,,Arb!$AJ$37,),$A15,OFFSET(Arb!$AI$2,Arb!$AJ$36,,Arb!$AJ$37,),TRUE)</f>
        <v>312</v>
      </c>
      <c r="L15" s="356">
        <f ca="1">SUMIFS(OFFSET(Arb!$AB$2,Arb!$AJ$36,,Arb!$AJ$37,),OFFSET(Arb!$B$2,Arb!$AJ$36,,Arb!$AJ$37,),$B15,OFFSET(Arb!$C$2,Arb!$AJ$36,,Arb!$AJ$37,),$A15,OFFSET(Arb!$AI$2,Arb!$AJ$36,,Arb!$AJ$37,),TRUE)</f>
        <v>336</v>
      </c>
      <c r="M15" s="358">
        <f t="shared" ca="1" si="26"/>
        <v>3503</v>
      </c>
      <c r="N15" s="21">
        <f t="shared" ca="1" si="27"/>
        <v>60.170731707317074</v>
      </c>
      <c r="O15" s="12">
        <f t="shared" ca="1" si="28"/>
        <v>30.334390243902433</v>
      </c>
      <c r="P15" s="33">
        <f t="shared" ca="1" si="78"/>
        <v>1.9835813815117675</v>
      </c>
      <c r="Q15" s="20">
        <f t="shared" ca="1" si="30"/>
        <v>2.5110355307909402</v>
      </c>
      <c r="R15" s="33">
        <f t="shared" ca="1" si="31"/>
        <v>2.8165729953124123</v>
      </c>
      <c r="S15" s="33">
        <f t="shared" ca="1" si="79"/>
        <v>5.4942025414843556</v>
      </c>
      <c r="T15" s="34">
        <f t="shared" ca="1" si="33"/>
        <v>27.980402768054329</v>
      </c>
      <c r="U15" s="12">
        <f t="shared" ca="1" si="34"/>
        <v>7.6097560975609753</v>
      </c>
      <c r="V15" s="12">
        <f t="shared" ca="1" si="35"/>
        <v>8.1951219512195124</v>
      </c>
      <c r="W15" s="33">
        <f t="shared" ca="1" si="80"/>
        <v>0.89152155295461033</v>
      </c>
      <c r="X15" s="33">
        <f t="shared" ca="1" si="81"/>
        <v>0.78994556516170356</v>
      </c>
      <c r="Y15" s="33">
        <f t="shared" ca="1" si="38"/>
        <v>0.70425349700256923</v>
      </c>
      <c r="Z15" s="359">
        <f t="shared" ca="1" si="39"/>
        <v>199.40243902439025</v>
      </c>
      <c r="AA15" s="34">
        <f t="shared" ca="1" si="82"/>
        <v>6.5734777399876192</v>
      </c>
      <c r="AB15" s="33">
        <f t="shared" ca="1" si="83"/>
        <v>0.30175524432756407</v>
      </c>
      <c r="AC15" s="21">
        <f t="shared" ca="1" si="42"/>
        <v>16.50623616597224</v>
      </c>
      <c r="AD15" s="468">
        <f ca="1">AD4</f>
        <v>21</v>
      </c>
      <c r="AE15" s="12">
        <f t="shared" ca="1" si="43"/>
        <v>1.9523809523809523</v>
      </c>
      <c r="AF15" s="358">
        <f ca="1">COUNTIFS(BV!$H$55:$H$160,"&gt;=" &amp; DATE($A15,$B15,1),BV!$H$55:$H$160,"&lt;" &amp; DATE(IF($B15=12,$A15+1,$A15),IF($B15=12,1,$B15+1),1))</f>
        <v>4</v>
      </c>
      <c r="AG15" s="358">
        <f ca="1">COUNTIFS(BV!$P$55:$P$160,"&gt;=" &amp; DATE($A15,$B15,1),BV!$P$55:$P$160,"&lt;" &amp; DATE(IF($B15=12,$A15+1,$A15),IF($B15=12,1,$B15+1),1))</f>
        <v>6</v>
      </c>
      <c r="AH15" s="358">
        <f ca="1">COUNTIFS(BV!$X$55:$X$160,"&gt;=" &amp; DATE($A15,$B15,1),BV!$X$55:$X$160,"&lt;" &amp; DATE(IF($B15=12,$A15+1,$A15),IF($B15=12,1,$B15+1),1))</f>
        <v>6</v>
      </c>
      <c r="AI15" s="358">
        <f ca="1">COUNTIFS(BV!$AF$55:$AF$160,"&gt;=" &amp; DATE($A15,$B15,1),BV!$AF$55:$AF$160,"&lt;" &amp; DATE(IF($B15=12,$A15+1,$A15),IF($B15=12,1,$B15+1),1))</f>
        <v>4</v>
      </c>
      <c r="AJ15" s="358">
        <f ca="1">COUNTIFS(BV!$AN$55:$AN$160,"&gt;=" &amp; DATE($A15,$B15,1),BV!$AN$55:$AN$160,"&lt;" &amp; DATE(IF($B15=12,$A15+1,$A15),IF($B15=12,1,$B15+1),1))</f>
        <v>4</v>
      </c>
      <c r="AK15" s="358">
        <f ca="1">COUNTIFS(BV!$AV$55:$AV$160,"&gt;=" &amp; DATE($A15,$B15,1),BV!$AV$55:$AV$160,"&lt;" &amp; DATE(IF($B15=12,$A15+1,$A15),IF($B15=12,1,$B15+1),1))</f>
        <v>3</v>
      </c>
      <c r="AL15" s="358">
        <f ca="1">COUNTIFS(BV!$BD$55:$BD$160,"&gt;=" &amp; DATE($A15,$B15,1),BV!$BD$55:$BD$160,"&lt;" &amp; DATE(IF($B15=12,$A15+1,$A15),IF($B15=12,1,$B15+1),1))</f>
        <v>0</v>
      </c>
      <c r="AM15" s="358">
        <f ca="1">COUNTIFS(BV!$BL$55:$BL$160,"&gt;=" &amp; DATE($A15,$B15,1),BV!$BL$55:$BL$160,"&lt;" &amp; DATE(IF($B15=12,$A15+1,$A15),IF($B15=12,1,$B15+1),1))</f>
        <v>1</v>
      </c>
      <c r="AN15" s="358">
        <f ca="1">COUNTIFS(BV!$BT$55:$BT$160,"&gt;=" &amp; DATE($A15,$B15,1),BV!$BT$55:$BT$160,"&lt;" &amp; DATE(IF($B15=12,$A15+1,$A15),IF($B15=12,1,$B15+1),1))</f>
        <v>0</v>
      </c>
      <c r="AO15" s="358">
        <f ca="1">COUNTIFS(BV!$CB$55:$CB$160,"&gt;=" &amp; DATE($A15,$B15,1),BV!$CB$55:$CB$160,"&lt;" &amp; DATE(IF($B15=12,$A15+1,$A15),IF($B15=12,1,$B15+1),1))</f>
        <v>1</v>
      </c>
      <c r="AP15" s="35">
        <f t="shared" ca="1" si="44"/>
        <v>115.25</v>
      </c>
      <c r="AQ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4</v>
      </c>
      <c r="AR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4</v>
      </c>
      <c r="AS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6</v>
      </c>
      <c r="AT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7</v>
      </c>
      <c r="AU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11</v>
      </c>
      <c r="AV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6</v>
      </c>
      <c r="AW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8</v>
      </c>
      <c r="AX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5</v>
      </c>
      <c r="AY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3</v>
      </c>
      <c r="AZ15" s="506">
        <f ca="1">COUNTIFS(OFFSET(Time!$T$2,(COLUMN()-43)*20,,20,),"&gt;=" &amp; DATE($A15,$B15,1),OFFSET(Time!$T$2,(COLUMN()-43)*20,,20,),"&lt;" &amp; DATE(IF($B15=12,$A15+1,$A15),IF($B15=12,1,$B15+1),1))+COUNTIFS(OFFSET(Bvs!$T$2,(COLUMN()-43)*20,,20,),"&gt;=" &amp; DATE($A15,$B15,1),OFFSET(Bvs!$T$2,(COLUMN()-43)*20,,20,),"&lt;" &amp; DATE(IF($B15=12,$A15+1,$A15),IF($B15=12,1,$B15+1),1))+COUNTIFS(OFFSET(QG!$T$2,(COLUMN()-43)*20,,20,),"&gt;=" &amp; DATE($A15,$B15,1),OFFSET(QG!$T$2,(COLUMN()-43)*20,,20,),"&lt;" &amp; DATE(IF($B15=12,$A15+1,$A15),IF($B15=12,1,$B15+1),1))</f>
        <v>6</v>
      </c>
      <c r="BA15" s="35">
        <f t="shared" ca="1" si="45"/>
        <v>156.51190476190476</v>
      </c>
      <c r="BB15" s="35">
        <f t="shared" ca="1" si="46"/>
        <v>271.76190476190476</v>
      </c>
      <c r="BC15" s="12">
        <f t="shared" ca="1" si="47"/>
        <v>12.941043083900226</v>
      </c>
      <c r="BD15" s="378">
        <f t="shared" ca="1" si="48"/>
        <v>6.628339140534262</v>
      </c>
    </row>
    <row r="16" spans="1:56" x14ac:dyDescent="0.25">
      <c r="A16" s="377">
        <f t="shared" ref="A16" si="111">IF(B17=1,A17-1,A17)</f>
        <v>2020</v>
      </c>
      <c r="B16" s="360">
        <f t="shared" si="85"/>
        <v>5</v>
      </c>
      <c r="C16" s="361" t="s">
        <v>39</v>
      </c>
      <c r="D16" s="356">
        <f ca="1">COUNTIFS(OFFSET(Arb!$B$2,Arb!$AJ$36,,Arb!$AJ$37,),$B16,OFFSET(Arb!$C$2,Arb!$AJ$36,,Arb!$AJ$37,),$A16,OFFSET(Arb!$AI$2,Arb!$AJ$36,,Arb!$AJ$37,),TRUE)</f>
        <v>8</v>
      </c>
      <c r="E16" s="356">
        <f ca="1">SUMIFS(OFFSET(Arb!$I$2,Arb!$AJ$36,,Arb!$AJ$37,),OFFSET(Arb!$B$2,Arb!$AJ$36,,Arb!$AJ$37,),$B16,OFFSET(Arb!$C$2,Arb!$AJ$36,,Arb!$AJ$37,),$A16,OFFSET(Arb!$AI$2,Arb!$AJ$36,,Arb!$AJ$37,),TRUE)</f>
        <v>491</v>
      </c>
      <c r="F16" s="356">
        <f ca="1">SUMIFS(OFFSET(Arb!$H$2,Arb!$AJ$36,,Arb!$AJ$37,),OFFSET(Arb!$B$2,Arb!$AJ$36,,Arb!$AJ$37,),$B16,OFFSET(Arb!$C$2,Arb!$AJ$36,,Arb!$AJ$37,),$A16,OFFSET(Arb!$AI$2,Arb!$AJ$36,,Arb!$AJ$37,),TRUE)</f>
        <v>185.21</v>
      </c>
      <c r="G16" s="356">
        <f ca="1">SUMIFS(OFFSET(Arb!$AC$2,Arb!$AJ$36,,Arb!$AJ$37,),OFFSET(Arb!$B$2,Arb!$AJ$36,,Arb!$AJ$37,),$B16,OFFSET(Arb!$C$2,Arb!$AJ$36,,Arb!$AJ$37,),$A16,OFFSET(Arb!$AI$2,Arb!$AJ$36,,Arb!$AJ$37,),TRUE)</f>
        <v>26959</v>
      </c>
      <c r="H16" s="356">
        <f ca="1">SUMIFS(OFFSET(Arb!$U$2,Arb!$AJ$36,,Arb!$AJ$37,),OFFSET(Arb!$B$2,Arb!$AJ$36,,Arb!$AJ$37,),$B16,OFFSET(Arb!$C$2,Arb!$AJ$36,,Arb!$AJ$37,),$A16,OFFSET(Arb!$AI$2,Arb!$AJ$36,,Arb!$AJ$37,),TRUE)</f>
        <v>682</v>
      </c>
      <c r="I16" s="356">
        <f ca="1">SUMIFS(OFFSET(Arb!$V$2,Arb!$AJ$36,,Arb!$AJ$37,),OFFSET(Arb!$B$2,Arb!$AJ$36,,Arb!$AJ$37,),$B16,OFFSET(Arb!$C$2,Arb!$AJ$36,,Arb!$AJ$37,),$A16,OFFSET(Arb!$AI$2,Arb!$AJ$36,,Arb!$AJ$37,),TRUE)</f>
        <v>0</v>
      </c>
      <c r="J16" s="356">
        <f ca="1">SUMIFS(OFFSET(Arb!$X$2,Arb!$AJ$36,,Arb!$AJ$37,),OFFSET(Arb!$B$2,Arb!$AJ$36,,Arb!$AJ$37,),$B16,OFFSET(Arb!$C$2,Arb!$AJ$36,,Arb!$AJ$37,),$A16,OFFSET(Arb!$AI$2,Arb!$AJ$36,,Arb!$AJ$37,),TRUE)</f>
        <v>599</v>
      </c>
      <c r="K16" s="356">
        <f ca="1">SUMIFS(OFFSET(Arb!$AA$2,Arb!$AJ$36,,Arb!$AJ$37,),OFFSET(Arb!$B$2,Arb!$AJ$36,,Arb!$AJ$37,),$B16,OFFSET(Arb!$C$2,Arb!$AJ$36,,Arb!$AJ$37,),$A16,OFFSET(Arb!$AI$2,Arb!$AJ$36,,Arb!$AJ$37,),TRUE)</f>
        <v>56</v>
      </c>
      <c r="L16" s="356">
        <f ca="1">SUMIFS(OFFSET(Arb!$AB$2,Arb!$AJ$36,,Arb!$AJ$37,),OFFSET(Arb!$B$2,Arb!$AJ$36,,Arb!$AJ$37,),$B16,OFFSET(Arb!$C$2,Arb!$AJ$36,,Arb!$AJ$37,),$A16,OFFSET(Arb!$AI$2,Arb!$AJ$36,,Arb!$AJ$37,),TRUE)</f>
        <v>57</v>
      </c>
      <c r="M16" s="358">
        <f t="shared" ca="1" si="26"/>
        <v>682</v>
      </c>
      <c r="N16" s="21">
        <f t="shared" ca="1" si="27"/>
        <v>61.375</v>
      </c>
      <c r="O16" s="12">
        <f t="shared" ca="1" si="28"/>
        <v>23.151250000000001</v>
      </c>
      <c r="P16" s="33">
        <f t="shared" ref="P16" ca="1" si="112">IFERROR(N16/O16,"")</f>
        <v>2.6510447600021596</v>
      </c>
      <c r="Q16" s="20">
        <f t="shared" ca="1" si="30"/>
        <v>3.2341666216726956</v>
      </c>
      <c r="R16" s="33">
        <f t="shared" ca="1" si="31"/>
        <v>3.6823065709194966</v>
      </c>
      <c r="S16" s="33">
        <f t="shared" ref="S16" ca="1" si="113">IFERROR(O16^1.7/N16,"")</f>
        <v>3.4023975026778159</v>
      </c>
      <c r="T16" s="34">
        <f t="shared" ca="1" si="33"/>
        <v>45.182845296297288</v>
      </c>
      <c r="U16" s="12">
        <f t="shared" ca="1" si="34"/>
        <v>7</v>
      </c>
      <c r="V16" s="12">
        <f t="shared" ca="1" si="35"/>
        <v>7.125</v>
      </c>
      <c r="W16" s="33">
        <f t="shared" ref="W16" ca="1" si="114">IFERROR(Q16/R16,"")</f>
        <v>0.8782991202346041</v>
      </c>
      <c r="X16" s="33">
        <f t="shared" ref="X16" ca="1" si="115">IFERROR(P16/Q16,"")</f>
        <v>0.81969949916527551</v>
      </c>
      <c r="Y16" s="33">
        <f t="shared" ca="1" si="38"/>
        <v>0.71994134897360706</v>
      </c>
      <c r="Z16" s="359">
        <f t="shared" ca="1" si="39"/>
        <v>210.6171875</v>
      </c>
      <c r="AA16" s="34">
        <f t="shared" ref="AA16" ca="1" si="116">IFERROR(Z16/O16,"")</f>
        <v>9.0974434425786939</v>
      </c>
      <c r="AB16" s="33">
        <f t="shared" ref="AB16" ca="1" si="117">IFERROR(N16/Z16,"")</f>
        <v>0.2914054675618532</v>
      </c>
      <c r="AC16" s="21">
        <f t="shared" ca="1" si="42"/>
        <v>29.422647924543153</v>
      </c>
      <c r="AD16" s="468">
        <f ca="1">AD5</f>
        <v>15</v>
      </c>
      <c r="AE16" s="12">
        <f t="shared" ca="1" si="43"/>
        <v>0.53333333333333333</v>
      </c>
      <c r="AF16" s="358">
        <f ca="1">COUNTIFS(BV!$H$55:$H$160,"&gt;=" &amp; DATE($A16,$B16,1),BV!$H$55:$H$160,"&lt;" &amp; DATE(IF($B16=12,$A16+1,$A16),IF($B16=12,1,$B16+1),1))</f>
        <v>3</v>
      </c>
      <c r="AG16" s="358">
        <f ca="1">COUNTIFS(BV!$P$55:$P$160,"&gt;=" &amp; DATE($A16,$B16,1),BV!$P$55:$P$160,"&lt;" &amp; DATE(IF($B16=12,$A16+1,$A16),IF($B16=12,1,$B16+1),1))</f>
        <v>1</v>
      </c>
      <c r="AH16" s="358">
        <f ca="1">COUNTIFS(BV!$X$55:$X$160,"&gt;=" &amp; DATE($A16,$B16,1),BV!$X$55:$X$160,"&lt;" &amp; DATE(IF($B16=12,$A16+1,$A16),IF($B16=12,1,$B16+1),1))</f>
        <v>0</v>
      </c>
      <c r="AI16" s="358">
        <f ca="1">COUNTIFS(BV!$AF$55:$AF$160,"&gt;=" &amp; DATE($A16,$B16,1),BV!$AF$55:$AF$160,"&lt;" &amp; DATE(IF($B16=12,$A16+1,$A16),IF($B16=12,1,$B16+1),1))</f>
        <v>1</v>
      </c>
      <c r="AJ16" s="358">
        <f ca="1">COUNTIFS(BV!$AN$55:$AN$160,"&gt;=" &amp; DATE($A16,$B16,1),BV!$AN$55:$AN$160,"&lt;" &amp; DATE(IF($B16=12,$A16+1,$A16),IF($B16=12,1,$B16+1),1))</f>
        <v>3</v>
      </c>
      <c r="AK16" s="358">
        <f ca="1">COUNTIFS(BV!$AV$55:$AV$160,"&gt;=" &amp; DATE($A16,$B16,1),BV!$AV$55:$AV$160,"&lt;" &amp; DATE(IF($B16=12,$A16+1,$A16),IF($B16=12,1,$B16+1),1))</f>
        <v>0</v>
      </c>
      <c r="AL16" s="358">
        <f ca="1">COUNTIFS(BV!$BD$55:$BD$160,"&gt;=" &amp; DATE($A16,$B16,1),BV!$BD$55:$BD$160,"&lt;" &amp; DATE(IF($B16=12,$A16+1,$A16),IF($B16=12,1,$B16+1),1))</f>
        <v>0</v>
      </c>
      <c r="AM16" s="358">
        <f ca="1">COUNTIFS(BV!$BL$55:$BL$160,"&gt;=" &amp; DATE($A16,$B16,1),BV!$BL$55:$BL$160,"&lt;" &amp; DATE(IF($B16=12,$A16+1,$A16),IF($B16=12,1,$B16+1),1))</f>
        <v>0</v>
      </c>
      <c r="AN16" s="358">
        <f ca="1">COUNTIFS(BV!$BT$55:$BT$160,"&gt;=" &amp; DATE($A16,$B16,1),BV!$BT$55:$BT$160,"&lt;" &amp; DATE(IF($B16=12,$A16+1,$A16),IF($B16=12,1,$B16+1),1))</f>
        <v>0</v>
      </c>
      <c r="AO16" s="358">
        <f ca="1">COUNTIFS(BV!$CB$55:$CB$160,"&gt;=" &amp; DATE($A16,$B16,1),BV!$CB$55:$CB$160,"&lt;" &amp; DATE(IF($B16=12,$A16+1,$A16),IF($B16=12,1,$B16+1),1))</f>
        <v>0</v>
      </c>
      <c r="AP16" s="35">
        <f t="shared" ca="1" si="44"/>
        <v>43.5</v>
      </c>
      <c r="AQ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4</v>
      </c>
      <c r="AR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1</v>
      </c>
      <c r="AS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3</v>
      </c>
      <c r="AT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1</v>
      </c>
      <c r="AU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2</v>
      </c>
      <c r="AV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3</v>
      </c>
      <c r="AW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3</v>
      </c>
      <c r="AX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0</v>
      </c>
      <c r="AY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1</v>
      </c>
      <c r="AZ16" s="506">
        <f ca="1">COUNTIFS(OFFSET(Time!$T$2,(COLUMN()-43)*20,,20,),"&gt;=" &amp; DATE($A16,$B16,1),OFFSET(Time!$T$2,(COLUMN()-43)*20,,20,),"&lt;" &amp; DATE(IF($B16=12,$A16+1,$A16),IF($B16=12,1,$B16+1),1))+COUNTIFS(OFFSET(Bvs!$T$2,(COLUMN()-43)*20,,20,),"&gt;=" &amp; DATE($A16,$B16,1),OFFSET(Bvs!$T$2,(COLUMN()-43)*20,,20,),"&lt;" &amp; DATE(IF($B16=12,$A16+1,$A16),IF($B16=12,1,$B16+1),1))+COUNTIFS(OFFSET(QG!$T$2,(COLUMN()-43)*20,,20,),"&gt;=" &amp; DATE($A16,$B16,1),OFFSET(QG!$T$2,(COLUMN()-43)*20,,20,),"&lt;" &amp; DATE(IF($B16=12,$A16+1,$A16),IF($B16=12,1,$B16+1),1))</f>
        <v>0</v>
      </c>
      <c r="BA16" s="35">
        <f t="shared" ca="1" si="45"/>
        <v>71.896825396825392</v>
      </c>
      <c r="BB16" s="35">
        <f t="shared" ca="1" si="46"/>
        <v>115.39682539682539</v>
      </c>
      <c r="BC16" s="12">
        <f t="shared" ca="1" si="47"/>
        <v>7.693121693121693</v>
      </c>
      <c r="BD16" s="378">
        <f t="shared" ca="1" si="48"/>
        <v>14.424603174603174</v>
      </c>
    </row>
    <row r="17" spans="1:56" x14ac:dyDescent="0.25">
      <c r="A17" s="377">
        <f t="shared" ref="A17" si="118">IF(B18=1,A18-1,A18)</f>
        <v>2020</v>
      </c>
      <c r="B17" s="360">
        <f t="shared" si="85"/>
        <v>6</v>
      </c>
      <c r="C17" s="361" t="s">
        <v>39</v>
      </c>
      <c r="D17" s="356">
        <f ca="1">COUNTIFS(OFFSET(Arb!$B$2,Arb!$AJ$36,,Arb!$AJ$37,),$B17,OFFSET(Arb!$C$2,Arb!$AJ$36,,Arb!$AJ$37,),$A17,OFFSET(Arb!$AI$2,Arb!$AJ$36,,Arb!$AJ$37,),TRUE)</f>
        <v>8</v>
      </c>
      <c r="E17" s="356">
        <f ca="1">SUMIFS(OFFSET(Arb!$I$2,Arb!$AJ$36,,Arb!$AJ$37,),OFFSET(Arb!$B$2,Arb!$AJ$36,,Arb!$AJ$37,),$B17,OFFSET(Arb!$C$2,Arb!$AJ$36,,Arb!$AJ$37,),$A17,OFFSET(Arb!$AI$2,Arb!$AJ$36,,Arb!$AJ$37,),TRUE)</f>
        <v>461</v>
      </c>
      <c r="F17" s="356">
        <f ca="1">SUMIFS(OFFSET(Arb!$H$2,Arb!$AJ$36,,Arb!$AJ$37,),OFFSET(Arb!$B$2,Arb!$AJ$36,,Arb!$AJ$37,),$B17,OFFSET(Arb!$C$2,Arb!$AJ$36,,Arb!$AJ$37,),$A17,OFFSET(Arb!$AI$2,Arb!$AJ$36,,Arb!$AJ$37,),TRUE)</f>
        <v>193.64</v>
      </c>
      <c r="G17" s="356">
        <f ca="1">SUMIFS(OFFSET(Arb!$AC$2,Arb!$AJ$36,,Arb!$AJ$37,),OFFSET(Arb!$B$2,Arb!$AJ$36,,Arb!$AJ$37,),$B17,OFFSET(Arb!$C$2,Arb!$AJ$36,,Arb!$AJ$37,),$A17,OFFSET(Arb!$AI$2,Arb!$AJ$36,,Arb!$AJ$37,),TRUE)</f>
        <v>26516</v>
      </c>
      <c r="H17" s="356">
        <f ca="1">SUMIFS(OFFSET(Arb!$U$2,Arb!$AJ$36,,Arb!$AJ$37,),OFFSET(Arb!$B$2,Arb!$AJ$36,,Arb!$AJ$37,),$B17,OFFSET(Arb!$C$2,Arb!$AJ$36,,Arb!$AJ$37,),$A17,OFFSET(Arb!$AI$2,Arb!$AJ$36,,Arb!$AJ$37,),TRUE)</f>
        <v>734</v>
      </c>
      <c r="I17" s="356">
        <f ca="1">SUMIFS(OFFSET(Arb!$V$2,Arb!$AJ$36,,Arb!$AJ$37,),OFFSET(Arb!$B$2,Arb!$AJ$36,,Arb!$AJ$37,),$B17,OFFSET(Arb!$C$2,Arb!$AJ$36,,Arb!$AJ$37,),$A17,OFFSET(Arb!$AI$2,Arb!$AJ$36,,Arb!$AJ$37,),TRUE)</f>
        <v>0</v>
      </c>
      <c r="J17" s="356">
        <f ca="1">SUMIFS(OFFSET(Arb!$X$2,Arb!$AJ$36,,Arb!$AJ$37,),OFFSET(Arb!$B$2,Arb!$AJ$36,,Arb!$AJ$37,),$B17,OFFSET(Arb!$C$2,Arb!$AJ$36,,Arb!$AJ$37,),$A17,OFFSET(Arb!$AI$2,Arb!$AJ$36,,Arb!$AJ$37,),TRUE)</f>
        <v>626</v>
      </c>
      <c r="K17" s="356">
        <f ca="1">SUMIFS(OFFSET(Arb!$AA$2,Arb!$AJ$36,,Arb!$AJ$37,),OFFSET(Arb!$B$2,Arb!$AJ$36,,Arb!$AJ$37,),$B17,OFFSET(Arb!$C$2,Arb!$AJ$36,,Arb!$AJ$37,),$A17,OFFSET(Arb!$AI$2,Arb!$AJ$36,,Arb!$AJ$37,),TRUE)</f>
        <v>64</v>
      </c>
      <c r="L17" s="356">
        <f ca="1">SUMIFS(OFFSET(Arb!$AB$2,Arb!$AJ$36,,Arb!$AJ$37,),OFFSET(Arb!$B$2,Arb!$AJ$36,,Arb!$AJ$37,),$B17,OFFSET(Arb!$C$2,Arb!$AJ$36,,Arb!$AJ$37,),$A17,OFFSET(Arb!$AI$2,Arb!$AJ$36,,Arb!$AJ$37,),TRUE)</f>
        <v>74</v>
      </c>
      <c r="M17" s="358">
        <f t="shared" ca="1" si="26"/>
        <v>734</v>
      </c>
      <c r="N17" s="21">
        <f t="shared" ca="1" si="27"/>
        <v>57.625</v>
      </c>
      <c r="O17" s="12">
        <f t="shared" ca="1" si="28"/>
        <v>24.204999999999998</v>
      </c>
      <c r="P17" s="33">
        <f t="shared" ca="1" si="78"/>
        <v>2.3807064656062797</v>
      </c>
      <c r="Q17" s="20">
        <f t="shared" ca="1" si="30"/>
        <v>3.2328031398471393</v>
      </c>
      <c r="R17" s="33">
        <f t="shared" ca="1" si="31"/>
        <v>3.7905391448047925</v>
      </c>
      <c r="S17" s="33">
        <f t="shared" ca="1" si="79"/>
        <v>3.9086583356460514</v>
      </c>
      <c r="T17" s="34">
        <f t="shared" ca="1" si="33"/>
        <v>39.330631331477171</v>
      </c>
      <c r="U17" s="12">
        <f t="shared" ca="1" si="34"/>
        <v>8</v>
      </c>
      <c r="V17" s="12">
        <f t="shared" ca="1" si="35"/>
        <v>9.25</v>
      </c>
      <c r="W17" s="33">
        <f t="shared" ca="1" si="80"/>
        <v>0.85286103542234337</v>
      </c>
      <c r="X17" s="33">
        <f t="shared" ca="1" si="81"/>
        <v>0.73642172523961658</v>
      </c>
      <c r="Y17" s="33">
        <f t="shared" ca="1" si="38"/>
        <v>0.62806539509536785</v>
      </c>
      <c r="Z17" s="359">
        <f t="shared" ca="1" si="39"/>
        <v>207.15625</v>
      </c>
      <c r="AA17" s="34">
        <f t="shared" ca="1" si="82"/>
        <v>8.5584073538525107</v>
      </c>
      <c r="AB17" s="33">
        <f t="shared" ca="1" si="83"/>
        <v>0.27817166993513348</v>
      </c>
      <c r="AC17" s="21">
        <f t="shared" ca="1" si="42"/>
        <v>27.667646165625243</v>
      </c>
      <c r="AD17" s="468">
        <f ca="1">AD6</f>
        <v>15</v>
      </c>
      <c r="AE17" s="12">
        <f t="shared" ca="1" si="43"/>
        <v>0.53333333333333333</v>
      </c>
      <c r="AF17" s="358">
        <f ca="1">COUNTIFS(BV!$H$55:$H$160,"&gt;=" &amp; DATE($A17,$B17,1),BV!$H$55:$H$160,"&lt;" &amp; DATE(IF($B17=12,$A17+1,$A17),IF($B17=12,1,$B17+1),1))</f>
        <v>1</v>
      </c>
      <c r="AG17" s="358">
        <f ca="1">COUNTIFS(BV!$P$55:$P$160,"&gt;=" &amp; DATE($A17,$B17,1),BV!$P$55:$P$160,"&lt;" &amp; DATE(IF($B17=12,$A17+1,$A17),IF($B17=12,1,$B17+1),1))</f>
        <v>0</v>
      </c>
      <c r="AH17" s="358">
        <f ca="1">COUNTIFS(BV!$X$55:$X$160,"&gt;=" &amp; DATE($A17,$B17,1),BV!$X$55:$X$160,"&lt;" &amp; DATE(IF($B17=12,$A17+1,$A17),IF($B17=12,1,$B17+1),1))</f>
        <v>1</v>
      </c>
      <c r="AI17" s="358">
        <f ca="1">COUNTIFS(BV!$AF$55:$AF$160,"&gt;=" &amp; DATE($A17,$B17,1),BV!$AF$55:$AF$160,"&lt;" &amp; DATE(IF($B17=12,$A17+1,$A17),IF($B17=12,1,$B17+1),1))</f>
        <v>1</v>
      </c>
      <c r="AJ17" s="358">
        <f ca="1">COUNTIFS(BV!$AN$55:$AN$160,"&gt;=" &amp; DATE($A17,$B17,1),BV!$AN$55:$AN$160,"&lt;" &amp; DATE(IF($B17=12,$A17+1,$A17),IF($B17=12,1,$B17+1),1))</f>
        <v>2</v>
      </c>
      <c r="AK17" s="358">
        <f ca="1">COUNTIFS(BV!$AV$55:$AV$160,"&gt;=" &amp; DATE($A17,$B17,1),BV!$AV$55:$AV$160,"&lt;" &amp; DATE(IF($B17=12,$A17+1,$A17),IF($B17=12,1,$B17+1),1))</f>
        <v>1</v>
      </c>
      <c r="AL17" s="358">
        <f ca="1">COUNTIFS(BV!$BD$55:$BD$160,"&gt;=" &amp; DATE($A17,$B17,1),BV!$BD$55:$BD$160,"&lt;" &amp; DATE(IF($B17=12,$A17+1,$A17),IF($B17=12,1,$B17+1),1))</f>
        <v>0</v>
      </c>
      <c r="AM17" s="358">
        <f ca="1">COUNTIFS(BV!$BL$55:$BL$160,"&gt;=" &amp; DATE($A17,$B17,1),BV!$BL$55:$BL$160,"&lt;" &amp; DATE(IF($B17=12,$A17+1,$A17),IF($B17=12,1,$B17+1),1))</f>
        <v>0</v>
      </c>
      <c r="AN17" s="358">
        <f ca="1">COUNTIFS(BV!$BT$55:$BT$160,"&gt;=" &amp; DATE($A17,$B17,1),BV!$BT$55:$BT$160,"&lt;" &amp; DATE(IF($B17=12,$A17+1,$A17),IF($B17=12,1,$B17+1),1))</f>
        <v>0</v>
      </c>
      <c r="AO17" s="358">
        <f ca="1">COUNTIFS(BV!$CB$55:$CB$160,"&gt;=" &amp; DATE($A17,$B17,1),BV!$CB$55:$CB$160,"&lt;" &amp; DATE(IF($B17=12,$A17+1,$A17),IF($B17=12,1,$B17+1),1))</f>
        <v>0</v>
      </c>
      <c r="AP17" s="35">
        <f t="shared" ca="1" si="44"/>
        <v>21.5</v>
      </c>
      <c r="AQ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0</v>
      </c>
      <c r="AR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3</v>
      </c>
      <c r="AS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1</v>
      </c>
      <c r="AT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0</v>
      </c>
      <c r="AU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1</v>
      </c>
      <c r="AV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2</v>
      </c>
      <c r="AW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0</v>
      </c>
      <c r="AX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0</v>
      </c>
      <c r="AY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1</v>
      </c>
      <c r="AZ17" s="506">
        <f ca="1">COUNTIFS(OFFSET(Time!$T$2,(COLUMN()-43)*20,,20,),"&gt;=" &amp; DATE($A17,$B17,1),OFFSET(Time!$T$2,(COLUMN()-43)*20,,20,),"&lt;" &amp; DATE(IF($B17=12,$A17+1,$A17),IF($B17=12,1,$B17+1),1))+COUNTIFS(OFFSET(Bvs!$T$2,(COLUMN()-43)*20,,20,),"&gt;=" &amp; DATE($A17,$B17,1),OFFSET(Bvs!$T$2,(COLUMN()-43)*20,,20,),"&lt;" &amp; DATE(IF($B17=12,$A17+1,$A17),IF($B17=12,1,$B17+1),1))+COUNTIFS(OFFSET(QG!$T$2,(COLUMN()-43)*20,,20,),"&gt;=" &amp; DATE($A17,$B17,1),OFFSET(QG!$T$2,(COLUMN()-43)*20,,20,),"&lt;" &amp; DATE(IF($B17=12,$A17+1,$A17),IF($B17=12,1,$B17+1),1))</f>
        <v>0</v>
      </c>
      <c r="BA17" s="35">
        <f t="shared" ca="1" si="45"/>
        <v>24.777777777777779</v>
      </c>
      <c r="BB17" s="35">
        <f t="shared" ca="1" si="46"/>
        <v>46.277777777777779</v>
      </c>
      <c r="BC17" s="12">
        <f t="shared" ca="1" si="47"/>
        <v>3.085185185185185</v>
      </c>
      <c r="BD17" s="378">
        <f t="shared" ca="1" si="48"/>
        <v>5.7847222222222223</v>
      </c>
    </row>
    <row r="18" spans="1:56" x14ac:dyDescent="0.25">
      <c r="A18" s="377">
        <f t="shared" ref="A18" si="119">IF(B19=1,A19-1,A19)</f>
        <v>2020</v>
      </c>
      <c r="B18" s="360">
        <f t="shared" si="85"/>
        <v>7</v>
      </c>
      <c r="C18" s="361" t="s">
        <v>39</v>
      </c>
      <c r="D18" s="356">
        <f ca="1">COUNTIFS(OFFSET(Arb!$B$2,Arb!$AJ$36,,Arb!$AJ$37,),$B18,OFFSET(Arb!$C$2,Arb!$AJ$36,,Arb!$AJ$37,),$A18,OFFSET(Arb!$AI$2,Arb!$AJ$36,,Arb!$AJ$37,),TRUE)</f>
        <v>0</v>
      </c>
      <c r="E18" s="356">
        <f ca="1">SUMIFS(OFFSET(Arb!$I$2,Arb!$AJ$36,,Arb!$AJ$37,),OFFSET(Arb!$B$2,Arb!$AJ$36,,Arb!$AJ$37,),$B18,OFFSET(Arb!$C$2,Arb!$AJ$36,,Arb!$AJ$37,),$A18,OFFSET(Arb!$AI$2,Arb!$AJ$36,,Arb!$AJ$37,),TRUE)</f>
        <v>0</v>
      </c>
      <c r="F18" s="356">
        <f ca="1">SUMIFS(OFFSET(Arb!$H$2,Arb!$AJ$36,,Arb!$AJ$37,),OFFSET(Arb!$B$2,Arb!$AJ$36,,Arb!$AJ$37,),$B18,OFFSET(Arb!$C$2,Arb!$AJ$36,,Arb!$AJ$37,),$A18,OFFSET(Arb!$AI$2,Arb!$AJ$36,,Arb!$AJ$37,),TRUE)</f>
        <v>0</v>
      </c>
      <c r="G18" s="356">
        <f ca="1">SUMIFS(OFFSET(Arb!$AC$2,Arb!$AJ$36,,Arb!$AJ$37,),OFFSET(Arb!$B$2,Arb!$AJ$36,,Arb!$AJ$37,),$B18,OFFSET(Arb!$C$2,Arb!$AJ$36,,Arb!$AJ$37,),$A18,OFFSET(Arb!$AI$2,Arb!$AJ$36,,Arb!$AJ$37,),TRUE)</f>
        <v>0</v>
      </c>
      <c r="H18" s="356">
        <f ca="1">SUMIFS(OFFSET(Arb!$U$2,Arb!$AJ$36,,Arb!$AJ$37,),OFFSET(Arb!$B$2,Arb!$AJ$36,,Arb!$AJ$37,),$B18,OFFSET(Arb!$C$2,Arb!$AJ$36,,Arb!$AJ$37,),$A18,OFFSET(Arb!$AI$2,Arb!$AJ$36,,Arb!$AJ$37,),TRUE)</f>
        <v>0</v>
      </c>
      <c r="I18" s="356">
        <f ca="1">SUMIFS(OFFSET(Arb!$V$2,Arb!$AJ$36,,Arb!$AJ$37,),OFFSET(Arb!$B$2,Arb!$AJ$36,,Arb!$AJ$37,),$B18,OFFSET(Arb!$C$2,Arb!$AJ$36,,Arb!$AJ$37,),$A18,OFFSET(Arb!$AI$2,Arb!$AJ$36,,Arb!$AJ$37,),TRUE)</f>
        <v>0</v>
      </c>
      <c r="J18" s="356">
        <f ca="1">SUMIFS(OFFSET(Arb!$X$2,Arb!$AJ$36,,Arb!$AJ$37,),OFFSET(Arb!$B$2,Arb!$AJ$36,,Arb!$AJ$37,),$B18,OFFSET(Arb!$C$2,Arb!$AJ$36,,Arb!$AJ$37,),$A18,OFFSET(Arb!$AI$2,Arb!$AJ$36,,Arb!$AJ$37,),TRUE)</f>
        <v>0</v>
      </c>
      <c r="K18" s="356">
        <f ca="1">SUMIFS(OFFSET(Arb!$AA$2,Arb!$AJ$36,,Arb!$AJ$37,),OFFSET(Arb!$B$2,Arb!$AJ$36,,Arb!$AJ$37,),$B18,OFFSET(Arb!$C$2,Arb!$AJ$36,,Arb!$AJ$37,),$A18,OFFSET(Arb!$AI$2,Arb!$AJ$36,,Arb!$AJ$37,),TRUE)</f>
        <v>0</v>
      </c>
      <c r="L18" s="356">
        <f ca="1">SUMIFS(OFFSET(Arb!$AB$2,Arb!$AJ$36,,Arb!$AJ$37,),OFFSET(Arb!$B$2,Arb!$AJ$36,,Arb!$AJ$37,),$B18,OFFSET(Arb!$C$2,Arb!$AJ$36,,Arb!$AJ$37,),$A18,OFFSET(Arb!$AI$2,Arb!$AJ$36,,Arb!$AJ$37,),TRUE)</f>
        <v>0</v>
      </c>
      <c r="M18" s="358">
        <f t="shared" ca="1" si="26"/>
        <v>0</v>
      </c>
      <c r="N18" s="21" t="str">
        <f t="shared" ca="1" si="27"/>
        <v/>
      </c>
      <c r="O18" s="12" t="str">
        <f t="shared" ca="1" si="28"/>
        <v/>
      </c>
      <c r="P18" s="33" t="str">
        <f t="shared" ref="P18" ca="1" si="120">IFERROR(N18/O18,"")</f>
        <v/>
      </c>
      <c r="Q18" s="20" t="str">
        <f t="shared" ca="1" si="30"/>
        <v/>
      </c>
      <c r="R18" s="33" t="str">
        <f t="shared" ca="1" si="31"/>
        <v/>
      </c>
      <c r="S18" s="33" t="str">
        <f t="shared" ref="S18" ca="1" si="121">IFERROR(O18^1.7/N18,"")</f>
        <v/>
      </c>
      <c r="T18" s="34" t="str">
        <f t="shared" ca="1" si="33"/>
        <v/>
      </c>
      <c r="U18" s="12" t="str">
        <f t="shared" ca="1" si="34"/>
        <v/>
      </c>
      <c r="V18" s="12" t="str">
        <f t="shared" ca="1" si="35"/>
        <v/>
      </c>
      <c r="W18" s="33" t="str">
        <f t="shared" ref="W18" ca="1" si="122">IFERROR(Q18/R18,"")</f>
        <v/>
      </c>
      <c r="X18" s="33" t="str">
        <f t="shared" ref="X18" ca="1" si="123">IFERROR(P18/Q18,"")</f>
        <v/>
      </c>
      <c r="Y18" s="33" t="str">
        <f t="shared" ca="1" si="38"/>
        <v/>
      </c>
      <c r="Z18" s="359" t="str">
        <f t="shared" ca="1" si="39"/>
        <v/>
      </c>
      <c r="AA18" s="34" t="str">
        <f t="shared" ref="AA18" ca="1" si="124">IFERROR(Z18/O18,"")</f>
        <v/>
      </c>
      <c r="AB18" s="33" t="str">
        <f t="shared" ref="AB18" ca="1" si="125">IFERROR(N18/Z18,"")</f>
        <v/>
      </c>
      <c r="AC18" s="21" t="str">
        <f t="shared" ca="1" si="42"/>
        <v/>
      </c>
      <c r="AD18" s="468">
        <f ca="1">AD7</f>
        <v>18</v>
      </c>
      <c r="AE18" s="12">
        <f t="shared" ca="1" si="43"/>
        <v>0</v>
      </c>
      <c r="AF18" s="358">
        <f ca="1">COUNTIFS(BV!$H$55:$H$160,"&gt;=" &amp; DATE($A18,$B18,1),BV!$H$55:$H$160,"&lt;" &amp; DATE(IF($B18=12,$A18+1,$A18),IF($B18=12,1,$B18+1),1))</f>
        <v>0</v>
      </c>
      <c r="AG18" s="358">
        <f ca="1">COUNTIFS(BV!$P$55:$P$160,"&gt;=" &amp; DATE($A18,$B18,1),BV!$P$55:$P$160,"&lt;" &amp; DATE(IF($B18=12,$A18+1,$A18),IF($B18=12,1,$B18+1),1))</f>
        <v>0</v>
      </c>
      <c r="AH18" s="358">
        <f ca="1">COUNTIFS(BV!$X$55:$X$160,"&gt;=" &amp; DATE($A18,$B18,1),BV!$X$55:$X$160,"&lt;" &amp; DATE(IF($B18=12,$A18+1,$A18),IF($B18=12,1,$B18+1),1))</f>
        <v>0</v>
      </c>
      <c r="AI18" s="358">
        <f ca="1">COUNTIFS(BV!$AF$55:$AF$160,"&gt;=" &amp; DATE($A18,$B18,1),BV!$AF$55:$AF$160,"&lt;" &amp; DATE(IF($B18=12,$A18+1,$A18),IF($B18=12,1,$B18+1),1))</f>
        <v>0</v>
      </c>
      <c r="AJ18" s="358">
        <f ca="1">COUNTIFS(BV!$AN$55:$AN$160,"&gt;=" &amp; DATE($A18,$B18,1),BV!$AN$55:$AN$160,"&lt;" &amp; DATE(IF($B18=12,$A18+1,$A18),IF($B18=12,1,$B18+1),1))</f>
        <v>0</v>
      </c>
      <c r="AK18" s="358">
        <f ca="1">COUNTIFS(BV!$AV$55:$AV$160,"&gt;=" &amp; DATE($A18,$B18,1),BV!$AV$55:$AV$160,"&lt;" &amp; DATE(IF($B18=12,$A18+1,$A18),IF($B18=12,1,$B18+1),1))</f>
        <v>0</v>
      </c>
      <c r="AL18" s="358">
        <f ca="1">COUNTIFS(BV!$BD$55:$BD$160,"&gt;=" &amp; DATE($A18,$B18,1),BV!$BD$55:$BD$160,"&lt;" &amp; DATE(IF($B18=12,$A18+1,$A18),IF($B18=12,1,$B18+1),1))</f>
        <v>0</v>
      </c>
      <c r="AM18" s="358">
        <f ca="1">COUNTIFS(BV!$BL$55:$BL$160,"&gt;=" &amp; DATE($A18,$B18,1),BV!$BL$55:$BL$160,"&lt;" &amp; DATE(IF($B18=12,$A18+1,$A18),IF($B18=12,1,$B18+1),1))</f>
        <v>0</v>
      </c>
      <c r="AN18" s="358">
        <f ca="1">COUNTIFS(BV!$BT$55:$BT$160,"&gt;=" &amp; DATE($A18,$B18,1),BV!$BT$55:$BT$160,"&lt;" &amp; DATE(IF($B18=12,$A18+1,$A18),IF($B18=12,1,$B18+1),1))</f>
        <v>0</v>
      </c>
      <c r="AO18" s="358">
        <f ca="1">COUNTIFS(BV!$CB$55:$CB$160,"&gt;=" &amp; DATE($A18,$B18,1),BV!$CB$55:$CB$160,"&lt;" &amp; DATE(IF($B18=12,$A18+1,$A18),IF($B18=12,1,$B18+1),1))</f>
        <v>0</v>
      </c>
      <c r="AP18" s="35">
        <f t="shared" ca="1" si="44"/>
        <v>0</v>
      </c>
      <c r="AQ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R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S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T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U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V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W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X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Y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AZ18" s="506">
        <f ca="1">COUNTIFS(OFFSET(Time!$T$2,(COLUMN()-43)*20,,20,),"&gt;=" &amp; DATE($A18,$B18,1),OFFSET(Time!$T$2,(COLUMN()-43)*20,,20,),"&lt;" &amp; DATE(IF($B18=12,$A18+1,$A18),IF($B18=12,1,$B18+1),1))+COUNTIFS(OFFSET(Bvs!$T$2,(COLUMN()-43)*20,,20,),"&gt;=" &amp; DATE($A18,$B18,1),OFFSET(Bvs!$T$2,(COLUMN()-43)*20,,20,),"&lt;" &amp; DATE(IF($B18=12,$A18+1,$A18),IF($B18=12,1,$B18+1),1))+COUNTIFS(OFFSET(QG!$T$2,(COLUMN()-43)*20,,20,),"&gt;=" &amp; DATE($A18,$B18,1),OFFSET(QG!$T$2,(COLUMN()-43)*20,,20,),"&lt;" &amp; DATE(IF($B18=12,$A18+1,$A18),IF($B18=12,1,$B18+1),1))</f>
        <v>0</v>
      </c>
      <c r="BA18" s="35">
        <f t="shared" ca="1" si="45"/>
        <v>0</v>
      </c>
      <c r="BB18" s="35">
        <f t="shared" ca="1" si="46"/>
        <v>0</v>
      </c>
      <c r="BC18" s="12">
        <f t="shared" ca="1" si="47"/>
        <v>0</v>
      </c>
      <c r="BD18" s="378">
        <f t="shared" ca="1" si="48"/>
        <v>0</v>
      </c>
    </row>
    <row r="19" spans="1:56" x14ac:dyDescent="0.25">
      <c r="A19" s="377">
        <f t="shared" ref="A19:A21" si="126">IF(B20=1,A20-1,A20)</f>
        <v>2020</v>
      </c>
      <c r="B19" s="360">
        <f t="shared" si="85"/>
        <v>8</v>
      </c>
      <c r="C19" s="361" t="s">
        <v>42</v>
      </c>
      <c r="D19" s="356">
        <f ca="1">COUNTIFS(OFFSET(Arb!$B$2,Arb!$AJ$36,,Arb!$AJ$37,),$B19,OFFSET(Arb!$C$2,Arb!$AJ$36,,Arb!$AJ$37,),$A19,OFFSET(Arb!$AI$2,Arb!$AJ$36,,Arb!$AJ$37,),TRUE)</f>
        <v>0</v>
      </c>
      <c r="E19" s="356">
        <f ca="1">SUMIFS(OFFSET(Arb!$I$2,Arb!$AJ$36,,Arb!$AJ$37,),OFFSET(Arb!$B$2,Arb!$AJ$36,,Arb!$AJ$37,),$B19,OFFSET(Arb!$C$2,Arb!$AJ$36,,Arb!$AJ$37,),$A19,OFFSET(Arb!$AI$2,Arb!$AJ$36,,Arb!$AJ$37,),TRUE)</f>
        <v>0</v>
      </c>
      <c r="F19" s="356">
        <f ca="1">SUMIFS(OFFSET(Arb!$H$2,Arb!$AJ$36,,Arb!$AJ$37,),OFFSET(Arb!$B$2,Arb!$AJ$36,,Arb!$AJ$37,),$B19,OFFSET(Arb!$C$2,Arb!$AJ$36,,Arb!$AJ$37,),$A19,OFFSET(Arb!$AI$2,Arb!$AJ$36,,Arb!$AJ$37,),TRUE)</f>
        <v>0</v>
      </c>
      <c r="G19" s="356">
        <f ca="1">SUMIFS(OFFSET(Arb!$AC$2,Arb!$AJ$36,,Arb!$AJ$37,),OFFSET(Arb!$B$2,Arb!$AJ$36,,Arb!$AJ$37,),$B19,OFFSET(Arb!$C$2,Arb!$AJ$36,,Arb!$AJ$37,),$A19,OFFSET(Arb!$AI$2,Arb!$AJ$36,,Arb!$AJ$37,),TRUE)</f>
        <v>0</v>
      </c>
      <c r="H19" s="356">
        <f ca="1">SUMIFS(OFFSET(Arb!$U$2,Arb!$AJ$36,,Arb!$AJ$37,),OFFSET(Arb!$B$2,Arb!$AJ$36,,Arb!$AJ$37,),$B19,OFFSET(Arb!$C$2,Arb!$AJ$36,,Arb!$AJ$37,),$A19,OFFSET(Arb!$AI$2,Arb!$AJ$36,,Arb!$AJ$37,),TRUE)</f>
        <v>0</v>
      </c>
      <c r="I19" s="356">
        <f ca="1">SUMIFS(OFFSET(Arb!$V$2,Arb!$AJ$36,,Arb!$AJ$37,),OFFSET(Arb!$B$2,Arb!$AJ$36,,Arb!$AJ$37,),$B19,OFFSET(Arb!$C$2,Arb!$AJ$36,,Arb!$AJ$37,),$A19,OFFSET(Arb!$AI$2,Arb!$AJ$36,,Arb!$AJ$37,),TRUE)</f>
        <v>0</v>
      </c>
      <c r="J19" s="356">
        <f ca="1">SUMIFS(OFFSET(Arb!$X$2,Arb!$AJ$36,,Arb!$AJ$37,),OFFSET(Arb!$B$2,Arb!$AJ$36,,Arb!$AJ$37,),$B19,OFFSET(Arb!$C$2,Arb!$AJ$36,,Arb!$AJ$37,),$A19,OFFSET(Arb!$AI$2,Arb!$AJ$36,,Arb!$AJ$37,),TRUE)</f>
        <v>0</v>
      </c>
      <c r="K19" s="356">
        <f ca="1">SUMIFS(OFFSET(Arb!$AA$2,Arb!$AJ$36,,Arb!$AJ$37,),OFFSET(Arb!$B$2,Arb!$AJ$36,,Arb!$AJ$37,),$B19,OFFSET(Arb!$C$2,Arb!$AJ$36,,Arb!$AJ$37,),$A19,OFFSET(Arb!$AI$2,Arb!$AJ$36,,Arb!$AJ$37,),TRUE)</f>
        <v>0</v>
      </c>
      <c r="L19" s="356">
        <f ca="1">SUMIFS(OFFSET(Arb!$AB$2,Arb!$AJ$36,,Arb!$AJ$37,),OFFSET(Arb!$B$2,Arb!$AJ$36,,Arb!$AJ$37,),$B19,OFFSET(Arb!$C$2,Arb!$AJ$36,,Arb!$AJ$37,),$A19,OFFSET(Arb!$AI$2,Arb!$AJ$36,,Arb!$AJ$37,),TRUE)</f>
        <v>0</v>
      </c>
      <c r="M19" s="358">
        <f t="shared" ca="1" si="26"/>
        <v>0</v>
      </c>
      <c r="N19" s="21" t="str">
        <f t="shared" ca="1" si="27"/>
        <v/>
      </c>
      <c r="O19" s="12" t="str">
        <f t="shared" ca="1" si="28"/>
        <v/>
      </c>
      <c r="P19" s="33" t="str">
        <f t="shared" ca="1" si="78"/>
        <v/>
      </c>
      <c r="Q19" s="20" t="str">
        <f t="shared" ca="1" si="30"/>
        <v/>
      </c>
      <c r="R19" s="33" t="str">
        <f t="shared" ca="1" si="31"/>
        <v/>
      </c>
      <c r="S19" s="33" t="str">
        <f t="shared" ca="1" si="79"/>
        <v/>
      </c>
      <c r="T19" s="34" t="str">
        <f t="shared" ca="1" si="33"/>
        <v/>
      </c>
      <c r="U19" s="12" t="str">
        <f t="shared" ca="1" si="34"/>
        <v/>
      </c>
      <c r="V19" s="12" t="str">
        <f t="shared" ca="1" si="35"/>
        <v/>
      </c>
      <c r="W19" s="33" t="str">
        <f t="shared" ca="1" si="80"/>
        <v/>
      </c>
      <c r="X19" s="33" t="str">
        <f t="shared" ca="1" si="81"/>
        <v/>
      </c>
      <c r="Y19" s="33" t="str">
        <f t="shared" ca="1" si="38"/>
        <v/>
      </c>
      <c r="Z19" s="359" t="str">
        <f t="shared" ca="1" si="39"/>
        <v/>
      </c>
      <c r="AA19" s="34" t="str">
        <f t="shared" ca="1" si="82"/>
        <v/>
      </c>
      <c r="AB19" s="33" t="str">
        <f t="shared" ca="1" si="83"/>
        <v/>
      </c>
      <c r="AC19" s="21" t="str">
        <f t="shared" ca="1" si="42"/>
        <v/>
      </c>
      <c r="AD19" s="468">
        <f ca="1">AD8</f>
        <v>21</v>
      </c>
      <c r="AE19" s="12">
        <f t="shared" ca="1" si="43"/>
        <v>0</v>
      </c>
      <c r="AF19" s="358">
        <f ca="1">COUNTIFS(BV!$H$55:$H$160,"&gt;=" &amp; DATE($A19,$B19,1),BV!$H$55:$H$160,"&lt;" &amp; DATE(IF($B19=12,$A19+1,$A19),IF($B19=12,1,$B19+1),1))</f>
        <v>0</v>
      </c>
      <c r="AG19" s="358">
        <f ca="1">COUNTIFS(BV!$P$55:$P$160,"&gt;=" &amp; DATE($A19,$B19,1),BV!$P$55:$P$160,"&lt;" &amp; DATE(IF($B19=12,$A19+1,$A19),IF($B19=12,1,$B19+1),1))</f>
        <v>0</v>
      </c>
      <c r="AH19" s="358">
        <f ca="1">COUNTIFS(BV!$X$55:$X$160,"&gt;=" &amp; DATE($A19,$B19,1),BV!$X$55:$X$160,"&lt;" &amp; DATE(IF($B19=12,$A19+1,$A19),IF($B19=12,1,$B19+1),1))</f>
        <v>0</v>
      </c>
      <c r="AI19" s="358">
        <f ca="1">COUNTIFS(BV!$AF$55:$AF$160,"&gt;=" &amp; DATE($A19,$B19,1),BV!$AF$55:$AF$160,"&lt;" &amp; DATE(IF($B19=12,$A19+1,$A19),IF($B19=12,1,$B19+1),1))</f>
        <v>0</v>
      </c>
      <c r="AJ19" s="358">
        <f ca="1">COUNTIFS(BV!$AN$55:$AN$160,"&gt;=" &amp; DATE($A19,$B19,1),BV!$AN$55:$AN$160,"&lt;" &amp; DATE(IF($B19=12,$A19+1,$A19),IF($B19=12,1,$B19+1),1))</f>
        <v>0</v>
      </c>
      <c r="AK19" s="358">
        <f ca="1">COUNTIFS(BV!$AV$55:$AV$160,"&gt;=" &amp; DATE($A19,$B19,1),BV!$AV$55:$AV$160,"&lt;" &amp; DATE(IF($B19=12,$A19+1,$A19),IF($B19=12,1,$B19+1),1))</f>
        <v>0</v>
      </c>
      <c r="AL19" s="358">
        <f ca="1">COUNTIFS(BV!$BD$55:$BD$160,"&gt;=" &amp; DATE($A19,$B19,1),BV!$BD$55:$BD$160,"&lt;" &amp; DATE(IF($B19=12,$A19+1,$A19),IF($B19=12,1,$B19+1),1))</f>
        <v>0</v>
      </c>
      <c r="AM19" s="358">
        <f ca="1">COUNTIFS(BV!$BL$55:$BL$160,"&gt;=" &amp; DATE($A19,$B19,1),BV!$BL$55:$BL$160,"&lt;" &amp; DATE(IF($B19=12,$A19+1,$A19),IF($B19=12,1,$B19+1),1))</f>
        <v>0</v>
      </c>
      <c r="AN19" s="358">
        <f ca="1">COUNTIFS(BV!$BT$55:$BT$160,"&gt;=" &amp; DATE($A19,$B19,1),BV!$BT$55:$BT$160,"&lt;" &amp; DATE(IF($B19=12,$A19+1,$A19),IF($B19=12,1,$B19+1),1))</f>
        <v>0</v>
      </c>
      <c r="AO19" s="358">
        <f ca="1">COUNTIFS(BV!$CB$55:$CB$160,"&gt;=" &amp; DATE($A19,$B19,1),BV!$CB$55:$CB$160,"&lt;" &amp; DATE(IF($B19=12,$A19+1,$A19),IF($B19=12,1,$B19+1),1))</f>
        <v>0</v>
      </c>
      <c r="AP19" s="35">
        <f t="shared" ca="1" si="44"/>
        <v>0</v>
      </c>
      <c r="AQ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R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S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T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U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V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W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X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Y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AZ19" s="506">
        <f ca="1">COUNTIFS(OFFSET(Time!$T$2,(COLUMN()-43)*20,,20,),"&gt;=" &amp; DATE($A19,$B19,1),OFFSET(Time!$T$2,(COLUMN()-43)*20,,20,),"&lt;" &amp; DATE(IF($B19=12,$A19+1,$A19),IF($B19=12,1,$B19+1),1))+COUNTIFS(OFFSET(Bvs!$T$2,(COLUMN()-43)*20,,20,),"&gt;=" &amp; DATE($A19,$B19,1),OFFSET(Bvs!$T$2,(COLUMN()-43)*20,,20,),"&lt;" &amp; DATE(IF($B19=12,$A19+1,$A19),IF($B19=12,1,$B19+1),1))+COUNTIFS(OFFSET(QG!$T$2,(COLUMN()-43)*20,,20,),"&gt;=" &amp; DATE($A19,$B19,1),OFFSET(QG!$T$2,(COLUMN()-43)*20,,20,),"&lt;" &amp; DATE(IF($B19=12,$A19+1,$A19),IF($B19=12,1,$B19+1),1))</f>
        <v>0</v>
      </c>
      <c r="BA19" s="35">
        <f t="shared" ca="1" si="45"/>
        <v>0</v>
      </c>
      <c r="BB19" s="35">
        <f t="shared" ca="1" si="46"/>
        <v>0</v>
      </c>
      <c r="BC19" s="12">
        <f t="shared" ca="1" si="47"/>
        <v>0</v>
      </c>
      <c r="BD19" s="378">
        <f t="shared" ca="1" si="48"/>
        <v>0</v>
      </c>
    </row>
    <row r="20" spans="1:56" x14ac:dyDescent="0.25">
      <c r="A20" s="377">
        <f t="shared" si="126"/>
        <v>2020</v>
      </c>
      <c r="B20" s="360">
        <f t="shared" si="85"/>
        <v>9</v>
      </c>
      <c r="C20" s="361" t="s">
        <v>42</v>
      </c>
      <c r="D20" s="356">
        <f ca="1">COUNTIFS(OFFSET(Arb!$B$2,Arb!$AJ$36,,Arb!$AJ$37,),$B20,OFFSET(Arb!$C$2,Arb!$AJ$36,,Arb!$AJ$37,),$A20,OFFSET(Arb!$AI$2,Arb!$AJ$36,,Arb!$AJ$37,),TRUE)</f>
        <v>10</v>
      </c>
      <c r="E20" s="356">
        <f ca="1">SUMIFS(OFFSET(Arb!$I$2,Arb!$AJ$36,,Arb!$AJ$37,),OFFSET(Arb!$B$2,Arb!$AJ$36,,Arb!$AJ$37,),$B20,OFFSET(Arb!$C$2,Arb!$AJ$36,,Arb!$AJ$37,),$A20,OFFSET(Arb!$AI$2,Arb!$AJ$36,,Arb!$AJ$37,),TRUE)</f>
        <v>597</v>
      </c>
      <c r="F20" s="356">
        <f ca="1">SUMIFS(OFFSET(Arb!$H$2,Arb!$AJ$36,,Arb!$AJ$37,),OFFSET(Arb!$B$2,Arb!$AJ$36,,Arb!$AJ$37,),$B20,OFFSET(Arb!$C$2,Arb!$AJ$36,,Arb!$AJ$37,),$A20,OFFSET(Arb!$AI$2,Arb!$AJ$36,,Arb!$AJ$37,),TRUE)</f>
        <v>231.54</v>
      </c>
      <c r="G20" s="356">
        <f ca="1">SUMIFS(OFFSET(Arb!$AC$2,Arb!$AJ$36,,Arb!$AJ$37,),OFFSET(Arb!$B$2,Arb!$AJ$36,,Arb!$AJ$37,),$B20,OFFSET(Arb!$C$2,Arb!$AJ$36,,Arb!$AJ$37,),$A20,OFFSET(Arb!$AI$2,Arb!$AJ$36,,Arb!$AJ$37,),TRUE)</f>
        <v>33401</v>
      </c>
      <c r="H20" s="356">
        <f ca="1">SUMIFS(OFFSET(Arb!$U$2,Arb!$AJ$36,,Arb!$AJ$37,),OFFSET(Arb!$B$2,Arb!$AJ$36,,Arb!$AJ$37,),$B20,OFFSET(Arb!$C$2,Arb!$AJ$36,,Arb!$AJ$37,),$A20,OFFSET(Arb!$AI$2,Arb!$AJ$36,,Arb!$AJ$37,),TRUE)</f>
        <v>895</v>
      </c>
      <c r="I20" s="356">
        <f ca="1">SUMIFS(OFFSET(Arb!$V$2,Arb!$AJ$36,,Arb!$AJ$37,),OFFSET(Arb!$B$2,Arb!$AJ$36,,Arb!$AJ$37,),$B20,OFFSET(Arb!$C$2,Arb!$AJ$36,,Arb!$AJ$37,),$A20,OFFSET(Arb!$AI$2,Arb!$AJ$36,,Arb!$AJ$37,),TRUE)</f>
        <v>0</v>
      </c>
      <c r="J20" s="356">
        <f ca="1">SUMIFS(OFFSET(Arb!$X$2,Arb!$AJ$36,,Arb!$AJ$37,),OFFSET(Arb!$B$2,Arb!$AJ$36,,Arb!$AJ$37,),$B20,OFFSET(Arb!$C$2,Arb!$AJ$36,,Arb!$AJ$37,),$A20,OFFSET(Arb!$AI$2,Arb!$AJ$36,,Arb!$AJ$37,),TRUE)</f>
        <v>773</v>
      </c>
      <c r="K20" s="356">
        <f ca="1">SUMIFS(OFFSET(Arb!$AA$2,Arb!$AJ$36,,Arb!$AJ$37,),OFFSET(Arb!$B$2,Arb!$AJ$36,,Arb!$AJ$37,),$B20,OFFSET(Arb!$C$2,Arb!$AJ$36,,Arb!$AJ$37,),$A20,OFFSET(Arb!$AI$2,Arb!$AJ$36,,Arb!$AJ$37,),TRUE)</f>
        <v>73</v>
      </c>
      <c r="L20" s="356">
        <f ca="1">SUMIFS(OFFSET(Arb!$AB$2,Arb!$AJ$36,,Arb!$AJ$37,),OFFSET(Arb!$B$2,Arb!$AJ$36,,Arb!$AJ$37,),$B20,OFFSET(Arb!$C$2,Arb!$AJ$36,,Arb!$AJ$37,),$A20,OFFSET(Arb!$AI$2,Arb!$AJ$36,,Arb!$AJ$37,),TRUE)</f>
        <v>84</v>
      </c>
      <c r="M20" s="358">
        <f t="shared" ca="1" si="26"/>
        <v>895</v>
      </c>
      <c r="N20" s="21">
        <f t="shared" ca="1" si="27"/>
        <v>59.7</v>
      </c>
      <c r="O20" s="12">
        <f t="shared" ca="1" si="28"/>
        <v>23.154</v>
      </c>
      <c r="P20" s="33">
        <f t="shared" ca="1" si="78"/>
        <v>2.5783881834672195</v>
      </c>
      <c r="Q20" s="20">
        <f t="shared" ca="1" si="30"/>
        <v>3.338516023149348</v>
      </c>
      <c r="R20" s="33">
        <f t="shared" ca="1" si="31"/>
        <v>3.8654228211108235</v>
      </c>
      <c r="S20" s="33">
        <f t="shared" ca="1" si="79"/>
        <v>3.4985647663345909</v>
      </c>
      <c r="T20" s="34">
        <f t="shared" ca="1" si="33"/>
        <v>43.940875835510482</v>
      </c>
      <c r="U20" s="12">
        <f t="shared" ca="1" si="34"/>
        <v>7.3</v>
      </c>
      <c r="V20" s="12">
        <f t="shared" ca="1" si="35"/>
        <v>8.4</v>
      </c>
      <c r="W20" s="33">
        <f t="shared" ca="1" si="80"/>
        <v>0.86368715083798886</v>
      </c>
      <c r="X20" s="33">
        <f t="shared" ca="1" si="81"/>
        <v>0.77231565329883567</v>
      </c>
      <c r="Y20" s="33">
        <f t="shared" ca="1" si="38"/>
        <v>0.66703910614525141</v>
      </c>
      <c r="Z20" s="359">
        <f t="shared" ca="1" si="39"/>
        <v>208.75624999999999</v>
      </c>
      <c r="AA20" s="34">
        <f t="shared" ca="1" si="82"/>
        <v>9.0159907575364944</v>
      </c>
      <c r="AB20" s="33">
        <f t="shared" ca="1" si="83"/>
        <v>0.28597946169276373</v>
      </c>
      <c r="AC20" s="21">
        <f t="shared" ca="1" si="42"/>
        <v>30.100029608602014</v>
      </c>
      <c r="AD20" s="468">
        <f ca="1">AD9</f>
        <v>16</v>
      </c>
      <c r="AE20" s="12">
        <f t="shared" ca="1" si="43"/>
        <v>0.625</v>
      </c>
      <c r="AF20" s="358">
        <f ca="1">COUNTIFS(BV!$H$55:$H$160,"&gt;=" &amp; DATE($A20,$B20,1),BV!$H$55:$H$160,"&lt;" &amp; DATE(IF($B20=12,$A20+1,$A20),IF($B20=12,1,$B20+1),1))</f>
        <v>3</v>
      </c>
      <c r="AG20" s="358">
        <f ca="1">COUNTIFS(BV!$P$55:$P$160,"&gt;=" &amp; DATE($A20,$B20,1),BV!$P$55:$P$160,"&lt;" &amp; DATE(IF($B20=12,$A20+1,$A20),IF($B20=12,1,$B20+1),1))</f>
        <v>3</v>
      </c>
      <c r="AH20" s="358">
        <f ca="1">COUNTIFS(BV!$X$55:$X$160,"&gt;=" &amp; DATE($A20,$B20,1),BV!$X$55:$X$160,"&lt;" &amp; DATE(IF($B20=12,$A20+1,$A20),IF($B20=12,1,$B20+1),1))</f>
        <v>1</v>
      </c>
      <c r="AI20" s="358">
        <f ca="1">COUNTIFS(BV!$AF$55:$AF$160,"&gt;=" &amp; DATE($A20,$B20,1),BV!$AF$55:$AF$160,"&lt;" &amp; DATE(IF($B20=12,$A20+1,$A20),IF($B20=12,1,$B20+1),1))</f>
        <v>0</v>
      </c>
      <c r="AJ20" s="358">
        <f ca="1">COUNTIFS(BV!$AN$55:$AN$160,"&gt;=" &amp; DATE($A20,$B20,1),BV!$AN$55:$AN$160,"&lt;" &amp; DATE(IF($B20=12,$A20+1,$A20),IF($B20=12,1,$B20+1),1))</f>
        <v>0</v>
      </c>
      <c r="AK20" s="358">
        <f ca="1">COUNTIFS(BV!$AV$55:$AV$160,"&gt;=" &amp; DATE($A20,$B20,1),BV!$AV$55:$AV$160,"&lt;" &amp; DATE(IF($B20=12,$A20+1,$A20),IF($B20=12,1,$B20+1),1))</f>
        <v>0</v>
      </c>
      <c r="AL20" s="358">
        <f ca="1">COUNTIFS(BV!$BD$55:$BD$160,"&gt;=" &amp; DATE($A20,$B20,1),BV!$BD$55:$BD$160,"&lt;" &amp; DATE(IF($B20=12,$A20+1,$A20),IF($B20=12,1,$B20+1),1))</f>
        <v>3</v>
      </c>
      <c r="AM20" s="358">
        <f ca="1">COUNTIFS(BV!$BL$55:$BL$160,"&gt;=" &amp; DATE($A20,$B20,1),BV!$BL$55:$BL$160,"&lt;" &amp; DATE(IF($B20=12,$A20+1,$A20),IF($B20=12,1,$B20+1),1))</f>
        <v>0</v>
      </c>
      <c r="AN20" s="358">
        <f ca="1">COUNTIFS(BV!$BT$55:$BT$160,"&gt;=" &amp; DATE($A20,$B20,1),BV!$BT$55:$BT$160,"&lt;" &amp; DATE(IF($B20=12,$A20+1,$A20),IF($B20=12,1,$B20+1),1))</f>
        <v>0</v>
      </c>
      <c r="AO20" s="358">
        <f ca="1">COUNTIFS(BV!$CB$55:$CB$160,"&gt;=" &amp; DATE($A20,$B20,1),BV!$CB$55:$CB$160,"&lt;" &amp; DATE(IF($B20=12,$A20+1,$A20),IF($B20=12,1,$B20+1),1))</f>
        <v>0</v>
      </c>
      <c r="AP20" s="35">
        <f t="shared" ca="1" si="44"/>
        <v>52.61904761904762</v>
      </c>
      <c r="AQ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5</v>
      </c>
      <c r="AR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3</v>
      </c>
      <c r="AS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3</v>
      </c>
      <c r="AT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2</v>
      </c>
      <c r="AU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4</v>
      </c>
      <c r="AV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1</v>
      </c>
      <c r="AW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0</v>
      </c>
      <c r="AX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1</v>
      </c>
      <c r="AY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2</v>
      </c>
      <c r="AZ20" s="506">
        <f ca="1">COUNTIFS(OFFSET(Time!$T$2,(COLUMN()-43)*20,,20,),"&gt;=" &amp; DATE($A20,$B20,1),OFFSET(Time!$T$2,(COLUMN()-43)*20,,20,),"&lt;" &amp; DATE(IF($B20=12,$A20+1,$A20),IF($B20=12,1,$B20+1),1))+COUNTIFS(OFFSET(Bvs!$T$2,(COLUMN()-43)*20,,20,),"&gt;=" &amp; DATE($A20,$B20,1),OFFSET(Bvs!$T$2,(COLUMN()-43)*20,,20,),"&lt;" &amp; DATE(IF($B20=12,$A20+1,$A20),IF($B20=12,1,$B20+1),1))+COUNTIFS(OFFSET(QG!$T$2,(COLUMN()-43)*20,,20,),"&gt;=" &amp; DATE($A20,$B20,1),OFFSET(QG!$T$2,(COLUMN()-43)*20,,20,),"&lt;" &amp; DATE(IF($B20=12,$A20+1,$A20),IF($B20=12,1,$B20+1),1))</f>
        <v>0</v>
      </c>
      <c r="BA20" s="35">
        <f t="shared" ca="1" si="45"/>
        <v>93.138888888888886</v>
      </c>
      <c r="BB20" s="35">
        <f t="shared" ca="1" si="46"/>
        <v>145.75793650793651</v>
      </c>
      <c r="BC20" s="12">
        <f t="shared" ca="1" si="47"/>
        <v>9.1098710317460316</v>
      </c>
      <c r="BD20" s="378">
        <f t="shared" ca="1" si="48"/>
        <v>14.575793650793651</v>
      </c>
    </row>
    <row r="21" spans="1:56" x14ac:dyDescent="0.25">
      <c r="A21" s="377">
        <f t="shared" si="126"/>
        <v>2020</v>
      </c>
      <c r="B21" s="360">
        <f t="shared" si="85"/>
        <v>10</v>
      </c>
      <c r="C21" s="361" t="s">
        <v>42</v>
      </c>
      <c r="D21" s="356">
        <f ca="1">COUNTIFS(OFFSET(Arb!$B$2,Arb!$AJ$36,,Arb!$AJ$37,),$B21,OFFSET(Arb!$C$2,Arb!$AJ$36,,Arb!$AJ$37,),$A21,OFFSET(Arb!$AI$2,Arb!$AJ$36,,Arb!$AJ$37,),TRUE)</f>
        <v>60</v>
      </c>
      <c r="E21" s="356">
        <f ca="1">SUMIFS(OFFSET(Arb!$I$2,Arb!$AJ$36,,Arb!$AJ$37,),OFFSET(Arb!$B$2,Arb!$AJ$36,,Arb!$AJ$37,),$B21,OFFSET(Arb!$C$2,Arb!$AJ$36,,Arb!$AJ$37,),$A21,OFFSET(Arb!$AI$2,Arb!$AJ$36,,Arb!$AJ$37,),TRUE)</f>
        <v>3677</v>
      </c>
      <c r="F21" s="356">
        <f ca="1">SUMIFS(OFFSET(Arb!$H$2,Arb!$AJ$36,,Arb!$AJ$37,),OFFSET(Arb!$B$2,Arb!$AJ$36,,Arb!$AJ$37,),$B21,OFFSET(Arb!$C$2,Arb!$AJ$36,,Arb!$AJ$37,),$A21,OFFSET(Arb!$AI$2,Arb!$AJ$36,,Arb!$AJ$37,),TRUE)</f>
        <v>1498.0400000000002</v>
      </c>
      <c r="G21" s="356">
        <f ca="1">SUMIFS(OFFSET(Arb!$AC$2,Arb!$AJ$36,,Arb!$AJ$37,),OFFSET(Arb!$B$2,Arb!$AJ$36,,Arb!$AJ$37,),$B21,OFFSET(Arb!$C$2,Arb!$AJ$36,,Arb!$AJ$37,),$A21,OFFSET(Arb!$AI$2,Arb!$AJ$36,,Arb!$AJ$37,),TRUE)</f>
        <v>185844</v>
      </c>
      <c r="H21" s="356">
        <f ca="1">SUMIFS(OFFSET(Arb!$U$2,Arb!$AJ$36,,Arb!$AJ$37,),OFFSET(Arb!$B$2,Arb!$AJ$36,,Arb!$AJ$37,),$B21,OFFSET(Arb!$C$2,Arb!$AJ$36,,Arb!$AJ$37,),$A21,OFFSET(Arb!$AI$2,Arb!$AJ$36,,Arb!$AJ$37,),TRUE)</f>
        <v>62</v>
      </c>
      <c r="I21" s="356">
        <f ca="1">SUMIFS(OFFSET(Arb!$V$2,Arb!$AJ$36,,Arb!$AJ$37,),OFFSET(Arb!$B$2,Arb!$AJ$36,,Arb!$AJ$37,),$B21,OFFSET(Arb!$C$2,Arb!$AJ$36,,Arb!$AJ$37,),$A21,OFFSET(Arb!$AI$2,Arb!$AJ$36,,Arb!$AJ$37,),TRUE)</f>
        <v>5092</v>
      </c>
      <c r="J21" s="356">
        <f ca="1">SUMIFS(OFFSET(Arb!$X$2,Arb!$AJ$36,,Arb!$AJ$37,),OFFSET(Arb!$B$2,Arb!$AJ$36,,Arb!$AJ$37,),$B21,OFFSET(Arb!$C$2,Arb!$AJ$36,,Arb!$AJ$37,),$A21,OFFSET(Arb!$AI$2,Arb!$AJ$36,,Arb!$AJ$37,),TRUE)</f>
        <v>4444</v>
      </c>
      <c r="K21" s="356">
        <f ca="1">SUMIFS(OFFSET(Arb!$AA$2,Arb!$AJ$36,,Arb!$AJ$37,),OFFSET(Arb!$B$2,Arb!$AJ$36,,Arb!$AJ$37,),$B21,OFFSET(Arb!$C$2,Arb!$AJ$36,,Arb!$AJ$37,),$A21,OFFSET(Arb!$AI$2,Arb!$AJ$36,,Arb!$AJ$37,),TRUE)</f>
        <v>457</v>
      </c>
      <c r="L21" s="356">
        <f ca="1">SUMIFS(OFFSET(Arb!$AB$2,Arb!$AJ$36,,Arb!$AJ$37,),OFFSET(Arb!$B$2,Arb!$AJ$36,,Arb!$AJ$37,),$B21,OFFSET(Arb!$C$2,Arb!$AJ$36,,Arb!$AJ$37,),$A21,OFFSET(Arb!$AI$2,Arb!$AJ$36,,Arb!$AJ$37,),TRUE)</f>
        <v>544</v>
      </c>
      <c r="M21" s="358">
        <f t="shared" ca="1" si="26"/>
        <v>5154</v>
      </c>
      <c r="N21" s="21">
        <f t="shared" ca="1" si="27"/>
        <v>61.283333333333331</v>
      </c>
      <c r="O21" s="12">
        <f t="shared" ca="1" si="28"/>
        <v>24.967333333333336</v>
      </c>
      <c r="P21" s="33">
        <f t="shared" ca="1" si="78"/>
        <v>2.4545405997169634</v>
      </c>
      <c r="Q21" s="20">
        <f t="shared" ca="1" si="30"/>
        <v>2.9665429494539528</v>
      </c>
      <c r="R21" s="33">
        <f t="shared" ca="1" si="31"/>
        <v>3.4404955808923656</v>
      </c>
      <c r="S21" s="33">
        <f t="shared" ca="1" si="79"/>
        <v>3.8742736393569319</v>
      </c>
      <c r="T21" s="34">
        <f t="shared" ca="1" si="33"/>
        <v>39.67969594050583</v>
      </c>
      <c r="U21" s="12">
        <f t="shared" ca="1" si="34"/>
        <v>7.6166666666666663</v>
      </c>
      <c r="V21" s="12">
        <f t="shared" ca="1" si="35"/>
        <v>9.0666666666666664</v>
      </c>
      <c r="W21" s="33">
        <f t="shared" ca="1" si="80"/>
        <v>0.86224291812184706</v>
      </c>
      <c r="X21" s="33">
        <f t="shared" ca="1" si="81"/>
        <v>0.82740774077407742</v>
      </c>
      <c r="Y21" s="33">
        <f t="shared" ca="1" si="38"/>
        <v>0.71342646488164529</v>
      </c>
      <c r="Z21" s="359">
        <f t="shared" ca="1" si="39"/>
        <v>193.58750000000001</v>
      </c>
      <c r="AA21" s="34">
        <f t="shared" ca="1" si="82"/>
        <v>7.7536314117113019</v>
      </c>
      <c r="AB21" s="33">
        <f t="shared" ca="1" si="83"/>
        <v>0.31656658272529647</v>
      </c>
      <c r="AC21" s="21">
        <f t="shared" ca="1" si="42"/>
        <v>23.00148059707686</v>
      </c>
      <c r="AD21" s="468">
        <f ca="1">AD10</f>
        <v>12</v>
      </c>
      <c r="AE21" s="12">
        <f t="shared" ca="1" si="43"/>
        <v>5</v>
      </c>
      <c r="AF21" s="358">
        <f ca="1">COUNTIFS(BV!$H$55:$H$160,"&gt;=" &amp; DATE($A21,$B21,1),BV!$H$55:$H$160,"&lt;" &amp; DATE(IF($B21=12,$A21+1,$A21),IF($B21=12,1,$B21+1),1))</f>
        <v>8</v>
      </c>
      <c r="AG21" s="358">
        <f ca="1">COUNTIFS(BV!$P$55:$P$160,"&gt;=" &amp; DATE($A21,$B21,1),BV!$P$55:$P$160,"&lt;" &amp; DATE(IF($B21=12,$A21+1,$A21),IF($B21=12,1,$B21+1),1))</f>
        <v>9</v>
      </c>
      <c r="AH21" s="358">
        <f ca="1">COUNTIFS(BV!$X$55:$X$160,"&gt;=" &amp; DATE($A21,$B21,1),BV!$X$55:$X$160,"&lt;" &amp; DATE(IF($B21=12,$A21+1,$A21),IF($B21=12,1,$B21+1),1))</f>
        <v>5</v>
      </c>
      <c r="AI21" s="358">
        <f ca="1">COUNTIFS(BV!$AF$55:$AF$160,"&gt;=" &amp; DATE($A21,$B21,1),BV!$AF$55:$AF$160,"&lt;" &amp; DATE(IF($B21=12,$A21+1,$A21),IF($B21=12,1,$B21+1),1))</f>
        <v>3</v>
      </c>
      <c r="AJ21" s="358">
        <f ca="1">COUNTIFS(BV!$AN$55:$AN$160,"&gt;=" &amp; DATE($A21,$B21,1),BV!$AN$55:$AN$160,"&lt;" &amp; DATE(IF($B21=12,$A21+1,$A21),IF($B21=12,1,$B21+1),1))</f>
        <v>4</v>
      </c>
      <c r="AK21" s="358">
        <f ca="1">COUNTIFS(BV!$AV$55:$AV$160,"&gt;=" &amp; DATE($A21,$B21,1),BV!$AV$55:$AV$160,"&lt;" &amp; DATE(IF($B21=12,$A21+1,$A21),IF($B21=12,1,$B21+1),1))</f>
        <v>6</v>
      </c>
      <c r="AL21" s="358">
        <f ca="1">COUNTIFS(BV!$BD$55:$BD$160,"&gt;=" &amp; DATE($A21,$B21,1),BV!$BD$55:$BD$160,"&lt;" &amp; DATE(IF($B21=12,$A21+1,$A21),IF($B21=12,1,$B21+1),1))</f>
        <v>2</v>
      </c>
      <c r="AM21" s="358">
        <f ca="1">COUNTIFS(BV!$BL$55:$BL$160,"&gt;=" &amp; DATE($A21,$B21,1),BV!$BL$55:$BL$160,"&lt;" &amp; DATE(IF($B21=12,$A21+1,$A21),IF($B21=12,1,$B21+1),1))</f>
        <v>2</v>
      </c>
      <c r="AN21" s="358">
        <f ca="1">COUNTIFS(BV!$BT$55:$BT$160,"&gt;=" &amp; DATE($A21,$B21,1),BV!$BT$55:$BT$160,"&lt;" &amp; DATE(IF($B21=12,$A21+1,$A21),IF($B21=12,1,$B21+1),1))</f>
        <v>0</v>
      </c>
      <c r="AO21" s="358">
        <f ca="1">COUNTIFS(BV!$CB$55:$CB$160,"&gt;=" &amp; DATE($A21,$B21,1),BV!$CB$55:$CB$160,"&lt;" &amp; DATE(IF($B21=12,$A21+1,$A21),IF($B21=12,1,$B21+1),1))</f>
        <v>8</v>
      </c>
      <c r="AP21" s="35">
        <f t="shared" ca="1" si="44"/>
        <v>180.52380952380955</v>
      </c>
      <c r="AQ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8</v>
      </c>
      <c r="AR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7</v>
      </c>
      <c r="AS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9</v>
      </c>
      <c r="AT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9</v>
      </c>
      <c r="AU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8</v>
      </c>
      <c r="AV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4</v>
      </c>
      <c r="AW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8</v>
      </c>
      <c r="AX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7</v>
      </c>
      <c r="AY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5</v>
      </c>
      <c r="AZ21" s="506">
        <f ca="1">COUNTIFS(OFFSET(Time!$T$2,(COLUMN()-43)*20,,20,),"&gt;=" &amp; DATE($A21,$B21,1),OFFSET(Time!$T$2,(COLUMN()-43)*20,,20,),"&lt;" &amp; DATE(IF($B21=12,$A21+1,$A21),IF($B21=12,1,$B21+1),1))+COUNTIFS(OFFSET(Bvs!$T$2,(COLUMN()-43)*20,,20,),"&gt;=" &amp; DATE($A21,$B21,1),OFFSET(Bvs!$T$2,(COLUMN()-43)*20,,20,),"&lt;" &amp; DATE(IF($B21=12,$A21+1,$A21),IF($B21=12,1,$B21+1),1))+COUNTIFS(OFFSET(QG!$T$2,(COLUMN()-43)*20,,20,),"&gt;=" &amp; DATE($A21,$B21,1),OFFSET(QG!$T$2,(COLUMN()-43)*20,,20,),"&lt;" &amp; DATE(IF($B21=12,$A21+1,$A21),IF($B21=12,1,$B21+1),1))</f>
        <v>11</v>
      </c>
      <c r="BA21" s="35">
        <f t="shared" ca="1" si="45"/>
        <v>226.9007936507937</v>
      </c>
      <c r="BB21" s="35">
        <f t="shared" ca="1" si="46"/>
        <v>407.42460317460325</v>
      </c>
      <c r="BC21" s="12">
        <f t="shared" ca="1" si="47"/>
        <v>33.952050264550273</v>
      </c>
      <c r="BD21" s="378">
        <f t="shared" ca="1" si="48"/>
        <v>6.7904100529100546</v>
      </c>
    </row>
    <row r="22" spans="1:56" x14ac:dyDescent="0.25">
      <c r="A22" s="377">
        <f>IF(B23=1,A23-1,A23)</f>
        <v>2020</v>
      </c>
      <c r="B22" s="360">
        <f>IF(B23=1,12,B23-1)</f>
        <v>11</v>
      </c>
      <c r="C22" s="361" t="s">
        <v>42</v>
      </c>
      <c r="D22" s="356">
        <f ca="1">COUNTIFS(OFFSET(Arb!$B$2,Arb!$AJ$36,,Arb!$AJ$37,),$B22,OFFSET(Arb!$C$2,Arb!$AJ$36,,Arb!$AJ$37,),$A22,OFFSET(Arb!$AI$2,Arb!$AJ$36,,Arb!$AJ$37,),TRUE)</f>
        <v>0</v>
      </c>
      <c r="E22" s="356">
        <f ca="1">SUMIFS(OFFSET(Arb!$I$2,Arb!$AJ$36,,Arb!$AJ$37,),OFFSET(Arb!$B$2,Arb!$AJ$36,,Arb!$AJ$37,),$B22,OFFSET(Arb!$C$2,Arb!$AJ$36,,Arb!$AJ$37,),$A22,OFFSET(Arb!$AI$2,Arb!$AJ$36,,Arb!$AJ$37,),TRUE)</f>
        <v>0</v>
      </c>
      <c r="F22" s="356">
        <f ca="1">SUMIFS(OFFSET(Arb!$H$2,Arb!$AJ$36,,Arb!$AJ$37,),OFFSET(Arb!$B$2,Arb!$AJ$36,,Arb!$AJ$37,),$B22,OFFSET(Arb!$C$2,Arb!$AJ$36,,Arb!$AJ$37,),$A22,OFFSET(Arb!$AI$2,Arb!$AJ$36,,Arb!$AJ$37,),TRUE)</f>
        <v>0</v>
      </c>
      <c r="G22" s="356">
        <f ca="1">SUMIFS(OFFSET(Arb!$AC$2,Arb!$AJ$36,,Arb!$AJ$37,),OFFSET(Arb!$B$2,Arb!$AJ$36,,Arb!$AJ$37,),$B22,OFFSET(Arb!$C$2,Arb!$AJ$36,,Arb!$AJ$37,),$A22,OFFSET(Arb!$AI$2,Arb!$AJ$36,,Arb!$AJ$37,),TRUE)</f>
        <v>0</v>
      </c>
      <c r="H22" s="356">
        <f ca="1">SUMIFS(OFFSET(Arb!$U$2,Arb!$AJ$36,,Arb!$AJ$37,),OFFSET(Arb!$B$2,Arb!$AJ$36,,Arb!$AJ$37,),$B22,OFFSET(Arb!$C$2,Arb!$AJ$36,,Arb!$AJ$37,),$A22,OFFSET(Arb!$AI$2,Arb!$AJ$36,,Arb!$AJ$37,),TRUE)</f>
        <v>0</v>
      </c>
      <c r="I22" s="356">
        <f ca="1">SUMIFS(OFFSET(Arb!$V$2,Arb!$AJ$36,,Arb!$AJ$37,),OFFSET(Arb!$B$2,Arb!$AJ$36,,Arb!$AJ$37,),$B22,OFFSET(Arb!$C$2,Arb!$AJ$36,,Arb!$AJ$37,),$A22,OFFSET(Arb!$AI$2,Arb!$AJ$36,,Arb!$AJ$37,),TRUE)</f>
        <v>0</v>
      </c>
      <c r="J22" s="356">
        <f ca="1">SUMIFS(OFFSET(Arb!$X$2,Arb!$AJ$36,,Arb!$AJ$37,),OFFSET(Arb!$B$2,Arb!$AJ$36,,Arb!$AJ$37,),$B22,OFFSET(Arb!$C$2,Arb!$AJ$36,,Arb!$AJ$37,),$A22,OFFSET(Arb!$AI$2,Arb!$AJ$36,,Arb!$AJ$37,),TRUE)</f>
        <v>0</v>
      </c>
      <c r="K22" s="356">
        <f ca="1">SUMIFS(OFFSET(Arb!$AA$2,Arb!$AJ$36,,Arb!$AJ$37,),OFFSET(Arb!$B$2,Arb!$AJ$36,,Arb!$AJ$37,),$B22,OFFSET(Arb!$C$2,Arb!$AJ$36,,Arb!$AJ$37,),$A22,OFFSET(Arb!$AI$2,Arb!$AJ$36,,Arb!$AJ$37,),TRUE)</f>
        <v>0</v>
      </c>
      <c r="L22" s="356">
        <f ca="1">SUMIFS(OFFSET(Arb!$AB$2,Arb!$AJ$36,,Arb!$AJ$37,),OFFSET(Arb!$B$2,Arb!$AJ$36,,Arb!$AJ$37,),$B22,OFFSET(Arb!$C$2,Arb!$AJ$36,,Arb!$AJ$37,),$A22,OFFSET(Arb!$AI$2,Arb!$AJ$36,,Arb!$AJ$37,),TRUE)</f>
        <v>0</v>
      </c>
      <c r="M22" s="358">
        <f t="shared" ca="1" si="26"/>
        <v>0</v>
      </c>
      <c r="N22" s="21" t="str">
        <f t="shared" ca="1" si="27"/>
        <v/>
      </c>
      <c r="O22" s="12" t="str">
        <f t="shared" ca="1" si="28"/>
        <v/>
      </c>
      <c r="P22" s="33" t="str">
        <f t="shared" ca="1" si="78"/>
        <v/>
      </c>
      <c r="Q22" s="20" t="str">
        <f t="shared" ca="1" si="30"/>
        <v/>
      </c>
      <c r="R22" s="33" t="str">
        <f t="shared" ca="1" si="31"/>
        <v/>
      </c>
      <c r="S22" s="33" t="str">
        <f t="shared" ca="1" si="79"/>
        <v/>
      </c>
      <c r="T22" s="34" t="str">
        <f t="shared" ca="1" si="33"/>
        <v/>
      </c>
      <c r="U22" s="12" t="str">
        <f t="shared" ca="1" si="34"/>
        <v/>
      </c>
      <c r="V22" s="12" t="str">
        <f t="shared" ca="1" si="35"/>
        <v/>
      </c>
      <c r="W22" s="33" t="str">
        <f t="shared" ca="1" si="80"/>
        <v/>
      </c>
      <c r="X22" s="33" t="str">
        <f t="shared" ca="1" si="81"/>
        <v/>
      </c>
      <c r="Y22" s="33" t="str">
        <f t="shared" ca="1" si="38"/>
        <v/>
      </c>
      <c r="Z22" s="359" t="str">
        <f t="shared" ca="1" si="39"/>
        <v/>
      </c>
      <c r="AA22" s="34" t="str">
        <f t="shared" ca="1" si="82"/>
        <v/>
      </c>
      <c r="AB22" s="33" t="str">
        <f t="shared" ca="1" si="83"/>
        <v/>
      </c>
      <c r="AC22" s="21" t="str">
        <f t="shared" ca="1" si="42"/>
        <v/>
      </c>
      <c r="AD22" s="468">
        <f ca="1">AD11</f>
        <v>13</v>
      </c>
      <c r="AE22" s="12">
        <f t="shared" ca="1" si="43"/>
        <v>0</v>
      </c>
      <c r="AF22" s="358">
        <f ca="1">COUNTIFS(BV!$H$55:$H$160,"&gt;=" &amp; DATE($A22,$B22,1),BV!$H$55:$H$160,"&lt;" &amp; DATE(IF($B22=12,$A22+1,$A22),IF($B22=12,1,$B22+1),1))</f>
        <v>0</v>
      </c>
      <c r="AG22" s="358">
        <f ca="1">COUNTIFS(BV!$P$55:$P$160,"&gt;=" &amp; DATE($A22,$B22,1),BV!$P$55:$P$160,"&lt;" &amp; DATE(IF($B22=12,$A22+1,$A22),IF($B22=12,1,$B22+1),1))</f>
        <v>0</v>
      </c>
      <c r="AH22" s="358">
        <f ca="1">COUNTIFS(BV!$X$55:$X$160,"&gt;=" &amp; DATE($A22,$B22,1),BV!$X$55:$X$160,"&lt;" &amp; DATE(IF($B22=12,$A22+1,$A22),IF($B22=12,1,$B22+1),1))</f>
        <v>0</v>
      </c>
      <c r="AI22" s="358">
        <f ca="1">COUNTIFS(BV!$AF$55:$AF$160,"&gt;=" &amp; DATE($A22,$B22,1),BV!$AF$55:$AF$160,"&lt;" &amp; DATE(IF($B22=12,$A22+1,$A22),IF($B22=12,1,$B22+1),1))</f>
        <v>0</v>
      </c>
      <c r="AJ22" s="358">
        <f ca="1">COUNTIFS(BV!$AN$55:$AN$160,"&gt;=" &amp; DATE($A22,$B22,1),BV!$AN$55:$AN$160,"&lt;" &amp; DATE(IF($B22=12,$A22+1,$A22),IF($B22=12,1,$B22+1),1))</f>
        <v>0</v>
      </c>
      <c r="AK22" s="358">
        <f ca="1">COUNTIFS(BV!$AV$55:$AV$160,"&gt;=" &amp; DATE($A22,$B22,1),BV!$AV$55:$AV$160,"&lt;" &amp; DATE(IF($B22=12,$A22+1,$A22),IF($B22=12,1,$B22+1),1))</f>
        <v>0</v>
      </c>
      <c r="AL22" s="358">
        <f ca="1">COUNTIFS(BV!$BD$55:$BD$160,"&gt;=" &amp; DATE($A22,$B22,1),BV!$BD$55:$BD$160,"&lt;" &amp; DATE(IF($B22=12,$A22+1,$A22),IF($B22=12,1,$B22+1),1))</f>
        <v>0</v>
      </c>
      <c r="AM22" s="358">
        <f ca="1">COUNTIFS(BV!$BL$55:$BL$160,"&gt;=" &amp; DATE($A22,$B22,1),BV!$BL$55:$BL$160,"&lt;" &amp; DATE(IF($B22=12,$A22+1,$A22),IF($B22=12,1,$B22+1),1))</f>
        <v>0</v>
      </c>
      <c r="AN22" s="358">
        <f ca="1">COUNTIFS(BV!$BT$55:$BT$160,"&gt;=" &amp; DATE($A22,$B22,1),BV!$BT$55:$BT$160,"&lt;" &amp; DATE(IF($B22=12,$A22+1,$A22),IF($B22=12,1,$B22+1),1))</f>
        <v>0</v>
      </c>
      <c r="AO22" s="358">
        <f ca="1">COUNTIFS(BV!$CB$55:$CB$160,"&gt;=" &amp; DATE($A22,$B22,1),BV!$CB$55:$CB$160,"&lt;" &amp; DATE(IF($B22=12,$A22+1,$A22),IF($B22=12,1,$B22+1),1))</f>
        <v>0</v>
      </c>
      <c r="AP22" s="35">
        <f t="shared" ca="1" si="44"/>
        <v>0</v>
      </c>
      <c r="AQ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R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S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T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U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V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W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X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Y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AZ22" s="506">
        <f ca="1">COUNTIFS(OFFSET(Time!$T$2,(COLUMN()-43)*20,,20,),"&gt;=" &amp; DATE($A22,$B22,1),OFFSET(Time!$T$2,(COLUMN()-43)*20,,20,),"&lt;" &amp; DATE(IF($B22=12,$A22+1,$A22),IF($B22=12,1,$B22+1),1))+COUNTIFS(OFFSET(Bvs!$T$2,(COLUMN()-43)*20,,20,),"&gt;=" &amp; DATE($A22,$B22,1),OFFSET(Bvs!$T$2,(COLUMN()-43)*20,,20,),"&lt;" &amp; DATE(IF($B22=12,$A22+1,$A22),IF($B22=12,1,$B22+1),1))+COUNTIFS(OFFSET(QG!$T$2,(COLUMN()-43)*20,,20,),"&gt;=" &amp; DATE($A22,$B22,1),OFFSET(QG!$T$2,(COLUMN()-43)*20,,20,),"&lt;" &amp; DATE(IF($B22=12,$A22+1,$A22),IF($B22=12,1,$B22+1),1))</f>
        <v>0</v>
      </c>
      <c r="BA22" s="35">
        <f t="shared" ca="1" si="45"/>
        <v>0</v>
      </c>
      <c r="BB22" s="35">
        <f t="shared" ca="1" si="46"/>
        <v>0</v>
      </c>
      <c r="BC22" s="12">
        <f t="shared" ca="1" si="47"/>
        <v>0</v>
      </c>
      <c r="BD22" s="378">
        <f t="shared" ca="1" si="48"/>
        <v>0</v>
      </c>
    </row>
    <row r="23" spans="1:56" ht="13.8" thickBot="1" x14ac:dyDescent="0.3">
      <c r="A23" s="379">
        <f>A34</f>
        <v>2020</v>
      </c>
      <c r="B23" s="380">
        <f>B34</f>
        <v>12</v>
      </c>
      <c r="C23" s="381" t="s">
        <v>42</v>
      </c>
      <c r="D23" s="167">
        <f ca="1">COUNTIFS(OFFSET(Arb!$B$2,Arb!$AJ$36,,Arb!$AJ$37,),$B23,OFFSET(Arb!$C$2,Arb!$AJ$36,,Arb!$AJ$37,),$A23,OFFSET(Arb!$AI$2,Arb!$AJ$36,,Arb!$AJ$37,),TRUE)</f>
        <v>16</v>
      </c>
      <c r="E23" s="167">
        <f ca="1">SUMIFS(OFFSET(Arb!$I$2,Arb!$AJ$36,,Arb!$AJ$37,),OFFSET(Arb!$B$2,Arb!$AJ$36,,Arb!$AJ$37,),$B23,OFFSET(Arb!$C$2,Arb!$AJ$36,,Arb!$AJ$37,),$A23,OFFSET(Arb!$AI$2,Arb!$AJ$36,,Arb!$AJ$37,),TRUE)</f>
        <v>1070</v>
      </c>
      <c r="F23" s="167">
        <f ca="1">SUMIFS(OFFSET(Arb!$H$2,Arb!$AJ$36,,Arb!$AJ$37,),OFFSET(Arb!$B$2,Arb!$AJ$36,,Arb!$AJ$37,),$B23,OFFSET(Arb!$C$2,Arb!$AJ$36,,Arb!$AJ$37,),$A23,OFFSET(Arb!$AI$2,Arb!$AJ$36,,Arb!$AJ$37,),TRUE)</f>
        <v>398.53000000000009</v>
      </c>
      <c r="G23" s="167">
        <f ca="1">SUMIFS(OFFSET(Arb!$AC$2,Arb!$AJ$36,,Arb!$AJ$37,),OFFSET(Arb!$B$2,Arb!$AJ$36,,Arb!$AJ$37,),$B23,OFFSET(Arb!$C$2,Arb!$AJ$36,,Arb!$AJ$37,),$A23,OFFSET(Arb!$AI$2,Arb!$AJ$36,,Arb!$AJ$37,),TRUE)</f>
        <v>49777</v>
      </c>
      <c r="H23" s="167">
        <f ca="1">SUMIFS(OFFSET(Arb!$U$2,Arb!$AJ$36,,Arb!$AJ$37,),OFFSET(Arb!$B$2,Arb!$AJ$36,,Arb!$AJ$37,),$B23,OFFSET(Arb!$C$2,Arb!$AJ$36,,Arb!$AJ$37,),$A23,OFFSET(Arb!$AI$2,Arb!$AJ$36,,Arb!$AJ$37,),TRUE)</f>
        <v>39</v>
      </c>
      <c r="I23" s="167">
        <f ca="1">SUMIFS(OFFSET(Arb!$V$2,Arb!$AJ$36,,Arb!$AJ$37,),OFFSET(Arb!$B$2,Arb!$AJ$36,,Arb!$AJ$37,),$B23,OFFSET(Arb!$C$2,Arb!$AJ$36,,Arb!$AJ$37,),$A23,OFFSET(Arb!$AI$2,Arb!$AJ$36,,Arb!$AJ$37,),TRUE)</f>
        <v>1317</v>
      </c>
      <c r="J23" s="167">
        <f ca="1">SUMIFS(OFFSET(Arb!$X$2,Arb!$AJ$36,,Arb!$AJ$37,),OFFSET(Arb!$B$2,Arb!$AJ$36,,Arb!$AJ$37,),$B23,OFFSET(Arb!$C$2,Arb!$AJ$36,,Arb!$AJ$37,),$A23,OFFSET(Arb!$AI$2,Arb!$AJ$36,,Arb!$AJ$37,),TRUE)</f>
        <v>1215</v>
      </c>
      <c r="K23" s="167">
        <f ca="1">SUMIFS(OFFSET(Arb!$AA$2,Arb!$AJ$36,,Arb!$AJ$37,),OFFSET(Arb!$B$2,Arb!$AJ$36,,Arb!$AJ$37,),$B23,OFFSET(Arb!$C$2,Arb!$AJ$36,,Arb!$AJ$37,),$A23,OFFSET(Arb!$AI$2,Arb!$AJ$36,,Arb!$AJ$37,),TRUE)</f>
        <v>114</v>
      </c>
      <c r="L23" s="167">
        <f ca="1">SUMIFS(OFFSET(Arb!$AB$2,Arb!$AJ$36,,Arb!$AJ$37,),OFFSET(Arb!$B$2,Arb!$AJ$36,,Arb!$AJ$37,),$B23,OFFSET(Arb!$C$2,Arb!$AJ$36,,Arb!$AJ$37,),$A23,OFFSET(Arb!$AI$2,Arb!$AJ$36,,Arb!$AJ$37,),TRUE)</f>
        <v>117</v>
      </c>
      <c r="M23" s="67">
        <f t="shared" ca="1" si="26"/>
        <v>1356</v>
      </c>
      <c r="N23" s="135">
        <f t="shared" ca="1" si="27"/>
        <v>66.875</v>
      </c>
      <c r="O23" s="382">
        <f t="shared" ca="1" si="28"/>
        <v>24.908125000000005</v>
      </c>
      <c r="P23" s="113">
        <f t="shared" ca="1" si="78"/>
        <v>2.6848668858053339</v>
      </c>
      <c r="Q23" s="383">
        <f t="shared" ca="1" si="30"/>
        <v>3.0487039871527859</v>
      </c>
      <c r="R23" s="113">
        <f t="shared" ca="1" si="31"/>
        <v>3.402504202945825</v>
      </c>
      <c r="S23" s="113">
        <f t="shared" ca="1" si="79"/>
        <v>3.5360302127735581</v>
      </c>
      <c r="T23" s="112">
        <f t="shared" ca="1" si="33"/>
        <v>43.475307265380714</v>
      </c>
      <c r="U23" s="382">
        <f t="shared" ca="1" si="34"/>
        <v>7.125</v>
      </c>
      <c r="V23" s="382">
        <f t="shared" ca="1" si="35"/>
        <v>7.3125</v>
      </c>
      <c r="W23" s="113">
        <f t="shared" ca="1" si="80"/>
        <v>0.89601769911504436</v>
      </c>
      <c r="X23" s="113">
        <f t="shared" ca="1" si="81"/>
        <v>0.88065843621399176</v>
      </c>
      <c r="Y23" s="113">
        <f t="shared" ca="1" si="38"/>
        <v>0.78908554572271383</v>
      </c>
      <c r="Z23" s="168">
        <f t="shared" ca="1" si="39"/>
        <v>194.44140625</v>
      </c>
      <c r="AA23" s="112">
        <f t="shared" ca="1" si="82"/>
        <v>7.8063445662810809</v>
      </c>
      <c r="AB23" s="113">
        <f t="shared" ca="1" si="83"/>
        <v>0.34393394539646827</v>
      </c>
      <c r="AC23" s="135">
        <f t="shared" ca="1" si="42"/>
        <v>23.799233804309615</v>
      </c>
      <c r="AD23" s="468">
        <f ca="1">AD12</f>
        <v>3</v>
      </c>
      <c r="AE23" s="382">
        <f t="shared" ca="1" si="43"/>
        <v>5.333333333333333</v>
      </c>
      <c r="AF23" s="67">
        <f ca="1">COUNTIFS(BV!$H$55:$H$160,"&gt;=" &amp; DATE($A23,$B23,1),BV!$H$55:$H$160,"&lt;" &amp; DATE(IF($B23=12,$A23+1,$A23),IF($B23=12,1,$B23+1),1))</f>
        <v>3</v>
      </c>
      <c r="AG23" s="67">
        <f ca="1">COUNTIFS(BV!$P$55:$P$160,"&gt;=" &amp; DATE($A23,$B23,1),BV!$P$55:$P$160,"&lt;" &amp; DATE(IF($B23=12,$A23+1,$A23),IF($B23=12,1,$B23+1),1))</f>
        <v>2</v>
      </c>
      <c r="AH23" s="67">
        <f ca="1">COUNTIFS(BV!$X$55:$X$160,"&gt;=" &amp; DATE($A23,$B23,1),BV!$X$55:$X$160,"&lt;" &amp; DATE(IF($B23=12,$A23+1,$A23),IF($B23=12,1,$B23+1),1))</f>
        <v>3</v>
      </c>
      <c r="AI23" s="67">
        <f ca="1">COUNTIFS(BV!$AF$55:$AF$160,"&gt;=" &amp; DATE($A23,$B23,1),BV!$AF$55:$AF$160,"&lt;" &amp; DATE(IF($B23=12,$A23+1,$A23),IF($B23=12,1,$B23+1),1))</f>
        <v>0</v>
      </c>
      <c r="AJ23" s="67">
        <f ca="1">COUNTIFS(BV!$AN$55:$AN$160,"&gt;=" &amp; DATE($A23,$B23,1),BV!$AN$55:$AN$160,"&lt;" &amp; DATE(IF($B23=12,$A23+1,$A23),IF($B23=12,1,$B23+1),1))</f>
        <v>2</v>
      </c>
      <c r="AK23" s="67">
        <f ca="1">COUNTIFS(BV!$AV$55:$AV$160,"&gt;=" &amp; DATE($A23,$B23,1),BV!$AV$55:$AV$160,"&lt;" &amp; DATE(IF($B23=12,$A23+1,$A23),IF($B23=12,1,$B23+1),1))</f>
        <v>0</v>
      </c>
      <c r="AL23" s="67">
        <f ca="1">COUNTIFS(BV!$BD$55:$BD$160,"&gt;=" &amp; DATE($A23,$B23,1),BV!$BD$55:$BD$160,"&lt;" &amp; DATE(IF($B23=12,$A23+1,$A23),IF($B23=12,1,$B23+1),1))</f>
        <v>3</v>
      </c>
      <c r="AM23" s="67">
        <f ca="1">COUNTIFS(BV!$BL$55:$BL$160,"&gt;=" &amp; DATE($A23,$B23,1),BV!$BL$55:$BL$160,"&lt;" &amp; DATE(IF($B23=12,$A23+1,$A23),IF($B23=12,1,$B23+1),1))</f>
        <v>2</v>
      </c>
      <c r="AN23" s="67">
        <f ca="1">COUNTIFS(BV!$BT$55:$BT$160,"&gt;=" &amp; DATE($A23,$B23,1),BV!$BT$55:$BT$160,"&lt;" &amp; DATE(IF($B23=12,$A23+1,$A23),IF($B23=12,1,$B23+1),1))</f>
        <v>0</v>
      </c>
      <c r="AO23" s="67">
        <f ca="1">COUNTIFS(BV!$CB$55:$CB$160,"&gt;=" &amp; DATE($A23,$B23,1),BV!$CB$55:$CB$160,"&lt;" &amp; DATE(IF($B23=12,$A23+1,$A23),IF($B23=12,1,$B23+1),1))</f>
        <v>0</v>
      </c>
      <c r="AP23" s="384">
        <f t="shared" ca="1" si="44"/>
        <v>60.785714285714292</v>
      </c>
      <c r="AQ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3</v>
      </c>
      <c r="AR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4</v>
      </c>
      <c r="AS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3</v>
      </c>
      <c r="AT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5</v>
      </c>
      <c r="AU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4</v>
      </c>
      <c r="AV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1</v>
      </c>
      <c r="AW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4</v>
      </c>
      <c r="AX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2</v>
      </c>
      <c r="AY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2</v>
      </c>
      <c r="AZ23" s="506">
        <f ca="1">COUNTIFS(OFFSET(Time!$T$2,(COLUMN()-43)*20,,20,),"&gt;=" &amp; DATE($A23,$B23,1),OFFSET(Time!$T$2,(COLUMN()-43)*20,,20,),"&lt;" &amp; DATE(IF($B23=12,$A23+1,$A23),IF($B23=12,1,$B23+1),1))+COUNTIFS(OFFSET(Bvs!$T$2,(COLUMN()-43)*20,,20,),"&gt;=" &amp; DATE($A23,$B23,1),OFFSET(Bvs!$T$2,(COLUMN()-43)*20,,20,),"&lt;" &amp; DATE(IF($B23=12,$A23+1,$A23),IF($B23=12,1,$B23+1),1))+COUNTIFS(OFFSET(QG!$T$2,(COLUMN()-43)*20,,20,),"&gt;=" &amp; DATE($A23,$B23,1),OFFSET(QG!$T$2,(COLUMN()-43)*20,,20,),"&lt;" &amp; DATE(IF($B23=12,$A23+1,$A23),IF($B23=12,1,$B23+1),1))</f>
        <v>1</v>
      </c>
      <c r="BA23" s="384">
        <f t="shared" ca="1" si="45"/>
        <v>93.603174603174594</v>
      </c>
      <c r="BB23" s="384">
        <f t="shared" ca="1" si="46"/>
        <v>154.38888888888889</v>
      </c>
      <c r="BC23" s="382">
        <f t="shared" ca="1" si="47"/>
        <v>51.462962962962962</v>
      </c>
      <c r="BD23" s="385">
        <f t="shared" ca="1" si="48"/>
        <v>9.6493055555555554</v>
      </c>
    </row>
    <row r="24" spans="1:56" x14ac:dyDescent="0.25">
      <c r="A24" s="367">
        <f t="shared" ref="A24" si="127">IF(B25=1,A25-1,A25)</f>
        <v>2020</v>
      </c>
      <c r="B24" s="367">
        <f t="shared" ref="B24:B32" si="128">IF(B25=1,12,B25-1)</f>
        <v>2</v>
      </c>
      <c r="C24" s="368" t="s">
        <v>40</v>
      </c>
      <c r="D24" s="69">
        <f ca="1">COUNTIFS(OFFSET(Arb!$B$2,Arb!$AJ$36+Arb!$AJ$37,,Arb!$AJ$38,),$B24,OFFSET(Arb!$C$2,Arb!$AJ$36+Arb!$AJ$37,,Arb!$AJ$38,),$A24,OFFSET(Arb!$AI$2,Arb!$AJ$36+Arb!$AJ$37,,Arb!$AJ$38,),TRUE)</f>
        <v>57</v>
      </c>
      <c r="E24" s="69">
        <f ca="1">SUMIFS(OFFSET(Arb!$I$2,Arb!$AJ$36+Arb!$AJ$37,,Arb!$AJ$38,),OFFSET(Arb!$B$2,Arb!$AJ$36+Arb!$AJ$37,,Arb!$AJ$38,),$B24,OFFSET(Arb!$C$2,Arb!$AJ$36+Arb!$AJ$37,,Arb!$AJ$38,),$A24,OFFSET(Arb!$AI$2,Arb!$AJ$36+Arb!$AJ$37,,Arb!$AJ$38,),TRUE)</f>
        <v>9578</v>
      </c>
      <c r="F24" s="69">
        <f ca="1">SUMIFS(OFFSET(Arb!$H$2,Arb!$AJ$36+Arb!$AJ$37,,Arb!$AJ$38,),OFFSET(Arb!$B$2,Arb!$AJ$36+Arb!$AJ$37,,Arb!$AJ$38,),$B24,OFFSET(Arb!$C$2,Arb!$AJ$36+Arb!$AJ$37,,Arb!$AJ$38,),$A24,OFFSET(Arb!$AI$2,Arb!$AJ$36+Arb!$AJ$37,,Arb!$AJ$38,),TRUE)</f>
        <v>4526.7</v>
      </c>
      <c r="G24" s="69">
        <f ca="1">SUMIFS(OFFSET(Arb!$AC$2,Arb!$AJ$36+Arb!$AJ$37,,Arb!$AJ$38,),OFFSET(Arb!$B$2,Arb!$AJ$36+Arb!$AJ$37,,Arb!$AJ$38,),$B24,OFFSET(Arb!$C$2,Arb!$AJ$36+Arb!$AJ$37,,Arb!$AJ$38,),$A24,OFFSET(Arb!$AI$2,Arb!$AJ$36+Arb!$AJ$37,,Arb!$AJ$38,),TRUE)</f>
        <v>489958</v>
      </c>
      <c r="H24" s="69">
        <f ca="1">SUMIFS(OFFSET(Arb!$U$2,Arb!$AJ$36+Arb!$AJ$37,,Arb!$AJ$38,),OFFSET(Arb!$B$2,Arb!$AJ$36+Arb!$AJ$37,,Arb!$AJ$38,),$B24,OFFSET(Arb!$C$2,Arb!$AJ$36+Arb!$AJ$37,,Arb!$AJ$38,),$A24,OFFSET(Arb!$AI$2,Arb!$AJ$36+Arb!$AJ$37,,Arb!$AJ$38,),TRUE)</f>
        <v>13213</v>
      </c>
      <c r="I24" s="69">
        <f ca="1">SUMIFS(OFFSET(Arb!$V$2,Arb!$AJ$36+Arb!$AJ$37,,Arb!$AJ$38,),OFFSET(Arb!$B$2,Arb!$AJ$36+Arb!$AJ$37,,Arb!$AJ$38,),$B24,OFFSET(Arb!$C$2,Arb!$AJ$36+Arb!$AJ$37,,Arb!$AJ$38,),$A24,OFFSET(Arb!$AI$2,Arb!$AJ$36+Arb!$AJ$37,,Arb!$AJ$38,),TRUE)</f>
        <v>0</v>
      </c>
      <c r="J24" s="69">
        <f ca="1">SUMIFS(OFFSET(Arb!$X$2,Arb!$AJ$36+Arb!$AJ$37,,Arb!$AJ$38,),OFFSET(Arb!$B$2,Arb!$AJ$36+Arb!$AJ$37,,Arb!$AJ$38,),$B24,OFFSET(Arb!$C$2,Arb!$AJ$36+Arb!$AJ$37,,Arb!$AJ$38,),$A24,OFFSET(Arb!$AI$2,Arb!$AJ$36+Arb!$AJ$37,,Arb!$AJ$38,),TRUE)</f>
        <v>11743</v>
      </c>
      <c r="K24" s="69">
        <f ca="1">SUMIFS(OFFSET(Arb!$AA$2,Arb!$AJ$36+Arb!$AJ$37,,Arb!$AJ$38,),OFFSET(Arb!$B$2,Arb!$AJ$36+Arb!$AJ$37,,Arb!$AJ$38,),$B24,OFFSET(Arb!$C$2,Arb!$AJ$36+Arb!$AJ$37,,Arb!$AJ$38,),$A24,OFFSET(Arb!$AI$2,Arb!$AJ$36+Arb!$AJ$37,,Arb!$AJ$38,),TRUE)</f>
        <v>827</v>
      </c>
      <c r="L24" s="69">
        <f ca="1">SUMIFS(OFFSET(Arb!$AB$2,Arb!$AJ$36+Arb!$AJ$37,,Arb!$AJ$38,),OFFSET(Arb!$B$2,Arb!$AJ$36+Arb!$AJ$37,,Arb!$AJ$38,),$B24,OFFSET(Arb!$C$2,Arb!$AJ$36+Arb!$AJ$37,,Arb!$AJ$38,),$A24,OFFSET(Arb!$AI$2,Arb!$AJ$36+Arb!$AJ$37,,Arb!$AJ$38,),TRUE)</f>
        <v>643</v>
      </c>
      <c r="M24" s="70">
        <f t="shared" ref="M24" ca="1" si="129">H24+I24</f>
        <v>13213</v>
      </c>
      <c r="N24" s="121">
        <f t="shared" ref="N24" ca="1" si="130">IFERROR(E24/D24,"")</f>
        <v>168.03508771929825</v>
      </c>
      <c r="O24" s="369">
        <f t="shared" ref="O24" ca="1" si="131">IFERROR(F24/D24,"")</f>
        <v>79.415789473684214</v>
      </c>
      <c r="P24" s="122">
        <f t="shared" ca="1" si="78"/>
        <v>2.1158901628117612</v>
      </c>
      <c r="Q24" s="234">
        <f t="shared" ref="Q24" ca="1" si="132">IFERROR(J24/F24,"")</f>
        <v>2.5941635186780658</v>
      </c>
      <c r="R24" s="122">
        <f t="shared" ref="R24" ca="1" si="133">IFERROR(M24/F24,"")</f>
        <v>2.9189033954094596</v>
      </c>
      <c r="S24" s="122">
        <f t="shared" ca="1" si="79"/>
        <v>10.102798262145738</v>
      </c>
      <c r="T24" s="119">
        <f t="shared" ref="T24" ca="1" si="134">IFERROR((IF(C24="beg",47.299,0)+IF(C24="int",153.73,0)+IF(C24="exp",435.001,0))/S24,"")</f>
        <v>43.057476623076695</v>
      </c>
      <c r="U24" s="369">
        <f t="shared" ref="U24" ca="1" si="135">IFERROR(K24/D24,"")</f>
        <v>14.508771929824562</v>
      </c>
      <c r="V24" s="369">
        <f t="shared" ref="V24" ca="1" si="136">IFERROR(L24/D24,"")</f>
        <v>11.280701754385966</v>
      </c>
      <c r="W24" s="122">
        <f t="shared" ca="1" si="80"/>
        <v>0.88874593203663055</v>
      </c>
      <c r="X24" s="122">
        <f t="shared" ca="1" si="81"/>
        <v>0.81563484629140759</v>
      </c>
      <c r="Y24" s="122">
        <f t="shared" ref="Y24" ca="1" si="137">IFERROR(E24/M24,"")</f>
        <v>0.72489215166881105</v>
      </c>
      <c r="Z24" s="175">
        <f t="shared" ref="Z24" ca="1" si="138">IFERROR(G24/D24/16,"")</f>
        <v>537.23464912280701</v>
      </c>
      <c r="AA24" s="119">
        <f t="shared" ca="1" si="82"/>
        <v>6.7648342059336821</v>
      </c>
      <c r="AB24" s="122">
        <f t="shared" ca="1" si="83"/>
        <v>0.31277782993644354</v>
      </c>
      <c r="AC24" s="121">
        <f t="shared" ref="AC24" ca="1" si="139">IFERROR(AA24*Q24,"")</f>
        <v>17.54908610693866</v>
      </c>
      <c r="AD24" s="547">
        <f ca="1">AD12</f>
        <v>3</v>
      </c>
      <c r="AE24" s="369">
        <f t="shared" ref="AE24" ca="1" si="140">D24/AD24</f>
        <v>19</v>
      </c>
      <c r="AF24" s="70">
        <f ca="1">COUNTIFS(BV!$H$242:$H$420,"&gt;=" &amp; DATE($A24,$B24,1),BV!$H$242:$H$420,"&lt;" &amp; DATE(IF($B24=12,$A24+1,$A24),IF($B24=12,1,$B24+1),1))</f>
        <v>1</v>
      </c>
      <c r="AG24" s="70">
        <f ca="1">COUNTIFS(BV!$P$242:$P$420,"&gt;=" &amp; DATE($A24,$B24,1),BV!$P$242:$P$420,"&lt;" &amp; DATE(IF($B24=12,$A24+1,$A24),IF($B24=12,1,$B24+1),1))</f>
        <v>0</v>
      </c>
      <c r="AH24" s="70">
        <f ca="1">COUNTIFS(BV!$X$242:$X$420,"&gt;=" &amp; DATE($A24,$B24,1),BV!$X$242:$X$420,"&lt;" &amp; DATE(IF($B24=12,$A24+1,$A24),IF($B24=12,1,$B24+1),1))</f>
        <v>2</v>
      </c>
      <c r="AI24" s="70">
        <f ca="1">COUNTIFS(BV!$AF$242:$AF$420,"&gt;=" &amp; DATE($A24,$B24,1),BV!$AF$242:$AF$420,"&lt;" &amp; DATE(IF($B24=12,$A24+1,$A24),IF($B24=12,1,$B24+1),1))</f>
        <v>1</v>
      </c>
      <c r="AJ24" s="70">
        <f ca="1">COUNTIFS(BV!$AN$242:$AN$420,"&gt;=" &amp; DATE($A24,$B24,1),BV!$AN$242:$AN$420,"&lt;" &amp; DATE(IF($B24=12,$A24+1,$A24),IF($B24=12,1,$B24+1),1))</f>
        <v>5</v>
      </c>
      <c r="AK24" s="70">
        <f ca="1">COUNTIFS(BV!$AV$242:$AV$420,"&gt;=" &amp; DATE($A24,$B24,1),BV!$AV$242:$AV$420,"&lt;" &amp; DATE(IF($B24=12,$A24+1,$A24),IF($B24=12,1,$B24+1),1))</f>
        <v>6</v>
      </c>
      <c r="AL24" s="70">
        <f ca="1">COUNTIFS(BV!$BD$242:$BD$420,"&gt;=" &amp; DATE($A24,$B24,1),BV!$BD$242:$BD$420,"&lt;" &amp; DATE(IF($B24=12,$A24+1,$A24),IF($B24=12,1,$B24+1),1))</f>
        <v>3</v>
      </c>
      <c r="AM24" s="70">
        <f ca="1">COUNTIFS(BV!$BL$242:$BL$420,"&gt;=" &amp; DATE($A24,$B24,1),BV!$BL$242:$BL$420,"&lt;" &amp; DATE(IF($B24=12,$A24+1,$A24),IF($B24=12,1,$B24+1),1))</f>
        <v>3</v>
      </c>
      <c r="AN24" s="70">
        <f ca="1">COUNTIFS(BV!$BT$242:$BT$420,"&gt;=" &amp; DATE($A24,$B24,1),BV!$BT$242:$BT$420,"&lt;" &amp; DATE(IF($B24=12,$A24+1,$A24),IF($B24=12,1,$B24+1),1))</f>
        <v>3</v>
      </c>
      <c r="AO24" s="70">
        <f ca="1">COUNTIFS(BV!$CB$242:$CB$420,"&gt;=" &amp; DATE($A24,$B24,1),BV!$CB$242:$CB$420,"&lt;" &amp; DATE(IF($B24=12,$A24+1,$A24),IF($B24=12,1,$B24+1),1))</f>
        <v>2</v>
      </c>
      <c r="AP24" s="232">
        <f t="shared" ca="1" si="44"/>
        <v>52.535714285714278</v>
      </c>
      <c r="AQ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0</v>
      </c>
      <c r="AR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0</v>
      </c>
      <c r="AS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1</v>
      </c>
      <c r="AT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0</v>
      </c>
      <c r="AU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1</v>
      </c>
      <c r="AV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1</v>
      </c>
      <c r="AW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2</v>
      </c>
      <c r="AX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1</v>
      </c>
      <c r="AY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0</v>
      </c>
      <c r="AZ24" s="547">
        <f ca="1">COUNTIFS(OFFSET(Time!$AD$2,(COLUMN()-43)*20,,20,),"&gt;=" &amp; DATE($A24,$B24,1),OFFSET(Time!$AD$2,(COLUMN()-43)*20,,20,),"&lt;" &amp; DATE(IF($B24=12,$A24+1,$A24),IF($B24=12,1,$B24+1),1))+COUNTIFS(OFFSET(Bvs!$AD$2,(COLUMN()-43)*20,,20,),"&gt;=" &amp; DATE($A24,$B24,1),OFFSET(Bvs!$AD$2,(COLUMN()-43)*20,,20,),"&lt;" &amp; DATE(IF($B24=12,$A24+1,$A24),IF($B24=12,1,$B24+1),1))+COUNTIFS(OFFSET(QG!$AD$2,(COLUMN()-43)*20,,20,),"&gt;=" &amp; DATE($A24,$B24,1),OFFSET(QG!$AD$2,(COLUMN()-43)*20,,20,),"&lt;" &amp; DATE(IF($B24=12,$A24+1,$A24),IF($B24=12,1,$B24+1),1))</f>
        <v>3</v>
      </c>
      <c r="BA24" s="232">
        <f t="shared" ref="BA24" ca="1" si="141">(AQ24+AR24/2+AS24/3+AT24/4+AU24/5+AV24/6+AW24/7+AX24/8+AY24/9+AZ24/10)*10</f>
        <v>14.107142857142858</v>
      </c>
      <c r="BB24" s="232">
        <f t="shared" ref="BB24" ca="1" si="142">AP24+BA24</f>
        <v>66.642857142857139</v>
      </c>
      <c r="BC24" s="369">
        <f t="shared" ca="1" si="47"/>
        <v>22.214285714285712</v>
      </c>
      <c r="BD24" s="369">
        <f t="shared" ref="BD24" ca="1" si="143">IF(AE24=0,0,BC24/AE24)</f>
        <v>1.1691729323308269</v>
      </c>
    </row>
    <row r="25" spans="1:56" x14ac:dyDescent="0.25">
      <c r="A25" s="367">
        <f t="shared" ref="A25" si="144">IF(B26=1,A26-1,A26)</f>
        <v>2020</v>
      </c>
      <c r="B25" s="367">
        <f t="shared" si="128"/>
        <v>3</v>
      </c>
      <c r="C25" s="368" t="s">
        <v>40</v>
      </c>
      <c r="D25" s="69">
        <f ca="1">COUNTIFS(OFFSET(Arb!$B$2,Arb!$AJ$36+Arb!$AJ$37,,Arb!$AJ$38,),$B25,OFFSET(Arb!$C$2,Arb!$AJ$36+Arb!$AJ$37,,Arb!$AJ$38,),$A25,OFFSET(Arb!$AI$2,Arb!$AJ$36+Arb!$AJ$37,,Arb!$AJ$38,),TRUE)</f>
        <v>111</v>
      </c>
      <c r="E25" s="69">
        <f ca="1">SUMIFS(OFFSET(Arb!$I$2,Arb!$AJ$36+Arb!$AJ$37,,Arb!$AJ$38,),OFFSET(Arb!$B$2,Arb!$AJ$36+Arb!$AJ$37,,Arb!$AJ$38,),$B25,OFFSET(Arb!$C$2,Arb!$AJ$36+Arb!$AJ$37,,Arb!$AJ$38,),$A25,OFFSET(Arb!$AI$2,Arb!$AJ$36+Arb!$AJ$37,,Arb!$AJ$38,),TRUE)</f>
        <v>19135</v>
      </c>
      <c r="F25" s="69">
        <f ca="1">SUMIFS(OFFSET(Arb!$H$2,Arb!$AJ$36+Arb!$AJ$37,,Arb!$AJ$38,),OFFSET(Arb!$B$2,Arb!$AJ$36+Arb!$AJ$37,,Arb!$AJ$38,),$B25,OFFSET(Arb!$C$2,Arb!$AJ$36+Arb!$AJ$37,,Arb!$AJ$38,),$A25,OFFSET(Arb!$AI$2,Arb!$AJ$36+Arb!$AJ$37,,Arb!$AJ$38,),TRUE)</f>
        <v>8441.9600000000046</v>
      </c>
      <c r="G25" s="69">
        <f ca="1">SUMIFS(OFFSET(Arb!$AC$2,Arb!$AJ$36+Arb!$AJ$37,,Arb!$AJ$38,),OFFSET(Arb!$B$2,Arb!$AJ$36+Arb!$AJ$37,,Arb!$AJ$38,),$B25,OFFSET(Arb!$C$2,Arb!$AJ$36+Arb!$AJ$37,,Arb!$AJ$38,),$A25,OFFSET(Arb!$AI$2,Arb!$AJ$36+Arb!$AJ$37,,Arb!$AJ$38,),TRUE)</f>
        <v>945320</v>
      </c>
      <c r="H25" s="69">
        <f ca="1">SUMIFS(OFFSET(Arb!$U$2,Arb!$AJ$36+Arb!$AJ$37,,Arb!$AJ$38,),OFFSET(Arb!$B$2,Arb!$AJ$36+Arb!$AJ$37,,Arb!$AJ$38,),$B25,OFFSET(Arb!$C$2,Arb!$AJ$36+Arb!$AJ$37,,Arb!$AJ$38,),$A25,OFFSET(Arb!$AI$2,Arb!$AJ$36+Arb!$AJ$37,,Arb!$AJ$38,),TRUE)</f>
        <v>25610</v>
      </c>
      <c r="I25" s="69">
        <f ca="1">SUMIFS(OFFSET(Arb!$V$2,Arb!$AJ$36+Arb!$AJ$37,,Arb!$AJ$38,),OFFSET(Arb!$B$2,Arb!$AJ$36+Arb!$AJ$37,,Arb!$AJ$38,),$B25,OFFSET(Arb!$C$2,Arb!$AJ$36+Arb!$AJ$37,,Arb!$AJ$38,),$A25,OFFSET(Arb!$AI$2,Arb!$AJ$36+Arb!$AJ$37,,Arb!$AJ$38,),TRUE)</f>
        <v>0</v>
      </c>
      <c r="J25" s="69">
        <f ca="1">SUMIFS(OFFSET(Arb!$X$2,Arb!$AJ$36+Arb!$AJ$37,,Arb!$AJ$38,),OFFSET(Arb!$B$2,Arb!$AJ$36+Arb!$AJ$37,,Arb!$AJ$38,),$B25,OFFSET(Arb!$C$2,Arb!$AJ$36+Arb!$AJ$37,,Arb!$AJ$38,),$A25,OFFSET(Arb!$AI$2,Arb!$AJ$36+Arb!$AJ$37,,Arb!$AJ$38,),TRUE)</f>
        <v>22997</v>
      </c>
      <c r="K25" s="69">
        <f ca="1">SUMIFS(OFFSET(Arb!$AA$2,Arb!$AJ$36+Arb!$AJ$37,,Arb!$AJ$38,),OFFSET(Arb!$B$2,Arb!$AJ$36+Arb!$AJ$37,,Arb!$AJ$38,),$B25,OFFSET(Arb!$C$2,Arb!$AJ$36+Arb!$AJ$37,,Arb!$AJ$38,),$A25,OFFSET(Arb!$AI$2,Arb!$AJ$36+Arb!$AJ$37,,Arb!$AJ$38,),TRUE)</f>
        <v>1491</v>
      </c>
      <c r="L25" s="69">
        <f ca="1">SUMIFS(OFFSET(Arb!$AB$2,Arb!$AJ$36+Arb!$AJ$37,,Arb!$AJ$38,),OFFSET(Arb!$B$2,Arb!$AJ$36+Arb!$AJ$37,,Arb!$AJ$38,),$B25,OFFSET(Arb!$C$2,Arb!$AJ$36+Arb!$AJ$37,,Arb!$AJ$38,),$A25,OFFSET(Arb!$AI$2,Arb!$AJ$36+Arb!$AJ$37,,Arb!$AJ$38,),TRUE)</f>
        <v>1160</v>
      </c>
      <c r="M25" s="70">
        <f t="shared" ca="1" si="26"/>
        <v>25610</v>
      </c>
      <c r="N25" s="121">
        <f t="shared" ca="1" si="27"/>
        <v>172.38738738738738</v>
      </c>
      <c r="O25" s="369">
        <f t="shared" ca="1" si="28"/>
        <v>76.053693693693731</v>
      </c>
      <c r="P25" s="122">
        <f t="shared" ref="P25" ca="1" si="145">IFERROR(N25/O25,"")</f>
        <v>2.2666537154878714</v>
      </c>
      <c r="Q25" s="234">
        <f t="shared" ca="1" si="30"/>
        <v>2.7241304152116319</v>
      </c>
      <c r="R25" s="122">
        <f t="shared" ca="1" si="31"/>
        <v>3.0336556913323429</v>
      </c>
      <c r="S25" s="122">
        <f t="shared" ref="S25" ca="1" si="146">IFERROR(O25^1.7/N25,"")</f>
        <v>9.1495353906615602</v>
      </c>
      <c r="T25" s="119">
        <f t="shared" ca="1" si="33"/>
        <v>47.54350701173113</v>
      </c>
      <c r="U25" s="369">
        <f t="shared" ca="1" si="34"/>
        <v>13.432432432432432</v>
      </c>
      <c r="V25" s="369">
        <f t="shared" ca="1" si="35"/>
        <v>10.45045045045045</v>
      </c>
      <c r="W25" s="122">
        <f t="shared" ref="W25" ca="1" si="147">IFERROR(Q25/R25,"")</f>
        <v>0.89796954314720812</v>
      </c>
      <c r="X25" s="122">
        <f t="shared" ref="X25" ca="1" si="148">IFERROR(P25/Q25,"")</f>
        <v>0.83206505196329961</v>
      </c>
      <c r="Y25" s="122">
        <f t="shared" ca="1" si="38"/>
        <v>0.74716907458024207</v>
      </c>
      <c r="Z25" s="175">
        <f t="shared" ca="1" si="39"/>
        <v>532.27477477477476</v>
      </c>
      <c r="AA25" s="119">
        <f t="shared" ref="AA25" ca="1" si="149">IFERROR(Z25/O25,"")</f>
        <v>6.9986709247615444</v>
      </c>
      <c r="AB25" s="122">
        <f t="shared" ref="AB25" ca="1" si="150">IFERROR(N25/Z25,"")</f>
        <v>0.32386916599669952</v>
      </c>
      <c r="AC25" s="121">
        <f t="shared" ca="1" si="42"/>
        <v>19.06529233220024</v>
      </c>
      <c r="AD25" s="468">
        <f ca="1">AD14</f>
        <v>26</v>
      </c>
      <c r="AE25" s="369">
        <f t="shared" ca="1" si="43"/>
        <v>4.2692307692307692</v>
      </c>
      <c r="AF25" s="70">
        <f ca="1">COUNTIFS(BV!$H$242:$H$420,"&gt;=" &amp; DATE($A25,$B25,1),BV!$H$242:$H$420,"&lt;" &amp; DATE(IF($B25=12,$A25+1,$A25),IF($B25=12,1,$B25+1),1))</f>
        <v>12</v>
      </c>
      <c r="AG25" s="70">
        <f ca="1">COUNTIFS(BV!$P$242:$P$420,"&gt;=" &amp; DATE($A25,$B25,1),BV!$P$242:$P$420,"&lt;" &amp; DATE(IF($B25=12,$A25+1,$A25),IF($B25=12,1,$B25+1),1))</f>
        <v>7</v>
      </c>
      <c r="AH25" s="70">
        <f ca="1">COUNTIFS(BV!$X$242:$X$420,"&gt;=" &amp; DATE($A25,$B25,1),BV!$X$242:$X$420,"&lt;" &amp; DATE(IF($B25=12,$A25+1,$A25),IF($B25=12,1,$B25+1),1))</f>
        <v>9</v>
      </c>
      <c r="AI25" s="70">
        <f ca="1">COUNTIFS(BV!$AF$242:$AF$420,"&gt;=" &amp; DATE($A25,$B25,1),BV!$AF$242:$AF$420,"&lt;" &amp; DATE(IF($B25=12,$A25+1,$A25),IF($B25=12,1,$B25+1),1))</f>
        <v>8</v>
      </c>
      <c r="AJ25" s="70">
        <f ca="1">COUNTIFS(BV!$AN$242:$AN$420,"&gt;=" &amp; DATE($A25,$B25,1),BV!$AN$242:$AN$420,"&lt;" &amp; DATE(IF($B25=12,$A25+1,$A25),IF($B25=12,1,$B25+1),1))</f>
        <v>6</v>
      </c>
      <c r="AK25" s="70">
        <f ca="1">COUNTIFS(BV!$AV$242:$AV$420,"&gt;=" &amp; DATE($A25,$B25,1),BV!$AV$242:$AV$420,"&lt;" &amp; DATE(IF($B25=12,$A25+1,$A25),IF($B25=12,1,$B25+1),1))</f>
        <v>6</v>
      </c>
      <c r="AL25" s="70">
        <f ca="1">COUNTIFS(BV!$BD$242:$BD$420,"&gt;=" &amp; DATE($A25,$B25,1),BV!$BD$242:$BD$420,"&lt;" &amp; DATE(IF($B25=12,$A25+1,$A25),IF($B25=12,1,$B25+1),1))</f>
        <v>10</v>
      </c>
      <c r="AM25" s="70">
        <f ca="1">COUNTIFS(BV!$BL$242:$BL$420,"&gt;=" &amp; DATE($A25,$B25,1),BV!$BL$242:$BL$420,"&lt;" &amp; DATE(IF($B25=12,$A25+1,$A25),IF($B25=12,1,$B25+1),1))</f>
        <v>5</v>
      </c>
      <c r="AN25" s="70">
        <f ca="1">COUNTIFS(BV!$BT$242:$BT$420,"&gt;=" &amp; DATE($A25,$B25,1),BV!$BT$242:$BT$420,"&lt;" &amp; DATE(IF($B25=12,$A25+1,$A25),IF($B25=12,1,$B25+1),1))</f>
        <v>5</v>
      </c>
      <c r="AO25" s="70">
        <f ca="1">COUNTIFS(BV!$CB$242:$CB$420,"&gt;=" &amp; DATE($A25,$B25,1),BV!$CB$242:$CB$420,"&lt;" &amp; DATE(IF($B25=12,$A25+1,$A25),IF($B25=12,1,$B25+1),1))</f>
        <v>11</v>
      </c>
      <c r="AP25" s="232">
        <f t="shared" ref="AP25:AP45" ca="1" si="151">(AF25+AG25/2+AH25/3+AI25/4+AJ25/5+AK25/6+AL25/7+AM25/8+AN25/9+AO25/10)*10</f>
        <v>264.09126984126988</v>
      </c>
      <c r="AQ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4</v>
      </c>
      <c r="AR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5</v>
      </c>
      <c r="AS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6</v>
      </c>
      <c r="AT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4</v>
      </c>
      <c r="AU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5</v>
      </c>
      <c r="AV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6</v>
      </c>
      <c r="AW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3</v>
      </c>
      <c r="AX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10</v>
      </c>
      <c r="AY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4</v>
      </c>
      <c r="AZ25" s="506">
        <f ca="1">COUNTIFS(OFFSET(Time!$AD$2,(COLUMN()-43)*20,,20,),"&gt;=" &amp; DATE($A25,$B25,1),OFFSET(Time!$AD$2,(COLUMN()-43)*20,,20,),"&lt;" &amp; DATE(IF($B25=12,$A25+1,$A25),IF($B25=12,1,$B25+1),1))+COUNTIFS(OFFSET(Bvs!$AD$2,(COLUMN()-43)*20,,20,),"&gt;=" &amp; DATE($A25,$B25,1),OFFSET(Bvs!$AD$2,(COLUMN()-43)*20,,20,),"&lt;" &amp; DATE(IF($B25=12,$A25+1,$A25),IF($B25=12,1,$B25+1),1))+COUNTIFS(OFFSET(QG!$AD$2,(COLUMN()-43)*20,,20,),"&gt;=" &amp; DATE($A25,$B25,1),OFFSET(QG!$AD$2,(COLUMN()-43)*20,,20,),"&lt;" &amp; DATE(IF($B25=12,$A25+1,$A25),IF($B25=12,1,$B25+1),1))</f>
        <v>5</v>
      </c>
      <c r="BA25" s="232">
        <f t="shared" ca="1" si="45"/>
        <v>141.23015873015873</v>
      </c>
      <c r="BB25" s="232">
        <f t="shared" ca="1" si="46"/>
        <v>405.32142857142861</v>
      </c>
      <c r="BC25" s="369">
        <f t="shared" ref="BC25:BC45" ca="1" si="152">BB25/AD25</f>
        <v>15.589285714285715</v>
      </c>
      <c r="BD25" s="369">
        <f t="shared" ca="1" si="48"/>
        <v>3.6515444015444016</v>
      </c>
    </row>
    <row r="26" spans="1:56" x14ac:dyDescent="0.25">
      <c r="A26" s="24">
        <f t="shared" ref="A26" si="153">IF(B27=1,A27-1,A27)</f>
        <v>2020</v>
      </c>
      <c r="B26" s="24">
        <f t="shared" si="128"/>
        <v>4</v>
      </c>
      <c r="C26" s="38" t="s">
        <v>40</v>
      </c>
      <c r="D26" s="1">
        <f ca="1">COUNTIFS(OFFSET(Arb!$B$2,Arb!$AJ$36+Arb!$AJ$37,,Arb!$AJ$38,),$B26,OFFSET(Arb!$C$2,Arb!$AJ$36+Arb!$AJ$37,,Arb!$AJ$38,),$A26,OFFSET(Arb!$AI$2,Arb!$AJ$36+Arb!$AJ$37,,Arb!$AJ$38,),TRUE)</f>
        <v>71</v>
      </c>
      <c r="E26" s="1">
        <f ca="1">SUMIFS(OFFSET(Arb!$I$2,Arb!$AJ$36+Arb!$AJ$37,,Arb!$AJ$38,),OFFSET(Arb!$B$2,Arb!$AJ$36+Arb!$AJ$37,,Arb!$AJ$38,),$B26,OFFSET(Arb!$C$2,Arb!$AJ$36+Arb!$AJ$37,,Arb!$AJ$38,),$A26,OFFSET(Arb!$AI$2,Arb!$AJ$36+Arb!$AJ$37,,Arb!$AJ$38,),TRUE)</f>
        <v>12466</v>
      </c>
      <c r="F26" s="1">
        <f ca="1">SUMIFS(OFFSET(Arb!$H$2,Arb!$AJ$36+Arb!$AJ$37,,Arb!$AJ$38,),OFFSET(Arb!$B$2,Arb!$AJ$36+Arb!$AJ$37,,Arb!$AJ$38,),$B26,OFFSET(Arb!$C$2,Arb!$AJ$36+Arb!$AJ$37,,Arb!$AJ$38,),$A26,OFFSET(Arb!$AI$2,Arb!$AJ$36+Arb!$AJ$37,,Arb!$AJ$38,),TRUE)</f>
        <v>5514.3</v>
      </c>
      <c r="G26" s="1">
        <f ca="1">SUMIFS(OFFSET(Arb!$AC$2,Arb!$AJ$36+Arb!$AJ$37,,Arb!$AJ$38,),OFFSET(Arb!$B$2,Arb!$AJ$36+Arb!$AJ$37,,Arb!$AJ$38,),$B26,OFFSET(Arb!$C$2,Arb!$AJ$36+Arb!$AJ$37,,Arb!$AJ$38,),$A26,OFFSET(Arb!$AI$2,Arb!$AJ$36+Arb!$AJ$37,,Arb!$AJ$38,),TRUE)</f>
        <v>615380</v>
      </c>
      <c r="H26" s="1">
        <f ca="1">SUMIFS(OFFSET(Arb!$U$2,Arb!$AJ$36+Arb!$AJ$37,,Arb!$AJ$38,),OFFSET(Arb!$B$2,Arb!$AJ$36+Arb!$AJ$37,,Arb!$AJ$38,),$B26,OFFSET(Arb!$C$2,Arb!$AJ$36+Arb!$AJ$37,,Arb!$AJ$38,),$A26,OFFSET(Arb!$AI$2,Arb!$AJ$36+Arb!$AJ$37,,Arb!$AJ$38,),TRUE)</f>
        <v>16801</v>
      </c>
      <c r="I26" s="1">
        <f ca="1">SUMIFS(OFFSET(Arb!$V$2,Arb!$AJ$36+Arb!$AJ$37,,Arb!$AJ$38,),OFFSET(Arb!$B$2,Arb!$AJ$36+Arb!$AJ$37,,Arb!$AJ$38,),$B26,OFFSET(Arb!$C$2,Arb!$AJ$36+Arb!$AJ$37,,Arb!$AJ$38,),$A26,OFFSET(Arb!$AI$2,Arb!$AJ$36+Arb!$AJ$37,,Arb!$AJ$38,),TRUE)</f>
        <v>0</v>
      </c>
      <c r="J26" s="1">
        <f ca="1">SUMIFS(OFFSET(Arb!$X$2,Arb!$AJ$36+Arb!$AJ$37,,Arb!$AJ$38,),OFFSET(Arb!$B$2,Arb!$AJ$36+Arb!$AJ$37,,Arb!$AJ$38,),$B26,OFFSET(Arb!$C$2,Arb!$AJ$36+Arb!$AJ$37,,Arb!$AJ$38,),$A26,OFFSET(Arb!$AI$2,Arb!$AJ$36+Arb!$AJ$37,,Arb!$AJ$38,),TRUE)</f>
        <v>15058</v>
      </c>
      <c r="K26" s="1">
        <f ca="1">SUMIFS(OFFSET(Arb!$AA$2,Arb!$AJ$36+Arb!$AJ$37,,Arb!$AJ$38,),OFFSET(Arb!$B$2,Arb!$AJ$36+Arb!$AJ$37,,Arb!$AJ$38,),$B26,OFFSET(Arb!$C$2,Arb!$AJ$36+Arb!$AJ$37,,Arb!$AJ$38,),$A26,OFFSET(Arb!$AI$2,Arb!$AJ$36+Arb!$AJ$37,,Arb!$AJ$38,),TRUE)</f>
        <v>981</v>
      </c>
      <c r="L26" s="1">
        <f ca="1">SUMIFS(OFFSET(Arb!$AB$2,Arb!$AJ$36+Arb!$AJ$37,,Arb!$AJ$38,),OFFSET(Arb!$B$2,Arb!$AJ$36+Arb!$AJ$37,,Arb!$AJ$38,),$B26,OFFSET(Arb!$C$2,Arb!$AJ$36+Arb!$AJ$37,,Arb!$AJ$38,),$A26,OFFSET(Arb!$AI$2,Arb!$AJ$36+Arb!$AJ$37,,Arb!$AJ$38,),TRUE)</f>
        <v>769</v>
      </c>
      <c r="M26" s="11">
        <f t="shared" ca="1" si="26"/>
        <v>16801</v>
      </c>
      <c r="N26" s="21">
        <f t="shared" ca="1" si="27"/>
        <v>175.57746478873239</v>
      </c>
      <c r="O26" s="12">
        <f t="shared" ca="1" si="28"/>
        <v>77.666197183098589</v>
      </c>
      <c r="P26" s="33">
        <f t="shared" ca="1" si="78"/>
        <v>2.2606677184774133</v>
      </c>
      <c r="Q26" s="20">
        <f t="shared" ca="1" si="30"/>
        <v>2.7307183142012583</v>
      </c>
      <c r="R26" s="33">
        <f t="shared" ca="1" si="31"/>
        <v>3.0468055782238905</v>
      </c>
      <c r="S26" s="33">
        <f t="shared" ca="1" si="79"/>
        <v>9.3094858455082914</v>
      </c>
      <c r="T26" s="34">
        <f t="shared" ca="1" si="33"/>
        <v>46.726640678000756</v>
      </c>
      <c r="U26" s="12">
        <f t="shared" ca="1" si="34"/>
        <v>13.816901408450704</v>
      </c>
      <c r="V26" s="12">
        <f t="shared" ca="1" si="35"/>
        <v>10.830985915492958</v>
      </c>
      <c r="W26" s="33">
        <f t="shared" ca="1" si="80"/>
        <v>0.89625617522766499</v>
      </c>
      <c r="X26" s="33">
        <f t="shared" ca="1" si="81"/>
        <v>0.82786558639925634</v>
      </c>
      <c r="Y26" s="33">
        <f t="shared" ca="1" si="38"/>
        <v>0.74197964406880546</v>
      </c>
      <c r="Z26" s="17">
        <f t="shared" ca="1" si="39"/>
        <v>541.70774647887322</v>
      </c>
      <c r="AA26" s="34">
        <f t="shared" ca="1" si="82"/>
        <v>6.9748200134196541</v>
      </c>
      <c r="AB26" s="33">
        <f t="shared" ca="1" si="83"/>
        <v>0.32411843088823167</v>
      </c>
      <c r="AC26" s="21">
        <f t="shared" ca="1" si="42"/>
        <v>19.046268748902516</v>
      </c>
      <c r="AD26" s="468">
        <f ca="1">AD15</f>
        <v>21</v>
      </c>
      <c r="AE26" s="12">
        <f t="shared" ca="1" si="43"/>
        <v>3.3809523809523809</v>
      </c>
      <c r="AF26" s="11">
        <f ca="1">COUNTIFS(BV!$H$242:$H$420,"&gt;=" &amp; DATE($A26,$B26,1),BV!$H$242:$H$420,"&lt;" &amp; DATE(IF($B26=12,$A26+1,$A26),IF($B26=12,1,$B26+1),1))</f>
        <v>8</v>
      </c>
      <c r="AG26" s="11">
        <f ca="1">COUNTIFS(BV!$P$242:$P$420,"&gt;=" &amp; DATE($A26,$B26,1),BV!$P$242:$P$420,"&lt;" &amp; DATE(IF($B26=12,$A26+1,$A26),IF($B26=12,1,$B26+1),1))</f>
        <v>5</v>
      </c>
      <c r="AH26" s="11">
        <f ca="1">COUNTIFS(BV!$X$242:$X$420,"&gt;=" &amp; DATE($A26,$B26,1),BV!$X$242:$X$420,"&lt;" &amp; DATE(IF($B26=12,$A26+1,$A26),IF($B26=12,1,$B26+1),1))</f>
        <v>8</v>
      </c>
      <c r="AI26" s="11">
        <f ca="1">COUNTIFS(BV!$AF$242:$AF$420,"&gt;=" &amp; DATE($A26,$B26,1),BV!$AF$242:$AF$420,"&lt;" &amp; DATE(IF($B26=12,$A26+1,$A26),IF($B26=12,1,$B26+1),1))</f>
        <v>6</v>
      </c>
      <c r="AJ26" s="11">
        <f ca="1">COUNTIFS(BV!$AN$242:$AN$420,"&gt;=" &amp; DATE($A26,$B26,1),BV!$AN$242:$AN$420,"&lt;" &amp; DATE(IF($B26=12,$A26+1,$A26),IF($B26=12,1,$B26+1),1))</f>
        <v>5</v>
      </c>
      <c r="AK26" s="11">
        <f ca="1">COUNTIFS(BV!$AV$242:$AV$420,"&gt;=" &amp; DATE($A26,$B26,1),BV!$AV$242:$AV$420,"&lt;" &amp; DATE(IF($B26=12,$A26+1,$A26),IF($B26=12,1,$B26+1),1))</f>
        <v>5</v>
      </c>
      <c r="AL26" s="11">
        <f ca="1">COUNTIFS(BV!$BD$242:$BD$420,"&gt;=" &amp; DATE($A26,$B26,1),BV!$BD$242:$BD$420,"&lt;" &amp; DATE(IF($B26=12,$A26+1,$A26),IF($B26=12,1,$B26+1),1))</f>
        <v>4</v>
      </c>
      <c r="AM26" s="11">
        <f ca="1">COUNTIFS(BV!$BL$242:$BL$420,"&gt;=" &amp; DATE($A26,$B26,1),BV!$BL$242:$BL$420,"&lt;" &amp; DATE(IF($B26=12,$A26+1,$A26),IF($B26=12,1,$B26+1),1))</f>
        <v>2</v>
      </c>
      <c r="AN26" s="11">
        <f ca="1">COUNTIFS(BV!$BT$242:$BT$420,"&gt;=" &amp; DATE($A26,$B26,1),BV!$BT$242:$BT$420,"&lt;" &amp; DATE(IF($B26=12,$A26+1,$A26),IF($B26=12,1,$B26+1),1))</f>
        <v>2</v>
      </c>
      <c r="AO26" s="11">
        <f ca="1">COUNTIFS(BV!$CB$242:$CB$420,"&gt;=" &amp; DATE($A26,$B26,1),BV!$CB$242:$CB$420,"&lt;" &amp; DATE(IF($B26=12,$A26+1,$A26),IF($B26=12,1,$B26+1),1))</f>
        <v>1</v>
      </c>
      <c r="AP26" s="35">
        <f t="shared" ca="1" si="151"/>
        <v>176.43650793650795</v>
      </c>
      <c r="AQ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2</v>
      </c>
      <c r="AR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3</v>
      </c>
      <c r="AS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6</v>
      </c>
      <c r="AT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4</v>
      </c>
      <c r="AU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3</v>
      </c>
      <c r="AV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10</v>
      </c>
      <c r="AW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3</v>
      </c>
      <c r="AX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3</v>
      </c>
      <c r="AY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6</v>
      </c>
      <c r="AZ26" s="506">
        <f ca="1">COUNTIFS(OFFSET(Time!$AD$2,(COLUMN()-43)*20,,20,),"&gt;=" &amp; DATE($A26,$B26,1),OFFSET(Time!$AD$2,(COLUMN()-43)*20,,20,),"&lt;" &amp; DATE(IF($B26=12,$A26+1,$A26),IF($B26=12,1,$B26+1),1))+COUNTIFS(OFFSET(Bvs!$AD$2,(COLUMN()-43)*20,,20,),"&gt;=" &amp; DATE($A26,$B26,1),OFFSET(Bvs!$AD$2,(COLUMN()-43)*20,,20,),"&lt;" &amp; DATE(IF($B26=12,$A26+1,$A26),IF($B26=12,1,$B26+1),1))+COUNTIFS(OFFSET(QG!$AD$2,(COLUMN()-43)*20,,20,),"&gt;=" &amp; DATE($A26,$B26,1),OFFSET(QG!$AD$2,(COLUMN()-43)*20,,20,),"&lt;" &amp; DATE(IF($B26=12,$A26+1,$A26),IF($B26=12,1,$B26+1),1))</f>
        <v>6</v>
      </c>
      <c r="BA26" s="35">
        <f t="shared" ca="1" si="45"/>
        <v>108.36904761904761</v>
      </c>
      <c r="BB26" s="35">
        <f t="shared" ca="1" si="46"/>
        <v>284.80555555555554</v>
      </c>
      <c r="BC26" s="12">
        <f t="shared" ca="1" si="152"/>
        <v>13.562169312169312</v>
      </c>
      <c r="BD26" s="12">
        <f t="shared" ca="1" si="48"/>
        <v>4.0113458528951487</v>
      </c>
    </row>
    <row r="27" spans="1:56" x14ac:dyDescent="0.25">
      <c r="A27" s="24">
        <f t="shared" ref="A27" si="154">IF(B28=1,A28-1,A28)</f>
        <v>2020</v>
      </c>
      <c r="B27" s="24">
        <f t="shared" si="128"/>
        <v>5</v>
      </c>
      <c r="C27" s="38" t="s">
        <v>40</v>
      </c>
      <c r="D27" s="1">
        <f ca="1">COUNTIFS(OFFSET(Arb!$B$2,Arb!$AJ$36+Arb!$AJ$37,,Arb!$AJ$38,),$B27,OFFSET(Arb!$C$2,Arb!$AJ$36+Arb!$AJ$37,,Arb!$AJ$38,),$A27,OFFSET(Arb!$AI$2,Arb!$AJ$36+Arb!$AJ$37,,Arb!$AJ$38,),TRUE)</f>
        <v>92</v>
      </c>
      <c r="E27" s="1">
        <f ca="1">SUMIFS(OFFSET(Arb!$I$2,Arb!$AJ$36+Arb!$AJ$37,,Arb!$AJ$38,),OFFSET(Arb!$B$2,Arb!$AJ$36+Arb!$AJ$37,,Arb!$AJ$38,),$B27,OFFSET(Arb!$C$2,Arb!$AJ$36+Arb!$AJ$37,,Arb!$AJ$38,),$A27,OFFSET(Arb!$AI$2,Arb!$AJ$36+Arb!$AJ$37,,Arb!$AJ$38,),TRUE)</f>
        <v>15580</v>
      </c>
      <c r="F27" s="1">
        <f ca="1">SUMIFS(OFFSET(Arb!$H$2,Arb!$AJ$36+Arb!$AJ$37,,Arb!$AJ$38,),OFFSET(Arb!$B$2,Arb!$AJ$36+Arb!$AJ$37,,Arb!$AJ$38,),$B27,OFFSET(Arb!$C$2,Arb!$AJ$36+Arb!$AJ$37,,Arb!$AJ$38,),$A27,OFFSET(Arb!$AI$2,Arb!$AJ$36+Arb!$AJ$37,,Arb!$AJ$38,),TRUE)</f>
        <v>6869.149999999996</v>
      </c>
      <c r="G27" s="1">
        <f ca="1">SUMIFS(OFFSET(Arb!$AC$2,Arb!$AJ$36+Arb!$AJ$37,,Arb!$AJ$38,),OFFSET(Arb!$B$2,Arb!$AJ$36+Arb!$AJ$37,,Arb!$AJ$38,),$B27,OFFSET(Arb!$C$2,Arb!$AJ$36+Arb!$AJ$37,,Arb!$AJ$38,),$A27,OFFSET(Arb!$AI$2,Arb!$AJ$36+Arb!$AJ$37,,Arb!$AJ$38,),TRUE)</f>
        <v>763335</v>
      </c>
      <c r="H27" s="1">
        <f ca="1">SUMIFS(OFFSET(Arb!$U$2,Arb!$AJ$36+Arb!$AJ$37,,Arb!$AJ$38,),OFFSET(Arb!$B$2,Arb!$AJ$36+Arb!$AJ$37,,Arb!$AJ$38,),$B27,OFFSET(Arb!$C$2,Arb!$AJ$36+Arb!$AJ$37,,Arb!$AJ$38,),$A27,OFFSET(Arb!$AI$2,Arb!$AJ$36+Arb!$AJ$37,,Arb!$AJ$38,),TRUE)</f>
        <v>21099</v>
      </c>
      <c r="I27" s="1">
        <f ca="1">SUMIFS(OFFSET(Arb!$V$2,Arb!$AJ$36+Arb!$AJ$37,,Arb!$AJ$38,),OFFSET(Arb!$B$2,Arb!$AJ$36+Arb!$AJ$37,,Arb!$AJ$38,),$B27,OFFSET(Arb!$C$2,Arb!$AJ$36+Arb!$AJ$37,,Arb!$AJ$38,),$A27,OFFSET(Arb!$AI$2,Arb!$AJ$36+Arb!$AJ$37,,Arb!$AJ$38,),TRUE)</f>
        <v>0</v>
      </c>
      <c r="J27" s="1">
        <f ca="1">SUMIFS(OFFSET(Arb!$X$2,Arb!$AJ$36+Arb!$AJ$37,,Arb!$AJ$38,),OFFSET(Arb!$B$2,Arb!$AJ$36+Arb!$AJ$37,,Arb!$AJ$38,),$B27,OFFSET(Arb!$C$2,Arb!$AJ$36+Arb!$AJ$37,,Arb!$AJ$38,),$A27,OFFSET(Arb!$AI$2,Arb!$AJ$36+Arb!$AJ$37,,Arb!$AJ$38,),TRUE)</f>
        <v>18891</v>
      </c>
      <c r="K27" s="1">
        <f ca="1">SUMIFS(OFFSET(Arb!$AA$2,Arb!$AJ$36+Arb!$AJ$37,,Arb!$AJ$38,),OFFSET(Arb!$B$2,Arb!$AJ$36+Arb!$AJ$37,,Arb!$AJ$38,),$B27,OFFSET(Arb!$C$2,Arb!$AJ$36+Arb!$AJ$37,,Arb!$AJ$38,),$A27,OFFSET(Arb!$AI$2,Arb!$AJ$36+Arb!$AJ$37,,Arb!$AJ$38,),TRUE)</f>
        <v>1262</v>
      </c>
      <c r="L27" s="1">
        <f ca="1">SUMIFS(OFFSET(Arb!$AB$2,Arb!$AJ$36+Arb!$AJ$37,,Arb!$AJ$38,),OFFSET(Arb!$B$2,Arb!$AJ$36+Arb!$AJ$37,,Arb!$AJ$38,),$B27,OFFSET(Arb!$C$2,Arb!$AJ$36+Arb!$AJ$37,,Arb!$AJ$38,),$A27,OFFSET(Arb!$AI$2,Arb!$AJ$36+Arb!$AJ$37,,Arb!$AJ$38,),TRUE)</f>
        <v>987</v>
      </c>
      <c r="M27" s="11">
        <f t="shared" ca="1" si="26"/>
        <v>21099</v>
      </c>
      <c r="N27" s="21">
        <f t="shared" ca="1" si="27"/>
        <v>169.34782608695653</v>
      </c>
      <c r="O27" s="12">
        <f t="shared" ca="1" si="28"/>
        <v>74.66467391304343</v>
      </c>
      <c r="P27" s="33">
        <f t="shared" ref="P27" ca="1" si="155">IFERROR(N27/O27,"")</f>
        <v>2.2681117751104591</v>
      </c>
      <c r="Q27" s="20">
        <f t="shared" ca="1" si="30"/>
        <v>2.7501219219262953</v>
      </c>
      <c r="R27" s="33">
        <f t="shared" ca="1" si="31"/>
        <v>3.071559072083156</v>
      </c>
      <c r="S27" s="33">
        <f t="shared" ref="S27" ca="1" si="156">IFERROR(O27^1.7/N27,"")</f>
        <v>9.0264330986483419</v>
      </c>
      <c r="T27" s="34">
        <f t="shared" ca="1" si="33"/>
        <v>48.191904293307061</v>
      </c>
      <c r="U27" s="12">
        <f t="shared" ca="1" si="34"/>
        <v>13.717391304347826</v>
      </c>
      <c r="V27" s="12">
        <f t="shared" ca="1" si="35"/>
        <v>10.728260869565217</v>
      </c>
      <c r="W27" s="33">
        <f t="shared" ref="W27" ca="1" si="157">IFERROR(Q27/R27,"")</f>
        <v>0.89535049054457561</v>
      </c>
      <c r="X27" s="33">
        <f t="shared" ref="X27" ca="1" si="158">IFERROR(P27/Q27,"")</f>
        <v>0.82473135355460281</v>
      </c>
      <c r="Y27" s="33">
        <f t="shared" ca="1" si="38"/>
        <v>0.73842362197260536</v>
      </c>
      <c r="Z27" s="17">
        <f t="shared" ca="1" si="39"/>
        <v>518.569972826087</v>
      </c>
      <c r="AA27" s="34">
        <f t="shared" ref="AA27" ca="1" si="159">IFERROR(Z27/O27,"")</f>
        <v>6.9453189259224262</v>
      </c>
      <c r="AB27" s="33">
        <f t="shared" ref="AB27" ca="1" si="160">IFERROR(N27/Z27,"")</f>
        <v>0.32656697256119527</v>
      </c>
      <c r="AC27" s="21">
        <f t="shared" ca="1" si="42"/>
        <v>19.100473832948857</v>
      </c>
      <c r="AD27" s="468">
        <f ca="1">AD16</f>
        <v>15</v>
      </c>
      <c r="AE27" s="12">
        <f t="shared" ca="1" si="43"/>
        <v>6.1333333333333337</v>
      </c>
      <c r="AF27" s="11">
        <f ca="1">COUNTIFS(BV!$H$242:$H$420,"&gt;=" &amp; DATE($A27,$B27,1),BV!$H$242:$H$420,"&lt;" &amp; DATE(IF($B27=12,$A27+1,$A27),IF($B27=12,1,$B27+1),1))</f>
        <v>8</v>
      </c>
      <c r="AG27" s="11">
        <f ca="1">COUNTIFS(BV!$P$242:$P$420,"&gt;=" &amp; DATE($A27,$B27,1),BV!$P$242:$P$420,"&lt;" &amp; DATE(IF($B27=12,$A27+1,$A27),IF($B27=12,1,$B27+1),1))</f>
        <v>11</v>
      </c>
      <c r="AH27" s="11">
        <f ca="1">COUNTIFS(BV!$X$242:$X$420,"&gt;=" &amp; DATE($A27,$B27,1),BV!$X$242:$X$420,"&lt;" &amp; DATE(IF($B27=12,$A27+1,$A27),IF($B27=12,1,$B27+1),1))</f>
        <v>7</v>
      </c>
      <c r="AI27" s="11">
        <f ca="1">COUNTIFS(BV!$AF$242:$AF$420,"&gt;=" &amp; DATE($A27,$B27,1),BV!$AF$242:$AF$420,"&lt;" &amp; DATE(IF($B27=12,$A27+1,$A27),IF($B27=12,1,$B27+1),1))</f>
        <v>8</v>
      </c>
      <c r="AJ27" s="11">
        <f ca="1">COUNTIFS(BV!$AN$242:$AN$420,"&gt;=" &amp; DATE($A27,$B27,1),BV!$AN$242:$AN$420,"&lt;" &amp; DATE(IF($B27=12,$A27+1,$A27),IF($B27=12,1,$B27+1),1))</f>
        <v>8</v>
      </c>
      <c r="AK27" s="11">
        <f ca="1">COUNTIFS(BV!$AV$242:$AV$420,"&gt;=" &amp; DATE($A27,$B27,1),BV!$AV$242:$AV$420,"&lt;" &amp; DATE(IF($B27=12,$A27+1,$A27),IF($B27=12,1,$B27+1),1))</f>
        <v>8</v>
      </c>
      <c r="AL27" s="11">
        <f ca="1">COUNTIFS(BV!$BD$242:$BD$420,"&gt;=" &amp; DATE($A27,$B27,1),BV!$BD$242:$BD$420,"&lt;" &amp; DATE(IF($B27=12,$A27+1,$A27),IF($B27=12,1,$B27+1),1))</f>
        <v>5</v>
      </c>
      <c r="AM27" s="11">
        <f ca="1">COUNTIFS(BV!$BL$242:$BL$420,"&gt;=" &amp; DATE($A27,$B27,1),BV!$BL$242:$BL$420,"&lt;" &amp; DATE(IF($B27=12,$A27+1,$A27),IF($B27=12,1,$B27+1),1))</f>
        <v>6</v>
      </c>
      <c r="AN27" s="11">
        <f ca="1">COUNTIFS(BV!$BT$242:$BT$420,"&gt;=" &amp; DATE($A27,$B27,1),BV!$BT$242:$BT$420,"&lt;" &amp; DATE(IF($B27=12,$A27+1,$A27),IF($B27=12,1,$B27+1),1))</f>
        <v>4</v>
      </c>
      <c r="AO27" s="11">
        <f ca="1">COUNTIFS(BV!$CB$242:$CB$420,"&gt;=" &amp; DATE($A27,$B27,1),BV!$CB$242:$CB$420,"&lt;" &amp; DATE(IF($B27=12,$A27+1,$A27),IF($B27=12,1,$B27+1),1))</f>
        <v>4</v>
      </c>
      <c r="AP27" s="35">
        <f t="shared" ca="1" si="151"/>
        <v>230.75396825396825</v>
      </c>
      <c r="AQ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3</v>
      </c>
      <c r="AR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7</v>
      </c>
      <c r="AS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6</v>
      </c>
      <c r="AT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5</v>
      </c>
      <c r="AU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8</v>
      </c>
      <c r="AV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9</v>
      </c>
      <c r="AW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6</v>
      </c>
      <c r="AX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6</v>
      </c>
      <c r="AY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7</v>
      </c>
      <c r="AZ27" s="506">
        <f ca="1">COUNTIFS(OFFSET(Time!$AD$2,(COLUMN()-43)*20,,20,),"&gt;=" &amp; DATE($A27,$B27,1),OFFSET(Time!$AD$2,(COLUMN()-43)*20,,20,),"&lt;" &amp; DATE(IF($B27=12,$A27+1,$A27),IF($B27=12,1,$B27+1),1))+COUNTIFS(OFFSET(Bvs!$AD$2,(COLUMN()-43)*20,,20,),"&gt;=" &amp; DATE($A27,$B27,1),OFFSET(Bvs!$AD$2,(COLUMN()-43)*20,,20,),"&lt;" &amp; DATE(IF($B27=12,$A27+1,$A27),IF($B27=12,1,$B27+1),1))+COUNTIFS(OFFSET(QG!$AD$2,(COLUMN()-43)*20,,20,),"&gt;=" &amp; DATE($A27,$B27,1),OFFSET(QG!$AD$2,(COLUMN()-43)*20,,20,),"&lt;" &amp; DATE(IF($B27=12,$A27+1,$A27),IF($B27=12,1,$B27+1),1))</f>
        <v>5</v>
      </c>
      <c r="BA27" s="35">
        <f t="shared" ca="1" si="45"/>
        <v>157.34920634920636</v>
      </c>
      <c r="BB27" s="35">
        <f t="shared" ca="1" si="46"/>
        <v>388.10317460317458</v>
      </c>
      <c r="BC27" s="12">
        <f t="shared" ca="1" si="152"/>
        <v>25.873544973544973</v>
      </c>
      <c r="BD27" s="12">
        <f t="shared" ca="1" si="48"/>
        <v>4.2185127674258105</v>
      </c>
    </row>
    <row r="28" spans="1:56" x14ac:dyDescent="0.25">
      <c r="A28" s="24">
        <f t="shared" ref="A28" si="161">IF(B29=1,A29-1,A29)</f>
        <v>2020</v>
      </c>
      <c r="B28" s="24">
        <f t="shared" si="128"/>
        <v>6</v>
      </c>
      <c r="C28" s="38" t="s">
        <v>40</v>
      </c>
      <c r="D28" s="1">
        <f ca="1">COUNTIFS(OFFSET(Arb!$B$2,Arb!$AJ$36+Arb!$AJ$37,,Arb!$AJ$38,),$B28,OFFSET(Arb!$C$2,Arb!$AJ$36+Arb!$AJ$37,,Arb!$AJ$38,),$A28,OFFSET(Arb!$AI$2,Arb!$AJ$36+Arb!$AJ$37,,Arb!$AJ$38,),TRUE)</f>
        <v>62</v>
      </c>
      <c r="E28" s="1">
        <f ca="1">SUMIFS(OFFSET(Arb!$I$2,Arb!$AJ$36+Arb!$AJ$37,,Arb!$AJ$38,),OFFSET(Arb!$B$2,Arb!$AJ$36+Arb!$AJ$37,,Arb!$AJ$38,),$B28,OFFSET(Arb!$C$2,Arb!$AJ$36+Arb!$AJ$37,,Arb!$AJ$38,),$A28,OFFSET(Arb!$AI$2,Arb!$AJ$36+Arb!$AJ$37,,Arb!$AJ$38,),TRUE)</f>
        <v>10621</v>
      </c>
      <c r="F28" s="1">
        <f ca="1">SUMIFS(OFFSET(Arb!$H$2,Arb!$AJ$36+Arb!$AJ$37,,Arb!$AJ$38,),OFFSET(Arb!$B$2,Arb!$AJ$36+Arb!$AJ$37,,Arb!$AJ$38,),$B28,OFFSET(Arb!$C$2,Arb!$AJ$36+Arb!$AJ$37,,Arb!$AJ$38,),$A28,OFFSET(Arb!$AI$2,Arb!$AJ$36+Arb!$AJ$37,,Arb!$AJ$38,),TRUE)</f>
        <v>4679.380000000001</v>
      </c>
      <c r="G28" s="1">
        <f ca="1">SUMIFS(OFFSET(Arb!$AC$2,Arb!$AJ$36+Arb!$AJ$37,,Arb!$AJ$38,),OFFSET(Arb!$B$2,Arb!$AJ$36+Arb!$AJ$37,,Arb!$AJ$38,),$B28,OFFSET(Arb!$C$2,Arb!$AJ$36+Arb!$AJ$37,,Arb!$AJ$38,),$A28,OFFSET(Arb!$AI$2,Arb!$AJ$36+Arb!$AJ$37,,Arb!$AJ$38,),TRUE)</f>
        <v>526326</v>
      </c>
      <c r="H28" s="1">
        <f ca="1">SUMIFS(OFFSET(Arb!$U$2,Arb!$AJ$36+Arb!$AJ$37,,Arb!$AJ$38,),OFFSET(Arb!$B$2,Arb!$AJ$36+Arb!$AJ$37,,Arb!$AJ$38,),$B28,OFFSET(Arb!$C$2,Arb!$AJ$36+Arb!$AJ$37,,Arb!$AJ$38,),$A28,OFFSET(Arb!$AI$2,Arb!$AJ$36+Arb!$AJ$37,,Arb!$AJ$38,),TRUE)</f>
        <v>14055</v>
      </c>
      <c r="I28" s="1">
        <f ca="1">SUMIFS(OFFSET(Arb!$V$2,Arb!$AJ$36+Arb!$AJ$37,,Arb!$AJ$38,),OFFSET(Arb!$B$2,Arb!$AJ$36+Arb!$AJ$37,,Arb!$AJ$38,),$B28,OFFSET(Arb!$C$2,Arb!$AJ$36+Arb!$AJ$37,,Arb!$AJ$38,),$A28,OFFSET(Arb!$AI$2,Arb!$AJ$36+Arb!$AJ$37,,Arb!$AJ$38,),TRUE)</f>
        <v>324</v>
      </c>
      <c r="J28" s="1">
        <f ca="1">SUMIFS(OFFSET(Arb!$X$2,Arb!$AJ$36+Arb!$AJ$37,,Arb!$AJ$38,),OFFSET(Arb!$B$2,Arb!$AJ$36+Arb!$AJ$37,,Arb!$AJ$38,),$B28,OFFSET(Arb!$C$2,Arb!$AJ$36+Arb!$AJ$37,,Arb!$AJ$38,),$A28,OFFSET(Arb!$AI$2,Arb!$AJ$36+Arb!$AJ$37,,Arb!$AJ$38,),TRUE)</f>
        <v>12918</v>
      </c>
      <c r="K28" s="1">
        <f ca="1">SUMIFS(OFFSET(Arb!$AA$2,Arb!$AJ$36+Arb!$AJ$37,,Arb!$AJ$38,),OFFSET(Arb!$B$2,Arb!$AJ$36+Arb!$AJ$37,,Arb!$AJ$38,),$B28,OFFSET(Arb!$C$2,Arb!$AJ$36+Arb!$AJ$37,,Arb!$AJ$38,),$A28,OFFSET(Arb!$AI$2,Arb!$AJ$36+Arb!$AJ$37,,Arb!$AJ$38,),TRUE)</f>
        <v>869</v>
      </c>
      <c r="L28" s="1">
        <f ca="1">SUMIFS(OFFSET(Arb!$AB$2,Arb!$AJ$36+Arb!$AJ$37,,Arb!$AJ$38,),OFFSET(Arb!$B$2,Arb!$AJ$36+Arb!$AJ$37,,Arb!$AJ$38,),$B28,OFFSET(Arb!$C$2,Arb!$AJ$36+Arb!$AJ$37,,Arb!$AJ$38,),$A28,OFFSET(Arb!$AI$2,Arb!$AJ$36+Arb!$AJ$37,,Arb!$AJ$38,),TRUE)</f>
        <v>686</v>
      </c>
      <c r="M28" s="11">
        <f t="shared" ca="1" si="26"/>
        <v>14379</v>
      </c>
      <c r="N28" s="21">
        <f t="shared" ca="1" si="27"/>
        <v>171.30645161290323</v>
      </c>
      <c r="O28" s="12">
        <f t="shared" ca="1" si="28"/>
        <v>75.473870967741945</v>
      </c>
      <c r="P28" s="33">
        <f t="shared" ca="1" si="78"/>
        <v>2.2697451371762924</v>
      </c>
      <c r="Q28" s="20">
        <f t="shared" ca="1" si="30"/>
        <v>2.7606221337014727</v>
      </c>
      <c r="R28" s="33">
        <f t="shared" ca="1" si="31"/>
        <v>3.0728429834721687</v>
      </c>
      <c r="S28" s="33">
        <f t="shared" ca="1" si="79"/>
        <v>9.0882558191991603</v>
      </c>
      <c r="T28" s="34">
        <f t="shared" ca="1" si="33"/>
        <v>47.86407960491713</v>
      </c>
      <c r="U28" s="12">
        <f t="shared" ca="1" si="34"/>
        <v>14.016129032258064</v>
      </c>
      <c r="V28" s="12">
        <f t="shared" ca="1" si="35"/>
        <v>11.064516129032258</v>
      </c>
      <c r="W28" s="33">
        <f t="shared" ca="1" si="80"/>
        <v>0.89839349050698936</v>
      </c>
      <c r="X28" s="33">
        <f t="shared" ca="1" si="81"/>
        <v>0.82218609691902789</v>
      </c>
      <c r="Y28" s="33">
        <f t="shared" ca="1" si="38"/>
        <v>0.73864663745740311</v>
      </c>
      <c r="Z28" s="17">
        <f t="shared" ca="1" si="39"/>
        <v>530.57056451612902</v>
      </c>
      <c r="AA28" s="34">
        <f t="shared" ca="1" si="82"/>
        <v>7.0298575879710548</v>
      </c>
      <c r="AB28" s="33">
        <f t="shared" ca="1" si="83"/>
        <v>0.32287213628055617</v>
      </c>
      <c r="AC28" s="21">
        <f t="shared" ca="1" si="42"/>
        <v>19.406780454122142</v>
      </c>
      <c r="AD28" s="468">
        <f ca="1">AD17</f>
        <v>15</v>
      </c>
      <c r="AE28" s="12">
        <f t="shared" ca="1" si="43"/>
        <v>4.1333333333333337</v>
      </c>
      <c r="AF28" s="11">
        <f ca="1">COUNTIFS(BV!$H$242:$H$420,"&gt;=" &amp; DATE($A28,$B28,1),BV!$H$242:$H$420,"&lt;" &amp; DATE(IF($B28=12,$A28+1,$A28),IF($B28=12,1,$B28+1),1))</f>
        <v>6</v>
      </c>
      <c r="AG28" s="11">
        <f ca="1">COUNTIFS(BV!$P$242:$P$420,"&gt;=" &amp; DATE($A28,$B28,1),BV!$P$242:$P$420,"&lt;" &amp; DATE(IF($B28=12,$A28+1,$A28),IF($B28=12,1,$B28+1),1))</f>
        <v>8</v>
      </c>
      <c r="AH28" s="11">
        <f ca="1">COUNTIFS(BV!$X$242:$X$420,"&gt;=" &amp; DATE($A28,$B28,1),BV!$X$242:$X$420,"&lt;" &amp; DATE(IF($B28=12,$A28+1,$A28),IF($B28=12,1,$B28+1),1))</f>
        <v>4</v>
      </c>
      <c r="AI28" s="11">
        <f ca="1">COUNTIFS(BV!$AF$242:$AF$420,"&gt;=" &amp; DATE($A28,$B28,1),BV!$AF$242:$AF$420,"&lt;" &amp; DATE(IF($B28=12,$A28+1,$A28),IF($B28=12,1,$B28+1),1))</f>
        <v>5</v>
      </c>
      <c r="AJ28" s="11">
        <f ca="1">COUNTIFS(BV!$AN$242:$AN$420,"&gt;=" &amp; DATE($A28,$B28,1),BV!$AN$242:$AN$420,"&lt;" &amp; DATE(IF($B28=12,$A28+1,$A28),IF($B28=12,1,$B28+1),1))</f>
        <v>7</v>
      </c>
      <c r="AK28" s="11">
        <f ca="1">COUNTIFS(BV!$AV$242:$AV$420,"&gt;=" &amp; DATE($A28,$B28,1),BV!$AV$242:$AV$420,"&lt;" &amp; DATE(IF($B28=12,$A28+1,$A28),IF($B28=12,1,$B28+1),1))</f>
        <v>3</v>
      </c>
      <c r="AL28" s="11">
        <f ca="1">COUNTIFS(BV!$BD$242:$BD$420,"&gt;=" &amp; DATE($A28,$B28,1),BV!$BD$242:$BD$420,"&lt;" &amp; DATE(IF($B28=12,$A28+1,$A28),IF($B28=12,1,$B28+1),1))</f>
        <v>3</v>
      </c>
      <c r="AM28" s="11">
        <f ca="1">COUNTIFS(BV!$BL$242:$BL$420,"&gt;=" &amp; DATE($A28,$B28,1),BV!$BL$242:$BL$420,"&lt;" &amp; DATE(IF($B28=12,$A28+1,$A28),IF($B28=12,1,$B28+1),1))</f>
        <v>7</v>
      </c>
      <c r="AN28" s="11">
        <f ca="1">COUNTIFS(BV!$BT$242:$BT$420,"&gt;=" &amp; DATE($A28,$B28,1),BV!$BT$242:$BT$420,"&lt;" &amp; DATE(IF($B28=12,$A28+1,$A28),IF($B28=12,1,$B28+1),1))</f>
        <v>2</v>
      </c>
      <c r="AO28" s="11">
        <f ca="1">COUNTIFS(BV!$CB$242:$CB$420,"&gt;=" &amp; DATE($A28,$B28,1),BV!$CB$242:$CB$420,"&lt;" &amp; DATE(IF($B28=12,$A28+1,$A28),IF($B28=12,1,$B28+1),1))</f>
        <v>2</v>
      </c>
      <c r="AP28" s="35">
        <f t="shared" ca="1" si="151"/>
        <v>162.09126984126985</v>
      </c>
      <c r="AQ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1</v>
      </c>
      <c r="AR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4</v>
      </c>
      <c r="AS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6</v>
      </c>
      <c r="AT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5</v>
      </c>
      <c r="AU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5</v>
      </c>
      <c r="AV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1</v>
      </c>
      <c r="AW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6</v>
      </c>
      <c r="AX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3</v>
      </c>
      <c r="AY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6</v>
      </c>
      <c r="AZ28" s="506">
        <f ca="1">COUNTIFS(OFFSET(Time!$AD$2,(COLUMN()-43)*20,,20,),"&gt;=" &amp; DATE($A28,$B28,1),OFFSET(Time!$AD$2,(COLUMN()-43)*20,,20,),"&lt;" &amp; DATE(IF($B28=12,$A28+1,$A28),IF($B28=12,1,$B28+1),1))+COUNTIFS(OFFSET(Bvs!$AD$2,(COLUMN()-43)*20,,20,),"&gt;=" &amp; DATE($A28,$B28,1),OFFSET(Bvs!$AD$2,(COLUMN()-43)*20,,20,),"&lt;" &amp; DATE(IF($B28=12,$A28+1,$A28),IF($B28=12,1,$B28+1),1))+COUNTIFS(OFFSET(QG!$AD$2,(COLUMN()-43)*20,,20,),"&gt;=" &amp; DATE($A28,$B28,1),OFFSET(QG!$AD$2,(COLUMN()-43)*20,,20,),"&lt;" &amp; DATE(IF($B28=12,$A28+1,$A28),IF($B28=12,1,$B28+1),1))</f>
        <v>7</v>
      </c>
      <c r="BA28" s="35">
        <f t="shared" ca="1" si="45"/>
        <v>100.1547619047619</v>
      </c>
      <c r="BB28" s="35">
        <f t="shared" ca="1" si="46"/>
        <v>262.24603174603175</v>
      </c>
      <c r="BC28" s="12">
        <f t="shared" ca="1" si="152"/>
        <v>17.483068783068784</v>
      </c>
      <c r="BD28" s="12">
        <f t="shared" ca="1" si="48"/>
        <v>4.229774705581157</v>
      </c>
    </row>
    <row r="29" spans="1:56" x14ac:dyDescent="0.25">
      <c r="A29" s="24">
        <f t="shared" ref="A29" si="162">IF(B30=1,A30-1,A30)</f>
        <v>2020</v>
      </c>
      <c r="B29" s="24">
        <f t="shared" si="128"/>
        <v>7</v>
      </c>
      <c r="C29" s="38" t="s">
        <v>40</v>
      </c>
      <c r="D29" s="1">
        <f ca="1">COUNTIFS(OFFSET(Arb!$B$2,Arb!$AJ$36+Arb!$AJ$37,,Arb!$AJ$38,),$B29,OFFSET(Arb!$C$2,Arb!$AJ$36+Arb!$AJ$37,,Arb!$AJ$38,),$A29,OFFSET(Arb!$AI$2,Arb!$AJ$36+Arb!$AJ$37,,Arb!$AJ$38,),TRUE)</f>
        <v>58</v>
      </c>
      <c r="E29" s="1">
        <f ca="1">SUMIFS(OFFSET(Arb!$I$2,Arb!$AJ$36+Arb!$AJ$37,,Arb!$AJ$38,),OFFSET(Arb!$B$2,Arb!$AJ$36+Arb!$AJ$37,,Arb!$AJ$38,),$B29,OFFSET(Arb!$C$2,Arb!$AJ$36+Arb!$AJ$37,,Arb!$AJ$38,),$A29,OFFSET(Arb!$AI$2,Arb!$AJ$36+Arb!$AJ$37,,Arb!$AJ$38,),TRUE)</f>
        <v>9901</v>
      </c>
      <c r="F29" s="1">
        <f ca="1">SUMIFS(OFFSET(Arb!$H$2,Arb!$AJ$36+Arb!$AJ$37,,Arb!$AJ$38,),OFFSET(Arb!$B$2,Arb!$AJ$36+Arb!$AJ$37,,Arb!$AJ$38,),$B29,OFFSET(Arb!$C$2,Arb!$AJ$36+Arb!$AJ$37,,Arb!$AJ$38,),$A29,OFFSET(Arb!$AI$2,Arb!$AJ$36+Arb!$AJ$37,,Arb!$AJ$38,),TRUE)</f>
        <v>4332.0000000000009</v>
      </c>
      <c r="G29" s="1">
        <f ca="1">SUMIFS(OFFSET(Arb!$AC$2,Arb!$AJ$36+Arb!$AJ$37,,Arb!$AJ$38,),OFFSET(Arb!$B$2,Arb!$AJ$36+Arb!$AJ$37,,Arb!$AJ$38,),$B29,OFFSET(Arb!$C$2,Arb!$AJ$36+Arb!$AJ$37,,Arb!$AJ$38,),$A29,OFFSET(Arb!$AI$2,Arb!$AJ$36+Arb!$AJ$37,,Arb!$AJ$38,),TRUE)</f>
        <v>479085</v>
      </c>
      <c r="H29" s="1">
        <f ca="1">SUMIFS(OFFSET(Arb!$U$2,Arb!$AJ$36+Arb!$AJ$37,,Arb!$AJ$38,),OFFSET(Arb!$B$2,Arb!$AJ$36+Arb!$AJ$37,,Arb!$AJ$38,),$B29,OFFSET(Arb!$C$2,Arb!$AJ$36+Arb!$AJ$37,,Arb!$AJ$38,),$A29,OFFSET(Arb!$AI$2,Arb!$AJ$36+Arb!$AJ$37,,Arb!$AJ$38,),TRUE)</f>
        <v>13220</v>
      </c>
      <c r="I29" s="1">
        <f ca="1">SUMIFS(OFFSET(Arb!$V$2,Arb!$AJ$36+Arb!$AJ$37,,Arb!$AJ$38,),OFFSET(Arb!$B$2,Arb!$AJ$36+Arb!$AJ$37,,Arb!$AJ$38,),$B29,OFFSET(Arb!$C$2,Arb!$AJ$36+Arb!$AJ$37,,Arb!$AJ$38,),$A29,OFFSET(Arb!$AI$2,Arb!$AJ$36+Arb!$AJ$37,,Arb!$AJ$38,),TRUE)</f>
        <v>226</v>
      </c>
      <c r="J29" s="1">
        <f ca="1">SUMIFS(OFFSET(Arb!$X$2,Arb!$AJ$36+Arb!$AJ$37,,Arb!$AJ$38,),OFFSET(Arb!$B$2,Arb!$AJ$36+Arb!$AJ$37,,Arb!$AJ$38,),$B29,OFFSET(Arb!$C$2,Arb!$AJ$36+Arb!$AJ$37,,Arb!$AJ$38,),$A29,OFFSET(Arb!$AI$2,Arb!$AJ$36+Arb!$AJ$37,,Arb!$AJ$38,),TRUE)</f>
        <v>12061</v>
      </c>
      <c r="K29" s="1">
        <f ca="1">SUMIFS(OFFSET(Arb!$AA$2,Arb!$AJ$36+Arb!$AJ$37,,Arb!$AJ$38,),OFFSET(Arb!$B$2,Arb!$AJ$36+Arb!$AJ$37,,Arb!$AJ$38,),$B29,OFFSET(Arb!$C$2,Arb!$AJ$36+Arb!$AJ$37,,Arb!$AJ$38,),$A29,OFFSET(Arb!$AI$2,Arb!$AJ$36+Arb!$AJ$37,,Arb!$AJ$38,),TRUE)</f>
        <v>808</v>
      </c>
      <c r="L29" s="1">
        <f ca="1">SUMIFS(OFFSET(Arb!$AB$2,Arb!$AJ$36+Arb!$AJ$37,,Arb!$AJ$38,),OFFSET(Arb!$B$2,Arb!$AJ$36+Arb!$AJ$37,,Arb!$AJ$38,),$B29,OFFSET(Arb!$C$2,Arb!$AJ$36+Arb!$AJ$37,,Arb!$AJ$38,),$A29,OFFSET(Arb!$AI$2,Arb!$AJ$36+Arb!$AJ$37,,Arb!$AJ$38,),TRUE)</f>
        <v>657</v>
      </c>
      <c r="M29" s="11">
        <f t="shared" ca="1" si="26"/>
        <v>13446</v>
      </c>
      <c r="N29" s="21">
        <f t="shared" ca="1" si="27"/>
        <v>170.70689655172413</v>
      </c>
      <c r="O29" s="12">
        <f t="shared" ca="1" si="28"/>
        <v>74.689655172413808</v>
      </c>
      <c r="P29" s="33">
        <f t="shared" ref="P29" ca="1" si="163">IFERROR(N29/O29,"")</f>
        <v>2.2855493998153271</v>
      </c>
      <c r="Q29" s="20">
        <f t="shared" ca="1" si="30"/>
        <v>2.7841643582640807</v>
      </c>
      <c r="R29" s="33">
        <f t="shared" ca="1" si="31"/>
        <v>3.1038781163434899</v>
      </c>
      <c r="S29" s="33">
        <f t="shared" ref="S29" ca="1" si="164">IFERROR(O29^1.7/N29,"")</f>
        <v>8.9596636328042489</v>
      </c>
      <c r="T29" s="34">
        <f t="shared" ca="1" si="33"/>
        <v>48.551041403755328</v>
      </c>
      <c r="U29" s="12">
        <f t="shared" ca="1" si="34"/>
        <v>13.931034482758621</v>
      </c>
      <c r="V29" s="12">
        <f t="shared" ca="1" si="35"/>
        <v>11.327586206896552</v>
      </c>
      <c r="W29" s="33">
        <f t="shared" ref="W29" ca="1" si="165">IFERROR(Q29/R29,"")</f>
        <v>0.89699538896326036</v>
      </c>
      <c r="X29" s="33">
        <f t="shared" ref="X29" ca="1" si="166">IFERROR(P29/Q29,"")</f>
        <v>0.82091037227427233</v>
      </c>
      <c r="Y29" s="33">
        <f t="shared" ca="1" si="38"/>
        <v>0.73635281868213598</v>
      </c>
      <c r="Z29" s="17">
        <f t="shared" ca="1" si="39"/>
        <v>516.25538793103453</v>
      </c>
      <c r="AA29" s="34">
        <f t="shared" ref="AA29" ca="1" si="167">IFERROR(Z29/O29,"")</f>
        <v>6.9120065789473681</v>
      </c>
      <c r="AB29" s="33">
        <f t="shared" ref="AB29" ca="1" si="168">IFERROR(N29/Z29,"")</f>
        <v>0.33066366093699445</v>
      </c>
      <c r="AC29" s="21">
        <f t="shared" ca="1" si="42"/>
        <v>19.244162361192103</v>
      </c>
      <c r="AD29" s="468">
        <f ca="1">AD18</f>
        <v>18</v>
      </c>
      <c r="AE29" s="12">
        <f t="shared" ca="1" si="43"/>
        <v>3.2222222222222223</v>
      </c>
      <c r="AF29" s="11">
        <f ca="1">COUNTIFS(BV!$H$242:$H$420,"&gt;=" &amp; DATE($A29,$B29,1),BV!$H$242:$H$420,"&lt;" &amp; DATE(IF($B29=12,$A29+1,$A29),IF($B29=12,1,$B29+1),1))</f>
        <v>5</v>
      </c>
      <c r="AG29" s="11">
        <f ca="1">COUNTIFS(BV!$P$242:$P$420,"&gt;=" &amp; DATE($A29,$B29,1),BV!$P$242:$P$420,"&lt;" &amp; DATE(IF($B29=12,$A29+1,$A29),IF($B29=12,1,$B29+1),1))</f>
        <v>4</v>
      </c>
      <c r="AH29" s="11">
        <f ca="1">COUNTIFS(BV!$X$242:$X$420,"&gt;=" &amp; DATE($A29,$B29,1),BV!$X$242:$X$420,"&lt;" &amp; DATE(IF($B29=12,$A29+1,$A29),IF($B29=12,1,$B29+1),1))</f>
        <v>6</v>
      </c>
      <c r="AI29" s="11">
        <f ca="1">COUNTIFS(BV!$AF$242:$AF$420,"&gt;=" &amp; DATE($A29,$B29,1),BV!$AF$242:$AF$420,"&lt;" &amp; DATE(IF($B29=12,$A29+1,$A29),IF($B29=12,1,$B29+1),1))</f>
        <v>7</v>
      </c>
      <c r="AJ29" s="11">
        <f ca="1">COUNTIFS(BV!$AN$242:$AN$420,"&gt;=" &amp; DATE($A29,$B29,1),BV!$AN$242:$AN$420,"&lt;" &amp; DATE(IF($B29=12,$A29+1,$A29),IF($B29=12,1,$B29+1),1))</f>
        <v>7</v>
      </c>
      <c r="AK29" s="11">
        <f ca="1">COUNTIFS(BV!$AV$242:$AV$420,"&gt;=" &amp; DATE($A29,$B29,1),BV!$AV$242:$AV$420,"&lt;" &amp; DATE(IF($B29=12,$A29+1,$A29),IF($B29=12,1,$B29+1),1))</f>
        <v>5</v>
      </c>
      <c r="AL29" s="11">
        <f ca="1">COUNTIFS(BV!$BD$242:$BD$420,"&gt;=" &amp; DATE($A29,$B29,1),BV!$BD$242:$BD$420,"&lt;" &amp; DATE(IF($B29=12,$A29+1,$A29),IF($B29=12,1,$B29+1),1))</f>
        <v>2</v>
      </c>
      <c r="AM29" s="11">
        <f ca="1">COUNTIFS(BV!$BL$242:$BL$420,"&gt;=" &amp; DATE($A29,$B29,1),BV!$BL$242:$BL$420,"&lt;" &amp; DATE(IF($B29=12,$A29+1,$A29),IF($B29=12,1,$B29+1),1))</f>
        <v>4</v>
      </c>
      <c r="AN29" s="11">
        <f ca="1">COUNTIFS(BV!$BT$242:$BT$420,"&gt;=" &amp; DATE($A29,$B29,1),BV!$BT$242:$BT$420,"&lt;" &amp; DATE(IF($B29=12,$A29+1,$A29),IF($B29=12,1,$B29+1),1))</f>
        <v>2</v>
      </c>
      <c r="AO29" s="11">
        <f ca="1">COUNTIFS(BV!$CB$242:$CB$420,"&gt;=" &amp; DATE($A29,$B29,1),BV!$CB$242:$CB$420,"&lt;" &amp; DATE(IF($B29=12,$A29+1,$A29),IF($B29=12,1,$B29+1),1))</f>
        <v>4</v>
      </c>
      <c r="AP29" s="35">
        <f t="shared" ca="1" si="151"/>
        <v>143.91269841269843</v>
      </c>
      <c r="AQ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1</v>
      </c>
      <c r="AR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1</v>
      </c>
      <c r="AS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6</v>
      </c>
      <c r="AT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4</v>
      </c>
      <c r="AU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1</v>
      </c>
      <c r="AV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3</v>
      </c>
      <c r="AW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4</v>
      </c>
      <c r="AX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6</v>
      </c>
      <c r="AY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3</v>
      </c>
      <c r="AZ29" s="506">
        <f ca="1">COUNTIFS(OFFSET(Time!$AD$2,(COLUMN()-43)*20,,20,),"&gt;=" &amp; DATE($A29,$B29,1),OFFSET(Time!$AD$2,(COLUMN()-43)*20,,20,),"&lt;" &amp; DATE(IF($B29=12,$A29+1,$A29),IF($B29=12,1,$B29+1),1))+COUNTIFS(OFFSET(Bvs!$AD$2,(COLUMN()-43)*20,,20,),"&gt;=" &amp; DATE($A29,$B29,1),OFFSET(Bvs!$AD$2,(COLUMN()-43)*20,,20,),"&lt;" &amp; DATE(IF($B29=12,$A29+1,$A29),IF($B29=12,1,$B29+1),1))+COUNTIFS(OFFSET(QG!$AD$2,(COLUMN()-43)*20,,20,),"&gt;=" &amp; DATE($A29,$B29,1),OFFSET(QG!$AD$2,(COLUMN()-43)*20,,20,),"&lt;" &amp; DATE(IF($B29=12,$A29+1,$A29),IF($B29=12,1,$B29+1),1))</f>
        <v>6</v>
      </c>
      <c r="BA29" s="35">
        <f t="shared" ca="1" si="45"/>
        <v>74.547619047619037</v>
      </c>
      <c r="BB29" s="35">
        <f t="shared" ca="1" si="46"/>
        <v>218.46031746031747</v>
      </c>
      <c r="BC29" s="12">
        <f t="shared" ca="1" si="152"/>
        <v>12.13668430335097</v>
      </c>
      <c r="BD29" s="12">
        <f t="shared" ca="1" si="48"/>
        <v>3.7665571975916801</v>
      </c>
    </row>
    <row r="30" spans="1:56" x14ac:dyDescent="0.25">
      <c r="A30" s="24">
        <f t="shared" ref="A30:A32" si="169">IF(B31=1,A31-1,A31)</f>
        <v>2020</v>
      </c>
      <c r="B30" s="24">
        <f t="shared" si="128"/>
        <v>8</v>
      </c>
      <c r="C30" s="38" t="s">
        <v>43</v>
      </c>
      <c r="D30" s="1">
        <f ca="1">COUNTIFS(OFFSET(Arb!$B$2,Arb!$AJ$36+Arb!$AJ$37,,Arb!$AJ$38,),$B30,OFFSET(Arb!$C$2,Arb!$AJ$36+Arb!$AJ$37,,Arb!$AJ$38,),$A30,OFFSET(Arb!$AI$2,Arb!$AJ$36+Arb!$AJ$37,,Arb!$AJ$38,),TRUE)</f>
        <v>97</v>
      </c>
      <c r="E30" s="1">
        <f ca="1">SUMIFS(OFFSET(Arb!$I$2,Arb!$AJ$36+Arb!$AJ$37,,Arb!$AJ$38,),OFFSET(Arb!$B$2,Arb!$AJ$36+Arb!$AJ$37,,Arb!$AJ$38,),$B30,OFFSET(Arb!$C$2,Arb!$AJ$36+Arb!$AJ$37,,Arb!$AJ$38,),$A30,OFFSET(Arb!$AI$2,Arb!$AJ$36+Arb!$AJ$37,,Arb!$AJ$38,),TRUE)</f>
        <v>16619</v>
      </c>
      <c r="F30" s="1">
        <f ca="1">SUMIFS(OFFSET(Arb!$H$2,Arb!$AJ$36+Arb!$AJ$37,,Arb!$AJ$38,),OFFSET(Arb!$B$2,Arb!$AJ$36+Arb!$AJ$37,,Arb!$AJ$38,),$B30,OFFSET(Arb!$C$2,Arb!$AJ$36+Arb!$AJ$37,,Arb!$AJ$38,),$A30,OFFSET(Arb!$AI$2,Arb!$AJ$36+Arb!$AJ$37,,Arb!$AJ$38,),TRUE)</f>
        <v>6975.4600000000037</v>
      </c>
      <c r="G30" s="1">
        <f ca="1">SUMIFS(OFFSET(Arb!$AC$2,Arb!$AJ$36+Arb!$AJ$37,,Arb!$AJ$38,),OFFSET(Arb!$B$2,Arb!$AJ$36+Arb!$AJ$37,,Arb!$AJ$38,),$B30,OFFSET(Arb!$C$2,Arb!$AJ$36+Arb!$AJ$37,,Arb!$AJ$38,),$A30,OFFSET(Arb!$AI$2,Arb!$AJ$36+Arb!$AJ$37,,Arb!$AJ$38,),TRUE)</f>
        <v>802364</v>
      </c>
      <c r="H30" s="1">
        <f ca="1">SUMIFS(OFFSET(Arb!$U$2,Arb!$AJ$36+Arb!$AJ$37,,Arb!$AJ$38,),OFFSET(Arb!$B$2,Arb!$AJ$36+Arb!$AJ$37,,Arb!$AJ$38,),$B30,OFFSET(Arb!$C$2,Arb!$AJ$36+Arb!$AJ$37,,Arb!$AJ$38,),$A30,OFFSET(Arb!$AI$2,Arb!$AJ$36+Arb!$AJ$37,,Arb!$AJ$38,),TRUE)</f>
        <v>22308</v>
      </c>
      <c r="I30" s="1">
        <f ca="1">SUMIFS(OFFSET(Arb!$V$2,Arb!$AJ$36+Arb!$AJ$37,,Arb!$AJ$38,),OFFSET(Arb!$B$2,Arb!$AJ$36+Arb!$AJ$37,,Arb!$AJ$38,),$B30,OFFSET(Arb!$C$2,Arb!$AJ$36+Arb!$AJ$37,,Arb!$AJ$38,),$A30,OFFSET(Arb!$AI$2,Arb!$AJ$36+Arb!$AJ$37,,Arb!$AJ$38,),TRUE)</f>
        <v>0</v>
      </c>
      <c r="J30" s="1">
        <f ca="1">SUMIFS(OFFSET(Arb!$X$2,Arb!$AJ$36+Arb!$AJ$37,,Arb!$AJ$38,),OFFSET(Arb!$B$2,Arb!$AJ$36+Arb!$AJ$37,,Arb!$AJ$38,),$B30,OFFSET(Arb!$C$2,Arb!$AJ$36+Arb!$AJ$37,,Arb!$AJ$38,),$A30,OFFSET(Arb!$AI$2,Arb!$AJ$36+Arb!$AJ$37,,Arb!$AJ$38,),TRUE)</f>
        <v>20054</v>
      </c>
      <c r="K30" s="1">
        <f ca="1">SUMIFS(OFFSET(Arb!$AA$2,Arb!$AJ$36+Arb!$AJ$37,,Arb!$AJ$38,),OFFSET(Arb!$B$2,Arb!$AJ$36+Arb!$AJ$37,,Arb!$AJ$38,),$B30,OFFSET(Arb!$C$2,Arb!$AJ$36+Arb!$AJ$37,,Arb!$AJ$38,),$A30,OFFSET(Arb!$AI$2,Arb!$AJ$36+Arb!$AJ$37,,Arb!$AJ$38,),TRUE)</f>
        <v>1299</v>
      </c>
      <c r="L30" s="1">
        <f ca="1">SUMIFS(OFFSET(Arb!$AB$2,Arb!$AJ$36+Arb!$AJ$37,,Arb!$AJ$38,),OFFSET(Arb!$B$2,Arb!$AJ$36+Arb!$AJ$37,,Arb!$AJ$38,),$B30,OFFSET(Arb!$C$2,Arb!$AJ$36+Arb!$AJ$37,,Arb!$AJ$38,),$A30,OFFSET(Arb!$AI$2,Arb!$AJ$36+Arb!$AJ$37,,Arb!$AJ$38,),TRUE)</f>
        <v>978</v>
      </c>
      <c r="M30" s="11">
        <f t="shared" ca="1" si="26"/>
        <v>22308</v>
      </c>
      <c r="N30" s="21">
        <f t="shared" ca="1" si="27"/>
        <v>171.32989690721649</v>
      </c>
      <c r="O30" s="12">
        <f t="shared" ca="1" si="28"/>
        <v>71.911958762886641</v>
      </c>
      <c r="P30" s="33">
        <f t="shared" ca="1" si="78"/>
        <v>2.3824952046173284</v>
      </c>
      <c r="Q30" s="20">
        <f t="shared" ca="1" si="30"/>
        <v>2.8749358465248154</v>
      </c>
      <c r="R30" s="33">
        <f t="shared" ca="1" si="31"/>
        <v>3.1980686578376178</v>
      </c>
      <c r="S30" s="33">
        <f t="shared" ca="1" si="79"/>
        <v>8.3700634012284105</v>
      </c>
      <c r="T30" s="34">
        <f t="shared" ca="1" si="33"/>
        <v>51.971051967916779</v>
      </c>
      <c r="U30" s="12">
        <f t="shared" ca="1" si="34"/>
        <v>13.391752577319588</v>
      </c>
      <c r="V30" s="12">
        <f t="shared" ca="1" si="35"/>
        <v>10.082474226804123</v>
      </c>
      <c r="W30" s="33">
        <f t="shared" ca="1" si="80"/>
        <v>0.89896001434462969</v>
      </c>
      <c r="X30" s="33">
        <f t="shared" ca="1" si="81"/>
        <v>0.82871247631395228</v>
      </c>
      <c r="Y30" s="33">
        <f t="shared" ca="1" si="38"/>
        <v>0.74497937959476423</v>
      </c>
      <c r="Z30" s="17">
        <f t="shared" ca="1" si="39"/>
        <v>516.98711340206182</v>
      </c>
      <c r="AA30" s="34">
        <f t="shared" ca="1" si="82"/>
        <v>7.1891674527557994</v>
      </c>
      <c r="AB30" s="33">
        <f t="shared" ca="1" si="83"/>
        <v>0.33140071089929263</v>
      </c>
      <c r="AC30" s="21">
        <f t="shared" ca="1" si="42"/>
        <v>20.668395216597144</v>
      </c>
      <c r="AD30" s="468">
        <f ca="1">AD19</f>
        <v>21</v>
      </c>
      <c r="AE30" s="12">
        <f t="shared" ca="1" si="43"/>
        <v>4.6190476190476186</v>
      </c>
      <c r="AF30" s="11">
        <f ca="1">COUNTIFS(BV!$H$242:$H$420,"&gt;=" &amp; DATE($A30,$B30,1),BV!$H$242:$H$420,"&lt;" &amp; DATE(IF($B30=12,$A30+1,$A30),IF($B30=12,1,$B30+1),1))</f>
        <v>27</v>
      </c>
      <c r="AG30" s="11">
        <f ca="1">COUNTIFS(BV!$P$242:$P$420,"&gt;=" &amp; DATE($A30,$B30,1),BV!$P$242:$P$420,"&lt;" &amp; DATE(IF($B30=12,$A30+1,$A30),IF($B30=12,1,$B30+1),1))</f>
        <v>15</v>
      </c>
      <c r="AH30" s="11">
        <f ca="1">COUNTIFS(BV!$X$242:$X$420,"&gt;=" &amp; DATE($A30,$B30,1),BV!$X$242:$X$420,"&lt;" &amp; DATE(IF($B30=12,$A30+1,$A30),IF($B30=12,1,$B30+1),1))</f>
        <v>9</v>
      </c>
      <c r="AI30" s="11">
        <f ca="1">COUNTIFS(BV!$AF$242:$AF$420,"&gt;=" &amp; DATE($A30,$B30,1),BV!$AF$242:$AF$420,"&lt;" &amp; DATE(IF($B30=12,$A30+1,$A30),IF($B30=12,1,$B30+1),1))</f>
        <v>7</v>
      </c>
      <c r="AJ30" s="11">
        <f ca="1">COUNTIFS(BV!$AN$242:$AN$420,"&gt;=" &amp; DATE($A30,$B30,1),BV!$AN$242:$AN$420,"&lt;" &amp; DATE(IF($B30=12,$A30+1,$A30),IF($B30=12,1,$B30+1),1))</f>
        <v>6</v>
      </c>
      <c r="AK30" s="11">
        <f ca="1">COUNTIFS(BV!$AV$242:$AV$420,"&gt;=" &amp; DATE($A30,$B30,1),BV!$AV$242:$AV$420,"&lt;" &amp; DATE(IF($B30=12,$A30+1,$A30),IF($B30=12,1,$B30+1),1))</f>
        <v>6</v>
      </c>
      <c r="AL30" s="11">
        <f ca="1">COUNTIFS(BV!$BD$242:$BD$420,"&gt;=" &amp; DATE($A30,$B30,1),BV!$BD$242:$BD$420,"&lt;" &amp; DATE(IF($B30=12,$A30+1,$A30),IF($B30=12,1,$B30+1),1))</f>
        <v>3</v>
      </c>
      <c r="AM30" s="11">
        <f ca="1">COUNTIFS(BV!$BL$242:$BL$420,"&gt;=" &amp; DATE($A30,$B30,1),BV!$BL$242:$BL$420,"&lt;" &amp; DATE(IF($B30=12,$A30+1,$A30),IF($B30=12,1,$B30+1),1))</f>
        <v>7</v>
      </c>
      <c r="AN30" s="11">
        <f ca="1">COUNTIFS(BV!$BT$242:$BT$420,"&gt;=" &amp; DATE($A30,$B30,1),BV!$BT$242:$BT$420,"&lt;" &amp; DATE(IF($B30=12,$A30+1,$A30),IF($B30=12,1,$B30+1),1))</f>
        <v>1</v>
      </c>
      <c r="AO30" s="11">
        <f ca="1">COUNTIFS(BV!$CB$242:$CB$420,"&gt;=" &amp; DATE($A30,$B30,1),BV!$CB$242:$CB$420,"&lt;" &amp; DATE(IF($B30=12,$A30+1,$A30),IF($B30=12,1,$B30+1),1))</f>
        <v>4</v>
      </c>
      <c r="AP30" s="35">
        <f t="shared" ca="1" si="151"/>
        <v>432.64682539682548</v>
      </c>
      <c r="AQ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24</v>
      </c>
      <c r="AR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17</v>
      </c>
      <c r="AS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14</v>
      </c>
      <c r="AT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6</v>
      </c>
      <c r="AU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16</v>
      </c>
      <c r="AV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11</v>
      </c>
      <c r="AW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11</v>
      </c>
      <c r="AX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12</v>
      </c>
      <c r="AY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7</v>
      </c>
      <c r="AZ30" s="506">
        <f ca="1">COUNTIFS(OFFSET(Time!$AD$2,(COLUMN()-43)*20,,20,),"&gt;=" &amp; DATE($A30,$B30,1),OFFSET(Time!$AD$2,(COLUMN()-43)*20,,20,),"&lt;" &amp; DATE(IF($B30=12,$A30+1,$A30),IF($B30=12,1,$B30+1),1))+COUNTIFS(OFFSET(Bvs!$AD$2,(COLUMN()-43)*20,,20,),"&gt;=" &amp; DATE($A30,$B30,1),OFFSET(Bvs!$AD$2,(COLUMN()-43)*20,,20,),"&lt;" &amp; DATE(IF($B30=12,$A30+1,$A30),IF($B30=12,1,$B30+1),1))+COUNTIFS(OFFSET(QG!$AD$2,(COLUMN()-43)*20,,20,),"&gt;=" &amp; DATE($A30,$B30,1),OFFSET(QG!$AD$2,(COLUMN()-43)*20,,20,),"&lt;" &amp; DATE(IF($B30=12,$A30+1,$A30),IF($B30=12,1,$B30+1),1))</f>
        <v>8</v>
      </c>
      <c r="BA30" s="35">
        <f t="shared" ca="1" si="45"/>
        <v>483.49206349206349</v>
      </c>
      <c r="BB30" s="35">
        <f t="shared" ca="1" si="46"/>
        <v>916.13888888888891</v>
      </c>
      <c r="BC30" s="12">
        <f t="shared" ca="1" si="152"/>
        <v>43.62566137566138</v>
      </c>
      <c r="BD30" s="12">
        <f t="shared" ca="1" si="48"/>
        <v>9.4447308132875154</v>
      </c>
    </row>
    <row r="31" spans="1:56" x14ac:dyDescent="0.25">
      <c r="A31" s="24">
        <f t="shared" si="169"/>
        <v>2020</v>
      </c>
      <c r="B31" s="24">
        <f t="shared" si="128"/>
        <v>9</v>
      </c>
      <c r="C31" s="38" t="s">
        <v>43</v>
      </c>
      <c r="D31" s="1">
        <f ca="1">COUNTIFS(OFFSET(Arb!$B$2,Arb!$AJ$36+Arb!$AJ$37,,Arb!$AJ$38,),$B31,OFFSET(Arb!$C$2,Arb!$AJ$36+Arb!$AJ$37,,Arb!$AJ$38,),$A31,OFFSET(Arb!$AI$2,Arb!$AJ$36+Arb!$AJ$37,,Arb!$AJ$38,),TRUE)</f>
        <v>90</v>
      </c>
      <c r="E31" s="1">
        <f ca="1">SUMIFS(OFFSET(Arb!$I$2,Arb!$AJ$36+Arb!$AJ$37,,Arb!$AJ$38,),OFFSET(Arb!$B$2,Arb!$AJ$36+Arb!$AJ$37,,Arb!$AJ$38,),$B31,OFFSET(Arb!$C$2,Arb!$AJ$36+Arb!$AJ$37,,Arb!$AJ$38,),$A31,OFFSET(Arb!$AI$2,Arb!$AJ$36+Arb!$AJ$37,,Arb!$AJ$38,),TRUE)</f>
        <v>15297</v>
      </c>
      <c r="F31" s="1">
        <f ca="1">SUMIFS(OFFSET(Arb!$H$2,Arb!$AJ$36+Arb!$AJ$37,,Arb!$AJ$38,),OFFSET(Arb!$B$2,Arb!$AJ$36+Arb!$AJ$37,,Arb!$AJ$38,),$B31,OFFSET(Arb!$C$2,Arb!$AJ$36+Arb!$AJ$37,,Arb!$AJ$38,),$A31,OFFSET(Arb!$AI$2,Arb!$AJ$36+Arb!$AJ$37,,Arb!$AJ$38,),TRUE)</f>
        <v>6467.5200000000013</v>
      </c>
      <c r="G31" s="1">
        <f ca="1">SUMIFS(OFFSET(Arb!$AC$2,Arb!$AJ$36+Arb!$AJ$37,,Arb!$AJ$38,),OFFSET(Arb!$B$2,Arb!$AJ$36+Arb!$AJ$37,,Arb!$AJ$38,),$B31,OFFSET(Arb!$C$2,Arb!$AJ$36+Arb!$AJ$37,,Arb!$AJ$38,),$A31,OFFSET(Arb!$AI$2,Arb!$AJ$36+Arb!$AJ$37,,Arb!$AJ$38,),TRUE)</f>
        <v>772695</v>
      </c>
      <c r="H31" s="1">
        <f ca="1">SUMIFS(OFFSET(Arb!$U$2,Arb!$AJ$36+Arb!$AJ$37,,Arb!$AJ$38,),OFFSET(Arb!$B$2,Arb!$AJ$36+Arb!$AJ$37,,Arb!$AJ$38,),$B31,OFFSET(Arb!$C$2,Arb!$AJ$36+Arb!$AJ$37,,Arb!$AJ$38,),$A31,OFFSET(Arb!$AI$2,Arb!$AJ$36+Arb!$AJ$37,,Arb!$AJ$38,),TRUE)</f>
        <v>19637</v>
      </c>
      <c r="I31" s="1">
        <f ca="1">SUMIFS(OFFSET(Arb!$V$2,Arb!$AJ$36+Arb!$AJ$37,,Arb!$AJ$38,),OFFSET(Arb!$B$2,Arb!$AJ$36+Arb!$AJ$37,,Arb!$AJ$38,),$B31,OFFSET(Arb!$C$2,Arb!$AJ$36+Arb!$AJ$37,,Arb!$AJ$38,),$A31,OFFSET(Arb!$AI$2,Arb!$AJ$36+Arb!$AJ$37,,Arb!$AJ$38,),TRUE)</f>
        <v>1066</v>
      </c>
      <c r="J31" s="1">
        <f ca="1">SUMIFS(OFFSET(Arb!$X$2,Arb!$AJ$36+Arb!$AJ$37,,Arb!$AJ$38,),OFFSET(Arb!$B$2,Arb!$AJ$36+Arb!$AJ$37,,Arb!$AJ$38,),$B31,OFFSET(Arb!$C$2,Arb!$AJ$36+Arb!$AJ$37,,Arb!$AJ$38,),$A31,OFFSET(Arb!$AI$2,Arb!$AJ$36+Arb!$AJ$37,,Arb!$AJ$38,),TRUE)</f>
        <v>18527</v>
      </c>
      <c r="K31" s="1">
        <f ca="1">SUMIFS(OFFSET(Arb!$AA$2,Arb!$AJ$36+Arb!$AJ$37,,Arb!$AJ$38,),OFFSET(Arb!$B$2,Arb!$AJ$36+Arb!$AJ$37,,Arb!$AJ$38,),$B31,OFFSET(Arb!$C$2,Arb!$AJ$36+Arb!$AJ$37,,Arb!$AJ$38,),$A31,OFFSET(Arb!$AI$2,Arb!$AJ$36+Arb!$AJ$37,,Arb!$AJ$38,),TRUE)</f>
        <v>1245</v>
      </c>
      <c r="L31" s="1">
        <f ca="1">SUMIFS(OFFSET(Arb!$AB$2,Arb!$AJ$36+Arb!$AJ$37,,Arb!$AJ$38,),OFFSET(Arb!$B$2,Arb!$AJ$36+Arb!$AJ$37,,Arb!$AJ$38,),$B31,OFFSET(Arb!$C$2,Arb!$AJ$36+Arb!$AJ$37,,Arb!$AJ$38,),$A31,OFFSET(Arb!$AI$2,Arb!$AJ$36+Arb!$AJ$37,,Arb!$AJ$38,),TRUE)</f>
        <v>965</v>
      </c>
      <c r="M31" s="11">
        <f t="shared" ca="1" si="26"/>
        <v>20703</v>
      </c>
      <c r="N31" s="21">
        <f t="shared" ca="1" si="27"/>
        <v>169.96666666666667</v>
      </c>
      <c r="O31" s="12">
        <f t="shared" ca="1" si="28"/>
        <v>71.861333333333349</v>
      </c>
      <c r="P31" s="33">
        <f t="shared" ca="1" si="78"/>
        <v>2.3652033546088758</v>
      </c>
      <c r="Q31" s="20">
        <f t="shared" ca="1" si="30"/>
        <v>2.8646219880263217</v>
      </c>
      <c r="R31" s="33">
        <f t="shared" ca="1" si="31"/>
        <v>3.2010724358022853</v>
      </c>
      <c r="S31" s="33">
        <f t="shared" ca="1" si="79"/>
        <v>8.4271010841905465</v>
      </c>
      <c r="T31" s="34">
        <f t="shared" ca="1" si="33"/>
        <v>51.619292999353334</v>
      </c>
      <c r="U31" s="12">
        <f t="shared" ca="1" si="34"/>
        <v>13.833333333333334</v>
      </c>
      <c r="V31" s="12">
        <f t="shared" ca="1" si="35"/>
        <v>10.722222222222221</v>
      </c>
      <c r="W31" s="33">
        <f t="shared" ca="1" si="80"/>
        <v>0.89489445974013426</v>
      </c>
      <c r="X31" s="33">
        <f t="shared" ca="1" si="81"/>
        <v>0.82565984778971224</v>
      </c>
      <c r="Y31" s="33">
        <f t="shared" ca="1" si="38"/>
        <v>0.73887842341689614</v>
      </c>
      <c r="Z31" s="17">
        <f t="shared" ca="1" si="39"/>
        <v>536.59375</v>
      </c>
      <c r="AA31" s="34">
        <f t="shared" ca="1" si="82"/>
        <v>7.4670719997773478</v>
      </c>
      <c r="AB31" s="33">
        <f t="shared" ca="1" si="83"/>
        <v>0.31675111136994544</v>
      </c>
      <c r="AC31" s="21">
        <f t="shared" ca="1" si="42"/>
        <v>21.390338636737869</v>
      </c>
      <c r="AD31" s="468">
        <f ca="1">AD20</f>
        <v>16</v>
      </c>
      <c r="AE31" s="12">
        <f t="shared" ca="1" si="43"/>
        <v>5.625</v>
      </c>
      <c r="AF31" s="11">
        <f ca="1">COUNTIFS(BV!$H$242:$H$420,"&gt;=" &amp; DATE($A31,$B31,1),BV!$H$242:$H$420,"&lt;" &amp; DATE(IF($B31=12,$A31+1,$A31),IF($B31=12,1,$B31+1),1))</f>
        <v>18</v>
      </c>
      <c r="AG31" s="11">
        <f ca="1">COUNTIFS(BV!$P$242:$P$420,"&gt;=" &amp; DATE($A31,$B31,1),BV!$P$242:$P$420,"&lt;" &amp; DATE(IF($B31=12,$A31+1,$A31),IF($B31=12,1,$B31+1),1))</f>
        <v>16</v>
      </c>
      <c r="AH31" s="11">
        <f ca="1">COUNTIFS(BV!$X$242:$X$420,"&gt;=" &amp; DATE($A31,$B31,1),BV!$X$242:$X$420,"&lt;" &amp; DATE(IF($B31=12,$A31+1,$A31),IF($B31=12,1,$B31+1),1))</f>
        <v>10</v>
      </c>
      <c r="AI31" s="11">
        <f ca="1">COUNTIFS(BV!$AF$242:$AF$420,"&gt;=" &amp; DATE($A31,$B31,1),BV!$AF$242:$AF$420,"&lt;" &amp; DATE(IF($B31=12,$A31+1,$A31),IF($B31=12,1,$B31+1),1))</f>
        <v>9</v>
      </c>
      <c r="AJ31" s="11">
        <f ca="1">COUNTIFS(BV!$AN$242:$AN$420,"&gt;=" &amp; DATE($A31,$B31,1),BV!$AN$242:$AN$420,"&lt;" &amp; DATE(IF($B31=12,$A31+1,$A31),IF($B31=12,1,$B31+1),1))</f>
        <v>6</v>
      </c>
      <c r="AK31" s="11">
        <f ca="1">COUNTIFS(BV!$AV$242:$AV$420,"&gt;=" &amp; DATE($A31,$B31,1),BV!$AV$242:$AV$420,"&lt;" &amp; DATE(IF($B31=12,$A31+1,$A31),IF($B31=12,1,$B31+1),1))</f>
        <v>7</v>
      </c>
      <c r="AL31" s="11">
        <f ca="1">COUNTIFS(BV!$BD$242:$BD$420,"&gt;=" &amp; DATE($A31,$B31,1),BV!$BD$242:$BD$420,"&lt;" &amp; DATE(IF($B31=12,$A31+1,$A31),IF($B31=12,1,$B31+1),1))</f>
        <v>7</v>
      </c>
      <c r="AM31" s="11">
        <f ca="1">COUNTIFS(BV!$BL$242:$BL$420,"&gt;=" &amp; DATE($A31,$B31,1),BV!$BL$242:$BL$420,"&lt;" &amp; DATE(IF($B31=12,$A31+1,$A31),IF($B31=12,1,$B31+1),1))</f>
        <v>1</v>
      </c>
      <c r="AN31" s="11">
        <f ca="1">COUNTIFS(BV!$BT$242:$BT$420,"&gt;=" &amp; DATE($A31,$B31,1),BV!$BT$242:$BT$420,"&lt;" &amp; DATE(IF($B31=12,$A31+1,$A31),IF($B31=12,1,$B31+1),1))</f>
        <v>4</v>
      </c>
      <c r="AO31" s="11">
        <f ca="1">COUNTIFS(BV!$CB$242:$CB$420,"&gt;=" &amp; DATE($A31,$B31,1),BV!$CB$242:$CB$420,"&lt;" &amp; DATE(IF($B31=12,$A31+1,$A31),IF($B31=12,1,$B31+1),1))</f>
        <v>1</v>
      </c>
      <c r="AP31" s="35">
        <f t="shared" ca="1" si="151"/>
        <v>356.1944444444444</v>
      </c>
      <c r="AQ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18</v>
      </c>
      <c r="AR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16</v>
      </c>
      <c r="AS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12</v>
      </c>
      <c r="AT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21</v>
      </c>
      <c r="AU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8</v>
      </c>
      <c r="AV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11</v>
      </c>
      <c r="AW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13</v>
      </c>
      <c r="AX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7</v>
      </c>
      <c r="AY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9</v>
      </c>
      <c r="AZ31" s="506">
        <f ca="1">COUNTIFS(OFFSET(Time!$AD$2,(COLUMN()-43)*20,,20,),"&gt;=" &amp; DATE($A31,$B31,1),OFFSET(Time!$AD$2,(COLUMN()-43)*20,,20,),"&lt;" &amp; DATE(IF($B31=12,$A31+1,$A31),IF($B31=12,1,$B31+1),1))+COUNTIFS(OFFSET(Bvs!$AD$2,(COLUMN()-43)*20,,20,),"&gt;=" &amp; DATE($A31,$B31,1),OFFSET(Bvs!$AD$2,(COLUMN()-43)*20,,20,),"&lt;" &amp; DATE(IF($B31=12,$A31+1,$A31),IF($B31=12,1,$B31+1),1))+COUNTIFS(OFFSET(QG!$AD$2,(COLUMN()-43)*20,,20,),"&gt;=" &amp; DATE($A31,$B31,1),OFFSET(QG!$AD$2,(COLUMN()-43)*20,,20,),"&lt;" &amp; DATE(IF($B31=12,$A31+1,$A31),IF($B31=12,1,$B31+1),1))</f>
        <v>9</v>
      </c>
      <c r="BA31" s="35">
        <f t="shared" ca="1" si="45"/>
        <v>433.15476190476193</v>
      </c>
      <c r="BB31" s="35">
        <f t="shared" ca="1" si="46"/>
        <v>789.34920634920627</v>
      </c>
      <c r="BC31" s="12">
        <f t="shared" ca="1" si="152"/>
        <v>49.334325396825392</v>
      </c>
      <c r="BD31" s="12">
        <f t="shared" ca="1" si="48"/>
        <v>8.7705467372134027</v>
      </c>
    </row>
    <row r="32" spans="1:56" x14ac:dyDescent="0.25">
      <c r="A32" s="24">
        <f t="shared" si="169"/>
        <v>2020</v>
      </c>
      <c r="B32" s="24">
        <f t="shared" si="128"/>
        <v>10</v>
      </c>
      <c r="C32" s="38" t="s">
        <v>43</v>
      </c>
      <c r="D32" s="1">
        <f ca="1">COUNTIFS(OFFSET(Arb!$B$2,Arb!$AJ$36+Arb!$AJ$37,,Arb!$AJ$38,),$B32,OFFSET(Arb!$C$2,Arb!$AJ$36+Arb!$AJ$37,,Arb!$AJ$38,),$A32,OFFSET(Arb!$AI$2,Arb!$AJ$36+Arb!$AJ$37,,Arb!$AJ$38,),TRUE)</f>
        <v>21</v>
      </c>
      <c r="E32" s="1">
        <f ca="1">SUMIFS(OFFSET(Arb!$I$2,Arb!$AJ$36+Arb!$AJ$37,,Arb!$AJ$38,),OFFSET(Arb!$B$2,Arb!$AJ$36+Arb!$AJ$37,,Arb!$AJ$38,),$B32,OFFSET(Arb!$C$2,Arb!$AJ$36+Arb!$AJ$37,,Arb!$AJ$38,),$A32,OFFSET(Arb!$AI$2,Arb!$AJ$36+Arb!$AJ$37,,Arb!$AJ$38,),TRUE)</f>
        <v>3557</v>
      </c>
      <c r="F32" s="1">
        <f ca="1">SUMIFS(OFFSET(Arb!$H$2,Arb!$AJ$36+Arb!$AJ$37,,Arb!$AJ$38,),OFFSET(Arb!$B$2,Arb!$AJ$36+Arb!$AJ$37,,Arb!$AJ$38,),$B32,OFFSET(Arb!$C$2,Arb!$AJ$36+Arb!$AJ$37,,Arb!$AJ$38,),$A32,OFFSET(Arb!$AI$2,Arb!$AJ$36+Arb!$AJ$37,,Arb!$AJ$38,),TRUE)</f>
        <v>1638.26</v>
      </c>
      <c r="G32" s="1">
        <f ca="1">SUMIFS(OFFSET(Arb!$AC$2,Arb!$AJ$36+Arb!$AJ$37,,Arb!$AJ$38,),OFFSET(Arb!$B$2,Arb!$AJ$36+Arb!$AJ$37,,Arb!$AJ$38,),$B32,OFFSET(Arb!$C$2,Arb!$AJ$36+Arb!$AJ$37,,Arb!$AJ$38,),$A32,OFFSET(Arb!$AI$2,Arb!$AJ$36+Arb!$AJ$37,,Arb!$AJ$38,),TRUE)</f>
        <v>179657</v>
      </c>
      <c r="H32" s="1">
        <f ca="1">SUMIFS(OFFSET(Arb!$U$2,Arb!$AJ$36+Arb!$AJ$37,,Arb!$AJ$38,),OFFSET(Arb!$B$2,Arb!$AJ$36+Arb!$AJ$37,,Arb!$AJ$38,),$B32,OFFSET(Arb!$C$2,Arb!$AJ$36+Arb!$AJ$37,,Arb!$AJ$38,),$A32,OFFSET(Arb!$AI$2,Arb!$AJ$36+Arb!$AJ$37,,Arb!$AJ$38,),TRUE)</f>
        <v>0</v>
      </c>
      <c r="I32" s="1">
        <f ca="1">SUMIFS(OFFSET(Arb!$V$2,Arb!$AJ$36+Arb!$AJ$37,,Arb!$AJ$38,),OFFSET(Arb!$B$2,Arb!$AJ$36+Arb!$AJ$37,,Arb!$AJ$38,),$B32,OFFSET(Arb!$C$2,Arb!$AJ$36+Arb!$AJ$37,,Arb!$AJ$38,),$A32,OFFSET(Arb!$AI$2,Arb!$AJ$36+Arb!$AJ$37,,Arb!$AJ$38,),TRUE)</f>
        <v>4716</v>
      </c>
      <c r="J32" s="1">
        <f ca="1">SUMIFS(OFFSET(Arb!$X$2,Arb!$AJ$36+Arb!$AJ$37,,Arb!$AJ$38,),OFFSET(Arb!$B$2,Arb!$AJ$36+Arb!$AJ$37,,Arb!$AJ$38,),$B32,OFFSET(Arb!$C$2,Arb!$AJ$36+Arb!$AJ$37,,Arb!$AJ$38,),$A32,OFFSET(Arb!$AI$2,Arb!$AJ$36+Arb!$AJ$37,,Arb!$AJ$38,),TRUE)</f>
        <v>4008</v>
      </c>
      <c r="K32" s="1">
        <f ca="1">SUMIFS(OFFSET(Arb!$AA$2,Arb!$AJ$36+Arb!$AJ$37,,Arb!$AJ$38,),OFFSET(Arb!$B$2,Arb!$AJ$36+Arb!$AJ$37,,Arb!$AJ$38,),$B32,OFFSET(Arb!$C$2,Arb!$AJ$36+Arb!$AJ$37,,Arb!$AJ$38,),$A32,OFFSET(Arb!$AI$2,Arb!$AJ$36+Arb!$AJ$37,,Arb!$AJ$38,),TRUE)</f>
        <v>293</v>
      </c>
      <c r="L32" s="1">
        <f ca="1">SUMIFS(OFFSET(Arb!$AB$2,Arb!$AJ$36+Arb!$AJ$37,,Arb!$AJ$38,),OFFSET(Arb!$B$2,Arb!$AJ$36+Arb!$AJ$37,,Arb!$AJ$38,),$B32,OFFSET(Arb!$C$2,Arb!$AJ$36+Arb!$AJ$37,,Arb!$AJ$38,),$A32,OFFSET(Arb!$AI$2,Arb!$AJ$36+Arb!$AJ$37,,Arb!$AJ$38,),TRUE)</f>
        <v>245</v>
      </c>
      <c r="M32" s="11">
        <f t="shared" ca="1" si="26"/>
        <v>4716</v>
      </c>
      <c r="N32" s="21">
        <f t="shared" ca="1" si="27"/>
        <v>169.38095238095238</v>
      </c>
      <c r="O32" s="12">
        <f t="shared" ca="1" si="28"/>
        <v>78.012380952380951</v>
      </c>
      <c r="P32" s="33">
        <f t="shared" ca="1" si="78"/>
        <v>2.1712060356719936</v>
      </c>
      <c r="Q32" s="20">
        <f t="shared" ca="1" si="30"/>
        <v>2.4464981138525022</v>
      </c>
      <c r="R32" s="33">
        <f t="shared" ca="1" si="31"/>
        <v>2.8786639483354293</v>
      </c>
      <c r="S32" s="33">
        <f t="shared" ca="1" si="79"/>
        <v>9.7232943991610608</v>
      </c>
      <c r="T32" s="34">
        <f t="shared" ca="1" si="33"/>
        <v>44.738026243197211</v>
      </c>
      <c r="U32" s="12">
        <f t="shared" ca="1" si="34"/>
        <v>13.952380952380953</v>
      </c>
      <c r="V32" s="12">
        <f t="shared" ca="1" si="35"/>
        <v>11.666666666666666</v>
      </c>
      <c r="W32" s="33">
        <f t="shared" ca="1" si="80"/>
        <v>0.84987277353689561</v>
      </c>
      <c r="X32" s="33">
        <f t="shared" ca="1" si="81"/>
        <v>0.88747504990019965</v>
      </c>
      <c r="Y32" s="33">
        <f t="shared" ca="1" si="38"/>
        <v>0.75424088210347751</v>
      </c>
      <c r="Z32" s="17">
        <f t="shared" ca="1" si="39"/>
        <v>534.69345238095241</v>
      </c>
      <c r="AA32" s="34">
        <f t="shared" ca="1" si="82"/>
        <v>6.8539563317177983</v>
      </c>
      <c r="AB32" s="33">
        <f t="shared" ca="1" si="83"/>
        <v>0.31678142237708523</v>
      </c>
      <c r="AC32" s="21">
        <f t="shared" ca="1" si="42"/>
        <v>16.768191237975007</v>
      </c>
      <c r="AD32" s="468">
        <f ca="1">AD21</f>
        <v>12</v>
      </c>
      <c r="AE32" s="12">
        <f t="shared" ca="1" si="43"/>
        <v>1.75</v>
      </c>
      <c r="AF32" s="11">
        <f ca="1">COUNTIFS(BV!$H$242:$H$420,"&gt;=" &amp; DATE($A32,$B32,1),BV!$H$242:$H$420,"&lt;" &amp; DATE(IF($B32=12,$A32+1,$A32),IF($B32=12,1,$B32+1),1))</f>
        <v>0</v>
      </c>
      <c r="AG32" s="11">
        <f ca="1">COUNTIFS(BV!$P$242:$P$420,"&gt;=" &amp; DATE($A32,$B32,1),BV!$P$242:$P$420,"&lt;" &amp; DATE(IF($B32=12,$A32+1,$A32),IF($B32=12,1,$B32+1),1))</f>
        <v>3</v>
      </c>
      <c r="AH32" s="11">
        <f ca="1">COUNTIFS(BV!$X$242:$X$420,"&gt;=" &amp; DATE($A32,$B32,1),BV!$X$242:$X$420,"&lt;" &amp; DATE(IF($B32=12,$A32+1,$A32),IF($B32=12,1,$B32+1),1))</f>
        <v>2</v>
      </c>
      <c r="AI32" s="11">
        <f ca="1">COUNTIFS(BV!$AF$242:$AF$420,"&gt;=" &amp; DATE($A32,$B32,1),BV!$AF$242:$AF$420,"&lt;" &amp; DATE(IF($B32=12,$A32+1,$A32),IF($B32=12,1,$B32+1),1))</f>
        <v>2</v>
      </c>
      <c r="AJ32" s="11">
        <f ca="1">COUNTIFS(BV!$AN$242:$AN$420,"&gt;=" &amp; DATE($A32,$B32,1),BV!$AN$242:$AN$420,"&lt;" &amp; DATE(IF($B32=12,$A32+1,$A32),IF($B32=12,1,$B32+1),1))</f>
        <v>2</v>
      </c>
      <c r="AK32" s="11">
        <f ca="1">COUNTIFS(BV!$AV$242:$AV$420,"&gt;=" &amp; DATE($A32,$B32,1),BV!$AV$242:$AV$420,"&lt;" &amp; DATE(IF($B32=12,$A32+1,$A32),IF($B32=12,1,$B32+1),1))</f>
        <v>1</v>
      </c>
      <c r="AL32" s="11">
        <f ca="1">COUNTIFS(BV!$BD$242:$BD$420,"&gt;=" &amp; DATE($A32,$B32,1),BV!$BD$242:$BD$420,"&lt;" &amp; DATE(IF($B32=12,$A32+1,$A32),IF($B32=12,1,$B32+1),1))</f>
        <v>1</v>
      </c>
      <c r="AM32" s="11">
        <f ca="1">COUNTIFS(BV!$BL$242:$BL$420,"&gt;=" &amp; DATE($A32,$B32,1),BV!$BL$242:$BL$420,"&lt;" &amp; DATE(IF($B32=12,$A32+1,$A32),IF($B32=12,1,$B32+1),1))</f>
        <v>2</v>
      </c>
      <c r="AN32" s="11">
        <f ca="1">COUNTIFS(BV!$BT$242:$BT$420,"&gt;=" &amp; DATE($A32,$B32,1),BV!$BT$242:$BT$420,"&lt;" &amp; DATE(IF($B32=12,$A32+1,$A32),IF($B32=12,1,$B32+1),1))</f>
        <v>3</v>
      </c>
      <c r="AO32" s="11">
        <f ca="1">COUNTIFS(BV!$CB$242:$CB$420,"&gt;=" &amp; DATE($A32,$B32,1),BV!$CB$242:$CB$420,"&lt;" &amp; DATE(IF($B32=12,$A32+1,$A32),IF($B32=12,1,$B32+1),1))</f>
        <v>1</v>
      </c>
      <c r="AP32" s="35">
        <f t="shared" ca="1" si="151"/>
        <v>40.595238095238095</v>
      </c>
      <c r="AQ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0</v>
      </c>
      <c r="AR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0</v>
      </c>
      <c r="AS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0</v>
      </c>
      <c r="AT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3</v>
      </c>
      <c r="AU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1</v>
      </c>
      <c r="AV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0</v>
      </c>
      <c r="AW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1</v>
      </c>
      <c r="AX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2</v>
      </c>
      <c r="AY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5</v>
      </c>
      <c r="AZ32" s="506">
        <f ca="1">COUNTIFS(OFFSET(Time!$AD$2,(COLUMN()-43)*20,,20,),"&gt;=" &amp; DATE($A32,$B32,1),OFFSET(Time!$AD$2,(COLUMN()-43)*20,,20,),"&lt;" &amp; DATE(IF($B32=12,$A32+1,$A32),IF($B32=12,1,$B32+1),1))+COUNTIFS(OFFSET(Bvs!$AD$2,(COLUMN()-43)*20,,20,),"&gt;=" &amp; DATE($A32,$B32,1),OFFSET(Bvs!$AD$2,(COLUMN()-43)*20,,20,),"&lt;" &amp; DATE(IF($B32=12,$A32+1,$A32),IF($B32=12,1,$B32+1),1))+COUNTIFS(OFFSET(QG!$AD$2,(COLUMN()-43)*20,,20,),"&gt;=" &amp; DATE($A32,$B32,1),OFFSET(QG!$AD$2,(COLUMN()-43)*20,,20,),"&lt;" &amp; DATE(IF($B32=12,$A32+1,$A32),IF($B32=12,1,$B32+1),1))</f>
        <v>0</v>
      </c>
      <c r="BA32" s="35">
        <f t="shared" ca="1" si="45"/>
        <v>18.984126984126984</v>
      </c>
      <c r="BB32" s="35">
        <f t="shared" ca="1" si="46"/>
        <v>59.579365079365076</v>
      </c>
      <c r="BC32" s="12">
        <f t="shared" ca="1" si="152"/>
        <v>4.9649470899470893</v>
      </c>
      <c r="BD32" s="12">
        <f t="shared" ca="1" si="48"/>
        <v>2.8371126228269081</v>
      </c>
    </row>
    <row r="33" spans="1:56" x14ac:dyDescent="0.25">
      <c r="A33" s="24">
        <f>IF(B34=1,A34-1,A34)</f>
        <v>2020</v>
      </c>
      <c r="B33" s="24">
        <f>IF(B34=1,12,B34-1)</f>
        <v>11</v>
      </c>
      <c r="C33" s="38" t="s">
        <v>43</v>
      </c>
      <c r="D33" s="1">
        <f ca="1">COUNTIFS(OFFSET(Arb!$B$2,Arb!$AJ$36+Arb!$AJ$37,,Arb!$AJ$38,),$B33,OFFSET(Arb!$C$2,Arb!$AJ$36+Arb!$AJ$37,,Arb!$AJ$38,),$A33,OFFSET(Arb!$AI$2,Arb!$AJ$36+Arb!$AJ$37,,Arb!$AJ$38,),TRUE)</f>
        <v>50</v>
      </c>
      <c r="E33" s="1">
        <f ca="1">SUMIFS(OFFSET(Arb!$I$2,Arb!$AJ$36+Arb!$AJ$37,,Arb!$AJ$38,),OFFSET(Arb!$B$2,Arb!$AJ$36+Arb!$AJ$37,,Arb!$AJ$38,),$B33,OFFSET(Arb!$C$2,Arb!$AJ$36+Arb!$AJ$37,,Arb!$AJ$38,),$A33,OFFSET(Arb!$AI$2,Arb!$AJ$36+Arb!$AJ$37,,Arb!$AJ$38,),TRUE)</f>
        <v>8608</v>
      </c>
      <c r="F33" s="1">
        <f ca="1">SUMIFS(OFFSET(Arb!$H$2,Arb!$AJ$36+Arb!$AJ$37,,Arb!$AJ$38,),OFFSET(Arb!$B$2,Arb!$AJ$36+Arb!$AJ$37,,Arb!$AJ$38,),$B33,OFFSET(Arb!$C$2,Arb!$AJ$36+Arb!$AJ$37,,Arb!$AJ$38,),$A33,OFFSET(Arb!$AI$2,Arb!$AJ$36+Arb!$AJ$37,,Arb!$AJ$38,),TRUE)</f>
        <v>3765.4799999999996</v>
      </c>
      <c r="G33" s="1">
        <f ca="1">SUMIFS(OFFSET(Arb!$AC$2,Arb!$AJ$36+Arb!$AJ$37,,Arb!$AJ$38,),OFFSET(Arb!$B$2,Arb!$AJ$36+Arb!$AJ$37,,Arb!$AJ$38,),$B33,OFFSET(Arb!$C$2,Arb!$AJ$36+Arb!$AJ$37,,Arb!$AJ$38,),$A33,OFFSET(Arb!$AI$2,Arb!$AJ$36+Arb!$AJ$37,,Arb!$AJ$38,),TRUE)</f>
        <v>422983</v>
      </c>
      <c r="H33" s="1">
        <f ca="1">SUMIFS(OFFSET(Arb!$U$2,Arb!$AJ$36+Arb!$AJ$37,,Arb!$AJ$38,),OFFSET(Arb!$B$2,Arb!$AJ$36+Arb!$AJ$37,,Arb!$AJ$38,),$B33,OFFSET(Arb!$C$2,Arb!$AJ$36+Arb!$AJ$37,,Arb!$AJ$38,),$A33,OFFSET(Arb!$AI$2,Arb!$AJ$36+Arb!$AJ$37,,Arb!$AJ$38,),TRUE)</f>
        <v>474</v>
      </c>
      <c r="I33" s="1">
        <f ca="1">SUMIFS(OFFSET(Arb!$V$2,Arb!$AJ$36+Arb!$AJ$37,,Arb!$AJ$38,),OFFSET(Arb!$B$2,Arb!$AJ$36+Arb!$AJ$37,,Arb!$AJ$38,),$B33,OFFSET(Arb!$C$2,Arb!$AJ$36+Arb!$AJ$37,,Arb!$AJ$38,),$A33,OFFSET(Arb!$AI$2,Arb!$AJ$36+Arb!$AJ$37,,Arb!$AJ$38,),TRUE)</f>
        <v>10211</v>
      </c>
      <c r="J33" s="1">
        <f ca="1">SUMIFS(OFFSET(Arb!$X$2,Arb!$AJ$36+Arb!$AJ$37,,Arb!$AJ$38,),OFFSET(Arb!$B$2,Arb!$AJ$36+Arb!$AJ$37,,Arb!$AJ$38,),$B33,OFFSET(Arb!$C$2,Arb!$AJ$36+Arb!$AJ$37,,Arb!$AJ$38,),$A33,OFFSET(Arb!$AI$2,Arb!$AJ$36+Arb!$AJ$37,,Arb!$AJ$38,),TRUE)</f>
        <v>9529</v>
      </c>
      <c r="K33" s="1">
        <f ca="1">SUMIFS(OFFSET(Arb!$AA$2,Arb!$AJ$36+Arb!$AJ$37,,Arb!$AJ$38,),OFFSET(Arb!$B$2,Arb!$AJ$36+Arb!$AJ$37,,Arb!$AJ$38,),$B33,OFFSET(Arb!$C$2,Arb!$AJ$36+Arb!$AJ$37,,Arb!$AJ$38,),$A33,OFFSET(Arb!$AI$2,Arb!$AJ$36+Arb!$AJ$37,,Arb!$AJ$38,),TRUE)</f>
        <v>677</v>
      </c>
      <c r="L33" s="1">
        <f ca="1">SUMIFS(OFFSET(Arb!$AB$2,Arb!$AJ$36+Arb!$AJ$37,,Arb!$AJ$38,),OFFSET(Arb!$B$2,Arb!$AJ$36+Arb!$AJ$37,,Arb!$AJ$38,),$B33,OFFSET(Arb!$C$2,Arb!$AJ$36+Arb!$AJ$37,,Arb!$AJ$38,),$A33,OFFSET(Arb!$AI$2,Arb!$AJ$36+Arb!$AJ$37,,Arb!$AJ$38,),TRUE)</f>
        <v>539</v>
      </c>
      <c r="M33" s="11">
        <f t="shared" ca="1" si="26"/>
        <v>10685</v>
      </c>
      <c r="N33" s="21">
        <f t="shared" ca="1" si="27"/>
        <v>172.16</v>
      </c>
      <c r="O33" s="12">
        <f t="shared" ca="1" si="28"/>
        <v>75.309599999999989</v>
      </c>
      <c r="P33" s="33">
        <f t="shared" ca="1" si="78"/>
        <v>2.2860299350945965</v>
      </c>
      <c r="Q33" s="20">
        <f t="shared" ca="1" si="30"/>
        <v>2.5306202662077615</v>
      </c>
      <c r="R33" s="33">
        <f t="shared" ca="1" si="31"/>
        <v>2.8376196394616362</v>
      </c>
      <c r="S33" s="33">
        <f t="shared" ca="1" si="79"/>
        <v>9.009762137603829</v>
      </c>
      <c r="T33" s="34">
        <f t="shared" ca="1" si="33"/>
        <v>48.281074833756897</v>
      </c>
      <c r="U33" s="12">
        <f t="shared" ca="1" si="34"/>
        <v>13.54</v>
      </c>
      <c r="V33" s="12">
        <f t="shared" ca="1" si="35"/>
        <v>10.78</v>
      </c>
      <c r="W33" s="33">
        <f t="shared" ca="1" si="80"/>
        <v>0.89181094992980814</v>
      </c>
      <c r="X33" s="33">
        <f t="shared" ca="1" si="81"/>
        <v>0.90334767551684325</v>
      </c>
      <c r="Y33" s="33">
        <f t="shared" ca="1" si="38"/>
        <v>0.80561534861956008</v>
      </c>
      <c r="Z33" s="17">
        <f t="shared" ca="1" si="39"/>
        <v>528.72874999999999</v>
      </c>
      <c r="AA33" s="34">
        <f t="shared" ca="1" si="82"/>
        <v>7.0207350722882618</v>
      </c>
      <c r="AB33" s="33">
        <f t="shared" ca="1" si="83"/>
        <v>0.32561119477614942</v>
      </c>
      <c r="AC33" s="21">
        <f t="shared" ca="1" si="42"/>
        <v>17.766814457608287</v>
      </c>
      <c r="AD33" s="468">
        <f ca="1">AD22</f>
        <v>13</v>
      </c>
      <c r="AE33" s="12">
        <f t="shared" ca="1" si="43"/>
        <v>3.8461538461538463</v>
      </c>
      <c r="AF33" s="11">
        <f ca="1">COUNTIFS(BV!$H$242:$H$420,"&gt;=" &amp; DATE($A33,$B33,1),BV!$H$242:$H$420,"&lt;" &amp; DATE(IF($B33=12,$A33+1,$A33),IF($B33=12,1,$B33+1),1))</f>
        <v>4</v>
      </c>
      <c r="AG33" s="11">
        <f ca="1">COUNTIFS(BV!$P$242:$P$420,"&gt;=" &amp; DATE($A33,$B33,1),BV!$P$242:$P$420,"&lt;" &amp; DATE(IF($B33=12,$A33+1,$A33),IF($B33=12,1,$B33+1),1))</f>
        <v>5</v>
      </c>
      <c r="AH33" s="11">
        <f ca="1">COUNTIFS(BV!$X$242:$X$420,"&gt;=" &amp; DATE($A33,$B33,1),BV!$X$242:$X$420,"&lt;" &amp; DATE(IF($B33=12,$A33+1,$A33),IF($B33=12,1,$B33+1),1))</f>
        <v>10</v>
      </c>
      <c r="AI33" s="11">
        <f ca="1">COUNTIFS(BV!$AF$242:$AF$420,"&gt;=" &amp; DATE($A33,$B33,1),BV!$AF$242:$AF$420,"&lt;" &amp; DATE(IF($B33=12,$A33+1,$A33),IF($B33=12,1,$B33+1),1))</f>
        <v>2</v>
      </c>
      <c r="AJ33" s="11">
        <f ca="1">COUNTIFS(BV!$AN$242:$AN$420,"&gt;=" &amp; DATE($A33,$B33,1),BV!$AN$242:$AN$420,"&lt;" &amp; DATE(IF($B33=12,$A33+1,$A33),IF($B33=12,1,$B33+1),1))</f>
        <v>4</v>
      </c>
      <c r="AK33" s="11">
        <f ca="1">COUNTIFS(BV!$AV$242:$AV$420,"&gt;=" &amp; DATE($A33,$B33,1),BV!$AV$242:$AV$420,"&lt;" &amp; DATE(IF($B33=12,$A33+1,$A33),IF($B33=12,1,$B33+1),1))</f>
        <v>1</v>
      </c>
      <c r="AL33" s="11">
        <f ca="1">COUNTIFS(BV!$BD$242:$BD$420,"&gt;=" &amp; DATE($A33,$B33,1),BV!$BD$242:$BD$420,"&lt;" &amp; DATE(IF($B33=12,$A33+1,$A33),IF($B33=12,1,$B33+1),1))</f>
        <v>1</v>
      </c>
      <c r="AM33" s="11">
        <f ca="1">COUNTIFS(BV!$BL$242:$BL$420,"&gt;=" &amp; DATE($A33,$B33,1),BV!$BL$242:$BL$420,"&lt;" &amp; DATE(IF($B33=12,$A33+1,$A33),IF($B33=12,1,$B33+1),1))</f>
        <v>0</v>
      </c>
      <c r="AN33" s="11">
        <f ca="1">COUNTIFS(BV!$BT$242:$BT$420,"&gt;=" &amp; DATE($A33,$B33,1),BV!$BT$242:$BT$420,"&lt;" &amp; DATE(IF($B33=12,$A33+1,$A33),IF($B33=12,1,$B33+1),1))</f>
        <v>5</v>
      </c>
      <c r="AO33" s="11">
        <f ca="1">COUNTIFS(BV!$CB$242:$CB$420,"&gt;=" &amp; DATE($A33,$B33,1),BV!$CB$242:$CB$420,"&lt;" &amp; DATE(IF($B33=12,$A33+1,$A33),IF($B33=12,1,$B33+1),1))</f>
        <v>2</v>
      </c>
      <c r="AP33" s="35">
        <f t="shared" ca="1" si="151"/>
        <v>121.98412698412697</v>
      </c>
      <c r="AQ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3</v>
      </c>
      <c r="AR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4</v>
      </c>
      <c r="AS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1</v>
      </c>
      <c r="AT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3</v>
      </c>
      <c r="AU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6</v>
      </c>
      <c r="AV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3</v>
      </c>
      <c r="AW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5</v>
      </c>
      <c r="AX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2</v>
      </c>
      <c r="AY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5</v>
      </c>
      <c r="AZ33" s="506">
        <f ca="1">COUNTIFS(OFFSET(Time!$AD$2,(COLUMN()-43)*20,,20,),"&gt;=" &amp; DATE($A33,$B33,1),OFFSET(Time!$AD$2,(COLUMN()-43)*20,,20,),"&lt;" &amp; DATE(IF($B33=12,$A33+1,$A33),IF($B33=12,1,$B33+1),1))+COUNTIFS(OFFSET(Bvs!$AD$2,(COLUMN()-43)*20,,20,),"&gt;=" &amp; DATE($A33,$B33,1),OFFSET(Bvs!$AD$2,(COLUMN()-43)*20,,20,),"&lt;" &amp; DATE(IF($B33=12,$A33+1,$A33),IF($B33=12,1,$B33+1),1))+COUNTIFS(OFFSET(QG!$AD$2,(COLUMN()-43)*20,,20,),"&gt;=" &amp; DATE($A33,$B33,1),OFFSET(QG!$AD$2,(COLUMN()-43)*20,,20,),"&lt;" &amp; DATE(IF($B33=12,$A33+1,$A33),IF($B33=12,1,$B33+1),1))</f>
        <v>2</v>
      </c>
      <c r="BA33" s="35">
        <f t="shared" ca="1" si="45"/>
        <v>95.03174603174601</v>
      </c>
      <c r="BB33" s="35">
        <f t="shared" ca="1" si="46"/>
        <v>217.01587301587298</v>
      </c>
      <c r="BC33" s="12">
        <f t="shared" ca="1" si="152"/>
        <v>16.693528693528691</v>
      </c>
      <c r="BD33" s="12">
        <f t="shared" ca="1" si="48"/>
        <v>4.3403174603174595</v>
      </c>
    </row>
    <row r="34" spans="1:56" ht="13.8" thickBot="1" x14ac:dyDescent="0.3">
      <c r="A34" s="386">
        <f>Arb!AS30</f>
        <v>2020</v>
      </c>
      <c r="B34" s="386">
        <f>Arb!AS31</f>
        <v>12</v>
      </c>
      <c r="C34" s="387" t="s">
        <v>43</v>
      </c>
      <c r="D34" s="146">
        <f ca="1">COUNTIFS(OFFSET(Arb!$B$2,Arb!$AJ$36+Arb!$AJ$37,,Arb!$AJ$38,),$B34,OFFSET(Arb!$C$2,Arb!$AJ$36+Arb!$AJ$37,,Arb!$AJ$38,),$A34,OFFSET(Arb!$AI$2,Arb!$AJ$36+Arb!$AJ$37,,Arb!$AJ$38,),TRUE)</f>
        <v>16</v>
      </c>
      <c r="E34" s="146">
        <f ca="1">SUMIFS(OFFSET(Arb!$I$2,Arb!$AJ$36+Arb!$AJ$37,,Arb!$AJ$38,),OFFSET(Arb!$B$2,Arb!$AJ$36+Arb!$AJ$37,,Arb!$AJ$38,),$B34,OFFSET(Arb!$C$2,Arb!$AJ$36+Arb!$AJ$37,,Arb!$AJ$38,),$A34,OFFSET(Arb!$AI$2,Arb!$AJ$36+Arb!$AJ$37,,Arb!$AJ$38,),TRUE)</f>
        <v>2769</v>
      </c>
      <c r="F34" s="146">
        <f ca="1">SUMIFS(OFFSET(Arb!$H$2,Arb!$AJ$36+Arb!$AJ$37,,Arb!$AJ$38,),OFFSET(Arb!$B$2,Arb!$AJ$36+Arb!$AJ$37,,Arb!$AJ$38,),$B34,OFFSET(Arb!$C$2,Arb!$AJ$36+Arb!$AJ$37,,Arb!$AJ$38,),$A34,OFFSET(Arb!$AI$2,Arb!$AJ$36+Arb!$AJ$37,,Arb!$AJ$38,),TRUE)</f>
        <v>1172.7299999999998</v>
      </c>
      <c r="G34" s="146">
        <f ca="1">SUMIFS(OFFSET(Arb!$AC$2,Arb!$AJ$36+Arb!$AJ$37,,Arb!$AJ$38,),OFFSET(Arb!$B$2,Arb!$AJ$36+Arb!$AJ$37,,Arb!$AJ$38,),$B34,OFFSET(Arb!$C$2,Arb!$AJ$36+Arb!$AJ$37,,Arb!$AJ$38,),$A34,OFFSET(Arb!$AI$2,Arb!$AJ$36+Arb!$AJ$37,,Arb!$AJ$38,),TRUE)</f>
        <v>132505</v>
      </c>
      <c r="H34" s="146">
        <f ca="1">SUMIFS(OFFSET(Arb!$U$2,Arb!$AJ$36+Arb!$AJ$37,,Arb!$AJ$38,),OFFSET(Arb!$B$2,Arb!$AJ$36+Arb!$AJ$37,,Arb!$AJ$38,),$B34,OFFSET(Arb!$C$2,Arb!$AJ$36+Arb!$AJ$37,,Arb!$AJ$38,),$A34,OFFSET(Arb!$AI$2,Arb!$AJ$36+Arb!$AJ$37,,Arb!$AJ$38,),TRUE)</f>
        <v>0</v>
      </c>
      <c r="I34" s="146">
        <f ca="1">SUMIFS(OFFSET(Arb!$V$2,Arb!$AJ$36+Arb!$AJ$37,,Arb!$AJ$38,),OFFSET(Arb!$B$2,Arb!$AJ$36+Arb!$AJ$37,,Arb!$AJ$38,),$B34,OFFSET(Arb!$C$2,Arb!$AJ$36+Arb!$AJ$37,,Arb!$AJ$38,),$A34,OFFSET(Arb!$AI$2,Arb!$AJ$36+Arb!$AJ$37,,Arb!$AJ$38,),TRUE)</f>
        <v>3445</v>
      </c>
      <c r="J34" s="146">
        <f ca="1">SUMIFS(OFFSET(Arb!$X$2,Arb!$AJ$36+Arb!$AJ$37,,Arb!$AJ$38,),OFFSET(Arb!$B$2,Arb!$AJ$36+Arb!$AJ$37,,Arb!$AJ$38,),$B34,OFFSET(Arb!$C$2,Arb!$AJ$36+Arb!$AJ$37,,Arb!$AJ$38,),$A34,OFFSET(Arb!$AI$2,Arb!$AJ$36+Arb!$AJ$37,,Arb!$AJ$38,),TRUE)</f>
        <v>3073</v>
      </c>
      <c r="K34" s="146">
        <f ca="1">SUMIFS(OFFSET(Arb!$AA$2,Arb!$AJ$36+Arb!$AJ$37,,Arb!$AJ$38,),OFFSET(Arb!$B$2,Arb!$AJ$36+Arb!$AJ$37,,Arb!$AJ$38,),$B34,OFFSET(Arb!$C$2,Arb!$AJ$36+Arb!$AJ$37,,Arb!$AJ$38,),$A34,OFFSET(Arb!$AI$2,Arb!$AJ$36+Arb!$AJ$37,,Arb!$AJ$38,),TRUE)</f>
        <v>220</v>
      </c>
      <c r="L34" s="146">
        <f ca="1">SUMIFS(OFFSET(Arb!$AB$2,Arb!$AJ$36+Arb!$AJ$37,,Arb!$AJ$38,),OFFSET(Arb!$B$2,Arb!$AJ$36+Arb!$AJ$37,,Arb!$AJ$38,),$B34,OFFSET(Arb!$C$2,Arb!$AJ$36+Arb!$AJ$37,,Arb!$AJ$38,),$A34,OFFSET(Arb!$AI$2,Arb!$AJ$36+Arb!$AJ$37,,Arb!$AJ$38,),TRUE)</f>
        <v>146</v>
      </c>
      <c r="M34" s="94">
        <f t="shared" ca="1" si="26"/>
        <v>3445</v>
      </c>
      <c r="N34" s="129">
        <f t="shared" ca="1" si="27"/>
        <v>173.0625</v>
      </c>
      <c r="O34" s="364">
        <f t="shared" ca="1" si="28"/>
        <v>73.295624999999987</v>
      </c>
      <c r="P34" s="96">
        <f t="shared" ca="1" si="78"/>
        <v>2.3611572996341872</v>
      </c>
      <c r="Q34" s="365">
        <f t="shared" ca="1" si="30"/>
        <v>2.6203815029887534</v>
      </c>
      <c r="R34" s="96">
        <f t="shared" ca="1" si="31"/>
        <v>2.9375900676199982</v>
      </c>
      <c r="S34" s="96">
        <f t="shared" ca="1" si="79"/>
        <v>8.5591318411370256</v>
      </c>
      <c r="T34" s="95">
        <f t="shared" ca="1" si="33"/>
        <v>50.823028325056491</v>
      </c>
      <c r="U34" s="364">
        <f t="shared" ca="1" si="34"/>
        <v>13.75</v>
      </c>
      <c r="V34" s="364">
        <f t="shared" ca="1" si="35"/>
        <v>9.125</v>
      </c>
      <c r="W34" s="96">
        <f t="shared" ca="1" si="80"/>
        <v>0.89201741654571853</v>
      </c>
      <c r="X34" s="96">
        <f t="shared" ca="1" si="81"/>
        <v>0.90107386918320853</v>
      </c>
      <c r="Y34" s="96">
        <f t="shared" ca="1" si="38"/>
        <v>0.80377358490566042</v>
      </c>
      <c r="Z34" s="147">
        <f t="shared" ca="1" si="39"/>
        <v>517.59765625</v>
      </c>
      <c r="AA34" s="95">
        <f t="shared" ca="1" si="82"/>
        <v>7.0617810578735103</v>
      </c>
      <c r="AB34" s="96">
        <f t="shared" ca="1" si="83"/>
        <v>0.33435719406814834</v>
      </c>
      <c r="AC34" s="129">
        <f t="shared" ca="1" si="42"/>
        <v>18.504560462208097</v>
      </c>
      <c r="AD34" s="468">
        <f ca="1">AD23</f>
        <v>3</v>
      </c>
      <c r="AE34" s="364">
        <f t="shared" ca="1" si="43"/>
        <v>5.333333333333333</v>
      </c>
      <c r="AF34" s="94">
        <f ca="1">COUNTIFS(BV!$H$242:$H$420,"&gt;=" &amp; DATE($A34,$B34,1),BV!$H$242:$H$420,"&lt;" &amp; DATE(IF($B34=12,$A34+1,$A34),IF($B34=12,1,$B34+1),1))</f>
        <v>3</v>
      </c>
      <c r="AG34" s="94">
        <f ca="1">COUNTIFS(BV!$P$242:$P$420,"&gt;=" &amp; DATE($A34,$B34,1),BV!$P$242:$P$420,"&lt;" &amp; DATE(IF($B34=12,$A34+1,$A34),IF($B34=12,1,$B34+1),1))</f>
        <v>3</v>
      </c>
      <c r="AH34" s="94">
        <f ca="1">COUNTIFS(BV!$X$242:$X$420,"&gt;=" &amp; DATE($A34,$B34,1),BV!$X$242:$X$420,"&lt;" &amp; DATE(IF($B34=12,$A34+1,$A34),IF($B34=12,1,$B34+1),1))</f>
        <v>1</v>
      </c>
      <c r="AI34" s="94">
        <f ca="1">COUNTIFS(BV!$AF$242:$AF$420,"&gt;=" &amp; DATE($A34,$B34,1),BV!$AF$242:$AF$420,"&lt;" &amp; DATE(IF($B34=12,$A34+1,$A34),IF($B34=12,1,$B34+1),1))</f>
        <v>0</v>
      </c>
      <c r="AJ34" s="94">
        <f ca="1">COUNTIFS(BV!$AN$242:$AN$420,"&gt;=" &amp; DATE($A34,$B34,1),BV!$AN$242:$AN$420,"&lt;" &amp; DATE(IF($B34=12,$A34+1,$A34),IF($B34=12,1,$B34+1),1))</f>
        <v>2</v>
      </c>
      <c r="AK34" s="94">
        <f ca="1">COUNTIFS(BV!$AV$242:$AV$420,"&gt;=" &amp; DATE($A34,$B34,1),BV!$AV$242:$AV$420,"&lt;" &amp; DATE(IF($B34=12,$A34+1,$A34),IF($B34=12,1,$B34+1),1))</f>
        <v>2</v>
      </c>
      <c r="AL34" s="94">
        <f ca="1">COUNTIFS(BV!$BD$242:$BD$420,"&gt;=" &amp; DATE($A34,$B34,1),BV!$BD$242:$BD$420,"&lt;" &amp; DATE(IF($B34=12,$A34+1,$A34),IF($B34=12,1,$B34+1),1))</f>
        <v>1</v>
      </c>
      <c r="AM34" s="94">
        <f ca="1">COUNTIFS(BV!$BL$242:$BL$420,"&gt;=" &amp; DATE($A34,$B34,1),BV!$BL$242:$BL$420,"&lt;" &amp; DATE(IF($B34=12,$A34+1,$A34),IF($B34=12,1,$B34+1),1))</f>
        <v>0</v>
      </c>
      <c r="AN34" s="94">
        <f ca="1">COUNTIFS(BV!$BT$242:$BT$420,"&gt;=" &amp; DATE($A34,$B34,1),BV!$BT$242:$BT$420,"&lt;" &amp; DATE(IF($B34=12,$A34+1,$A34),IF($B34=12,1,$B34+1),1))</f>
        <v>1</v>
      </c>
      <c r="AO34" s="94">
        <f ca="1">COUNTIFS(BV!$CB$242:$CB$420,"&gt;=" &amp; DATE($A34,$B34,1),BV!$CB$242:$CB$420,"&lt;" &amp; DATE(IF($B34=12,$A34+1,$A34),IF($B34=12,1,$B34+1),1))</f>
        <v>0</v>
      </c>
      <c r="AP34" s="366">
        <f t="shared" ca="1" si="151"/>
        <v>58.206349206349202</v>
      </c>
      <c r="AQ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4</v>
      </c>
      <c r="AR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3</v>
      </c>
      <c r="AS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1</v>
      </c>
      <c r="AT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2</v>
      </c>
      <c r="AU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3</v>
      </c>
      <c r="AV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1</v>
      </c>
      <c r="AW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1</v>
      </c>
      <c r="AX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2</v>
      </c>
      <c r="AY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2</v>
      </c>
      <c r="AZ34" s="506">
        <f ca="1">COUNTIFS(OFFSET(Time!$AD$2,(COLUMN()-43)*20,,20,),"&gt;=" &amp; DATE($A34,$B34,1),OFFSET(Time!$AD$2,(COLUMN()-43)*20,,20,),"&lt;" &amp; DATE(IF($B34=12,$A34+1,$A34),IF($B34=12,1,$B34+1),1))+COUNTIFS(OFFSET(Bvs!$AD$2,(COLUMN()-43)*20,,20,),"&gt;=" &amp; DATE($A34,$B34,1),OFFSET(Bvs!$AD$2,(COLUMN()-43)*20,,20,),"&lt;" &amp; DATE(IF($B34=12,$A34+1,$A34),IF($B34=12,1,$B34+1),1))+COUNTIFS(OFFSET(QG!$AD$2,(COLUMN()-43)*20,,20,),"&gt;=" &amp; DATE($A34,$B34,1),OFFSET(QG!$AD$2,(COLUMN()-43)*20,,20,),"&lt;" &amp; DATE(IF($B34=12,$A34+1,$A34),IF($B34=12,1,$B34+1),1))</f>
        <v>1</v>
      </c>
      <c r="BA34" s="366">
        <f t="shared" ca="1" si="45"/>
        <v>78.150793650793645</v>
      </c>
      <c r="BB34" s="366">
        <f t="shared" ca="1" si="46"/>
        <v>136.35714285714283</v>
      </c>
      <c r="BC34" s="364">
        <f t="shared" ca="1" si="152"/>
        <v>45.452380952380942</v>
      </c>
      <c r="BD34" s="364">
        <f t="shared" ca="1" si="48"/>
        <v>8.522321428571427</v>
      </c>
    </row>
    <row r="35" spans="1:56" ht="13.8" thickBot="1" x14ac:dyDescent="0.3">
      <c r="A35" s="156">
        <f t="shared" ref="A35" si="170">IF(B36=1,A36-1,A36)</f>
        <v>2020</v>
      </c>
      <c r="B35" s="157">
        <f t="shared" ref="B35:B43" si="171">IF(B36=1,12,B36-1)</f>
        <v>2</v>
      </c>
      <c r="C35" s="105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32"/>
      <c r="O35" s="373"/>
      <c r="P35" s="106"/>
      <c r="Q35" s="374"/>
      <c r="R35" s="106"/>
      <c r="S35" s="106"/>
      <c r="T35" s="105"/>
      <c r="U35" s="373"/>
      <c r="V35" s="373"/>
      <c r="W35" s="106"/>
      <c r="X35" s="106"/>
      <c r="Y35" s="106"/>
      <c r="Z35" s="375"/>
      <c r="AA35" s="105"/>
      <c r="AB35" s="106"/>
      <c r="AC35" s="132"/>
      <c r="AD35" s="547">
        <f ca="1">AD24</f>
        <v>3</v>
      </c>
      <c r="AE35" s="373"/>
      <c r="AF35" s="104">
        <f t="shared" ref="AF35:AO36" ca="1" si="172">AF2+AF13+AF24</f>
        <v>7</v>
      </c>
      <c r="AG35" s="104">
        <f t="shared" ca="1" si="172"/>
        <v>7</v>
      </c>
      <c r="AH35" s="104">
        <f t="shared" ca="1" si="172"/>
        <v>8</v>
      </c>
      <c r="AI35" s="104">
        <f t="shared" ca="1" si="172"/>
        <v>4</v>
      </c>
      <c r="AJ35" s="104">
        <f t="shared" ca="1" si="172"/>
        <v>7</v>
      </c>
      <c r="AK35" s="104">
        <f t="shared" ca="1" si="172"/>
        <v>13</v>
      </c>
      <c r="AL35" s="104">
        <f t="shared" ca="1" si="172"/>
        <v>6</v>
      </c>
      <c r="AM35" s="104">
        <f t="shared" ca="1" si="172"/>
        <v>3</v>
      </c>
      <c r="AN35" s="104">
        <f t="shared" ca="1" si="172"/>
        <v>6</v>
      </c>
      <c r="AO35" s="104">
        <f t="shared" ca="1" si="172"/>
        <v>2</v>
      </c>
      <c r="AP35" s="375">
        <f t="shared" ref="AP35" ca="1" si="173">(AF35+AG35/2+AH35/3+AI35/4+AJ35/5+AK35/6+AL35/7+AM35/8+AN35/9+AO35/10)*10</f>
        <v>198.32142857142858</v>
      </c>
      <c r="AQ35" s="104">
        <f ca="1">AQ2+AQ13+AQ24</f>
        <v>1</v>
      </c>
      <c r="AR35" s="104">
        <f ca="1">AR2+AR13+AR24</f>
        <v>12</v>
      </c>
      <c r="AS35" s="104">
        <f ca="1">AS2+AS13+AS24</f>
        <v>6</v>
      </c>
      <c r="AT35" s="104">
        <f ca="1">AT2+AT13+AT24</f>
        <v>9</v>
      </c>
      <c r="AU35" s="104">
        <f ca="1">AU2+AU13+AU24</f>
        <v>5</v>
      </c>
      <c r="AV35" s="104">
        <f t="shared" ref="AV35:AZ36" ca="1" si="174">AV2+AV13+AV24</f>
        <v>4</v>
      </c>
      <c r="AW35" s="104">
        <f t="shared" ca="1" si="174"/>
        <v>13</v>
      </c>
      <c r="AX35" s="104">
        <f t="shared" ca="1" si="174"/>
        <v>5</v>
      </c>
      <c r="AY35" s="104">
        <f t="shared" ca="1" si="174"/>
        <v>5</v>
      </c>
      <c r="AZ35" s="104">
        <f t="shared" ca="1" si="174"/>
        <v>5</v>
      </c>
      <c r="BA35" s="375">
        <f t="shared" ref="BA35" ca="1" si="175">(AQ35+AR35/2+AS35/3+AT35/4+AU35/5+AV35/6+AW35/7+AX35/8+AY35/9+AZ35/10)*10</f>
        <v>164.54365079365078</v>
      </c>
      <c r="BB35" s="375">
        <f t="shared" ref="BB35" ca="1" si="176">AP35+BA35</f>
        <v>362.8650793650794</v>
      </c>
      <c r="BC35" s="373">
        <f t="shared" ref="BC35" ca="1" si="177">BB35/AD35</f>
        <v>120.95502645502647</v>
      </c>
      <c r="BD35" s="376"/>
    </row>
    <row r="36" spans="1:56" x14ac:dyDescent="0.25">
      <c r="A36" s="156">
        <f t="shared" ref="A36" si="178">IF(B37=1,A37-1,A37)</f>
        <v>2020</v>
      </c>
      <c r="B36" s="157">
        <f t="shared" si="171"/>
        <v>3</v>
      </c>
      <c r="C36" s="105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32"/>
      <c r="O36" s="373"/>
      <c r="P36" s="106"/>
      <c r="Q36" s="374"/>
      <c r="R36" s="106"/>
      <c r="S36" s="106"/>
      <c r="T36" s="105"/>
      <c r="U36" s="373"/>
      <c r="V36" s="373"/>
      <c r="W36" s="106"/>
      <c r="X36" s="106"/>
      <c r="Y36" s="106"/>
      <c r="Z36" s="375"/>
      <c r="AA36" s="105"/>
      <c r="AB36" s="106"/>
      <c r="AC36" s="132"/>
      <c r="AD36" s="468">
        <f ca="1">AD25</f>
        <v>26</v>
      </c>
      <c r="AE36" s="373"/>
      <c r="AF36" s="104">
        <f t="shared" ca="1" si="172"/>
        <v>23</v>
      </c>
      <c r="AG36" s="104">
        <f t="shared" ca="1" si="172"/>
        <v>13</v>
      </c>
      <c r="AH36" s="104">
        <f t="shared" ca="1" si="172"/>
        <v>15</v>
      </c>
      <c r="AI36" s="104">
        <f t="shared" ca="1" si="172"/>
        <v>18</v>
      </c>
      <c r="AJ36" s="104">
        <f t="shared" ca="1" si="172"/>
        <v>9</v>
      </c>
      <c r="AK36" s="104">
        <f t="shared" ca="1" si="172"/>
        <v>9</v>
      </c>
      <c r="AL36" s="104">
        <f t="shared" ca="1" si="172"/>
        <v>14</v>
      </c>
      <c r="AM36" s="104">
        <f t="shared" ca="1" si="172"/>
        <v>12</v>
      </c>
      <c r="AN36" s="104">
        <f t="shared" ca="1" si="172"/>
        <v>8</v>
      </c>
      <c r="AO36" s="104">
        <f t="shared" ca="1" si="172"/>
        <v>11</v>
      </c>
      <c r="AP36" s="375">
        <f t="shared" ca="1" si="151"/>
        <v>477.88888888888886</v>
      </c>
      <c r="AQ36" s="104">
        <f ca="1">AQ3+AQ14+AQ25</f>
        <v>19</v>
      </c>
      <c r="AR36" s="104">
        <f ca="1">AR3+AR14+AR25</f>
        <v>11</v>
      </c>
      <c r="AS36" s="104">
        <f ca="1">AS3+AS14+AS25</f>
        <v>19</v>
      </c>
      <c r="AT36" s="104">
        <f ca="1">AT3+AT14+AT25</f>
        <v>13</v>
      </c>
      <c r="AU36" s="104">
        <f ca="1">AU3+AU14+AU25</f>
        <v>15</v>
      </c>
      <c r="AV36" s="104">
        <f t="shared" ca="1" si="174"/>
        <v>15</v>
      </c>
      <c r="AW36" s="104">
        <f t="shared" ca="1" si="174"/>
        <v>11</v>
      </c>
      <c r="AX36" s="104">
        <f t="shared" ca="1" si="174"/>
        <v>18</v>
      </c>
      <c r="AY36" s="104">
        <f t="shared" ca="1" si="174"/>
        <v>11</v>
      </c>
      <c r="AZ36" s="104">
        <f t="shared" ca="1" si="174"/>
        <v>9</v>
      </c>
      <c r="BA36" s="375">
        <f t="shared" ca="1" si="45"/>
        <v>455.26984126984121</v>
      </c>
      <c r="BB36" s="375">
        <f t="shared" ca="1" si="46"/>
        <v>933.15873015873012</v>
      </c>
      <c r="BC36" s="373">
        <f t="shared" ca="1" si="152"/>
        <v>35.890720390720389</v>
      </c>
      <c r="BD36" s="376"/>
    </row>
    <row r="37" spans="1:56" x14ac:dyDescent="0.25">
      <c r="A37" s="55">
        <f t="shared" ref="A37" si="179">IF(B38=1,A38-1,A38)</f>
        <v>2020</v>
      </c>
      <c r="B37" s="356">
        <f t="shared" si="171"/>
        <v>4</v>
      </c>
      <c r="D37" s="358"/>
      <c r="E37" s="358"/>
      <c r="F37" s="358"/>
      <c r="G37" s="358"/>
      <c r="H37" s="358"/>
      <c r="I37" s="358"/>
      <c r="J37" s="358"/>
      <c r="K37" s="358"/>
      <c r="L37" s="358"/>
      <c r="M37" s="358"/>
      <c r="AD37" s="468">
        <f ca="1">AD26</f>
        <v>21</v>
      </c>
      <c r="AF37" s="358">
        <f t="shared" ref="AF37:AO37" ca="1" si="180">AF4+AF15+AF26</f>
        <v>16</v>
      </c>
      <c r="AG37" s="358">
        <f t="shared" ca="1" si="180"/>
        <v>13</v>
      </c>
      <c r="AH37" s="358">
        <f t="shared" ca="1" si="180"/>
        <v>17</v>
      </c>
      <c r="AI37" s="358">
        <f t="shared" ca="1" si="180"/>
        <v>15</v>
      </c>
      <c r="AJ37" s="358">
        <f t="shared" ca="1" si="180"/>
        <v>12</v>
      </c>
      <c r="AK37" s="358">
        <f t="shared" ca="1" si="180"/>
        <v>11</v>
      </c>
      <c r="AL37" s="358">
        <f t="shared" ca="1" si="180"/>
        <v>5</v>
      </c>
      <c r="AM37" s="358">
        <f t="shared" ca="1" si="180"/>
        <v>4</v>
      </c>
      <c r="AN37" s="358">
        <f t="shared" ca="1" si="180"/>
        <v>6</v>
      </c>
      <c r="AO37" s="358">
        <f t="shared" ca="1" si="180"/>
        <v>2</v>
      </c>
      <c r="AP37" s="35">
        <f t="shared" ca="1" si="151"/>
        <v>382.30952380952385</v>
      </c>
      <c r="AQ37" s="358">
        <f ca="1">AQ4+AQ15+AQ26</f>
        <v>13</v>
      </c>
      <c r="AR37" s="358">
        <f ca="1">AR4+AR15+AR26</f>
        <v>11</v>
      </c>
      <c r="AS37" s="358">
        <f ca="1">AS4+AS15+AS26</f>
        <v>19</v>
      </c>
      <c r="AT37" s="358">
        <f ca="1">AT4+AT15+AT26</f>
        <v>14</v>
      </c>
      <c r="AU37" s="358">
        <f ca="1">AU4+AU15+AU26</f>
        <v>18</v>
      </c>
      <c r="AV37" s="506">
        <f t="shared" ref="AV37:AZ37" ca="1" si="181">AV4+AV15+AV26</f>
        <v>22</v>
      </c>
      <c r="AW37" s="506">
        <f t="shared" ca="1" si="181"/>
        <v>14</v>
      </c>
      <c r="AX37" s="506">
        <f t="shared" ca="1" si="181"/>
        <v>17</v>
      </c>
      <c r="AY37" s="506">
        <f t="shared" ca="1" si="181"/>
        <v>15</v>
      </c>
      <c r="AZ37" s="506">
        <f t="shared" ca="1" si="181"/>
        <v>17</v>
      </c>
      <c r="BA37" s="35">
        <f t="shared" ca="1" si="45"/>
        <v>430.91666666666669</v>
      </c>
      <c r="BB37" s="35">
        <f t="shared" ca="1" si="46"/>
        <v>813.2261904761906</v>
      </c>
      <c r="BC37" s="12">
        <f t="shared" ca="1" si="152"/>
        <v>38.725056689342409</v>
      </c>
      <c r="BD37" s="378"/>
    </row>
    <row r="38" spans="1:56" x14ac:dyDescent="0.25">
      <c r="A38" s="55">
        <f t="shared" ref="A38" si="182">IF(B39=1,A39-1,A39)</f>
        <v>2020</v>
      </c>
      <c r="B38" s="356">
        <f t="shared" si="171"/>
        <v>5</v>
      </c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AD38" s="468">
        <f ca="1">AD27</f>
        <v>15</v>
      </c>
      <c r="AF38" s="358">
        <f t="shared" ref="AF38:AO38" ca="1" si="183">AF5+AF16+AF27</f>
        <v>12</v>
      </c>
      <c r="AG38" s="358">
        <f t="shared" ca="1" si="183"/>
        <v>12</v>
      </c>
      <c r="AH38" s="358">
        <f t="shared" ca="1" si="183"/>
        <v>7</v>
      </c>
      <c r="AI38" s="358">
        <f t="shared" ca="1" si="183"/>
        <v>10</v>
      </c>
      <c r="AJ38" s="358">
        <f t="shared" ca="1" si="183"/>
        <v>11</v>
      </c>
      <c r="AK38" s="358">
        <f t="shared" ca="1" si="183"/>
        <v>8</v>
      </c>
      <c r="AL38" s="358">
        <f t="shared" ca="1" si="183"/>
        <v>5</v>
      </c>
      <c r="AM38" s="358">
        <f t="shared" ca="1" si="183"/>
        <v>6</v>
      </c>
      <c r="AN38" s="358">
        <f t="shared" ca="1" si="183"/>
        <v>4</v>
      </c>
      <c r="AO38" s="358">
        <f t="shared" ca="1" si="183"/>
        <v>4</v>
      </c>
      <c r="AP38" s="35">
        <f t="shared" ca="1" si="151"/>
        <v>286.7539682539682</v>
      </c>
      <c r="AQ38" s="358">
        <f ca="1">AQ5+AQ16+AQ27</f>
        <v>9</v>
      </c>
      <c r="AR38" s="358">
        <f ca="1">AR5+AR16+AR27</f>
        <v>8</v>
      </c>
      <c r="AS38" s="358">
        <f ca="1">AS5+AS16+AS27</f>
        <v>9</v>
      </c>
      <c r="AT38" s="358">
        <f ca="1">AT5+AT16+AT27</f>
        <v>6</v>
      </c>
      <c r="AU38" s="358">
        <f ca="1">AU5+AU16+AU27</f>
        <v>14</v>
      </c>
      <c r="AV38" s="506">
        <f t="shared" ref="AV38:AZ38" ca="1" si="184">AV5+AV16+AV27</f>
        <v>12</v>
      </c>
      <c r="AW38" s="506">
        <f t="shared" ca="1" si="184"/>
        <v>11</v>
      </c>
      <c r="AX38" s="506">
        <f t="shared" ca="1" si="184"/>
        <v>8</v>
      </c>
      <c r="AY38" s="506">
        <f t="shared" ca="1" si="184"/>
        <v>10</v>
      </c>
      <c r="AZ38" s="506">
        <f t="shared" ca="1" si="184"/>
        <v>8</v>
      </c>
      <c r="BA38" s="35">
        <f t="shared" ca="1" si="45"/>
        <v>267.82539682539687</v>
      </c>
      <c r="BB38" s="35">
        <f t="shared" ca="1" si="46"/>
        <v>554.57936507936506</v>
      </c>
      <c r="BC38" s="12">
        <f t="shared" ca="1" si="152"/>
        <v>36.971957671957668</v>
      </c>
      <c r="BD38" s="378"/>
    </row>
    <row r="39" spans="1:56" x14ac:dyDescent="0.25">
      <c r="A39" s="55">
        <f t="shared" ref="A39" si="185">IF(B40=1,A40-1,A40)</f>
        <v>2020</v>
      </c>
      <c r="B39" s="356">
        <f t="shared" si="171"/>
        <v>6</v>
      </c>
      <c r="D39" s="358"/>
      <c r="E39" s="358"/>
      <c r="F39" s="358"/>
      <c r="G39" s="358"/>
      <c r="H39" s="358"/>
      <c r="I39" s="358"/>
      <c r="J39" s="358"/>
      <c r="K39" s="358"/>
      <c r="L39" s="358"/>
      <c r="M39" s="358"/>
      <c r="AD39" s="468">
        <f ca="1">AD28</f>
        <v>15</v>
      </c>
      <c r="AF39" s="358">
        <f t="shared" ref="AF39:AO39" ca="1" si="186">AF6+AF17+AF28</f>
        <v>7</v>
      </c>
      <c r="AG39" s="358">
        <f t="shared" ca="1" si="186"/>
        <v>10</v>
      </c>
      <c r="AH39" s="358">
        <f t="shared" ca="1" si="186"/>
        <v>10</v>
      </c>
      <c r="AI39" s="358">
        <f t="shared" ca="1" si="186"/>
        <v>6</v>
      </c>
      <c r="AJ39" s="358">
        <f t="shared" ca="1" si="186"/>
        <v>10</v>
      </c>
      <c r="AK39" s="358">
        <f t="shared" ca="1" si="186"/>
        <v>7</v>
      </c>
      <c r="AL39" s="358">
        <f t="shared" ca="1" si="186"/>
        <v>7</v>
      </c>
      <c r="AM39" s="358">
        <f t="shared" ca="1" si="186"/>
        <v>10</v>
      </c>
      <c r="AN39" s="358">
        <f t="shared" ca="1" si="186"/>
        <v>4</v>
      </c>
      <c r="AO39" s="358">
        <f t="shared" ca="1" si="186"/>
        <v>4</v>
      </c>
      <c r="AP39" s="35">
        <f t="shared" ca="1" si="151"/>
        <v>230.94444444444446</v>
      </c>
      <c r="AQ39" s="358">
        <f ca="1">AQ6+AQ17+AQ28</f>
        <v>5</v>
      </c>
      <c r="AR39" s="358">
        <f ca="1">AR6+AR17+AR28</f>
        <v>13</v>
      </c>
      <c r="AS39" s="358">
        <f ca="1">AS6+AS17+AS28</f>
        <v>8</v>
      </c>
      <c r="AT39" s="358">
        <f ca="1">AT6+AT17+AT28</f>
        <v>10</v>
      </c>
      <c r="AU39" s="358">
        <f ca="1">AU6+AU17+AU28</f>
        <v>12</v>
      </c>
      <c r="AV39" s="506">
        <f t="shared" ref="AV39:AZ39" ca="1" si="187">AV6+AV17+AV28</f>
        <v>9</v>
      </c>
      <c r="AW39" s="506">
        <f t="shared" ca="1" si="187"/>
        <v>12</v>
      </c>
      <c r="AX39" s="506">
        <f t="shared" ca="1" si="187"/>
        <v>5</v>
      </c>
      <c r="AY39" s="506">
        <f t="shared" ca="1" si="187"/>
        <v>12</v>
      </c>
      <c r="AZ39" s="506">
        <f t="shared" ca="1" si="187"/>
        <v>11</v>
      </c>
      <c r="BA39" s="35">
        <f t="shared" ca="1" si="45"/>
        <v>253.39285714285711</v>
      </c>
      <c r="BB39" s="35">
        <f t="shared" ca="1" si="46"/>
        <v>484.33730158730157</v>
      </c>
      <c r="BC39" s="12">
        <f t="shared" ca="1" si="152"/>
        <v>32.289153439153438</v>
      </c>
      <c r="BD39" s="378"/>
    </row>
    <row r="40" spans="1:56" x14ac:dyDescent="0.25">
      <c r="A40" s="55">
        <f t="shared" ref="A40" si="188">IF(B41=1,A41-1,A41)</f>
        <v>2020</v>
      </c>
      <c r="B40" s="356">
        <f t="shared" si="171"/>
        <v>7</v>
      </c>
      <c r="D40" s="358"/>
      <c r="E40" s="358"/>
      <c r="F40" s="358"/>
      <c r="G40" s="358"/>
      <c r="H40" s="358"/>
      <c r="I40" s="358"/>
      <c r="J40" s="358"/>
      <c r="K40" s="358"/>
      <c r="L40" s="358"/>
      <c r="M40" s="358"/>
      <c r="AD40" s="468">
        <f ca="1">AD29</f>
        <v>18</v>
      </c>
      <c r="AF40" s="358">
        <f t="shared" ref="AF40:AO40" ca="1" si="189">AF7+AF18+AF29</f>
        <v>5</v>
      </c>
      <c r="AG40" s="358">
        <f t="shared" ca="1" si="189"/>
        <v>4</v>
      </c>
      <c r="AH40" s="358">
        <f t="shared" ca="1" si="189"/>
        <v>6</v>
      </c>
      <c r="AI40" s="358">
        <f t="shared" ca="1" si="189"/>
        <v>8</v>
      </c>
      <c r="AJ40" s="358">
        <f t="shared" ca="1" si="189"/>
        <v>7</v>
      </c>
      <c r="AK40" s="358">
        <f t="shared" ca="1" si="189"/>
        <v>5</v>
      </c>
      <c r="AL40" s="358">
        <f t="shared" ca="1" si="189"/>
        <v>2</v>
      </c>
      <c r="AM40" s="358">
        <f t="shared" ca="1" si="189"/>
        <v>4</v>
      </c>
      <c r="AN40" s="358">
        <f t="shared" ca="1" si="189"/>
        <v>2</v>
      </c>
      <c r="AO40" s="358">
        <f t="shared" ca="1" si="189"/>
        <v>4</v>
      </c>
      <c r="AP40" s="35">
        <f t="shared" ca="1" si="151"/>
        <v>146.41269841269843</v>
      </c>
      <c r="AQ40" s="358">
        <f ca="1">AQ7+AQ18+AQ29</f>
        <v>1</v>
      </c>
      <c r="AR40" s="358">
        <f ca="1">AR7+AR18+AR29</f>
        <v>1</v>
      </c>
      <c r="AS40" s="358">
        <f ca="1">AS7+AS18+AS29</f>
        <v>6</v>
      </c>
      <c r="AT40" s="358">
        <f ca="1">AT7+AT18+AT29</f>
        <v>4</v>
      </c>
      <c r="AU40" s="358">
        <f ca="1">AU7+AU18+AU29</f>
        <v>1</v>
      </c>
      <c r="AV40" s="506">
        <f t="shared" ref="AV40:AZ40" ca="1" si="190">AV7+AV18+AV29</f>
        <v>3</v>
      </c>
      <c r="AW40" s="506">
        <f t="shared" ca="1" si="190"/>
        <v>4</v>
      </c>
      <c r="AX40" s="506">
        <f t="shared" ca="1" si="190"/>
        <v>6</v>
      </c>
      <c r="AY40" s="506">
        <f t="shared" ca="1" si="190"/>
        <v>4</v>
      </c>
      <c r="AZ40" s="506">
        <f t="shared" ca="1" si="190"/>
        <v>6</v>
      </c>
      <c r="BA40" s="35">
        <f t="shared" ca="1" si="45"/>
        <v>75.658730158730151</v>
      </c>
      <c r="BB40" s="35">
        <f t="shared" ca="1" si="46"/>
        <v>222.07142857142858</v>
      </c>
      <c r="BC40" s="12">
        <f t="shared" ca="1" si="152"/>
        <v>12.337301587301589</v>
      </c>
      <c r="BD40" s="378"/>
    </row>
    <row r="41" spans="1:56" x14ac:dyDescent="0.25">
      <c r="A41" s="55">
        <f t="shared" ref="A41:A43" si="191">IF(B42=1,A42-1,A42)</f>
        <v>2020</v>
      </c>
      <c r="B41" s="356">
        <f t="shared" si="171"/>
        <v>8</v>
      </c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AD41" s="468">
        <f ca="1">AD30</f>
        <v>21</v>
      </c>
      <c r="AF41" s="358">
        <f t="shared" ref="AF41:AO41" ca="1" si="192">AF8+AF19+AF30</f>
        <v>28</v>
      </c>
      <c r="AG41" s="358">
        <f t="shared" ca="1" si="192"/>
        <v>16</v>
      </c>
      <c r="AH41" s="358">
        <f t="shared" ca="1" si="192"/>
        <v>11</v>
      </c>
      <c r="AI41" s="358">
        <f t="shared" ca="1" si="192"/>
        <v>7</v>
      </c>
      <c r="AJ41" s="358">
        <f t="shared" ca="1" si="192"/>
        <v>8</v>
      </c>
      <c r="AK41" s="358">
        <f t="shared" ca="1" si="192"/>
        <v>6</v>
      </c>
      <c r="AL41" s="358">
        <f t="shared" ca="1" si="192"/>
        <v>3</v>
      </c>
      <c r="AM41" s="358">
        <f t="shared" ca="1" si="192"/>
        <v>8</v>
      </c>
      <c r="AN41" s="358">
        <f t="shared" ca="1" si="192"/>
        <v>3</v>
      </c>
      <c r="AO41" s="358">
        <f t="shared" ca="1" si="192"/>
        <v>5</v>
      </c>
      <c r="AP41" s="35">
        <f t="shared" ca="1" si="151"/>
        <v>462.78571428571433</v>
      </c>
      <c r="AQ41" s="358">
        <f ca="1">AQ8+AQ19+AQ30</f>
        <v>25</v>
      </c>
      <c r="AR41" s="358">
        <f ca="1">AR8+AR19+AR30</f>
        <v>21</v>
      </c>
      <c r="AS41" s="358">
        <f ca="1">AS8+AS19+AS30</f>
        <v>15</v>
      </c>
      <c r="AT41" s="358">
        <f ca="1">AT8+AT19+AT30</f>
        <v>7</v>
      </c>
      <c r="AU41" s="358">
        <f ca="1">AU8+AU19+AU30</f>
        <v>17</v>
      </c>
      <c r="AV41" s="506">
        <f t="shared" ref="AV41:AZ41" ca="1" si="193">AV8+AV19+AV30</f>
        <v>13</v>
      </c>
      <c r="AW41" s="506">
        <f t="shared" ca="1" si="193"/>
        <v>15</v>
      </c>
      <c r="AX41" s="506">
        <f t="shared" ca="1" si="193"/>
        <v>13</v>
      </c>
      <c r="AY41" s="506">
        <f t="shared" ca="1" si="193"/>
        <v>7</v>
      </c>
      <c r="AZ41" s="506">
        <f t="shared" ca="1" si="193"/>
        <v>12</v>
      </c>
      <c r="BA41" s="35">
        <f t="shared" ca="1" si="45"/>
        <v>535.6230158730159</v>
      </c>
      <c r="BB41" s="35">
        <f t="shared" ca="1" si="46"/>
        <v>998.40873015873024</v>
      </c>
      <c r="BC41" s="12">
        <f t="shared" ca="1" si="152"/>
        <v>47.543272864701443</v>
      </c>
      <c r="BD41" s="378"/>
    </row>
    <row r="42" spans="1:56" x14ac:dyDescent="0.25">
      <c r="A42" s="55">
        <f t="shared" si="191"/>
        <v>2020</v>
      </c>
      <c r="B42" s="356">
        <f t="shared" si="171"/>
        <v>9</v>
      </c>
      <c r="D42" s="358"/>
      <c r="E42" s="358"/>
      <c r="F42" s="358"/>
      <c r="G42" s="358"/>
      <c r="H42" s="358"/>
      <c r="I42" s="358"/>
      <c r="J42" s="358"/>
      <c r="K42" s="358"/>
      <c r="L42" s="358"/>
      <c r="M42" s="358"/>
      <c r="AD42" s="468">
        <f ca="1">AD31</f>
        <v>16</v>
      </c>
      <c r="AF42" s="358">
        <f t="shared" ref="AF42:AO42" ca="1" si="194">AF9+AF20+AF31</f>
        <v>27</v>
      </c>
      <c r="AG42" s="358">
        <f t="shared" ca="1" si="194"/>
        <v>20</v>
      </c>
      <c r="AH42" s="358">
        <f t="shared" ca="1" si="194"/>
        <v>12</v>
      </c>
      <c r="AI42" s="358">
        <f t="shared" ca="1" si="194"/>
        <v>10</v>
      </c>
      <c r="AJ42" s="358">
        <f t="shared" ca="1" si="194"/>
        <v>10</v>
      </c>
      <c r="AK42" s="358">
        <f t="shared" ca="1" si="194"/>
        <v>8</v>
      </c>
      <c r="AL42" s="358">
        <f t="shared" ca="1" si="194"/>
        <v>10</v>
      </c>
      <c r="AM42" s="358">
        <f t="shared" ca="1" si="194"/>
        <v>2</v>
      </c>
      <c r="AN42" s="358">
        <f t="shared" ca="1" si="194"/>
        <v>5</v>
      </c>
      <c r="AO42" s="358">
        <f t="shared" ca="1" si="194"/>
        <v>3</v>
      </c>
      <c r="AP42" s="35">
        <f t="shared" ca="1" si="151"/>
        <v>493.67460317460319</v>
      </c>
      <c r="AQ42" s="358">
        <f ca="1">AQ9+AQ20+AQ31</f>
        <v>32</v>
      </c>
      <c r="AR42" s="358">
        <f ca="1">AR9+AR20+AR31</f>
        <v>23</v>
      </c>
      <c r="AS42" s="358">
        <f ca="1">AS9+AS20+AS31</f>
        <v>19</v>
      </c>
      <c r="AT42" s="358">
        <f ca="1">AT9+AT20+AT31</f>
        <v>25</v>
      </c>
      <c r="AU42" s="358">
        <f ca="1">AU9+AU20+AU31</f>
        <v>16</v>
      </c>
      <c r="AV42" s="506">
        <f t="shared" ref="AV42:AZ42" ca="1" si="195">AV9+AV20+AV31</f>
        <v>16</v>
      </c>
      <c r="AW42" s="506">
        <f t="shared" ca="1" si="195"/>
        <v>17</v>
      </c>
      <c r="AX42" s="506">
        <f t="shared" ca="1" si="195"/>
        <v>12</v>
      </c>
      <c r="AY42" s="506">
        <f t="shared" ca="1" si="195"/>
        <v>14</v>
      </c>
      <c r="AZ42" s="506">
        <f t="shared" ca="1" si="195"/>
        <v>13</v>
      </c>
      <c r="BA42" s="35">
        <f t="shared" ca="1" si="45"/>
        <v>687.34126984126988</v>
      </c>
      <c r="BB42" s="35">
        <f t="shared" ca="1" si="46"/>
        <v>1181.015873015873</v>
      </c>
      <c r="BC42" s="12">
        <f t="shared" ca="1" si="152"/>
        <v>73.813492063492063</v>
      </c>
      <c r="BD42" s="378"/>
    </row>
    <row r="43" spans="1:56" x14ac:dyDescent="0.25">
      <c r="A43" s="55">
        <f t="shared" si="191"/>
        <v>2020</v>
      </c>
      <c r="B43" s="356">
        <f t="shared" si="171"/>
        <v>10</v>
      </c>
      <c r="D43" s="358"/>
      <c r="E43" s="358"/>
      <c r="F43" s="358"/>
      <c r="G43" s="358"/>
      <c r="H43" s="358"/>
      <c r="I43" s="358"/>
      <c r="J43" s="358"/>
      <c r="K43" s="358"/>
      <c r="L43" s="358"/>
      <c r="M43" s="358"/>
      <c r="AD43" s="468">
        <f ca="1">AD32</f>
        <v>12</v>
      </c>
      <c r="AF43" s="358">
        <f t="shared" ref="AF43:AO43" ca="1" si="196">AF10+AF21+AF32</f>
        <v>8</v>
      </c>
      <c r="AG43" s="358">
        <f t="shared" ca="1" si="196"/>
        <v>19</v>
      </c>
      <c r="AH43" s="358">
        <f t="shared" ca="1" si="196"/>
        <v>9</v>
      </c>
      <c r="AI43" s="358">
        <f t="shared" ca="1" si="196"/>
        <v>6</v>
      </c>
      <c r="AJ43" s="358">
        <f t="shared" ca="1" si="196"/>
        <v>6</v>
      </c>
      <c r="AK43" s="358">
        <f t="shared" ca="1" si="196"/>
        <v>8</v>
      </c>
      <c r="AL43" s="358">
        <f t="shared" ca="1" si="196"/>
        <v>5</v>
      </c>
      <c r="AM43" s="358">
        <f t="shared" ca="1" si="196"/>
        <v>4</v>
      </c>
      <c r="AN43" s="358">
        <f t="shared" ca="1" si="196"/>
        <v>3</v>
      </c>
      <c r="AO43" s="358">
        <f t="shared" ca="1" si="196"/>
        <v>13</v>
      </c>
      <c r="AP43" s="35">
        <f t="shared" ca="1" si="151"/>
        <v>273.8095238095238</v>
      </c>
      <c r="AQ43" s="358">
        <f ca="1">AQ10+AQ21+AQ32</f>
        <v>12</v>
      </c>
      <c r="AR43" s="358">
        <f ca="1">AR10+AR21+AR32</f>
        <v>9</v>
      </c>
      <c r="AS43" s="358">
        <f ca="1">AS10+AS21+AS32</f>
        <v>14</v>
      </c>
      <c r="AT43" s="358">
        <f ca="1">AT10+AT21+AT32</f>
        <v>15</v>
      </c>
      <c r="AU43" s="358">
        <f ca="1">AU10+AU21+AU32</f>
        <v>10</v>
      </c>
      <c r="AV43" s="506">
        <f t="shared" ref="AV43:AZ43" ca="1" si="197">AV10+AV21+AV32</f>
        <v>6</v>
      </c>
      <c r="AW43" s="506">
        <f t="shared" ca="1" si="197"/>
        <v>9</v>
      </c>
      <c r="AX43" s="506">
        <f t="shared" ca="1" si="197"/>
        <v>13</v>
      </c>
      <c r="AY43" s="506">
        <f t="shared" ca="1" si="197"/>
        <v>12</v>
      </c>
      <c r="AZ43" s="506">
        <f t="shared" ca="1" si="197"/>
        <v>17</v>
      </c>
      <c r="BA43" s="35">
        <f t="shared" ca="1" si="45"/>
        <v>338.60714285714289</v>
      </c>
      <c r="BB43" s="35">
        <f t="shared" ca="1" si="46"/>
        <v>612.41666666666674</v>
      </c>
      <c r="BC43" s="12">
        <f t="shared" ca="1" si="152"/>
        <v>51.034722222222229</v>
      </c>
      <c r="BD43" s="378"/>
    </row>
    <row r="44" spans="1:56" x14ac:dyDescent="0.25">
      <c r="A44" s="55">
        <f>IF(B45=1,A45-1,A45)</f>
        <v>2020</v>
      </c>
      <c r="B44" s="356">
        <f>IF(B45=1,12,B45-1)</f>
        <v>11</v>
      </c>
      <c r="D44" s="358"/>
      <c r="E44" s="358"/>
      <c r="F44" s="358"/>
      <c r="G44" s="358"/>
      <c r="H44" s="358"/>
      <c r="I44" s="358"/>
      <c r="J44" s="358"/>
      <c r="K44" s="358"/>
      <c r="L44" s="358"/>
      <c r="M44" s="358"/>
      <c r="AD44" s="468">
        <f ca="1">AD33</f>
        <v>13</v>
      </c>
      <c r="AF44" s="358">
        <f t="shared" ref="AF44:AO44" ca="1" si="198">AF11+AF22+AF33</f>
        <v>4</v>
      </c>
      <c r="AG44" s="358">
        <f t="shared" ca="1" si="198"/>
        <v>5</v>
      </c>
      <c r="AH44" s="358">
        <f t="shared" ca="1" si="198"/>
        <v>10</v>
      </c>
      <c r="AI44" s="358">
        <f t="shared" ca="1" si="198"/>
        <v>2</v>
      </c>
      <c r="AJ44" s="358">
        <f t="shared" ca="1" si="198"/>
        <v>4</v>
      </c>
      <c r="AK44" s="358">
        <f t="shared" ca="1" si="198"/>
        <v>1</v>
      </c>
      <c r="AL44" s="358">
        <f t="shared" ca="1" si="198"/>
        <v>1</v>
      </c>
      <c r="AM44" s="358">
        <f t="shared" ca="1" si="198"/>
        <v>0</v>
      </c>
      <c r="AN44" s="358">
        <f t="shared" ca="1" si="198"/>
        <v>5</v>
      </c>
      <c r="AO44" s="358">
        <f t="shared" ca="1" si="198"/>
        <v>2</v>
      </c>
      <c r="AP44" s="35">
        <f t="shared" ca="1" si="151"/>
        <v>121.98412698412697</v>
      </c>
      <c r="AQ44" s="358">
        <f ca="1">AQ11+AQ22+AQ33</f>
        <v>3</v>
      </c>
      <c r="AR44" s="358">
        <f ca="1">AR11+AR22+AR33</f>
        <v>4</v>
      </c>
      <c r="AS44" s="358">
        <f ca="1">AS11+AS22+AS33</f>
        <v>1</v>
      </c>
      <c r="AT44" s="358">
        <f ca="1">AT11+AT22+AT33</f>
        <v>3</v>
      </c>
      <c r="AU44" s="358">
        <f ca="1">AU11+AU22+AU33</f>
        <v>6</v>
      </c>
      <c r="AV44" s="506">
        <f t="shared" ref="AV44:AZ44" ca="1" si="199">AV11+AV22+AV33</f>
        <v>3</v>
      </c>
      <c r="AW44" s="506">
        <f t="shared" ca="1" si="199"/>
        <v>5</v>
      </c>
      <c r="AX44" s="506">
        <f t="shared" ca="1" si="199"/>
        <v>2</v>
      </c>
      <c r="AY44" s="506">
        <f t="shared" ca="1" si="199"/>
        <v>5</v>
      </c>
      <c r="AZ44" s="506">
        <f t="shared" ca="1" si="199"/>
        <v>2</v>
      </c>
      <c r="BA44" s="35">
        <f t="shared" ca="1" si="45"/>
        <v>95.03174603174601</v>
      </c>
      <c r="BB44" s="35">
        <f t="shared" ca="1" si="46"/>
        <v>217.01587301587298</v>
      </c>
      <c r="BC44" s="12">
        <f t="shared" ca="1" si="152"/>
        <v>16.693528693528691</v>
      </c>
      <c r="BD44" s="378"/>
    </row>
    <row r="45" spans="1:56" ht="13.8" thickBot="1" x14ac:dyDescent="0.3">
      <c r="A45" s="111">
        <f>A34</f>
        <v>2020</v>
      </c>
      <c r="B45" s="67">
        <f>B34</f>
        <v>12</v>
      </c>
      <c r="C45" s="112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135"/>
      <c r="O45" s="382"/>
      <c r="P45" s="113"/>
      <c r="Q45" s="383"/>
      <c r="R45" s="113"/>
      <c r="S45" s="113"/>
      <c r="T45" s="112"/>
      <c r="U45" s="382"/>
      <c r="V45" s="382"/>
      <c r="W45" s="113"/>
      <c r="X45" s="113"/>
      <c r="Y45" s="113"/>
      <c r="Z45" s="384"/>
      <c r="AA45" s="112"/>
      <c r="AB45" s="113"/>
      <c r="AC45" s="135"/>
      <c r="AD45" s="468">
        <f ca="1">AD34</f>
        <v>3</v>
      </c>
      <c r="AE45" s="382"/>
      <c r="AF45" s="67">
        <f t="shared" ref="AF45:AO45" ca="1" si="200">AF12+AF23+AF34</f>
        <v>10</v>
      </c>
      <c r="AG45" s="67">
        <f t="shared" ca="1" si="200"/>
        <v>8</v>
      </c>
      <c r="AH45" s="67">
        <f t="shared" ca="1" si="200"/>
        <v>5</v>
      </c>
      <c r="AI45" s="67">
        <f t="shared" ca="1" si="200"/>
        <v>2</v>
      </c>
      <c r="AJ45" s="67">
        <f t="shared" ca="1" si="200"/>
        <v>6</v>
      </c>
      <c r="AK45" s="67">
        <f t="shared" ca="1" si="200"/>
        <v>3</v>
      </c>
      <c r="AL45" s="67">
        <f t="shared" ca="1" si="200"/>
        <v>7</v>
      </c>
      <c r="AM45" s="67">
        <f t="shared" ca="1" si="200"/>
        <v>3</v>
      </c>
      <c r="AN45" s="67">
        <f t="shared" ca="1" si="200"/>
        <v>2</v>
      </c>
      <c r="AO45" s="67">
        <f t="shared" ca="1" si="200"/>
        <v>2</v>
      </c>
      <c r="AP45" s="384">
        <f t="shared" ca="1" si="151"/>
        <v>196.63888888888886</v>
      </c>
      <c r="AQ45" s="67">
        <f ca="1">AQ12+AQ23+AQ34</f>
        <v>13</v>
      </c>
      <c r="AR45" s="67">
        <f ca="1">AR12+AR23+AR34</f>
        <v>12</v>
      </c>
      <c r="AS45" s="67">
        <f ca="1">AS12+AS23+AS34</f>
        <v>10</v>
      </c>
      <c r="AT45" s="67">
        <f ca="1">AT12+AT23+AT34</f>
        <v>11</v>
      </c>
      <c r="AU45" s="67">
        <f ca="1">AU12+AU23+AU34</f>
        <v>11</v>
      </c>
      <c r="AV45" s="67">
        <f t="shared" ref="AV45:AZ45" ca="1" si="201">AV12+AV23+AV34</f>
        <v>10</v>
      </c>
      <c r="AW45" s="67">
        <f t="shared" ca="1" si="201"/>
        <v>8</v>
      </c>
      <c r="AX45" s="67">
        <f t="shared" ca="1" si="201"/>
        <v>6</v>
      </c>
      <c r="AY45" s="67">
        <f t="shared" ca="1" si="201"/>
        <v>9</v>
      </c>
      <c r="AZ45" s="67">
        <f t="shared" ca="1" si="201"/>
        <v>4</v>
      </c>
      <c r="BA45" s="384">
        <f t="shared" ca="1" si="45"/>
        <v>322.42857142857139</v>
      </c>
      <c r="BB45" s="384">
        <f t="shared" ca="1" si="46"/>
        <v>519.06746031746025</v>
      </c>
      <c r="BC45" s="382">
        <f t="shared" ca="1" si="152"/>
        <v>173.02248677248676</v>
      </c>
      <c r="BD45" s="385"/>
    </row>
    <row r="46" spans="1:56" x14ac:dyDescent="0.25">
      <c r="A46" s="70"/>
      <c r="B46" s="70"/>
      <c r="C46" s="119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121"/>
      <c r="O46" s="369"/>
      <c r="P46" s="122"/>
      <c r="Q46" s="234"/>
      <c r="R46" s="122"/>
      <c r="S46" s="122"/>
      <c r="T46" s="119"/>
      <c r="U46" s="369"/>
      <c r="V46" s="369"/>
      <c r="W46" s="122"/>
      <c r="X46" s="122"/>
      <c r="Y46" s="122"/>
      <c r="Z46" s="232"/>
      <c r="AA46" s="119"/>
      <c r="AB46" s="122"/>
      <c r="AC46" s="121"/>
      <c r="AE46" s="369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232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232"/>
      <c r="BB46" s="232"/>
      <c r="BC46" s="369"/>
      <c r="BD46" s="369"/>
    </row>
  </sheetData>
  <phoneticPr fontId="1" type="noConversion"/>
  <conditionalFormatting sqref="P1:R1048576">
    <cfRule type="expression" dxfId="815" priority="315">
      <formula>P1&gt;=7.5</formula>
    </cfRule>
    <cfRule type="expression" dxfId="814" priority="316">
      <formula>P1&gt;=7</formula>
    </cfRule>
    <cfRule type="expression" dxfId="813" priority="317">
      <formula>P1&gt;=6.5</formula>
    </cfRule>
    <cfRule type="expression" dxfId="812" priority="318">
      <formula>P1&gt;=6</formula>
    </cfRule>
    <cfRule type="expression" dxfId="811" priority="319">
      <formula>P1&gt;=5.5</formula>
    </cfRule>
    <cfRule type="expression" dxfId="810" priority="320">
      <formula>P1&gt;=5</formula>
    </cfRule>
    <cfRule type="expression" dxfId="809" priority="321">
      <formula>P1&gt;=4.5</formula>
    </cfRule>
    <cfRule type="expression" dxfId="808" priority="322">
      <formula>P1&gt;=4</formula>
    </cfRule>
    <cfRule type="expression" dxfId="807" priority="323">
      <formula>P1&gt;=3.5</formula>
    </cfRule>
    <cfRule type="expression" dxfId="806" priority="324">
      <formula>P1&gt;=3</formula>
    </cfRule>
    <cfRule type="expression" dxfId="805" priority="325">
      <formula>P1&gt;=2.5</formula>
    </cfRule>
    <cfRule type="expression" dxfId="804" priority="326">
      <formula>P1&gt;=2</formula>
    </cfRule>
    <cfRule type="expression" dxfId="803" priority="327">
      <formula>P1&gt;=1.5</formula>
    </cfRule>
    <cfRule type="expression" dxfId="802" priority="328">
      <formula>P1&gt;=0</formula>
    </cfRule>
  </conditionalFormatting>
  <conditionalFormatting sqref="T1:T1048576">
    <cfRule type="expression" dxfId="801" priority="247">
      <formula>T1&gt;=187.5</formula>
    </cfRule>
    <cfRule type="expression" dxfId="800" priority="248">
      <formula>T1&gt;=175</formula>
    </cfRule>
    <cfRule type="expression" dxfId="799" priority="249">
      <formula>T1&gt;=162.5</formula>
    </cfRule>
    <cfRule type="expression" dxfId="798" priority="250">
      <formula>T1&gt;=150</formula>
    </cfRule>
    <cfRule type="expression" dxfId="797" priority="251">
      <formula>T1&gt;=137.5</formula>
    </cfRule>
    <cfRule type="expression" dxfId="796" priority="252">
      <formula>T1&gt;=125</formula>
    </cfRule>
    <cfRule type="expression" dxfId="795" priority="253">
      <formula>T1&gt;=112.5</formula>
    </cfRule>
    <cfRule type="expression" dxfId="794" priority="254">
      <formula>T1&gt;=100</formula>
    </cfRule>
    <cfRule type="expression" dxfId="793" priority="255">
      <formula>T1&gt;=87.5</formula>
    </cfRule>
    <cfRule type="expression" dxfId="792" priority="256">
      <formula>T1&gt;=75</formula>
    </cfRule>
    <cfRule type="expression" dxfId="791" priority="257">
      <formula>T1&gt;=62.5</formula>
    </cfRule>
    <cfRule type="expression" dxfId="790" priority="258">
      <formula>T1&gt;=50</formula>
    </cfRule>
    <cfRule type="expression" dxfId="789" priority="259">
      <formula>T1&gt;=37.5</formula>
    </cfRule>
    <cfRule type="expression" dxfId="788" priority="260">
      <formula>T1&gt;=0</formula>
    </cfRule>
  </conditionalFormatting>
  <conditionalFormatting sqref="S1:S1048576">
    <cfRule type="expression" dxfId="787" priority="233">
      <formula>T1&gt;=187.5</formula>
    </cfRule>
    <cfRule type="expression" dxfId="786" priority="234">
      <formula>T1&gt;=175</formula>
    </cfRule>
    <cfRule type="expression" dxfId="785" priority="235">
      <formula>T1&gt;=162.5</formula>
    </cfRule>
    <cfRule type="expression" dxfId="784" priority="236">
      <formula>T1&gt;=150</formula>
    </cfRule>
    <cfRule type="expression" dxfId="783" priority="237">
      <formula>T1&gt;=137.5</formula>
    </cfRule>
    <cfRule type="expression" dxfId="782" priority="238">
      <formula>T1&gt;=125</formula>
    </cfRule>
    <cfRule type="expression" dxfId="781" priority="239">
      <formula>T1&gt;=112.5</formula>
    </cfRule>
    <cfRule type="expression" dxfId="780" priority="240">
      <formula>T1&gt;=100</formula>
    </cfRule>
    <cfRule type="expression" dxfId="779" priority="241">
      <formula>T1&gt;=87.5</formula>
    </cfRule>
    <cfRule type="expression" dxfId="778" priority="242">
      <formula>T1&gt;=75</formula>
    </cfRule>
    <cfRule type="expression" dxfId="777" priority="243">
      <formula>T1&gt;=62.5</formula>
    </cfRule>
    <cfRule type="expression" dxfId="776" priority="244">
      <formula>T1&gt;=50</formula>
    </cfRule>
    <cfRule type="expression" dxfId="775" priority="245">
      <formula>T1&gt;=37.5</formula>
    </cfRule>
    <cfRule type="expression" dxfId="774" priority="246">
      <formula>T1&gt;=0</formula>
    </cfRule>
  </conditionalFormatting>
  <conditionalFormatting sqref="AC1:AC1048576">
    <cfRule type="expression" dxfId="773" priority="219">
      <formula>AC1&gt;=168.75</formula>
    </cfRule>
    <cfRule type="expression" dxfId="772" priority="220">
      <formula>AC1&gt;=147</formula>
    </cfRule>
    <cfRule type="expression" dxfId="771" priority="221">
      <formula>AC1&gt;=126.75</formula>
    </cfRule>
    <cfRule type="expression" dxfId="770" priority="222">
      <formula>AC1&gt;=108</formula>
    </cfRule>
    <cfRule type="expression" dxfId="769" priority="223">
      <formula>AC1&gt;=90.75</formula>
    </cfRule>
    <cfRule type="expression" dxfId="768" priority="224">
      <formula>AC1&gt;=75</formula>
    </cfRule>
    <cfRule type="expression" dxfId="767" priority="225">
      <formula>AC1&gt;=60.75</formula>
    </cfRule>
    <cfRule type="expression" dxfId="766" priority="226">
      <formula>AC1&gt;=48</formula>
    </cfRule>
    <cfRule type="expression" dxfId="765" priority="227">
      <formula>AC1&gt;=36.75</formula>
    </cfRule>
    <cfRule type="expression" dxfId="764" priority="228">
      <formula>AC1&gt;=27</formula>
    </cfRule>
    <cfRule type="expression" dxfId="763" priority="229">
      <formula>AC1&gt;=18.75</formula>
    </cfRule>
    <cfRule type="expression" dxfId="762" priority="230">
      <formula>AC1&gt;=12</formula>
    </cfRule>
    <cfRule type="expression" dxfId="761" priority="231">
      <formula>AC1&gt;=6.75</formula>
    </cfRule>
    <cfRule type="expression" dxfId="760" priority="232">
      <formula>AC1&gt;=0</formula>
    </cfRule>
  </conditionalFormatting>
  <conditionalFormatting sqref="AA1:AA1048576">
    <cfRule type="expression" dxfId="759" priority="205">
      <formula>AA1&gt;=7.5*3</formula>
    </cfRule>
    <cfRule type="expression" dxfId="758" priority="206">
      <formula>AA1&gt;=7*3</formula>
    </cfRule>
    <cfRule type="expression" dxfId="757" priority="207">
      <formula>AA1&gt;=6.5*3</formula>
    </cfRule>
    <cfRule type="expression" dxfId="756" priority="208">
      <formula>AA1&gt;=6*3</formula>
    </cfRule>
    <cfRule type="expression" dxfId="755" priority="209">
      <formula>AA1&gt;=5.5*3</formula>
    </cfRule>
    <cfRule type="expression" dxfId="754" priority="210">
      <formula>AA1&gt;=5*3</formula>
    </cfRule>
    <cfRule type="expression" dxfId="753" priority="211">
      <formula>AA1&gt;=4.5*3</formula>
    </cfRule>
    <cfRule type="expression" dxfId="752" priority="212">
      <formula>AA1&gt;=4*3</formula>
    </cfRule>
    <cfRule type="expression" dxfId="751" priority="213">
      <formula>AA1&gt;=3.5*3</formula>
    </cfRule>
    <cfRule type="expression" dxfId="750" priority="214">
      <formula>AA1&gt;=3*3</formula>
    </cfRule>
    <cfRule type="expression" dxfId="749" priority="215">
      <formula>AA1&gt;=2.5*3</formula>
    </cfRule>
    <cfRule type="expression" dxfId="748" priority="216">
      <formula>AA1&gt;=2*3</formula>
    </cfRule>
    <cfRule type="expression" dxfId="747" priority="217">
      <formula>AA1&gt;=1.5*3</formula>
    </cfRule>
    <cfRule type="expression" dxfId="746" priority="218">
      <formula>AA1&gt;=0</formula>
    </cfRule>
  </conditionalFormatting>
  <conditionalFormatting sqref="W1:Y1048576">
    <cfRule type="expression" dxfId="745" priority="191">
      <formula>W1&gt;=31/32</formula>
    </cfRule>
    <cfRule type="expression" dxfId="744" priority="192">
      <formula>W1&gt;=30/32</formula>
    </cfRule>
    <cfRule type="expression" dxfId="743" priority="193">
      <formula>W1&gt;=29/32</formula>
    </cfRule>
    <cfRule type="expression" dxfId="742" priority="194">
      <formula>W1&gt;=28/32</formula>
    </cfRule>
    <cfRule type="expression" dxfId="741" priority="195">
      <formula>W1&gt;=27/32</formula>
    </cfRule>
    <cfRule type="expression" dxfId="740" priority="196">
      <formula>W1&gt;=26/32</formula>
    </cfRule>
    <cfRule type="expression" dxfId="739" priority="197">
      <formula>W1&gt;=25/32</formula>
    </cfRule>
    <cfRule type="expression" dxfId="738" priority="198">
      <formula>W1&gt;=24/32</formula>
    </cfRule>
    <cfRule type="expression" dxfId="737" priority="199">
      <formula>W1&gt;=23/32</formula>
    </cfRule>
    <cfRule type="expression" dxfId="736" priority="200">
      <formula>W1&gt;=22/32</formula>
    </cfRule>
    <cfRule type="expression" dxfId="735" priority="201">
      <formula>W1&gt;=21/32</formula>
    </cfRule>
    <cfRule type="expression" dxfId="734" priority="202">
      <formula>W1&gt;=20/32</formula>
    </cfRule>
    <cfRule type="expression" dxfId="733" priority="203">
      <formula>W1&gt;=19/32</formula>
    </cfRule>
    <cfRule type="expression" dxfId="732" priority="204">
      <formula>W1&gt;=0</formula>
    </cfRule>
  </conditionalFormatting>
  <conditionalFormatting sqref="O1:O1048576">
    <cfRule type="expression" dxfId="731" priority="163">
      <formula>O1&lt;IF(C1="BEG",18,IF(C1="INT",70,200))/7.5</formula>
    </cfRule>
    <cfRule type="expression" dxfId="730" priority="164">
      <formula>O1&lt;IF(C1="BEG",18,IF(C1="INT",70,200))/7</formula>
    </cfRule>
    <cfRule type="expression" dxfId="729" priority="165">
      <formula>O1&lt;IF(C1="BEG",18,IF(C1="INT",70,200))/6.5</formula>
    </cfRule>
    <cfRule type="expression" dxfId="728" priority="166">
      <formula>O1&lt;IF(C1="BEG",18,IF(C1="INT",70,200))/6</formula>
    </cfRule>
    <cfRule type="expression" dxfId="727" priority="167">
      <formula>O1&lt;IF(C1="BEG",18,IF(C1="INT",70,200))/5.5</formula>
    </cfRule>
    <cfRule type="expression" dxfId="726" priority="168">
      <formula>O1&lt;IF(C1="BEG",18,IF(C1="INT",70,200))/5</formula>
    </cfRule>
    <cfRule type="expression" dxfId="725" priority="169">
      <formula>O1&lt;IF(C1="BEG",18,IF(C1="INT",70,200))/4.5</formula>
    </cfRule>
    <cfRule type="expression" dxfId="724" priority="170">
      <formula>O1&lt;IF(C1="BEG",18,IF(C1="INT",70,200))/4</formula>
    </cfRule>
    <cfRule type="expression" dxfId="723" priority="171">
      <formula>O1&lt;IF(C1="BEG",18,IF(C1="INT",70,200))/3.5</formula>
    </cfRule>
    <cfRule type="expression" dxfId="722" priority="172">
      <formula>O1&lt;IF(C1="BEG",18,IF(C1="INT",70,200))/3</formula>
    </cfRule>
    <cfRule type="expression" dxfId="721" priority="173">
      <formula>O1&lt;IF(C1="BEG",18,IF(C1="INT",70,200))/2.5</formula>
    </cfRule>
    <cfRule type="expression" dxfId="720" priority="174">
      <formula>O1&lt;IF(C1="BEG",18,IF(C1="INT",70,200))/2</formula>
    </cfRule>
    <cfRule type="expression" dxfId="719" priority="175">
      <formula>O1&lt;IF(C1="BEG",18,IF(C1="INT",70,200))/1.5</formula>
    </cfRule>
    <cfRule type="expression" dxfId="718" priority="176">
      <formula>O1&gt;=0</formula>
    </cfRule>
  </conditionalFormatting>
  <conditionalFormatting sqref="AB1:AB1048576">
    <cfRule type="expression" dxfId="717" priority="121">
      <formula>AB1&gt;=31/80</formula>
    </cfRule>
    <cfRule type="expression" dxfId="716" priority="122">
      <formula>AB1&gt;=30/80</formula>
    </cfRule>
    <cfRule type="expression" dxfId="715" priority="123">
      <formula>AB1&gt;=29/80</formula>
    </cfRule>
    <cfRule type="expression" dxfId="714" priority="124">
      <formula>AB1&gt;=28/80</formula>
    </cfRule>
    <cfRule type="expression" dxfId="713" priority="125">
      <formula>AB1&gt;=27/80</formula>
    </cfRule>
    <cfRule type="expression" dxfId="712" priority="126">
      <formula>AB1&gt;=26/80</formula>
    </cfRule>
    <cfRule type="expression" dxfId="711" priority="127">
      <formula>AB1&gt;=25/80</formula>
    </cfRule>
    <cfRule type="expression" dxfId="710" priority="128">
      <formula>AB1&gt;=24/80</formula>
    </cfRule>
    <cfRule type="expression" dxfId="709" priority="129">
      <formula>AB1&gt;=23/80</formula>
    </cfRule>
    <cfRule type="expression" dxfId="708" priority="130">
      <formula>AB1&gt;=22/80</formula>
    </cfRule>
    <cfRule type="expression" dxfId="707" priority="131">
      <formula>AB1&gt;=21/80</formula>
    </cfRule>
    <cfRule type="expression" dxfId="706" priority="132">
      <formula>AB1&gt;=20/80</formula>
    </cfRule>
    <cfRule type="expression" dxfId="705" priority="133">
      <formula>AB1&gt;=19/80</formula>
    </cfRule>
    <cfRule type="expression" dxfId="704" priority="134">
      <formula>AB1&gt;=0</formula>
    </cfRule>
  </conditionalFormatting>
  <conditionalFormatting sqref="AE35:AE45">
    <cfRule type="dataBar" priority="753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{E5586308-13CC-4D0A-9DFF-D73BAE9E08D4}</x14:id>
        </ext>
      </extLst>
    </cfRule>
  </conditionalFormatting>
  <conditionalFormatting sqref="BC35:BC45">
    <cfRule type="dataBar" priority="753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{6BB18635-714A-4BC9-B92A-6C75B92EBFF3}</x14:id>
        </ext>
      </extLst>
    </cfRule>
  </conditionalFormatting>
  <conditionalFormatting sqref="BB35:BB45">
    <cfRule type="dataBar" priority="753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{BF07D19E-2079-422E-B4CD-029F8CAB37F8}</x14:id>
        </ext>
      </extLst>
    </cfRule>
  </conditionalFormatting>
  <conditionalFormatting sqref="AE24:AE34">
    <cfRule type="dataBar" priority="756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{DDA320E9-0E75-43A3-B6D5-AD6D1781B723}</x14:id>
        </ext>
      </extLst>
    </cfRule>
  </conditionalFormatting>
  <conditionalFormatting sqref="BC24:BC34">
    <cfRule type="dataBar" priority="756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{D1257E13-1261-42D1-88BC-9AD98EB6AD50}</x14:id>
        </ext>
      </extLst>
    </cfRule>
  </conditionalFormatting>
  <conditionalFormatting sqref="BD24:BD34">
    <cfRule type="dataBar" priority="756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{F74A4E43-FA14-49F7-B0C7-E5FDD7AD9961}</x14:id>
        </ext>
      </extLst>
    </cfRule>
  </conditionalFormatting>
  <conditionalFormatting sqref="BB24:BB34">
    <cfRule type="dataBar" priority="756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{AC5DEB65-6D81-460C-B1EA-96BC7D6FAE9E}</x14:id>
        </ext>
      </extLst>
    </cfRule>
  </conditionalFormatting>
  <conditionalFormatting sqref="AE13:AE23">
    <cfRule type="dataBar" priority="760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{5495C84C-DA9D-41E4-BEA1-420D3E41CEAF}</x14:id>
        </ext>
      </extLst>
    </cfRule>
  </conditionalFormatting>
  <conditionalFormatting sqref="BC13:BC23">
    <cfRule type="dataBar" priority="760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{5049909F-C85A-495A-8156-BE45CFCCCE43}</x14:id>
        </ext>
      </extLst>
    </cfRule>
  </conditionalFormatting>
  <conditionalFormatting sqref="BD13:BD23">
    <cfRule type="dataBar" priority="760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{4489B9BC-71D6-4E57-A688-06A41E893FEA}</x14:id>
        </ext>
      </extLst>
    </cfRule>
  </conditionalFormatting>
  <conditionalFormatting sqref="BB13:BB23">
    <cfRule type="dataBar" priority="760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{CBF50B5D-8A4A-40BC-BB78-4D5D6F601ADB}</x14:id>
        </ext>
      </extLst>
    </cfRule>
  </conditionalFormatting>
  <conditionalFormatting sqref="AE2:AE12">
    <cfRule type="dataBar" priority="76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{35A89469-3A65-4059-8E1D-C3A24FE6FA46}</x14:id>
        </ext>
      </extLst>
    </cfRule>
  </conditionalFormatting>
  <conditionalFormatting sqref="BC2:BC12">
    <cfRule type="dataBar" priority="76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{F13F2E69-CECA-4A77-83D3-3EE2080CEA6B}</x14:id>
        </ext>
      </extLst>
    </cfRule>
  </conditionalFormatting>
  <conditionalFormatting sqref="BD2:BD12">
    <cfRule type="dataBar" priority="76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{10570C20-6209-4DCE-BF82-FA8062B504C3}</x14:id>
        </ext>
      </extLst>
    </cfRule>
  </conditionalFormatting>
  <conditionalFormatting sqref="BB2:BB12">
    <cfRule type="dataBar" priority="76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{00463FDD-B3FE-488B-B9FF-82FEA116199B}</x14:id>
        </ext>
      </extLst>
    </cfRule>
  </conditionalFormatting>
  <conditionalFormatting sqref="AF1:AO1048576">
    <cfRule type="cellIs" dxfId="703" priority="5" operator="greaterThan">
      <formula>19</formula>
    </cfRule>
    <cfRule type="cellIs" dxfId="702" priority="9" operator="greaterThan">
      <formula>9</formula>
    </cfRule>
    <cfRule type="cellIs" dxfId="701" priority="10" operator="greaterThan">
      <formula>4</formula>
    </cfRule>
    <cfRule type="cellIs" dxfId="700" priority="11" operator="greaterThan">
      <formula>0</formula>
    </cfRule>
  </conditionalFormatting>
  <conditionalFormatting sqref="AQ1:AZ1048576">
    <cfRule type="cellIs" dxfId="699" priority="1" operator="greaterThan">
      <formula>19</formula>
    </cfRule>
    <cfRule type="cellIs" dxfId="698" priority="2" operator="greaterThan">
      <formula>9</formula>
    </cfRule>
    <cfRule type="cellIs" dxfId="697" priority="3" operator="greaterThan">
      <formula>4</formula>
    </cfRule>
    <cfRule type="cellIs" dxfId="696" priority="4" operator="greater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586308-13CC-4D0A-9DFF-D73BAE9E0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AE35:AE45</xm:sqref>
        </x14:conditionalFormatting>
        <x14:conditionalFormatting xmlns:xm="http://schemas.microsoft.com/office/excel/2006/main">
          <x14:cfRule type="dataBar" id="{6BB18635-714A-4BC9-B92A-6C75B92EBF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BC35:BC45</xm:sqref>
        </x14:conditionalFormatting>
        <x14:conditionalFormatting xmlns:xm="http://schemas.microsoft.com/office/excel/2006/main">
          <x14:cfRule type="dataBar" id="{BF07D19E-2079-422E-B4CD-029F8CAB37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BB35:BB45</xm:sqref>
        </x14:conditionalFormatting>
        <x14:conditionalFormatting xmlns:xm="http://schemas.microsoft.com/office/excel/2006/main">
          <x14:cfRule type="dataBar" id="{DDA320E9-0E75-43A3-B6D5-AD6D1781B7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AE24:AE34</xm:sqref>
        </x14:conditionalFormatting>
        <x14:conditionalFormatting xmlns:xm="http://schemas.microsoft.com/office/excel/2006/main">
          <x14:cfRule type="dataBar" id="{D1257E13-1261-42D1-88BC-9AD98EB6A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BC24:BC34</xm:sqref>
        </x14:conditionalFormatting>
        <x14:conditionalFormatting xmlns:xm="http://schemas.microsoft.com/office/excel/2006/main">
          <x14:cfRule type="dataBar" id="{F74A4E43-FA14-49F7-B0C7-E5FDD7AD99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BD24:BD34</xm:sqref>
        </x14:conditionalFormatting>
        <x14:conditionalFormatting xmlns:xm="http://schemas.microsoft.com/office/excel/2006/main">
          <x14:cfRule type="dataBar" id="{AC5DEB65-6D81-460C-B1EA-96BC7D6FAE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BB24:BB34</xm:sqref>
        </x14:conditionalFormatting>
        <x14:conditionalFormatting xmlns:xm="http://schemas.microsoft.com/office/excel/2006/main">
          <x14:cfRule type="dataBar" id="{5495C84C-DA9D-41E4-BEA1-420D3E41CE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AE13:AE23</xm:sqref>
        </x14:conditionalFormatting>
        <x14:conditionalFormatting xmlns:xm="http://schemas.microsoft.com/office/excel/2006/main">
          <x14:cfRule type="dataBar" id="{5049909F-C85A-495A-8156-BE45CFCCCE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BC13:BC23</xm:sqref>
        </x14:conditionalFormatting>
        <x14:conditionalFormatting xmlns:xm="http://schemas.microsoft.com/office/excel/2006/main">
          <x14:cfRule type="dataBar" id="{4489B9BC-71D6-4E57-A688-06A41E893F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BD13:BD23</xm:sqref>
        </x14:conditionalFormatting>
        <x14:conditionalFormatting xmlns:xm="http://schemas.microsoft.com/office/excel/2006/main">
          <x14:cfRule type="dataBar" id="{CBF50B5D-8A4A-40BC-BB78-4D5D6F601A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BB13:BB23</xm:sqref>
        </x14:conditionalFormatting>
        <x14:conditionalFormatting xmlns:xm="http://schemas.microsoft.com/office/excel/2006/main">
          <x14:cfRule type="dataBar" id="{35A89469-3A65-4059-8E1D-C3A24FE6FA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AE2:AE12</xm:sqref>
        </x14:conditionalFormatting>
        <x14:conditionalFormatting xmlns:xm="http://schemas.microsoft.com/office/excel/2006/main">
          <x14:cfRule type="dataBar" id="{F13F2E69-CECA-4A77-83D3-3EE2080CEA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BC2:BC12</xm:sqref>
        </x14:conditionalFormatting>
        <x14:conditionalFormatting xmlns:xm="http://schemas.microsoft.com/office/excel/2006/main">
          <x14:cfRule type="dataBar" id="{10570C20-6209-4DCE-BF82-FA8062B504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BD2:BD12</xm:sqref>
        </x14:conditionalFormatting>
        <x14:conditionalFormatting xmlns:xm="http://schemas.microsoft.com/office/excel/2006/main">
          <x14:cfRule type="dataBar" id="{00463FDD-B3FE-488B-B9FF-82FEA11619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BB2:BB12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E76E-B8E0-433D-8D6F-83D7A3267717}">
  <sheetPr codeName="Sheet4">
    <tabColor rgb="FFE92B32"/>
  </sheetPr>
  <dimension ref="A1:BE46"/>
  <sheetViews>
    <sheetView tabSelected="1" workbookViewId="0">
      <pane xSplit="4" ySplit="1" topLeftCell="E21" activePane="bottomRight" state="frozen"/>
      <selection pane="topRight" activeCell="E1" sqref="E1"/>
      <selection pane="bottomLeft" activeCell="A2" sqref="A2"/>
      <selection pane="bottomRight"/>
    </sheetView>
  </sheetViews>
  <sheetFormatPr defaultColWidth="5.33203125" defaultRowHeight="13.2" x14ac:dyDescent="0.25"/>
  <cols>
    <col min="1" max="1" width="5.5546875" style="11" bestFit="1" customWidth="1"/>
    <col min="2" max="3" width="3.5546875" style="11" bestFit="1" customWidth="1"/>
    <col min="4" max="4" width="5.33203125" style="34" hidden="1" customWidth="1"/>
    <col min="5" max="5" width="5.33203125" style="11" bestFit="1" customWidth="1"/>
    <col min="6" max="6" width="6.5546875" style="11" hidden="1" customWidth="1"/>
    <col min="7" max="7" width="9.5546875" style="11" hidden="1" customWidth="1"/>
    <col min="8" max="8" width="8.5546875" style="11" hidden="1" customWidth="1"/>
    <col min="9" max="11" width="6.5546875" style="11" hidden="1" customWidth="1"/>
    <col min="12" max="13" width="5.5546875" style="11" hidden="1" customWidth="1"/>
    <col min="14" max="14" width="6.5546875" style="11" hidden="1" customWidth="1"/>
    <col min="15" max="15" width="6.6640625" style="21" bestFit="1" customWidth="1"/>
    <col min="16" max="16" width="6.77734375" style="12" bestFit="1" customWidth="1"/>
    <col min="17" max="17" width="6.6640625" style="33" bestFit="1" customWidth="1"/>
    <col min="18" max="18" width="6.77734375" style="20" bestFit="1" customWidth="1"/>
    <col min="19" max="19" width="6.6640625" style="33" bestFit="1" customWidth="1"/>
    <col min="20" max="20" width="7.6640625" style="33" hidden="1" customWidth="1"/>
    <col min="21" max="23" width="6.6640625" style="34" bestFit="1" customWidth="1"/>
    <col min="24" max="26" width="6.6640625" style="33" bestFit="1" customWidth="1"/>
    <col min="27" max="27" width="5.21875" style="35" bestFit="1" customWidth="1"/>
    <col min="28" max="28" width="5.6640625" style="34" bestFit="1" customWidth="1"/>
    <col min="29" max="29" width="6.6640625" style="33" bestFit="1" customWidth="1"/>
    <col min="30" max="30" width="5.6640625" style="21" bestFit="1" customWidth="1"/>
    <col min="31" max="31" width="6.6640625" style="470" bestFit="1" customWidth="1"/>
    <col min="32" max="32" width="9" style="12" bestFit="1" customWidth="1"/>
    <col min="33" max="42" width="3.77734375" style="353" customWidth="1"/>
    <col min="43" max="43" width="6.109375" style="35" bestFit="1" customWidth="1"/>
    <col min="44" max="48" width="4.77734375" style="353" customWidth="1"/>
    <col min="49" max="53" width="5" style="509" bestFit="1" customWidth="1"/>
    <col min="54" max="55" width="6.109375" style="35" bestFit="1" customWidth="1"/>
    <col min="56" max="57" width="9" style="12" bestFit="1" customWidth="1"/>
    <col min="58" max="16384" width="5.33203125" style="19"/>
  </cols>
  <sheetData>
    <row r="1" spans="1:57" x14ac:dyDescent="0.25">
      <c r="A1" s="22" t="str">
        <f>Mon!A1</f>
        <v>年</v>
      </c>
      <c r="B1" s="22" t="str">
        <f>Mon!B1</f>
        <v>月</v>
      </c>
      <c r="C1" s="22" t="str">
        <f>Mon!B1</f>
        <v>月</v>
      </c>
      <c r="D1" s="23" t="str">
        <f>Mon!C1</f>
        <v>级别</v>
      </c>
      <c r="E1" s="24" t="str">
        <f>Mon!D1</f>
        <v>局数</v>
      </c>
      <c r="F1" s="24" t="s">
        <v>424</v>
      </c>
      <c r="G1" s="24" t="s">
        <v>425</v>
      </c>
      <c r="H1" s="24" t="s">
        <v>426</v>
      </c>
      <c r="I1" s="24" t="s">
        <v>427</v>
      </c>
      <c r="J1" s="24" t="s">
        <v>428</v>
      </c>
      <c r="K1" s="24" t="s">
        <v>429</v>
      </c>
      <c r="L1" s="24" t="s">
        <v>431</v>
      </c>
      <c r="M1" s="24" t="s">
        <v>432</v>
      </c>
      <c r="N1" s="22" t="s">
        <v>430</v>
      </c>
      <c r="O1" s="25" t="s">
        <v>288</v>
      </c>
      <c r="P1" s="26" t="s">
        <v>6</v>
      </c>
      <c r="Q1" s="27" t="s">
        <v>2</v>
      </c>
      <c r="R1" s="28" t="s">
        <v>34</v>
      </c>
      <c r="S1" s="27" t="s">
        <v>33</v>
      </c>
      <c r="T1" s="27" t="s">
        <v>0</v>
      </c>
      <c r="U1" s="23" t="s">
        <v>289</v>
      </c>
      <c r="V1" s="38" t="s">
        <v>446</v>
      </c>
      <c r="W1" s="38" t="s">
        <v>447</v>
      </c>
      <c r="X1" s="27" t="s">
        <v>4</v>
      </c>
      <c r="Y1" s="27" t="s">
        <v>5</v>
      </c>
      <c r="Z1" s="27" t="str">
        <f>Mon!Y1</f>
        <v>IOE</v>
      </c>
      <c r="AA1" s="29" t="s">
        <v>8</v>
      </c>
      <c r="AB1" s="23" t="str">
        <f>Mon!AA1</f>
        <v>移速</v>
      </c>
      <c r="AC1" s="27" t="str">
        <f>Mon!AB1</f>
        <v>IOME</v>
      </c>
      <c r="AD1" s="25" t="str">
        <f>Mon!AC1</f>
        <v>风骚</v>
      </c>
      <c r="AE1" s="471" t="str">
        <f>Mon!AD1</f>
        <v>天数</v>
      </c>
      <c r="AF1" s="14" t="str">
        <f>Mon!AE1</f>
        <v>局/天</v>
      </c>
      <c r="AG1" s="351" t="s">
        <v>76</v>
      </c>
      <c r="AH1" s="351" t="s">
        <v>77</v>
      </c>
      <c r="AI1" s="351" t="s">
        <v>78</v>
      </c>
      <c r="AJ1" s="351" t="s">
        <v>79</v>
      </c>
      <c r="AK1" s="351" t="s">
        <v>96</v>
      </c>
      <c r="AL1" s="351" t="s">
        <v>71</v>
      </c>
      <c r="AM1" s="351" t="s">
        <v>97</v>
      </c>
      <c r="AN1" s="351" t="s">
        <v>98</v>
      </c>
      <c r="AO1" s="351" t="s">
        <v>99</v>
      </c>
      <c r="AP1" s="351" t="s">
        <v>100</v>
      </c>
      <c r="AQ1" s="30" t="str">
        <f>Mon!AP1</f>
        <v>价值</v>
      </c>
      <c r="AR1" s="351" t="s">
        <v>566</v>
      </c>
      <c r="AS1" s="351" t="s">
        <v>567</v>
      </c>
      <c r="AT1" s="508" t="s">
        <v>558</v>
      </c>
      <c r="AU1" s="508" t="s">
        <v>559</v>
      </c>
      <c r="AV1" s="508" t="s">
        <v>560</v>
      </c>
      <c r="AW1" s="508" t="s">
        <v>561</v>
      </c>
      <c r="AX1" s="508" t="s">
        <v>562</v>
      </c>
      <c r="AY1" s="508" t="s">
        <v>563</v>
      </c>
      <c r="AZ1" s="508" t="s">
        <v>564</v>
      </c>
      <c r="BA1" s="508" t="s">
        <v>565</v>
      </c>
      <c r="BB1" s="30" t="str">
        <f>Mon!BA1</f>
        <v>价值</v>
      </c>
      <c r="BC1" s="30" t="str">
        <f>Mon!BB1</f>
        <v>表现</v>
      </c>
      <c r="BD1" s="14" t="str">
        <f>Mon!BC1</f>
        <v>表现/天</v>
      </c>
      <c r="BE1" s="14" t="str">
        <f>Mon!BD1</f>
        <v>表现/局</v>
      </c>
    </row>
    <row r="2" spans="1:57" x14ac:dyDescent="0.25">
      <c r="A2" s="549">
        <f t="shared" ref="A2:C5" si="0">A13</f>
        <v>2018</v>
      </c>
      <c r="B2" s="549">
        <f t="shared" si="0"/>
        <v>4</v>
      </c>
      <c r="C2" s="549">
        <f t="shared" si="0"/>
        <v>6</v>
      </c>
      <c r="D2" s="558" t="s">
        <v>38</v>
      </c>
      <c r="E2" s="544">
        <f ca="1">COUNTIFS(OFFSET(Arb!$C$2,,,Arb!$AJ$36,),$A2,OFFSET(Arb!$AI$2,,,Arb!$AJ$36,),TRUE,OFFSET(Arb!$B$2,,,Arb!$AJ$36,),"&gt;="&amp;$B2,OFFSET(Arb!$B$2,,,Arb!$AJ$36,),"&lt;="&amp;$C2)</f>
        <v>0</v>
      </c>
      <c r="F2" s="544">
        <f ca="1">SUMIFS(OFFSET(Arb!$I$2,,,Arb!$AJ$36,),OFFSET(Arb!$C$2,,,Arb!$AJ$36,),$A2,OFFSET(Arb!$AI$2,,,Arb!$AJ$36,),TRUE,OFFSET(Arb!$B$2,,,Arb!$AJ$36,),"&gt;="&amp;$B2,OFFSET(Arb!$B$2,,,Arb!$AJ$36,),"&lt;="&amp;$C2)</f>
        <v>0</v>
      </c>
      <c r="G2" s="544">
        <f ca="1">SUMIFS(OFFSET(Arb!$H$2,,,Arb!$AJ$36,),OFFSET(Arb!$C$2,,,Arb!$AJ$36,),$A2,OFFSET(Arb!$AI$2,,,Arb!$AJ$36,),TRUE,OFFSET(Arb!$B$2,,,Arb!$AJ$36,),"&gt;="&amp;$B2,OFFSET(Arb!$B$2,,,Arb!$AJ$36,),"&lt;="&amp;$C2)</f>
        <v>0</v>
      </c>
      <c r="H2" s="544">
        <f ca="1">SUMIFS(OFFSET(Arb!$AC$2,,,Arb!$AJ$36,),OFFSET(Arb!$C$2,,,Arb!$AJ$36,),$A2,OFFSET(Arb!$AI$2,,,Arb!$AJ$36,),TRUE,OFFSET(Arb!$B$2,,,Arb!$AJ$36,),"&gt;="&amp;$B2,OFFSET(Arb!$B$2,,,Arb!$AJ$36,),"&lt;="&amp;$C2)</f>
        <v>0</v>
      </c>
      <c r="I2" s="544">
        <f ca="1">SUMIFS(OFFSET(Arb!$U$2,,,Arb!$AJ$36,),OFFSET(Arb!$C$2,,,Arb!$AJ$36,),$A2,OFFSET(Arb!$AI$2,,,Arb!$AJ$36,),TRUE,OFFSET(Arb!$B$2,,,Arb!$AJ$36,),"&gt;="&amp;$B2,OFFSET(Arb!$B$2,,,Arb!$AJ$36,),"&lt;="&amp;$C2)</f>
        <v>0</v>
      </c>
      <c r="J2" s="544">
        <f ca="1">SUMIFS(OFFSET(Arb!$V$2,,,Arb!$AJ$36,),OFFSET(Arb!$C$2,,,Arb!$AJ$36,),$A2,OFFSET(Arb!$AI$2,,,Arb!$AJ$36,),TRUE,OFFSET(Arb!$B$2,,,Arb!$AJ$36,),"&gt;="&amp;$B2,OFFSET(Arb!$B$2,,,Arb!$AJ$36,),"&lt;="&amp;$C2)</f>
        <v>0</v>
      </c>
      <c r="K2" s="544">
        <f ca="1">SUMIFS(OFFSET(Arb!$X$2,,,Arb!$AJ$36,),OFFSET(Arb!$C$2,,,Arb!$AJ$36,),$A2,OFFSET(Arb!$AI$2,,,Arb!$AJ$36,),TRUE,OFFSET(Arb!$B$2,,,Arb!$AJ$36,),"&gt;="&amp;$B2,OFFSET(Arb!$B$2,,,Arb!$AJ$36,),"&lt;="&amp;$C2)</f>
        <v>0</v>
      </c>
      <c r="L2" s="544">
        <f ca="1">SUMIFS(OFFSET(Arb!$AA$2,,,Arb!$AJ$36,),OFFSET(Arb!$C$2,,,Arb!$AJ$36,),$A2,OFFSET(Arb!$AI$2,,,Arb!$AJ$36,),TRUE,OFFSET(Arb!$B$2,,,Arb!$AJ$36,),"&gt;="&amp;$B2,OFFSET(Arb!$B$2,,,Arb!$AJ$36,),"&lt;="&amp;$C2)</f>
        <v>0</v>
      </c>
      <c r="M2" s="544">
        <f ca="1">SUMIFS(OFFSET(Arb!$AB$2,,,Arb!$AJ$36,),OFFSET(Arb!$C$2,,,Arb!$AJ$36,),$A2,OFFSET(Arb!$AI$2,,,Arb!$AJ$36,),TRUE,OFFSET(Arb!$B$2,,,Arb!$AJ$36,),"&gt;="&amp;$B2,OFFSET(Arb!$B$2,,,Arb!$AJ$36,),"&lt;="&amp;$C2)</f>
        <v>0</v>
      </c>
      <c r="N2" s="544">
        <f t="shared" ref="N2" ca="1" si="1">I2+J2</f>
        <v>0</v>
      </c>
      <c r="O2" s="546" t="str">
        <f t="shared" ref="O2" ca="1" si="2">IFERROR(F2/E2,"")</f>
        <v/>
      </c>
      <c r="P2" s="12" t="str">
        <f t="shared" ref="P2" ca="1" si="3">IFERROR(G2/E2,"")</f>
        <v/>
      </c>
      <c r="Q2" s="33" t="str">
        <f t="shared" ref="Q2" ca="1" si="4">IFERROR(O2/P2,"")</f>
        <v/>
      </c>
      <c r="R2" s="20" t="str">
        <f t="shared" ref="R2" ca="1" si="5">IFERROR(K2/G2,"")</f>
        <v/>
      </c>
      <c r="S2" s="33" t="str">
        <f t="shared" ref="S2" ca="1" si="6">IFERROR(N2/G2,"")</f>
        <v/>
      </c>
      <c r="T2" s="33" t="str">
        <f t="shared" ref="T2" ca="1" si="7">IFERROR(P2^1.7/O2,"")</f>
        <v/>
      </c>
      <c r="U2" s="34" t="str">
        <f t="shared" ref="U2" ca="1" si="8">IFERROR((IF(D2="beg",47.299,0)+IF(D2="int",153.73,0)+IF(D2="exp",435.001,0))/T2,"")</f>
        <v/>
      </c>
      <c r="V2" s="34" t="str">
        <f t="shared" ref="V2" ca="1" si="9">IFERROR(L2/E2,"")</f>
        <v/>
      </c>
      <c r="W2" s="34" t="str">
        <f t="shared" ref="W2" ca="1" si="10">IFERROR(M2/E2,"")</f>
        <v/>
      </c>
      <c r="X2" s="33" t="str">
        <f t="shared" ref="X2" ca="1" si="11">IFERROR(R2/S2,"")</f>
        <v/>
      </c>
      <c r="Y2" s="33" t="str">
        <f t="shared" ref="Y2" ca="1" si="12">IFERROR(Q2/R2,"")</f>
        <v/>
      </c>
      <c r="Z2" s="33" t="str">
        <f t="shared" ref="Z2" ca="1" si="13">IFERROR(F2/N2,"")</f>
        <v/>
      </c>
      <c r="AA2" s="550" t="str">
        <f t="shared" ref="AA2" ca="1" si="14">IFERROR(H2/E2/16,"")</f>
        <v/>
      </c>
      <c r="AB2" s="34" t="str">
        <f t="shared" ref="AB2" ca="1" si="15">IFERROR(AA2/P2,"")</f>
        <v/>
      </c>
      <c r="AC2" s="33" t="str">
        <f t="shared" ref="AC2" ca="1" si="16">IFERROR(O2/AA2,"")</f>
        <v/>
      </c>
      <c r="AD2" s="21" t="str">
        <f t="shared" ref="AD2" ca="1" si="17">IFERROR(AB2*R2,"")</f>
        <v/>
      </c>
      <c r="AE2" s="547" t="e">
        <f ca="1">SUM(OFFSET(Arb!AK$36,MATCH(A2,OFFSET(Arb!AK$36,,,23,),0)-1,B2,1,3))</f>
        <v>#N/A</v>
      </c>
      <c r="AF2" s="12" t="e">
        <f t="shared" ref="AF2" ca="1" si="18">E2/AE2</f>
        <v>#N/A</v>
      </c>
      <c r="AG2" s="547">
        <f ca="1">COUNTIFS(BV!$H$2:$H$54,"&gt;=" &amp; DATE($A2,$B2,1),BV!$H$2:$H$54,"&lt;" &amp; DATE($A2,$C2+1,1))</f>
        <v>0</v>
      </c>
      <c r="AH2" s="547">
        <f ca="1">COUNTIFS(BV!$P$2:$P$54,"&gt;=" &amp; DATE($A2,$B2,1),BV!$P$2:$P$54,"&lt;" &amp; DATE($A2,$C2+1,1))</f>
        <v>0</v>
      </c>
      <c r="AI2" s="547">
        <f ca="1">COUNTIFS(BV!$X$2:$X$54,"&gt;=" &amp; DATE($A2,$B2,1),BV!$X$2:$X$54,"&lt;" &amp; DATE($A2,$C2+1,1))</f>
        <v>0</v>
      </c>
      <c r="AJ2" s="547">
        <f ca="1">COUNTIFS(BV!$AF$2:$AF$54,"&gt;=" &amp; DATE($A2,$B2,1),BV!$AF$2:$AF$54,"&lt;" &amp; DATE($A2,$C2+1,1))</f>
        <v>0</v>
      </c>
      <c r="AK2" s="547">
        <f ca="1">COUNTIFS(BV!$AN$2:$AN$54,"&gt;=" &amp; DATE($A2,$B2,1),BV!$AN$2:$AN$54,"&lt;" &amp; DATE($A2,$C2+1,1))</f>
        <v>0</v>
      </c>
      <c r="AL2" s="547">
        <f ca="1">COUNTIFS(BV!$AV$2:$AV$54,"&gt;=" &amp; DATE($A2,$B2,1),BV!$AV$2:$AV$54,"&lt;" &amp; DATE($A2,$C2+1,1))</f>
        <v>0</v>
      </c>
      <c r="AM2" s="547">
        <f ca="1">COUNTIFS(BV!$BD$2:$BD$54,"&gt;=" &amp; DATE($A2,$B2,1),BV!$BD$2:$BD$54,"&lt;" &amp; DATE($A2,$C2+1,1))</f>
        <v>0</v>
      </c>
      <c r="AN2" s="547">
        <f ca="1">COUNTIFS(BV!$BL$2:$BL$54,"&gt;=" &amp; DATE($A2,$B2,1),BV!$BL$2:$BL$54,"&lt;" &amp; DATE($A2,$C2+1,1))</f>
        <v>0</v>
      </c>
      <c r="AO2" s="547">
        <f ca="1">COUNTIFS(BV!$BT$2:$BT$54,"&gt;=" &amp; DATE($A2,$B2,1),BV!$BT$2:$BT$54,"&lt;" &amp; DATE($A2,$C2+1,1))</f>
        <v>0</v>
      </c>
      <c r="AP2" s="547">
        <f ca="1">COUNTIFS(BV!$CB$2:$CB$54,"&gt;=" &amp; DATE($A2,$B2,1),BV!$CB$2:$CB$54,"&lt;" &amp; DATE($A2,$C2+1,1))</f>
        <v>0</v>
      </c>
      <c r="AQ2" s="35">
        <f t="shared" ref="AQ2" ca="1" si="19">(AG2+AH2/2+AI2/3+AJ2/4+AK2/5+AL2/6+AM2/7+AN2/8+AO2/9+AP2/10)*10</f>
        <v>0</v>
      </c>
      <c r="AR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S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T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U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V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W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X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Y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Z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BA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BB2" s="35">
        <f t="shared" ref="BB2" ca="1" si="20">(AR2+AS2/2+AT2/3+AU2/4+AV2/5+AW2/6+AX2/7+AY2/8+AZ2/9+BA2/10)*10</f>
        <v>0</v>
      </c>
      <c r="BC2" s="35">
        <f t="shared" ref="BC2" ca="1" si="21">AQ2+BB2</f>
        <v>0</v>
      </c>
      <c r="BD2" s="12" t="e">
        <f t="shared" ref="BD2" ca="1" si="22">BC2/AE2</f>
        <v>#N/A</v>
      </c>
      <c r="BE2" s="12" t="e">
        <f t="shared" ref="BE2" ca="1" si="23">IF(AF2=0,0,BD2/AF2)</f>
        <v>#N/A</v>
      </c>
    </row>
    <row r="3" spans="1:57" x14ac:dyDescent="0.25">
      <c r="A3" s="549">
        <f t="shared" si="0"/>
        <v>2018</v>
      </c>
      <c r="B3" s="549">
        <f t="shared" si="0"/>
        <v>7</v>
      </c>
      <c r="C3" s="549">
        <f t="shared" si="0"/>
        <v>9</v>
      </c>
      <c r="D3" s="558" t="s">
        <v>38</v>
      </c>
      <c r="E3" s="544">
        <f ca="1">COUNTIFS(OFFSET(Arb!$C$2,,,Arb!$AJ$36,),$A3,OFFSET(Arb!$AI$2,,,Arb!$AJ$36,),TRUE,OFFSET(Arb!$B$2,,,Arb!$AJ$36,),"&gt;="&amp;$B3,OFFSET(Arb!$B$2,,,Arb!$AJ$36,),"&lt;="&amp;$C3)</f>
        <v>0</v>
      </c>
      <c r="F3" s="544">
        <f ca="1">SUMIFS(OFFSET(Arb!$I$2,,,Arb!$AJ$36,),OFFSET(Arb!$C$2,,,Arb!$AJ$36,),$A3,OFFSET(Arb!$AI$2,,,Arb!$AJ$36,),TRUE,OFFSET(Arb!$B$2,,,Arb!$AJ$36,),"&gt;="&amp;$B3,OFFSET(Arb!$B$2,,,Arb!$AJ$36,),"&lt;="&amp;$C3)</f>
        <v>0</v>
      </c>
      <c r="G3" s="544">
        <f ca="1">SUMIFS(OFFSET(Arb!$H$2,,,Arb!$AJ$36,),OFFSET(Arb!$C$2,,,Arb!$AJ$36,),$A3,OFFSET(Arb!$AI$2,,,Arb!$AJ$36,),TRUE,OFFSET(Arb!$B$2,,,Arb!$AJ$36,),"&gt;="&amp;$B3,OFFSET(Arb!$B$2,,,Arb!$AJ$36,),"&lt;="&amp;$C3)</f>
        <v>0</v>
      </c>
      <c r="H3" s="544">
        <f ca="1">SUMIFS(OFFSET(Arb!$AC$2,,,Arb!$AJ$36,),OFFSET(Arb!$C$2,,,Arb!$AJ$36,),$A3,OFFSET(Arb!$AI$2,,,Arb!$AJ$36,),TRUE,OFFSET(Arb!$B$2,,,Arb!$AJ$36,),"&gt;="&amp;$B3,OFFSET(Arb!$B$2,,,Arb!$AJ$36,),"&lt;="&amp;$C3)</f>
        <v>0</v>
      </c>
      <c r="I3" s="544">
        <f ca="1">SUMIFS(OFFSET(Arb!$U$2,,,Arb!$AJ$36,),OFFSET(Arb!$C$2,,,Arb!$AJ$36,),$A3,OFFSET(Arb!$AI$2,,,Arb!$AJ$36,),TRUE,OFFSET(Arb!$B$2,,,Arb!$AJ$36,),"&gt;="&amp;$B3,OFFSET(Arb!$B$2,,,Arb!$AJ$36,),"&lt;="&amp;$C3)</f>
        <v>0</v>
      </c>
      <c r="J3" s="544">
        <f ca="1">SUMIFS(OFFSET(Arb!$V$2,,,Arb!$AJ$36,),OFFSET(Arb!$C$2,,,Arb!$AJ$36,),$A3,OFFSET(Arb!$AI$2,,,Arb!$AJ$36,),TRUE,OFFSET(Arb!$B$2,,,Arb!$AJ$36,),"&gt;="&amp;$B3,OFFSET(Arb!$B$2,,,Arb!$AJ$36,),"&lt;="&amp;$C3)</f>
        <v>0</v>
      </c>
      <c r="K3" s="544">
        <f ca="1">SUMIFS(OFFSET(Arb!$X$2,,,Arb!$AJ$36,),OFFSET(Arb!$C$2,,,Arb!$AJ$36,),$A3,OFFSET(Arb!$AI$2,,,Arb!$AJ$36,),TRUE,OFFSET(Arb!$B$2,,,Arb!$AJ$36,),"&gt;="&amp;$B3,OFFSET(Arb!$B$2,,,Arb!$AJ$36,),"&lt;="&amp;$C3)</f>
        <v>0</v>
      </c>
      <c r="L3" s="544">
        <f ca="1">SUMIFS(OFFSET(Arb!$AA$2,,,Arb!$AJ$36,),OFFSET(Arb!$C$2,,,Arb!$AJ$36,),$A3,OFFSET(Arb!$AI$2,,,Arb!$AJ$36,),TRUE,OFFSET(Arb!$B$2,,,Arb!$AJ$36,),"&gt;="&amp;$B3,OFFSET(Arb!$B$2,,,Arb!$AJ$36,),"&lt;="&amp;$C3)</f>
        <v>0</v>
      </c>
      <c r="M3" s="544">
        <f ca="1">SUMIFS(OFFSET(Arb!$AB$2,,,Arb!$AJ$36,),OFFSET(Arb!$C$2,,,Arb!$AJ$36,),$A3,OFFSET(Arb!$AI$2,,,Arb!$AJ$36,),TRUE,OFFSET(Arb!$B$2,,,Arb!$AJ$36,),"&gt;="&amp;$B3,OFFSET(Arb!$B$2,,,Arb!$AJ$36,),"&lt;="&amp;$C3)</f>
        <v>0</v>
      </c>
      <c r="N3" s="544">
        <f t="shared" ref="N3" ca="1" si="24">I3+J3</f>
        <v>0</v>
      </c>
      <c r="O3" s="546" t="str">
        <f t="shared" ref="O3" ca="1" si="25">IFERROR(F3/E3,"")</f>
        <v/>
      </c>
      <c r="P3" s="12" t="str">
        <f t="shared" ref="P3" ca="1" si="26">IFERROR(G3/E3,"")</f>
        <v/>
      </c>
      <c r="Q3" s="33" t="str">
        <f t="shared" ref="Q3" ca="1" si="27">IFERROR(O3/P3,"")</f>
        <v/>
      </c>
      <c r="R3" s="20" t="str">
        <f t="shared" ref="R3" ca="1" si="28">IFERROR(K3/G3,"")</f>
        <v/>
      </c>
      <c r="S3" s="33" t="str">
        <f t="shared" ref="S3" ca="1" si="29">IFERROR(N3/G3,"")</f>
        <v/>
      </c>
      <c r="T3" s="33" t="str">
        <f t="shared" ref="T3" ca="1" si="30">IFERROR(P3^1.7/O3,"")</f>
        <v/>
      </c>
      <c r="U3" s="34" t="str">
        <f t="shared" ref="U3" ca="1" si="31">IFERROR((IF(D3="beg",47.299,0)+IF(D3="int",153.73,0)+IF(D3="exp",435.001,0))/T3,"")</f>
        <v/>
      </c>
      <c r="V3" s="34" t="str">
        <f t="shared" ref="V3" ca="1" si="32">IFERROR(L3/E3,"")</f>
        <v/>
      </c>
      <c r="W3" s="34" t="str">
        <f t="shared" ref="W3" ca="1" si="33">IFERROR(M3/E3,"")</f>
        <v/>
      </c>
      <c r="X3" s="33" t="str">
        <f t="shared" ref="X3" ca="1" si="34">IFERROR(R3/S3,"")</f>
        <v/>
      </c>
      <c r="Y3" s="33" t="str">
        <f t="shared" ref="Y3" ca="1" si="35">IFERROR(Q3/R3,"")</f>
        <v/>
      </c>
      <c r="Z3" s="33" t="str">
        <f t="shared" ref="Z3" ca="1" si="36">IFERROR(F3/N3,"")</f>
        <v/>
      </c>
      <c r="AA3" s="550" t="str">
        <f t="shared" ref="AA3" ca="1" si="37">IFERROR(H3/E3/16,"")</f>
        <v/>
      </c>
      <c r="AB3" s="34" t="str">
        <f t="shared" ref="AB3" ca="1" si="38">IFERROR(AA3/P3,"")</f>
        <v/>
      </c>
      <c r="AC3" s="33" t="str">
        <f t="shared" ref="AC3" ca="1" si="39">IFERROR(O3/AA3,"")</f>
        <v/>
      </c>
      <c r="AD3" s="21" t="str">
        <f t="shared" ref="AD3" ca="1" si="40">IFERROR(AB3*R3,"")</f>
        <v/>
      </c>
      <c r="AE3" s="547" t="e">
        <f ca="1">SUM(OFFSET(Arb!AK$36,MATCH(A3,OFFSET(Arb!AK$36,,,23,),0)-1,B3,1,3))</f>
        <v>#N/A</v>
      </c>
      <c r="AF3" s="12" t="e">
        <f t="shared" ref="AF3" ca="1" si="41">E3/AE3</f>
        <v>#N/A</v>
      </c>
      <c r="AG3" s="547">
        <f ca="1">COUNTIFS(BV!$H$2:$H$54,"&gt;=" &amp; DATE($A3,$B3,1),BV!$H$2:$H$54,"&lt;" &amp; DATE($A3,$C3+1,1))</f>
        <v>0</v>
      </c>
      <c r="AH3" s="547">
        <f ca="1">COUNTIFS(BV!$P$2:$P$54,"&gt;=" &amp; DATE($A3,$B3,1),BV!$P$2:$P$54,"&lt;" &amp; DATE($A3,$C3+1,1))</f>
        <v>0</v>
      </c>
      <c r="AI3" s="547">
        <f ca="1">COUNTIFS(BV!$X$2:$X$54,"&gt;=" &amp; DATE($A3,$B3,1),BV!$X$2:$X$54,"&lt;" &amp; DATE($A3,$C3+1,1))</f>
        <v>0</v>
      </c>
      <c r="AJ3" s="547">
        <f ca="1">COUNTIFS(BV!$AF$2:$AF$54,"&gt;=" &amp; DATE($A3,$B3,1),BV!$AF$2:$AF$54,"&lt;" &amp; DATE($A3,$C3+1,1))</f>
        <v>0</v>
      </c>
      <c r="AK3" s="547">
        <f ca="1">COUNTIFS(BV!$AN$2:$AN$54,"&gt;=" &amp; DATE($A3,$B3,1),BV!$AN$2:$AN$54,"&lt;" &amp; DATE($A3,$C3+1,1))</f>
        <v>0</v>
      </c>
      <c r="AL3" s="547">
        <f ca="1">COUNTIFS(BV!$AV$2:$AV$54,"&gt;=" &amp; DATE($A3,$B3,1),BV!$AV$2:$AV$54,"&lt;" &amp; DATE($A3,$C3+1,1))</f>
        <v>0</v>
      </c>
      <c r="AM3" s="547">
        <f ca="1">COUNTIFS(BV!$BD$2:$BD$54,"&gt;=" &amp; DATE($A3,$B3,1),BV!$BD$2:$BD$54,"&lt;" &amp; DATE($A3,$C3+1,1))</f>
        <v>0</v>
      </c>
      <c r="AN3" s="547">
        <f ca="1">COUNTIFS(BV!$BL$2:$BL$54,"&gt;=" &amp; DATE($A3,$B3,1),BV!$BL$2:$BL$54,"&lt;" &amp; DATE($A3,$C3+1,1))</f>
        <v>0</v>
      </c>
      <c r="AO3" s="547">
        <f ca="1">COUNTIFS(BV!$BT$2:$BT$54,"&gt;=" &amp; DATE($A3,$B3,1),BV!$BT$2:$BT$54,"&lt;" &amp; DATE($A3,$C3+1,1))</f>
        <v>0</v>
      </c>
      <c r="AP3" s="547">
        <f ca="1">COUNTIFS(BV!$CB$2:$CB$54,"&gt;=" &amp; DATE($A3,$B3,1),BV!$CB$2:$CB$54,"&lt;" &amp; DATE($A3,$C3+1,1))</f>
        <v>0</v>
      </c>
      <c r="AQ3" s="35">
        <f t="shared" ref="AQ3" ca="1" si="42">(AG3+AH3/2+AI3/3+AJ3/4+AK3/5+AL3/6+AM3/7+AN3/8+AO3/9+AP3/10)*10</f>
        <v>0</v>
      </c>
      <c r="AR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S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T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U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V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W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X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Y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Z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BA3" s="547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BB3" s="35">
        <f t="shared" ref="BB3" ca="1" si="43">(AR3+AS3/2+AT3/3+AU3/4+AV3/5+AW3/6+AX3/7+AY3/8+AZ3/9+BA3/10)*10</f>
        <v>0</v>
      </c>
      <c r="BC3" s="35">
        <f t="shared" ref="BC3" ca="1" si="44">AQ3+BB3</f>
        <v>0</v>
      </c>
      <c r="BD3" s="12" t="e">
        <f t="shared" ref="BD3" ca="1" si="45">BC3/AE3</f>
        <v>#N/A</v>
      </c>
      <c r="BE3" s="12" t="e">
        <f t="shared" ref="BE3" ca="1" si="46">IF(AF3=0,0,BD3/AF3)</f>
        <v>#N/A</v>
      </c>
    </row>
    <row r="4" spans="1:57" x14ac:dyDescent="0.25">
      <c r="A4" s="31">
        <f t="shared" si="0"/>
        <v>2018</v>
      </c>
      <c r="B4" s="31">
        <f t="shared" si="0"/>
        <v>10</v>
      </c>
      <c r="C4" s="31">
        <f t="shared" si="0"/>
        <v>12</v>
      </c>
      <c r="D4" s="32" t="s">
        <v>38</v>
      </c>
      <c r="E4" s="1">
        <f ca="1">COUNTIFS(OFFSET(Arb!$C$2,,,Arb!$AJ$36,),$A4,OFFSET(Arb!$AI$2,,,Arb!$AJ$36,),TRUE,OFFSET(Arb!$B$2,,,Arb!$AJ$36,),"&gt;="&amp;$B4,OFFSET(Arb!$B$2,,,Arb!$AJ$36,),"&lt;="&amp;$C4)</f>
        <v>0</v>
      </c>
      <c r="F4" s="1">
        <f ca="1">SUMIFS(OFFSET(Arb!$I$2,,,Arb!$AJ$36,),OFFSET(Arb!$C$2,,,Arb!$AJ$36,),$A4,OFFSET(Arb!$AI$2,,,Arb!$AJ$36,),TRUE,OFFSET(Arb!$B$2,,,Arb!$AJ$36,),"&gt;="&amp;$B4,OFFSET(Arb!$B$2,,,Arb!$AJ$36,),"&lt;="&amp;$C4)</f>
        <v>0</v>
      </c>
      <c r="G4" s="1">
        <f ca="1">SUMIFS(OFFSET(Arb!$H$2,,,Arb!$AJ$36,),OFFSET(Arb!$C$2,,,Arb!$AJ$36,),$A4,OFFSET(Arb!$AI$2,,,Arb!$AJ$36,),TRUE,OFFSET(Arb!$B$2,,,Arb!$AJ$36,),"&gt;="&amp;$B4,OFFSET(Arb!$B$2,,,Arb!$AJ$36,),"&lt;="&amp;$C4)</f>
        <v>0</v>
      </c>
      <c r="H4" s="1">
        <f ca="1">SUMIFS(OFFSET(Arb!$AC$2,,,Arb!$AJ$36,),OFFSET(Arb!$C$2,,,Arb!$AJ$36,),$A4,OFFSET(Arb!$AI$2,,,Arb!$AJ$36,),TRUE,OFFSET(Arb!$B$2,,,Arb!$AJ$36,),"&gt;="&amp;$B4,OFFSET(Arb!$B$2,,,Arb!$AJ$36,),"&lt;="&amp;$C4)</f>
        <v>0</v>
      </c>
      <c r="I4" s="1">
        <f ca="1">SUMIFS(OFFSET(Arb!$U$2,,,Arb!$AJ$36,),OFFSET(Arb!$C$2,,,Arb!$AJ$36,),$A4,OFFSET(Arb!$AI$2,,,Arb!$AJ$36,),TRUE,OFFSET(Arb!$B$2,,,Arb!$AJ$36,),"&gt;="&amp;$B4,OFFSET(Arb!$B$2,,,Arb!$AJ$36,),"&lt;="&amp;$C4)</f>
        <v>0</v>
      </c>
      <c r="J4" s="1">
        <f ca="1">SUMIFS(OFFSET(Arb!$V$2,,,Arb!$AJ$36,),OFFSET(Arb!$C$2,,,Arb!$AJ$36,),$A4,OFFSET(Arb!$AI$2,,,Arb!$AJ$36,),TRUE,OFFSET(Arb!$B$2,,,Arb!$AJ$36,),"&gt;="&amp;$B4,OFFSET(Arb!$B$2,,,Arb!$AJ$36,),"&lt;="&amp;$C4)</f>
        <v>0</v>
      </c>
      <c r="K4" s="1">
        <f ca="1">SUMIFS(OFFSET(Arb!$X$2,,,Arb!$AJ$36,),OFFSET(Arb!$C$2,,,Arb!$AJ$36,),$A4,OFFSET(Arb!$AI$2,,,Arb!$AJ$36,),TRUE,OFFSET(Arb!$B$2,,,Arb!$AJ$36,),"&gt;="&amp;$B4,OFFSET(Arb!$B$2,,,Arb!$AJ$36,),"&lt;="&amp;$C4)</f>
        <v>0</v>
      </c>
      <c r="L4" s="1">
        <f ca="1">SUMIFS(OFFSET(Arb!$AA$2,,,Arb!$AJ$36,),OFFSET(Arb!$C$2,,,Arb!$AJ$36,),$A4,OFFSET(Arb!$AI$2,,,Arb!$AJ$36,),TRUE,OFFSET(Arb!$B$2,,,Arb!$AJ$36,),"&gt;="&amp;$B4,OFFSET(Arb!$B$2,,,Arb!$AJ$36,),"&lt;="&amp;$C4)</f>
        <v>0</v>
      </c>
      <c r="M4" s="1">
        <f ca="1">SUMIFS(OFFSET(Arb!$AB$2,,,Arb!$AJ$36,),OFFSET(Arb!$C$2,,,Arb!$AJ$36,),$A4,OFFSET(Arb!$AI$2,,,Arb!$AJ$36,),TRUE,OFFSET(Arb!$B$2,,,Arb!$AJ$36,),"&gt;="&amp;$B4,OFFSET(Arb!$B$2,,,Arb!$AJ$36,),"&lt;="&amp;$C4)</f>
        <v>0</v>
      </c>
      <c r="N4" s="1">
        <f t="shared" ref="N4:N34" ca="1" si="47">I4+J4</f>
        <v>0</v>
      </c>
      <c r="O4" s="39" t="str">
        <f t="shared" ref="O4:O34" ca="1" si="48">IFERROR(F4/E4,"")</f>
        <v/>
      </c>
      <c r="P4" s="12" t="str">
        <f t="shared" ref="P4:P34" ca="1" si="49">IFERROR(G4/E4,"")</f>
        <v/>
      </c>
      <c r="Q4" s="33" t="str">
        <f t="shared" ref="Q4:Q5" ca="1" si="50">IFERROR(O4/P4,"")</f>
        <v/>
      </c>
      <c r="R4" s="20" t="str">
        <f t="shared" ref="R4:R34" ca="1" si="51">IFERROR(K4/G4,"")</f>
        <v/>
      </c>
      <c r="S4" s="33" t="str">
        <f t="shared" ref="S4:S34" ca="1" si="52">IFERROR(N4/G4,"")</f>
        <v/>
      </c>
      <c r="T4" s="33" t="str">
        <f t="shared" ref="T4:T5" ca="1" si="53">IFERROR(P4^1.7/O4,"")</f>
        <v/>
      </c>
      <c r="U4" s="34" t="str">
        <f t="shared" ref="U4:U34" ca="1" si="54">IFERROR((IF(D4="beg",47.299,0)+IF(D4="int",153.73,0)+IF(D4="exp",435.001,0))/T4,"")</f>
        <v/>
      </c>
      <c r="V4" s="34" t="str">
        <f t="shared" ref="V4:V34" ca="1" si="55">IFERROR(L4/E4,"")</f>
        <v/>
      </c>
      <c r="W4" s="34" t="str">
        <f t="shared" ref="W4:W34" ca="1" si="56">IFERROR(M4/E4,"")</f>
        <v/>
      </c>
      <c r="X4" s="33" t="str">
        <f t="shared" ref="X4:X5" ca="1" si="57">IFERROR(R4/S4,"")</f>
        <v/>
      </c>
      <c r="Y4" s="33" t="str">
        <f t="shared" ref="Y4:Y5" ca="1" si="58">IFERROR(Q4/R4,"")</f>
        <v/>
      </c>
      <c r="Z4" s="33" t="str">
        <f t="shared" ref="Z4:Z34" ca="1" si="59">IFERROR(F4/N4,"")</f>
        <v/>
      </c>
      <c r="AA4" s="17" t="str">
        <f t="shared" ref="AA4:AA34" ca="1" si="60">IFERROR(H4/E4/16,"")</f>
        <v/>
      </c>
      <c r="AB4" s="34" t="str">
        <f t="shared" ref="AB4:AB5" ca="1" si="61">IFERROR(AA4/P4,"")</f>
        <v/>
      </c>
      <c r="AC4" s="33" t="str">
        <f t="shared" ref="AC4:AC5" ca="1" si="62">IFERROR(O4/AA4,"")</f>
        <v/>
      </c>
      <c r="AD4" s="21" t="str">
        <f t="shared" ref="AD4:AD34" ca="1" si="63">IFERROR(AB4*R4,"")</f>
        <v/>
      </c>
      <c r="AE4" s="470" t="e">
        <f ca="1">SUM(OFFSET(Arb!AK$36,MATCH(A4,OFFSET(Arb!AK$36,,,23,),0)-1,B4,1,3))</f>
        <v>#N/A</v>
      </c>
      <c r="AF4" s="12" t="e">
        <f t="shared" ref="AF4:AF34" ca="1" si="64">E4/AE4</f>
        <v>#N/A</v>
      </c>
      <c r="AG4" s="353">
        <f ca="1">COUNTIFS(BV!$H$2:$H$54,"&gt;=" &amp; DATE($A4,$B4,1),BV!$H$2:$H$54,"&lt;" &amp; DATE($A4,$C4+1,1))</f>
        <v>0</v>
      </c>
      <c r="AH4" s="353">
        <f ca="1">COUNTIFS(BV!$P$2:$P$54,"&gt;=" &amp; DATE($A4,$B4,1),BV!$P$2:$P$54,"&lt;" &amp; DATE($A4,$C4+1,1))</f>
        <v>0</v>
      </c>
      <c r="AI4" s="353">
        <f ca="1">COUNTIFS(BV!$X$2:$X$54,"&gt;=" &amp; DATE($A4,$B4,1),BV!$X$2:$X$54,"&lt;" &amp; DATE($A4,$C4+1,1))</f>
        <v>0</v>
      </c>
      <c r="AJ4" s="353">
        <f ca="1">COUNTIFS(BV!$AF$2:$AF$54,"&gt;=" &amp; DATE($A4,$B4,1),BV!$AF$2:$AF$54,"&lt;" &amp; DATE($A4,$C4+1,1))</f>
        <v>0</v>
      </c>
      <c r="AK4" s="353">
        <f ca="1">COUNTIFS(BV!$AN$2:$AN$54,"&gt;=" &amp; DATE($A4,$B4,1),BV!$AN$2:$AN$54,"&lt;" &amp; DATE($A4,$C4+1,1))</f>
        <v>0</v>
      </c>
      <c r="AL4" s="353">
        <f ca="1">COUNTIFS(BV!$AV$2:$AV$54,"&gt;=" &amp; DATE($A4,$B4,1),BV!$AV$2:$AV$54,"&lt;" &amp; DATE($A4,$C4+1,1))</f>
        <v>0</v>
      </c>
      <c r="AM4" s="353">
        <f ca="1">COUNTIFS(BV!$BD$2:$BD$54,"&gt;=" &amp; DATE($A4,$B4,1),BV!$BD$2:$BD$54,"&lt;" &amp; DATE($A4,$C4+1,1))</f>
        <v>0</v>
      </c>
      <c r="AN4" s="353">
        <f ca="1">COUNTIFS(BV!$BL$2:$BL$54,"&gt;=" &amp; DATE($A4,$B4,1),BV!$BL$2:$BL$54,"&lt;" &amp; DATE($A4,$C4+1,1))</f>
        <v>0</v>
      </c>
      <c r="AO4" s="353">
        <f ca="1">COUNTIFS(BV!$BT$2:$BT$54,"&gt;=" &amp; DATE($A4,$B4,1),BV!$BT$2:$BT$54,"&lt;" &amp; DATE($A4,$C4+1,1))</f>
        <v>0</v>
      </c>
      <c r="AP4" s="353">
        <f ca="1">COUNTIFS(BV!$CB$2:$CB$54,"&gt;=" &amp; DATE($A4,$B4,1),BV!$CB$2:$CB$54,"&lt;" &amp; DATE($A4,$C4+1,1))</f>
        <v>0</v>
      </c>
      <c r="AQ4" s="35">
        <f t="shared" ref="AQ4:AQ25" ca="1" si="65">(AG4+AH4/2+AI4/3+AJ4/4+AK4/5+AL4/6+AM4/7+AN4/8+AO4/9+AP4/10)*10</f>
        <v>0</v>
      </c>
      <c r="AR4" s="353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S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T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U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V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W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X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Y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Z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BA4" s="509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BB4" s="35">
        <f t="shared" ref="BB4:BB45" ca="1" si="66">(AR4+AS4/2+AT4/3+AU4/4+AV4/5+AW4/6+AX4/7+AY4/8+AZ4/9+BA4/10)*10</f>
        <v>0</v>
      </c>
      <c r="BC4" s="35">
        <f t="shared" ref="BC4:BC45" ca="1" si="67">AQ4+BB4</f>
        <v>0</v>
      </c>
      <c r="BD4" s="12" t="e">
        <f t="shared" ref="BD4:BD25" ca="1" si="68">BC4/AE4</f>
        <v>#N/A</v>
      </c>
      <c r="BE4" s="12" t="e">
        <f t="shared" ref="BE4:BE34" ca="1" si="69">IF(AF4=0,0,BD4/AF4)</f>
        <v>#N/A</v>
      </c>
    </row>
    <row r="5" spans="1:57" x14ac:dyDescent="0.25">
      <c r="A5" s="31">
        <f t="shared" si="0"/>
        <v>2019</v>
      </c>
      <c r="B5" s="31">
        <f t="shared" si="0"/>
        <v>1</v>
      </c>
      <c r="C5" s="31">
        <f t="shared" si="0"/>
        <v>3</v>
      </c>
      <c r="D5" s="32" t="s">
        <v>38</v>
      </c>
      <c r="E5" s="1">
        <f ca="1">COUNTIFS(OFFSET(Arb!$C$2,,,Arb!$AJ$36,),$A5,OFFSET(Arb!$AI$2,,,Arb!$AJ$36,),TRUE,OFFSET(Arb!$B$2,,,Arb!$AJ$36,),"&gt;="&amp;$B5,OFFSET(Arb!$B$2,,,Arb!$AJ$36,),"&lt;="&amp;$C5)</f>
        <v>0</v>
      </c>
      <c r="F5" s="1">
        <f ca="1">SUMIFS(OFFSET(Arb!$I$2,,,Arb!$AJ$36,),OFFSET(Arb!$C$2,,,Arb!$AJ$36,),$A5,OFFSET(Arb!$AI$2,,,Arb!$AJ$36,),TRUE,OFFSET(Arb!$B$2,,,Arb!$AJ$36,),"&gt;="&amp;$B5,OFFSET(Arb!$B$2,,,Arb!$AJ$36,),"&lt;="&amp;$C5)</f>
        <v>0</v>
      </c>
      <c r="G5" s="1">
        <f ca="1">SUMIFS(OFFSET(Arb!$H$2,,,Arb!$AJ$36,),OFFSET(Arb!$C$2,,,Arb!$AJ$36,),$A5,OFFSET(Arb!$AI$2,,,Arb!$AJ$36,),TRUE,OFFSET(Arb!$B$2,,,Arb!$AJ$36,),"&gt;="&amp;$B5,OFFSET(Arb!$B$2,,,Arb!$AJ$36,),"&lt;="&amp;$C5)</f>
        <v>0</v>
      </c>
      <c r="H5" s="1">
        <f ca="1">SUMIFS(OFFSET(Arb!$AC$2,,,Arb!$AJ$36,),OFFSET(Arb!$C$2,,,Arb!$AJ$36,),$A5,OFFSET(Arb!$AI$2,,,Arb!$AJ$36,),TRUE,OFFSET(Arb!$B$2,,,Arb!$AJ$36,),"&gt;="&amp;$B5,OFFSET(Arb!$B$2,,,Arb!$AJ$36,),"&lt;="&amp;$C5)</f>
        <v>0</v>
      </c>
      <c r="I5" s="1">
        <f ca="1">SUMIFS(OFFSET(Arb!$U$2,,,Arb!$AJ$36,),OFFSET(Arb!$C$2,,,Arb!$AJ$36,),$A5,OFFSET(Arb!$AI$2,,,Arb!$AJ$36,),TRUE,OFFSET(Arb!$B$2,,,Arb!$AJ$36,),"&gt;="&amp;$B5,OFFSET(Arb!$B$2,,,Arb!$AJ$36,),"&lt;="&amp;$C5)</f>
        <v>0</v>
      </c>
      <c r="J5" s="1">
        <f ca="1">SUMIFS(OFFSET(Arb!$V$2,,,Arb!$AJ$36,),OFFSET(Arb!$C$2,,,Arb!$AJ$36,),$A5,OFFSET(Arb!$AI$2,,,Arb!$AJ$36,),TRUE,OFFSET(Arb!$B$2,,,Arb!$AJ$36,),"&gt;="&amp;$B5,OFFSET(Arb!$B$2,,,Arb!$AJ$36,),"&lt;="&amp;$C5)</f>
        <v>0</v>
      </c>
      <c r="K5" s="1">
        <f ca="1">SUMIFS(OFFSET(Arb!$X$2,,,Arb!$AJ$36,),OFFSET(Arb!$C$2,,,Arb!$AJ$36,),$A5,OFFSET(Arb!$AI$2,,,Arb!$AJ$36,),TRUE,OFFSET(Arb!$B$2,,,Arb!$AJ$36,),"&gt;="&amp;$B5,OFFSET(Arb!$B$2,,,Arb!$AJ$36,),"&lt;="&amp;$C5)</f>
        <v>0</v>
      </c>
      <c r="L5" s="1">
        <f ca="1">SUMIFS(OFFSET(Arb!$AA$2,,,Arb!$AJ$36,),OFFSET(Arb!$C$2,,,Arb!$AJ$36,),$A5,OFFSET(Arb!$AI$2,,,Arb!$AJ$36,),TRUE,OFFSET(Arb!$B$2,,,Arb!$AJ$36,),"&gt;="&amp;$B5,OFFSET(Arb!$B$2,,,Arb!$AJ$36,),"&lt;="&amp;$C5)</f>
        <v>0</v>
      </c>
      <c r="M5" s="1">
        <f ca="1">SUMIFS(OFFSET(Arb!$AB$2,,,Arb!$AJ$36,),OFFSET(Arb!$C$2,,,Arb!$AJ$36,),$A5,OFFSET(Arb!$AI$2,,,Arb!$AJ$36,),TRUE,OFFSET(Arb!$B$2,,,Arb!$AJ$36,),"&gt;="&amp;$B5,OFFSET(Arb!$B$2,,,Arb!$AJ$36,),"&lt;="&amp;$C5)</f>
        <v>0</v>
      </c>
      <c r="N5" s="1">
        <f t="shared" ca="1" si="47"/>
        <v>0</v>
      </c>
      <c r="O5" s="39" t="str">
        <f t="shared" ca="1" si="48"/>
        <v/>
      </c>
      <c r="P5" s="12" t="str">
        <f t="shared" ca="1" si="49"/>
        <v/>
      </c>
      <c r="Q5" s="33" t="str">
        <f t="shared" ca="1" si="50"/>
        <v/>
      </c>
      <c r="R5" s="20" t="str">
        <f t="shared" ca="1" si="51"/>
        <v/>
      </c>
      <c r="S5" s="33" t="str">
        <f t="shared" ca="1" si="52"/>
        <v/>
      </c>
      <c r="T5" s="33" t="str">
        <f t="shared" ca="1" si="53"/>
        <v/>
      </c>
      <c r="U5" s="34" t="str">
        <f t="shared" ca="1" si="54"/>
        <v/>
      </c>
      <c r="V5" s="34" t="str">
        <f t="shared" ca="1" si="55"/>
        <v/>
      </c>
      <c r="W5" s="34" t="str">
        <f t="shared" ca="1" si="56"/>
        <v/>
      </c>
      <c r="X5" s="33" t="str">
        <f t="shared" ca="1" si="57"/>
        <v/>
      </c>
      <c r="Y5" s="33" t="str">
        <f t="shared" ca="1" si="58"/>
        <v/>
      </c>
      <c r="Z5" s="33" t="str">
        <f t="shared" ca="1" si="59"/>
        <v/>
      </c>
      <c r="AA5" s="17" t="str">
        <f t="shared" ca="1" si="60"/>
        <v/>
      </c>
      <c r="AB5" s="34" t="str">
        <f t="shared" ca="1" si="61"/>
        <v/>
      </c>
      <c r="AC5" s="33" t="str">
        <f t="shared" ca="1" si="62"/>
        <v/>
      </c>
      <c r="AD5" s="21" t="str">
        <f t="shared" ca="1" si="63"/>
        <v/>
      </c>
      <c r="AE5" s="472">
        <f ca="1">SUM(OFFSET(Arb!AK$36,MATCH(A5,OFFSET(Arb!AK$36,,,23,),0)-1,B5,1,3))</f>
        <v>0</v>
      </c>
      <c r="AF5" s="12" t="e">
        <f t="shared" ca="1" si="64"/>
        <v>#DIV/0!</v>
      </c>
      <c r="AG5" s="353">
        <f ca="1">COUNTIFS(BV!$H$2:$H$54,"&gt;=" &amp; DATE($A5,$B5,1),BV!$H$2:$H$54,"&lt;" &amp; DATE($A5,$C5+1,1))</f>
        <v>0</v>
      </c>
      <c r="AH5" s="353">
        <f ca="1">COUNTIFS(BV!$P$2:$P$54,"&gt;=" &amp; DATE($A5,$B5,1),BV!$P$2:$P$54,"&lt;" &amp; DATE($A5,$C5+1,1))</f>
        <v>0</v>
      </c>
      <c r="AI5" s="353">
        <f ca="1">COUNTIFS(BV!$X$2:$X$54,"&gt;=" &amp; DATE($A5,$B5,1),BV!$X$2:$X$54,"&lt;" &amp; DATE($A5,$C5+1,1))</f>
        <v>0</v>
      </c>
      <c r="AJ5" s="353">
        <f ca="1">COUNTIFS(BV!$AF$2:$AF$54,"&gt;=" &amp; DATE($A5,$B5,1),BV!$AF$2:$AF$54,"&lt;" &amp; DATE($A5,$C5+1,1))</f>
        <v>0</v>
      </c>
      <c r="AK5" s="353">
        <f ca="1">COUNTIFS(BV!$AN$2:$AN$54,"&gt;=" &amp; DATE($A5,$B5,1),BV!$AN$2:$AN$54,"&lt;" &amp; DATE($A5,$C5+1,1))</f>
        <v>0</v>
      </c>
      <c r="AL5" s="353">
        <f ca="1">COUNTIFS(BV!$AV$2:$AV$54,"&gt;=" &amp; DATE($A5,$B5,1),BV!$AV$2:$AV$54,"&lt;" &amp; DATE($A5,$C5+1,1))</f>
        <v>0</v>
      </c>
      <c r="AM5" s="353">
        <f ca="1">COUNTIFS(BV!$BD$2:$BD$54,"&gt;=" &amp; DATE($A5,$B5,1),BV!$BD$2:$BD$54,"&lt;" &amp; DATE($A5,$C5+1,1))</f>
        <v>0</v>
      </c>
      <c r="AN5" s="353">
        <f ca="1">COUNTIFS(BV!$BL$2:$BL$54,"&gt;=" &amp; DATE($A5,$B5,1),BV!$BL$2:$BL$54,"&lt;" &amp; DATE($A5,$C5+1,1))</f>
        <v>0</v>
      </c>
      <c r="AO5" s="353">
        <f ca="1">COUNTIFS(BV!$BT$2:$BT$54,"&gt;=" &amp; DATE($A5,$B5,1),BV!$BT$2:$BT$54,"&lt;" &amp; DATE($A5,$C5+1,1))</f>
        <v>0</v>
      </c>
      <c r="AP5" s="353">
        <f ca="1">COUNTIFS(BV!$CB$2:$CB$54,"&gt;=" &amp; DATE($A5,$B5,1),BV!$CB$2:$CB$54,"&lt;" &amp; DATE($A5,$C5+1,1))</f>
        <v>0</v>
      </c>
      <c r="AQ5" s="35">
        <f t="shared" ca="1" si="65"/>
        <v>0</v>
      </c>
      <c r="AR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S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T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U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V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W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X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Y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Z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BA5" s="509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BB5" s="35">
        <f t="shared" ca="1" si="66"/>
        <v>0</v>
      </c>
      <c r="BC5" s="35">
        <f t="shared" ca="1" si="67"/>
        <v>0</v>
      </c>
      <c r="BD5" s="12" t="e">
        <f t="shared" ca="1" si="68"/>
        <v>#DIV/0!</v>
      </c>
      <c r="BE5" s="12" t="e">
        <f t="shared" ca="1" si="69"/>
        <v>#DIV/0!</v>
      </c>
    </row>
    <row r="6" spans="1:57" x14ac:dyDescent="0.25">
      <c r="A6" s="31">
        <f t="shared" ref="A6:C6" si="70">A17</f>
        <v>2019</v>
      </c>
      <c r="B6" s="31">
        <f t="shared" si="70"/>
        <v>4</v>
      </c>
      <c r="C6" s="31">
        <f t="shared" si="70"/>
        <v>6</v>
      </c>
      <c r="D6" s="32" t="s">
        <v>38</v>
      </c>
      <c r="E6" s="1">
        <f ca="1">COUNTIFS(OFFSET(Arb!$C$2,,,Arb!$AJ$36,),$A6,OFFSET(Arb!$AI$2,,,Arb!$AJ$36,),TRUE,OFFSET(Arb!$B$2,,,Arb!$AJ$36,),"&gt;="&amp;$B6,OFFSET(Arb!$B$2,,,Arb!$AJ$36,),"&lt;="&amp;$C6)</f>
        <v>0</v>
      </c>
      <c r="F6" s="1">
        <f ca="1">SUMIFS(OFFSET(Arb!$I$2,,,Arb!$AJ$36,),OFFSET(Arb!$C$2,,,Arb!$AJ$36,),$A6,OFFSET(Arb!$AI$2,,,Arb!$AJ$36,),TRUE,OFFSET(Arb!$B$2,,,Arb!$AJ$36,),"&gt;="&amp;$B6,OFFSET(Arb!$B$2,,,Arb!$AJ$36,),"&lt;="&amp;$C6)</f>
        <v>0</v>
      </c>
      <c r="G6" s="1">
        <f ca="1">SUMIFS(OFFSET(Arb!$H$2,,,Arb!$AJ$36,),OFFSET(Arb!$C$2,,,Arb!$AJ$36,),$A6,OFFSET(Arb!$AI$2,,,Arb!$AJ$36,),TRUE,OFFSET(Arb!$B$2,,,Arb!$AJ$36,),"&gt;="&amp;$B6,OFFSET(Arb!$B$2,,,Arb!$AJ$36,),"&lt;="&amp;$C6)</f>
        <v>0</v>
      </c>
      <c r="H6" s="1">
        <f ca="1">SUMIFS(OFFSET(Arb!$AC$2,,,Arb!$AJ$36,),OFFSET(Arb!$C$2,,,Arb!$AJ$36,),$A6,OFFSET(Arb!$AI$2,,,Arb!$AJ$36,),TRUE,OFFSET(Arb!$B$2,,,Arb!$AJ$36,),"&gt;="&amp;$B6,OFFSET(Arb!$B$2,,,Arb!$AJ$36,),"&lt;="&amp;$C6)</f>
        <v>0</v>
      </c>
      <c r="I6" s="1">
        <f ca="1">SUMIFS(OFFSET(Arb!$U$2,,,Arb!$AJ$36,),OFFSET(Arb!$C$2,,,Arb!$AJ$36,),$A6,OFFSET(Arb!$AI$2,,,Arb!$AJ$36,),TRUE,OFFSET(Arb!$B$2,,,Arb!$AJ$36,),"&gt;="&amp;$B6,OFFSET(Arb!$B$2,,,Arb!$AJ$36,),"&lt;="&amp;$C6)</f>
        <v>0</v>
      </c>
      <c r="J6" s="1">
        <f ca="1">SUMIFS(OFFSET(Arb!$V$2,,,Arb!$AJ$36,),OFFSET(Arb!$C$2,,,Arb!$AJ$36,),$A6,OFFSET(Arb!$AI$2,,,Arb!$AJ$36,),TRUE,OFFSET(Arb!$B$2,,,Arb!$AJ$36,),"&gt;="&amp;$B6,OFFSET(Arb!$B$2,,,Arb!$AJ$36,),"&lt;="&amp;$C6)</f>
        <v>0</v>
      </c>
      <c r="K6" s="1">
        <f ca="1">SUMIFS(OFFSET(Arb!$X$2,,,Arb!$AJ$36,),OFFSET(Arb!$C$2,,,Arb!$AJ$36,),$A6,OFFSET(Arb!$AI$2,,,Arb!$AJ$36,),TRUE,OFFSET(Arb!$B$2,,,Arb!$AJ$36,),"&gt;="&amp;$B6,OFFSET(Arb!$B$2,,,Arb!$AJ$36,),"&lt;="&amp;$C6)</f>
        <v>0</v>
      </c>
      <c r="L6" s="1">
        <f ca="1">SUMIFS(OFFSET(Arb!$AA$2,,,Arb!$AJ$36,),OFFSET(Arb!$C$2,,,Arb!$AJ$36,),$A6,OFFSET(Arb!$AI$2,,,Arb!$AJ$36,),TRUE,OFFSET(Arb!$B$2,,,Arb!$AJ$36,),"&gt;="&amp;$B6,OFFSET(Arb!$B$2,,,Arb!$AJ$36,),"&lt;="&amp;$C6)</f>
        <v>0</v>
      </c>
      <c r="M6" s="1">
        <f ca="1">SUMIFS(OFFSET(Arb!$AB$2,,,Arb!$AJ$36,),OFFSET(Arb!$C$2,,,Arb!$AJ$36,),$A6,OFFSET(Arb!$AI$2,,,Arb!$AJ$36,),TRUE,OFFSET(Arb!$B$2,,,Arb!$AJ$36,),"&gt;="&amp;$B6,OFFSET(Arb!$B$2,,,Arb!$AJ$36,),"&lt;="&amp;$C6)</f>
        <v>0</v>
      </c>
      <c r="N6" s="1">
        <f t="shared" ca="1" si="47"/>
        <v>0</v>
      </c>
      <c r="O6" s="39" t="str">
        <f t="shared" ca="1" si="48"/>
        <v/>
      </c>
      <c r="P6" s="12" t="str">
        <f t="shared" ca="1" si="49"/>
        <v/>
      </c>
      <c r="Q6" s="33" t="str">
        <f t="shared" ref="Q6:Q34" ca="1" si="71">IFERROR(O6/P6,"")</f>
        <v/>
      </c>
      <c r="R6" s="20" t="str">
        <f t="shared" ca="1" si="51"/>
        <v/>
      </c>
      <c r="S6" s="33" t="str">
        <f t="shared" ca="1" si="52"/>
        <v/>
      </c>
      <c r="T6" s="33" t="str">
        <f t="shared" ref="T6:T34" ca="1" si="72">IFERROR(P6^1.7/O6,"")</f>
        <v/>
      </c>
      <c r="U6" s="34" t="str">
        <f t="shared" ca="1" si="54"/>
        <v/>
      </c>
      <c r="V6" s="34" t="str">
        <f t="shared" ca="1" si="55"/>
        <v/>
      </c>
      <c r="W6" s="34" t="str">
        <f t="shared" ca="1" si="56"/>
        <v/>
      </c>
      <c r="X6" s="33" t="str">
        <f t="shared" ref="X6:X34" ca="1" si="73">IFERROR(R6/S6,"")</f>
        <v/>
      </c>
      <c r="Y6" s="33" t="str">
        <f t="shared" ref="Y6:Y34" ca="1" si="74">IFERROR(Q6/R6,"")</f>
        <v/>
      </c>
      <c r="Z6" s="33" t="str">
        <f t="shared" ca="1" si="59"/>
        <v/>
      </c>
      <c r="AA6" s="17" t="str">
        <f t="shared" ca="1" si="60"/>
        <v/>
      </c>
      <c r="AB6" s="34" t="str">
        <f t="shared" ref="AB6:AB34" ca="1" si="75">IFERROR(AA6/P6,"")</f>
        <v/>
      </c>
      <c r="AC6" s="33" t="str">
        <f t="shared" ref="AC6:AC34" ca="1" si="76">IFERROR(O6/AA6,"")</f>
        <v/>
      </c>
      <c r="AD6" s="21" t="str">
        <f t="shared" ca="1" si="63"/>
        <v/>
      </c>
      <c r="AE6" s="472">
        <f ca="1">SUM(OFFSET(Arb!AK$36,MATCH(A6,OFFSET(Arb!AK$36,,,23,),0)-1,B6,1,3))</f>
        <v>0</v>
      </c>
      <c r="AF6" s="12" t="e">
        <f t="shared" ca="1" si="64"/>
        <v>#DIV/0!</v>
      </c>
      <c r="AG6" s="353">
        <f ca="1">COUNTIFS(BV!$H$2:$H$54,"&gt;=" &amp; DATE($A6,$B6,1),BV!$H$2:$H$54,"&lt;" &amp; DATE($A6,$C6+1,1))</f>
        <v>0</v>
      </c>
      <c r="AH6" s="353">
        <f ca="1">COUNTIFS(BV!$P$2:$P$54,"&gt;=" &amp; DATE($A6,$B6,1),BV!$P$2:$P$54,"&lt;" &amp; DATE($A6,$C6+1,1))</f>
        <v>0</v>
      </c>
      <c r="AI6" s="353">
        <f ca="1">COUNTIFS(BV!$X$2:$X$54,"&gt;=" &amp; DATE($A6,$B6,1),BV!$X$2:$X$54,"&lt;" &amp; DATE($A6,$C6+1,1))</f>
        <v>0</v>
      </c>
      <c r="AJ6" s="353">
        <f ca="1">COUNTIFS(BV!$AF$2:$AF$54,"&gt;=" &amp; DATE($A6,$B6,1),BV!$AF$2:$AF$54,"&lt;" &amp; DATE($A6,$C6+1,1))</f>
        <v>0</v>
      </c>
      <c r="AK6" s="353">
        <f ca="1">COUNTIFS(BV!$AN$2:$AN$54,"&gt;=" &amp; DATE($A6,$B6,1),BV!$AN$2:$AN$54,"&lt;" &amp; DATE($A6,$C6+1,1))</f>
        <v>0</v>
      </c>
      <c r="AL6" s="353">
        <f ca="1">COUNTIFS(BV!$AV$2:$AV$54,"&gt;=" &amp; DATE($A6,$B6,1),BV!$AV$2:$AV$54,"&lt;" &amp; DATE($A6,$C6+1,1))</f>
        <v>0</v>
      </c>
      <c r="AM6" s="353">
        <f ca="1">COUNTIFS(BV!$BD$2:$BD$54,"&gt;=" &amp; DATE($A6,$B6,1),BV!$BD$2:$BD$54,"&lt;" &amp; DATE($A6,$C6+1,1))</f>
        <v>0</v>
      </c>
      <c r="AN6" s="353">
        <f ca="1">COUNTIFS(BV!$BL$2:$BL$54,"&gt;=" &amp; DATE($A6,$B6,1),BV!$BL$2:$BL$54,"&lt;" &amp; DATE($A6,$C6+1,1))</f>
        <v>0</v>
      </c>
      <c r="AO6" s="353">
        <f ca="1">COUNTIFS(BV!$BT$2:$BT$54,"&gt;=" &amp; DATE($A6,$B6,1),BV!$BT$2:$BT$54,"&lt;" &amp; DATE($A6,$C6+1,1))</f>
        <v>0</v>
      </c>
      <c r="AP6" s="353">
        <f ca="1">COUNTIFS(BV!$CB$2:$CB$54,"&gt;=" &amp; DATE($A6,$B6,1),BV!$CB$2:$CB$54,"&lt;" &amp; DATE($A6,$C6+1,1))</f>
        <v>0</v>
      </c>
      <c r="AQ6" s="35">
        <f t="shared" ca="1" si="65"/>
        <v>0</v>
      </c>
      <c r="AR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S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T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U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V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W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X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Y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Z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BA6" s="509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BB6" s="35">
        <f t="shared" ca="1" si="66"/>
        <v>0</v>
      </c>
      <c r="BC6" s="35">
        <f t="shared" ca="1" si="67"/>
        <v>0</v>
      </c>
      <c r="BD6" s="12" t="e">
        <f t="shared" ca="1" si="68"/>
        <v>#DIV/0!</v>
      </c>
      <c r="BE6" s="12" t="e">
        <f t="shared" ca="1" si="69"/>
        <v>#DIV/0!</v>
      </c>
    </row>
    <row r="7" spans="1:57" x14ac:dyDescent="0.25">
      <c r="A7" s="31">
        <f t="shared" ref="A7:C7" si="77">A18</f>
        <v>2019</v>
      </c>
      <c r="B7" s="31">
        <f t="shared" si="77"/>
        <v>7</v>
      </c>
      <c r="C7" s="31">
        <f t="shared" si="77"/>
        <v>9</v>
      </c>
      <c r="D7" s="32" t="s">
        <v>38</v>
      </c>
      <c r="E7" s="1">
        <f ca="1">COUNTIFS(OFFSET(Arb!$C$2,,,Arb!$AJ$36,),$A7,OFFSET(Arb!$AI$2,,,Arb!$AJ$36,),TRUE,OFFSET(Arb!$B$2,,,Arb!$AJ$36,),"&gt;="&amp;$B7,OFFSET(Arb!$B$2,,,Arb!$AJ$36,),"&lt;="&amp;$C7)</f>
        <v>0</v>
      </c>
      <c r="F7" s="1">
        <f ca="1">SUMIFS(OFFSET(Arb!$I$2,,,Arb!$AJ$36,),OFFSET(Arb!$C$2,,,Arb!$AJ$36,),$A7,OFFSET(Arb!$AI$2,,,Arb!$AJ$36,),TRUE,OFFSET(Arb!$B$2,,,Arb!$AJ$36,),"&gt;="&amp;$B7,OFFSET(Arb!$B$2,,,Arb!$AJ$36,),"&lt;="&amp;$C7)</f>
        <v>0</v>
      </c>
      <c r="G7" s="1">
        <f ca="1">SUMIFS(OFFSET(Arb!$H$2,,,Arb!$AJ$36,),OFFSET(Arb!$C$2,,,Arb!$AJ$36,),$A7,OFFSET(Arb!$AI$2,,,Arb!$AJ$36,),TRUE,OFFSET(Arb!$B$2,,,Arb!$AJ$36,),"&gt;="&amp;$B7,OFFSET(Arb!$B$2,,,Arb!$AJ$36,),"&lt;="&amp;$C7)</f>
        <v>0</v>
      </c>
      <c r="H7" s="1">
        <f ca="1">SUMIFS(OFFSET(Arb!$AC$2,,,Arb!$AJ$36,),OFFSET(Arb!$C$2,,,Arb!$AJ$36,),$A7,OFFSET(Arb!$AI$2,,,Arb!$AJ$36,),TRUE,OFFSET(Arb!$B$2,,,Arb!$AJ$36,),"&gt;="&amp;$B7,OFFSET(Arb!$B$2,,,Arb!$AJ$36,),"&lt;="&amp;$C7)</f>
        <v>0</v>
      </c>
      <c r="I7" s="1">
        <f ca="1">SUMIFS(OFFSET(Arb!$U$2,,,Arb!$AJ$36,),OFFSET(Arb!$C$2,,,Arb!$AJ$36,),$A7,OFFSET(Arb!$AI$2,,,Arb!$AJ$36,),TRUE,OFFSET(Arb!$B$2,,,Arb!$AJ$36,),"&gt;="&amp;$B7,OFFSET(Arb!$B$2,,,Arb!$AJ$36,),"&lt;="&amp;$C7)</f>
        <v>0</v>
      </c>
      <c r="J7" s="1">
        <f ca="1">SUMIFS(OFFSET(Arb!$V$2,,,Arb!$AJ$36,),OFFSET(Arb!$C$2,,,Arb!$AJ$36,),$A7,OFFSET(Arb!$AI$2,,,Arb!$AJ$36,),TRUE,OFFSET(Arb!$B$2,,,Arb!$AJ$36,),"&gt;="&amp;$B7,OFFSET(Arb!$B$2,,,Arb!$AJ$36,),"&lt;="&amp;$C7)</f>
        <v>0</v>
      </c>
      <c r="K7" s="1">
        <f ca="1">SUMIFS(OFFSET(Arb!$X$2,,,Arb!$AJ$36,),OFFSET(Arb!$C$2,,,Arb!$AJ$36,),$A7,OFFSET(Arb!$AI$2,,,Arb!$AJ$36,),TRUE,OFFSET(Arb!$B$2,,,Arb!$AJ$36,),"&gt;="&amp;$B7,OFFSET(Arb!$B$2,,,Arb!$AJ$36,),"&lt;="&amp;$C7)</f>
        <v>0</v>
      </c>
      <c r="L7" s="1">
        <f ca="1">SUMIFS(OFFSET(Arb!$AA$2,,,Arb!$AJ$36,),OFFSET(Arb!$C$2,,,Arb!$AJ$36,),$A7,OFFSET(Arb!$AI$2,,,Arb!$AJ$36,),TRUE,OFFSET(Arb!$B$2,,,Arb!$AJ$36,),"&gt;="&amp;$B7,OFFSET(Arb!$B$2,,,Arb!$AJ$36,),"&lt;="&amp;$C7)</f>
        <v>0</v>
      </c>
      <c r="M7" s="1">
        <f ca="1">SUMIFS(OFFSET(Arb!$AB$2,,,Arb!$AJ$36,),OFFSET(Arb!$C$2,,,Arb!$AJ$36,),$A7,OFFSET(Arb!$AI$2,,,Arb!$AJ$36,),TRUE,OFFSET(Arb!$B$2,,,Arb!$AJ$36,),"&gt;="&amp;$B7,OFFSET(Arb!$B$2,,,Arb!$AJ$36,),"&lt;="&amp;$C7)</f>
        <v>0</v>
      </c>
      <c r="N7" s="1">
        <f t="shared" ca="1" si="47"/>
        <v>0</v>
      </c>
      <c r="O7" s="39" t="str">
        <f t="shared" ca="1" si="48"/>
        <v/>
      </c>
      <c r="P7" s="12" t="str">
        <f t="shared" ca="1" si="49"/>
        <v/>
      </c>
      <c r="Q7" s="33" t="str">
        <f t="shared" ca="1" si="71"/>
        <v/>
      </c>
      <c r="R7" s="20" t="str">
        <f t="shared" ca="1" si="51"/>
        <v/>
      </c>
      <c r="S7" s="33" t="str">
        <f t="shared" ca="1" si="52"/>
        <v/>
      </c>
      <c r="T7" s="33" t="str">
        <f t="shared" ca="1" si="72"/>
        <v/>
      </c>
      <c r="U7" s="34" t="str">
        <f t="shared" ca="1" si="54"/>
        <v/>
      </c>
      <c r="V7" s="34" t="str">
        <f t="shared" ca="1" si="55"/>
        <v/>
      </c>
      <c r="W7" s="34" t="str">
        <f t="shared" ca="1" si="56"/>
        <v/>
      </c>
      <c r="X7" s="33" t="str">
        <f t="shared" ca="1" si="73"/>
        <v/>
      </c>
      <c r="Y7" s="33" t="str">
        <f t="shared" ca="1" si="74"/>
        <v/>
      </c>
      <c r="Z7" s="33" t="str">
        <f t="shared" ca="1" si="59"/>
        <v/>
      </c>
      <c r="AA7" s="17" t="str">
        <f t="shared" ca="1" si="60"/>
        <v/>
      </c>
      <c r="AB7" s="34" t="str">
        <f t="shared" ca="1" si="75"/>
        <v/>
      </c>
      <c r="AC7" s="33" t="str">
        <f t="shared" ca="1" si="76"/>
        <v/>
      </c>
      <c r="AD7" s="21" t="str">
        <f t="shared" ca="1" si="63"/>
        <v/>
      </c>
      <c r="AE7" s="472">
        <f ca="1">SUM(OFFSET(Arb!AK$36,MATCH(A7,OFFSET(Arb!AK$36,,,23,),0)-1,B7,1,3))</f>
        <v>0</v>
      </c>
      <c r="AF7" s="12" t="e">
        <f t="shared" ca="1" si="64"/>
        <v>#DIV/0!</v>
      </c>
      <c r="AG7" s="353">
        <f ca="1">COUNTIFS(BV!$H$2:$H$54,"&gt;=" &amp; DATE($A7,$B7,1),BV!$H$2:$H$54,"&lt;" &amp; DATE($A7,$C7+1,1))</f>
        <v>0</v>
      </c>
      <c r="AH7" s="353">
        <f ca="1">COUNTIFS(BV!$P$2:$P$54,"&gt;=" &amp; DATE($A7,$B7,1),BV!$P$2:$P$54,"&lt;" &amp; DATE($A7,$C7+1,1))</f>
        <v>0</v>
      </c>
      <c r="AI7" s="353">
        <f ca="1">COUNTIFS(BV!$X$2:$X$54,"&gt;=" &amp; DATE($A7,$B7,1),BV!$X$2:$X$54,"&lt;" &amp; DATE($A7,$C7+1,1))</f>
        <v>0</v>
      </c>
      <c r="AJ7" s="353">
        <f ca="1">COUNTIFS(BV!$AF$2:$AF$54,"&gt;=" &amp; DATE($A7,$B7,1),BV!$AF$2:$AF$54,"&lt;" &amp; DATE($A7,$C7+1,1))</f>
        <v>0</v>
      </c>
      <c r="AK7" s="353">
        <f ca="1">COUNTIFS(BV!$AN$2:$AN$54,"&gt;=" &amp; DATE($A7,$B7,1),BV!$AN$2:$AN$54,"&lt;" &amp; DATE($A7,$C7+1,1))</f>
        <v>0</v>
      </c>
      <c r="AL7" s="353">
        <f ca="1">COUNTIFS(BV!$AV$2:$AV$54,"&gt;=" &amp; DATE($A7,$B7,1),BV!$AV$2:$AV$54,"&lt;" &amp; DATE($A7,$C7+1,1))</f>
        <v>0</v>
      </c>
      <c r="AM7" s="353">
        <f ca="1">COUNTIFS(BV!$BD$2:$BD$54,"&gt;=" &amp; DATE($A7,$B7,1),BV!$BD$2:$BD$54,"&lt;" &amp; DATE($A7,$C7+1,1))</f>
        <v>0</v>
      </c>
      <c r="AN7" s="353">
        <f ca="1">COUNTIFS(BV!$BL$2:$BL$54,"&gt;=" &amp; DATE($A7,$B7,1),BV!$BL$2:$BL$54,"&lt;" &amp; DATE($A7,$C7+1,1))</f>
        <v>0</v>
      </c>
      <c r="AO7" s="353">
        <f ca="1">COUNTIFS(BV!$BT$2:$BT$54,"&gt;=" &amp; DATE($A7,$B7,1),BV!$BT$2:$BT$54,"&lt;" &amp; DATE($A7,$C7+1,1))</f>
        <v>0</v>
      </c>
      <c r="AP7" s="353">
        <f ca="1">COUNTIFS(BV!$CB$2:$CB$54,"&gt;=" &amp; DATE($A7,$B7,1),BV!$CB$2:$CB$54,"&lt;" &amp; DATE($A7,$C7+1,1))</f>
        <v>0</v>
      </c>
      <c r="AQ7" s="35">
        <f t="shared" ca="1" si="65"/>
        <v>0</v>
      </c>
      <c r="AR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S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T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U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V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W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X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Y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Z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BA7" s="509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BB7" s="35">
        <f t="shared" ca="1" si="66"/>
        <v>0</v>
      </c>
      <c r="BC7" s="35">
        <f t="shared" ca="1" si="67"/>
        <v>0</v>
      </c>
      <c r="BD7" s="12" t="e">
        <f t="shared" ca="1" si="68"/>
        <v>#DIV/0!</v>
      </c>
      <c r="BE7" s="12" t="e">
        <f t="shared" ca="1" si="69"/>
        <v>#DIV/0!</v>
      </c>
    </row>
    <row r="8" spans="1:57" x14ac:dyDescent="0.25">
      <c r="A8" s="31">
        <f t="shared" ref="A8:C8" si="78">A19</f>
        <v>2019</v>
      </c>
      <c r="B8" s="31">
        <f t="shared" si="78"/>
        <v>10</v>
      </c>
      <c r="C8" s="31">
        <f t="shared" si="78"/>
        <v>12</v>
      </c>
      <c r="D8" s="32" t="s">
        <v>38</v>
      </c>
      <c r="E8" s="1">
        <f ca="1">COUNTIFS(OFFSET(Arb!$C$2,,,Arb!$AJ$36,),$A8,OFFSET(Arb!$AI$2,,,Arb!$AJ$36,),TRUE,OFFSET(Arb!$B$2,,,Arb!$AJ$36,),"&gt;="&amp;$B8,OFFSET(Arb!$B$2,,,Arb!$AJ$36,),"&lt;="&amp;$C8)</f>
        <v>994</v>
      </c>
      <c r="F8" s="1">
        <f ca="1">SUMIFS(OFFSET(Arb!$I$2,,,Arb!$AJ$36,),OFFSET(Arb!$C$2,,,Arb!$AJ$36,),$A8,OFFSET(Arb!$AI$2,,,Arb!$AJ$36,),TRUE,OFFSET(Arb!$B$2,,,Arb!$AJ$36,),"&gt;="&amp;$B8,OFFSET(Arb!$B$2,,,Arb!$AJ$36,),"&lt;="&amp;$C8)</f>
        <v>16371</v>
      </c>
      <c r="G8" s="1">
        <f ca="1">SUMIFS(OFFSET(Arb!$H$2,,,Arb!$AJ$36,),OFFSET(Arb!$C$2,,,Arb!$AJ$36,),$A8,OFFSET(Arb!$AI$2,,,Arb!$AJ$36,),TRUE,OFFSET(Arb!$B$2,,,Arb!$AJ$36,),"&gt;="&amp;$B8,OFFSET(Arb!$B$2,,,Arb!$AJ$36,),"&lt;="&amp;$C8)</f>
        <v>6211.5399999999991</v>
      </c>
      <c r="H8" s="1">
        <f ca="1">SUMIFS(OFFSET(Arb!$AC$2,,,Arb!$AJ$36,),OFFSET(Arb!$C$2,,,Arb!$AJ$36,),$A8,OFFSET(Arb!$AI$2,,,Arb!$AJ$36,),TRUE,OFFSET(Arb!$B$2,,,Arb!$AJ$36,),"&gt;="&amp;$B8,OFFSET(Arb!$B$2,,,Arb!$AJ$36,),"&lt;="&amp;$C8)</f>
        <v>848026</v>
      </c>
      <c r="I8" s="1">
        <f ca="1">SUMIFS(OFFSET(Arb!$U$2,,,Arb!$AJ$36,),OFFSET(Arb!$C$2,,,Arb!$AJ$36,),$A8,OFFSET(Arb!$AI$2,,,Arb!$AJ$36,),TRUE,OFFSET(Arb!$B$2,,,Arb!$AJ$36,),"&gt;="&amp;$B8,OFFSET(Arb!$B$2,,,Arb!$AJ$36,),"&lt;="&amp;$C8)</f>
        <v>20550</v>
      </c>
      <c r="J8" s="1">
        <f ca="1">SUMIFS(OFFSET(Arb!$V$2,,,Arb!$AJ$36,),OFFSET(Arb!$C$2,,,Arb!$AJ$36,),$A8,OFFSET(Arb!$AI$2,,,Arb!$AJ$36,),TRUE,OFFSET(Arb!$B$2,,,Arb!$AJ$36,),"&gt;="&amp;$B8,OFFSET(Arb!$B$2,,,Arb!$AJ$36,),"&lt;="&amp;$C8)</f>
        <v>5238</v>
      </c>
      <c r="K8" s="1">
        <f ca="1">SUMIFS(OFFSET(Arb!$X$2,,,Arb!$AJ$36,),OFFSET(Arb!$C$2,,,Arb!$AJ$36,),$A8,OFFSET(Arb!$AI$2,,,Arb!$AJ$36,),TRUE,OFFSET(Arb!$B$2,,,Arb!$AJ$36,),"&gt;="&amp;$B8,OFFSET(Arb!$B$2,,,Arb!$AJ$36,),"&lt;="&amp;$C8)</f>
        <v>20849</v>
      </c>
      <c r="L8" s="1">
        <f ca="1">SUMIFS(OFFSET(Arb!$AA$2,,,Arb!$AJ$36,),OFFSET(Arb!$C$2,,,Arb!$AJ$36,),$A8,OFFSET(Arb!$AI$2,,,Arb!$AJ$36,),TRUE,OFFSET(Arb!$B$2,,,Arb!$AJ$36,),"&gt;="&amp;$B8,OFFSET(Arb!$B$2,,,Arb!$AJ$36,),"&lt;="&amp;$C8)</f>
        <v>2696</v>
      </c>
      <c r="M8" s="1">
        <f ca="1">SUMIFS(OFFSET(Arb!$AB$2,,,Arb!$AJ$36,),OFFSET(Arb!$C$2,,,Arb!$AJ$36,),$A8,OFFSET(Arb!$AI$2,,,Arb!$AJ$36,),TRUE,OFFSET(Arb!$B$2,,,Arb!$AJ$36,),"&gt;="&amp;$B8,OFFSET(Arb!$B$2,,,Arb!$AJ$36,),"&lt;="&amp;$C8)</f>
        <v>3035</v>
      </c>
      <c r="N8" s="1">
        <f t="shared" ca="1" si="47"/>
        <v>25788</v>
      </c>
      <c r="O8" s="39">
        <f t="shared" ca="1" si="48"/>
        <v>16.469818913480886</v>
      </c>
      <c r="P8" s="12">
        <f t="shared" ca="1" si="49"/>
        <v>6.2490342052313874</v>
      </c>
      <c r="Q8" s="33">
        <f t="shared" ca="1" si="71"/>
        <v>2.6355782945936115</v>
      </c>
      <c r="R8" s="20">
        <f t="shared" ca="1" si="51"/>
        <v>3.3564945247072391</v>
      </c>
      <c r="S8" s="33">
        <f t="shared" ca="1" si="52"/>
        <v>4.1516274547052747</v>
      </c>
      <c r="T8" s="33">
        <f t="shared" ca="1" si="72"/>
        <v>1.3683371215175186</v>
      </c>
      <c r="U8" s="34">
        <f t="shared" ca="1" si="54"/>
        <v>34.566773974197439</v>
      </c>
      <c r="V8" s="34">
        <f t="shared" ca="1" si="55"/>
        <v>2.7122736418511066</v>
      </c>
      <c r="W8" s="34">
        <f t="shared" ca="1" si="56"/>
        <v>3.0533199195171026</v>
      </c>
      <c r="X8" s="33">
        <f t="shared" ca="1" si="73"/>
        <v>0.80847681091980772</v>
      </c>
      <c r="Y8" s="33">
        <f t="shared" ca="1" si="74"/>
        <v>0.78521751642764637</v>
      </c>
      <c r="Z8" s="33">
        <f t="shared" ca="1" si="59"/>
        <v>0.63483015355979522</v>
      </c>
      <c r="AA8" s="17">
        <f t="shared" ca="1" si="60"/>
        <v>53.321554325955738</v>
      </c>
      <c r="AB8" s="34">
        <f t="shared" ca="1" si="75"/>
        <v>8.5327672364663201</v>
      </c>
      <c r="AC8" s="33">
        <f t="shared" ca="1" si="76"/>
        <v>0.30887732215757535</v>
      </c>
      <c r="AD8" s="21">
        <f t="shared" ca="1" si="63"/>
        <v>28.640186509800522</v>
      </c>
      <c r="AE8" s="472">
        <f ca="1">SUM(OFFSET(Arb!AK$36,MATCH(A8,OFFSET(Arb!AK$36,,,23,),0)-1,B8,1,3))</f>
        <v>59</v>
      </c>
      <c r="AF8" s="12">
        <f t="shared" ca="1" si="64"/>
        <v>16.847457627118644</v>
      </c>
      <c r="AG8" s="353">
        <f ca="1">COUNTIFS(BV!$H$2:$H$54,"&gt;=" &amp; DATE($A8,$B8,1),BV!$H$2:$H$54,"&lt;" &amp; DATE($A8,$C8+1,1))</f>
        <v>15</v>
      </c>
      <c r="AH8" s="353">
        <f ca="1">COUNTIFS(BV!$P$2:$P$54,"&gt;=" &amp; DATE($A8,$B8,1),BV!$P$2:$P$54,"&lt;" &amp; DATE($A8,$C8+1,1))</f>
        <v>15</v>
      </c>
      <c r="AI8" s="353">
        <f ca="1">COUNTIFS(BV!$X$2:$X$54,"&gt;=" &amp; DATE($A8,$B8,1),BV!$X$2:$X$54,"&lt;" &amp; DATE($A8,$C8+1,1))</f>
        <v>10</v>
      </c>
      <c r="AJ8" s="353">
        <f ca="1">COUNTIFS(BV!$AF$2:$AF$54,"&gt;=" &amp; DATE($A8,$B8,1),BV!$AF$2:$AF$54,"&lt;" &amp; DATE($A8,$C8+1,1))</f>
        <v>11</v>
      </c>
      <c r="AK8" s="353">
        <f ca="1">COUNTIFS(BV!$AN$2:$AN$54,"&gt;=" &amp; DATE($A8,$B8,1),BV!$AN$2:$AN$54,"&lt;" &amp; DATE($A8,$C8+1,1))</f>
        <v>12</v>
      </c>
      <c r="AL8" s="353">
        <f ca="1">COUNTIFS(BV!$AV$2:$AV$54,"&gt;=" &amp; DATE($A8,$B8,1),BV!$AV$2:$AV$54,"&lt;" &amp; DATE($A8,$C8+1,1))</f>
        <v>14</v>
      </c>
      <c r="AM8" s="353">
        <f ca="1">COUNTIFS(BV!$BD$2:$BD$54,"&gt;=" &amp; DATE($A8,$B8,1),BV!$BD$2:$BD$54,"&lt;" &amp; DATE($A8,$C8+1,1))</f>
        <v>14</v>
      </c>
      <c r="AN8" s="353">
        <f ca="1">COUNTIFS(BV!$BL$2:$BL$54,"&gt;=" &amp; DATE($A8,$B8,1),BV!$BL$2:$BL$54,"&lt;" &amp; DATE($A8,$C8+1,1))</f>
        <v>11</v>
      </c>
      <c r="AO8" s="353">
        <f ca="1">COUNTIFS(BV!$BT$2:$BT$54,"&gt;=" &amp; DATE($A8,$B8,1),BV!$BT$2:$BT$54,"&lt;" &amp; DATE($A8,$C8+1,1))</f>
        <v>12</v>
      </c>
      <c r="AP8" s="353">
        <f ca="1">COUNTIFS(BV!$CB$2:$CB$54,"&gt;=" &amp; DATE($A8,$B8,1),BV!$CB$2:$CB$54,"&lt;" &amp; DATE($A8,$C8+1,1))</f>
        <v>10</v>
      </c>
      <c r="AQ8" s="35">
        <f t="shared" ca="1" si="65"/>
        <v>390.25</v>
      </c>
      <c r="AR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14</v>
      </c>
      <c r="AS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28</v>
      </c>
      <c r="AT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24</v>
      </c>
      <c r="AU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28</v>
      </c>
      <c r="AV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28</v>
      </c>
      <c r="AW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25</v>
      </c>
      <c r="AX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26</v>
      </c>
      <c r="AY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29</v>
      </c>
      <c r="AZ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24</v>
      </c>
      <c r="BA8" s="509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26</v>
      </c>
      <c r="BB8" s="35">
        <f t="shared" ca="1" si="66"/>
        <v>653.72619047619037</v>
      </c>
      <c r="BC8" s="35">
        <f t="shared" ca="1" si="67"/>
        <v>1043.9761904761904</v>
      </c>
      <c r="BD8" s="12">
        <f t="shared" ca="1" si="68"/>
        <v>17.694511702986276</v>
      </c>
      <c r="BE8" s="12">
        <f t="shared" ca="1" si="69"/>
        <v>1.0502778576219218</v>
      </c>
    </row>
    <row r="9" spans="1:57" x14ac:dyDescent="0.25">
      <c r="A9" s="31">
        <f t="shared" ref="A9:C9" si="79">A20</f>
        <v>2020</v>
      </c>
      <c r="B9" s="31">
        <f t="shared" si="79"/>
        <v>1</v>
      </c>
      <c r="C9" s="31">
        <f t="shared" si="79"/>
        <v>3</v>
      </c>
      <c r="D9" s="32" t="s">
        <v>38</v>
      </c>
      <c r="E9" s="1">
        <f ca="1">COUNTIFS(OFFSET(Arb!$C$2,,,Arb!$AJ$36,),$A9,OFFSET(Arb!$AI$2,,,Arb!$AJ$36,),TRUE,OFFSET(Arb!$B$2,,,Arb!$AJ$36,),"&gt;="&amp;$B9,OFFSET(Arb!$B$2,,,Arb!$AJ$36,),"&lt;="&amp;$C9)</f>
        <v>331</v>
      </c>
      <c r="F9" s="1">
        <f ca="1">SUMIFS(OFFSET(Arb!$I$2,,,Arb!$AJ$36,),OFFSET(Arb!$C$2,,,Arb!$AJ$36,),$A9,OFFSET(Arb!$AI$2,,,Arb!$AJ$36,),TRUE,OFFSET(Arb!$B$2,,,Arb!$AJ$36,),"&gt;="&amp;$B9,OFFSET(Arb!$B$2,,,Arb!$AJ$36,),"&lt;="&amp;$C9)</f>
        <v>5371</v>
      </c>
      <c r="G9" s="1">
        <f ca="1">SUMIFS(OFFSET(Arb!$H$2,,,Arb!$AJ$36,),OFFSET(Arb!$C$2,,,Arb!$AJ$36,),$A9,OFFSET(Arb!$AI$2,,,Arb!$AJ$36,),TRUE,OFFSET(Arb!$B$2,,,Arb!$AJ$36,),"&gt;="&amp;$B9,OFFSET(Arb!$B$2,,,Arb!$AJ$36,),"&lt;="&amp;$C9)</f>
        <v>2421.7199999999998</v>
      </c>
      <c r="H9" s="1">
        <f ca="1">SUMIFS(OFFSET(Arb!$AC$2,,,Arb!$AJ$36,),OFFSET(Arb!$C$2,,,Arb!$AJ$36,),$A9,OFFSET(Arb!$AI$2,,,Arb!$AJ$36,),TRUE,OFFSET(Arb!$B$2,,,Arb!$AJ$36,),"&gt;="&amp;$B9,OFFSET(Arb!$B$2,,,Arb!$AJ$36,),"&lt;="&amp;$C9)</f>
        <v>294768</v>
      </c>
      <c r="I9" s="1">
        <f ca="1">SUMIFS(OFFSET(Arb!$U$2,,,Arb!$AJ$36,),OFFSET(Arb!$C$2,,,Arb!$AJ$36,),$A9,OFFSET(Arb!$AI$2,,,Arb!$AJ$36,),TRUE,OFFSET(Arb!$B$2,,,Arb!$AJ$36,),"&gt;="&amp;$B9,OFFSET(Arb!$B$2,,,Arb!$AJ$36,),"&lt;="&amp;$C9)</f>
        <v>7383</v>
      </c>
      <c r="J9" s="1">
        <f ca="1">SUMIFS(OFFSET(Arb!$V$2,,,Arb!$AJ$36,),OFFSET(Arb!$C$2,,,Arb!$AJ$36,),$A9,OFFSET(Arb!$AI$2,,,Arb!$AJ$36,),TRUE,OFFSET(Arb!$B$2,,,Arb!$AJ$36,),"&gt;="&amp;$B9,OFFSET(Arb!$B$2,,,Arb!$AJ$36,),"&lt;="&amp;$C9)</f>
        <v>922</v>
      </c>
      <c r="K9" s="1">
        <f ca="1">SUMIFS(OFFSET(Arb!$X$2,,,Arb!$AJ$36,),OFFSET(Arb!$C$2,,,Arb!$AJ$36,),$A9,OFFSET(Arb!$AI$2,,,Arb!$AJ$36,),TRUE,OFFSET(Arb!$B$2,,,Arb!$AJ$36,),"&gt;="&amp;$B9,OFFSET(Arb!$B$2,,,Arb!$AJ$36,),"&lt;="&amp;$C9)</f>
        <v>7017</v>
      </c>
      <c r="L9" s="1">
        <f ca="1">SUMIFS(OFFSET(Arb!$AA$2,,,Arb!$AJ$36,),OFFSET(Arb!$C$2,,,Arb!$AJ$36,),$A9,OFFSET(Arb!$AI$2,,,Arb!$AJ$36,),TRUE,OFFSET(Arb!$B$2,,,Arb!$AJ$36,),"&gt;="&amp;$B9,OFFSET(Arb!$B$2,,,Arb!$AJ$36,),"&lt;="&amp;$C9)</f>
        <v>903</v>
      </c>
      <c r="M9" s="1">
        <f ca="1">SUMIFS(OFFSET(Arb!$AB$2,,,Arb!$AJ$36,),OFFSET(Arb!$C$2,,,Arb!$AJ$36,),$A9,OFFSET(Arb!$AI$2,,,Arb!$AJ$36,),TRUE,OFFSET(Arb!$B$2,,,Arb!$AJ$36,),"&gt;="&amp;$B9,OFFSET(Arb!$B$2,,,Arb!$AJ$36,),"&lt;="&amp;$C9)</f>
        <v>1072</v>
      </c>
      <c r="N9" s="1">
        <f t="shared" ca="1" si="47"/>
        <v>8305</v>
      </c>
      <c r="O9" s="39">
        <f t="shared" ca="1" si="48"/>
        <v>16.226586102719033</v>
      </c>
      <c r="P9" s="12">
        <f t="shared" ca="1" si="49"/>
        <v>7.3163746223564949</v>
      </c>
      <c r="Q9" s="33">
        <f t="shared" ca="1" si="71"/>
        <v>2.2178451678971971</v>
      </c>
      <c r="R9" s="20">
        <f t="shared" ca="1" si="51"/>
        <v>2.8975273772360142</v>
      </c>
      <c r="S9" s="33">
        <f t="shared" ca="1" si="52"/>
        <v>3.4293807706919051</v>
      </c>
      <c r="T9" s="33">
        <f t="shared" ca="1" si="72"/>
        <v>1.815833108172247</v>
      </c>
      <c r="U9" s="34">
        <f t="shared" ca="1" si="54"/>
        <v>26.048098686563485</v>
      </c>
      <c r="V9" s="34">
        <f t="shared" ca="1" si="55"/>
        <v>2.7280966767371599</v>
      </c>
      <c r="W9" s="34">
        <f t="shared" ca="1" si="56"/>
        <v>3.2386706948640485</v>
      </c>
      <c r="X9" s="33">
        <f t="shared" ca="1" si="73"/>
        <v>0.84491270319084888</v>
      </c>
      <c r="Y9" s="33">
        <f t="shared" ca="1" si="74"/>
        <v>0.76542682057859479</v>
      </c>
      <c r="Z9" s="33">
        <f t="shared" ca="1" si="59"/>
        <v>0.64671884406983748</v>
      </c>
      <c r="AA9" s="17">
        <f t="shared" ca="1" si="60"/>
        <v>55.658610271903321</v>
      </c>
      <c r="AB9" s="34">
        <f t="shared" ca="1" si="75"/>
        <v>7.607403002824439</v>
      </c>
      <c r="AC9" s="33">
        <f t="shared" ca="1" si="76"/>
        <v>0.29153775172338925</v>
      </c>
      <c r="AD9" s="21">
        <f t="shared" ca="1" si="63"/>
        <v>22.042658470351274</v>
      </c>
      <c r="AE9" s="472">
        <f ca="1">SUM(OFFSET(Arb!AK$36,MATCH(A9,OFFSET(Arb!AK$36,,,23,),0)-1,B9,1,3))</f>
        <v>61</v>
      </c>
      <c r="AF9" s="12">
        <f t="shared" ca="1" si="64"/>
        <v>5.4262295081967213</v>
      </c>
      <c r="AG9" s="353">
        <f ca="1">COUNTIFS(BV!$H$2:$H$54,"&gt;=" &amp; DATE($A9,$B9,1),BV!$H$2:$H$54,"&lt;" &amp; DATE($A9,$C9+1,1))</f>
        <v>6</v>
      </c>
      <c r="AH9" s="353">
        <f ca="1">COUNTIFS(BV!$P$2:$P$54,"&gt;=" &amp; DATE($A9,$B9,1),BV!$P$2:$P$54,"&lt;" &amp; DATE($A9,$C9+1,1))</f>
        <v>4</v>
      </c>
      <c r="AI9" s="353">
        <f ca="1">COUNTIFS(BV!$X$2:$X$54,"&gt;=" &amp; DATE($A9,$B9,1),BV!$X$2:$X$54,"&lt;" &amp; DATE($A9,$C9+1,1))</f>
        <v>7</v>
      </c>
      <c r="AJ9" s="353">
        <f ca="1">COUNTIFS(BV!$AF$2:$AF$54,"&gt;=" &amp; DATE($A9,$B9,1),BV!$AF$2:$AF$54,"&lt;" &amp; DATE($A9,$C9+1,1))</f>
        <v>7</v>
      </c>
      <c r="AK9" s="353">
        <f ca="1">COUNTIFS(BV!$AN$2:$AN$54,"&gt;=" &amp; DATE($A9,$B9,1),BV!$AN$2:$AN$54,"&lt;" &amp; DATE($A9,$C9+1,1))</f>
        <v>4</v>
      </c>
      <c r="AL9" s="353">
        <f ca="1">COUNTIFS(BV!$AV$2:$AV$54,"&gt;=" &amp; DATE($A9,$B9,1),BV!$AV$2:$AV$54,"&lt;" &amp; DATE($A9,$C9+1,1))</f>
        <v>4</v>
      </c>
      <c r="AM9" s="353">
        <f ca="1">COUNTIFS(BV!$BD$2:$BD$54,"&gt;=" &amp; DATE($A9,$B9,1),BV!$BD$2:$BD$54,"&lt;" &amp; DATE($A9,$C9+1,1))</f>
        <v>3</v>
      </c>
      <c r="AN9" s="353">
        <f ca="1">COUNTIFS(BV!$BL$2:$BL$54,"&gt;=" &amp; DATE($A9,$B9,1),BV!$BL$2:$BL$54,"&lt;" &amp; DATE($A9,$C9+1,1))</f>
        <v>7</v>
      </c>
      <c r="AO9" s="353">
        <f ca="1">COUNTIFS(BV!$BT$2:$BT$54,"&gt;=" &amp; DATE($A9,$B9,1),BV!$BT$2:$BT$54,"&lt;" &amp; DATE($A9,$C9+1,1))</f>
        <v>3</v>
      </c>
      <c r="AP9" s="353">
        <f ca="1">COUNTIFS(BV!$CB$2:$CB$54,"&gt;=" &amp; DATE($A9,$B9,1),BV!$CB$2:$CB$54,"&lt;" &amp; DATE($A9,$C9+1,1))</f>
        <v>3</v>
      </c>
      <c r="AQ9" s="35">
        <f t="shared" ca="1" si="65"/>
        <v>154.86904761904765</v>
      </c>
      <c r="AR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13</v>
      </c>
      <c r="AS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7</v>
      </c>
      <c r="AT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12</v>
      </c>
      <c r="AU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14</v>
      </c>
      <c r="AV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8</v>
      </c>
      <c r="AW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7</v>
      </c>
      <c r="AX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12</v>
      </c>
      <c r="AY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7</v>
      </c>
      <c r="AZ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12</v>
      </c>
      <c r="BA9" s="509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6</v>
      </c>
      <c r="BB9" s="35">
        <f t="shared" ca="1" si="66"/>
        <v>312.89285714285717</v>
      </c>
      <c r="BC9" s="35">
        <f t="shared" ca="1" si="67"/>
        <v>467.76190476190482</v>
      </c>
      <c r="BD9" s="12">
        <f t="shared" ca="1" si="68"/>
        <v>7.6682279469164722</v>
      </c>
      <c r="BE9" s="12">
        <f t="shared" ca="1" si="69"/>
        <v>1.4131779600057548</v>
      </c>
    </row>
    <row r="10" spans="1:57" x14ac:dyDescent="0.25">
      <c r="A10" s="31">
        <f t="shared" ref="A10:C10" si="80">A21</f>
        <v>2020</v>
      </c>
      <c r="B10" s="31">
        <f t="shared" si="80"/>
        <v>4</v>
      </c>
      <c r="C10" s="31">
        <f t="shared" si="80"/>
        <v>6</v>
      </c>
      <c r="D10" s="32" t="s">
        <v>38</v>
      </c>
      <c r="E10" s="1">
        <f ca="1">COUNTIFS(OFFSET(Arb!$C$2,,,Arb!$AJ$36,),$A10,OFFSET(Arb!$AI$2,,,Arb!$AJ$36,),TRUE,OFFSET(Arb!$B$2,,,Arb!$AJ$36,),"&gt;="&amp;$B10,OFFSET(Arb!$B$2,,,Arb!$AJ$36,),"&lt;="&amp;$C10)</f>
        <v>253</v>
      </c>
      <c r="F10" s="1">
        <f ca="1">SUMIFS(OFFSET(Arb!$I$2,,,Arb!$AJ$36,),OFFSET(Arb!$C$2,,,Arb!$AJ$36,),$A10,OFFSET(Arb!$AI$2,,,Arb!$AJ$36,),TRUE,OFFSET(Arb!$B$2,,,Arb!$AJ$36,),"&gt;="&amp;$B10,OFFSET(Arb!$B$2,,,Arb!$AJ$36,),"&lt;="&amp;$C10)</f>
        <v>4247</v>
      </c>
      <c r="G10" s="1">
        <f ca="1">SUMIFS(OFFSET(Arb!$H$2,,,Arb!$AJ$36,),OFFSET(Arb!$C$2,,,Arb!$AJ$36,),$A10,OFFSET(Arb!$AI$2,,,Arb!$AJ$36,),TRUE,OFFSET(Arb!$B$2,,,Arb!$AJ$36,),"&gt;="&amp;$B10,OFFSET(Arb!$B$2,,,Arb!$AJ$36,),"&lt;="&amp;$C10)</f>
        <v>1582.8900000000021</v>
      </c>
      <c r="H10" s="1">
        <f ca="1">SUMIFS(OFFSET(Arb!$AC$2,,,Arb!$AJ$36,),OFFSET(Arb!$C$2,,,Arb!$AJ$36,),$A10,OFFSET(Arb!$AI$2,,,Arb!$AJ$36,),TRUE,OFFSET(Arb!$B$2,,,Arb!$AJ$36,),"&gt;="&amp;$B10,OFFSET(Arb!$B$2,,,Arb!$AJ$36,),"&lt;="&amp;$C10)</f>
        <v>210243</v>
      </c>
      <c r="I10" s="1">
        <f ca="1">SUMIFS(OFFSET(Arb!$U$2,,,Arb!$AJ$36,),OFFSET(Arb!$C$2,,,Arb!$AJ$36,),$A10,OFFSET(Arb!$AI$2,,,Arb!$AJ$36,),TRUE,OFFSET(Arb!$B$2,,,Arb!$AJ$36,),"&gt;="&amp;$B10,OFFSET(Arb!$B$2,,,Arb!$AJ$36,),"&lt;="&amp;$C10)</f>
        <v>5842</v>
      </c>
      <c r="J10" s="1">
        <f ca="1">SUMIFS(OFFSET(Arb!$V$2,,,Arb!$AJ$36,),OFFSET(Arb!$C$2,,,Arb!$AJ$36,),$A10,OFFSET(Arb!$AI$2,,,Arb!$AJ$36,),TRUE,OFFSET(Arb!$B$2,,,Arb!$AJ$36,),"&gt;="&amp;$B10,OFFSET(Arb!$B$2,,,Arb!$AJ$36,),"&lt;="&amp;$C10)</f>
        <v>631</v>
      </c>
      <c r="K10" s="1">
        <f ca="1">SUMIFS(OFFSET(Arb!$X$2,,,Arb!$AJ$36,),OFFSET(Arb!$C$2,,,Arb!$AJ$36,),$A10,OFFSET(Arb!$AI$2,,,Arb!$AJ$36,),TRUE,OFFSET(Arb!$B$2,,,Arb!$AJ$36,),"&gt;="&amp;$B10,OFFSET(Arb!$B$2,,,Arb!$AJ$36,),"&lt;="&amp;$C10)</f>
        <v>5498</v>
      </c>
      <c r="L10" s="1">
        <f ca="1">SUMIFS(OFFSET(Arb!$AA$2,,,Arb!$AJ$36,),OFFSET(Arb!$C$2,,,Arb!$AJ$36,),$A10,OFFSET(Arb!$AI$2,,,Arb!$AJ$36,),TRUE,OFFSET(Arb!$B$2,,,Arb!$AJ$36,),"&gt;="&amp;$B10,OFFSET(Arb!$B$2,,,Arb!$AJ$36,),"&lt;="&amp;$C10)</f>
        <v>677</v>
      </c>
      <c r="M10" s="1">
        <f ca="1">SUMIFS(OFFSET(Arb!$AB$2,,,Arb!$AJ$36,),OFFSET(Arb!$C$2,,,Arb!$AJ$36,),$A10,OFFSET(Arb!$AI$2,,,Arb!$AJ$36,),TRUE,OFFSET(Arb!$B$2,,,Arb!$AJ$36,),"&gt;="&amp;$B10,OFFSET(Arb!$B$2,,,Arb!$AJ$36,),"&lt;="&amp;$C10)</f>
        <v>751</v>
      </c>
      <c r="N10" s="1">
        <f t="shared" ca="1" si="47"/>
        <v>6473</v>
      </c>
      <c r="O10" s="39">
        <f t="shared" ca="1" si="48"/>
        <v>16.786561264822133</v>
      </c>
      <c r="P10" s="12">
        <f t="shared" ca="1" si="49"/>
        <v>6.2564822134387432</v>
      </c>
      <c r="Q10" s="33">
        <f t="shared" ca="1" si="71"/>
        <v>2.6830670482471897</v>
      </c>
      <c r="R10" s="20">
        <f t="shared" ca="1" si="51"/>
        <v>3.4733936028403694</v>
      </c>
      <c r="S10" s="33">
        <f t="shared" ca="1" si="52"/>
        <v>4.089355545868627</v>
      </c>
      <c r="T10" s="33">
        <f t="shared" ca="1" si="72"/>
        <v>1.345239541731666</v>
      </c>
      <c r="U10" s="34">
        <f t="shared" ca="1" si="54"/>
        <v>35.160280777291256</v>
      </c>
      <c r="V10" s="34">
        <f t="shared" ca="1" si="55"/>
        <v>2.6758893280632412</v>
      </c>
      <c r="W10" s="34">
        <f t="shared" ca="1" si="56"/>
        <v>2.9683794466403164</v>
      </c>
      <c r="X10" s="33">
        <f t="shared" ca="1" si="73"/>
        <v>0.84937432411555691</v>
      </c>
      <c r="Y10" s="33">
        <f t="shared" ca="1" si="74"/>
        <v>0.77246271371407782</v>
      </c>
      <c r="Z10" s="33">
        <f t="shared" ca="1" si="59"/>
        <v>0.65610999536536385</v>
      </c>
      <c r="AA10" s="17">
        <f t="shared" ca="1" si="60"/>
        <v>51.9375</v>
      </c>
      <c r="AB10" s="34">
        <f t="shared" ca="1" si="75"/>
        <v>8.3013901787237163</v>
      </c>
      <c r="AC10" s="33">
        <f t="shared" ca="1" si="76"/>
        <v>0.32320695576071495</v>
      </c>
      <c r="AD10" s="21">
        <f t="shared" ca="1" si="63"/>
        <v>28.833995541460826</v>
      </c>
      <c r="AE10" s="472">
        <f ca="1">SUM(OFFSET(Arb!AK$36,MATCH(A10,OFFSET(Arb!AK$36,,,23,),0)-1,B10,1,3))</f>
        <v>51</v>
      </c>
      <c r="AF10" s="12">
        <f t="shared" ca="1" si="64"/>
        <v>4.9607843137254903</v>
      </c>
      <c r="AG10" s="353">
        <f ca="1">COUNTIFS(BV!$H$2:$H$54,"&gt;=" &amp; DATE($A10,$B10,1),BV!$H$2:$H$54,"&lt;" &amp; DATE($A10,$C10+1,1))</f>
        <v>5</v>
      </c>
      <c r="AH10" s="353">
        <f ca="1">COUNTIFS(BV!$P$2:$P$54,"&gt;=" &amp; DATE($A10,$B10,1),BV!$P$2:$P$54,"&lt;" &amp; DATE($A10,$C10+1,1))</f>
        <v>4</v>
      </c>
      <c r="AI10" s="353">
        <f ca="1">COUNTIFS(BV!$X$2:$X$54,"&gt;=" &amp; DATE($A10,$B10,1),BV!$X$2:$X$54,"&lt;" &amp; DATE($A10,$C10+1,1))</f>
        <v>8</v>
      </c>
      <c r="AJ10" s="353">
        <f ca="1">COUNTIFS(BV!$AF$2:$AF$54,"&gt;=" &amp; DATE($A10,$B10,1),BV!$AF$2:$AF$54,"&lt;" &amp; DATE($A10,$C10+1,1))</f>
        <v>6</v>
      </c>
      <c r="AK10" s="353">
        <f ca="1">COUNTIFS(BV!$AN$2:$AN$54,"&gt;=" &amp; DATE($A10,$B10,1),BV!$AN$2:$AN$54,"&lt;" &amp; DATE($A10,$C10+1,1))</f>
        <v>4</v>
      </c>
      <c r="AL10" s="353">
        <f ca="1">COUNTIFS(BV!$AV$2:$AV$54,"&gt;=" &amp; DATE($A10,$B10,1),BV!$AV$2:$AV$54,"&lt;" &amp; DATE($A10,$C10+1,1))</f>
        <v>6</v>
      </c>
      <c r="AM10" s="353">
        <f ca="1">COUNTIFS(BV!$BD$2:$BD$54,"&gt;=" &amp; DATE($A10,$B10,1),BV!$BD$2:$BD$54,"&lt;" &amp; DATE($A10,$C10+1,1))</f>
        <v>5</v>
      </c>
      <c r="AN10" s="353">
        <f ca="1">COUNTIFS(BV!$BL$2:$BL$54,"&gt;=" &amp; DATE($A10,$B10,1),BV!$BL$2:$BL$54,"&lt;" &amp; DATE($A10,$C10+1,1))</f>
        <v>4</v>
      </c>
      <c r="AO10" s="353">
        <f ca="1">COUNTIFS(BV!$BT$2:$BT$54,"&gt;=" &amp; DATE($A10,$B10,1),BV!$BT$2:$BT$54,"&lt;" &amp; DATE($A10,$C10+1,1))</f>
        <v>6</v>
      </c>
      <c r="AP10" s="353">
        <f ca="1">COUNTIFS(BV!$CB$2:$CB$54,"&gt;=" &amp; DATE($A10,$B10,1),BV!$CB$2:$CB$54,"&lt;" &amp; DATE($A10,$C10+1,1))</f>
        <v>2</v>
      </c>
      <c r="AQ10" s="35">
        <f t="shared" ca="1" si="65"/>
        <v>150.47619047619045</v>
      </c>
      <c r="AR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13</v>
      </c>
      <c r="AS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10</v>
      </c>
      <c r="AT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8</v>
      </c>
      <c r="AU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8</v>
      </c>
      <c r="AV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14</v>
      </c>
      <c r="AW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12</v>
      </c>
      <c r="AX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11</v>
      </c>
      <c r="AY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13</v>
      </c>
      <c r="AZ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13</v>
      </c>
      <c r="BA10" s="509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12</v>
      </c>
      <c r="BB10" s="35">
        <f t="shared" ca="1" si="66"/>
        <v>333.07539682539692</v>
      </c>
      <c r="BC10" s="35">
        <f t="shared" ca="1" si="67"/>
        <v>483.55158730158735</v>
      </c>
      <c r="BD10" s="12">
        <f t="shared" ca="1" si="68"/>
        <v>9.4814036725801447</v>
      </c>
      <c r="BE10" s="12">
        <f t="shared" ca="1" si="69"/>
        <v>1.9112710960537049</v>
      </c>
    </row>
    <row r="11" spans="1:57" x14ac:dyDescent="0.25">
      <c r="A11" s="31">
        <f t="shared" ref="A11:C11" si="81">A22</f>
        <v>2020</v>
      </c>
      <c r="B11" s="31">
        <f t="shared" si="81"/>
        <v>7</v>
      </c>
      <c r="C11" s="31">
        <f t="shared" si="81"/>
        <v>9</v>
      </c>
      <c r="D11" s="32" t="s">
        <v>38</v>
      </c>
      <c r="E11" s="1">
        <f ca="1">COUNTIFS(OFFSET(Arb!$C$2,,,Arb!$AJ$36,),$A11,OFFSET(Arb!$AI$2,,,Arb!$AJ$36,),TRUE,OFFSET(Arb!$B$2,,,Arb!$AJ$36,),"&gt;="&amp;$B11,OFFSET(Arb!$B$2,,,Arb!$AJ$36,),"&lt;="&amp;$C11)</f>
        <v>104</v>
      </c>
      <c r="F11" s="1">
        <f ca="1">SUMIFS(OFFSET(Arb!$I$2,,,Arb!$AJ$36,),OFFSET(Arb!$C$2,,,Arb!$AJ$36,),$A11,OFFSET(Arb!$AI$2,,,Arb!$AJ$36,),TRUE,OFFSET(Arb!$B$2,,,Arb!$AJ$36,),"&gt;="&amp;$B11,OFFSET(Arb!$B$2,,,Arb!$AJ$36,),"&lt;="&amp;$C11)</f>
        <v>1664</v>
      </c>
      <c r="G11" s="1">
        <f ca="1">SUMIFS(OFFSET(Arb!$H$2,,,Arb!$AJ$36,),OFFSET(Arb!$C$2,,,Arb!$AJ$36,),$A11,OFFSET(Arb!$AI$2,,,Arb!$AJ$36,),TRUE,OFFSET(Arb!$B$2,,,Arb!$AJ$36,),"&gt;="&amp;$B11,OFFSET(Arb!$B$2,,,Arb!$AJ$36,),"&lt;="&amp;$C11)</f>
        <v>550.89000000000021</v>
      </c>
      <c r="H11" s="1">
        <f ca="1">SUMIFS(OFFSET(Arb!$AC$2,,,Arb!$AJ$36,),OFFSET(Arb!$C$2,,,Arb!$AJ$36,),$A11,OFFSET(Arb!$AI$2,,,Arb!$AJ$36,),TRUE,OFFSET(Arb!$B$2,,,Arb!$AJ$36,),"&gt;="&amp;$B11,OFFSET(Arb!$B$2,,,Arb!$AJ$36,),"&lt;="&amp;$C11)</f>
        <v>85273</v>
      </c>
      <c r="I11" s="1">
        <f ca="1">SUMIFS(OFFSET(Arb!$U$2,,,Arb!$AJ$36,),OFFSET(Arb!$C$2,,,Arb!$AJ$36,),$A11,OFFSET(Arb!$AI$2,,,Arb!$AJ$36,),TRUE,OFFSET(Arb!$B$2,,,Arb!$AJ$36,),"&gt;="&amp;$B11,OFFSET(Arb!$B$2,,,Arb!$AJ$36,),"&lt;="&amp;$C11)</f>
        <v>2114</v>
      </c>
      <c r="J11" s="1">
        <f ca="1">SUMIFS(OFFSET(Arb!$V$2,,,Arb!$AJ$36,),OFFSET(Arb!$C$2,,,Arb!$AJ$36,),$A11,OFFSET(Arb!$AI$2,,,Arb!$AJ$36,),TRUE,OFFSET(Arb!$B$2,,,Arb!$AJ$36,),"&gt;="&amp;$B11,OFFSET(Arb!$B$2,,,Arb!$AJ$36,),"&lt;="&amp;$C11)</f>
        <v>369</v>
      </c>
      <c r="K11" s="1">
        <f ca="1">SUMIFS(OFFSET(Arb!$X$2,,,Arb!$AJ$36,),OFFSET(Arb!$C$2,,,Arb!$AJ$36,),$A11,OFFSET(Arb!$AI$2,,,Arb!$AJ$36,),TRUE,OFFSET(Arb!$B$2,,,Arb!$AJ$36,),"&gt;="&amp;$B11,OFFSET(Arb!$B$2,,,Arb!$AJ$36,),"&lt;="&amp;$C11)</f>
        <v>2106</v>
      </c>
      <c r="L11" s="1">
        <f ca="1">SUMIFS(OFFSET(Arb!$AA$2,,,Arb!$AJ$36,),OFFSET(Arb!$C$2,,,Arb!$AJ$36,),$A11,OFFSET(Arb!$AI$2,,,Arb!$AJ$36,),TRUE,OFFSET(Arb!$B$2,,,Arb!$AJ$36,),"&gt;="&amp;$B11,OFFSET(Arb!$B$2,,,Arb!$AJ$36,),"&lt;="&amp;$C11)</f>
        <v>269</v>
      </c>
      <c r="M11" s="1">
        <f ca="1">SUMIFS(OFFSET(Arb!$AB$2,,,Arb!$AJ$36,),OFFSET(Arb!$C$2,,,Arb!$AJ$36,),$A11,OFFSET(Arb!$AI$2,,,Arb!$AJ$36,),TRUE,OFFSET(Arb!$B$2,,,Arb!$AJ$36,),"&gt;="&amp;$B11,OFFSET(Arb!$B$2,,,Arb!$AJ$36,),"&lt;="&amp;$C11)</f>
        <v>332</v>
      </c>
      <c r="N11" s="1">
        <f t="shared" ca="1" si="47"/>
        <v>2483</v>
      </c>
      <c r="O11" s="39">
        <f t="shared" ca="1" si="48"/>
        <v>16</v>
      </c>
      <c r="P11" s="12">
        <f t="shared" ca="1" si="49"/>
        <v>5.2970192307692328</v>
      </c>
      <c r="Q11" s="33">
        <f t="shared" ca="1" si="71"/>
        <v>3.020566719308754</v>
      </c>
      <c r="R11" s="20">
        <f t="shared" ca="1" si="51"/>
        <v>3.8229047541251413</v>
      </c>
      <c r="S11" s="33">
        <f t="shared" ca="1" si="52"/>
        <v>4.5072519014685311</v>
      </c>
      <c r="T11" s="33">
        <f t="shared" ca="1" si="72"/>
        <v>1.0634905905130669</v>
      </c>
      <c r="U11" s="34">
        <f t="shared" ca="1" si="54"/>
        <v>44.475240704462863</v>
      </c>
      <c r="V11" s="34">
        <f t="shared" ca="1" si="55"/>
        <v>2.5865384615384617</v>
      </c>
      <c r="W11" s="34">
        <f t="shared" ca="1" si="56"/>
        <v>3.1923076923076925</v>
      </c>
      <c r="X11" s="33">
        <f t="shared" ca="1" si="73"/>
        <v>0.84816753926701571</v>
      </c>
      <c r="Y11" s="33">
        <f t="shared" ca="1" si="74"/>
        <v>0.79012345679012352</v>
      </c>
      <c r="Z11" s="33">
        <f t="shared" ca="1" si="59"/>
        <v>0.67015706806282727</v>
      </c>
      <c r="AA11" s="17">
        <f t="shared" ca="1" si="60"/>
        <v>51.245793269230766</v>
      </c>
      <c r="AB11" s="34">
        <f t="shared" ca="1" si="75"/>
        <v>9.6744586033509368</v>
      </c>
      <c r="AC11" s="33">
        <f t="shared" ca="1" si="76"/>
        <v>0.31222074982702613</v>
      </c>
      <c r="AD11" s="21">
        <f t="shared" ca="1" si="63"/>
        <v>36.984533788337174</v>
      </c>
      <c r="AE11" s="472">
        <f ca="1">SUM(OFFSET(Arb!AK$36,MATCH(A11,OFFSET(Arb!AK$36,,,23,),0)-1,B11,1,3))</f>
        <v>55</v>
      </c>
      <c r="AF11" s="12">
        <f t="shared" ca="1" si="64"/>
        <v>1.8909090909090909</v>
      </c>
      <c r="AG11" s="353">
        <f ca="1">COUNTIFS(BV!$H$2:$H$54,"&gt;=" &amp; DATE($A11,$B11,1),BV!$H$2:$H$54,"&lt;" &amp; DATE($A11,$C11+1,1))</f>
        <v>7</v>
      </c>
      <c r="AH11" s="353">
        <f ca="1">COUNTIFS(BV!$P$2:$P$54,"&gt;=" &amp; DATE($A11,$B11,1),BV!$P$2:$P$54,"&lt;" &amp; DATE($A11,$C11+1,1))</f>
        <v>2</v>
      </c>
      <c r="AI11" s="353">
        <f ca="1">COUNTIFS(BV!$X$2:$X$54,"&gt;=" &amp; DATE($A11,$B11,1),BV!$X$2:$X$54,"&lt;" &amp; DATE($A11,$C11+1,1))</f>
        <v>3</v>
      </c>
      <c r="AJ11" s="353">
        <f ca="1">COUNTIFS(BV!$AF$2:$AF$54,"&gt;=" &amp; DATE($A11,$B11,1),BV!$AF$2:$AF$54,"&lt;" &amp; DATE($A11,$C11+1,1))</f>
        <v>2</v>
      </c>
      <c r="AK11" s="353">
        <f ca="1">COUNTIFS(BV!$AN$2:$AN$54,"&gt;=" &amp; DATE($A11,$B11,1),BV!$AN$2:$AN$54,"&lt;" &amp; DATE($A11,$C11+1,1))</f>
        <v>6</v>
      </c>
      <c r="AL11" s="353">
        <f ca="1">COUNTIFS(BV!$AV$2:$AV$54,"&gt;=" &amp; DATE($A11,$B11,1),BV!$AV$2:$AV$54,"&lt;" &amp; DATE($A11,$C11+1,1))</f>
        <v>1</v>
      </c>
      <c r="AM11" s="353">
        <f ca="1">COUNTIFS(BV!$BD$2:$BD$54,"&gt;=" &amp; DATE($A11,$B11,1),BV!$BD$2:$BD$54,"&lt;" &amp; DATE($A11,$C11+1,1))</f>
        <v>0</v>
      </c>
      <c r="AN11" s="353">
        <f ca="1">COUNTIFS(BV!$BL$2:$BL$54,"&gt;=" &amp; DATE($A11,$B11,1),BV!$BL$2:$BL$54,"&lt;" &amp; DATE($A11,$C11+1,1))</f>
        <v>2</v>
      </c>
      <c r="AO11" s="353">
        <f ca="1">COUNTIFS(BV!$BT$2:$BT$54,"&gt;=" &amp; DATE($A11,$B11,1),BV!$BT$2:$BT$54,"&lt;" &amp; DATE($A11,$C11+1,1))</f>
        <v>3</v>
      </c>
      <c r="AP11" s="353">
        <f ca="1">COUNTIFS(BV!$CB$2:$CB$54,"&gt;=" &amp; DATE($A11,$B11,1),BV!$CB$2:$CB$54,"&lt;" &amp; DATE($A11,$C11+1,1))</f>
        <v>3</v>
      </c>
      <c r="AQ11" s="35">
        <f t="shared" ca="1" si="65"/>
        <v>117.5</v>
      </c>
      <c r="AR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10</v>
      </c>
      <c r="AS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8</v>
      </c>
      <c r="AT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5</v>
      </c>
      <c r="AU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3</v>
      </c>
      <c r="AV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5</v>
      </c>
      <c r="AW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6</v>
      </c>
      <c r="AX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8</v>
      </c>
      <c r="AY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5</v>
      </c>
      <c r="AZ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4</v>
      </c>
      <c r="BA11" s="509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8</v>
      </c>
      <c r="BB11" s="35">
        <f t="shared" ca="1" si="66"/>
        <v>214.2896825396825</v>
      </c>
      <c r="BC11" s="35">
        <f t="shared" ca="1" si="67"/>
        <v>331.78968253968253</v>
      </c>
      <c r="BD11" s="12">
        <f t="shared" ca="1" si="68"/>
        <v>6.0325396825396824</v>
      </c>
      <c r="BE11" s="12">
        <f t="shared" ca="1" si="69"/>
        <v>3.1902854090354089</v>
      </c>
    </row>
    <row r="12" spans="1:57" ht="13.8" thickBot="1" x14ac:dyDescent="0.3">
      <c r="A12" s="362">
        <f t="shared" ref="A12" si="82">A23</f>
        <v>2020</v>
      </c>
      <c r="B12" s="362">
        <f t="shared" ref="B12:C12" si="83">B23</f>
        <v>10</v>
      </c>
      <c r="C12" s="362">
        <f t="shared" si="83"/>
        <v>12</v>
      </c>
      <c r="D12" s="363" t="s">
        <v>38</v>
      </c>
      <c r="E12" s="146">
        <f ca="1">COUNTIFS(OFFSET(Arb!$C$2,,,Arb!$AJ$36,),$A12,OFFSET(Arb!$AI$2,,,Arb!$AJ$36,),TRUE,OFFSET(Arb!$B$2,,,Arb!$AJ$36,),"&gt;="&amp;$B12,OFFSET(Arb!$B$2,,,Arb!$AJ$36,),"&lt;="&amp;$C12)</f>
        <v>199</v>
      </c>
      <c r="F12" s="146">
        <f ca="1">SUMIFS(OFFSET(Arb!$I$2,,,Arb!$AJ$36,),OFFSET(Arb!$C$2,,,Arb!$AJ$36,),$A12,OFFSET(Arb!$AI$2,,,Arb!$AJ$36,),TRUE,OFFSET(Arb!$B$2,,,Arb!$AJ$36,),"&gt;="&amp;$B12,OFFSET(Arb!$B$2,,,Arb!$AJ$36,),"&lt;="&amp;$C12)</f>
        <v>3274</v>
      </c>
      <c r="G12" s="146">
        <f ca="1">SUMIFS(OFFSET(Arb!$H$2,,,Arb!$AJ$36,),OFFSET(Arb!$C$2,,,Arb!$AJ$36,),$A12,OFFSET(Arb!$AI$2,,,Arb!$AJ$36,),TRUE,OFFSET(Arb!$B$2,,,Arb!$AJ$36,),"&gt;="&amp;$B12,OFFSET(Arb!$B$2,,,Arb!$AJ$36,),"&lt;="&amp;$C12)</f>
        <v>1163.7300000000005</v>
      </c>
      <c r="H12" s="146">
        <f ca="1">SUMIFS(OFFSET(Arb!$AC$2,,,Arb!$AJ$36,),OFFSET(Arb!$C$2,,,Arb!$AJ$36,),$A12,OFFSET(Arb!$AI$2,,,Arb!$AJ$36,),TRUE,OFFSET(Arb!$B$2,,,Arb!$AJ$36,),"&gt;="&amp;$B12,OFFSET(Arb!$B$2,,,Arb!$AJ$36,),"&lt;="&amp;$C12)</f>
        <v>161832</v>
      </c>
      <c r="I12" s="146">
        <f ca="1">SUMIFS(OFFSET(Arb!$U$2,,,Arb!$AJ$36,),OFFSET(Arb!$C$2,,,Arb!$AJ$36,),$A12,OFFSET(Arb!$AI$2,,,Arb!$AJ$36,),TRUE,OFFSET(Arb!$B$2,,,Arb!$AJ$36,),"&gt;="&amp;$B12,OFFSET(Arb!$B$2,,,Arb!$AJ$36,),"&lt;="&amp;$C12)</f>
        <v>1346</v>
      </c>
      <c r="J12" s="146">
        <f ca="1">SUMIFS(OFFSET(Arb!$V$2,,,Arb!$AJ$36,),OFFSET(Arb!$C$2,,,Arb!$AJ$36,),$A12,OFFSET(Arb!$AI$2,,,Arb!$AJ$36,),TRUE,OFFSET(Arb!$B$2,,,Arb!$AJ$36,),"&gt;="&amp;$B12,OFFSET(Arb!$B$2,,,Arb!$AJ$36,),"&lt;="&amp;$C12)</f>
        <v>3327</v>
      </c>
      <c r="K12" s="146">
        <f ca="1">SUMIFS(OFFSET(Arb!$X$2,,,Arb!$AJ$36,),OFFSET(Arb!$C$2,,,Arb!$AJ$36,),$A12,OFFSET(Arb!$AI$2,,,Arb!$AJ$36,),TRUE,OFFSET(Arb!$B$2,,,Arb!$AJ$36,),"&gt;="&amp;$B12,OFFSET(Arb!$B$2,,,Arb!$AJ$36,),"&lt;="&amp;$C12)</f>
        <v>3965</v>
      </c>
      <c r="L12" s="146">
        <f ca="1">SUMIFS(OFFSET(Arb!$AA$2,,,Arb!$AJ$36,),OFFSET(Arb!$C$2,,,Arb!$AJ$36,),$A12,OFFSET(Arb!$AI$2,,,Arb!$AJ$36,),TRUE,OFFSET(Arb!$B$2,,,Arb!$AJ$36,),"&gt;="&amp;$B12,OFFSET(Arb!$B$2,,,Arb!$AJ$36,),"&lt;="&amp;$C12)</f>
        <v>526</v>
      </c>
      <c r="M12" s="146">
        <f ca="1">SUMIFS(OFFSET(Arb!$AB$2,,,Arb!$AJ$36,),OFFSET(Arb!$C$2,,,Arb!$AJ$36,),$A12,OFFSET(Arb!$AI$2,,,Arb!$AJ$36,),TRUE,OFFSET(Arb!$B$2,,,Arb!$AJ$36,),"&gt;="&amp;$B12,OFFSET(Arb!$B$2,,,Arb!$AJ$36,),"&lt;="&amp;$C12)</f>
        <v>623</v>
      </c>
      <c r="N12" s="146">
        <f t="shared" ca="1" si="47"/>
        <v>4673</v>
      </c>
      <c r="O12" s="388">
        <f t="shared" ca="1" si="48"/>
        <v>16.452261306532662</v>
      </c>
      <c r="P12" s="364">
        <f t="shared" ca="1" si="49"/>
        <v>5.8478894472361835</v>
      </c>
      <c r="Q12" s="96">
        <f t="shared" ca="1" si="71"/>
        <v>2.8133673618451001</v>
      </c>
      <c r="R12" s="365">
        <f t="shared" ca="1" si="51"/>
        <v>3.4071477060830246</v>
      </c>
      <c r="S12" s="96">
        <f t="shared" ca="1" si="52"/>
        <v>4.0155362498173961</v>
      </c>
      <c r="T12" s="96">
        <f t="shared" ca="1" si="72"/>
        <v>1.2236943724730336</v>
      </c>
      <c r="U12" s="95">
        <f t="shared" ca="1" si="54"/>
        <v>38.652625250217305</v>
      </c>
      <c r="V12" s="95">
        <f t="shared" ca="1" si="55"/>
        <v>2.6432160804020102</v>
      </c>
      <c r="W12" s="95">
        <f t="shared" ca="1" si="56"/>
        <v>3.1306532663316582</v>
      </c>
      <c r="X12" s="96">
        <f t="shared" ca="1" si="73"/>
        <v>0.84849133319066972</v>
      </c>
      <c r="Y12" s="96">
        <f t="shared" ca="1" si="74"/>
        <v>0.8257250945775535</v>
      </c>
      <c r="Z12" s="96">
        <f t="shared" ca="1" si="59"/>
        <v>0.70062058634710034</v>
      </c>
      <c r="AA12" s="147">
        <f t="shared" ca="1" si="60"/>
        <v>50.826633165829143</v>
      </c>
      <c r="AB12" s="95">
        <f t="shared" ca="1" si="75"/>
        <v>8.6914490474594572</v>
      </c>
      <c r="AC12" s="96">
        <f t="shared" ca="1" si="76"/>
        <v>0.32369370705422906</v>
      </c>
      <c r="AD12" s="129">
        <f t="shared" ca="1" si="63"/>
        <v>29.61305068458898</v>
      </c>
      <c r="AE12" s="472">
        <f ca="1">SUM(OFFSET(Arb!AK$36,MATCH(A12,OFFSET(Arb!AK$36,,,23,),0)-1,B12,1,3))</f>
        <v>28</v>
      </c>
      <c r="AF12" s="364">
        <f t="shared" ca="1" si="64"/>
        <v>7.1071428571428568</v>
      </c>
      <c r="AG12" s="94">
        <f ca="1">COUNTIFS(BV!$H$2:$H$54,"&gt;=" &amp; DATE($A12,$B12,1),BV!$H$2:$H$54,"&lt;" &amp; DATE($A12,$C12+1,1))</f>
        <v>4</v>
      </c>
      <c r="AH12" s="94">
        <f ca="1">COUNTIFS(BV!$P$2:$P$54,"&gt;=" &amp; DATE($A12,$B12,1),BV!$P$2:$P$54,"&lt;" &amp; DATE($A12,$C12+1,1))</f>
        <v>10</v>
      </c>
      <c r="AI12" s="94">
        <f ca="1">COUNTIFS(BV!$X$2:$X$54,"&gt;=" &amp; DATE($A12,$B12,1),BV!$X$2:$X$54,"&lt;" &amp; DATE($A12,$C12+1,1))</f>
        <v>3</v>
      </c>
      <c r="AJ12" s="94">
        <f ca="1">COUNTIFS(BV!$AF$2:$AF$54,"&gt;=" &amp; DATE($A12,$B12,1),BV!$AF$2:$AF$54,"&lt;" &amp; DATE($A12,$C12+1,1))</f>
        <v>3</v>
      </c>
      <c r="AK12" s="94">
        <f ca="1">COUNTIFS(BV!$AN$2:$AN$54,"&gt;=" &amp; DATE($A12,$B12,1),BV!$AN$2:$AN$54,"&lt;" &amp; DATE($A12,$C12+1,1))</f>
        <v>2</v>
      </c>
      <c r="AL12" s="94">
        <f ca="1">COUNTIFS(BV!$AV$2:$AV$54,"&gt;=" &amp; DATE($A12,$B12,1),BV!$AV$2:$AV$54,"&lt;" &amp; DATE($A12,$C12+1,1))</f>
        <v>2</v>
      </c>
      <c r="AM12" s="94">
        <f ca="1">COUNTIFS(BV!$BD$2:$BD$54,"&gt;=" &amp; DATE($A12,$B12,1),BV!$BD$2:$BD$54,"&lt;" &amp; DATE($A12,$C12+1,1))</f>
        <v>5</v>
      </c>
      <c r="AN12" s="94">
        <f ca="1">COUNTIFS(BV!$BL$2:$BL$54,"&gt;=" &amp; DATE($A12,$B12,1),BV!$BL$2:$BL$54,"&lt;" &amp; DATE($A12,$C12+1,1))</f>
        <v>1</v>
      </c>
      <c r="AO12" s="94">
        <f ca="1">COUNTIFS(BV!$BT$2:$BT$54,"&gt;=" &amp; DATE($A12,$B12,1),BV!$BT$2:$BT$54,"&lt;" &amp; DATE($A12,$C12+1,1))</f>
        <v>1</v>
      </c>
      <c r="AP12" s="94">
        <f ca="1">COUNTIFS(BV!$CB$2:$CB$54,"&gt;=" &amp; DATE($A12,$B12,1),BV!$CB$2:$CB$54,"&lt;" &amp; DATE($A12,$C12+1,1))</f>
        <v>6</v>
      </c>
      <c r="AQ12" s="366">
        <f t="shared" ca="1" si="65"/>
        <v>130.33730158730157</v>
      </c>
      <c r="AR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10</v>
      </c>
      <c r="AS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7</v>
      </c>
      <c r="AT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11</v>
      </c>
      <c r="AU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7</v>
      </c>
      <c r="AV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5</v>
      </c>
      <c r="AW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10</v>
      </c>
      <c r="AX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3</v>
      </c>
      <c r="AY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6</v>
      </c>
      <c r="AZ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7</v>
      </c>
      <c r="BA12" s="509">
        <f ca="1">COUNTIFS(OFFSET(Time!$J$2,(COLUMN()-44)*20,,20,),"&gt;=" &amp; DATE($A12,$B12,1),OFFSET(Time!$J$2,(COLUMN()-44)*20,,20,),"&lt;" &amp; DATE($A12,$C12+1,1))+COUNTIFS(OFFSET(Bvs!$J$2,(COLUMN()-44)*20,,20,),"&gt;=" &amp; DATE($A12,$B12,1),OFFSET(Bvs!$J$2,(COLUMN()-44)*20,,20,),"&lt;" &amp; DATE($A12,$C12+1,1))+COUNTIFS(OFFSET(QG!$J$2,(COLUMN()-44)*20,,20,),"&gt;=" &amp; DATE($A12,$B12,1),OFFSET(QG!$J$2,(COLUMN()-44)*20,,20,),"&lt;" &amp; DATE($A12,$C12+1,1))</f>
        <v>8</v>
      </c>
      <c r="BB12" s="366">
        <f t="shared" ca="1" si="66"/>
        <v>243.39682539682542</v>
      </c>
      <c r="BC12" s="366">
        <f t="shared" ca="1" si="67"/>
        <v>373.73412698412699</v>
      </c>
      <c r="BD12" s="364">
        <f t="shared" ca="1" si="68"/>
        <v>13.34764739229025</v>
      </c>
      <c r="BE12" s="364">
        <f t="shared" ca="1" si="69"/>
        <v>1.8780609396187289</v>
      </c>
    </row>
    <row r="13" spans="1:57" ht="13.8" thickBot="1" x14ac:dyDescent="0.3">
      <c r="A13" s="370">
        <f t="shared" ref="A13:C16" si="84">A24</f>
        <v>2018</v>
      </c>
      <c r="B13" s="371">
        <f t="shared" si="84"/>
        <v>4</v>
      </c>
      <c r="C13" s="371">
        <f t="shared" si="84"/>
        <v>6</v>
      </c>
      <c r="D13" s="372" t="s">
        <v>39</v>
      </c>
      <c r="E13" s="157">
        <f ca="1">COUNTIFS(OFFSET(Arb!$C$2,Arb!$AJ$36,,Arb!$AJ$37,),$A13,OFFSET(Arb!$AI$2,Arb!$AJ$36,,Arb!$AJ$37,),TRUE,OFFSET(Arb!$B$2,Arb!$AJ$36,,Arb!$AJ$37,),"&gt;="&amp;$B13,OFFSET(Arb!$B$2,Arb!$AJ$36,,Arb!$AJ$37,),"&lt;="&amp;$C13)</f>
        <v>0</v>
      </c>
      <c r="F13" s="157">
        <f ca="1">SUMIFS(OFFSET(Arb!$I$2,Arb!$AJ$36,,Arb!$AJ$37,),OFFSET(Arb!$C$2,Arb!$AJ$36,,Arb!$AJ$37,),$A13,OFFSET(Arb!$AI$2,Arb!$AJ$36,,Arb!$AJ$37,),TRUE,OFFSET(Arb!$B$2,Arb!$AJ$36,,Arb!$AJ$37,),"&gt;="&amp;$B13,OFFSET(Arb!$B$2,Arb!$AJ$36,,Arb!$AJ$37,),"&lt;="&amp;$C13)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G13" s="157">
        <f ca="1">SUMIFS(OFFSET(Arb!$H$2,Arb!$AJ$36,,Arb!$AJ$37,),OFFSET(Arb!$C$2,Arb!$AJ$36,,Arb!$AJ$37,),$A13,OFFSET(Arb!$AI$2,Arb!$AJ$36,,Arb!$AJ$37,),TRUE,OFFSET(Arb!$B$2,Arb!$AJ$36,,Arb!$AJ$37,),"&gt;="&amp;$B13,OFFSET(Arb!$B$2,Arb!$AJ$36,,Arb!$AJ$37,),"&lt;="&amp;$C13)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H13" s="157">
        <f ca="1">SUMIFS(OFFSET(Arb!$AC$2,Arb!$AJ$36,,Arb!$AJ$37,),OFFSET(Arb!$C$2,Arb!$AJ$36,,Arb!$AJ$37,),$A13,OFFSET(Arb!$AI$2,Arb!$AJ$36,,Arb!$AJ$37,),TRUE,OFFSET(Arb!$B$2,Arb!$AJ$36,,Arb!$AJ$37,),"&gt;="&amp;$B13,OFFSET(Arb!$B$2,Arb!$AJ$36,,Arb!$AJ$37,),"&lt;="&amp;$C13)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I13" s="157">
        <f ca="1">SUMIFS(OFFSET(Arb!$U$2,Arb!$AJ$36,,Arb!$AJ$37,),OFFSET(Arb!$C$2,Arb!$AJ$36,,Arb!$AJ$37,),$A13,OFFSET(Arb!$AI$2,Arb!$AJ$36,,Arb!$AJ$37,),TRUE,OFFSET(Arb!$B$2,Arb!$AJ$36,,Arb!$AJ$37,),"&gt;="&amp;$B13,OFFSET(Arb!$B$2,Arb!$AJ$36,,Arb!$AJ$37,),"&lt;="&amp;$C13)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J13" s="157">
        <f ca="1">SUMIFS(OFFSET(Arb!$V$2,Arb!$AJ$36,,Arb!$AJ$37,),OFFSET(Arb!$C$2,Arb!$AJ$36,,Arb!$AJ$37,),$A13,OFFSET(Arb!$AI$2,Arb!$AJ$36,,Arb!$AJ$37,),TRUE,OFFSET(Arb!$B$2,Arb!$AJ$36,,Arb!$AJ$37,),"&gt;="&amp;$B13,OFFSET(Arb!$B$2,Arb!$AJ$36,,Arb!$AJ$37,),"&lt;="&amp;$C13)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K13" s="157">
        <f ca="1">SUMIFS(OFFSET(Arb!$X$2,Arb!$AJ$36,,Arb!$AJ$37,),OFFSET(Arb!$C$2,Arb!$AJ$36,,Arb!$AJ$37,),$A13,OFFSET(Arb!$AI$2,Arb!$AJ$36,,Arb!$AJ$37,),TRUE,OFFSET(Arb!$B$2,Arb!$AJ$36,,Arb!$AJ$37,),"&gt;="&amp;$B13,OFFSET(Arb!$B$2,Arb!$AJ$36,,Arb!$AJ$37,),"&lt;="&amp;$C13)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L13" s="157">
        <f ca="1">SUMIFS(OFFSET(Arb!$AA$2,Arb!$AJ$36,,Arb!$AJ$37,),OFFSET(Arb!$C$2,Arb!$AJ$36,,Arb!$AJ$37,),$A13,OFFSET(Arb!$AI$2,Arb!$AJ$36,,Arb!$AJ$37,),TRUE,OFFSET(Arb!$B$2,Arb!$AJ$36,,Arb!$AJ$37,),"&gt;="&amp;$B13,OFFSET(Arb!$B$2,Arb!$AJ$36,,Arb!$AJ$37,),"&lt;="&amp;$C13)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M13" s="157">
        <f ca="1">SUMIFS(OFFSET(Arb!$AB$2,Arb!$AJ$36,,Arb!$AJ$37,),OFFSET(Arb!$C$2,Arb!$AJ$36,,Arb!$AJ$37,),$A13,OFFSET(Arb!$AI$2,Arb!$AJ$36,,Arb!$AJ$37,),TRUE,OFFSET(Arb!$B$2,Arb!$AJ$36,,Arb!$AJ$37,),"&gt;="&amp;$B13,OFFSET(Arb!$B$2,Arb!$AJ$36,,Arb!$AJ$37,),"&lt;="&amp;$C13)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N13" s="157">
        <f t="shared" ca="1" si="47"/>
        <v>0</v>
      </c>
      <c r="O13" s="390" t="str">
        <f t="shared" ca="1" si="48"/>
        <v/>
      </c>
      <c r="P13" s="373" t="str">
        <f t="shared" ca="1" si="49"/>
        <v/>
      </c>
      <c r="Q13" s="106" t="str">
        <f t="shared" ref="Q13" ca="1" si="85">IFERROR(O13/P13,"")</f>
        <v/>
      </c>
      <c r="R13" s="374" t="str">
        <f t="shared" ca="1" si="51"/>
        <v/>
      </c>
      <c r="S13" s="106" t="str">
        <f t="shared" ca="1" si="52"/>
        <v/>
      </c>
      <c r="T13" s="106" t="str">
        <f t="shared" ref="T13" ca="1" si="86">IFERROR(P13^1.7/O13,"")</f>
        <v/>
      </c>
      <c r="U13" s="105" t="str">
        <f t="shared" ca="1" si="54"/>
        <v/>
      </c>
      <c r="V13" s="105" t="str">
        <f t="shared" ca="1" si="55"/>
        <v/>
      </c>
      <c r="W13" s="105" t="str">
        <f t="shared" ca="1" si="56"/>
        <v/>
      </c>
      <c r="X13" s="106" t="str">
        <f t="shared" ref="X13" ca="1" si="87">IFERROR(R13/S13,"")</f>
        <v/>
      </c>
      <c r="Y13" s="106" t="str">
        <f t="shared" ref="Y13" ca="1" si="88">IFERROR(Q13/R13,"")</f>
        <v/>
      </c>
      <c r="Z13" s="106" t="str">
        <f t="shared" ca="1" si="59"/>
        <v/>
      </c>
      <c r="AA13" s="158" t="str">
        <f t="shared" ca="1" si="60"/>
        <v/>
      </c>
      <c r="AB13" s="105" t="str">
        <f t="shared" ref="AB13" ca="1" si="89">IFERROR(AA13/P13,"")</f>
        <v/>
      </c>
      <c r="AC13" s="106" t="str">
        <f t="shared" ref="AC13" ca="1" si="90">IFERROR(O13/AA13,"")</f>
        <v/>
      </c>
      <c r="AD13" s="132" t="str">
        <f t="shared" ca="1" si="63"/>
        <v/>
      </c>
      <c r="AE13" s="547" t="e">
        <f>#REF!</f>
        <v>#REF!</v>
      </c>
      <c r="AF13" s="373" t="e">
        <f t="shared" ca="1" si="64"/>
        <v>#REF!</v>
      </c>
      <c r="AG13" s="104">
        <f ca="1">COUNTIFS(BV!$H$55:$H$160,"&gt;=" &amp; DATE($A13,$B13,1),BV!$H$55:$H$160,"&lt;" &amp; DATE($A13,$C13+1,1))</f>
        <v>0</v>
      </c>
      <c r="AH13" s="104">
        <f ca="1">COUNTIFS(BV!$P$55:$P$160,"&gt;=" &amp; DATE($A13,$B13,1),BV!$P$55:$P$160,"&lt;" &amp; DATE($A13,$C13+1,1))</f>
        <v>0</v>
      </c>
      <c r="AI13" s="104">
        <f ca="1">COUNTIFS(BV!$X$55:$X$160,"&gt;=" &amp; DATE($A13,$B13,1),BV!$X$55:$X$160,"&lt;" &amp; DATE($A13,$C13+1,1))</f>
        <v>0</v>
      </c>
      <c r="AJ13" s="104">
        <f ca="1">COUNTIFS(BV!$AF$55:$AF$160,"&gt;=" &amp; DATE($A13,$B13,1),BV!$AF$55:$AF$160,"&lt;" &amp; DATE($A13,$C13+1,1))</f>
        <v>0</v>
      </c>
      <c r="AK13" s="104">
        <f ca="1">COUNTIFS(BV!$AN$55:$AN$160,"&gt;=" &amp; DATE($A13,$B13,1),BV!$AN$55:$AN$160,"&lt;" &amp; DATE($A13,$C13+1,1))</f>
        <v>0</v>
      </c>
      <c r="AL13" s="104">
        <f ca="1">COUNTIFS(BV!$AV$55:$AV$160,"&gt;=" &amp; DATE($A13,$B13,1),BV!$AV$55:$AV$160,"&lt;" &amp; DATE($A13,$C13+1,1))</f>
        <v>0</v>
      </c>
      <c r="AM13" s="104">
        <f ca="1">COUNTIFS(BV!$BD$55:$BD$160,"&gt;=" &amp; DATE($A13,$B13,1),BV!$BD$55:$BD$160,"&lt;" &amp; DATE($A13,$C13+1,1))</f>
        <v>0</v>
      </c>
      <c r="AN13" s="104">
        <f ca="1">COUNTIFS(BV!$BL$55:$BL$160,"&gt;=" &amp; DATE($A13,$B13,1),BV!$BL$55:$BL$160,"&lt;" &amp; DATE($A13,$C13+1,1))</f>
        <v>0</v>
      </c>
      <c r="AO13" s="104">
        <f ca="1">COUNTIFS(BV!$BT$55:$BT$160,"&gt;=" &amp; DATE($A13,$B13,1),BV!$BT$55:$BT$160,"&lt;" &amp; DATE($A13,$C13+1,1))</f>
        <v>0</v>
      </c>
      <c r="AP13" s="104">
        <f ca="1">COUNTIFS(BV!$CB$55:$CB$160,"&gt;=" &amp; DATE($A13,$B13,1),BV!$CB$55:$CB$160,"&lt;" &amp; DATE($A13,$C13+1,1))</f>
        <v>0</v>
      </c>
      <c r="AQ13" s="375">
        <f t="shared" ca="1" si="65"/>
        <v>0</v>
      </c>
      <c r="AR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S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T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U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V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W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X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Y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Z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BA13" s="547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BB13" s="375">
        <f t="shared" ca="1" si="66"/>
        <v>0</v>
      </c>
      <c r="BC13" s="375">
        <f t="shared" ca="1" si="67"/>
        <v>0</v>
      </c>
      <c r="BD13" s="373" t="e">
        <f t="shared" ca="1" si="68"/>
        <v>#REF!</v>
      </c>
      <c r="BE13" s="376" t="e">
        <f t="shared" ca="1" si="69"/>
        <v>#REF!</v>
      </c>
    </row>
    <row r="14" spans="1:57" ht="13.8" thickBot="1" x14ac:dyDescent="0.3">
      <c r="A14" s="370">
        <f t="shared" si="84"/>
        <v>2018</v>
      </c>
      <c r="B14" s="371">
        <f t="shared" si="84"/>
        <v>7</v>
      </c>
      <c r="C14" s="371">
        <f t="shared" si="84"/>
        <v>9</v>
      </c>
      <c r="D14" s="372" t="s">
        <v>39</v>
      </c>
      <c r="E14" s="157">
        <f ca="1">COUNTIFS(OFFSET(Arb!$C$2,Arb!$AJ$36,,Arb!$AJ$37,),$A14,OFFSET(Arb!$AI$2,Arb!$AJ$36,,Arb!$AJ$37,),TRUE,OFFSET(Arb!$B$2,Arb!$AJ$36,,Arb!$AJ$37,),"&gt;="&amp;$B14,OFFSET(Arb!$B$2,Arb!$AJ$36,,Arb!$AJ$37,),"&lt;="&amp;$C14)</f>
        <v>0</v>
      </c>
      <c r="F14" s="157">
        <f ca="1">SUMIFS(OFFSET(Arb!$I$2,Arb!$AJ$36,,Arb!$AJ$37,),OFFSET(Arb!$C$2,Arb!$AJ$36,,Arb!$AJ$37,),$A14,OFFSET(Arb!$AI$2,Arb!$AJ$36,,Arb!$AJ$37,),TRUE,OFFSET(Arb!$B$2,Arb!$AJ$36,,Arb!$AJ$37,),"&gt;="&amp;$B14,OFFSET(Arb!$B$2,Arb!$AJ$36,,Arb!$AJ$37,),"&lt;="&amp;$C14)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G14" s="157">
        <f ca="1">SUMIFS(OFFSET(Arb!$H$2,Arb!$AJ$36,,Arb!$AJ$37,),OFFSET(Arb!$C$2,Arb!$AJ$36,,Arb!$AJ$37,),$A14,OFFSET(Arb!$AI$2,Arb!$AJ$36,,Arb!$AJ$37,),TRUE,OFFSET(Arb!$B$2,Arb!$AJ$36,,Arb!$AJ$37,),"&gt;="&amp;$B14,OFFSET(Arb!$B$2,Arb!$AJ$36,,Arb!$AJ$37,),"&lt;="&amp;$C14)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H14" s="157">
        <f ca="1">SUMIFS(OFFSET(Arb!$AC$2,Arb!$AJ$36,,Arb!$AJ$37,),OFFSET(Arb!$C$2,Arb!$AJ$36,,Arb!$AJ$37,),$A14,OFFSET(Arb!$AI$2,Arb!$AJ$36,,Arb!$AJ$37,),TRUE,OFFSET(Arb!$B$2,Arb!$AJ$36,,Arb!$AJ$37,),"&gt;="&amp;$B14,OFFSET(Arb!$B$2,Arb!$AJ$36,,Arb!$AJ$37,),"&lt;="&amp;$C14)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I14" s="157">
        <f ca="1">SUMIFS(OFFSET(Arb!$U$2,Arb!$AJ$36,,Arb!$AJ$37,),OFFSET(Arb!$C$2,Arb!$AJ$36,,Arb!$AJ$37,),$A14,OFFSET(Arb!$AI$2,Arb!$AJ$36,,Arb!$AJ$37,),TRUE,OFFSET(Arb!$B$2,Arb!$AJ$36,,Arb!$AJ$37,),"&gt;="&amp;$B14,OFFSET(Arb!$B$2,Arb!$AJ$36,,Arb!$AJ$37,),"&lt;="&amp;$C14)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J14" s="157">
        <f ca="1">SUMIFS(OFFSET(Arb!$V$2,Arb!$AJ$36,,Arb!$AJ$37,),OFFSET(Arb!$C$2,Arb!$AJ$36,,Arb!$AJ$37,),$A14,OFFSET(Arb!$AI$2,Arb!$AJ$36,,Arb!$AJ$37,),TRUE,OFFSET(Arb!$B$2,Arb!$AJ$36,,Arb!$AJ$37,),"&gt;="&amp;$B14,OFFSET(Arb!$B$2,Arb!$AJ$36,,Arb!$AJ$37,),"&lt;="&amp;$C14)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K14" s="157">
        <f ca="1">SUMIFS(OFFSET(Arb!$X$2,Arb!$AJ$36,,Arb!$AJ$37,),OFFSET(Arb!$C$2,Arb!$AJ$36,,Arb!$AJ$37,),$A14,OFFSET(Arb!$AI$2,Arb!$AJ$36,,Arb!$AJ$37,),TRUE,OFFSET(Arb!$B$2,Arb!$AJ$36,,Arb!$AJ$37,),"&gt;="&amp;$B14,OFFSET(Arb!$B$2,Arb!$AJ$36,,Arb!$AJ$37,),"&lt;="&amp;$C14)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L14" s="157">
        <f ca="1">SUMIFS(OFFSET(Arb!$AA$2,Arb!$AJ$36,,Arb!$AJ$37,),OFFSET(Arb!$C$2,Arb!$AJ$36,,Arb!$AJ$37,),$A14,OFFSET(Arb!$AI$2,Arb!$AJ$36,,Arb!$AJ$37,),TRUE,OFFSET(Arb!$B$2,Arb!$AJ$36,,Arb!$AJ$37,),"&gt;="&amp;$B14,OFFSET(Arb!$B$2,Arb!$AJ$36,,Arb!$AJ$37,),"&lt;="&amp;$C14)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M14" s="157">
        <f ca="1">SUMIFS(OFFSET(Arb!$AB$2,Arb!$AJ$36,,Arb!$AJ$37,),OFFSET(Arb!$C$2,Arb!$AJ$36,,Arb!$AJ$37,),$A14,OFFSET(Arb!$AI$2,Arb!$AJ$36,,Arb!$AJ$37,),TRUE,OFFSET(Arb!$B$2,Arb!$AJ$36,,Arb!$AJ$37,),"&gt;="&amp;$B14,OFFSET(Arb!$B$2,Arb!$AJ$36,,Arb!$AJ$37,),"&lt;="&amp;$C14)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N14" s="157">
        <f t="shared" ref="N14" ca="1" si="91">I14+J14</f>
        <v>0</v>
      </c>
      <c r="O14" s="390" t="str">
        <f t="shared" ref="O14" ca="1" si="92">IFERROR(F14/E14,"")</f>
        <v/>
      </c>
      <c r="P14" s="373" t="str">
        <f t="shared" ref="P14" ca="1" si="93">IFERROR(G14/E14,"")</f>
        <v/>
      </c>
      <c r="Q14" s="106" t="str">
        <f t="shared" ca="1" si="71"/>
        <v/>
      </c>
      <c r="R14" s="374" t="str">
        <f t="shared" ref="R14" ca="1" si="94">IFERROR(K14/G14,"")</f>
        <v/>
      </c>
      <c r="S14" s="106" t="str">
        <f t="shared" ref="S14" ca="1" si="95">IFERROR(N14/G14,"")</f>
        <v/>
      </c>
      <c r="T14" s="106" t="str">
        <f t="shared" ca="1" si="72"/>
        <v/>
      </c>
      <c r="U14" s="105" t="str">
        <f t="shared" ref="U14" ca="1" si="96">IFERROR((IF(D14="beg",47.299,0)+IF(D14="int",153.73,0)+IF(D14="exp",435.001,0))/T14,"")</f>
        <v/>
      </c>
      <c r="V14" s="105" t="str">
        <f t="shared" ref="V14" ca="1" si="97">IFERROR(L14/E14,"")</f>
        <v/>
      </c>
      <c r="W14" s="105" t="str">
        <f t="shared" ref="W14" ca="1" si="98">IFERROR(M14/E14,"")</f>
        <v/>
      </c>
      <c r="X14" s="106" t="str">
        <f t="shared" ca="1" si="73"/>
        <v/>
      </c>
      <c r="Y14" s="106" t="str">
        <f t="shared" ca="1" si="74"/>
        <v/>
      </c>
      <c r="Z14" s="106" t="str">
        <f t="shared" ref="Z14" ca="1" si="99">IFERROR(F14/N14,"")</f>
        <v/>
      </c>
      <c r="AA14" s="158" t="str">
        <f t="shared" ref="AA14" ca="1" si="100">IFERROR(H14/E14/16,"")</f>
        <v/>
      </c>
      <c r="AB14" s="105" t="str">
        <f t="shared" ca="1" si="75"/>
        <v/>
      </c>
      <c r="AC14" s="106" t="str">
        <f t="shared" ca="1" si="76"/>
        <v/>
      </c>
      <c r="AD14" s="132" t="str">
        <f t="shared" ref="AD14" ca="1" si="101">IFERROR(AB14*R14,"")</f>
        <v/>
      </c>
      <c r="AE14" s="547" t="str">
        <f>AE1</f>
        <v>天数</v>
      </c>
      <c r="AF14" s="373" t="e">
        <f t="shared" ref="AF14" ca="1" si="102">E14/AE14</f>
        <v>#VALUE!</v>
      </c>
      <c r="AG14" s="104">
        <f ca="1">COUNTIFS(BV!$H$55:$H$160,"&gt;=" &amp; DATE($A14,$B14,1),BV!$H$55:$H$160,"&lt;" &amp; DATE($A14,$C14+1,1))</f>
        <v>0</v>
      </c>
      <c r="AH14" s="104">
        <f ca="1">COUNTIFS(BV!$P$55:$P$160,"&gt;=" &amp; DATE($A14,$B14,1),BV!$P$55:$P$160,"&lt;" &amp; DATE($A14,$C14+1,1))</f>
        <v>0</v>
      </c>
      <c r="AI14" s="104">
        <f ca="1">COUNTIFS(BV!$X$55:$X$160,"&gt;=" &amp; DATE($A14,$B14,1),BV!$X$55:$X$160,"&lt;" &amp; DATE($A14,$C14+1,1))</f>
        <v>0</v>
      </c>
      <c r="AJ14" s="104">
        <f ca="1">COUNTIFS(BV!$AF$55:$AF$160,"&gt;=" &amp; DATE($A14,$B14,1),BV!$AF$55:$AF$160,"&lt;" &amp; DATE($A14,$C14+1,1))</f>
        <v>0</v>
      </c>
      <c r="AK14" s="104">
        <f ca="1">COUNTIFS(BV!$AN$55:$AN$160,"&gt;=" &amp; DATE($A14,$B14,1),BV!$AN$55:$AN$160,"&lt;" &amp; DATE($A14,$C14+1,1))</f>
        <v>0</v>
      </c>
      <c r="AL14" s="104">
        <f ca="1">COUNTIFS(BV!$AV$55:$AV$160,"&gt;=" &amp; DATE($A14,$B14,1),BV!$AV$55:$AV$160,"&lt;" &amp; DATE($A14,$C14+1,1))</f>
        <v>0</v>
      </c>
      <c r="AM14" s="104">
        <f ca="1">COUNTIFS(BV!$BD$55:$BD$160,"&gt;=" &amp; DATE($A14,$B14,1),BV!$BD$55:$BD$160,"&lt;" &amp; DATE($A14,$C14+1,1))</f>
        <v>0</v>
      </c>
      <c r="AN14" s="104">
        <f ca="1">COUNTIFS(BV!$BL$55:$BL$160,"&gt;=" &amp; DATE($A14,$B14,1),BV!$BL$55:$BL$160,"&lt;" &amp; DATE($A14,$C14+1,1))</f>
        <v>0</v>
      </c>
      <c r="AO14" s="104">
        <f ca="1">COUNTIFS(BV!$BT$55:$BT$160,"&gt;=" &amp; DATE($A14,$B14,1),BV!$BT$55:$BT$160,"&lt;" &amp; DATE($A14,$C14+1,1))</f>
        <v>0</v>
      </c>
      <c r="AP14" s="104">
        <f ca="1">COUNTIFS(BV!$CB$55:$CB$160,"&gt;=" &amp; DATE($A14,$B14,1),BV!$CB$55:$CB$160,"&lt;" &amp; DATE($A14,$C14+1,1))</f>
        <v>0</v>
      </c>
      <c r="AQ14" s="375">
        <f t="shared" ref="AQ14" ca="1" si="103">(AG14+AH14/2+AI14/3+AJ14/4+AK14/5+AL14/6+AM14/7+AN14/8+AO14/9+AP14/10)*10</f>
        <v>0</v>
      </c>
      <c r="AR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S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T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U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V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W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X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Y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Z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BA14" s="547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BB14" s="375">
        <f t="shared" ref="BB14" ca="1" si="104">(AR14+AS14/2+AT14/3+AU14/4+AV14/5+AW14/6+AX14/7+AY14/8+AZ14/9+BA14/10)*10</f>
        <v>0</v>
      </c>
      <c r="BC14" s="375">
        <f t="shared" ref="BC14" ca="1" si="105">AQ14+BB14</f>
        <v>0</v>
      </c>
      <c r="BD14" s="373" t="e">
        <f t="shared" ref="BD14" ca="1" si="106">BC14/AE14</f>
        <v>#VALUE!</v>
      </c>
      <c r="BE14" s="376" t="e">
        <f t="shared" ref="BE14" ca="1" si="107">IF(AF14=0,0,BD14/AF14)</f>
        <v>#VALUE!</v>
      </c>
    </row>
    <row r="15" spans="1:57" x14ac:dyDescent="0.25">
      <c r="A15" s="370">
        <f t="shared" si="84"/>
        <v>2018</v>
      </c>
      <c r="B15" s="371">
        <f t="shared" si="84"/>
        <v>10</v>
      </c>
      <c r="C15" s="371">
        <f t="shared" si="84"/>
        <v>12</v>
      </c>
      <c r="D15" s="372" t="s">
        <v>39</v>
      </c>
      <c r="E15" s="157">
        <f ca="1">COUNTIFS(OFFSET(Arb!$C$2,Arb!$AJ$36,,Arb!$AJ$37,),$A15,OFFSET(Arb!$AI$2,Arb!$AJ$36,,Arb!$AJ$37,),TRUE,OFFSET(Arb!$B$2,Arb!$AJ$36,,Arb!$AJ$37,),"&gt;="&amp;$B15,OFFSET(Arb!$B$2,Arb!$AJ$36,,Arb!$AJ$37,),"&lt;="&amp;$C15)</f>
        <v>0</v>
      </c>
      <c r="F15" s="157">
        <f ca="1">SUMIFS(OFFSET(Arb!$I$2,Arb!$AJ$36,,Arb!$AJ$37,),OFFSET(Arb!$C$2,Arb!$AJ$36,,Arb!$AJ$37,),$A15,OFFSET(Arb!$AI$2,Arb!$AJ$36,,Arb!$AJ$37,),TRUE,OFFSET(Arb!$B$2,Arb!$AJ$36,,Arb!$AJ$37,),"&gt;="&amp;$B15,OFFSET(Arb!$B$2,Arb!$AJ$36,,Arb!$AJ$37,),"&lt;="&amp;$C15)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G15" s="157">
        <f ca="1">SUMIFS(OFFSET(Arb!$H$2,Arb!$AJ$36,,Arb!$AJ$37,),OFFSET(Arb!$C$2,Arb!$AJ$36,,Arb!$AJ$37,),$A15,OFFSET(Arb!$AI$2,Arb!$AJ$36,,Arb!$AJ$37,),TRUE,OFFSET(Arb!$B$2,Arb!$AJ$36,,Arb!$AJ$37,),"&gt;="&amp;$B15,OFFSET(Arb!$B$2,Arb!$AJ$36,,Arb!$AJ$37,),"&lt;="&amp;$C15)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H15" s="157">
        <f ca="1">SUMIFS(OFFSET(Arb!$AC$2,Arb!$AJ$36,,Arb!$AJ$37,),OFFSET(Arb!$C$2,Arb!$AJ$36,,Arb!$AJ$37,),$A15,OFFSET(Arb!$AI$2,Arb!$AJ$36,,Arb!$AJ$37,),TRUE,OFFSET(Arb!$B$2,Arb!$AJ$36,,Arb!$AJ$37,),"&gt;="&amp;$B15,OFFSET(Arb!$B$2,Arb!$AJ$36,,Arb!$AJ$37,),"&lt;="&amp;$C15)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I15" s="157">
        <f ca="1">SUMIFS(OFFSET(Arb!$U$2,Arb!$AJ$36,,Arb!$AJ$37,),OFFSET(Arb!$C$2,Arb!$AJ$36,,Arb!$AJ$37,),$A15,OFFSET(Arb!$AI$2,Arb!$AJ$36,,Arb!$AJ$37,),TRUE,OFFSET(Arb!$B$2,Arb!$AJ$36,,Arb!$AJ$37,),"&gt;="&amp;$B15,OFFSET(Arb!$B$2,Arb!$AJ$36,,Arb!$AJ$37,),"&lt;="&amp;$C15)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J15" s="157">
        <f ca="1">SUMIFS(OFFSET(Arb!$V$2,Arb!$AJ$36,,Arb!$AJ$37,),OFFSET(Arb!$C$2,Arb!$AJ$36,,Arb!$AJ$37,),$A15,OFFSET(Arb!$AI$2,Arb!$AJ$36,,Arb!$AJ$37,),TRUE,OFFSET(Arb!$B$2,Arb!$AJ$36,,Arb!$AJ$37,),"&gt;="&amp;$B15,OFFSET(Arb!$B$2,Arb!$AJ$36,,Arb!$AJ$37,),"&lt;="&amp;$C15)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K15" s="157">
        <f ca="1">SUMIFS(OFFSET(Arb!$X$2,Arb!$AJ$36,,Arb!$AJ$37,),OFFSET(Arb!$C$2,Arb!$AJ$36,,Arb!$AJ$37,),$A15,OFFSET(Arb!$AI$2,Arb!$AJ$36,,Arb!$AJ$37,),TRUE,OFFSET(Arb!$B$2,Arb!$AJ$36,,Arb!$AJ$37,),"&gt;="&amp;$B15,OFFSET(Arb!$B$2,Arb!$AJ$36,,Arb!$AJ$37,),"&lt;="&amp;$C15)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L15" s="157">
        <f ca="1">SUMIFS(OFFSET(Arb!$AA$2,Arb!$AJ$36,,Arb!$AJ$37,),OFFSET(Arb!$C$2,Arb!$AJ$36,,Arb!$AJ$37,),$A15,OFFSET(Arb!$AI$2,Arb!$AJ$36,,Arb!$AJ$37,),TRUE,OFFSET(Arb!$B$2,Arb!$AJ$36,,Arb!$AJ$37,),"&gt;="&amp;$B15,OFFSET(Arb!$B$2,Arb!$AJ$36,,Arb!$AJ$37,),"&lt;="&amp;$C15)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M15" s="157">
        <f ca="1">SUMIFS(OFFSET(Arb!$AB$2,Arb!$AJ$36,,Arb!$AJ$37,),OFFSET(Arb!$C$2,Arb!$AJ$36,,Arb!$AJ$37,),$A15,OFFSET(Arb!$AI$2,Arb!$AJ$36,,Arb!$AJ$37,),TRUE,OFFSET(Arb!$B$2,Arb!$AJ$36,,Arb!$AJ$37,),"&gt;="&amp;$B15,OFFSET(Arb!$B$2,Arb!$AJ$36,,Arb!$AJ$37,),"&lt;="&amp;$C15)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N15" s="157">
        <f t="shared" ca="1" si="47"/>
        <v>0</v>
      </c>
      <c r="O15" s="390" t="str">
        <f t="shared" ca="1" si="48"/>
        <v/>
      </c>
      <c r="P15" s="373" t="str">
        <f t="shared" ca="1" si="49"/>
        <v/>
      </c>
      <c r="Q15" s="106" t="str">
        <f t="shared" ref="Q15" ca="1" si="108">IFERROR(O15/P15,"")</f>
        <v/>
      </c>
      <c r="R15" s="374" t="str">
        <f t="shared" ca="1" si="51"/>
        <v/>
      </c>
      <c r="S15" s="106" t="str">
        <f t="shared" ca="1" si="52"/>
        <v/>
      </c>
      <c r="T15" s="106" t="str">
        <f t="shared" ref="T15" ca="1" si="109">IFERROR(P15^1.7/O15,"")</f>
        <v/>
      </c>
      <c r="U15" s="105" t="str">
        <f t="shared" ca="1" si="54"/>
        <v/>
      </c>
      <c r="V15" s="105" t="str">
        <f t="shared" ca="1" si="55"/>
        <v/>
      </c>
      <c r="W15" s="105" t="str">
        <f t="shared" ca="1" si="56"/>
        <v/>
      </c>
      <c r="X15" s="106" t="str">
        <f t="shared" ref="X15" ca="1" si="110">IFERROR(R15/S15,"")</f>
        <v/>
      </c>
      <c r="Y15" s="106" t="str">
        <f t="shared" ref="Y15" ca="1" si="111">IFERROR(Q15/R15,"")</f>
        <v/>
      </c>
      <c r="Z15" s="106" t="str">
        <f t="shared" ca="1" si="59"/>
        <v/>
      </c>
      <c r="AA15" s="158" t="str">
        <f t="shared" ca="1" si="60"/>
        <v/>
      </c>
      <c r="AB15" s="105" t="str">
        <f t="shared" ref="AB15" ca="1" si="112">IFERROR(AA15/P15,"")</f>
        <v/>
      </c>
      <c r="AC15" s="106" t="str">
        <f t="shared" ref="AC15" ca="1" si="113">IFERROR(O15/AA15,"")</f>
        <v/>
      </c>
      <c r="AD15" s="132" t="str">
        <f t="shared" ca="1" si="63"/>
        <v/>
      </c>
      <c r="AE15" s="470" t="e">
        <f ca="1">AE4</f>
        <v>#N/A</v>
      </c>
      <c r="AF15" s="373" t="e">
        <f t="shared" ca="1" si="64"/>
        <v>#N/A</v>
      </c>
      <c r="AG15" s="104">
        <f ca="1">COUNTIFS(BV!$H$55:$H$160,"&gt;=" &amp; DATE($A15,$B15,1),BV!$H$55:$H$160,"&lt;" &amp; DATE($A15,$C15+1,1))</f>
        <v>0</v>
      </c>
      <c r="AH15" s="104">
        <f ca="1">COUNTIFS(BV!$P$55:$P$160,"&gt;=" &amp; DATE($A15,$B15,1),BV!$P$55:$P$160,"&lt;" &amp; DATE($A15,$C15+1,1))</f>
        <v>0</v>
      </c>
      <c r="AI15" s="104">
        <f ca="1">COUNTIFS(BV!$X$55:$X$160,"&gt;=" &amp; DATE($A15,$B15,1),BV!$X$55:$X$160,"&lt;" &amp; DATE($A15,$C15+1,1))</f>
        <v>0</v>
      </c>
      <c r="AJ15" s="104">
        <f ca="1">COUNTIFS(BV!$AF$55:$AF$160,"&gt;=" &amp; DATE($A15,$B15,1),BV!$AF$55:$AF$160,"&lt;" &amp; DATE($A15,$C15+1,1))</f>
        <v>0</v>
      </c>
      <c r="AK15" s="104">
        <f ca="1">COUNTIFS(BV!$AN$55:$AN$160,"&gt;=" &amp; DATE($A15,$B15,1),BV!$AN$55:$AN$160,"&lt;" &amp; DATE($A15,$C15+1,1))</f>
        <v>0</v>
      </c>
      <c r="AL15" s="104">
        <f ca="1">COUNTIFS(BV!$AV$55:$AV$160,"&gt;=" &amp; DATE($A15,$B15,1),BV!$AV$55:$AV$160,"&lt;" &amp; DATE($A15,$C15+1,1))</f>
        <v>0</v>
      </c>
      <c r="AM15" s="104">
        <f ca="1">COUNTIFS(BV!$BD$55:$BD$160,"&gt;=" &amp; DATE($A15,$B15,1),BV!$BD$55:$BD$160,"&lt;" &amp; DATE($A15,$C15+1,1))</f>
        <v>0</v>
      </c>
      <c r="AN15" s="104">
        <f ca="1">COUNTIFS(BV!$BL$55:$BL$160,"&gt;=" &amp; DATE($A15,$B15,1),BV!$BL$55:$BL$160,"&lt;" &amp; DATE($A15,$C15+1,1))</f>
        <v>0</v>
      </c>
      <c r="AO15" s="104">
        <f ca="1">COUNTIFS(BV!$BT$55:$BT$160,"&gt;=" &amp; DATE($A15,$B15,1),BV!$BT$55:$BT$160,"&lt;" &amp; DATE($A15,$C15+1,1))</f>
        <v>0</v>
      </c>
      <c r="AP15" s="104">
        <f ca="1">COUNTIFS(BV!$CB$55:$CB$160,"&gt;=" &amp; DATE($A15,$B15,1),BV!$CB$55:$CB$160,"&lt;" &amp; DATE($A15,$C15+1,1))</f>
        <v>0</v>
      </c>
      <c r="AQ15" s="375">
        <f t="shared" ca="1" si="65"/>
        <v>0</v>
      </c>
      <c r="AR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S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T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U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V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W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X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Y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Z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BA15" s="509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BB15" s="375">
        <f t="shared" ca="1" si="66"/>
        <v>0</v>
      </c>
      <c r="BC15" s="375">
        <f t="shared" ca="1" si="67"/>
        <v>0</v>
      </c>
      <c r="BD15" s="373" t="e">
        <f t="shared" ca="1" si="68"/>
        <v>#N/A</v>
      </c>
      <c r="BE15" s="376" t="e">
        <f t="shared" ca="1" si="69"/>
        <v>#N/A</v>
      </c>
    </row>
    <row r="16" spans="1:57" x14ac:dyDescent="0.25">
      <c r="A16" s="377">
        <f t="shared" si="84"/>
        <v>2019</v>
      </c>
      <c r="B16" s="360">
        <f t="shared" si="84"/>
        <v>1</v>
      </c>
      <c r="C16" s="360">
        <f t="shared" si="84"/>
        <v>3</v>
      </c>
      <c r="D16" s="361" t="s">
        <v>39</v>
      </c>
      <c r="E16" s="356">
        <f ca="1">COUNTIFS(OFFSET(Arb!$C$2,Arb!$AJ$36,,Arb!$AJ$37,),$A16,OFFSET(Arb!$AI$2,Arb!$AJ$36,,Arb!$AJ$37,),TRUE,OFFSET(Arb!$B$2,Arb!$AJ$36,,Arb!$AJ$37,),"&gt;="&amp;$B16,OFFSET(Arb!$B$2,Arb!$AJ$36,,Arb!$AJ$37,),"&lt;="&amp;$C16)</f>
        <v>0</v>
      </c>
      <c r="F16" s="356">
        <f ca="1">SUMIFS(OFFSET(Arb!$I$2,Arb!$AJ$36,,Arb!$AJ$37,),OFFSET(Arb!$C$2,Arb!$AJ$36,,Arb!$AJ$37,),$A16,OFFSET(Arb!$AI$2,Arb!$AJ$36,,Arb!$AJ$37,),TRUE,OFFSET(Arb!$B$2,Arb!$AJ$36,,Arb!$AJ$37,),"&gt;="&amp;$B16,OFFSET(Arb!$B$2,Arb!$AJ$36,,Arb!$AJ$37,),"&lt;="&amp;$C16)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G16" s="356">
        <f ca="1">SUMIFS(OFFSET(Arb!$H$2,Arb!$AJ$36,,Arb!$AJ$37,),OFFSET(Arb!$C$2,Arb!$AJ$36,,Arb!$AJ$37,),$A16,OFFSET(Arb!$AI$2,Arb!$AJ$36,,Arb!$AJ$37,),TRUE,OFFSET(Arb!$B$2,Arb!$AJ$36,,Arb!$AJ$37,),"&gt;="&amp;$B16,OFFSET(Arb!$B$2,Arb!$AJ$36,,Arb!$AJ$37,),"&lt;="&amp;$C16)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H16" s="356">
        <f ca="1">SUMIFS(OFFSET(Arb!$AC$2,Arb!$AJ$36,,Arb!$AJ$37,),OFFSET(Arb!$C$2,Arb!$AJ$36,,Arb!$AJ$37,),$A16,OFFSET(Arb!$AI$2,Arb!$AJ$36,,Arb!$AJ$37,),TRUE,OFFSET(Arb!$B$2,Arb!$AJ$36,,Arb!$AJ$37,),"&gt;="&amp;$B16,OFFSET(Arb!$B$2,Arb!$AJ$36,,Arb!$AJ$37,),"&lt;="&amp;$C16)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I16" s="356">
        <f ca="1">SUMIFS(OFFSET(Arb!$U$2,Arb!$AJ$36,,Arb!$AJ$37,),OFFSET(Arb!$C$2,Arb!$AJ$36,,Arb!$AJ$37,),$A16,OFFSET(Arb!$AI$2,Arb!$AJ$36,,Arb!$AJ$37,),TRUE,OFFSET(Arb!$B$2,Arb!$AJ$36,,Arb!$AJ$37,),"&gt;="&amp;$B16,OFFSET(Arb!$B$2,Arb!$AJ$36,,Arb!$AJ$37,),"&lt;="&amp;$C16)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J16" s="356">
        <f ca="1">SUMIFS(OFFSET(Arb!$V$2,Arb!$AJ$36,,Arb!$AJ$37,),OFFSET(Arb!$C$2,Arb!$AJ$36,,Arb!$AJ$37,),$A16,OFFSET(Arb!$AI$2,Arb!$AJ$36,,Arb!$AJ$37,),TRUE,OFFSET(Arb!$B$2,Arb!$AJ$36,,Arb!$AJ$37,),"&gt;="&amp;$B16,OFFSET(Arb!$B$2,Arb!$AJ$36,,Arb!$AJ$37,),"&lt;="&amp;$C16)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K16" s="356">
        <f ca="1">SUMIFS(OFFSET(Arb!$X$2,Arb!$AJ$36,,Arb!$AJ$37,),OFFSET(Arb!$C$2,Arb!$AJ$36,,Arb!$AJ$37,),$A16,OFFSET(Arb!$AI$2,Arb!$AJ$36,,Arb!$AJ$37,),TRUE,OFFSET(Arb!$B$2,Arb!$AJ$36,,Arb!$AJ$37,),"&gt;="&amp;$B16,OFFSET(Arb!$B$2,Arb!$AJ$36,,Arb!$AJ$37,),"&lt;="&amp;$C16)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L16" s="356">
        <f ca="1">SUMIFS(OFFSET(Arb!$AA$2,Arb!$AJ$36,,Arb!$AJ$37,),OFFSET(Arb!$C$2,Arb!$AJ$36,,Arb!$AJ$37,),$A16,OFFSET(Arb!$AI$2,Arb!$AJ$36,,Arb!$AJ$37,),TRUE,OFFSET(Arb!$B$2,Arb!$AJ$36,,Arb!$AJ$37,),"&gt;="&amp;$B16,OFFSET(Arb!$B$2,Arb!$AJ$36,,Arb!$AJ$37,),"&lt;="&amp;$C16)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M16" s="356">
        <f ca="1">SUMIFS(OFFSET(Arb!$AB$2,Arb!$AJ$36,,Arb!$AJ$37,),OFFSET(Arb!$C$2,Arb!$AJ$36,,Arb!$AJ$37,),$A16,OFFSET(Arb!$AI$2,Arb!$AJ$36,,Arb!$AJ$37,),TRUE,OFFSET(Arb!$B$2,Arb!$AJ$36,,Arb!$AJ$37,),"&gt;="&amp;$B16,OFFSET(Arb!$B$2,Arb!$AJ$36,,Arb!$AJ$37,),"&lt;="&amp;$C16)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N16" s="356">
        <f t="shared" ca="1" si="47"/>
        <v>0</v>
      </c>
      <c r="O16" s="357" t="str">
        <f t="shared" ca="1" si="48"/>
        <v/>
      </c>
      <c r="P16" s="12" t="str">
        <f t="shared" ca="1" si="49"/>
        <v/>
      </c>
      <c r="Q16" s="33" t="str">
        <f t="shared" ca="1" si="71"/>
        <v/>
      </c>
      <c r="R16" s="20" t="str">
        <f t="shared" ca="1" si="51"/>
        <v/>
      </c>
      <c r="S16" s="33" t="str">
        <f t="shared" ca="1" si="52"/>
        <v/>
      </c>
      <c r="T16" s="33" t="str">
        <f t="shared" ca="1" si="72"/>
        <v/>
      </c>
      <c r="U16" s="34" t="str">
        <f t="shared" ca="1" si="54"/>
        <v/>
      </c>
      <c r="V16" s="34" t="str">
        <f t="shared" ca="1" si="55"/>
        <v/>
      </c>
      <c r="W16" s="34" t="str">
        <f t="shared" ca="1" si="56"/>
        <v/>
      </c>
      <c r="X16" s="33" t="str">
        <f t="shared" ca="1" si="73"/>
        <v/>
      </c>
      <c r="Y16" s="33" t="str">
        <f t="shared" ca="1" si="74"/>
        <v/>
      </c>
      <c r="Z16" s="33" t="str">
        <f t="shared" ca="1" si="59"/>
        <v/>
      </c>
      <c r="AA16" s="359" t="str">
        <f t="shared" ca="1" si="60"/>
        <v/>
      </c>
      <c r="AB16" s="34" t="str">
        <f t="shared" ca="1" si="75"/>
        <v/>
      </c>
      <c r="AC16" s="33" t="str">
        <f t="shared" ca="1" si="76"/>
        <v/>
      </c>
      <c r="AD16" s="21" t="str">
        <f t="shared" ca="1" si="63"/>
        <v/>
      </c>
      <c r="AE16" s="470">
        <f ca="1">AE5</f>
        <v>0</v>
      </c>
      <c r="AF16" s="12" t="e">
        <f t="shared" ca="1" si="64"/>
        <v>#DIV/0!</v>
      </c>
      <c r="AG16" s="358">
        <f ca="1">COUNTIFS(BV!$H$55:$H$160,"&gt;=" &amp; DATE($A16,$B16,1),BV!$H$55:$H$160,"&lt;" &amp; DATE($A16,$C16+1,1))</f>
        <v>0</v>
      </c>
      <c r="AH16" s="358">
        <f ca="1">COUNTIFS(BV!$P$55:$P$160,"&gt;=" &amp; DATE($A16,$B16,1),BV!$P$55:$P$160,"&lt;" &amp; DATE($A16,$C16+1,1))</f>
        <v>0</v>
      </c>
      <c r="AI16" s="358">
        <f ca="1">COUNTIFS(BV!$X$55:$X$160,"&gt;=" &amp; DATE($A16,$B16,1),BV!$X$55:$X$160,"&lt;" &amp; DATE($A16,$C16+1,1))</f>
        <v>0</v>
      </c>
      <c r="AJ16" s="358">
        <f ca="1">COUNTIFS(BV!$AF$55:$AF$160,"&gt;=" &amp; DATE($A16,$B16,1),BV!$AF$55:$AF$160,"&lt;" &amp; DATE($A16,$C16+1,1))</f>
        <v>0</v>
      </c>
      <c r="AK16" s="358">
        <f ca="1">COUNTIFS(BV!$AN$55:$AN$160,"&gt;=" &amp; DATE($A16,$B16,1),BV!$AN$55:$AN$160,"&lt;" &amp; DATE($A16,$C16+1,1))</f>
        <v>0</v>
      </c>
      <c r="AL16" s="358">
        <f ca="1">COUNTIFS(BV!$AV$55:$AV$160,"&gt;=" &amp; DATE($A16,$B16,1),BV!$AV$55:$AV$160,"&lt;" &amp; DATE($A16,$C16+1,1))</f>
        <v>0</v>
      </c>
      <c r="AM16" s="358">
        <f ca="1">COUNTIFS(BV!$BD$55:$BD$160,"&gt;=" &amp; DATE($A16,$B16,1),BV!$BD$55:$BD$160,"&lt;" &amp; DATE($A16,$C16+1,1))</f>
        <v>0</v>
      </c>
      <c r="AN16" s="358">
        <f ca="1">COUNTIFS(BV!$BL$55:$BL$160,"&gt;=" &amp; DATE($A16,$B16,1),BV!$BL$55:$BL$160,"&lt;" &amp; DATE($A16,$C16+1,1))</f>
        <v>0</v>
      </c>
      <c r="AO16" s="358">
        <f ca="1">COUNTIFS(BV!$BT$55:$BT$160,"&gt;=" &amp; DATE($A16,$B16,1),BV!$BT$55:$BT$160,"&lt;" &amp; DATE($A16,$C16+1,1))</f>
        <v>0</v>
      </c>
      <c r="AP16" s="358">
        <f ca="1">COUNTIFS(BV!$CB$55:$CB$160,"&gt;=" &amp; DATE($A16,$B16,1),BV!$CB$55:$CB$160,"&lt;" &amp; DATE($A16,$C16+1,1))</f>
        <v>0</v>
      </c>
      <c r="AQ16" s="35">
        <f t="shared" ca="1" si="65"/>
        <v>0</v>
      </c>
      <c r="AR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S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T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U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V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W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X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Y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Z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BA16" s="509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BB16" s="35">
        <f t="shared" ca="1" si="66"/>
        <v>0</v>
      </c>
      <c r="BC16" s="35">
        <f t="shared" ca="1" si="67"/>
        <v>0</v>
      </c>
      <c r="BD16" s="12" t="e">
        <f t="shared" ca="1" si="68"/>
        <v>#DIV/0!</v>
      </c>
      <c r="BE16" s="378" t="e">
        <f t="shared" ca="1" si="69"/>
        <v>#DIV/0!</v>
      </c>
    </row>
    <row r="17" spans="1:57" x14ac:dyDescent="0.25">
      <c r="A17" s="377">
        <f t="shared" ref="A17:C17" si="114">A28</f>
        <v>2019</v>
      </c>
      <c r="B17" s="360">
        <f t="shared" si="114"/>
        <v>4</v>
      </c>
      <c r="C17" s="360">
        <f t="shared" si="114"/>
        <v>6</v>
      </c>
      <c r="D17" s="361" t="s">
        <v>39</v>
      </c>
      <c r="E17" s="356">
        <f ca="1">COUNTIFS(OFFSET(Arb!$C$2,Arb!$AJ$36,,Arb!$AJ$37,),$A17,OFFSET(Arb!$AI$2,Arb!$AJ$36,,Arb!$AJ$37,),TRUE,OFFSET(Arb!$B$2,Arb!$AJ$36,,Arb!$AJ$37,),"&gt;="&amp;$B17,OFFSET(Arb!$B$2,Arb!$AJ$36,,Arb!$AJ$37,),"&lt;="&amp;$C17)</f>
        <v>0</v>
      </c>
      <c r="F17" s="356">
        <f ca="1">SUMIFS(OFFSET(Arb!$I$2,Arb!$AJ$36,,Arb!$AJ$37,),OFFSET(Arb!$C$2,Arb!$AJ$36,,Arb!$AJ$37,),$A17,OFFSET(Arb!$AI$2,Arb!$AJ$36,,Arb!$AJ$37,),TRUE,OFFSET(Arb!$B$2,Arb!$AJ$36,,Arb!$AJ$37,),"&gt;="&amp;$B17,OFFSET(Arb!$B$2,Arb!$AJ$36,,Arb!$AJ$37,),"&lt;="&amp;$C17)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G17" s="356">
        <f ca="1">SUMIFS(OFFSET(Arb!$H$2,Arb!$AJ$36,,Arb!$AJ$37,),OFFSET(Arb!$C$2,Arb!$AJ$36,,Arb!$AJ$37,),$A17,OFFSET(Arb!$AI$2,Arb!$AJ$36,,Arb!$AJ$37,),TRUE,OFFSET(Arb!$B$2,Arb!$AJ$36,,Arb!$AJ$37,),"&gt;="&amp;$B17,OFFSET(Arb!$B$2,Arb!$AJ$36,,Arb!$AJ$37,),"&lt;="&amp;$C17)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H17" s="356">
        <f ca="1">SUMIFS(OFFSET(Arb!$AC$2,Arb!$AJ$36,,Arb!$AJ$37,),OFFSET(Arb!$C$2,Arb!$AJ$36,,Arb!$AJ$37,),$A17,OFFSET(Arb!$AI$2,Arb!$AJ$36,,Arb!$AJ$37,),TRUE,OFFSET(Arb!$B$2,Arb!$AJ$36,,Arb!$AJ$37,),"&gt;="&amp;$B17,OFFSET(Arb!$B$2,Arb!$AJ$36,,Arb!$AJ$37,),"&lt;="&amp;$C17)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I17" s="356">
        <f ca="1">SUMIFS(OFFSET(Arb!$U$2,Arb!$AJ$36,,Arb!$AJ$37,),OFFSET(Arb!$C$2,Arb!$AJ$36,,Arb!$AJ$37,),$A17,OFFSET(Arb!$AI$2,Arb!$AJ$36,,Arb!$AJ$37,),TRUE,OFFSET(Arb!$B$2,Arb!$AJ$36,,Arb!$AJ$37,),"&gt;="&amp;$B17,OFFSET(Arb!$B$2,Arb!$AJ$36,,Arb!$AJ$37,),"&lt;="&amp;$C17)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J17" s="356">
        <f ca="1">SUMIFS(OFFSET(Arb!$V$2,Arb!$AJ$36,,Arb!$AJ$37,),OFFSET(Arb!$C$2,Arb!$AJ$36,,Arb!$AJ$37,),$A17,OFFSET(Arb!$AI$2,Arb!$AJ$36,,Arb!$AJ$37,),TRUE,OFFSET(Arb!$B$2,Arb!$AJ$36,,Arb!$AJ$37,),"&gt;="&amp;$B17,OFFSET(Arb!$B$2,Arb!$AJ$36,,Arb!$AJ$37,),"&lt;="&amp;$C17)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K17" s="356">
        <f ca="1">SUMIFS(OFFSET(Arb!$X$2,Arb!$AJ$36,,Arb!$AJ$37,),OFFSET(Arb!$C$2,Arb!$AJ$36,,Arb!$AJ$37,),$A17,OFFSET(Arb!$AI$2,Arb!$AJ$36,,Arb!$AJ$37,),TRUE,OFFSET(Arb!$B$2,Arb!$AJ$36,,Arb!$AJ$37,),"&gt;="&amp;$B17,OFFSET(Arb!$B$2,Arb!$AJ$36,,Arb!$AJ$37,),"&lt;="&amp;$C17)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L17" s="356">
        <f ca="1">SUMIFS(OFFSET(Arb!$AA$2,Arb!$AJ$36,,Arb!$AJ$37,),OFFSET(Arb!$C$2,Arb!$AJ$36,,Arb!$AJ$37,),$A17,OFFSET(Arb!$AI$2,Arb!$AJ$36,,Arb!$AJ$37,),TRUE,OFFSET(Arb!$B$2,Arb!$AJ$36,,Arb!$AJ$37,),"&gt;="&amp;$B17,OFFSET(Arb!$B$2,Arb!$AJ$36,,Arb!$AJ$37,),"&lt;="&amp;$C17)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M17" s="356">
        <f ca="1">SUMIFS(OFFSET(Arb!$AB$2,Arb!$AJ$36,,Arb!$AJ$37,),OFFSET(Arb!$C$2,Arb!$AJ$36,,Arb!$AJ$37,),$A17,OFFSET(Arb!$AI$2,Arb!$AJ$36,,Arb!$AJ$37,),TRUE,OFFSET(Arb!$B$2,Arb!$AJ$36,,Arb!$AJ$37,),"&gt;="&amp;$B17,OFFSET(Arb!$B$2,Arb!$AJ$36,,Arb!$AJ$37,),"&lt;="&amp;$C17)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N17" s="356">
        <f t="shared" ca="1" si="47"/>
        <v>0</v>
      </c>
      <c r="O17" s="357" t="str">
        <f t="shared" ca="1" si="48"/>
        <v/>
      </c>
      <c r="P17" s="12" t="str">
        <f t="shared" ca="1" si="49"/>
        <v/>
      </c>
      <c r="Q17" s="33" t="str">
        <f t="shared" ca="1" si="71"/>
        <v/>
      </c>
      <c r="R17" s="20" t="str">
        <f t="shared" ca="1" si="51"/>
        <v/>
      </c>
      <c r="S17" s="33" t="str">
        <f t="shared" ca="1" si="52"/>
        <v/>
      </c>
      <c r="T17" s="33" t="str">
        <f t="shared" ca="1" si="72"/>
        <v/>
      </c>
      <c r="U17" s="34" t="str">
        <f t="shared" ca="1" si="54"/>
        <v/>
      </c>
      <c r="V17" s="34" t="str">
        <f t="shared" ca="1" si="55"/>
        <v/>
      </c>
      <c r="W17" s="34" t="str">
        <f t="shared" ca="1" si="56"/>
        <v/>
      </c>
      <c r="X17" s="33" t="str">
        <f t="shared" ca="1" si="73"/>
        <v/>
      </c>
      <c r="Y17" s="33" t="str">
        <f t="shared" ca="1" si="74"/>
        <v/>
      </c>
      <c r="Z17" s="33" t="str">
        <f t="shared" ca="1" si="59"/>
        <v/>
      </c>
      <c r="AA17" s="359" t="str">
        <f t="shared" ca="1" si="60"/>
        <v/>
      </c>
      <c r="AB17" s="34" t="str">
        <f t="shared" ca="1" si="75"/>
        <v/>
      </c>
      <c r="AC17" s="33" t="str">
        <f t="shared" ca="1" si="76"/>
        <v/>
      </c>
      <c r="AD17" s="21" t="str">
        <f t="shared" ca="1" si="63"/>
        <v/>
      </c>
      <c r="AE17" s="470">
        <f ca="1">AE6</f>
        <v>0</v>
      </c>
      <c r="AF17" s="12" t="e">
        <f t="shared" ca="1" si="64"/>
        <v>#DIV/0!</v>
      </c>
      <c r="AG17" s="358">
        <f ca="1">COUNTIFS(BV!$H$55:$H$160,"&gt;=" &amp; DATE($A17,$B17,1),BV!$H$55:$H$160,"&lt;" &amp; DATE($A17,$C17+1,1))</f>
        <v>0</v>
      </c>
      <c r="AH17" s="358">
        <f ca="1">COUNTIFS(BV!$P$55:$P$160,"&gt;=" &amp; DATE($A17,$B17,1),BV!$P$55:$P$160,"&lt;" &amp; DATE($A17,$C17+1,1))</f>
        <v>0</v>
      </c>
      <c r="AI17" s="358">
        <f ca="1">COUNTIFS(BV!$X$55:$X$160,"&gt;=" &amp; DATE($A17,$B17,1),BV!$X$55:$X$160,"&lt;" &amp; DATE($A17,$C17+1,1))</f>
        <v>0</v>
      </c>
      <c r="AJ17" s="358">
        <f ca="1">COUNTIFS(BV!$AF$55:$AF$160,"&gt;=" &amp; DATE($A17,$B17,1),BV!$AF$55:$AF$160,"&lt;" &amp; DATE($A17,$C17+1,1))</f>
        <v>0</v>
      </c>
      <c r="AK17" s="358">
        <f ca="1">COUNTIFS(BV!$AN$55:$AN$160,"&gt;=" &amp; DATE($A17,$B17,1),BV!$AN$55:$AN$160,"&lt;" &amp; DATE($A17,$C17+1,1))</f>
        <v>0</v>
      </c>
      <c r="AL17" s="358">
        <f ca="1">COUNTIFS(BV!$AV$55:$AV$160,"&gt;=" &amp; DATE($A17,$B17,1),BV!$AV$55:$AV$160,"&lt;" &amp; DATE($A17,$C17+1,1))</f>
        <v>0</v>
      </c>
      <c r="AM17" s="358">
        <f ca="1">COUNTIFS(BV!$BD$55:$BD$160,"&gt;=" &amp; DATE($A17,$B17,1),BV!$BD$55:$BD$160,"&lt;" &amp; DATE($A17,$C17+1,1))</f>
        <v>0</v>
      </c>
      <c r="AN17" s="358">
        <f ca="1">COUNTIFS(BV!$BL$55:$BL$160,"&gt;=" &amp; DATE($A17,$B17,1),BV!$BL$55:$BL$160,"&lt;" &amp; DATE($A17,$C17+1,1))</f>
        <v>0</v>
      </c>
      <c r="AO17" s="358">
        <f ca="1">COUNTIFS(BV!$BT$55:$BT$160,"&gt;=" &amp; DATE($A17,$B17,1),BV!$BT$55:$BT$160,"&lt;" &amp; DATE($A17,$C17+1,1))</f>
        <v>0</v>
      </c>
      <c r="AP17" s="358">
        <f ca="1">COUNTIFS(BV!$CB$55:$CB$160,"&gt;=" &amp; DATE($A17,$B17,1),BV!$CB$55:$CB$160,"&lt;" &amp; DATE($A17,$C17+1,1))</f>
        <v>0</v>
      </c>
      <c r="AQ17" s="35">
        <f t="shared" ca="1" si="65"/>
        <v>0</v>
      </c>
      <c r="AR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S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T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U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V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W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X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Y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Z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BA17" s="509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BB17" s="35">
        <f t="shared" ca="1" si="66"/>
        <v>0</v>
      </c>
      <c r="BC17" s="35">
        <f t="shared" ca="1" si="67"/>
        <v>0</v>
      </c>
      <c r="BD17" s="12" t="e">
        <f t="shared" ca="1" si="68"/>
        <v>#DIV/0!</v>
      </c>
      <c r="BE17" s="378" t="e">
        <f t="shared" ca="1" si="69"/>
        <v>#DIV/0!</v>
      </c>
    </row>
    <row r="18" spans="1:57" x14ac:dyDescent="0.25">
      <c r="A18" s="377">
        <f t="shared" ref="A18:C18" si="115">A29</f>
        <v>2019</v>
      </c>
      <c r="B18" s="360">
        <f t="shared" si="115"/>
        <v>7</v>
      </c>
      <c r="C18" s="360">
        <f t="shared" si="115"/>
        <v>9</v>
      </c>
      <c r="D18" s="361" t="s">
        <v>39</v>
      </c>
      <c r="E18" s="356">
        <f ca="1">COUNTIFS(OFFSET(Arb!$C$2,Arb!$AJ$36,,Arb!$AJ$37,),$A18,OFFSET(Arb!$AI$2,Arb!$AJ$36,,Arb!$AJ$37,),TRUE,OFFSET(Arb!$B$2,Arb!$AJ$36,,Arb!$AJ$37,),"&gt;="&amp;$B18,OFFSET(Arb!$B$2,Arb!$AJ$36,,Arb!$AJ$37,),"&lt;="&amp;$C18)</f>
        <v>0</v>
      </c>
      <c r="F18" s="356">
        <f ca="1">SUMIFS(OFFSET(Arb!$I$2,Arb!$AJ$36,,Arb!$AJ$37,),OFFSET(Arb!$C$2,Arb!$AJ$36,,Arb!$AJ$37,),$A18,OFFSET(Arb!$AI$2,Arb!$AJ$36,,Arb!$AJ$37,),TRUE,OFFSET(Arb!$B$2,Arb!$AJ$36,,Arb!$AJ$37,),"&gt;="&amp;$B18,OFFSET(Arb!$B$2,Arb!$AJ$36,,Arb!$AJ$37,),"&lt;="&amp;$C18)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G18" s="356">
        <f ca="1">SUMIFS(OFFSET(Arb!$H$2,Arb!$AJ$36,,Arb!$AJ$37,),OFFSET(Arb!$C$2,Arb!$AJ$36,,Arb!$AJ$37,),$A18,OFFSET(Arb!$AI$2,Arb!$AJ$36,,Arb!$AJ$37,),TRUE,OFFSET(Arb!$B$2,Arb!$AJ$36,,Arb!$AJ$37,),"&gt;="&amp;$B18,OFFSET(Arb!$B$2,Arb!$AJ$36,,Arb!$AJ$37,),"&lt;="&amp;$C18)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H18" s="356">
        <f ca="1">SUMIFS(OFFSET(Arb!$AC$2,Arb!$AJ$36,,Arb!$AJ$37,),OFFSET(Arb!$C$2,Arb!$AJ$36,,Arb!$AJ$37,),$A18,OFFSET(Arb!$AI$2,Arb!$AJ$36,,Arb!$AJ$37,),TRUE,OFFSET(Arb!$B$2,Arb!$AJ$36,,Arb!$AJ$37,),"&gt;="&amp;$B18,OFFSET(Arb!$B$2,Arb!$AJ$36,,Arb!$AJ$37,),"&lt;="&amp;$C18)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I18" s="356">
        <f ca="1">SUMIFS(OFFSET(Arb!$U$2,Arb!$AJ$36,,Arb!$AJ$37,),OFFSET(Arb!$C$2,Arb!$AJ$36,,Arb!$AJ$37,),$A18,OFFSET(Arb!$AI$2,Arb!$AJ$36,,Arb!$AJ$37,),TRUE,OFFSET(Arb!$B$2,Arb!$AJ$36,,Arb!$AJ$37,),"&gt;="&amp;$B18,OFFSET(Arb!$B$2,Arb!$AJ$36,,Arb!$AJ$37,),"&lt;="&amp;$C18)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J18" s="356">
        <f ca="1">SUMIFS(OFFSET(Arb!$V$2,Arb!$AJ$36,,Arb!$AJ$37,),OFFSET(Arb!$C$2,Arb!$AJ$36,,Arb!$AJ$37,),$A18,OFFSET(Arb!$AI$2,Arb!$AJ$36,,Arb!$AJ$37,),TRUE,OFFSET(Arb!$B$2,Arb!$AJ$36,,Arb!$AJ$37,),"&gt;="&amp;$B18,OFFSET(Arb!$B$2,Arb!$AJ$36,,Arb!$AJ$37,),"&lt;="&amp;$C18)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K18" s="356">
        <f ca="1">SUMIFS(OFFSET(Arb!$X$2,Arb!$AJ$36,,Arb!$AJ$37,),OFFSET(Arb!$C$2,Arb!$AJ$36,,Arb!$AJ$37,),$A18,OFFSET(Arb!$AI$2,Arb!$AJ$36,,Arb!$AJ$37,),TRUE,OFFSET(Arb!$B$2,Arb!$AJ$36,,Arb!$AJ$37,),"&gt;="&amp;$B18,OFFSET(Arb!$B$2,Arb!$AJ$36,,Arb!$AJ$37,),"&lt;="&amp;$C18)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L18" s="356">
        <f ca="1">SUMIFS(OFFSET(Arb!$AA$2,Arb!$AJ$36,,Arb!$AJ$37,),OFFSET(Arb!$C$2,Arb!$AJ$36,,Arb!$AJ$37,),$A18,OFFSET(Arb!$AI$2,Arb!$AJ$36,,Arb!$AJ$37,),TRUE,OFFSET(Arb!$B$2,Arb!$AJ$36,,Arb!$AJ$37,),"&gt;="&amp;$B18,OFFSET(Arb!$B$2,Arb!$AJ$36,,Arb!$AJ$37,),"&lt;="&amp;$C18)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M18" s="356">
        <f ca="1">SUMIFS(OFFSET(Arb!$AB$2,Arb!$AJ$36,,Arb!$AJ$37,),OFFSET(Arb!$C$2,Arb!$AJ$36,,Arb!$AJ$37,),$A18,OFFSET(Arb!$AI$2,Arb!$AJ$36,,Arb!$AJ$37,),TRUE,OFFSET(Arb!$B$2,Arb!$AJ$36,,Arb!$AJ$37,),"&gt;="&amp;$B18,OFFSET(Arb!$B$2,Arb!$AJ$36,,Arb!$AJ$37,),"&lt;="&amp;$C18)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N18" s="356">
        <f t="shared" ca="1" si="47"/>
        <v>0</v>
      </c>
      <c r="O18" s="357" t="str">
        <f t="shared" ca="1" si="48"/>
        <v/>
      </c>
      <c r="P18" s="12" t="str">
        <f t="shared" ca="1" si="49"/>
        <v/>
      </c>
      <c r="Q18" s="33" t="str">
        <f t="shared" ca="1" si="71"/>
        <v/>
      </c>
      <c r="R18" s="20" t="str">
        <f t="shared" ca="1" si="51"/>
        <v/>
      </c>
      <c r="S18" s="33" t="str">
        <f t="shared" ca="1" si="52"/>
        <v/>
      </c>
      <c r="T18" s="33" t="str">
        <f t="shared" ca="1" si="72"/>
        <v/>
      </c>
      <c r="U18" s="34" t="str">
        <f t="shared" ca="1" si="54"/>
        <v/>
      </c>
      <c r="V18" s="34" t="str">
        <f t="shared" ca="1" si="55"/>
        <v/>
      </c>
      <c r="W18" s="34" t="str">
        <f t="shared" ca="1" si="56"/>
        <v/>
      </c>
      <c r="X18" s="33" t="str">
        <f t="shared" ca="1" si="73"/>
        <v/>
      </c>
      <c r="Y18" s="33" t="str">
        <f t="shared" ca="1" si="74"/>
        <v/>
      </c>
      <c r="Z18" s="33" t="str">
        <f t="shared" ca="1" si="59"/>
        <v/>
      </c>
      <c r="AA18" s="359" t="str">
        <f t="shared" ca="1" si="60"/>
        <v/>
      </c>
      <c r="AB18" s="34" t="str">
        <f t="shared" ca="1" si="75"/>
        <v/>
      </c>
      <c r="AC18" s="33" t="str">
        <f t="shared" ca="1" si="76"/>
        <v/>
      </c>
      <c r="AD18" s="21" t="str">
        <f t="shared" ca="1" si="63"/>
        <v/>
      </c>
      <c r="AE18" s="470">
        <f ca="1">AE7</f>
        <v>0</v>
      </c>
      <c r="AF18" s="12" t="e">
        <f t="shared" ca="1" si="64"/>
        <v>#DIV/0!</v>
      </c>
      <c r="AG18" s="358">
        <f ca="1">COUNTIFS(BV!$H$55:$H$160,"&gt;=" &amp; DATE($A18,$B18,1),BV!$H$55:$H$160,"&lt;" &amp; DATE($A18,$C18+1,1))</f>
        <v>0</v>
      </c>
      <c r="AH18" s="358">
        <f ca="1">COUNTIFS(BV!$P$55:$P$160,"&gt;=" &amp; DATE($A18,$B18,1),BV!$P$55:$P$160,"&lt;" &amp; DATE($A18,$C18+1,1))</f>
        <v>0</v>
      </c>
      <c r="AI18" s="358">
        <f ca="1">COUNTIFS(BV!$X$55:$X$160,"&gt;=" &amp; DATE($A18,$B18,1),BV!$X$55:$X$160,"&lt;" &amp; DATE($A18,$C18+1,1))</f>
        <v>0</v>
      </c>
      <c r="AJ18" s="358">
        <f ca="1">COUNTIFS(BV!$AF$55:$AF$160,"&gt;=" &amp; DATE($A18,$B18,1),BV!$AF$55:$AF$160,"&lt;" &amp; DATE($A18,$C18+1,1))</f>
        <v>0</v>
      </c>
      <c r="AK18" s="358">
        <f ca="1">COUNTIFS(BV!$AN$55:$AN$160,"&gt;=" &amp; DATE($A18,$B18,1),BV!$AN$55:$AN$160,"&lt;" &amp; DATE($A18,$C18+1,1))</f>
        <v>0</v>
      </c>
      <c r="AL18" s="358">
        <f ca="1">COUNTIFS(BV!$AV$55:$AV$160,"&gt;=" &amp; DATE($A18,$B18,1),BV!$AV$55:$AV$160,"&lt;" &amp; DATE($A18,$C18+1,1))</f>
        <v>0</v>
      </c>
      <c r="AM18" s="358">
        <f ca="1">COUNTIFS(BV!$BD$55:$BD$160,"&gt;=" &amp; DATE($A18,$B18,1),BV!$BD$55:$BD$160,"&lt;" &amp; DATE($A18,$C18+1,1))</f>
        <v>0</v>
      </c>
      <c r="AN18" s="358">
        <f ca="1">COUNTIFS(BV!$BL$55:$BL$160,"&gt;=" &amp; DATE($A18,$B18,1),BV!$BL$55:$BL$160,"&lt;" &amp; DATE($A18,$C18+1,1))</f>
        <v>0</v>
      </c>
      <c r="AO18" s="358">
        <f ca="1">COUNTIFS(BV!$BT$55:$BT$160,"&gt;=" &amp; DATE($A18,$B18,1),BV!$BT$55:$BT$160,"&lt;" &amp; DATE($A18,$C18+1,1))</f>
        <v>0</v>
      </c>
      <c r="AP18" s="358">
        <f ca="1">COUNTIFS(BV!$CB$55:$CB$160,"&gt;=" &amp; DATE($A18,$B18,1),BV!$CB$55:$CB$160,"&lt;" &amp; DATE($A18,$C18+1,1))</f>
        <v>0</v>
      </c>
      <c r="AQ18" s="35">
        <f t="shared" ca="1" si="65"/>
        <v>0</v>
      </c>
      <c r="AR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S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T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U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V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W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X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Y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Z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BA18" s="509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BB18" s="35">
        <f t="shared" ca="1" si="66"/>
        <v>0</v>
      </c>
      <c r="BC18" s="35">
        <f t="shared" ca="1" si="67"/>
        <v>0</v>
      </c>
      <c r="BD18" s="12" t="e">
        <f t="shared" ca="1" si="68"/>
        <v>#DIV/0!</v>
      </c>
      <c r="BE18" s="378" t="e">
        <f t="shared" ca="1" si="69"/>
        <v>#DIV/0!</v>
      </c>
    </row>
    <row r="19" spans="1:57" x14ac:dyDescent="0.25">
      <c r="A19" s="377">
        <f t="shared" ref="A19:C19" si="116">A30</f>
        <v>2019</v>
      </c>
      <c r="B19" s="360">
        <f t="shared" si="116"/>
        <v>10</v>
      </c>
      <c r="C19" s="360">
        <f t="shared" si="116"/>
        <v>12</v>
      </c>
      <c r="D19" s="361" t="s">
        <v>39</v>
      </c>
      <c r="E19" s="356">
        <f ca="1">COUNTIFS(OFFSET(Arb!$C$2,Arb!$AJ$36,,Arb!$AJ$37,),$A19,OFFSET(Arb!$AI$2,Arb!$AJ$36,,Arb!$AJ$37,),TRUE,OFFSET(Arb!$B$2,Arb!$AJ$36,,Arb!$AJ$37,),"&gt;="&amp;$B19,OFFSET(Arb!$B$2,Arb!$AJ$36,,Arb!$AJ$37,),"&lt;="&amp;$C19)</f>
        <v>284</v>
      </c>
      <c r="F19" s="356">
        <f ca="1">SUMIFS(OFFSET(Arb!$I$2,Arb!$AJ$36,,Arb!$AJ$37,),OFFSET(Arb!$C$2,Arb!$AJ$36,,Arb!$AJ$37,),$A19,OFFSET(Arb!$AI$2,Arb!$AJ$36,,Arb!$AJ$37,),TRUE,OFFSET(Arb!$B$2,Arb!$AJ$36,,Arb!$AJ$37,),"&gt;="&amp;$B19,OFFSET(Arb!$B$2,Arb!$AJ$36,,Arb!$AJ$37,),"&lt;="&amp;$C19)</f>
        <v>18359</v>
      </c>
      <c r="G19" s="356">
        <f ca="1">SUMIFS(OFFSET(Arb!$H$2,Arb!$AJ$36,,Arb!$AJ$37,),OFFSET(Arb!$C$2,Arb!$AJ$36,,Arb!$AJ$37,),$A19,OFFSET(Arb!$AI$2,Arb!$AJ$36,,Arb!$AJ$37,),TRUE,OFFSET(Arb!$B$2,Arb!$AJ$36,,Arb!$AJ$37,),"&gt;="&amp;$B19,OFFSET(Arb!$B$2,Arb!$AJ$36,,Arb!$AJ$37,),"&lt;="&amp;$C19)</f>
        <v>7532.9100000000008</v>
      </c>
      <c r="H19" s="356">
        <f ca="1">SUMIFS(OFFSET(Arb!$AC$2,Arb!$AJ$36,,Arb!$AJ$37,),OFFSET(Arb!$C$2,Arb!$AJ$36,,Arb!$AJ$37,),$A19,OFFSET(Arb!$AI$2,Arb!$AJ$36,,Arb!$AJ$37,),TRUE,OFFSET(Arb!$B$2,Arb!$AJ$36,,Arb!$AJ$37,),"&gt;="&amp;$B19,OFFSET(Arb!$B$2,Arb!$AJ$36,,Arb!$AJ$37,),"&lt;="&amp;$C19)</f>
        <v>959713</v>
      </c>
      <c r="I19" s="356">
        <f ca="1">SUMIFS(OFFSET(Arb!$U$2,Arb!$AJ$36,,Arb!$AJ$37,),OFFSET(Arb!$C$2,Arb!$AJ$36,,Arb!$AJ$37,),$A19,OFFSET(Arb!$AI$2,Arb!$AJ$36,,Arb!$AJ$37,),TRUE,OFFSET(Arb!$B$2,Arb!$AJ$36,,Arb!$AJ$37,),"&gt;="&amp;$B19,OFFSET(Arb!$B$2,Arb!$AJ$36,,Arb!$AJ$37,),"&lt;="&amp;$C19)</f>
        <v>24804</v>
      </c>
      <c r="J19" s="356">
        <f ca="1">SUMIFS(OFFSET(Arb!$V$2,Arb!$AJ$36,,Arb!$AJ$37,),OFFSET(Arb!$C$2,Arb!$AJ$36,,Arb!$AJ$37,),$A19,OFFSET(Arb!$AI$2,Arb!$AJ$36,,Arb!$AJ$37,),TRUE,OFFSET(Arb!$B$2,Arb!$AJ$36,,Arb!$AJ$37,),"&gt;="&amp;$B19,OFFSET(Arb!$B$2,Arb!$AJ$36,,Arb!$AJ$37,),"&lt;="&amp;$C19)</f>
        <v>1963</v>
      </c>
      <c r="K19" s="356">
        <f ca="1">SUMIFS(OFFSET(Arb!$X$2,Arb!$AJ$36,,Arb!$AJ$37,),OFFSET(Arb!$C$2,Arb!$AJ$36,,Arb!$AJ$37,),$A19,OFFSET(Arb!$AI$2,Arb!$AJ$36,,Arb!$AJ$37,),TRUE,OFFSET(Arb!$B$2,Arb!$AJ$36,,Arb!$AJ$37,),"&gt;="&amp;$B19,OFFSET(Arb!$B$2,Arb!$AJ$36,,Arb!$AJ$37,),"&lt;="&amp;$C19)</f>
        <v>23180</v>
      </c>
      <c r="L19" s="356">
        <f ca="1">SUMIFS(OFFSET(Arb!$AA$2,Arb!$AJ$36,,Arb!$AJ$37,),OFFSET(Arb!$C$2,Arb!$AJ$36,,Arb!$AJ$37,),$A19,OFFSET(Arb!$AI$2,Arb!$AJ$36,,Arb!$AJ$37,),TRUE,OFFSET(Arb!$B$2,Arb!$AJ$36,,Arb!$AJ$37,),"&gt;="&amp;$B19,OFFSET(Arb!$B$2,Arb!$AJ$36,,Arb!$AJ$37,),"&lt;="&amp;$C19)</f>
        <v>2086</v>
      </c>
      <c r="M19" s="356">
        <f ca="1">SUMIFS(OFFSET(Arb!$AB$2,Arb!$AJ$36,,Arb!$AJ$37,),OFFSET(Arb!$C$2,Arb!$AJ$36,,Arb!$AJ$37,),$A19,OFFSET(Arb!$AI$2,Arb!$AJ$36,,Arb!$AJ$37,),TRUE,OFFSET(Arb!$B$2,Arb!$AJ$36,,Arb!$AJ$37,),"&gt;="&amp;$B19,OFFSET(Arb!$B$2,Arb!$AJ$36,,Arb!$AJ$37,),"&lt;="&amp;$C19)</f>
        <v>2240</v>
      </c>
      <c r="N19" s="356">
        <f t="shared" ca="1" si="47"/>
        <v>26767</v>
      </c>
      <c r="O19" s="357">
        <f t="shared" ca="1" si="48"/>
        <v>64.644366197183103</v>
      </c>
      <c r="P19" s="12">
        <f t="shared" ca="1" si="49"/>
        <v>26.524330985915494</v>
      </c>
      <c r="Q19" s="33">
        <f t="shared" ca="1" si="71"/>
        <v>2.4371723543756665</v>
      </c>
      <c r="R19" s="20">
        <f t="shared" ca="1" si="51"/>
        <v>3.077164070724328</v>
      </c>
      <c r="S19" s="33">
        <f t="shared" ca="1" si="52"/>
        <v>3.5533412718325317</v>
      </c>
      <c r="T19" s="33">
        <f t="shared" ca="1" si="72"/>
        <v>4.0706603212006627</v>
      </c>
      <c r="U19" s="34">
        <f t="shared" ca="1" si="54"/>
        <v>37.765371676764353</v>
      </c>
      <c r="V19" s="34">
        <f t="shared" ca="1" si="55"/>
        <v>7.345070422535211</v>
      </c>
      <c r="W19" s="34">
        <f t="shared" ca="1" si="56"/>
        <v>7.887323943661972</v>
      </c>
      <c r="X19" s="33">
        <f t="shared" ca="1" si="73"/>
        <v>0.86599170620540222</v>
      </c>
      <c r="Y19" s="33">
        <f t="shared" ca="1" si="74"/>
        <v>0.792018981880932</v>
      </c>
      <c r="Z19" s="33">
        <f t="shared" ca="1" si="59"/>
        <v>0.68588186946613372</v>
      </c>
      <c r="AA19" s="359">
        <f t="shared" ca="1" si="60"/>
        <v>211.2044454225352</v>
      </c>
      <c r="AB19" s="34">
        <f t="shared" ca="1" si="75"/>
        <v>7.9626681455108308</v>
      </c>
      <c r="AC19" s="33">
        <f t="shared" ca="1" si="76"/>
        <v>0.30607483695646515</v>
      </c>
      <c r="AD19" s="21">
        <f t="shared" ca="1" si="63"/>
        <v>24.502436324467045</v>
      </c>
      <c r="AE19" s="470">
        <f ca="1">AE8</f>
        <v>59</v>
      </c>
      <c r="AF19" s="12">
        <f t="shared" ca="1" si="64"/>
        <v>4.8135593220338979</v>
      </c>
      <c r="AG19" s="358">
        <f ca="1">COUNTIFS(BV!$H$55:$H$160,"&gt;=" &amp; DATE($A19,$B19,1),BV!$H$55:$H$160,"&lt;" &amp; DATE($A19,$C19+1,1))</f>
        <v>27</v>
      </c>
      <c r="AH19" s="358">
        <f ca="1">COUNTIFS(BV!$P$55:$P$160,"&gt;=" &amp; DATE($A19,$B19,1),BV!$P$55:$P$160,"&lt;" &amp; DATE($A19,$C19+1,1))</f>
        <v>23</v>
      </c>
      <c r="AI19" s="358">
        <f ca="1">COUNTIFS(BV!$X$55:$X$160,"&gt;=" &amp; DATE($A19,$B19,1),BV!$X$55:$X$160,"&lt;" &amp; DATE($A19,$C19+1,1))</f>
        <v>22</v>
      </c>
      <c r="AJ19" s="358">
        <f ca="1">COUNTIFS(BV!$AF$55:$AF$160,"&gt;=" &amp; DATE($A19,$B19,1),BV!$AF$55:$AF$160,"&lt;" &amp; DATE($A19,$C19+1,1))</f>
        <v>24</v>
      </c>
      <c r="AK19" s="358">
        <f ca="1">COUNTIFS(BV!$AN$55:$AN$160,"&gt;=" &amp; DATE($A19,$B19,1),BV!$AN$55:$AN$160,"&lt;" &amp; DATE($A19,$C19+1,1))</f>
        <v>19</v>
      </c>
      <c r="AL19" s="358">
        <f ca="1">COUNTIFS(BV!$AV$55:$AV$160,"&gt;=" &amp; DATE($A19,$B19,1),BV!$AV$55:$AV$160,"&lt;" &amp; DATE($A19,$C19+1,1))</f>
        <v>17</v>
      </c>
      <c r="AM19" s="358">
        <f ca="1">COUNTIFS(BV!$BD$55:$BD$160,"&gt;=" &amp; DATE($A19,$B19,1),BV!$BD$55:$BD$160,"&lt;" &amp; DATE($A19,$C19+1,1))</f>
        <v>18</v>
      </c>
      <c r="AN19" s="358">
        <f ca="1">COUNTIFS(BV!$BL$55:$BL$160,"&gt;=" &amp; DATE($A19,$B19,1),BV!$BL$55:$BL$160,"&lt;" &amp; DATE($A19,$C19+1,1))</f>
        <v>21</v>
      </c>
      <c r="AO19" s="358">
        <f ca="1">COUNTIFS(BV!$BT$55:$BT$160,"&gt;=" &amp; DATE($A19,$B19,1),BV!$BT$55:$BT$160,"&lt;" &amp; DATE($A19,$C19+1,1))</f>
        <v>21</v>
      </c>
      <c r="AP19" s="358">
        <f ca="1">COUNTIFS(BV!$CB$55:$CB$160,"&gt;=" &amp; DATE($A19,$B19,1),BV!$CB$55:$CB$160,"&lt;" &amp; DATE($A19,$C19+1,1))</f>
        <v>15</v>
      </c>
      <c r="AQ19" s="35">
        <f t="shared" ca="1" si="65"/>
        <v>674.96428571428567</v>
      </c>
      <c r="AR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28</v>
      </c>
      <c r="AS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23</v>
      </c>
      <c r="AT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24</v>
      </c>
      <c r="AU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20</v>
      </c>
      <c r="AV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20</v>
      </c>
      <c r="AW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28</v>
      </c>
      <c r="AX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25</v>
      </c>
      <c r="AY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33</v>
      </c>
      <c r="AZ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32</v>
      </c>
      <c r="BA19" s="509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32</v>
      </c>
      <c r="BB19" s="35">
        <f t="shared" ca="1" si="66"/>
        <v>756.18650793650795</v>
      </c>
      <c r="BC19" s="35">
        <f t="shared" ca="1" si="67"/>
        <v>1431.1507936507937</v>
      </c>
      <c r="BD19" s="12">
        <f t="shared" ca="1" si="68"/>
        <v>24.256793112725319</v>
      </c>
      <c r="BE19" s="378">
        <f t="shared" ca="1" si="69"/>
        <v>5.0392633579253303</v>
      </c>
    </row>
    <row r="20" spans="1:57" x14ac:dyDescent="0.25">
      <c r="A20" s="377">
        <f t="shared" ref="A20:C20" si="117">A31</f>
        <v>2020</v>
      </c>
      <c r="B20" s="360">
        <f t="shared" si="117"/>
        <v>1</v>
      </c>
      <c r="C20" s="360">
        <f t="shared" si="117"/>
        <v>3</v>
      </c>
      <c r="D20" s="361" t="s">
        <v>39</v>
      </c>
      <c r="E20" s="356">
        <f ca="1">COUNTIFS(OFFSET(Arb!$C$2,Arb!$AJ$36,,Arb!$AJ$37,),$A20,OFFSET(Arb!$AI$2,Arb!$AJ$36,,Arb!$AJ$37,),TRUE,OFFSET(Arb!$B$2,Arb!$AJ$36,,Arb!$AJ$37,),"&gt;="&amp;$B20,OFFSET(Arb!$B$2,Arb!$AJ$36,,Arb!$AJ$37,),"&lt;="&amp;$C20)</f>
        <v>104</v>
      </c>
      <c r="F20" s="356">
        <f ca="1">SUMIFS(OFFSET(Arb!$I$2,Arb!$AJ$36,,Arb!$AJ$37,),OFFSET(Arb!$C$2,Arb!$AJ$36,,Arb!$AJ$37,),$A20,OFFSET(Arb!$AI$2,Arb!$AJ$36,,Arb!$AJ$37,),TRUE,OFFSET(Arb!$B$2,Arb!$AJ$36,,Arb!$AJ$37,),"&gt;="&amp;$B20,OFFSET(Arb!$B$2,Arb!$AJ$36,,Arb!$AJ$37,),"&lt;="&amp;$C20)</f>
        <v>6342</v>
      </c>
      <c r="G20" s="356">
        <f ca="1">SUMIFS(OFFSET(Arb!$H$2,Arb!$AJ$36,,Arb!$AJ$37,),OFFSET(Arb!$C$2,Arb!$AJ$36,,Arb!$AJ$37,),$A20,OFFSET(Arb!$AI$2,Arb!$AJ$36,,Arb!$AJ$37,),TRUE,OFFSET(Arb!$B$2,Arb!$AJ$36,,Arb!$AJ$37,),"&gt;="&amp;$B20,OFFSET(Arb!$B$2,Arb!$AJ$36,,Arb!$AJ$37,),"&lt;="&amp;$C20)</f>
        <v>2615.9899999999984</v>
      </c>
      <c r="H20" s="356">
        <f ca="1">SUMIFS(OFFSET(Arb!$AC$2,Arb!$AJ$36,,Arb!$AJ$37,),OFFSET(Arb!$C$2,Arb!$AJ$36,,Arb!$AJ$37,),$A20,OFFSET(Arb!$AI$2,Arb!$AJ$36,,Arb!$AJ$37,),TRUE,OFFSET(Arb!$B$2,Arb!$AJ$36,,Arb!$AJ$37,),"&gt;="&amp;$B20,OFFSET(Arb!$B$2,Arb!$AJ$36,,Arb!$AJ$37,),"&lt;="&amp;$C20)</f>
        <v>340231</v>
      </c>
      <c r="I20" s="356">
        <f ca="1">SUMIFS(OFFSET(Arb!$U$2,Arb!$AJ$36,,Arb!$AJ$37,),OFFSET(Arb!$C$2,Arb!$AJ$36,,Arb!$AJ$37,),$A20,OFFSET(Arb!$AI$2,Arb!$AJ$36,,Arb!$AJ$37,),TRUE,OFFSET(Arb!$B$2,Arb!$AJ$36,,Arb!$AJ$37,),"&gt;="&amp;$B20,OFFSET(Arb!$B$2,Arb!$AJ$36,,Arb!$AJ$37,),"&lt;="&amp;$C20)</f>
        <v>8952</v>
      </c>
      <c r="J20" s="356">
        <f ca="1">SUMIFS(OFFSET(Arb!$V$2,Arb!$AJ$36,,Arb!$AJ$37,),OFFSET(Arb!$C$2,Arb!$AJ$36,,Arb!$AJ$37,),$A20,OFFSET(Arb!$AI$2,Arb!$AJ$36,,Arb!$AJ$37,),TRUE,OFFSET(Arb!$B$2,Arb!$AJ$36,,Arb!$AJ$37,),"&gt;="&amp;$B20,OFFSET(Arb!$B$2,Arb!$AJ$36,,Arb!$AJ$37,),"&lt;="&amp;$C20)</f>
        <v>236</v>
      </c>
      <c r="K20" s="356">
        <f ca="1">SUMIFS(OFFSET(Arb!$X$2,Arb!$AJ$36,,Arb!$AJ$37,),OFFSET(Arb!$C$2,Arb!$AJ$36,,Arb!$AJ$37,),$A20,OFFSET(Arb!$AI$2,Arb!$AJ$36,,Arb!$AJ$37,),TRUE,OFFSET(Arb!$B$2,Arb!$AJ$36,,Arb!$AJ$37,),"&gt;="&amp;$B20,OFFSET(Arb!$B$2,Arb!$AJ$36,,Arb!$AJ$37,),"&lt;="&amp;$C20)</f>
        <v>8034</v>
      </c>
      <c r="L20" s="356">
        <f ca="1">SUMIFS(OFFSET(Arb!$AA$2,Arb!$AJ$36,,Arb!$AJ$37,),OFFSET(Arb!$C$2,Arb!$AJ$36,,Arb!$AJ$37,),$A20,OFFSET(Arb!$AI$2,Arb!$AJ$36,,Arb!$AJ$37,),TRUE,OFFSET(Arb!$B$2,Arb!$AJ$36,,Arb!$AJ$37,),"&gt;="&amp;$B20,OFFSET(Arb!$B$2,Arb!$AJ$36,,Arb!$AJ$37,),"&lt;="&amp;$C20)</f>
        <v>743</v>
      </c>
      <c r="M20" s="356">
        <f ca="1">SUMIFS(OFFSET(Arb!$AB$2,Arb!$AJ$36,,Arb!$AJ$37,),OFFSET(Arb!$C$2,Arb!$AJ$36,,Arb!$AJ$37,),$A20,OFFSET(Arb!$AI$2,Arb!$AJ$36,,Arb!$AJ$37,),TRUE,OFFSET(Arb!$B$2,Arb!$AJ$36,,Arb!$AJ$37,),"&gt;="&amp;$B20,OFFSET(Arb!$B$2,Arb!$AJ$36,,Arb!$AJ$37,),"&lt;="&amp;$C20)</f>
        <v>875</v>
      </c>
      <c r="N20" s="356">
        <f t="shared" ca="1" si="47"/>
        <v>9188</v>
      </c>
      <c r="O20" s="357">
        <f t="shared" ca="1" si="48"/>
        <v>60.980769230769234</v>
      </c>
      <c r="P20" s="12">
        <f t="shared" ca="1" si="49"/>
        <v>25.153749999999985</v>
      </c>
      <c r="Q20" s="33">
        <f t="shared" ca="1" si="71"/>
        <v>2.4243211938883573</v>
      </c>
      <c r="R20" s="20">
        <f t="shared" ca="1" si="51"/>
        <v>3.0711126571584773</v>
      </c>
      <c r="S20" s="33">
        <f t="shared" ca="1" si="52"/>
        <v>3.5122458419183582</v>
      </c>
      <c r="T20" s="33">
        <f t="shared" ca="1" si="72"/>
        <v>3.9430452402895013</v>
      </c>
      <c r="U20" s="34">
        <f t="shared" ca="1" si="54"/>
        <v>38.987632814660024</v>
      </c>
      <c r="V20" s="34">
        <f t="shared" ca="1" si="55"/>
        <v>7.1442307692307692</v>
      </c>
      <c r="W20" s="34">
        <f t="shared" ca="1" si="56"/>
        <v>8.4134615384615383</v>
      </c>
      <c r="X20" s="33">
        <f t="shared" ca="1" si="73"/>
        <v>0.8744013931214627</v>
      </c>
      <c r="Y20" s="33">
        <f t="shared" ca="1" si="74"/>
        <v>0.78939507094846906</v>
      </c>
      <c r="Z20" s="33">
        <f t="shared" ca="1" si="59"/>
        <v>0.69024814976055726</v>
      </c>
      <c r="AA20" s="359">
        <f t="shared" ca="1" si="60"/>
        <v>204.46574519230768</v>
      </c>
      <c r="AB20" s="34">
        <f t="shared" ca="1" si="75"/>
        <v>8.1286386798114716</v>
      </c>
      <c r="AC20" s="33">
        <f t="shared" ca="1" si="76"/>
        <v>0.29824442805035406</v>
      </c>
      <c r="AD20" s="21">
        <f t="shared" ca="1" si="63"/>
        <v>24.963965135036986</v>
      </c>
      <c r="AE20" s="470">
        <f ca="1">AE9</f>
        <v>61</v>
      </c>
      <c r="AF20" s="12">
        <f t="shared" ca="1" si="64"/>
        <v>1.7049180327868851</v>
      </c>
      <c r="AG20" s="358">
        <f ca="1">COUNTIFS(BV!$H$55:$H$160,"&gt;=" &amp; DATE($A20,$B20,1),BV!$H$55:$H$160,"&lt;" &amp; DATE($A20,$C20+1,1))</f>
        <v>14</v>
      </c>
      <c r="AH20" s="358">
        <f ca="1">COUNTIFS(BV!$P$55:$P$160,"&gt;=" &amp; DATE($A20,$B20,1),BV!$P$55:$P$160,"&lt;" &amp; DATE($A20,$C20+1,1))</f>
        <v>12</v>
      </c>
      <c r="AI20" s="358">
        <f ca="1">COUNTIFS(BV!$X$55:$X$160,"&gt;=" &amp; DATE($A20,$B20,1),BV!$X$55:$X$160,"&lt;" &amp; DATE($A20,$C20+1,1))</f>
        <v>9</v>
      </c>
      <c r="AJ20" s="358">
        <f ca="1">COUNTIFS(BV!$AF$55:$AF$160,"&gt;=" &amp; DATE($A20,$B20,1),BV!$AF$55:$AF$160,"&lt;" &amp; DATE($A20,$C20+1,1))</f>
        <v>11</v>
      </c>
      <c r="AK20" s="358">
        <f ca="1">COUNTIFS(BV!$AN$55:$AN$160,"&gt;=" &amp; DATE($A20,$B20,1),BV!$AN$55:$AN$160,"&lt;" &amp; DATE($A20,$C20+1,1))</f>
        <v>4</v>
      </c>
      <c r="AL20" s="358">
        <f ca="1">COUNTIFS(BV!$AV$55:$AV$160,"&gt;=" &amp; DATE($A20,$B20,1),BV!$AV$55:$AV$160,"&lt;" &amp; DATE($A20,$C20+1,1))</f>
        <v>9</v>
      </c>
      <c r="AM20" s="358">
        <f ca="1">COUNTIFS(BV!$BD$55:$BD$160,"&gt;=" &amp; DATE($A20,$B20,1),BV!$BD$55:$BD$160,"&lt;" &amp; DATE($A20,$C20+1,1))</f>
        <v>8</v>
      </c>
      <c r="AN20" s="358">
        <f ca="1">COUNTIFS(BV!$BL$55:$BL$160,"&gt;=" &amp; DATE($A20,$B20,1),BV!$BL$55:$BL$160,"&lt;" &amp; DATE($A20,$C20+1,1))</f>
        <v>5</v>
      </c>
      <c r="AO20" s="358">
        <f ca="1">COUNTIFS(BV!$BT$55:$BT$160,"&gt;=" &amp; DATE($A20,$B20,1),BV!$BT$55:$BT$160,"&lt;" &amp; DATE($A20,$C20+1,1))</f>
        <v>7</v>
      </c>
      <c r="AP20" s="358">
        <f ca="1">COUNTIFS(BV!$CB$55:$CB$160,"&gt;=" &amp; DATE($A20,$B20,1),BV!$CB$55:$CB$160,"&lt;" &amp; DATE($A20,$C20+1,1))</f>
        <v>2</v>
      </c>
      <c r="AQ20" s="35">
        <f t="shared" ca="1" si="65"/>
        <v>307.95634920634922</v>
      </c>
      <c r="AR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8</v>
      </c>
      <c r="AS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15</v>
      </c>
      <c r="AT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11</v>
      </c>
      <c r="AU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16</v>
      </c>
      <c r="AV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10</v>
      </c>
      <c r="AW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15</v>
      </c>
      <c r="AX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12</v>
      </c>
      <c r="AY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12</v>
      </c>
      <c r="AZ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14</v>
      </c>
      <c r="BA20" s="509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10</v>
      </c>
      <c r="BB20" s="35">
        <f t="shared" ca="1" si="66"/>
        <v>334.3650793650794</v>
      </c>
      <c r="BC20" s="35">
        <f t="shared" ca="1" si="67"/>
        <v>642.32142857142867</v>
      </c>
      <c r="BD20" s="12">
        <f t="shared" ca="1" si="68"/>
        <v>10.52985948477752</v>
      </c>
      <c r="BE20" s="378">
        <f t="shared" ca="1" si="69"/>
        <v>6.1761675824175839</v>
      </c>
    </row>
    <row r="21" spans="1:57" x14ac:dyDescent="0.25">
      <c r="A21" s="377">
        <f t="shared" ref="A21:C21" si="118">A32</f>
        <v>2020</v>
      </c>
      <c r="B21" s="360">
        <f t="shared" si="118"/>
        <v>4</v>
      </c>
      <c r="C21" s="360">
        <f t="shared" si="118"/>
        <v>6</v>
      </c>
      <c r="D21" s="361" t="s">
        <v>39</v>
      </c>
      <c r="E21" s="356">
        <f ca="1">COUNTIFS(OFFSET(Arb!$C$2,Arb!$AJ$36,,Arb!$AJ$37,),$A21,OFFSET(Arb!$AI$2,Arb!$AJ$36,,Arb!$AJ$37,),TRUE,OFFSET(Arb!$B$2,Arb!$AJ$36,,Arb!$AJ$37,),"&gt;="&amp;$B21,OFFSET(Arb!$B$2,Arb!$AJ$36,,Arb!$AJ$37,),"&lt;="&amp;$C21)</f>
        <v>57</v>
      </c>
      <c r="F21" s="356">
        <f ca="1">SUMIFS(OFFSET(Arb!$I$2,Arb!$AJ$36,,Arb!$AJ$37,),OFFSET(Arb!$C$2,Arb!$AJ$36,,Arb!$AJ$37,),$A21,OFFSET(Arb!$AI$2,Arb!$AJ$36,,Arb!$AJ$37,),TRUE,OFFSET(Arb!$B$2,Arb!$AJ$36,,Arb!$AJ$37,),"&gt;="&amp;$B21,OFFSET(Arb!$B$2,Arb!$AJ$36,,Arb!$AJ$37,),"&lt;="&amp;$C21)</f>
        <v>3419</v>
      </c>
      <c r="G21" s="356">
        <f ca="1">SUMIFS(OFFSET(Arb!$H$2,Arb!$AJ$36,,Arb!$AJ$37,),OFFSET(Arb!$C$2,Arb!$AJ$36,,Arb!$AJ$37,),$A21,OFFSET(Arb!$AI$2,Arb!$AJ$36,,Arb!$AJ$37,),TRUE,OFFSET(Arb!$B$2,Arb!$AJ$36,,Arb!$AJ$37,),"&gt;="&amp;$B21,OFFSET(Arb!$B$2,Arb!$AJ$36,,Arb!$AJ$37,),"&lt;="&amp;$C21)</f>
        <v>1622.56</v>
      </c>
      <c r="H21" s="356">
        <f ca="1">SUMIFS(OFFSET(Arb!$AC$2,Arb!$AJ$36,,Arb!$AJ$37,),OFFSET(Arb!$C$2,Arb!$AJ$36,,Arb!$AJ$37,),$A21,OFFSET(Arb!$AI$2,Arb!$AJ$36,,Arb!$AJ$37,),TRUE,OFFSET(Arb!$B$2,Arb!$AJ$36,,Arb!$AJ$37,),"&gt;="&amp;$B21,OFFSET(Arb!$B$2,Arb!$AJ$36,,Arb!$AJ$37,),"&lt;="&amp;$C21)</f>
        <v>184283</v>
      </c>
      <c r="I21" s="356">
        <f ca="1">SUMIFS(OFFSET(Arb!$U$2,Arb!$AJ$36,,Arb!$AJ$37,),OFFSET(Arb!$C$2,Arb!$AJ$36,,Arb!$AJ$37,),$A21,OFFSET(Arb!$AI$2,Arb!$AJ$36,,Arb!$AJ$37,),TRUE,OFFSET(Arb!$B$2,Arb!$AJ$36,,Arb!$AJ$37,),"&gt;="&amp;$B21,OFFSET(Arb!$B$2,Arb!$AJ$36,,Arb!$AJ$37,),"&lt;="&amp;$C21)</f>
        <v>4792</v>
      </c>
      <c r="J21" s="356">
        <f ca="1">SUMIFS(OFFSET(Arb!$V$2,Arb!$AJ$36,,Arb!$AJ$37,),OFFSET(Arb!$C$2,Arb!$AJ$36,,Arb!$AJ$37,),$A21,OFFSET(Arb!$AI$2,Arb!$AJ$36,,Arb!$AJ$37,),TRUE,OFFSET(Arb!$B$2,Arb!$AJ$36,,Arb!$AJ$37,),"&gt;="&amp;$B21,OFFSET(Arb!$B$2,Arb!$AJ$36,,Arb!$AJ$37,),"&lt;="&amp;$C21)</f>
        <v>127</v>
      </c>
      <c r="K21" s="356">
        <f ca="1">SUMIFS(OFFSET(Arb!$X$2,Arb!$AJ$36,,Arb!$AJ$37,),OFFSET(Arb!$C$2,Arb!$AJ$36,,Arb!$AJ$37,),$A21,OFFSET(Arb!$AI$2,Arb!$AJ$36,,Arb!$AJ$37,),TRUE,OFFSET(Arb!$B$2,Arb!$AJ$36,,Arb!$AJ$37,),"&gt;="&amp;$B21,OFFSET(Arb!$B$2,Arb!$AJ$36,,Arb!$AJ$37,),"&lt;="&amp;$C21)</f>
        <v>4348</v>
      </c>
      <c r="L21" s="356">
        <f ca="1">SUMIFS(OFFSET(Arb!$AA$2,Arb!$AJ$36,,Arb!$AJ$37,),OFFSET(Arb!$C$2,Arb!$AJ$36,,Arb!$AJ$37,),$A21,OFFSET(Arb!$AI$2,Arb!$AJ$36,,Arb!$AJ$37,),TRUE,OFFSET(Arb!$B$2,Arb!$AJ$36,,Arb!$AJ$37,),"&gt;="&amp;$B21,OFFSET(Arb!$B$2,Arb!$AJ$36,,Arb!$AJ$37,),"&lt;="&amp;$C21)</f>
        <v>432</v>
      </c>
      <c r="M21" s="356">
        <f ca="1">SUMIFS(OFFSET(Arb!$AB$2,Arb!$AJ$36,,Arb!$AJ$37,),OFFSET(Arb!$C$2,Arb!$AJ$36,,Arb!$AJ$37,),$A21,OFFSET(Arb!$AI$2,Arb!$AJ$36,,Arb!$AJ$37,),TRUE,OFFSET(Arb!$B$2,Arb!$AJ$36,,Arb!$AJ$37,),"&gt;="&amp;$B21,OFFSET(Arb!$B$2,Arb!$AJ$36,,Arb!$AJ$37,),"&lt;="&amp;$C21)</f>
        <v>467</v>
      </c>
      <c r="N21" s="356">
        <f t="shared" ca="1" si="47"/>
        <v>4919</v>
      </c>
      <c r="O21" s="357">
        <f t="shared" ca="1" si="48"/>
        <v>59.982456140350877</v>
      </c>
      <c r="P21" s="12">
        <f t="shared" ca="1" si="49"/>
        <v>28.4659649122807</v>
      </c>
      <c r="Q21" s="33">
        <f t="shared" ca="1" si="71"/>
        <v>2.1071639877724091</v>
      </c>
      <c r="R21" s="20">
        <f t="shared" ca="1" si="51"/>
        <v>2.6797160043388226</v>
      </c>
      <c r="S21" s="33">
        <f t="shared" ca="1" si="52"/>
        <v>3.0316290306675873</v>
      </c>
      <c r="T21" s="33">
        <f t="shared" ca="1" si="72"/>
        <v>4.9468620696649808</v>
      </c>
      <c r="U21" s="34">
        <f t="shared" ca="1" si="54"/>
        <v>31.076265688242877</v>
      </c>
      <c r="V21" s="34">
        <f t="shared" ca="1" si="55"/>
        <v>7.5789473684210522</v>
      </c>
      <c r="W21" s="34">
        <f t="shared" ca="1" si="56"/>
        <v>8.192982456140351</v>
      </c>
      <c r="X21" s="33">
        <f t="shared" ca="1" si="73"/>
        <v>0.88391949583248619</v>
      </c>
      <c r="Y21" s="33">
        <f t="shared" ca="1" si="74"/>
        <v>0.78633854645814172</v>
      </c>
      <c r="Z21" s="33">
        <f t="shared" ca="1" si="59"/>
        <v>0.69505997153893073</v>
      </c>
      <c r="AA21" s="359">
        <f t="shared" ca="1" si="60"/>
        <v>202.06469298245614</v>
      </c>
      <c r="AB21" s="34">
        <f t="shared" ca="1" si="75"/>
        <v>7.0984663124938372</v>
      </c>
      <c r="AC21" s="33">
        <f t="shared" ca="1" si="76"/>
        <v>0.29684778302936243</v>
      </c>
      <c r="AD21" s="21">
        <f t="shared" ca="1" si="63"/>
        <v>19.02187378384972</v>
      </c>
      <c r="AE21" s="470">
        <f ca="1">AE10</f>
        <v>51</v>
      </c>
      <c r="AF21" s="12">
        <f t="shared" ca="1" si="64"/>
        <v>1.1176470588235294</v>
      </c>
      <c r="AG21" s="358">
        <f ca="1">COUNTIFS(BV!$H$55:$H$160,"&gt;=" &amp; DATE($A21,$B21,1),BV!$H$55:$H$160,"&lt;" &amp; DATE($A21,$C21+1,1))</f>
        <v>8</v>
      </c>
      <c r="AH21" s="358">
        <f ca="1">COUNTIFS(BV!$P$55:$P$160,"&gt;=" &amp; DATE($A21,$B21,1),BV!$P$55:$P$160,"&lt;" &amp; DATE($A21,$C21+1,1))</f>
        <v>7</v>
      </c>
      <c r="AI21" s="358">
        <f ca="1">COUNTIFS(BV!$X$55:$X$160,"&gt;=" &amp; DATE($A21,$B21,1),BV!$X$55:$X$160,"&lt;" &amp; DATE($A21,$C21+1,1))</f>
        <v>7</v>
      </c>
      <c r="AJ21" s="358">
        <f ca="1">COUNTIFS(BV!$AF$55:$AF$160,"&gt;=" &amp; DATE($A21,$B21,1),BV!$AF$55:$AF$160,"&lt;" &amp; DATE($A21,$C21+1,1))</f>
        <v>6</v>
      </c>
      <c r="AK21" s="358">
        <f ca="1">COUNTIFS(BV!$AN$55:$AN$160,"&gt;=" &amp; DATE($A21,$B21,1),BV!$AN$55:$AN$160,"&lt;" &amp; DATE($A21,$C21+1,1))</f>
        <v>9</v>
      </c>
      <c r="AL21" s="358">
        <f ca="1">COUNTIFS(BV!$AV$55:$AV$160,"&gt;=" &amp; DATE($A21,$B21,1),BV!$AV$55:$AV$160,"&lt;" &amp; DATE($A21,$C21+1,1))</f>
        <v>4</v>
      </c>
      <c r="AM21" s="358">
        <f ca="1">COUNTIFS(BV!$BD$55:$BD$160,"&gt;=" &amp; DATE($A21,$B21,1),BV!$BD$55:$BD$160,"&lt;" &amp; DATE($A21,$C21+1,1))</f>
        <v>0</v>
      </c>
      <c r="AN21" s="358">
        <f ca="1">COUNTIFS(BV!$BL$55:$BL$160,"&gt;=" &amp; DATE($A21,$B21,1),BV!$BL$55:$BL$160,"&lt;" &amp; DATE($A21,$C21+1,1))</f>
        <v>1</v>
      </c>
      <c r="AO21" s="358">
        <f ca="1">COUNTIFS(BV!$BT$55:$BT$160,"&gt;=" &amp; DATE($A21,$B21,1),BV!$BT$55:$BT$160,"&lt;" &amp; DATE($A21,$C21+1,1))</f>
        <v>0</v>
      </c>
      <c r="AP21" s="358">
        <f ca="1">COUNTIFS(BV!$CB$55:$CB$160,"&gt;=" &amp; DATE($A21,$B21,1),BV!$CB$55:$CB$160,"&lt;" &amp; DATE($A21,$C21+1,1))</f>
        <v>1</v>
      </c>
      <c r="AQ21" s="35">
        <f t="shared" ca="1" si="65"/>
        <v>180.25000000000003</v>
      </c>
      <c r="AR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8</v>
      </c>
      <c r="AS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8</v>
      </c>
      <c r="AT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10</v>
      </c>
      <c r="AU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8</v>
      </c>
      <c r="AV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14</v>
      </c>
      <c r="AW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11</v>
      </c>
      <c r="AX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11</v>
      </c>
      <c r="AY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5</v>
      </c>
      <c r="AZ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5</v>
      </c>
      <c r="BA21" s="509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6</v>
      </c>
      <c r="BB21" s="35">
        <f t="shared" ca="1" si="66"/>
        <v>253.18650793650801</v>
      </c>
      <c r="BC21" s="35">
        <f t="shared" ca="1" si="67"/>
        <v>433.43650793650806</v>
      </c>
      <c r="BD21" s="12">
        <f t="shared" ca="1" si="68"/>
        <v>8.49875505757859</v>
      </c>
      <c r="BE21" s="378">
        <f t="shared" ca="1" si="69"/>
        <v>7.6041492620440012</v>
      </c>
    </row>
    <row r="22" spans="1:57" x14ac:dyDescent="0.25">
      <c r="A22" s="377">
        <f t="shared" ref="A22:C22" si="119">A33</f>
        <v>2020</v>
      </c>
      <c r="B22" s="360">
        <f t="shared" si="119"/>
        <v>7</v>
      </c>
      <c r="C22" s="360">
        <f t="shared" si="119"/>
        <v>9</v>
      </c>
      <c r="D22" s="361" t="s">
        <v>39</v>
      </c>
      <c r="E22" s="356">
        <f ca="1">COUNTIFS(OFFSET(Arb!$C$2,Arb!$AJ$36,,Arb!$AJ$37,),$A22,OFFSET(Arb!$AI$2,Arb!$AJ$36,,Arb!$AJ$37,),TRUE,OFFSET(Arb!$B$2,Arb!$AJ$36,,Arb!$AJ$37,),"&gt;="&amp;$B22,OFFSET(Arb!$B$2,Arb!$AJ$36,,Arb!$AJ$37,),"&lt;="&amp;$C22)</f>
        <v>10</v>
      </c>
      <c r="F22" s="356">
        <f ca="1">SUMIFS(OFFSET(Arb!$I$2,Arb!$AJ$36,,Arb!$AJ$37,),OFFSET(Arb!$C$2,Arb!$AJ$36,,Arb!$AJ$37,),$A22,OFFSET(Arb!$AI$2,Arb!$AJ$36,,Arb!$AJ$37,),TRUE,OFFSET(Arb!$B$2,Arb!$AJ$36,,Arb!$AJ$37,),"&gt;="&amp;$B22,OFFSET(Arb!$B$2,Arb!$AJ$36,,Arb!$AJ$37,),"&lt;="&amp;$C22)</f>
        <v>597</v>
      </c>
      <c r="G22" s="356">
        <f ca="1">SUMIFS(OFFSET(Arb!$H$2,Arb!$AJ$36,,Arb!$AJ$37,),OFFSET(Arb!$C$2,Arb!$AJ$36,,Arb!$AJ$37,),$A22,OFFSET(Arb!$AI$2,Arb!$AJ$36,,Arb!$AJ$37,),TRUE,OFFSET(Arb!$B$2,Arb!$AJ$36,,Arb!$AJ$37,),"&gt;="&amp;$B22,OFFSET(Arb!$B$2,Arb!$AJ$36,,Arb!$AJ$37,),"&lt;="&amp;$C22)</f>
        <v>231.54</v>
      </c>
      <c r="H22" s="356">
        <f ca="1">SUMIFS(OFFSET(Arb!$AC$2,Arb!$AJ$36,,Arb!$AJ$37,),OFFSET(Arb!$C$2,Arb!$AJ$36,,Arb!$AJ$37,),$A22,OFFSET(Arb!$AI$2,Arb!$AJ$36,,Arb!$AJ$37,),TRUE,OFFSET(Arb!$B$2,Arb!$AJ$36,,Arb!$AJ$37,),"&gt;="&amp;$B22,OFFSET(Arb!$B$2,Arb!$AJ$36,,Arb!$AJ$37,),"&lt;="&amp;$C22)</f>
        <v>33401</v>
      </c>
      <c r="I22" s="356">
        <f ca="1">SUMIFS(OFFSET(Arb!$U$2,Arb!$AJ$36,,Arb!$AJ$37,),OFFSET(Arb!$C$2,Arb!$AJ$36,,Arb!$AJ$37,),$A22,OFFSET(Arb!$AI$2,Arb!$AJ$36,,Arb!$AJ$37,),TRUE,OFFSET(Arb!$B$2,Arb!$AJ$36,,Arb!$AJ$37,),"&gt;="&amp;$B22,OFFSET(Arb!$B$2,Arb!$AJ$36,,Arb!$AJ$37,),"&lt;="&amp;$C22)</f>
        <v>895</v>
      </c>
      <c r="J22" s="356">
        <f ca="1">SUMIFS(OFFSET(Arb!$V$2,Arb!$AJ$36,,Arb!$AJ$37,),OFFSET(Arb!$C$2,Arb!$AJ$36,,Arb!$AJ$37,),$A22,OFFSET(Arb!$AI$2,Arb!$AJ$36,,Arb!$AJ$37,),TRUE,OFFSET(Arb!$B$2,Arb!$AJ$36,,Arb!$AJ$37,),"&gt;="&amp;$B22,OFFSET(Arb!$B$2,Arb!$AJ$36,,Arb!$AJ$37,),"&lt;="&amp;$C22)</f>
        <v>0</v>
      </c>
      <c r="K22" s="356">
        <f ca="1">SUMIFS(OFFSET(Arb!$X$2,Arb!$AJ$36,,Arb!$AJ$37,),OFFSET(Arb!$C$2,Arb!$AJ$36,,Arb!$AJ$37,),$A22,OFFSET(Arb!$AI$2,Arb!$AJ$36,,Arb!$AJ$37,),TRUE,OFFSET(Arb!$B$2,Arb!$AJ$36,,Arb!$AJ$37,),"&gt;="&amp;$B22,OFFSET(Arb!$B$2,Arb!$AJ$36,,Arb!$AJ$37,),"&lt;="&amp;$C22)</f>
        <v>773</v>
      </c>
      <c r="L22" s="356">
        <f ca="1">SUMIFS(OFFSET(Arb!$AA$2,Arb!$AJ$36,,Arb!$AJ$37,),OFFSET(Arb!$C$2,Arb!$AJ$36,,Arb!$AJ$37,),$A22,OFFSET(Arb!$AI$2,Arb!$AJ$36,,Arb!$AJ$37,),TRUE,OFFSET(Arb!$B$2,Arb!$AJ$36,,Arb!$AJ$37,),"&gt;="&amp;$B22,OFFSET(Arb!$B$2,Arb!$AJ$36,,Arb!$AJ$37,),"&lt;="&amp;$C22)</f>
        <v>73</v>
      </c>
      <c r="M22" s="356">
        <f ca="1">SUMIFS(OFFSET(Arb!$AB$2,Arb!$AJ$36,,Arb!$AJ$37,),OFFSET(Arb!$C$2,Arb!$AJ$36,,Arb!$AJ$37,),$A22,OFFSET(Arb!$AI$2,Arb!$AJ$36,,Arb!$AJ$37,),TRUE,OFFSET(Arb!$B$2,Arb!$AJ$36,,Arb!$AJ$37,),"&gt;="&amp;$B22,OFFSET(Arb!$B$2,Arb!$AJ$36,,Arb!$AJ$37,),"&lt;="&amp;$C22)</f>
        <v>84</v>
      </c>
      <c r="N22" s="356">
        <f t="shared" ca="1" si="47"/>
        <v>895</v>
      </c>
      <c r="O22" s="357">
        <f t="shared" ca="1" si="48"/>
        <v>59.7</v>
      </c>
      <c r="P22" s="12">
        <f t="shared" ca="1" si="49"/>
        <v>23.154</v>
      </c>
      <c r="Q22" s="33">
        <f t="shared" ca="1" si="71"/>
        <v>2.5783881834672195</v>
      </c>
      <c r="R22" s="20">
        <f t="shared" ca="1" si="51"/>
        <v>3.338516023149348</v>
      </c>
      <c r="S22" s="33">
        <f t="shared" ca="1" si="52"/>
        <v>3.8654228211108235</v>
      </c>
      <c r="T22" s="33">
        <f t="shared" ca="1" si="72"/>
        <v>3.4985647663345909</v>
      </c>
      <c r="U22" s="34">
        <f t="shared" ca="1" si="54"/>
        <v>43.940875835510482</v>
      </c>
      <c r="V22" s="34">
        <f t="shared" ca="1" si="55"/>
        <v>7.3</v>
      </c>
      <c r="W22" s="34">
        <f t="shared" ca="1" si="56"/>
        <v>8.4</v>
      </c>
      <c r="X22" s="33">
        <f t="shared" ca="1" si="73"/>
        <v>0.86368715083798886</v>
      </c>
      <c r="Y22" s="33">
        <f t="shared" ca="1" si="74"/>
        <v>0.77231565329883567</v>
      </c>
      <c r="Z22" s="33">
        <f t="shared" ca="1" si="59"/>
        <v>0.66703910614525141</v>
      </c>
      <c r="AA22" s="359">
        <f t="shared" ca="1" si="60"/>
        <v>208.75624999999999</v>
      </c>
      <c r="AB22" s="34">
        <f t="shared" ca="1" si="75"/>
        <v>9.0159907575364944</v>
      </c>
      <c r="AC22" s="33">
        <f t="shared" ca="1" si="76"/>
        <v>0.28597946169276373</v>
      </c>
      <c r="AD22" s="21">
        <f t="shared" ca="1" si="63"/>
        <v>30.100029608602014</v>
      </c>
      <c r="AE22" s="470">
        <f ca="1">AE11</f>
        <v>55</v>
      </c>
      <c r="AF22" s="12">
        <f t="shared" ca="1" si="64"/>
        <v>0.18181818181818182</v>
      </c>
      <c r="AG22" s="358">
        <f ca="1">COUNTIFS(BV!$H$55:$H$160,"&gt;=" &amp; DATE($A22,$B22,1),BV!$H$55:$H$160,"&lt;" &amp; DATE($A22,$C22+1,1))</f>
        <v>3</v>
      </c>
      <c r="AH22" s="358">
        <f ca="1">COUNTIFS(BV!$P$55:$P$160,"&gt;=" &amp; DATE($A22,$B22,1),BV!$P$55:$P$160,"&lt;" &amp; DATE($A22,$C22+1,1))</f>
        <v>3</v>
      </c>
      <c r="AI22" s="358">
        <f ca="1">COUNTIFS(BV!$X$55:$X$160,"&gt;=" &amp; DATE($A22,$B22,1),BV!$X$55:$X$160,"&lt;" &amp; DATE($A22,$C22+1,1))</f>
        <v>1</v>
      </c>
      <c r="AJ22" s="358">
        <f ca="1">COUNTIFS(BV!$AF$55:$AF$160,"&gt;=" &amp; DATE($A22,$B22,1),BV!$AF$55:$AF$160,"&lt;" &amp; DATE($A22,$C22+1,1))</f>
        <v>0</v>
      </c>
      <c r="AK22" s="358">
        <f ca="1">COUNTIFS(BV!$AN$55:$AN$160,"&gt;=" &amp; DATE($A22,$B22,1),BV!$AN$55:$AN$160,"&lt;" &amp; DATE($A22,$C22+1,1))</f>
        <v>0</v>
      </c>
      <c r="AL22" s="358">
        <f ca="1">COUNTIFS(BV!$AV$55:$AV$160,"&gt;=" &amp; DATE($A22,$B22,1),BV!$AV$55:$AV$160,"&lt;" &amp; DATE($A22,$C22+1,1))</f>
        <v>0</v>
      </c>
      <c r="AM22" s="358">
        <f ca="1">COUNTIFS(BV!$BD$55:$BD$160,"&gt;=" &amp; DATE($A22,$B22,1),BV!$BD$55:$BD$160,"&lt;" &amp; DATE($A22,$C22+1,1))</f>
        <v>3</v>
      </c>
      <c r="AN22" s="358">
        <f ca="1">COUNTIFS(BV!$BL$55:$BL$160,"&gt;=" &amp; DATE($A22,$B22,1),BV!$BL$55:$BL$160,"&lt;" &amp; DATE($A22,$C22+1,1))</f>
        <v>0</v>
      </c>
      <c r="AO22" s="358">
        <f ca="1">COUNTIFS(BV!$BT$55:$BT$160,"&gt;=" &amp; DATE($A22,$B22,1),BV!$BT$55:$BT$160,"&lt;" &amp; DATE($A22,$C22+1,1))</f>
        <v>0</v>
      </c>
      <c r="AP22" s="358">
        <f ca="1">COUNTIFS(BV!$CB$55:$CB$160,"&gt;=" &amp; DATE($A22,$B22,1),BV!$CB$55:$CB$160,"&lt;" &amp; DATE($A22,$C22+1,1))</f>
        <v>0</v>
      </c>
      <c r="AQ22" s="35">
        <f t="shared" ca="1" si="65"/>
        <v>52.61904761904762</v>
      </c>
      <c r="AR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5</v>
      </c>
      <c r="AS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3</v>
      </c>
      <c r="AT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3</v>
      </c>
      <c r="AU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2</v>
      </c>
      <c r="AV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4</v>
      </c>
      <c r="AW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1</v>
      </c>
      <c r="AX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0</v>
      </c>
      <c r="AY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1</v>
      </c>
      <c r="AZ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2</v>
      </c>
      <c r="BA22" s="509">
        <f ca="1">COUNTIFS(OFFSET(Time!$T$2,(COLUMN()-44)*20,,20,),"&gt;=" &amp; DATE($A22,$B22,1),OFFSET(Time!$T$2,(COLUMN()-44)*20,,20,),"&lt;" &amp; DATE($A22,$C22+1,1))+COUNTIFS(OFFSET(Bvs!$T$2,(COLUMN()-44)*20,,20,),"&gt;=" &amp; DATE($A22,$B22,1),OFFSET(Bvs!$T$2,(COLUMN()-44)*20,,20,),"&lt;" &amp; DATE($A22,$C22+1,1))+COUNTIFS(OFFSET(QG!$T$2,(COLUMN()-44)*20,,20,),"&gt;=" &amp; DATE($A22,$B22,1),OFFSET(QG!$T$2,(COLUMN()-44)*20,,20,),"&lt;" &amp; DATE($A22,$C22+1,1))</f>
        <v>0</v>
      </c>
      <c r="BB22" s="35">
        <f t="shared" ca="1" si="66"/>
        <v>93.138888888888886</v>
      </c>
      <c r="BC22" s="35">
        <f t="shared" ca="1" si="67"/>
        <v>145.75793650793651</v>
      </c>
      <c r="BD22" s="12">
        <f t="shared" ca="1" si="68"/>
        <v>2.6501443001443001</v>
      </c>
      <c r="BE22" s="378">
        <f t="shared" ca="1" si="69"/>
        <v>14.575793650793651</v>
      </c>
    </row>
    <row r="23" spans="1:57" ht="13.8" thickBot="1" x14ac:dyDescent="0.3">
      <c r="A23" s="379">
        <f>A34</f>
        <v>2020</v>
      </c>
      <c r="B23" s="380">
        <f t="shared" ref="B23:C23" si="120">B34</f>
        <v>10</v>
      </c>
      <c r="C23" s="380">
        <f t="shared" si="120"/>
        <v>12</v>
      </c>
      <c r="D23" s="381" t="s">
        <v>39</v>
      </c>
      <c r="E23" s="167">
        <f ca="1">COUNTIFS(OFFSET(Arb!$C$2,Arb!$AJ$36,,Arb!$AJ$37,),$A23,OFFSET(Arb!$AI$2,Arb!$AJ$36,,Arb!$AJ$37,),TRUE,OFFSET(Arb!$B$2,Arb!$AJ$36,,Arb!$AJ$37,),"&gt;="&amp;$B23,OFFSET(Arb!$B$2,Arb!$AJ$36,,Arb!$AJ$37,),"&lt;="&amp;$C23)</f>
        <v>76</v>
      </c>
      <c r="F23" s="167">
        <f ca="1">SUMIFS(OFFSET(Arb!$I$2,Arb!$AJ$36,,Arb!$AJ$37,),OFFSET(Arb!$C$2,Arb!$AJ$36,,Arb!$AJ$37,),$A23,OFFSET(Arb!$AI$2,Arb!$AJ$36,,Arb!$AJ$37,),TRUE,OFFSET(Arb!$B$2,Arb!$AJ$36,,Arb!$AJ$37,),"&gt;="&amp;$B23,OFFSET(Arb!$B$2,Arb!$AJ$36,,Arb!$AJ$37,),"&lt;="&amp;$C23)</f>
        <v>4747</v>
      </c>
      <c r="G23" s="167">
        <f ca="1">SUMIFS(OFFSET(Arb!$H$2,Arb!$AJ$36,,Arb!$AJ$37,),OFFSET(Arb!$C$2,Arb!$AJ$36,,Arb!$AJ$37,),$A23,OFFSET(Arb!$AI$2,Arb!$AJ$36,,Arb!$AJ$37,),TRUE,OFFSET(Arb!$B$2,Arb!$AJ$36,,Arb!$AJ$37,),"&gt;="&amp;$B23,OFFSET(Arb!$B$2,Arb!$AJ$36,,Arb!$AJ$37,),"&lt;="&amp;$C23)</f>
        <v>1896.5700000000002</v>
      </c>
      <c r="H23" s="167">
        <f ca="1">SUMIFS(OFFSET(Arb!$AC$2,Arb!$AJ$36,,Arb!$AJ$37,),OFFSET(Arb!$C$2,Arb!$AJ$36,,Arb!$AJ$37,),$A23,OFFSET(Arb!$AI$2,Arb!$AJ$36,,Arb!$AJ$37,),TRUE,OFFSET(Arb!$B$2,Arb!$AJ$36,,Arb!$AJ$37,),"&gt;="&amp;$B23,OFFSET(Arb!$B$2,Arb!$AJ$36,,Arb!$AJ$37,),"&lt;="&amp;$C23)</f>
        <v>235621</v>
      </c>
      <c r="I23" s="167">
        <f ca="1">SUMIFS(OFFSET(Arb!$U$2,Arb!$AJ$36,,Arb!$AJ$37,),OFFSET(Arb!$C$2,Arb!$AJ$36,,Arb!$AJ$37,),$A23,OFFSET(Arb!$AI$2,Arb!$AJ$36,,Arb!$AJ$37,),TRUE,OFFSET(Arb!$B$2,Arb!$AJ$36,,Arb!$AJ$37,),"&gt;="&amp;$B23,OFFSET(Arb!$B$2,Arb!$AJ$36,,Arb!$AJ$37,),"&lt;="&amp;$C23)</f>
        <v>101</v>
      </c>
      <c r="J23" s="167">
        <f ca="1">SUMIFS(OFFSET(Arb!$V$2,Arb!$AJ$36,,Arb!$AJ$37,),OFFSET(Arb!$C$2,Arb!$AJ$36,,Arb!$AJ$37,),$A23,OFFSET(Arb!$AI$2,Arb!$AJ$36,,Arb!$AJ$37,),TRUE,OFFSET(Arb!$B$2,Arb!$AJ$36,,Arb!$AJ$37,),"&gt;="&amp;$B23,OFFSET(Arb!$B$2,Arb!$AJ$36,,Arb!$AJ$37,),"&lt;="&amp;$C23)</f>
        <v>6409</v>
      </c>
      <c r="K23" s="167">
        <f ca="1">SUMIFS(OFFSET(Arb!$X$2,Arb!$AJ$36,,Arb!$AJ$37,),OFFSET(Arb!$C$2,Arb!$AJ$36,,Arb!$AJ$37,),$A23,OFFSET(Arb!$AI$2,Arb!$AJ$36,,Arb!$AJ$37,),TRUE,OFFSET(Arb!$B$2,Arb!$AJ$36,,Arb!$AJ$37,),"&gt;="&amp;$B23,OFFSET(Arb!$B$2,Arb!$AJ$36,,Arb!$AJ$37,),"&lt;="&amp;$C23)</f>
        <v>5659</v>
      </c>
      <c r="L23" s="167">
        <f ca="1">SUMIFS(OFFSET(Arb!$AA$2,Arb!$AJ$36,,Arb!$AJ$37,),OFFSET(Arb!$C$2,Arb!$AJ$36,,Arb!$AJ$37,),$A23,OFFSET(Arb!$AI$2,Arb!$AJ$36,,Arb!$AJ$37,),TRUE,OFFSET(Arb!$B$2,Arb!$AJ$36,,Arb!$AJ$37,),"&gt;="&amp;$B23,OFFSET(Arb!$B$2,Arb!$AJ$36,,Arb!$AJ$37,),"&lt;="&amp;$C23)</f>
        <v>571</v>
      </c>
      <c r="M23" s="167">
        <f ca="1">SUMIFS(OFFSET(Arb!$AB$2,Arb!$AJ$36,,Arb!$AJ$37,),OFFSET(Arb!$C$2,Arb!$AJ$36,,Arb!$AJ$37,),$A23,OFFSET(Arb!$AI$2,Arb!$AJ$36,,Arb!$AJ$37,),TRUE,OFFSET(Arb!$B$2,Arb!$AJ$36,,Arb!$AJ$37,),"&gt;="&amp;$B23,OFFSET(Arb!$B$2,Arb!$AJ$36,,Arb!$AJ$37,),"&lt;="&amp;$C23)</f>
        <v>661</v>
      </c>
      <c r="N23" s="167">
        <f t="shared" ca="1" si="47"/>
        <v>6510</v>
      </c>
      <c r="O23" s="391">
        <f t="shared" ca="1" si="48"/>
        <v>62.460526315789473</v>
      </c>
      <c r="P23" s="382">
        <f t="shared" ca="1" si="49"/>
        <v>24.954868421052634</v>
      </c>
      <c r="Q23" s="113">
        <f t="shared" ca="1" si="71"/>
        <v>2.5029395171282891</v>
      </c>
      <c r="R23" s="383">
        <f t="shared" ca="1" si="51"/>
        <v>2.983807610581207</v>
      </c>
      <c r="S23" s="113">
        <f t="shared" ca="1" si="52"/>
        <v>3.4325123776079973</v>
      </c>
      <c r="T23" s="113">
        <f t="shared" ca="1" si="72"/>
        <v>3.7980295895175891</v>
      </c>
      <c r="U23" s="112">
        <f t="shared" ca="1" si="54"/>
        <v>40.476251270998176</v>
      </c>
      <c r="V23" s="112">
        <f t="shared" ca="1" si="55"/>
        <v>7.5131578947368425</v>
      </c>
      <c r="W23" s="112">
        <f t="shared" ca="1" si="56"/>
        <v>8.6973684210526319</v>
      </c>
      <c r="X23" s="113">
        <f t="shared" ca="1" si="73"/>
        <v>0.86927803379416291</v>
      </c>
      <c r="Y23" s="113">
        <f t="shared" ca="1" si="74"/>
        <v>0.83884078459091704</v>
      </c>
      <c r="Z23" s="113">
        <f t="shared" ca="1" si="59"/>
        <v>0.72918586789554529</v>
      </c>
      <c r="AA23" s="168">
        <f t="shared" ca="1" si="60"/>
        <v>193.76726973684211</v>
      </c>
      <c r="AB23" s="112">
        <f t="shared" ca="1" si="75"/>
        <v>7.7647081309943733</v>
      </c>
      <c r="AC23" s="113">
        <f t="shared" ca="1" si="76"/>
        <v>0.32234817779399966</v>
      </c>
      <c r="AD23" s="135">
        <f t="shared" ca="1" si="63"/>
        <v>23.168395215202789</v>
      </c>
      <c r="AE23" s="470">
        <f ca="1">AE12</f>
        <v>28</v>
      </c>
      <c r="AF23" s="382">
        <f t="shared" ca="1" si="64"/>
        <v>2.7142857142857144</v>
      </c>
      <c r="AG23" s="67">
        <f ca="1">COUNTIFS(BV!$H$55:$H$160,"&gt;=" &amp; DATE($A23,$B23,1),BV!$H$55:$H$160,"&lt;" &amp; DATE($A23,$C23+1,1))</f>
        <v>11</v>
      </c>
      <c r="AH23" s="67">
        <f ca="1">COUNTIFS(BV!$P$55:$P$160,"&gt;=" &amp; DATE($A23,$B23,1),BV!$P$55:$P$160,"&lt;" &amp; DATE($A23,$C23+1,1))</f>
        <v>11</v>
      </c>
      <c r="AI23" s="67">
        <f ca="1">COUNTIFS(BV!$X$55:$X$160,"&gt;=" &amp; DATE($A23,$B23,1),BV!$X$55:$X$160,"&lt;" &amp; DATE($A23,$C23+1,1))</f>
        <v>8</v>
      </c>
      <c r="AJ23" s="67">
        <f ca="1">COUNTIFS(BV!$AF$55:$AF$160,"&gt;=" &amp; DATE($A23,$B23,1),BV!$AF$55:$AF$160,"&lt;" &amp; DATE($A23,$C23+1,1))</f>
        <v>3</v>
      </c>
      <c r="AK23" s="67">
        <f ca="1">COUNTIFS(BV!$AN$55:$AN$160,"&gt;=" &amp; DATE($A23,$B23,1),BV!$AN$55:$AN$160,"&lt;" &amp; DATE($A23,$C23+1,1))</f>
        <v>6</v>
      </c>
      <c r="AL23" s="67">
        <f ca="1">COUNTIFS(BV!$AV$55:$AV$160,"&gt;=" &amp; DATE($A23,$B23,1),BV!$AV$55:$AV$160,"&lt;" &amp; DATE($A23,$C23+1,1))</f>
        <v>6</v>
      </c>
      <c r="AM23" s="67">
        <f ca="1">COUNTIFS(BV!$BD$55:$BD$160,"&gt;=" &amp; DATE($A23,$B23,1),BV!$BD$55:$BD$160,"&lt;" &amp; DATE($A23,$C23+1,1))</f>
        <v>5</v>
      </c>
      <c r="AN23" s="67">
        <f ca="1">COUNTIFS(BV!$BL$55:$BL$160,"&gt;=" &amp; DATE($A23,$B23,1),BV!$BL$55:$BL$160,"&lt;" &amp; DATE($A23,$C23+1,1))</f>
        <v>4</v>
      </c>
      <c r="AO23" s="67">
        <f ca="1">COUNTIFS(BV!$BT$55:$BT$160,"&gt;=" &amp; DATE($A23,$B23,1),BV!$BT$55:$BT$160,"&lt;" &amp; DATE($A23,$C23+1,1))</f>
        <v>0</v>
      </c>
      <c r="AP23" s="67">
        <f ca="1">COUNTIFS(BV!$CB$55:$CB$160,"&gt;=" &amp; DATE($A23,$B23,1),BV!$CB$55:$CB$160,"&lt;" &amp; DATE($A23,$C23+1,1))</f>
        <v>8</v>
      </c>
      <c r="AQ23" s="384">
        <f t="shared" ca="1" si="65"/>
        <v>241.30952380952382</v>
      </c>
      <c r="AR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11</v>
      </c>
      <c r="AS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11</v>
      </c>
      <c r="AT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12</v>
      </c>
      <c r="AU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14</v>
      </c>
      <c r="AV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12</v>
      </c>
      <c r="AW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5</v>
      </c>
      <c r="AX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12</v>
      </c>
      <c r="AY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9</v>
      </c>
      <c r="AZ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7</v>
      </c>
      <c r="BA23" s="509">
        <f ca="1">COUNTIFS(OFFSET(Time!$T$2,(COLUMN()-44)*20,,20,),"&gt;=" &amp; DATE($A23,$B23,1),OFFSET(Time!$T$2,(COLUMN()-44)*20,,20,),"&lt;" &amp; DATE($A23,$C23+1,1))+COUNTIFS(OFFSET(Bvs!$T$2,(COLUMN()-44)*20,,20,),"&gt;=" &amp; DATE($A23,$B23,1),OFFSET(Bvs!$T$2,(COLUMN()-44)*20,,20,),"&lt;" &amp; DATE($A23,$C23+1,1))+COUNTIFS(OFFSET(QG!$T$2,(COLUMN()-44)*20,,20,),"&gt;=" &amp; DATE($A23,$B23,1),OFFSET(QG!$T$2,(COLUMN()-44)*20,,20,),"&lt;" &amp; DATE($A23,$C23+1,1))</f>
        <v>12</v>
      </c>
      <c r="BB23" s="384">
        <f t="shared" ca="1" si="66"/>
        <v>320.50396825396825</v>
      </c>
      <c r="BC23" s="384">
        <f t="shared" ca="1" si="67"/>
        <v>561.81349206349205</v>
      </c>
      <c r="BD23" s="382">
        <f t="shared" ca="1" si="68"/>
        <v>20.064767573696145</v>
      </c>
      <c r="BE23" s="385">
        <f t="shared" ca="1" si="69"/>
        <v>7.392282790309106</v>
      </c>
    </row>
    <row r="24" spans="1:57" x14ac:dyDescent="0.25">
      <c r="A24" s="367">
        <f t="shared" ref="A24" si="121">IF(B25=1,A25-1,A25)</f>
        <v>2018</v>
      </c>
      <c r="B24" s="367">
        <f t="shared" ref="B24:B32" si="122">IF(B25=1,10,B25-3)</f>
        <v>4</v>
      </c>
      <c r="C24" s="367">
        <f t="shared" ref="C24" si="123">B24+2</f>
        <v>6</v>
      </c>
      <c r="D24" s="368" t="s">
        <v>40</v>
      </c>
      <c r="E24" s="69">
        <f ca="1">COUNTIFS(OFFSET(Arb!$C$2,Arb!$AJ$36+Arb!$AJ$37,,Arb!$AJ$38,),$A24,OFFSET(Arb!$AI$2,Arb!$AJ$36+Arb!$AJ$37,,Arb!$AJ$38,),TRUE,OFFSET(Arb!$B$2,Arb!$AJ$36+Arb!$AJ$37,,Arb!$AJ$38,),"&gt;="&amp;$B24,OFFSET(Arb!$B$2,Arb!$AJ$36+Arb!$AJ$37,,Arb!$AJ$38,),"&lt;="&amp;$C24)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F24" s="69">
        <f ca="1">SUMIFS(OFFSET(Arb!$I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G24" s="69">
        <f ca="1">SUMIFS(OFFSET(Arb!$H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H24" s="69">
        <f ca="1">SUMIFS(OFFSET(Arb!$AC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I24" s="69">
        <f ca="1">SUMIFS(OFFSET(Arb!$U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J24" s="69">
        <f ca="1">SUMIFS(OFFSET(Arb!$V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K24" s="69">
        <f ca="1">SUMIFS(OFFSET(Arb!$X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L24" s="69">
        <f ca="1">SUMIFS(OFFSET(Arb!$AA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M24" s="69">
        <f ca="1">SUMIFS(OFFSET(Arb!$AB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N24" s="69">
        <f t="shared" ca="1" si="47"/>
        <v>0</v>
      </c>
      <c r="O24" s="389" t="str">
        <f t="shared" ca="1" si="48"/>
        <v/>
      </c>
      <c r="P24" s="369" t="str">
        <f t="shared" ca="1" si="49"/>
        <v/>
      </c>
      <c r="Q24" s="122" t="str">
        <f t="shared" ref="Q24" ca="1" si="124">IFERROR(O24/P24,"")</f>
        <v/>
      </c>
      <c r="R24" s="234" t="str">
        <f t="shared" ca="1" si="51"/>
        <v/>
      </c>
      <c r="S24" s="122" t="str">
        <f t="shared" ca="1" si="52"/>
        <v/>
      </c>
      <c r="T24" s="122" t="str">
        <f t="shared" ref="T24" ca="1" si="125">IFERROR(P24^1.7/O24,"")</f>
        <v/>
      </c>
      <c r="U24" s="119" t="str">
        <f t="shared" ca="1" si="54"/>
        <v/>
      </c>
      <c r="V24" s="119" t="str">
        <f t="shared" ca="1" si="55"/>
        <v/>
      </c>
      <c r="W24" s="119" t="str">
        <f t="shared" ca="1" si="56"/>
        <v/>
      </c>
      <c r="X24" s="122" t="str">
        <f t="shared" ref="X24" ca="1" si="126">IFERROR(R24/S24,"")</f>
        <v/>
      </c>
      <c r="Y24" s="122" t="str">
        <f t="shared" ref="Y24" ca="1" si="127">IFERROR(Q24/R24,"")</f>
        <v/>
      </c>
      <c r="Z24" s="122" t="str">
        <f t="shared" ca="1" si="59"/>
        <v/>
      </c>
      <c r="AA24" s="175" t="str">
        <f t="shared" ca="1" si="60"/>
        <v/>
      </c>
      <c r="AB24" s="119" t="str">
        <f t="shared" ref="AB24" ca="1" si="128">IFERROR(AA24/P24,"")</f>
        <v/>
      </c>
      <c r="AC24" s="122" t="str">
        <f t="shared" ref="AC24" ca="1" si="129">IFERROR(O24/AA24,"")</f>
        <v/>
      </c>
      <c r="AD24" s="121" t="str">
        <f t="shared" ca="1" si="63"/>
        <v/>
      </c>
      <c r="AE24" s="547">
        <f ca="1">AE11</f>
        <v>55</v>
      </c>
      <c r="AF24" s="369">
        <f t="shared" ca="1" si="64"/>
        <v>0</v>
      </c>
      <c r="AG24" s="70">
        <f ca="1">COUNTIFS(BV!$H$242:$H$420,"&gt;=" &amp; DATE($A24,$B24,1),BV!$H$242:$H$420,"&lt;" &amp; DATE($A24,$C24+1,1))</f>
        <v>0</v>
      </c>
      <c r="AH24" s="70">
        <f ca="1">COUNTIFS(BV!$P$242:$P$420,"&gt;=" &amp; DATE($A24,$B24,1),BV!$P$242:$P$420,"&lt;" &amp; DATE($A24,$C24+1,1))</f>
        <v>0</v>
      </c>
      <c r="AI24" s="70">
        <f ca="1">COUNTIFS(BV!$X$242:$X$420,"&gt;=" &amp; DATE($A24,$B24,1),BV!$X$242:$X$420,"&lt;" &amp; DATE($A24,$C24+1,1))</f>
        <v>0</v>
      </c>
      <c r="AJ24" s="70">
        <f ca="1">COUNTIFS(BV!$AF$242:$AF$420,"&gt;=" &amp; DATE($A24,$B24,1),BV!$AF$242:$AF$420,"&lt;" &amp; DATE($A24,$C24+1,1))</f>
        <v>0</v>
      </c>
      <c r="AK24" s="70">
        <f ca="1">COUNTIFS(BV!$AN$242:$AN$420,"&gt;=" &amp; DATE($A24,$B24,1),BV!$AN$242:$AN$420,"&lt;" &amp; DATE($A24,$C24+1,1))</f>
        <v>0</v>
      </c>
      <c r="AL24" s="70">
        <f ca="1">COUNTIFS(BV!$AV$242:$AV$420,"&gt;=" &amp; DATE($A24,$B24,1),BV!$AV$242:$AV$420,"&lt;" &amp; DATE($A24,$C24+1,1))</f>
        <v>0</v>
      </c>
      <c r="AM24" s="70">
        <f ca="1">COUNTIFS(BV!$BD$242:$BD$420,"&gt;=" &amp; DATE($A24,$B24,1),BV!$BD$242:$BD$420,"&lt;" &amp; DATE($A24,$C24+1,1))</f>
        <v>0</v>
      </c>
      <c r="AN24" s="70">
        <f ca="1">COUNTIFS(BV!$BL$242:$BL$420,"&gt;=" &amp; DATE($A24,$B24,1),BV!$BL$242:$BL$420,"&lt;" &amp; DATE($A24,$C24+1,1))</f>
        <v>0</v>
      </c>
      <c r="AO24" s="70">
        <f ca="1">COUNTIFS(BV!$BT$242:$BT$420,"&gt;=" &amp; DATE($A24,$B24,1),BV!$BT$242:$BT$420,"&lt;" &amp; DATE($A24,$C24+1,1))</f>
        <v>0</v>
      </c>
      <c r="AP24" s="70">
        <f ca="1">COUNTIFS(BV!$CB$242:$CB$420,"&gt;=" &amp; DATE($A24,$B24,1),BV!$CB$242:$CB$420,"&lt;" &amp; DATE($A24,$C24+1,1))</f>
        <v>0</v>
      </c>
      <c r="AQ24" s="232">
        <f t="shared" ref="AQ24" ca="1" si="130">(AG24+AH24/2+AI24/3+AJ24/4+AK24/5+AL24/6+AM24/7+AN24/8+AO24/9+AP24/10)*10</f>
        <v>0</v>
      </c>
      <c r="AR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S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T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U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V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W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X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Y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Z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BA24" s="547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BB24" s="232">
        <f t="shared" ca="1" si="66"/>
        <v>0</v>
      </c>
      <c r="BC24" s="232">
        <f t="shared" ca="1" si="67"/>
        <v>0</v>
      </c>
      <c r="BD24" s="369">
        <f t="shared" ref="BD24" ca="1" si="131">BC24/AE24</f>
        <v>0</v>
      </c>
      <c r="BE24" s="369">
        <f t="shared" ca="1" si="69"/>
        <v>0</v>
      </c>
    </row>
    <row r="25" spans="1:57" x14ac:dyDescent="0.25">
      <c r="A25" s="367">
        <f t="shared" ref="A25" si="132">IF(B26=1,A26-1,A26)</f>
        <v>2018</v>
      </c>
      <c r="B25" s="367">
        <f t="shared" si="122"/>
        <v>7</v>
      </c>
      <c r="C25" s="367">
        <f t="shared" ref="C25" si="133">B25+2</f>
        <v>9</v>
      </c>
      <c r="D25" s="368" t="s">
        <v>40</v>
      </c>
      <c r="E25" s="69">
        <f ca="1">COUNTIFS(OFFSET(Arb!$C$2,Arb!$AJ$36+Arb!$AJ$37,,Arb!$AJ$38,),$A25,OFFSET(Arb!$AI$2,Arb!$AJ$36+Arb!$AJ$37,,Arb!$AJ$38,),TRUE,OFFSET(Arb!$B$2,Arb!$AJ$36+Arb!$AJ$37,,Arb!$AJ$38,),"&gt;="&amp;$B25,OFFSET(Arb!$B$2,Arb!$AJ$36+Arb!$AJ$37,,Arb!$AJ$38,),"&lt;="&amp;$C25)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F25" s="69">
        <f ca="1">SUMIFS(OFFSET(Arb!$I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G25" s="69">
        <f ca="1">SUMIFS(OFFSET(Arb!$H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H25" s="69">
        <f ca="1">SUMIFS(OFFSET(Arb!$AC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I25" s="69">
        <f ca="1">SUMIFS(OFFSET(Arb!$U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J25" s="69">
        <f ca="1">SUMIFS(OFFSET(Arb!$V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K25" s="69">
        <f ca="1">SUMIFS(OFFSET(Arb!$X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L25" s="69">
        <f ca="1">SUMIFS(OFFSET(Arb!$AA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M25" s="69">
        <f ca="1">SUMIFS(OFFSET(Arb!$AB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N25" s="69">
        <f t="shared" ref="N25" ca="1" si="134">I25+J25</f>
        <v>0</v>
      </c>
      <c r="O25" s="389" t="str">
        <f t="shared" ref="O25" ca="1" si="135">IFERROR(F25/E25,"")</f>
        <v/>
      </c>
      <c r="P25" s="369" t="str">
        <f t="shared" ref="P25" ca="1" si="136">IFERROR(G25/E25,"")</f>
        <v/>
      </c>
      <c r="Q25" s="122" t="str">
        <f t="shared" ca="1" si="71"/>
        <v/>
      </c>
      <c r="R25" s="234" t="str">
        <f t="shared" ref="R25" ca="1" si="137">IFERROR(K25/G25,"")</f>
        <v/>
      </c>
      <c r="S25" s="122" t="str">
        <f t="shared" ref="S25" ca="1" si="138">IFERROR(N25/G25,"")</f>
        <v/>
      </c>
      <c r="T25" s="122" t="str">
        <f t="shared" ca="1" si="72"/>
        <v/>
      </c>
      <c r="U25" s="119" t="str">
        <f t="shared" ref="U25" ca="1" si="139">IFERROR((IF(D25="beg",47.299,0)+IF(D25="int",153.73,0)+IF(D25="exp",435.001,0))/T25,"")</f>
        <v/>
      </c>
      <c r="V25" s="119" t="str">
        <f t="shared" ref="V25" ca="1" si="140">IFERROR(L25/E25,"")</f>
        <v/>
      </c>
      <c r="W25" s="119" t="str">
        <f t="shared" ref="W25" ca="1" si="141">IFERROR(M25/E25,"")</f>
        <v/>
      </c>
      <c r="X25" s="122" t="str">
        <f t="shared" ca="1" si="73"/>
        <v/>
      </c>
      <c r="Y25" s="122" t="str">
        <f t="shared" ca="1" si="74"/>
        <v/>
      </c>
      <c r="Z25" s="122" t="str">
        <f t="shared" ref="Z25" ca="1" si="142">IFERROR(F25/N25,"")</f>
        <v/>
      </c>
      <c r="AA25" s="175" t="str">
        <f t="shared" ref="AA25" ca="1" si="143">IFERROR(H25/E25/16,"")</f>
        <v/>
      </c>
      <c r="AB25" s="119" t="str">
        <f t="shared" ca="1" si="75"/>
        <v/>
      </c>
      <c r="AC25" s="122" t="str">
        <f t="shared" ca="1" si="76"/>
        <v/>
      </c>
      <c r="AD25" s="121" t="str">
        <f t="shared" ref="AD25" ca="1" si="144">IFERROR(AB25*R25,"")</f>
        <v/>
      </c>
      <c r="AE25" s="547">
        <f ca="1">AE12</f>
        <v>28</v>
      </c>
      <c r="AF25" s="369">
        <f t="shared" ref="AF25" ca="1" si="145">E25/AE25</f>
        <v>0</v>
      </c>
      <c r="AG25" s="70">
        <f ca="1">COUNTIFS(BV!$H$242:$H$420,"&gt;=" &amp; DATE($A25,$B25,1),BV!$H$242:$H$420,"&lt;" &amp; DATE($A25,$C25+1,1))</f>
        <v>0</v>
      </c>
      <c r="AH25" s="70">
        <f ca="1">COUNTIFS(BV!$P$242:$P$420,"&gt;=" &amp; DATE($A25,$B25,1),BV!$P$242:$P$420,"&lt;" &amp; DATE($A25,$C25+1,1))</f>
        <v>0</v>
      </c>
      <c r="AI25" s="70">
        <f ca="1">COUNTIFS(BV!$X$242:$X$420,"&gt;=" &amp; DATE($A25,$B25,1),BV!$X$242:$X$420,"&lt;" &amp; DATE($A25,$C25+1,1))</f>
        <v>0</v>
      </c>
      <c r="AJ25" s="70">
        <f ca="1">COUNTIFS(BV!$AF$242:$AF$420,"&gt;=" &amp; DATE($A25,$B25,1),BV!$AF$242:$AF$420,"&lt;" &amp; DATE($A25,$C25+1,1))</f>
        <v>0</v>
      </c>
      <c r="AK25" s="70">
        <f ca="1">COUNTIFS(BV!$AN$242:$AN$420,"&gt;=" &amp; DATE($A25,$B25,1),BV!$AN$242:$AN$420,"&lt;" &amp; DATE($A25,$C25+1,1))</f>
        <v>0</v>
      </c>
      <c r="AL25" s="70">
        <f ca="1">COUNTIFS(BV!$AV$242:$AV$420,"&gt;=" &amp; DATE($A25,$B25,1),BV!$AV$242:$AV$420,"&lt;" &amp; DATE($A25,$C25+1,1))</f>
        <v>0</v>
      </c>
      <c r="AM25" s="70">
        <f ca="1">COUNTIFS(BV!$BD$242:$BD$420,"&gt;=" &amp; DATE($A25,$B25,1),BV!$BD$242:$BD$420,"&lt;" &amp; DATE($A25,$C25+1,1))</f>
        <v>0</v>
      </c>
      <c r="AN25" s="70">
        <f ca="1">COUNTIFS(BV!$BL$242:$BL$420,"&gt;=" &amp; DATE($A25,$B25,1),BV!$BL$242:$BL$420,"&lt;" &amp; DATE($A25,$C25+1,1))</f>
        <v>0</v>
      </c>
      <c r="AO25" s="70">
        <f ca="1">COUNTIFS(BV!$BT$242:$BT$420,"&gt;=" &amp; DATE($A25,$B25,1),BV!$BT$242:$BT$420,"&lt;" &amp; DATE($A25,$C25+1,1))</f>
        <v>0</v>
      </c>
      <c r="AP25" s="70">
        <f ca="1">COUNTIFS(BV!$CB$242:$CB$420,"&gt;=" &amp; DATE($A25,$B25,1),BV!$CB$242:$CB$420,"&lt;" &amp; DATE($A25,$C25+1,1))</f>
        <v>0</v>
      </c>
      <c r="AQ25" s="232">
        <f t="shared" ca="1" si="65"/>
        <v>0</v>
      </c>
      <c r="AR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S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T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U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V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W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X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Y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Z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BA25" s="547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BB25" s="232">
        <f t="shared" ref="BB25" ca="1" si="146">(AR25+AS25/2+AT25/3+AU25/4+AV25/5+AW25/6+AX25/7+AY25/8+AZ25/9+BA25/10)*10</f>
        <v>0</v>
      </c>
      <c r="BC25" s="232">
        <f t="shared" ref="BC25" ca="1" si="147">AQ25+BB25</f>
        <v>0</v>
      </c>
      <c r="BD25" s="369">
        <f t="shared" ca="1" si="68"/>
        <v>0</v>
      </c>
      <c r="BE25" s="369">
        <f t="shared" ref="BE25" ca="1" si="148">IF(AF25=0,0,BD25/AF25)</f>
        <v>0</v>
      </c>
    </row>
    <row r="26" spans="1:57" x14ac:dyDescent="0.25">
      <c r="A26" s="367">
        <f t="shared" ref="A26" si="149">IF(B27=1,A27-1,A27)</f>
        <v>2018</v>
      </c>
      <c r="B26" s="367">
        <f t="shared" si="122"/>
        <v>10</v>
      </c>
      <c r="C26" s="367">
        <f t="shared" ref="C26" si="150">B26+2</f>
        <v>12</v>
      </c>
      <c r="D26" s="368" t="s">
        <v>40</v>
      </c>
      <c r="E26" s="69">
        <f ca="1">COUNTIFS(OFFSET(Arb!$C$2,Arb!$AJ$36+Arb!$AJ$37,,Arb!$AJ$38,),$A26,OFFSET(Arb!$AI$2,Arb!$AJ$36+Arb!$AJ$37,,Arb!$AJ$38,),TRUE,OFFSET(Arb!$B$2,Arb!$AJ$36+Arb!$AJ$37,,Arb!$AJ$38,),"&gt;="&amp;$B26,OFFSET(Arb!$B$2,Arb!$AJ$36+Arb!$AJ$37,,Arb!$AJ$38,),"&lt;="&amp;$C26)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F26" s="69">
        <f ca="1">SUMIFS(OFFSET(Arb!$I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G26" s="69">
        <f ca="1">SUMIFS(OFFSET(Arb!$H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H26" s="69">
        <f ca="1">SUMIFS(OFFSET(Arb!$AC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I26" s="69">
        <f ca="1">SUMIFS(OFFSET(Arb!$U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J26" s="69">
        <f ca="1">SUMIFS(OFFSET(Arb!$V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K26" s="69">
        <f ca="1">SUMIFS(OFFSET(Arb!$X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L26" s="69">
        <f ca="1">SUMIFS(OFFSET(Arb!$AA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M26" s="69">
        <f ca="1">SUMIFS(OFFSET(Arb!$AB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N26" s="69">
        <f t="shared" ca="1" si="47"/>
        <v>0</v>
      </c>
      <c r="O26" s="389" t="str">
        <f t="shared" ca="1" si="48"/>
        <v/>
      </c>
      <c r="P26" s="369" t="str">
        <f t="shared" ca="1" si="49"/>
        <v/>
      </c>
      <c r="Q26" s="122" t="str">
        <f t="shared" ref="Q26" ca="1" si="151">IFERROR(O26/P26,"")</f>
        <v/>
      </c>
      <c r="R26" s="234" t="str">
        <f t="shared" ca="1" si="51"/>
        <v/>
      </c>
      <c r="S26" s="122" t="str">
        <f t="shared" ca="1" si="52"/>
        <v/>
      </c>
      <c r="T26" s="122" t="str">
        <f t="shared" ref="T26" ca="1" si="152">IFERROR(P26^1.7/O26,"")</f>
        <v/>
      </c>
      <c r="U26" s="119" t="str">
        <f t="shared" ca="1" si="54"/>
        <v/>
      </c>
      <c r="V26" s="119" t="str">
        <f t="shared" ca="1" si="55"/>
        <v/>
      </c>
      <c r="W26" s="119" t="str">
        <f t="shared" ca="1" si="56"/>
        <v/>
      </c>
      <c r="X26" s="122" t="str">
        <f t="shared" ref="X26" ca="1" si="153">IFERROR(R26/S26,"")</f>
        <v/>
      </c>
      <c r="Y26" s="122" t="str">
        <f t="shared" ref="Y26" ca="1" si="154">IFERROR(Q26/R26,"")</f>
        <v/>
      </c>
      <c r="Z26" s="122" t="str">
        <f t="shared" ca="1" si="59"/>
        <v/>
      </c>
      <c r="AA26" s="175" t="str">
        <f t="shared" ca="1" si="60"/>
        <v/>
      </c>
      <c r="AB26" s="119" t="str">
        <f t="shared" ref="AB26" ca="1" si="155">IFERROR(AA26/P26,"")</f>
        <v/>
      </c>
      <c r="AC26" s="122" t="str">
        <f t="shared" ref="AC26" ca="1" si="156">IFERROR(O26/AA26,"")</f>
        <v/>
      </c>
      <c r="AD26" s="121" t="str">
        <f t="shared" ca="1" si="63"/>
        <v/>
      </c>
      <c r="AE26" s="470" t="e">
        <f ca="1">AE15</f>
        <v>#N/A</v>
      </c>
      <c r="AF26" s="369" t="e">
        <f t="shared" ca="1" si="64"/>
        <v>#N/A</v>
      </c>
      <c r="AG26" s="70">
        <f ca="1">COUNTIFS(BV!$H$242:$H$420,"&gt;=" &amp; DATE($A26,$B26,1),BV!$H$242:$H$420,"&lt;" &amp; DATE($A26,$C26+1,1))</f>
        <v>0</v>
      </c>
      <c r="AH26" s="70">
        <f ca="1">COUNTIFS(BV!$P$242:$P$420,"&gt;=" &amp; DATE($A26,$B26,1),BV!$P$242:$P$420,"&lt;" &amp; DATE($A26,$C26+1,1))</f>
        <v>0</v>
      </c>
      <c r="AI26" s="70">
        <f ca="1">COUNTIFS(BV!$X$242:$X$420,"&gt;=" &amp; DATE($A26,$B26,1),BV!$X$242:$X$420,"&lt;" &amp; DATE($A26,$C26+1,1))</f>
        <v>0</v>
      </c>
      <c r="AJ26" s="70">
        <f ca="1">COUNTIFS(BV!$AF$242:$AF$420,"&gt;=" &amp; DATE($A26,$B26,1),BV!$AF$242:$AF$420,"&lt;" &amp; DATE($A26,$C26+1,1))</f>
        <v>0</v>
      </c>
      <c r="AK26" s="70">
        <f ca="1">COUNTIFS(BV!$AN$242:$AN$420,"&gt;=" &amp; DATE($A26,$B26,1),BV!$AN$242:$AN$420,"&lt;" &amp; DATE($A26,$C26+1,1))</f>
        <v>0</v>
      </c>
      <c r="AL26" s="70">
        <f ca="1">COUNTIFS(BV!$AV$242:$AV$420,"&gt;=" &amp; DATE($A26,$B26,1),BV!$AV$242:$AV$420,"&lt;" &amp; DATE($A26,$C26+1,1))</f>
        <v>0</v>
      </c>
      <c r="AM26" s="70">
        <f ca="1">COUNTIFS(BV!$BD$242:$BD$420,"&gt;=" &amp; DATE($A26,$B26,1),BV!$BD$242:$BD$420,"&lt;" &amp; DATE($A26,$C26+1,1))</f>
        <v>0</v>
      </c>
      <c r="AN26" s="70">
        <f ca="1">COUNTIFS(BV!$BL$242:$BL$420,"&gt;=" &amp; DATE($A26,$B26,1),BV!$BL$242:$BL$420,"&lt;" &amp; DATE($A26,$C26+1,1))</f>
        <v>0</v>
      </c>
      <c r="AO26" s="70">
        <f ca="1">COUNTIFS(BV!$BT$242:$BT$420,"&gt;=" &amp; DATE($A26,$B26,1),BV!$BT$242:$BT$420,"&lt;" &amp; DATE($A26,$C26+1,1))</f>
        <v>0</v>
      </c>
      <c r="AP26" s="70">
        <f ca="1">COUNTIFS(BV!$CB$242:$CB$420,"&gt;=" &amp; DATE($A26,$B26,1),BV!$CB$242:$CB$420,"&lt;" &amp; DATE($A26,$C26+1,1))</f>
        <v>0</v>
      </c>
      <c r="AQ26" s="232">
        <f t="shared" ref="AQ26:AQ45" ca="1" si="157">(AG26+AH26/2+AI26/3+AJ26/4+AK26/5+AL26/6+AM26/7+AN26/8+AO26/9+AP26/10)*10</f>
        <v>0</v>
      </c>
      <c r="AR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S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T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U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V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W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X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Y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Z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BA26" s="509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BB26" s="232">
        <f t="shared" ca="1" si="66"/>
        <v>0</v>
      </c>
      <c r="BC26" s="232">
        <f t="shared" ca="1" si="67"/>
        <v>0</v>
      </c>
      <c r="BD26" s="369" t="e">
        <f t="shared" ref="BD26:BD45" ca="1" si="158">BC26/AE26</f>
        <v>#N/A</v>
      </c>
      <c r="BE26" s="369" t="e">
        <f t="shared" ca="1" si="69"/>
        <v>#N/A</v>
      </c>
    </row>
    <row r="27" spans="1:57" x14ac:dyDescent="0.25">
      <c r="A27" s="24">
        <f t="shared" ref="A27:A32" si="159">IF(B28=1,A28-1,A28)</f>
        <v>2019</v>
      </c>
      <c r="B27" s="24">
        <f t="shared" si="122"/>
        <v>1</v>
      </c>
      <c r="C27" s="24">
        <f t="shared" ref="C27:C32" si="160">B27+2</f>
        <v>3</v>
      </c>
      <c r="D27" s="38" t="s">
        <v>40</v>
      </c>
      <c r="E27" s="1">
        <f ca="1">COUNTIFS(OFFSET(Arb!$C$2,Arb!$AJ$36+Arb!$AJ$37,,Arb!$AJ$38,),$A27,OFFSET(Arb!$AI$2,Arb!$AJ$36+Arb!$AJ$37,,Arb!$AJ$38,),TRUE,OFFSET(Arb!$B$2,Arb!$AJ$36+Arb!$AJ$37,,Arb!$AJ$38,),"&gt;="&amp;$B27,OFFSET(Arb!$B$2,Arb!$AJ$36+Arb!$AJ$37,,Arb!$AJ$38,),"&lt;="&amp;$C27)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F27" s="1">
        <f ca="1">SUMIFS(OFFSET(Arb!$I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G27" s="1">
        <f ca="1">SUMIFS(OFFSET(Arb!$H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H27" s="1">
        <f ca="1">SUMIFS(OFFSET(Arb!$AC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I27" s="1">
        <f ca="1">SUMIFS(OFFSET(Arb!$U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J27" s="1">
        <f ca="1">SUMIFS(OFFSET(Arb!$V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K27" s="1">
        <f ca="1">SUMIFS(OFFSET(Arb!$X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L27" s="1">
        <f ca="1">SUMIFS(OFFSET(Arb!$AA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M27" s="1">
        <f ca="1">SUMIFS(OFFSET(Arb!$AB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N27" s="1">
        <f t="shared" ca="1" si="47"/>
        <v>0</v>
      </c>
      <c r="O27" s="39" t="str">
        <f t="shared" ca="1" si="48"/>
        <v/>
      </c>
      <c r="P27" s="12" t="str">
        <f t="shared" ca="1" si="49"/>
        <v/>
      </c>
      <c r="Q27" s="33" t="str">
        <f t="shared" ca="1" si="71"/>
        <v/>
      </c>
      <c r="R27" s="20" t="str">
        <f t="shared" ca="1" si="51"/>
        <v/>
      </c>
      <c r="S27" s="33" t="str">
        <f t="shared" ca="1" si="52"/>
        <v/>
      </c>
      <c r="T27" s="33" t="str">
        <f t="shared" ca="1" si="72"/>
        <v/>
      </c>
      <c r="U27" s="34" t="str">
        <f t="shared" ca="1" si="54"/>
        <v/>
      </c>
      <c r="V27" s="34" t="str">
        <f t="shared" ca="1" si="55"/>
        <v/>
      </c>
      <c r="W27" s="34" t="str">
        <f t="shared" ca="1" si="56"/>
        <v/>
      </c>
      <c r="X27" s="33" t="str">
        <f t="shared" ca="1" si="73"/>
        <v/>
      </c>
      <c r="Y27" s="33" t="str">
        <f t="shared" ca="1" si="74"/>
        <v/>
      </c>
      <c r="Z27" s="33" t="str">
        <f t="shared" ca="1" si="59"/>
        <v/>
      </c>
      <c r="AA27" s="17" t="str">
        <f t="shared" ca="1" si="60"/>
        <v/>
      </c>
      <c r="AB27" s="34" t="str">
        <f t="shared" ca="1" si="75"/>
        <v/>
      </c>
      <c r="AC27" s="33" t="str">
        <f t="shared" ca="1" si="76"/>
        <v/>
      </c>
      <c r="AD27" s="21" t="str">
        <f t="shared" ca="1" si="63"/>
        <v/>
      </c>
      <c r="AE27" s="470">
        <f ca="1">AE16</f>
        <v>0</v>
      </c>
      <c r="AF27" s="12" t="e">
        <f t="shared" ca="1" si="64"/>
        <v>#DIV/0!</v>
      </c>
      <c r="AG27" s="353">
        <f ca="1">COUNTIFS(BV!$H$242:$H$420,"&gt;=" &amp; DATE($A27,$B27,1),BV!$H$242:$H$420,"&lt;" &amp; DATE($A27,$C27+1,1))</f>
        <v>0</v>
      </c>
      <c r="AH27" s="353">
        <f ca="1">COUNTIFS(BV!$P$242:$P$420,"&gt;=" &amp; DATE($A27,$B27,1),BV!$P$242:$P$420,"&lt;" &amp; DATE($A27,$C27+1,1))</f>
        <v>0</v>
      </c>
      <c r="AI27" s="353">
        <f ca="1">COUNTIFS(BV!$X$242:$X$420,"&gt;=" &amp; DATE($A27,$B27,1),BV!$X$242:$X$420,"&lt;" &amp; DATE($A27,$C27+1,1))</f>
        <v>0</v>
      </c>
      <c r="AJ27" s="353">
        <f ca="1">COUNTIFS(BV!$AF$242:$AF$420,"&gt;=" &amp; DATE($A27,$B27,1),BV!$AF$242:$AF$420,"&lt;" &amp; DATE($A27,$C27+1,1))</f>
        <v>0</v>
      </c>
      <c r="AK27" s="353">
        <f ca="1">COUNTIFS(BV!$AN$242:$AN$420,"&gt;=" &amp; DATE($A27,$B27,1),BV!$AN$242:$AN$420,"&lt;" &amp; DATE($A27,$C27+1,1))</f>
        <v>0</v>
      </c>
      <c r="AL27" s="353">
        <f ca="1">COUNTIFS(BV!$AV$242:$AV$420,"&gt;=" &amp; DATE($A27,$B27,1),BV!$AV$242:$AV$420,"&lt;" &amp; DATE($A27,$C27+1,1))</f>
        <v>0</v>
      </c>
      <c r="AM27" s="353">
        <f ca="1">COUNTIFS(BV!$BD$242:$BD$420,"&gt;=" &amp; DATE($A27,$B27,1),BV!$BD$242:$BD$420,"&lt;" &amp; DATE($A27,$C27+1,1))</f>
        <v>0</v>
      </c>
      <c r="AN27" s="353">
        <f ca="1">COUNTIFS(BV!$BL$242:$BL$420,"&gt;=" &amp; DATE($A27,$B27,1),BV!$BL$242:$BL$420,"&lt;" &amp; DATE($A27,$C27+1,1))</f>
        <v>0</v>
      </c>
      <c r="AO27" s="353">
        <f ca="1">COUNTIFS(BV!$BT$242:$BT$420,"&gt;=" &amp; DATE($A27,$B27,1),BV!$BT$242:$BT$420,"&lt;" &amp; DATE($A27,$C27+1,1))</f>
        <v>0</v>
      </c>
      <c r="AP27" s="353">
        <f ca="1">COUNTIFS(BV!$CB$242:$CB$420,"&gt;=" &amp; DATE($A27,$B27,1),BV!$CB$242:$CB$420,"&lt;" &amp; DATE($A27,$C27+1,1))</f>
        <v>0</v>
      </c>
      <c r="AQ27" s="35">
        <f t="shared" ca="1" si="157"/>
        <v>0</v>
      </c>
      <c r="AR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S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T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U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V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W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X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Y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Z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BA27" s="509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BB27" s="35">
        <f t="shared" ca="1" si="66"/>
        <v>0</v>
      </c>
      <c r="BC27" s="35">
        <f t="shared" ca="1" si="67"/>
        <v>0</v>
      </c>
      <c r="BD27" s="12" t="e">
        <f t="shared" ca="1" si="158"/>
        <v>#DIV/0!</v>
      </c>
      <c r="BE27" s="12" t="e">
        <f t="shared" ca="1" si="69"/>
        <v>#DIV/0!</v>
      </c>
    </row>
    <row r="28" spans="1:57" x14ac:dyDescent="0.25">
      <c r="A28" s="24">
        <f t="shared" si="159"/>
        <v>2019</v>
      </c>
      <c r="B28" s="24">
        <f t="shared" si="122"/>
        <v>4</v>
      </c>
      <c r="C28" s="24">
        <f t="shared" si="160"/>
        <v>6</v>
      </c>
      <c r="D28" s="38" t="s">
        <v>40</v>
      </c>
      <c r="E28" s="1">
        <f ca="1">COUNTIFS(OFFSET(Arb!$C$2,Arb!$AJ$36+Arb!$AJ$37,,Arb!$AJ$38,),$A28,OFFSET(Arb!$AI$2,Arb!$AJ$36+Arb!$AJ$37,,Arb!$AJ$38,),TRUE,OFFSET(Arb!$B$2,Arb!$AJ$36+Arb!$AJ$37,,Arb!$AJ$38,),"&gt;="&amp;$B28,OFFSET(Arb!$B$2,Arb!$AJ$36+Arb!$AJ$37,,Arb!$AJ$38,),"&lt;="&amp;$C28)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F28" s="1">
        <f ca="1">SUMIFS(OFFSET(Arb!$I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G28" s="1">
        <f ca="1">SUMIFS(OFFSET(Arb!$H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H28" s="1">
        <f ca="1">SUMIFS(OFFSET(Arb!$AC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I28" s="1">
        <f ca="1">SUMIFS(OFFSET(Arb!$U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J28" s="1">
        <f ca="1">SUMIFS(OFFSET(Arb!$V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K28" s="1">
        <f ca="1">SUMIFS(OFFSET(Arb!$X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L28" s="1">
        <f ca="1">SUMIFS(OFFSET(Arb!$AA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M28" s="1">
        <f ca="1">SUMIFS(OFFSET(Arb!$AB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N28" s="1">
        <f t="shared" ca="1" si="47"/>
        <v>0</v>
      </c>
      <c r="O28" s="39" t="str">
        <f t="shared" ca="1" si="48"/>
        <v/>
      </c>
      <c r="P28" s="12" t="str">
        <f t="shared" ca="1" si="49"/>
        <v/>
      </c>
      <c r="Q28" s="33" t="str">
        <f t="shared" ca="1" si="71"/>
        <v/>
      </c>
      <c r="R28" s="20" t="str">
        <f t="shared" ca="1" si="51"/>
        <v/>
      </c>
      <c r="S28" s="33" t="str">
        <f t="shared" ca="1" si="52"/>
        <v/>
      </c>
      <c r="T28" s="33" t="str">
        <f t="shared" ca="1" si="72"/>
        <v/>
      </c>
      <c r="U28" s="34" t="str">
        <f t="shared" ca="1" si="54"/>
        <v/>
      </c>
      <c r="V28" s="34" t="str">
        <f t="shared" ca="1" si="55"/>
        <v/>
      </c>
      <c r="W28" s="34" t="str">
        <f t="shared" ca="1" si="56"/>
        <v/>
      </c>
      <c r="X28" s="33" t="str">
        <f t="shared" ca="1" si="73"/>
        <v/>
      </c>
      <c r="Y28" s="33" t="str">
        <f t="shared" ca="1" si="74"/>
        <v/>
      </c>
      <c r="Z28" s="33" t="str">
        <f t="shared" ca="1" si="59"/>
        <v/>
      </c>
      <c r="AA28" s="17" t="str">
        <f t="shared" ca="1" si="60"/>
        <v/>
      </c>
      <c r="AB28" s="34" t="str">
        <f t="shared" ca="1" si="75"/>
        <v/>
      </c>
      <c r="AC28" s="33" t="str">
        <f t="shared" ca="1" si="76"/>
        <v/>
      </c>
      <c r="AD28" s="21" t="str">
        <f t="shared" ca="1" si="63"/>
        <v/>
      </c>
      <c r="AE28" s="470">
        <f ca="1">AE17</f>
        <v>0</v>
      </c>
      <c r="AF28" s="12" t="e">
        <f t="shared" ca="1" si="64"/>
        <v>#DIV/0!</v>
      </c>
      <c r="AG28" s="353">
        <f ca="1">COUNTIFS(BV!$H$242:$H$420,"&gt;=" &amp; DATE($A28,$B28,1),BV!$H$242:$H$420,"&lt;" &amp; DATE($A28,$C28+1,1))</f>
        <v>0</v>
      </c>
      <c r="AH28" s="353">
        <f ca="1">COUNTIFS(BV!$P$242:$P$420,"&gt;=" &amp; DATE($A28,$B28,1),BV!$P$242:$P$420,"&lt;" &amp; DATE($A28,$C28+1,1))</f>
        <v>0</v>
      </c>
      <c r="AI28" s="353">
        <f ca="1">COUNTIFS(BV!$X$242:$X$420,"&gt;=" &amp; DATE($A28,$B28,1),BV!$X$242:$X$420,"&lt;" &amp; DATE($A28,$C28+1,1))</f>
        <v>0</v>
      </c>
      <c r="AJ28" s="353">
        <f ca="1">COUNTIFS(BV!$AF$242:$AF$420,"&gt;=" &amp; DATE($A28,$B28,1),BV!$AF$242:$AF$420,"&lt;" &amp; DATE($A28,$C28+1,1))</f>
        <v>0</v>
      </c>
      <c r="AK28" s="353">
        <f ca="1">COUNTIFS(BV!$AN$242:$AN$420,"&gt;=" &amp; DATE($A28,$B28,1),BV!$AN$242:$AN$420,"&lt;" &amp; DATE($A28,$C28+1,1))</f>
        <v>0</v>
      </c>
      <c r="AL28" s="353">
        <f ca="1">COUNTIFS(BV!$AV$242:$AV$420,"&gt;=" &amp; DATE($A28,$B28,1),BV!$AV$242:$AV$420,"&lt;" &amp; DATE($A28,$C28+1,1))</f>
        <v>0</v>
      </c>
      <c r="AM28" s="353">
        <f ca="1">COUNTIFS(BV!$BD$242:$BD$420,"&gt;=" &amp; DATE($A28,$B28,1),BV!$BD$242:$BD$420,"&lt;" &amp; DATE($A28,$C28+1,1))</f>
        <v>0</v>
      </c>
      <c r="AN28" s="353">
        <f ca="1">COUNTIFS(BV!$BL$242:$BL$420,"&gt;=" &amp; DATE($A28,$B28,1),BV!$BL$242:$BL$420,"&lt;" &amp; DATE($A28,$C28+1,1))</f>
        <v>0</v>
      </c>
      <c r="AO28" s="353">
        <f ca="1">COUNTIFS(BV!$BT$242:$BT$420,"&gt;=" &amp; DATE($A28,$B28,1),BV!$BT$242:$BT$420,"&lt;" &amp; DATE($A28,$C28+1,1))</f>
        <v>0</v>
      </c>
      <c r="AP28" s="353">
        <f ca="1">COUNTIFS(BV!$CB$242:$CB$420,"&gt;=" &amp; DATE($A28,$B28,1),BV!$CB$242:$CB$420,"&lt;" &amp; DATE($A28,$C28+1,1))</f>
        <v>0</v>
      </c>
      <c r="AQ28" s="35">
        <f t="shared" ca="1" si="157"/>
        <v>0</v>
      </c>
      <c r="AR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S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T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U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V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W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X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Y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Z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BA28" s="509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BB28" s="35">
        <f t="shared" ca="1" si="66"/>
        <v>0</v>
      </c>
      <c r="BC28" s="35">
        <f t="shared" ca="1" si="67"/>
        <v>0</v>
      </c>
      <c r="BD28" s="12" t="e">
        <f t="shared" ca="1" si="158"/>
        <v>#DIV/0!</v>
      </c>
      <c r="BE28" s="12" t="e">
        <f t="shared" ca="1" si="69"/>
        <v>#DIV/0!</v>
      </c>
    </row>
    <row r="29" spans="1:57" x14ac:dyDescent="0.25">
      <c r="A29" s="24">
        <f t="shared" si="159"/>
        <v>2019</v>
      </c>
      <c r="B29" s="24">
        <f t="shared" si="122"/>
        <v>7</v>
      </c>
      <c r="C29" s="24">
        <f t="shared" si="160"/>
        <v>9</v>
      </c>
      <c r="D29" s="38" t="s">
        <v>40</v>
      </c>
      <c r="E29" s="1">
        <f ca="1">COUNTIFS(OFFSET(Arb!$C$2,Arb!$AJ$36+Arb!$AJ$37,,Arb!$AJ$38,),$A29,OFFSET(Arb!$AI$2,Arb!$AJ$36+Arb!$AJ$37,,Arb!$AJ$38,),TRUE,OFFSET(Arb!$B$2,Arb!$AJ$36+Arb!$AJ$37,,Arb!$AJ$38,),"&gt;="&amp;$B29,OFFSET(Arb!$B$2,Arb!$AJ$36+Arb!$AJ$37,,Arb!$AJ$38,),"&lt;="&amp;$C29)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F29" s="1">
        <f ca="1">SUMIFS(OFFSET(Arb!$I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G29" s="1">
        <f ca="1">SUMIFS(OFFSET(Arb!$H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H29" s="1">
        <f ca="1">SUMIFS(OFFSET(Arb!$AC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I29" s="1">
        <f ca="1">SUMIFS(OFFSET(Arb!$U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J29" s="1">
        <f ca="1">SUMIFS(OFFSET(Arb!$V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K29" s="1">
        <f ca="1">SUMIFS(OFFSET(Arb!$X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L29" s="1">
        <f ca="1">SUMIFS(OFFSET(Arb!$AA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M29" s="1">
        <f ca="1">SUMIFS(OFFSET(Arb!$AB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N29" s="1">
        <f t="shared" ca="1" si="47"/>
        <v>0</v>
      </c>
      <c r="O29" s="39" t="str">
        <f t="shared" ca="1" si="48"/>
        <v/>
      </c>
      <c r="P29" s="12" t="str">
        <f t="shared" ca="1" si="49"/>
        <v/>
      </c>
      <c r="Q29" s="33" t="str">
        <f t="shared" ca="1" si="71"/>
        <v/>
      </c>
      <c r="R29" s="20" t="str">
        <f t="shared" ca="1" si="51"/>
        <v/>
      </c>
      <c r="S29" s="33" t="str">
        <f t="shared" ca="1" si="52"/>
        <v/>
      </c>
      <c r="T29" s="33" t="str">
        <f t="shared" ca="1" si="72"/>
        <v/>
      </c>
      <c r="U29" s="34" t="str">
        <f t="shared" ca="1" si="54"/>
        <v/>
      </c>
      <c r="V29" s="34" t="str">
        <f t="shared" ca="1" si="55"/>
        <v/>
      </c>
      <c r="W29" s="34" t="str">
        <f t="shared" ca="1" si="56"/>
        <v/>
      </c>
      <c r="X29" s="33" t="str">
        <f t="shared" ca="1" si="73"/>
        <v/>
      </c>
      <c r="Y29" s="33" t="str">
        <f t="shared" ca="1" si="74"/>
        <v/>
      </c>
      <c r="Z29" s="33" t="str">
        <f t="shared" ca="1" si="59"/>
        <v/>
      </c>
      <c r="AA29" s="17" t="str">
        <f t="shared" ca="1" si="60"/>
        <v/>
      </c>
      <c r="AB29" s="34" t="str">
        <f t="shared" ca="1" si="75"/>
        <v/>
      </c>
      <c r="AC29" s="33" t="str">
        <f t="shared" ca="1" si="76"/>
        <v/>
      </c>
      <c r="AD29" s="21" t="str">
        <f t="shared" ca="1" si="63"/>
        <v/>
      </c>
      <c r="AE29" s="470">
        <f ca="1">AE18</f>
        <v>0</v>
      </c>
      <c r="AF29" s="12" t="e">
        <f t="shared" ca="1" si="64"/>
        <v>#DIV/0!</v>
      </c>
      <c r="AG29" s="353">
        <f ca="1">COUNTIFS(BV!$H$242:$H$420,"&gt;=" &amp; DATE($A29,$B29,1),BV!$H$242:$H$420,"&lt;" &amp; DATE($A29,$C29+1,1))</f>
        <v>0</v>
      </c>
      <c r="AH29" s="353">
        <f ca="1">COUNTIFS(BV!$P$242:$P$420,"&gt;=" &amp; DATE($A29,$B29,1),BV!$P$242:$P$420,"&lt;" &amp; DATE($A29,$C29+1,1))</f>
        <v>0</v>
      </c>
      <c r="AI29" s="353">
        <f ca="1">COUNTIFS(BV!$X$242:$X$420,"&gt;=" &amp; DATE($A29,$B29,1),BV!$X$242:$X$420,"&lt;" &amp; DATE($A29,$C29+1,1))</f>
        <v>0</v>
      </c>
      <c r="AJ29" s="353">
        <f ca="1">COUNTIFS(BV!$AF$242:$AF$420,"&gt;=" &amp; DATE($A29,$B29,1),BV!$AF$242:$AF$420,"&lt;" &amp; DATE($A29,$C29+1,1))</f>
        <v>0</v>
      </c>
      <c r="AK29" s="353">
        <f ca="1">COUNTIFS(BV!$AN$242:$AN$420,"&gt;=" &amp; DATE($A29,$B29,1),BV!$AN$242:$AN$420,"&lt;" &amp; DATE($A29,$C29+1,1))</f>
        <v>0</v>
      </c>
      <c r="AL29" s="353">
        <f ca="1">COUNTIFS(BV!$AV$242:$AV$420,"&gt;=" &amp; DATE($A29,$B29,1),BV!$AV$242:$AV$420,"&lt;" &amp; DATE($A29,$C29+1,1))</f>
        <v>0</v>
      </c>
      <c r="AM29" s="353">
        <f ca="1">COUNTIFS(BV!$BD$242:$BD$420,"&gt;=" &amp; DATE($A29,$B29,1),BV!$BD$242:$BD$420,"&lt;" &amp; DATE($A29,$C29+1,1))</f>
        <v>0</v>
      </c>
      <c r="AN29" s="353">
        <f ca="1">COUNTIFS(BV!$BL$242:$BL$420,"&gt;=" &amp; DATE($A29,$B29,1),BV!$BL$242:$BL$420,"&lt;" &amp; DATE($A29,$C29+1,1))</f>
        <v>0</v>
      </c>
      <c r="AO29" s="353">
        <f ca="1">COUNTIFS(BV!$BT$242:$BT$420,"&gt;=" &amp; DATE($A29,$B29,1),BV!$BT$242:$BT$420,"&lt;" &amp; DATE($A29,$C29+1,1))</f>
        <v>0</v>
      </c>
      <c r="AP29" s="353">
        <f ca="1">COUNTIFS(BV!$CB$242:$CB$420,"&gt;=" &amp; DATE($A29,$B29,1),BV!$CB$242:$CB$420,"&lt;" &amp; DATE($A29,$C29+1,1))</f>
        <v>0</v>
      </c>
      <c r="AQ29" s="35">
        <f t="shared" ca="1" si="157"/>
        <v>0</v>
      </c>
      <c r="AR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S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T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U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V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W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X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Y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Z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BA29" s="509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BB29" s="35">
        <f t="shared" ca="1" si="66"/>
        <v>0</v>
      </c>
      <c r="BC29" s="35">
        <f t="shared" ca="1" si="67"/>
        <v>0</v>
      </c>
      <c r="BD29" s="12" t="e">
        <f t="shared" ca="1" si="158"/>
        <v>#DIV/0!</v>
      </c>
      <c r="BE29" s="12" t="e">
        <f t="shared" ca="1" si="69"/>
        <v>#DIV/0!</v>
      </c>
    </row>
    <row r="30" spans="1:57" x14ac:dyDescent="0.25">
      <c r="A30" s="24">
        <f t="shared" si="159"/>
        <v>2019</v>
      </c>
      <c r="B30" s="24">
        <f t="shared" si="122"/>
        <v>10</v>
      </c>
      <c r="C30" s="24">
        <f t="shared" si="160"/>
        <v>12</v>
      </c>
      <c r="D30" s="38" t="s">
        <v>40</v>
      </c>
      <c r="E30" s="1">
        <f ca="1">COUNTIFS(OFFSET(Arb!$C$2,Arb!$AJ$36+Arb!$AJ$37,,Arb!$AJ$38,),$A30,OFFSET(Arb!$AI$2,Arb!$AJ$36+Arb!$AJ$37,,Arb!$AJ$38,),TRUE,OFFSET(Arb!$B$2,Arb!$AJ$36+Arb!$AJ$37,,Arb!$AJ$38,),"&gt;="&amp;$B30,OFFSET(Arb!$B$2,Arb!$AJ$36+Arb!$AJ$37,,Arb!$AJ$38,),"&lt;="&amp;$C30)</f>
        <v>267</v>
      </c>
      <c r="F30" s="1">
        <f ca="1">SUMIFS(OFFSET(Arb!$I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45933</v>
      </c>
      <c r="G30" s="1">
        <f ca="1">SUMIFS(OFFSET(Arb!$H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21758.069999999996</v>
      </c>
      <c r="H30" s="1">
        <f ca="1">SUMIFS(OFFSET(Arb!$AC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2338862</v>
      </c>
      <c r="I30" s="1">
        <f ca="1">SUMIFS(OFFSET(Arb!$U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62208</v>
      </c>
      <c r="J30" s="1">
        <f ca="1">SUMIFS(OFFSET(Arb!$V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0</v>
      </c>
      <c r="K30" s="1">
        <f ca="1">SUMIFS(OFFSET(Arb!$X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55505</v>
      </c>
      <c r="L30" s="1">
        <f ca="1">SUMIFS(OFFSET(Arb!$AA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3628</v>
      </c>
      <c r="M30" s="1">
        <f ca="1">SUMIFS(OFFSET(Arb!$AB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2817</v>
      </c>
      <c r="N30" s="1">
        <f t="shared" ca="1" si="47"/>
        <v>62208</v>
      </c>
      <c r="O30" s="39">
        <f t="shared" ca="1" si="48"/>
        <v>172.03370786516854</v>
      </c>
      <c r="P30" s="12">
        <f t="shared" ca="1" si="49"/>
        <v>81.490898876404486</v>
      </c>
      <c r="Q30" s="33">
        <f t="shared" ca="1" si="71"/>
        <v>2.1110787859401134</v>
      </c>
      <c r="R30" s="20">
        <f t="shared" ca="1" si="51"/>
        <v>2.5510075112360613</v>
      </c>
      <c r="S30" s="33">
        <f t="shared" ca="1" si="52"/>
        <v>2.8590771148360132</v>
      </c>
      <c r="T30" s="33">
        <f t="shared" ca="1" si="72"/>
        <v>10.310315004483131</v>
      </c>
      <c r="U30" s="34">
        <f t="shared" ca="1" si="54"/>
        <v>42.190854480280457</v>
      </c>
      <c r="V30" s="34">
        <f t="shared" ca="1" si="55"/>
        <v>13.588014981273409</v>
      </c>
      <c r="W30" s="34">
        <f t="shared" ca="1" si="56"/>
        <v>10.55056179775281</v>
      </c>
      <c r="X30" s="33">
        <f t="shared" ca="1" si="73"/>
        <v>0.89224858539094642</v>
      </c>
      <c r="Y30" s="33">
        <f t="shared" ca="1" si="74"/>
        <v>0.82754706783172682</v>
      </c>
      <c r="Z30" s="33">
        <f t="shared" ca="1" si="59"/>
        <v>0.73837770061728392</v>
      </c>
      <c r="AA30" s="17">
        <f t="shared" ca="1" si="60"/>
        <v>547.48642322097373</v>
      </c>
      <c r="AB30" s="34">
        <f t="shared" ca="1" si="75"/>
        <v>6.7183750672738896</v>
      </c>
      <c r="AC30" s="33">
        <f t="shared" ca="1" si="76"/>
        <v>0.314224610088154</v>
      </c>
      <c r="AD30" s="21">
        <f t="shared" ca="1" si="63"/>
        <v>17.138625259916772</v>
      </c>
      <c r="AE30" s="470">
        <f ca="1">AE19</f>
        <v>59</v>
      </c>
      <c r="AF30" s="12">
        <f t="shared" ca="1" si="64"/>
        <v>4.5254237288135597</v>
      </c>
      <c r="AG30" s="353">
        <f ca="1">COUNTIFS(BV!$H$242:$H$420,"&gt;=" &amp; DATE($A30,$B30,1),BV!$H$242:$H$420,"&lt;" &amp; DATE($A30,$C30+1,1))</f>
        <v>8</v>
      </c>
      <c r="AH30" s="353">
        <f ca="1">COUNTIFS(BV!$P$242:$P$420,"&gt;=" &amp; DATE($A30,$B30,1),BV!$P$242:$P$420,"&lt;" &amp; DATE($A30,$C30+1,1))</f>
        <v>8</v>
      </c>
      <c r="AI30" s="353">
        <f ca="1">COUNTIFS(BV!$X$242:$X$420,"&gt;=" &amp; DATE($A30,$B30,1),BV!$X$242:$X$420,"&lt;" &amp; DATE($A30,$C30+1,1))</f>
        <v>8</v>
      </c>
      <c r="AJ30" s="353">
        <f ca="1">COUNTIFS(BV!$AF$242:$AF$420,"&gt;=" &amp; DATE($A30,$B30,1),BV!$AF$242:$AF$420,"&lt;" &amp; DATE($A30,$C30+1,1))</f>
        <v>15</v>
      </c>
      <c r="AK30" s="353">
        <f ca="1">COUNTIFS(BV!$AN$242:$AN$420,"&gt;=" &amp; DATE($A30,$B30,1),BV!$AN$242:$AN$420,"&lt;" &amp; DATE($A30,$C30+1,1))</f>
        <v>10</v>
      </c>
      <c r="AL30" s="353">
        <f ca="1">COUNTIFS(BV!$AV$242:$AV$420,"&gt;=" &amp; DATE($A30,$B30,1),BV!$AV$242:$AV$420,"&lt;" &amp; DATE($A30,$C30+1,1))</f>
        <v>12</v>
      </c>
      <c r="AM30" s="353">
        <f ca="1">COUNTIFS(BV!$BD$242:$BD$420,"&gt;=" &amp; DATE($A30,$B30,1),BV!$BD$242:$BD$420,"&lt;" &amp; DATE($A30,$C30+1,1))</f>
        <v>20</v>
      </c>
      <c r="AN30" s="353">
        <f ca="1">COUNTIFS(BV!$BL$242:$BL$420,"&gt;=" &amp; DATE($A30,$B30,1),BV!$BL$242:$BL$420,"&lt;" &amp; DATE($A30,$C30+1,1))</f>
        <v>16</v>
      </c>
      <c r="AO30" s="353">
        <f ca="1">COUNTIFS(BV!$BT$242:$BT$420,"&gt;=" &amp; DATE($A30,$B30,1),BV!$BT$242:$BT$420,"&lt;" &amp; DATE($A30,$C30+1,1))</f>
        <v>14</v>
      </c>
      <c r="AP30" s="353">
        <f ca="1">COUNTIFS(BV!$CB$242:$CB$420,"&gt;=" &amp; DATE($A30,$B30,1),BV!$CB$242:$CB$420,"&lt;" &amp; DATE($A30,$C30+1,1))</f>
        <v>13</v>
      </c>
      <c r="AQ30" s="35">
        <f t="shared" ca="1" si="157"/>
        <v>301.29365079365078</v>
      </c>
      <c r="AR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0</v>
      </c>
      <c r="AS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0</v>
      </c>
      <c r="AT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1</v>
      </c>
      <c r="AU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1</v>
      </c>
      <c r="AV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3</v>
      </c>
      <c r="AW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</v>
      </c>
      <c r="AX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5</v>
      </c>
      <c r="AY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3</v>
      </c>
      <c r="AZ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4</v>
      </c>
      <c r="BA30" s="509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7</v>
      </c>
      <c r="BB30" s="35">
        <f t="shared" ca="1" si="66"/>
        <v>37.503968253968253</v>
      </c>
      <c r="BC30" s="35">
        <f t="shared" ca="1" si="67"/>
        <v>338.79761904761904</v>
      </c>
      <c r="BD30" s="12">
        <f t="shared" ca="1" si="158"/>
        <v>5.7423325262308316</v>
      </c>
      <c r="BE30" s="12">
        <f t="shared" ca="1" si="69"/>
        <v>1.2689049402532548</v>
      </c>
    </row>
    <row r="31" spans="1:57" x14ac:dyDescent="0.25">
      <c r="A31" s="24">
        <f t="shared" si="159"/>
        <v>2020</v>
      </c>
      <c r="B31" s="24">
        <f t="shared" si="122"/>
        <v>1</v>
      </c>
      <c r="C31" s="24">
        <f t="shared" si="160"/>
        <v>3</v>
      </c>
      <c r="D31" s="38" t="s">
        <v>40</v>
      </c>
      <c r="E31" s="1">
        <f ca="1">COUNTIFS(OFFSET(Arb!$C$2,Arb!$AJ$36+Arb!$AJ$37,,Arb!$AJ$38,),$A31,OFFSET(Arb!$AI$2,Arb!$AJ$36+Arb!$AJ$37,,Arb!$AJ$38,),TRUE,OFFSET(Arb!$B$2,Arb!$AJ$36+Arb!$AJ$37,,Arb!$AJ$38,),"&gt;="&amp;$B31,OFFSET(Arb!$B$2,Arb!$AJ$36+Arb!$AJ$37,,Arb!$AJ$38,),"&lt;="&amp;$C31)</f>
        <v>213</v>
      </c>
      <c r="F31" s="1">
        <f ca="1">SUMIFS(OFFSET(Arb!$I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36270</v>
      </c>
      <c r="G31" s="1">
        <f ca="1">SUMIFS(OFFSET(Arb!$H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16489.739999999998</v>
      </c>
      <c r="H31" s="1">
        <f ca="1">SUMIFS(OFFSET(Arb!$AC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1820649</v>
      </c>
      <c r="I31" s="1">
        <f ca="1">SUMIFS(OFFSET(Arb!$U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49209</v>
      </c>
      <c r="J31" s="1">
        <f ca="1">SUMIFS(OFFSET(Arb!$V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0</v>
      </c>
      <c r="K31" s="1">
        <f ca="1">SUMIFS(OFFSET(Arb!$X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43986</v>
      </c>
      <c r="L31" s="1">
        <f ca="1">SUMIFS(OFFSET(Arb!$AA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2950</v>
      </c>
      <c r="M31" s="1">
        <f ca="1">SUMIFS(OFFSET(Arb!$AB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2331</v>
      </c>
      <c r="N31" s="1">
        <f t="shared" ca="1" si="47"/>
        <v>49209</v>
      </c>
      <c r="O31" s="39">
        <f t="shared" ca="1" si="48"/>
        <v>170.28169014084506</v>
      </c>
      <c r="P31" s="12">
        <f t="shared" ca="1" si="49"/>
        <v>77.416619718309846</v>
      </c>
      <c r="Q31" s="33">
        <f t="shared" ca="1" si="71"/>
        <v>2.1995495380764041</v>
      </c>
      <c r="R31" s="20">
        <f t="shared" ca="1" si="51"/>
        <v>2.667476867433932</v>
      </c>
      <c r="S31" s="33">
        <f t="shared" ca="1" si="52"/>
        <v>2.9842192781693346</v>
      </c>
      <c r="T31" s="33">
        <f t="shared" ca="1" si="72"/>
        <v>9.5466323026263193</v>
      </c>
      <c r="U31" s="34">
        <f t="shared" ca="1" si="54"/>
        <v>45.565911225085031</v>
      </c>
      <c r="V31" s="34">
        <f t="shared" ca="1" si="55"/>
        <v>13.849765258215962</v>
      </c>
      <c r="W31" s="34">
        <f t="shared" ca="1" si="56"/>
        <v>10.943661971830986</v>
      </c>
      <c r="X31" s="33">
        <f t="shared" ca="1" si="73"/>
        <v>0.89386087910748036</v>
      </c>
      <c r="Y31" s="33">
        <f t="shared" ca="1" si="74"/>
        <v>0.82458054835629513</v>
      </c>
      <c r="Z31" s="33">
        <f t="shared" ca="1" si="59"/>
        <v>0.73706029384868621</v>
      </c>
      <c r="AA31" s="17">
        <f t="shared" ca="1" si="60"/>
        <v>534.22799295774644</v>
      </c>
      <c r="AB31" s="34">
        <f t="shared" ca="1" si="75"/>
        <v>6.9006887009740607</v>
      </c>
      <c r="AC31" s="33">
        <f t="shared" ca="1" si="76"/>
        <v>0.31874348103341171</v>
      </c>
      <c r="AD31" s="21">
        <f t="shared" ca="1" si="63"/>
        <v>18.407427479211016</v>
      </c>
      <c r="AE31" s="470">
        <f ca="1">AE20</f>
        <v>61</v>
      </c>
      <c r="AF31" s="12">
        <f t="shared" ca="1" si="64"/>
        <v>3.4918032786885247</v>
      </c>
      <c r="AG31" s="353">
        <f ca="1">COUNTIFS(BV!$H$242:$H$420,"&gt;=" &amp; DATE($A31,$B31,1),BV!$H$242:$H$420,"&lt;" &amp; DATE($A31,$C31+1,1))</f>
        <v>14</v>
      </c>
      <c r="AH31" s="353">
        <f ca="1">COUNTIFS(BV!$P$242:$P$420,"&gt;=" &amp; DATE($A31,$B31,1),BV!$P$242:$P$420,"&lt;" &amp; DATE($A31,$C31+1,1))</f>
        <v>9</v>
      </c>
      <c r="AI31" s="353">
        <f ca="1">COUNTIFS(BV!$X$242:$X$420,"&gt;=" &amp; DATE($A31,$B31,1),BV!$X$242:$X$420,"&lt;" &amp; DATE($A31,$C31+1,1))</f>
        <v>14</v>
      </c>
      <c r="AJ31" s="353">
        <f ca="1">COUNTIFS(BV!$AF$242:$AF$420,"&gt;=" &amp; DATE($A31,$B31,1),BV!$AF$242:$AF$420,"&lt;" &amp; DATE($A31,$C31+1,1))</f>
        <v>11</v>
      </c>
      <c r="AK31" s="353">
        <f ca="1">COUNTIFS(BV!$AN$242:$AN$420,"&gt;=" &amp; DATE($A31,$B31,1),BV!$AN$242:$AN$420,"&lt;" &amp; DATE($A31,$C31+1,1))</f>
        <v>12</v>
      </c>
      <c r="AL31" s="353">
        <f ca="1">COUNTIFS(BV!$AV$242:$AV$420,"&gt;=" &amp; DATE($A31,$B31,1),BV!$AV$242:$AV$420,"&lt;" &amp; DATE($A31,$C31+1,1))</f>
        <v>15</v>
      </c>
      <c r="AM31" s="353">
        <f ca="1">COUNTIFS(BV!$BD$242:$BD$420,"&gt;=" &amp; DATE($A31,$B31,1),BV!$BD$242:$BD$420,"&lt;" &amp; DATE($A31,$C31+1,1))</f>
        <v>14</v>
      </c>
      <c r="AN31" s="353">
        <f ca="1">COUNTIFS(BV!$BL$242:$BL$420,"&gt;=" &amp; DATE($A31,$B31,1),BV!$BL$242:$BL$420,"&lt;" &amp; DATE($A31,$C31+1,1))</f>
        <v>12</v>
      </c>
      <c r="AO31" s="353">
        <f ca="1">COUNTIFS(BV!$BT$242:$BT$420,"&gt;=" &amp; DATE($A31,$B31,1),BV!$BT$242:$BT$420,"&lt;" &amp; DATE($A31,$C31+1,1))</f>
        <v>12</v>
      </c>
      <c r="AP31" s="353">
        <f ca="1">COUNTIFS(BV!$CB$242:$CB$420,"&gt;=" &amp; DATE($A31,$B31,1),BV!$CB$242:$CB$420,"&lt;" &amp; DATE($A31,$C31+1,1))</f>
        <v>16</v>
      </c>
      <c r="AQ31" s="35">
        <f t="shared" ca="1" si="157"/>
        <v>372.5</v>
      </c>
      <c r="AR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4</v>
      </c>
      <c r="AS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5</v>
      </c>
      <c r="AT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7</v>
      </c>
      <c r="AU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6</v>
      </c>
      <c r="AV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6</v>
      </c>
      <c r="AW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9</v>
      </c>
      <c r="AX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5</v>
      </c>
      <c r="AY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14</v>
      </c>
      <c r="AZ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6</v>
      </c>
      <c r="BA31" s="509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9</v>
      </c>
      <c r="BB31" s="35">
        <f t="shared" ca="1" si="66"/>
        <v>170.64285714285714</v>
      </c>
      <c r="BC31" s="35">
        <f t="shared" ca="1" si="67"/>
        <v>543.14285714285711</v>
      </c>
      <c r="BD31" s="12">
        <f t="shared" ca="1" si="158"/>
        <v>8.903981264637002</v>
      </c>
      <c r="BE31" s="12">
        <f t="shared" ca="1" si="69"/>
        <v>2.549966465459423</v>
      </c>
    </row>
    <row r="32" spans="1:57" x14ac:dyDescent="0.25">
      <c r="A32" s="24">
        <f t="shared" si="159"/>
        <v>2020</v>
      </c>
      <c r="B32" s="24">
        <f t="shared" si="122"/>
        <v>4</v>
      </c>
      <c r="C32" s="24">
        <f t="shared" si="160"/>
        <v>6</v>
      </c>
      <c r="D32" s="38" t="s">
        <v>40</v>
      </c>
      <c r="E32" s="1">
        <f ca="1">COUNTIFS(OFFSET(Arb!$C$2,Arb!$AJ$36+Arb!$AJ$37,,Arb!$AJ$38,),$A32,OFFSET(Arb!$AI$2,Arb!$AJ$36+Arb!$AJ$37,,Arb!$AJ$38,),TRUE,OFFSET(Arb!$B$2,Arb!$AJ$36+Arb!$AJ$37,,Arb!$AJ$38,),"&gt;="&amp;$B32,OFFSET(Arb!$B$2,Arb!$AJ$36+Arb!$AJ$37,,Arb!$AJ$38,),"&lt;="&amp;$C32)</f>
        <v>225</v>
      </c>
      <c r="F32" s="1">
        <f ca="1">SUMIFS(OFFSET(Arb!$I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38667</v>
      </c>
      <c r="G32" s="1">
        <f ca="1">SUMIFS(OFFSET(Arb!$H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17062.830000000002</v>
      </c>
      <c r="H32" s="1">
        <f ca="1">SUMIFS(OFFSET(Arb!$AC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1905041</v>
      </c>
      <c r="I32" s="1">
        <f ca="1">SUMIFS(OFFSET(Arb!$U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51955</v>
      </c>
      <c r="J32" s="1">
        <f ca="1">SUMIFS(OFFSET(Arb!$V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324</v>
      </c>
      <c r="K32" s="1">
        <f ca="1">SUMIFS(OFFSET(Arb!$X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46867</v>
      </c>
      <c r="L32" s="1">
        <f ca="1">SUMIFS(OFFSET(Arb!$AA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3112</v>
      </c>
      <c r="M32" s="1">
        <f ca="1">SUMIFS(OFFSET(Arb!$AB$2,Arb!$AJ$36+Arb!$AJ$37,,Arb!$AJ$38,),OFFSET(Arb!$C$2,Arb!$AJ$36+Arb!$AJ$37,,Arb!$AJ$38,),$A32,OFFSET(Arb!$AI$2,Arb!$AJ$36+Arb!$AJ$37,,Arb!$AJ$38,),TRUE,OFFSET(Arb!$B$2,Arb!$AJ$36+Arb!$AJ$37,,Arb!$AJ$38,),"&gt;="&amp;$B32,OFFSET(Arb!$B$2,Arb!$AJ$36+Arb!$AJ$37,,Arb!$AJ$38,),"&lt;="&amp;$C32)</f>
        <v>2442</v>
      </c>
      <c r="N32" s="1">
        <f t="shared" ca="1" si="47"/>
        <v>52279</v>
      </c>
      <c r="O32" s="39">
        <f t="shared" ca="1" si="48"/>
        <v>171.85333333333332</v>
      </c>
      <c r="P32" s="12">
        <f t="shared" ca="1" si="49"/>
        <v>75.834800000000001</v>
      </c>
      <c r="Q32" s="33">
        <f t="shared" ca="1" si="71"/>
        <v>2.2661539732857912</v>
      </c>
      <c r="R32" s="20">
        <f t="shared" ca="1" si="51"/>
        <v>2.7467307591999681</v>
      </c>
      <c r="S32" s="33">
        <f t="shared" ca="1" si="52"/>
        <v>3.0639114379033252</v>
      </c>
      <c r="T32" s="33">
        <f t="shared" ca="1" si="72"/>
        <v>9.133107457262005</v>
      </c>
      <c r="U32" s="34">
        <f t="shared" ca="1" si="54"/>
        <v>47.629024626674877</v>
      </c>
      <c r="V32" s="34">
        <f t="shared" ca="1" si="55"/>
        <v>13.831111111111111</v>
      </c>
      <c r="W32" s="34">
        <f t="shared" ca="1" si="56"/>
        <v>10.853333333333333</v>
      </c>
      <c r="X32" s="33">
        <f t="shared" ca="1" si="73"/>
        <v>0.89647850953537744</v>
      </c>
      <c r="Y32" s="33">
        <f t="shared" ca="1" si="74"/>
        <v>0.82503680628160547</v>
      </c>
      <c r="Z32" s="33">
        <f t="shared" ca="1" si="59"/>
        <v>0.73962776640716155</v>
      </c>
      <c r="AA32" s="17">
        <f t="shared" ca="1" si="60"/>
        <v>529.1780555555556</v>
      </c>
      <c r="AB32" s="34">
        <f t="shared" ca="1" si="75"/>
        <v>6.9780372013317846</v>
      </c>
      <c r="AC32" s="33">
        <f t="shared" ca="1" si="76"/>
        <v>0.32475521524208661</v>
      </c>
      <c r="AD32" s="21">
        <f t="shared" ca="1" si="63"/>
        <v>19.166789419739672</v>
      </c>
      <c r="AE32" s="470">
        <f ca="1">AE21</f>
        <v>51</v>
      </c>
      <c r="AF32" s="12">
        <f t="shared" ca="1" si="64"/>
        <v>4.4117647058823533</v>
      </c>
      <c r="AG32" s="353">
        <f ca="1">COUNTIFS(BV!$H$242:$H$420,"&gt;=" &amp; DATE($A32,$B32,1),BV!$H$242:$H$420,"&lt;" &amp; DATE($A32,$C32+1,1))</f>
        <v>22</v>
      </c>
      <c r="AH32" s="353">
        <f ca="1">COUNTIFS(BV!$P$242:$P$420,"&gt;=" &amp; DATE($A32,$B32,1),BV!$P$242:$P$420,"&lt;" &amp; DATE($A32,$C32+1,1))</f>
        <v>24</v>
      </c>
      <c r="AI32" s="353">
        <f ca="1">COUNTIFS(BV!$X$242:$X$420,"&gt;=" &amp; DATE($A32,$B32,1),BV!$X$242:$X$420,"&lt;" &amp; DATE($A32,$C32+1,1))</f>
        <v>19</v>
      </c>
      <c r="AJ32" s="353">
        <f ca="1">COUNTIFS(BV!$AF$242:$AF$420,"&gt;=" &amp; DATE($A32,$B32,1),BV!$AF$242:$AF$420,"&lt;" &amp; DATE($A32,$C32+1,1))</f>
        <v>19</v>
      </c>
      <c r="AK32" s="353">
        <f ca="1">COUNTIFS(BV!$AN$242:$AN$420,"&gt;=" &amp; DATE($A32,$B32,1),BV!$AN$242:$AN$420,"&lt;" &amp; DATE($A32,$C32+1,1))</f>
        <v>20</v>
      </c>
      <c r="AL32" s="353">
        <f ca="1">COUNTIFS(BV!$AV$242:$AV$420,"&gt;=" &amp; DATE($A32,$B32,1),BV!$AV$242:$AV$420,"&lt;" &amp; DATE($A32,$C32+1,1))</f>
        <v>16</v>
      </c>
      <c r="AM32" s="353">
        <f ca="1">COUNTIFS(BV!$BD$242:$BD$420,"&gt;=" &amp; DATE($A32,$B32,1),BV!$BD$242:$BD$420,"&lt;" &amp; DATE($A32,$C32+1,1))</f>
        <v>12</v>
      </c>
      <c r="AN32" s="353">
        <f ca="1">COUNTIFS(BV!$BL$242:$BL$420,"&gt;=" &amp; DATE($A32,$B32,1),BV!$BL$242:$BL$420,"&lt;" &amp; DATE($A32,$C32+1,1))</f>
        <v>15</v>
      </c>
      <c r="AO32" s="353">
        <f ca="1">COUNTIFS(BV!$BT$242:$BT$420,"&gt;=" &amp; DATE($A32,$B32,1),BV!$BT$242:$BT$420,"&lt;" &amp; DATE($A32,$C32+1,1))</f>
        <v>8</v>
      </c>
      <c r="AP32" s="353">
        <f ca="1">COUNTIFS(BV!$CB$242:$CB$420,"&gt;=" &amp; DATE($A32,$B32,1),BV!$CB$242:$CB$420,"&lt;" &amp; DATE($A32,$C32+1,1))</f>
        <v>7</v>
      </c>
      <c r="AQ32" s="35">
        <f t="shared" ca="1" si="157"/>
        <v>569.28174603174602</v>
      </c>
      <c r="AR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6</v>
      </c>
      <c r="AS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14</v>
      </c>
      <c r="AT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18</v>
      </c>
      <c r="AU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14</v>
      </c>
      <c r="AV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16</v>
      </c>
      <c r="AW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20</v>
      </c>
      <c r="AX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15</v>
      </c>
      <c r="AY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12</v>
      </c>
      <c r="AZ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19</v>
      </c>
      <c r="BA32" s="509">
        <f ca="1">COUNTIFS(OFFSET(Time!$AD$2,(COLUMN()-44)*20,,20,),"&gt;=" &amp; DATE($A32,$B32,1),OFFSET(Time!$AD$2,(COLUMN()-44)*20,,20,),"&lt;" &amp; DATE($A32,$C32+1,1))+COUNTIFS(OFFSET(Bvs!$AD$2,(COLUMN()-44)*20,,20,),"&gt;=" &amp; DATE($A32,$B32,1),OFFSET(Bvs!$AD$2,(COLUMN()-44)*20,,20,),"&lt;" &amp; DATE($A32,$C32+1,1))+COUNTIFS(OFFSET(QG!$AD$2,(COLUMN()-44)*20,,20,),"&gt;=" &amp; DATE($A32,$B32,1),OFFSET(QG!$AD$2,(COLUMN()-44)*20,,20,),"&lt;" &amp; DATE($A32,$C32+1,1))</f>
        <v>18</v>
      </c>
      <c r="BB32" s="35">
        <f t="shared" ca="1" si="66"/>
        <v>365.87301587301579</v>
      </c>
      <c r="BC32" s="35">
        <f t="shared" ca="1" si="67"/>
        <v>935.15476190476181</v>
      </c>
      <c r="BD32" s="12">
        <f t="shared" ca="1" si="158"/>
        <v>18.336367880485525</v>
      </c>
      <c r="BE32" s="12">
        <f t="shared" ca="1" si="69"/>
        <v>4.1562433862433856</v>
      </c>
    </row>
    <row r="33" spans="1:57" x14ac:dyDescent="0.25">
      <c r="A33" s="24">
        <f>IF(B34=1,A34-1,A34)</f>
        <v>2020</v>
      </c>
      <c r="B33" s="24">
        <f>IF(B34=1,10,B34-3)</f>
        <v>7</v>
      </c>
      <c r="C33" s="24">
        <f>B33+2</f>
        <v>9</v>
      </c>
      <c r="D33" s="38" t="s">
        <v>40</v>
      </c>
      <c r="E33" s="1">
        <f ca="1">COUNTIFS(OFFSET(Arb!$C$2,Arb!$AJ$36+Arb!$AJ$37,,Arb!$AJ$38,),$A33,OFFSET(Arb!$AI$2,Arb!$AJ$36+Arb!$AJ$37,,Arb!$AJ$38,),TRUE,OFFSET(Arb!$B$2,Arb!$AJ$36+Arb!$AJ$37,,Arb!$AJ$38,),"&gt;="&amp;$B33,OFFSET(Arb!$B$2,Arb!$AJ$36+Arb!$AJ$37,,Arb!$AJ$38,),"&lt;="&amp;$C33)</f>
        <v>245</v>
      </c>
      <c r="F33" s="1">
        <f ca="1">SUMIFS(OFFSET(Arb!$I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41817</v>
      </c>
      <c r="G33" s="1">
        <f ca="1">SUMIFS(OFFSET(Arb!$H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17774.979999999992</v>
      </c>
      <c r="H33" s="1">
        <f ca="1">SUMIFS(OFFSET(Arb!$AC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2054144</v>
      </c>
      <c r="I33" s="1">
        <f ca="1">SUMIFS(OFFSET(Arb!$U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55165</v>
      </c>
      <c r="J33" s="1">
        <f ca="1">SUMIFS(OFFSET(Arb!$V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1292</v>
      </c>
      <c r="K33" s="1">
        <f ca="1">SUMIFS(OFFSET(Arb!$X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50642</v>
      </c>
      <c r="L33" s="1">
        <f ca="1">SUMIFS(OFFSET(Arb!$AA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3352</v>
      </c>
      <c r="M33" s="1">
        <f ca="1">SUMIFS(OFFSET(Arb!$AB$2,Arb!$AJ$36+Arb!$AJ$37,,Arb!$AJ$38,),OFFSET(Arb!$C$2,Arb!$AJ$36+Arb!$AJ$37,,Arb!$AJ$38,),$A33,OFFSET(Arb!$AI$2,Arb!$AJ$36+Arb!$AJ$37,,Arb!$AJ$38,),TRUE,OFFSET(Arb!$B$2,Arb!$AJ$36+Arb!$AJ$37,,Arb!$AJ$38,),"&gt;="&amp;$B33,OFFSET(Arb!$B$2,Arb!$AJ$36+Arb!$AJ$37,,Arb!$AJ$38,),"&lt;="&amp;$C33)</f>
        <v>2600</v>
      </c>
      <c r="N33" s="1">
        <f t="shared" ca="1" si="47"/>
        <v>56457</v>
      </c>
      <c r="O33" s="39">
        <f t="shared" ca="1" si="48"/>
        <v>170.68163265306123</v>
      </c>
      <c r="P33" s="12">
        <f t="shared" ca="1" si="49"/>
        <v>72.550938775510176</v>
      </c>
      <c r="Q33" s="33">
        <f t="shared" ca="1" si="71"/>
        <v>2.3525764867245993</v>
      </c>
      <c r="R33" s="20">
        <f t="shared" ca="1" si="51"/>
        <v>2.8490608709545677</v>
      </c>
      <c r="S33" s="33">
        <f t="shared" ca="1" si="52"/>
        <v>3.1762061054358441</v>
      </c>
      <c r="T33" s="33">
        <f t="shared" ca="1" si="72"/>
        <v>8.5291621977503649</v>
      </c>
      <c r="U33" s="34">
        <f t="shared" ca="1" si="54"/>
        <v>51.001609526752226</v>
      </c>
      <c r="V33" s="34">
        <f t="shared" ca="1" si="55"/>
        <v>13.681632653061225</v>
      </c>
      <c r="W33" s="34">
        <f t="shared" ca="1" si="56"/>
        <v>10.612244897959183</v>
      </c>
      <c r="X33" s="33">
        <f t="shared" ca="1" si="73"/>
        <v>0.8970012575942754</v>
      </c>
      <c r="Y33" s="33">
        <f t="shared" ca="1" si="74"/>
        <v>0.82573753011334461</v>
      </c>
      <c r="Z33" s="33">
        <f t="shared" ca="1" si="59"/>
        <v>0.7406876029544609</v>
      </c>
      <c r="AA33" s="17">
        <f t="shared" ca="1" si="60"/>
        <v>524.01632653061222</v>
      </c>
      <c r="AB33" s="34">
        <f t="shared" ca="1" si="75"/>
        <v>7.2227366781847318</v>
      </c>
      <c r="AC33" s="33">
        <f t="shared" ca="1" si="76"/>
        <v>0.32571815802592224</v>
      </c>
      <c r="AD33" s="21">
        <f t="shared" ca="1" si="63"/>
        <v>20.578016451024492</v>
      </c>
      <c r="AE33" s="470">
        <f ca="1">AE22</f>
        <v>55</v>
      </c>
      <c r="AF33" s="12">
        <f t="shared" ca="1" si="64"/>
        <v>4.4545454545454541</v>
      </c>
      <c r="AG33" s="353">
        <f ca="1">COUNTIFS(BV!$H$242:$H$420,"&gt;=" &amp; DATE($A33,$B33,1),BV!$H$242:$H$420,"&lt;" &amp; DATE($A33,$C33+1,1))</f>
        <v>50</v>
      </c>
      <c r="AH33" s="353">
        <f ca="1">COUNTIFS(BV!$P$242:$P$420,"&gt;=" &amp; DATE($A33,$B33,1),BV!$P$242:$P$420,"&lt;" &amp; DATE($A33,$C33+1,1))</f>
        <v>35</v>
      </c>
      <c r="AI33" s="353">
        <f ca="1">COUNTIFS(BV!$X$242:$X$420,"&gt;=" &amp; DATE($A33,$B33,1),BV!$X$242:$X$420,"&lt;" &amp; DATE($A33,$C33+1,1))</f>
        <v>25</v>
      </c>
      <c r="AJ33" s="353">
        <f ca="1">COUNTIFS(BV!$AF$242:$AF$420,"&gt;=" &amp; DATE($A33,$B33,1),BV!$AF$242:$AF$420,"&lt;" &amp; DATE($A33,$C33+1,1))</f>
        <v>23</v>
      </c>
      <c r="AK33" s="353">
        <f ca="1">COUNTIFS(BV!$AN$242:$AN$420,"&gt;=" &amp; DATE($A33,$B33,1),BV!$AN$242:$AN$420,"&lt;" &amp; DATE($A33,$C33+1,1))</f>
        <v>19</v>
      </c>
      <c r="AL33" s="353">
        <f ca="1">COUNTIFS(BV!$AV$242:$AV$420,"&gt;=" &amp; DATE($A33,$B33,1),BV!$AV$242:$AV$420,"&lt;" &amp; DATE($A33,$C33+1,1))</f>
        <v>18</v>
      </c>
      <c r="AM33" s="353">
        <f ca="1">COUNTIFS(BV!$BD$242:$BD$420,"&gt;=" &amp; DATE($A33,$B33,1),BV!$BD$242:$BD$420,"&lt;" &amp; DATE($A33,$C33+1,1))</f>
        <v>12</v>
      </c>
      <c r="AN33" s="353">
        <f ca="1">COUNTIFS(BV!$BL$242:$BL$420,"&gt;=" &amp; DATE($A33,$B33,1),BV!$BL$242:$BL$420,"&lt;" &amp; DATE($A33,$C33+1,1))</f>
        <v>12</v>
      </c>
      <c r="AO33" s="353">
        <f ca="1">COUNTIFS(BV!$BT$242:$BT$420,"&gt;=" &amp; DATE($A33,$B33,1),BV!$BT$242:$BT$420,"&lt;" &amp; DATE($A33,$C33+1,1))</f>
        <v>7</v>
      </c>
      <c r="AP33" s="353">
        <f ca="1">COUNTIFS(BV!$CB$242:$CB$420,"&gt;=" &amp; DATE($A33,$B33,1),BV!$CB$242:$CB$420,"&lt;" &amp; DATE($A33,$C33+1,1))</f>
        <v>9</v>
      </c>
      <c r="AQ33" s="35">
        <f t="shared" ca="1" si="157"/>
        <v>932.75396825396808</v>
      </c>
      <c r="AR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43</v>
      </c>
      <c r="AS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34</v>
      </c>
      <c r="AT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32</v>
      </c>
      <c r="AU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31</v>
      </c>
      <c r="AV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25</v>
      </c>
      <c r="AW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25</v>
      </c>
      <c r="AX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28</v>
      </c>
      <c r="AY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25</v>
      </c>
      <c r="AZ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19</v>
      </c>
      <c r="BA33" s="509">
        <f ca="1">COUNTIFS(OFFSET(Time!$AD$2,(COLUMN()-44)*20,,20,),"&gt;=" &amp; DATE($A33,$B33,1),OFFSET(Time!$AD$2,(COLUMN()-44)*20,,20,),"&lt;" &amp; DATE($A33,$C33+1,1))+COUNTIFS(OFFSET(Bvs!$AD$2,(COLUMN()-44)*20,,20,),"&gt;=" &amp; DATE($A33,$B33,1),OFFSET(Bvs!$AD$2,(COLUMN()-44)*20,,20,),"&lt;" &amp; DATE($A33,$C33+1,1))+COUNTIFS(OFFSET(QG!$AD$2,(COLUMN()-44)*20,,20,),"&gt;=" &amp; DATE($A33,$B33,1),OFFSET(QG!$AD$2,(COLUMN()-44)*20,,20,),"&lt;" &amp; DATE($A33,$C33+1,1))</f>
        <v>23</v>
      </c>
      <c r="BB33" s="35">
        <f t="shared" ca="1" si="66"/>
        <v>991.19444444444457</v>
      </c>
      <c r="BC33" s="35">
        <f t="shared" ca="1" si="67"/>
        <v>1923.9484126984125</v>
      </c>
      <c r="BD33" s="12">
        <f t="shared" ca="1" si="158"/>
        <v>34.980880230880231</v>
      </c>
      <c r="BE33" s="12">
        <f t="shared" ca="1" si="69"/>
        <v>7.852850664075155</v>
      </c>
    </row>
    <row r="34" spans="1:57" ht="13.8" thickBot="1" x14ac:dyDescent="0.3">
      <c r="A34" s="386">
        <f>Mon!A34</f>
        <v>2020</v>
      </c>
      <c r="B34" s="386">
        <f>C34-2</f>
        <v>10</v>
      </c>
      <c r="C34" s="386">
        <f>ROUNDUP(Mon!B34/3,0)*3</f>
        <v>12</v>
      </c>
      <c r="D34" s="387" t="s">
        <v>40</v>
      </c>
      <c r="E34" s="146">
        <f ca="1">COUNTIFS(OFFSET(Arb!$C$2,Arb!$AJ$36+Arb!$AJ$37,,Arb!$AJ$38,),$A34,OFFSET(Arb!$AI$2,Arb!$AJ$36+Arb!$AJ$37,,Arb!$AJ$38,),TRUE,OFFSET(Arb!$B$2,Arb!$AJ$36+Arb!$AJ$37,,Arb!$AJ$38,),"&gt;="&amp;$B34,OFFSET(Arb!$B$2,Arb!$AJ$36+Arb!$AJ$37,,Arb!$AJ$38,),"&lt;="&amp;$C34)</f>
        <v>87</v>
      </c>
      <c r="F34" s="146">
        <f ca="1">SUMIFS(OFFSET(Arb!$I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14934</v>
      </c>
      <c r="G34" s="146">
        <f ca="1">SUMIFS(OFFSET(Arb!$H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6576.47</v>
      </c>
      <c r="H34" s="146">
        <f ca="1">SUMIFS(OFFSET(Arb!$AC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735145</v>
      </c>
      <c r="I34" s="146">
        <f ca="1">SUMIFS(OFFSET(Arb!$U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474</v>
      </c>
      <c r="J34" s="146">
        <f ca="1">SUMIFS(OFFSET(Arb!$V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18372</v>
      </c>
      <c r="K34" s="146">
        <f ca="1">SUMIFS(OFFSET(Arb!$X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16610</v>
      </c>
      <c r="L34" s="146">
        <f ca="1">SUMIFS(OFFSET(Arb!$AA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1190</v>
      </c>
      <c r="M34" s="146">
        <f ca="1">SUMIFS(OFFSET(Arb!$AB$2,Arb!$AJ$36+Arb!$AJ$37,,Arb!$AJ$38,),OFFSET(Arb!$C$2,Arb!$AJ$36+Arb!$AJ$37,,Arb!$AJ$38,),$A34,OFFSET(Arb!$AI$2,Arb!$AJ$36+Arb!$AJ$37,,Arb!$AJ$38,),TRUE,OFFSET(Arb!$B$2,Arb!$AJ$36+Arb!$AJ$37,,Arb!$AJ$38,),"&gt;="&amp;$B34,OFFSET(Arb!$B$2,Arb!$AJ$36+Arb!$AJ$37,,Arb!$AJ$38,),"&lt;="&amp;$C34)</f>
        <v>930</v>
      </c>
      <c r="N34" s="146">
        <f t="shared" ca="1" si="47"/>
        <v>18846</v>
      </c>
      <c r="O34" s="388">
        <f t="shared" ca="1" si="48"/>
        <v>171.65517241379311</v>
      </c>
      <c r="P34" s="364">
        <f t="shared" ca="1" si="49"/>
        <v>75.591609195402299</v>
      </c>
      <c r="Q34" s="96">
        <f t="shared" ca="1" si="71"/>
        <v>2.2708231011469682</v>
      </c>
      <c r="R34" s="365">
        <f t="shared" ca="1" si="51"/>
        <v>2.5256710666968751</v>
      </c>
      <c r="S34" s="96">
        <f t="shared" ca="1" si="52"/>
        <v>2.865671097108327</v>
      </c>
      <c r="T34" s="96">
        <f t="shared" ca="1" si="72"/>
        <v>9.0938588666333615</v>
      </c>
      <c r="U34" s="95">
        <f t="shared" ca="1" si="54"/>
        <v>47.834588856011322</v>
      </c>
      <c r="V34" s="95">
        <f t="shared" ca="1" si="55"/>
        <v>13.678160919540231</v>
      </c>
      <c r="W34" s="95">
        <f t="shared" ca="1" si="56"/>
        <v>10.689655172413794</v>
      </c>
      <c r="X34" s="96">
        <f t="shared" ca="1" si="73"/>
        <v>0.88135413350313063</v>
      </c>
      <c r="Y34" s="96">
        <f t="shared" ca="1" si="74"/>
        <v>0.89909692956050591</v>
      </c>
      <c r="Z34" s="96">
        <f t="shared" ca="1" si="59"/>
        <v>0.79242279528812476</v>
      </c>
      <c r="AA34" s="147">
        <f t="shared" ca="1" si="60"/>
        <v>528.12140804597698</v>
      </c>
      <c r="AB34" s="95">
        <f t="shared" ca="1" si="75"/>
        <v>6.986508339580352</v>
      </c>
      <c r="AC34" s="96">
        <f t="shared" ca="1" si="76"/>
        <v>0.32502975603452383</v>
      </c>
      <c r="AD34" s="129">
        <f t="shared" ca="1" si="63"/>
        <v>17.645621970514522</v>
      </c>
      <c r="AE34" s="470">
        <f ca="1">AE23</f>
        <v>28</v>
      </c>
      <c r="AF34" s="364">
        <f t="shared" ca="1" si="64"/>
        <v>3.1071428571428572</v>
      </c>
      <c r="AG34" s="94">
        <f ca="1">COUNTIFS(BV!$H$242:$H$420,"&gt;=" &amp; DATE($A34,$B34,1),BV!$H$242:$H$420,"&lt;" &amp; DATE($A34,$C34+1,1))</f>
        <v>7</v>
      </c>
      <c r="AH34" s="94">
        <f ca="1">COUNTIFS(BV!$P$242:$P$420,"&gt;=" &amp; DATE($A34,$B34,1),BV!$P$242:$P$420,"&lt;" &amp; DATE($A34,$C34+1,1))</f>
        <v>11</v>
      </c>
      <c r="AI34" s="94">
        <f ca="1">COUNTIFS(BV!$X$242:$X$420,"&gt;=" &amp; DATE($A34,$B34,1),BV!$X$242:$X$420,"&lt;" &amp; DATE($A34,$C34+1,1))</f>
        <v>13</v>
      </c>
      <c r="AJ34" s="94">
        <f ca="1">COUNTIFS(BV!$AF$242:$AF$420,"&gt;=" &amp; DATE($A34,$B34,1),BV!$AF$242:$AF$420,"&lt;" &amp; DATE($A34,$C34+1,1))</f>
        <v>4</v>
      </c>
      <c r="AK34" s="94">
        <f ca="1">COUNTIFS(BV!$AN$242:$AN$420,"&gt;=" &amp; DATE($A34,$B34,1),BV!$AN$242:$AN$420,"&lt;" &amp; DATE($A34,$C34+1,1))</f>
        <v>8</v>
      </c>
      <c r="AL34" s="94">
        <f ca="1">COUNTIFS(BV!$AV$242:$AV$420,"&gt;=" &amp; DATE($A34,$B34,1),BV!$AV$242:$AV$420,"&lt;" &amp; DATE($A34,$C34+1,1))</f>
        <v>4</v>
      </c>
      <c r="AM34" s="94">
        <f ca="1">COUNTIFS(BV!$BD$242:$BD$420,"&gt;=" &amp; DATE($A34,$B34,1),BV!$BD$242:$BD$420,"&lt;" &amp; DATE($A34,$C34+1,1))</f>
        <v>3</v>
      </c>
      <c r="AN34" s="94">
        <f ca="1">COUNTIFS(BV!$BL$242:$BL$420,"&gt;=" &amp; DATE($A34,$B34,1),BV!$BL$242:$BL$420,"&lt;" &amp; DATE($A34,$C34+1,1))</f>
        <v>2</v>
      </c>
      <c r="AO34" s="94">
        <f ca="1">COUNTIFS(BV!$BT$242:$BT$420,"&gt;=" &amp; DATE($A34,$B34,1),BV!$BT$242:$BT$420,"&lt;" &amp; DATE($A34,$C34+1,1))</f>
        <v>9</v>
      </c>
      <c r="AP34" s="94">
        <f ca="1">COUNTIFS(BV!$CB$242:$CB$420,"&gt;=" &amp; DATE($A34,$B34,1),BV!$CB$242:$CB$420,"&lt;" &amp; DATE($A34,$C34+1,1))</f>
        <v>3</v>
      </c>
      <c r="AQ34" s="366">
        <f t="shared" ca="1" si="157"/>
        <v>220.78571428571428</v>
      </c>
      <c r="AR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7</v>
      </c>
      <c r="AS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7</v>
      </c>
      <c r="AT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2</v>
      </c>
      <c r="AU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8</v>
      </c>
      <c r="AV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10</v>
      </c>
      <c r="AW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4</v>
      </c>
      <c r="AX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7</v>
      </c>
      <c r="AY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6</v>
      </c>
      <c r="AZ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12</v>
      </c>
      <c r="BA34" s="509">
        <f ca="1">COUNTIFS(OFFSET(Time!$AD$2,(COLUMN()-44)*20,,20,),"&gt;=" &amp; DATE($A34,$B34,1),OFFSET(Time!$AD$2,(COLUMN()-44)*20,,20,),"&lt;" &amp; DATE($A34,$C34+1,1))+COUNTIFS(OFFSET(Bvs!$AD$2,(COLUMN()-44)*20,,20,),"&gt;=" &amp; DATE($A34,$B34,1),OFFSET(Bvs!$AD$2,(COLUMN()-44)*20,,20,),"&lt;" &amp; DATE($A34,$C34+1,1))+COUNTIFS(OFFSET(QG!$AD$2,(COLUMN()-44)*20,,20,),"&gt;=" &amp; DATE($A34,$B34,1),OFFSET(QG!$AD$2,(COLUMN()-44)*20,,20,),"&lt;" &amp; DATE($A34,$C34+1,1))</f>
        <v>3</v>
      </c>
      <c r="BB34" s="366">
        <f t="shared" ca="1" si="66"/>
        <v>192.16666666666666</v>
      </c>
      <c r="BC34" s="366">
        <f t="shared" ca="1" si="67"/>
        <v>412.95238095238096</v>
      </c>
      <c r="BD34" s="364">
        <f t="shared" ca="1" si="158"/>
        <v>14.748299319727892</v>
      </c>
      <c r="BE34" s="364">
        <f t="shared" ca="1" si="69"/>
        <v>4.7465790914066774</v>
      </c>
    </row>
    <row r="35" spans="1:57" ht="13.8" thickBot="1" x14ac:dyDescent="0.3">
      <c r="A35" s="156">
        <f t="shared" ref="A35" si="161">IF(B36=1,A36-1,A36)</f>
        <v>2018</v>
      </c>
      <c r="B35" s="157">
        <f t="shared" ref="B35:B43" si="162">IF(B36=1,10,B36-3)</f>
        <v>4</v>
      </c>
      <c r="C35" s="157">
        <f t="shared" ref="C35" si="163">B35+2</f>
        <v>6</v>
      </c>
      <c r="D35" s="105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32"/>
      <c r="P35" s="373"/>
      <c r="Q35" s="106"/>
      <c r="R35" s="374"/>
      <c r="S35" s="106"/>
      <c r="T35" s="106"/>
      <c r="U35" s="105"/>
      <c r="V35" s="105"/>
      <c r="W35" s="105"/>
      <c r="X35" s="106"/>
      <c r="Y35" s="106"/>
      <c r="Z35" s="106"/>
      <c r="AA35" s="375"/>
      <c r="AB35" s="105"/>
      <c r="AC35" s="106"/>
      <c r="AD35" s="132"/>
      <c r="AE35" s="547">
        <f ca="1">AE24</f>
        <v>55</v>
      </c>
      <c r="AF35" s="373"/>
      <c r="AG35" s="104">
        <f ca="1">AG2+AG13+AG24</f>
        <v>0</v>
      </c>
      <c r="AH35" s="104">
        <f ca="1">AH2+AH13+AH24</f>
        <v>0</v>
      </c>
      <c r="AI35" s="104">
        <f ca="1">AI2+AI13+AI24</f>
        <v>0</v>
      </c>
      <c r="AJ35" s="104">
        <f ca="1">AJ2+AJ13+AJ24</f>
        <v>0</v>
      </c>
      <c r="AK35" s="104">
        <f ca="1">AK2+AK13+AK24</f>
        <v>0</v>
      </c>
      <c r="AL35" s="104">
        <f ca="1">AL2+AL13+AL24</f>
        <v>0</v>
      </c>
      <c r="AM35" s="104">
        <f ca="1">AM2+AM13+AM24</f>
        <v>0</v>
      </c>
      <c r="AN35" s="104">
        <f ca="1">AN2+AN13+AN24</f>
        <v>0</v>
      </c>
      <c r="AO35" s="104">
        <f ca="1">AO2+AO13+AO24</f>
        <v>0</v>
      </c>
      <c r="AP35" s="104">
        <f ca="1">AP2+AP13+AP24</f>
        <v>0</v>
      </c>
      <c r="AQ35" s="375">
        <f t="shared" ca="1" si="157"/>
        <v>0</v>
      </c>
      <c r="AR35" s="104">
        <f ca="1">AR2+AR13+AR24</f>
        <v>0</v>
      </c>
      <c r="AS35" s="104">
        <f ca="1">AS2+AS13+AS24</f>
        <v>0</v>
      </c>
      <c r="AT35" s="104">
        <f ca="1">AT2+AT13+AT24</f>
        <v>0</v>
      </c>
      <c r="AU35" s="104">
        <f ca="1">AU2+AU13+AU24</f>
        <v>0</v>
      </c>
      <c r="AV35" s="104">
        <f ca="1">AV2+AV13+AV24</f>
        <v>0</v>
      </c>
      <c r="AW35" s="104">
        <f ca="1">AW2+AW13+AW24</f>
        <v>0</v>
      </c>
      <c r="AX35" s="104">
        <f ca="1">AX2+AX13+AX24</f>
        <v>0</v>
      </c>
      <c r="AY35" s="104">
        <f ca="1">AY2+AY13+AY24</f>
        <v>0</v>
      </c>
      <c r="AZ35" s="104">
        <f ca="1">AZ2+AZ13+AZ24</f>
        <v>0</v>
      </c>
      <c r="BA35" s="104">
        <f ca="1">BA2+BA13+BA24</f>
        <v>0</v>
      </c>
      <c r="BB35" s="375">
        <f t="shared" ca="1" si="66"/>
        <v>0</v>
      </c>
      <c r="BC35" s="375">
        <f t="shared" ca="1" si="67"/>
        <v>0</v>
      </c>
      <c r="BD35" s="373">
        <f t="shared" ca="1" si="158"/>
        <v>0</v>
      </c>
      <c r="BE35" s="376"/>
    </row>
    <row r="36" spans="1:57" ht="13.8" thickBot="1" x14ac:dyDescent="0.3">
      <c r="A36" s="156">
        <f t="shared" ref="A36" si="164">IF(B37=1,A37-1,A37)</f>
        <v>2018</v>
      </c>
      <c r="B36" s="157">
        <f t="shared" si="162"/>
        <v>7</v>
      </c>
      <c r="C36" s="157">
        <f t="shared" ref="C36" si="165">B36+2</f>
        <v>9</v>
      </c>
      <c r="D36" s="105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32"/>
      <c r="P36" s="373"/>
      <c r="Q36" s="106"/>
      <c r="R36" s="374"/>
      <c r="S36" s="106"/>
      <c r="T36" s="106"/>
      <c r="U36" s="105"/>
      <c r="V36" s="105"/>
      <c r="W36" s="105"/>
      <c r="X36" s="106"/>
      <c r="Y36" s="106"/>
      <c r="Z36" s="106"/>
      <c r="AA36" s="375"/>
      <c r="AB36" s="105"/>
      <c r="AC36" s="106"/>
      <c r="AD36" s="132"/>
      <c r="AE36" s="547">
        <f ca="1">AE25</f>
        <v>28</v>
      </c>
      <c r="AF36" s="373"/>
      <c r="AG36" s="104">
        <f ca="1">AG3+AG14+AG25</f>
        <v>0</v>
      </c>
      <c r="AH36" s="104">
        <f ca="1">AH3+AH14+AH25</f>
        <v>0</v>
      </c>
      <c r="AI36" s="104">
        <f ca="1">AI3+AI14+AI25</f>
        <v>0</v>
      </c>
      <c r="AJ36" s="104">
        <f ca="1">AJ3+AJ14+AJ25</f>
        <v>0</v>
      </c>
      <c r="AK36" s="104">
        <f ca="1">AK3+AK14+AK25</f>
        <v>0</v>
      </c>
      <c r="AL36" s="104">
        <f ca="1">AL3+AL14+AL25</f>
        <v>0</v>
      </c>
      <c r="AM36" s="104">
        <f ca="1">AM3+AM14+AM25</f>
        <v>0</v>
      </c>
      <c r="AN36" s="104">
        <f ca="1">AN3+AN14+AN25</f>
        <v>0</v>
      </c>
      <c r="AO36" s="104">
        <f ca="1">AO3+AO14+AO25</f>
        <v>0</v>
      </c>
      <c r="AP36" s="104">
        <f ca="1">AP3+AP14+AP25</f>
        <v>0</v>
      </c>
      <c r="AQ36" s="375">
        <f t="shared" ref="AQ36" ca="1" si="166">(AG36+AH36/2+AI36/3+AJ36/4+AK36/5+AL36/6+AM36/7+AN36/8+AO36/9+AP36/10)*10</f>
        <v>0</v>
      </c>
      <c r="AR36" s="104">
        <f ca="1">AR3+AR14+AR25</f>
        <v>0</v>
      </c>
      <c r="AS36" s="104">
        <f ca="1">AS3+AS14+AS25</f>
        <v>0</v>
      </c>
      <c r="AT36" s="104">
        <f ca="1">AT3+AT14+AT25</f>
        <v>0</v>
      </c>
      <c r="AU36" s="104">
        <f ca="1">AU3+AU14+AU25</f>
        <v>0</v>
      </c>
      <c r="AV36" s="104">
        <f ca="1">AV3+AV14+AV25</f>
        <v>0</v>
      </c>
      <c r="AW36" s="104">
        <f ca="1">AW3+AW14+AW25</f>
        <v>0</v>
      </c>
      <c r="AX36" s="104">
        <f ca="1">AX3+AX14+AX25</f>
        <v>0</v>
      </c>
      <c r="AY36" s="104">
        <f ca="1">AY3+AY14+AY25</f>
        <v>0</v>
      </c>
      <c r="AZ36" s="104">
        <f ca="1">AZ3+AZ14+AZ25</f>
        <v>0</v>
      </c>
      <c r="BA36" s="104">
        <f ca="1">BA3+BA14+BA25</f>
        <v>0</v>
      </c>
      <c r="BB36" s="375">
        <f t="shared" ref="BB36" ca="1" si="167">(AR36+AS36/2+AT36/3+AU36/4+AV36/5+AW36/6+AX36/7+AY36/8+AZ36/9+BA36/10)*10</f>
        <v>0</v>
      </c>
      <c r="BC36" s="375">
        <f t="shared" ref="BC36" ca="1" si="168">AQ36+BB36</f>
        <v>0</v>
      </c>
      <c r="BD36" s="373">
        <f t="shared" ref="BD36" ca="1" si="169">BC36/AE36</f>
        <v>0</v>
      </c>
      <c r="BE36" s="376"/>
    </row>
    <row r="37" spans="1:57" x14ac:dyDescent="0.25">
      <c r="A37" s="156">
        <f t="shared" ref="A37:A43" si="170">IF(B38=1,A38-1,A38)</f>
        <v>2018</v>
      </c>
      <c r="B37" s="157">
        <f t="shared" si="162"/>
        <v>10</v>
      </c>
      <c r="C37" s="157">
        <f t="shared" ref="C37:C43" si="171">B37+2</f>
        <v>12</v>
      </c>
      <c r="D37" s="105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32"/>
      <c r="P37" s="373"/>
      <c r="Q37" s="106"/>
      <c r="R37" s="374"/>
      <c r="S37" s="106"/>
      <c r="T37" s="106"/>
      <c r="U37" s="105"/>
      <c r="V37" s="105"/>
      <c r="W37" s="105"/>
      <c r="X37" s="106"/>
      <c r="Y37" s="106"/>
      <c r="Z37" s="106"/>
      <c r="AA37" s="375"/>
      <c r="AB37" s="105"/>
      <c r="AC37" s="106"/>
      <c r="AD37" s="132"/>
      <c r="AE37" s="470" t="e">
        <f ca="1">AE26</f>
        <v>#N/A</v>
      </c>
      <c r="AF37" s="373"/>
      <c r="AG37" s="104">
        <f ca="1">AG4+AG15+AG26</f>
        <v>0</v>
      </c>
      <c r="AH37" s="104">
        <f ca="1">AH4+AH15+AH26</f>
        <v>0</v>
      </c>
      <c r="AI37" s="104">
        <f ca="1">AI4+AI15+AI26</f>
        <v>0</v>
      </c>
      <c r="AJ37" s="104">
        <f ca="1">AJ4+AJ15+AJ26</f>
        <v>0</v>
      </c>
      <c r="AK37" s="104">
        <f ca="1">AK4+AK15+AK26</f>
        <v>0</v>
      </c>
      <c r="AL37" s="104">
        <f ca="1">AL4+AL15+AL26</f>
        <v>0</v>
      </c>
      <c r="AM37" s="104">
        <f ca="1">AM4+AM15+AM26</f>
        <v>0</v>
      </c>
      <c r="AN37" s="104">
        <f ca="1">AN4+AN15+AN26</f>
        <v>0</v>
      </c>
      <c r="AO37" s="104">
        <f ca="1">AO4+AO15+AO26</f>
        <v>0</v>
      </c>
      <c r="AP37" s="104">
        <f ca="1">AP4+AP15+AP26</f>
        <v>0</v>
      </c>
      <c r="AQ37" s="375">
        <f t="shared" ca="1" si="157"/>
        <v>0</v>
      </c>
      <c r="AR37" s="104">
        <f ca="1">AR4+AR15+AR26</f>
        <v>0</v>
      </c>
      <c r="AS37" s="104">
        <f ca="1">AS4+AS15+AS26</f>
        <v>0</v>
      </c>
      <c r="AT37" s="104">
        <f ca="1">AT4+AT15+AT26</f>
        <v>0</v>
      </c>
      <c r="AU37" s="104">
        <f ca="1">AU4+AU15+AU26</f>
        <v>0</v>
      </c>
      <c r="AV37" s="104">
        <f ca="1">AV4+AV15+AV26</f>
        <v>0</v>
      </c>
      <c r="AW37" s="104">
        <f ca="1">AW4+AW15+AW26</f>
        <v>0</v>
      </c>
      <c r="AX37" s="104">
        <f ca="1">AX4+AX15+AX26</f>
        <v>0</v>
      </c>
      <c r="AY37" s="104">
        <f ca="1">AY4+AY15+AY26</f>
        <v>0</v>
      </c>
      <c r="AZ37" s="104">
        <f ca="1">AZ4+AZ15+AZ26</f>
        <v>0</v>
      </c>
      <c r="BA37" s="104">
        <f ca="1">BA4+BA15+BA26</f>
        <v>0</v>
      </c>
      <c r="BB37" s="375">
        <f t="shared" ca="1" si="66"/>
        <v>0</v>
      </c>
      <c r="BC37" s="375">
        <f t="shared" ca="1" si="67"/>
        <v>0</v>
      </c>
      <c r="BD37" s="373" t="e">
        <f t="shared" ca="1" si="158"/>
        <v>#N/A</v>
      </c>
      <c r="BE37" s="376"/>
    </row>
    <row r="38" spans="1:57" x14ac:dyDescent="0.25">
      <c r="A38" s="55">
        <f t="shared" si="170"/>
        <v>2019</v>
      </c>
      <c r="B38" s="356">
        <f t="shared" si="162"/>
        <v>1</v>
      </c>
      <c r="C38" s="356">
        <f t="shared" si="171"/>
        <v>3</v>
      </c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AE38" s="470">
        <f ca="1">AE27</f>
        <v>0</v>
      </c>
      <c r="AG38" s="358">
        <f t="shared" ref="AG38:AP38" ca="1" si="172">AG5+AG16+AG27</f>
        <v>0</v>
      </c>
      <c r="AH38" s="358">
        <f t="shared" ca="1" si="172"/>
        <v>0</v>
      </c>
      <c r="AI38" s="358">
        <f t="shared" ca="1" si="172"/>
        <v>0</v>
      </c>
      <c r="AJ38" s="358">
        <f t="shared" ca="1" si="172"/>
        <v>0</v>
      </c>
      <c r="AK38" s="358">
        <f t="shared" ca="1" si="172"/>
        <v>0</v>
      </c>
      <c r="AL38" s="358">
        <f t="shared" ca="1" si="172"/>
        <v>0</v>
      </c>
      <c r="AM38" s="358">
        <f t="shared" ca="1" si="172"/>
        <v>0</v>
      </c>
      <c r="AN38" s="358">
        <f t="shared" ca="1" si="172"/>
        <v>0</v>
      </c>
      <c r="AO38" s="358">
        <f t="shared" ca="1" si="172"/>
        <v>0</v>
      </c>
      <c r="AP38" s="358">
        <f t="shared" ca="1" si="172"/>
        <v>0</v>
      </c>
      <c r="AQ38" s="35">
        <f t="shared" ca="1" si="157"/>
        <v>0</v>
      </c>
      <c r="AR38" s="358">
        <f ca="1">AR5+AR16+AR27</f>
        <v>0</v>
      </c>
      <c r="AS38" s="358">
        <f ca="1">AS5+AS16+AS27</f>
        <v>0</v>
      </c>
      <c r="AT38" s="358">
        <f ca="1">AT5+AT16+AT27</f>
        <v>0</v>
      </c>
      <c r="AU38" s="358">
        <f ca="1">AU5+AU16+AU27</f>
        <v>0</v>
      </c>
      <c r="AV38" s="358">
        <f ca="1">AV5+AV16+AV27</f>
        <v>0</v>
      </c>
      <c r="AW38" s="509">
        <f t="shared" ref="AW38:BA38" ca="1" si="173">AW5+AW16+AW27</f>
        <v>0</v>
      </c>
      <c r="AX38" s="509">
        <f t="shared" ca="1" si="173"/>
        <v>0</v>
      </c>
      <c r="AY38" s="509">
        <f t="shared" ca="1" si="173"/>
        <v>0</v>
      </c>
      <c r="AZ38" s="509">
        <f t="shared" ca="1" si="173"/>
        <v>0</v>
      </c>
      <c r="BA38" s="509">
        <f t="shared" ca="1" si="173"/>
        <v>0</v>
      </c>
      <c r="BB38" s="35">
        <f t="shared" ca="1" si="66"/>
        <v>0</v>
      </c>
      <c r="BC38" s="35">
        <f t="shared" ca="1" si="67"/>
        <v>0</v>
      </c>
      <c r="BD38" s="12" t="e">
        <f t="shared" ca="1" si="158"/>
        <v>#DIV/0!</v>
      </c>
      <c r="BE38" s="378"/>
    </row>
    <row r="39" spans="1:57" x14ac:dyDescent="0.25">
      <c r="A39" s="55">
        <f t="shared" si="170"/>
        <v>2019</v>
      </c>
      <c r="B39" s="356">
        <f t="shared" si="162"/>
        <v>4</v>
      </c>
      <c r="C39" s="356">
        <f t="shared" si="171"/>
        <v>6</v>
      </c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AE39" s="470">
        <f ca="1">AE28</f>
        <v>0</v>
      </c>
      <c r="AG39" s="358">
        <f t="shared" ref="AG39:AP39" ca="1" si="174">AG6+AG17+AG28</f>
        <v>0</v>
      </c>
      <c r="AH39" s="358">
        <f t="shared" ca="1" si="174"/>
        <v>0</v>
      </c>
      <c r="AI39" s="358">
        <f t="shared" ca="1" si="174"/>
        <v>0</v>
      </c>
      <c r="AJ39" s="358">
        <f t="shared" ca="1" si="174"/>
        <v>0</v>
      </c>
      <c r="AK39" s="358">
        <f t="shared" ca="1" si="174"/>
        <v>0</v>
      </c>
      <c r="AL39" s="358">
        <f t="shared" ca="1" si="174"/>
        <v>0</v>
      </c>
      <c r="AM39" s="358">
        <f t="shared" ca="1" si="174"/>
        <v>0</v>
      </c>
      <c r="AN39" s="358">
        <f t="shared" ca="1" si="174"/>
        <v>0</v>
      </c>
      <c r="AO39" s="358">
        <f t="shared" ca="1" si="174"/>
        <v>0</v>
      </c>
      <c r="AP39" s="358">
        <f t="shared" ca="1" si="174"/>
        <v>0</v>
      </c>
      <c r="AQ39" s="35">
        <f t="shared" ca="1" si="157"/>
        <v>0</v>
      </c>
      <c r="AR39" s="358">
        <f ca="1">AR6+AR17+AR28</f>
        <v>0</v>
      </c>
      <c r="AS39" s="358">
        <f ca="1">AS6+AS17+AS28</f>
        <v>0</v>
      </c>
      <c r="AT39" s="358">
        <f ca="1">AT6+AT17+AT28</f>
        <v>0</v>
      </c>
      <c r="AU39" s="358">
        <f ca="1">AU6+AU17+AU28</f>
        <v>0</v>
      </c>
      <c r="AV39" s="358">
        <f ca="1">AV6+AV17+AV28</f>
        <v>0</v>
      </c>
      <c r="AW39" s="509">
        <f t="shared" ref="AW39:BA39" ca="1" si="175">AW6+AW17+AW28</f>
        <v>0</v>
      </c>
      <c r="AX39" s="509">
        <f t="shared" ca="1" si="175"/>
        <v>0</v>
      </c>
      <c r="AY39" s="509">
        <f t="shared" ca="1" si="175"/>
        <v>0</v>
      </c>
      <c r="AZ39" s="509">
        <f t="shared" ca="1" si="175"/>
        <v>0</v>
      </c>
      <c r="BA39" s="509">
        <f t="shared" ca="1" si="175"/>
        <v>0</v>
      </c>
      <c r="BB39" s="35">
        <f t="shared" ca="1" si="66"/>
        <v>0</v>
      </c>
      <c r="BC39" s="35">
        <f t="shared" ca="1" si="67"/>
        <v>0</v>
      </c>
      <c r="BD39" s="12" t="e">
        <f t="shared" ca="1" si="158"/>
        <v>#DIV/0!</v>
      </c>
      <c r="BE39" s="378"/>
    </row>
    <row r="40" spans="1:57" x14ac:dyDescent="0.25">
      <c r="A40" s="55">
        <f t="shared" si="170"/>
        <v>2019</v>
      </c>
      <c r="B40" s="356">
        <f t="shared" si="162"/>
        <v>7</v>
      </c>
      <c r="C40" s="356">
        <f t="shared" si="171"/>
        <v>9</v>
      </c>
      <c r="E40" s="358"/>
      <c r="F40" s="358"/>
      <c r="G40" s="358"/>
      <c r="H40" s="358"/>
      <c r="I40" s="358"/>
      <c r="J40" s="358"/>
      <c r="K40" s="358"/>
      <c r="L40" s="358"/>
      <c r="M40" s="358"/>
      <c r="N40" s="358"/>
      <c r="AE40" s="470">
        <f ca="1">AE29</f>
        <v>0</v>
      </c>
      <c r="AG40" s="358">
        <f t="shared" ref="AG40:AP40" ca="1" si="176">AG7+AG18+AG29</f>
        <v>0</v>
      </c>
      <c r="AH40" s="358">
        <f t="shared" ca="1" si="176"/>
        <v>0</v>
      </c>
      <c r="AI40" s="358">
        <f t="shared" ca="1" si="176"/>
        <v>0</v>
      </c>
      <c r="AJ40" s="358">
        <f t="shared" ca="1" si="176"/>
        <v>0</v>
      </c>
      <c r="AK40" s="358">
        <f t="shared" ca="1" si="176"/>
        <v>0</v>
      </c>
      <c r="AL40" s="358">
        <f t="shared" ca="1" si="176"/>
        <v>0</v>
      </c>
      <c r="AM40" s="358">
        <f t="shared" ca="1" si="176"/>
        <v>0</v>
      </c>
      <c r="AN40" s="358">
        <f t="shared" ca="1" si="176"/>
        <v>0</v>
      </c>
      <c r="AO40" s="358">
        <f t="shared" ca="1" si="176"/>
        <v>0</v>
      </c>
      <c r="AP40" s="358">
        <f t="shared" ca="1" si="176"/>
        <v>0</v>
      </c>
      <c r="AQ40" s="35">
        <f t="shared" ca="1" si="157"/>
        <v>0</v>
      </c>
      <c r="AR40" s="358">
        <f ca="1">AR7+AR18+AR29</f>
        <v>0</v>
      </c>
      <c r="AS40" s="358">
        <f ca="1">AS7+AS18+AS29</f>
        <v>0</v>
      </c>
      <c r="AT40" s="358">
        <f ca="1">AT7+AT18+AT29</f>
        <v>0</v>
      </c>
      <c r="AU40" s="358">
        <f ca="1">AU7+AU18+AU29</f>
        <v>0</v>
      </c>
      <c r="AV40" s="358">
        <f ca="1">AV7+AV18+AV29</f>
        <v>0</v>
      </c>
      <c r="AW40" s="509">
        <f t="shared" ref="AW40:BA40" ca="1" si="177">AW7+AW18+AW29</f>
        <v>0</v>
      </c>
      <c r="AX40" s="509">
        <f t="shared" ca="1" si="177"/>
        <v>0</v>
      </c>
      <c r="AY40" s="509">
        <f t="shared" ca="1" si="177"/>
        <v>0</v>
      </c>
      <c r="AZ40" s="509">
        <f t="shared" ca="1" si="177"/>
        <v>0</v>
      </c>
      <c r="BA40" s="509">
        <f t="shared" ca="1" si="177"/>
        <v>0</v>
      </c>
      <c r="BB40" s="35">
        <f t="shared" ca="1" si="66"/>
        <v>0</v>
      </c>
      <c r="BC40" s="35">
        <f t="shared" ca="1" si="67"/>
        <v>0</v>
      </c>
      <c r="BD40" s="12" t="e">
        <f t="shared" ca="1" si="158"/>
        <v>#DIV/0!</v>
      </c>
      <c r="BE40" s="378"/>
    </row>
    <row r="41" spans="1:57" x14ac:dyDescent="0.25">
      <c r="A41" s="55">
        <f t="shared" si="170"/>
        <v>2019</v>
      </c>
      <c r="B41" s="356">
        <f t="shared" si="162"/>
        <v>10</v>
      </c>
      <c r="C41" s="356">
        <f t="shared" si="171"/>
        <v>12</v>
      </c>
      <c r="E41" s="358"/>
      <c r="F41" s="358"/>
      <c r="G41" s="358"/>
      <c r="H41" s="358"/>
      <c r="I41" s="358"/>
      <c r="J41" s="358"/>
      <c r="K41" s="358"/>
      <c r="L41" s="358"/>
      <c r="M41" s="358"/>
      <c r="N41" s="358"/>
      <c r="AE41" s="470">
        <f ca="1">AE30</f>
        <v>59</v>
      </c>
      <c r="AG41" s="358">
        <f t="shared" ref="AG41:AP41" ca="1" si="178">AG8+AG19+AG30</f>
        <v>50</v>
      </c>
      <c r="AH41" s="358">
        <f t="shared" ca="1" si="178"/>
        <v>46</v>
      </c>
      <c r="AI41" s="358">
        <f t="shared" ca="1" si="178"/>
        <v>40</v>
      </c>
      <c r="AJ41" s="358">
        <f t="shared" ca="1" si="178"/>
        <v>50</v>
      </c>
      <c r="AK41" s="358">
        <f t="shared" ca="1" si="178"/>
        <v>41</v>
      </c>
      <c r="AL41" s="358">
        <f t="shared" ca="1" si="178"/>
        <v>43</v>
      </c>
      <c r="AM41" s="358">
        <f t="shared" ca="1" si="178"/>
        <v>52</v>
      </c>
      <c r="AN41" s="358">
        <f t="shared" ca="1" si="178"/>
        <v>48</v>
      </c>
      <c r="AO41" s="358">
        <f t="shared" ca="1" si="178"/>
        <v>47</v>
      </c>
      <c r="AP41" s="358">
        <f t="shared" ca="1" si="178"/>
        <v>38</v>
      </c>
      <c r="AQ41" s="35">
        <f t="shared" ca="1" si="157"/>
        <v>1366.5079365079368</v>
      </c>
      <c r="AR41" s="358">
        <f ca="1">AR8+AR19+AR30</f>
        <v>42</v>
      </c>
      <c r="AS41" s="358">
        <f ca="1">AS8+AS19+AS30</f>
        <v>51</v>
      </c>
      <c r="AT41" s="358">
        <f ca="1">AT8+AT19+AT30</f>
        <v>49</v>
      </c>
      <c r="AU41" s="358">
        <f ca="1">AU8+AU19+AU30</f>
        <v>49</v>
      </c>
      <c r="AV41" s="358">
        <f ca="1">AV8+AV19+AV30</f>
        <v>51</v>
      </c>
      <c r="AW41" s="509">
        <f t="shared" ref="AW41:BA41" ca="1" si="179">AW8+AW19+AW30</f>
        <v>55</v>
      </c>
      <c r="AX41" s="509">
        <f t="shared" ca="1" si="179"/>
        <v>56</v>
      </c>
      <c r="AY41" s="509">
        <f t="shared" ca="1" si="179"/>
        <v>65</v>
      </c>
      <c r="AZ41" s="509">
        <f t="shared" ca="1" si="179"/>
        <v>60</v>
      </c>
      <c r="BA41" s="509">
        <f t="shared" ca="1" si="179"/>
        <v>65</v>
      </c>
      <c r="BB41" s="35">
        <f t="shared" ca="1" si="66"/>
        <v>1447.4166666666665</v>
      </c>
      <c r="BC41" s="35">
        <f t="shared" ca="1" si="67"/>
        <v>2813.9246031746034</v>
      </c>
      <c r="BD41" s="12">
        <f t="shared" ca="1" si="158"/>
        <v>47.693637341942427</v>
      </c>
      <c r="BE41" s="378"/>
    </row>
    <row r="42" spans="1:57" x14ac:dyDescent="0.25">
      <c r="A42" s="55">
        <f t="shared" si="170"/>
        <v>2020</v>
      </c>
      <c r="B42" s="356">
        <f t="shared" si="162"/>
        <v>1</v>
      </c>
      <c r="C42" s="356">
        <f t="shared" si="171"/>
        <v>3</v>
      </c>
      <c r="E42" s="358"/>
      <c r="F42" s="358"/>
      <c r="G42" s="358"/>
      <c r="H42" s="358"/>
      <c r="I42" s="358"/>
      <c r="J42" s="358"/>
      <c r="K42" s="358"/>
      <c r="L42" s="358"/>
      <c r="M42" s="358"/>
      <c r="N42" s="358"/>
      <c r="AE42" s="470">
        <f ca="1">AE31</f>
        <v>61</v>
      </c>
      <c r="AG42" s="358">
        <f t="shared" ref="AG42:AP42" ca="1" si="180">AG9+AG20+AG31</f>
        <v>34</v>
      </c>
      <c r="AH42" s="358">
        <f t="shared" ca="1" si="180"/>
        <v>25</v>
      </c>
      <c r="AI42" s="358">
        <f t="shared" ca="1" si="180"/>
        <v>30</v>
      </c>
      <c r="AJ42" s="358">
        <f t="shared" ca="1" si="180"/>
        <v>29</v>
      </c>
      <c r="AK42" s="358">
        <f t="shared" ca="1" si="180"/>
        <v>20</v>
      </c>
      <c r="AL42" s="358">
        <f t="shared" ca="1" si="180"/>
        <v>28</v>
      </c>
      <c r="AM42" s="358">
        <f t="shared" ca="1" si="180"/>
        <v>25</v>
      </c>
      <c r="AN42" s="358">
        <f t="shared" ca="1" si="180"/>
        <v>24</v>
      </c>
      <c r="AO42" s="358">
        <f t="shared" ca="1" si="180"/>
        <v>22</v>
      </c>
      <c r="AP42" s="358">
        <f t="shared" ca="1" si="180"/>
        <v>21</v>
      </c>
      <c r="AQ42" s="35">
        <f t="shared" ca="1" si="157"/>
        <v>835.32539682539675</v>
      </c>
      <c r="AR42" s="358">
        <f ca="1">AR9+AR20+AR31</f>
        <v>25</v>
      </c>
      <c r="AS42" s="358">
        <f ca="1">AS9+AS20+AS31</f>
        <v>27</v>
      </c>
      <c r="AT42" s="358">
        <f ca="1">AT9+AT20+AT31</f>
        <v>30</v>
      </c>
      <c r="AU42" s="358">
        <f ca="1">AU9+AU20+AU31</f>
        <v>36</v>
      </c>
      <c r="AV42" s="358">
        <f ca="1">AV9+AV20+AV31</f>
        <v>24</v>
      </c>
      <c r="AW42" s="509">
        <f t="shared" ref="AW42:BA42" ca="1" si="181">AW9+AW20+AW31</f>
        <v>31</v>
      </c>
      <c r="AX42" s="509">
        <f t="shared" ca="1" si="181"/>
        <v>29</v>
      </c>
      <c r="AY42" s="509">
        <f t="shared" ca="1" si="181"/>
        <v>33</v>
      </c>
      <c r="AZ42" s="509">
        <f t="shared" ca="1" si="181"/>
        <v>32</v>
      </c>
      <c r="BA42" s="509">
        <f t="shared" ca="1" si="181"/>
        <v>25</v>
      </c>
      <c r="BB42" s="35">
        <f t="shared" ca="1" si="66"/>
        <v>817.90079365079362</v>
      </c>
      <c r="BC42" s="35">
        <f t="shared" ca="1" si="67"/>
        <v>1653.2261904761904</v>
      </c>
      <c r="BD42" s="12">
        <f t="shared" ca="1" si="158"/>
        <v>27.102068696330988</v>
      </c>
      <c r="BE42" s="378"/>
    </row>
    <row r="43" spans="1:57" x14ac:dyDescent="0.25">
      <c r="A43" s="55">
        <f t="shared" si="170"/>
        <v>2020</v>
      </c>
      <c r="B43" s="356">
        <f t="shared" si="162"/>
        <v>4</v>
      </c>
      <c r="C43" s="356">
        <f t="shared" si="171"/>
        <v>6</v>
      </c>
      <c r="E43" s="358"/>
      <c r="F43" s="358"/>
      <c r="G43" s="358"/>
      <c r="H43" s="358"/>
      <c r="I43" s="358"/>
      <c r="J43" s="358"/>
      <c r="K43" s="358"/>
      <c r="L43" s="358"/>
      <c r="M43" s="358"/>
      <c r="N43" s="358"/>
      <c r="AE43" s="470">
        <f ca="1">AE32</f>
        <v>51</v>
      </c>
      <c r="AG43" s="358">
        <f t="shared" ref="AG43:AP43" ca="1" si="182">AG10+AG21+AG32</f>
        <v>35</v>
      </c>
      <c r="AH43" s="358">
        <f t="shared" ca="1" si="182"/>
        <v>35</v>
      </c>
      <c r="AI43" s="358">
        <f t="shared" ca="1" si="182"/>
        <v>34</v>
      </c>
      <c r="AJ43" s="358">
        <f t="shared" ca="1" si="182"/>
        <v>31</v>
      </c>
      <c r="AK43" s="358">
        <f t="shared" ca="1" si="182"/>
        <v>33</v>
      </c>
      <c r="AL43" s="358">
        <f t="shared" ca="1" si="182"/>
        <v>26</v>
      </c>
      <c r="AM43" s="358">
        <f t="shared" ca="1" si="182"/>
        <v>17</v>
      </c>
      <c r="AN43" s="358">
        <f t="shared" ca="1" si="182"/>
        <v>20</v>
      </c>
      <c r="AO43" s="358">
        <f t="shared" ca="1" si="182"/>
        <v>14</v>
      </c>
      <c r="AP43" s="358">
        <f t="shared" ca="1" si="182"/>
        <v>10</v>
      </c>
      <c r="AQ43" s="35">
        <f t="shared" ca="1" si="157"/>
        <v>900.00793650793651</v>
      </c>
      <c r="AR43" s="358">
        <f ca="1">AR10+AR21+AR32</f>
        <v>27</v>
      </c>
      <c r="AS43" s="358">
        <f ca="1">AS10+AS21+AS32</f>
        <v>32</v>
      </c>
      <c r="AT43" s="358">
        <f ca="1">AT10+AT21+AT32</f>
        <v>36</v>
      </c>
      <c r="AU43" s="358">
        <f ca="1">AU10+AU21+AU32</f>
        <v>30</v>
      </c>
      <c r="AV43" s="358">
        <f ca="1">AV10+AV21+AV32</f>
        <v>44</v>
      </c>
      <c r="AW43" s="509">
        <f t="shared" ref="AW43:BA43" ca="1" si="183">AW10+AW21+AW32</f>
        <v>43</v>
      </c>
      <c r="AX43" s="509">
        <f t="shared" ca="1" si="183"/>
        <v>37</v>
      </c>
      <c r="AY43" s="509">
        <f t="shared" ca="1" si="183"/>
        <v>30</v>
      </c>
      <c r="AZ43" s="509">
        <f t="shared" ca="1" si="183"/>
        <v>37</v>
      </c>
      <c r="BA43" s="509">
        <f t="shared" ca="1" si="183"/>
        <v>36</v>
      </c>
      <c r="BB43" s="35">
        <f t="shared" ca="1" si="66"/>
        <v>952.13492063492072</v>
      </c>
      <c r="BC43" s="35">
        <f t="shared" ca="1" si="67"/>
        <v>1852.1428571428573</v>
      </c>
      <c r="BD43" s="12">
        <f t="shared" ca="1" si="158"/>
        <v>36.31652661064426</v>
      </c>
      <c r="BE43" s="378"/>
    </row>
    <row r="44" spans="1:57" x14ac:dyDescent="0.25">
      <c r="A44" s="55">
        <f>IF(B45=1,A45-1,A45)</f>
        <v>2020</v>
      </c>
      <c r="B44" s="356">
        <f>IF(B45=1,10,B45-3)</f>
        <v>7</v>
      </c>
      <c r="C44" s="356">
        <f>B44+2</f>
        <v>9</v>
      </c>
      <c r="E44" s="358"/>
      <c r="F44" s="358"/>
      <c r="G44" s="358"/>
      <c r="H44" s="358"/>
      <c r="I44" s="358"/>
      <c r="J44" s="358"/>
      <c r="K44" s="358"/>
      <c r="L44" s="358"/>
      <c r="M44" s="358"/>
      <c r="N44" s="358"/>
      <c r="AE44" s="470">
        <f ca="1">AE33</f>
        <v>55</v>
      </c>
      <c r="AG44" s="358">
        <f t="shared" ref="AG44:AP44" ca="1" si="184">AG11+AG22+AG33</f>
        <v>60</v>
      </c>
      <c r="AH44" s="358">
        <f t="shared" ca="1" si="184"/>
        <v>40</v>
      </c>
      <c r="AI44" s="358">
        <f t="shared" ca="1" si="184"/>
        <v>29</v>
      </c>
      <c r="AJ44" s="358">
        <f t="shared" ca="1" si="184"/>
        <v>25</v>
      </c>
      <c r="AK44" s="358">
        <f t="shared" ca="1" si="184"/>
        <v>25</v>
      </c>
      <c r="AL44" s="358">
        <f t="shared" ca="1" si="184"/>
        <v>19</v>
      </c>
      <c r="AM44" s="358">
        <f t="shared" ca="1" si="184"/>
        <v>15</v>
      </c>
      <c r="AN44" s="358">
        <f t="shared" ca="1" si="184"/>
        <v>14</v>
      </c>
      <c r="AO44" s="358">
        <f t="shared" ca="1" si="184"/>
        <v>10</v>
      </c>
      <c r="AP44" s="358">
        <f t="shared" ca="1" si="184"/>
        <v>12</v>
      </c>
      <c r="AQ44" s="35">
        <f t="shared" ca="1" si="157"/>
        <v>1102.8730158730159</v>
      </c>
      <c r="AR44" s="358">
        <f ca="1">AR11+AR22+AR33</f>
        <v>58</v>
      </c>
      <c r="AS44" s="358">
        <f ca="1">AS11+AS22+AS33</f>
        <v>45</v>
      </c>
      <c r="AT44" s="358">
        <f ca="1">AT11+AT22+AT33</f>
        <v>40</v>
      </c>
      <c r="AU44" s="358">
        <f ca="1">AU11+AU22+AU33</f>
        <v>36</v>
      </c>
      <c r="AV44" s="358">
        <f ca="1">AV11+AV22+AV33</f>
        <v>34</v>
      </c>
      <c r="AW44" s="509">
        <f t="shared" ref="AW44:BA44" ca="1" si="185">AW11+AW22+AW33</f>
        <v>32</v>
      </c>
      <c r="AX44" s="509">
        <f t="shared" ca="1" si="185"/>
        <v>36</v>
      </c>
      <c r="AY44" s="509">
        <f t="shared" ca="1" si="185"/>
        <v>31</v>
      </c>
      <c r="AZ44" s="509">
        <f t="shared" ca="1" si="185"/>
        <v>25</v>
      </c>
      <c r="BA44" s="509">
        <f t="shared" ca="1" si="185"/>
        <v>31</v>
      </c>
      <c r="BB44" s="35">
        <f t="shared" ca="1" si="66"/>
        <v>1298.6230158730157</v>
      </c>
      <c r="BC44" s="35">
        <f t="shared" ca="1" si="67"/>
        <v>2401.4960317460318</v>
      </c>
      <c r="BD44" s="12">
        <f t="shared" ca="1" si="158"/>
        <v>43.663564213564214</v>
      </c>
      <c r="BE44" s="378"/>
    </row>
    <row r="45" spans="1:57" ht="13.8" thickBot="1" x14ac:dyDescent="0.3">
      <c r="A45" s="111">
        <f t="shared" ref="A45:C45" si="186">A34</f>
        <v>2020</v>
      </c>
      <c r="B45" s="67">
        <f t="shared" si="186"/>
        <v>10</v>
      </c>
      <c r="C45" s="67">
        <f t="shared" si="186"/>
        <v>12</v>
      </c>
      <c r="D45" s="112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135"/>
      <c r="P45" s="382"/>
      <c r="Q45" s="113"/>
      <c r="R45" s="383"/>
      <c r="S45" s="113"/>
      <c r="T45" s="113"/>
      <c r="U45" s="112"/>
      <c r="V45" s="112"/>
      <c r="W45" s="112"/>
      <c r="X45" s="113"/>
      <c r="Y45" s="113"/>
      <c r="Z45" s="113"/>
      <c r="AA45" s="384"/>
      <c r="AB45" s="112"/>
      <c r="AC45" s="113"/>
      <c r="AD45" s="135"/>
      <c r="AE45" s="470">
        <f ca="1">AE34</f>
        <v>28</v>
      </c>
      <c r="AF45" s="382"/>
      <c r="AG45" s="67">
        <f t="shared" ref="AG45:AP45" ca="1" si="187">AG12+AG23+AG34</f>
        <v>22</v>
      </c>
      <c r="AH45" s="67">
        <f t="shared" ca="1" si="187"/>
        <v>32</v>
      </c>
      <c r="AI45" s="67">
        <f t="shared" ca="1" si="187"/>
        <v>24</v>
      </c>
      <c r="AJ45" s="67">
        <f t="shared" ca="1" si="187"/>
        <v>10</v>
      </c>
      <c r="AK45" s="67">
        <f t="shared" ca="1" si="187"/>
        <v>16</v>
      </c>
      <c r="AL45" s="67">
        <f t="shared" ca="1" si="187"/>
        <v>12</v>
      </c>
      <c r="AM45" s="67">
        <f t="shared" ca="1" si="187"/>
        <v>13</v>
      </c>
      <c r="AN45" s="67">
        <f t="shared" ca="1" si="187"/>
        <v>7</v>
      </c>
      <c r="AO45" s="67">
        <f t="shared" ca="1" si="187"/>
        <v>10</v>
      </c>
      <c r="AP45" s="67">
        <f t="shared" ca="1" si="187"/>
        <v>17</v>
      </c>
      <c r="AQ45" s="384">
        <f t="shared" ca="1" si="157"/>
        <v>592.43253968253975</v>
      </c>
      <c r="AR45" s="67">
        <f ca="1">AR12+AR23+AR34</f>
        <v>28</v>
      </c>
      <c r="AS45" s="67">
        <f ca="1">AS12+AS23+AS34</f>
        <v>25</v>
      </c>
      <c r="AT45" s="67">
        <f ca="1">AT12+AT23+AT34</f>
        <v>25</v>
      </c>
      <c r="AU45" s="67">
        <f ca="1">AU12+AU23+AU34</f>
        <v>29</v>
      </c>
      <c r="AV45" s="67">
        <f ca="1">AV12+AV23+AV34</f>
        <v>27</v>
      </c>
      <c r="AW45" s="67">
        <f t="shared" ref="AW45:BA45" ca="1" si="188">AW12+AW23+AW34</f>
        <v>19</v>
      </c>
      <c r="AX45" s="67">
        <f t="shared" ca="1" si="188"/>
        <v>22</v>
      </c>
      <c r="AY45" s="67">
        <f t="shared" ca="1" si="188"/>
        <v>21</v>
      </c>
      <c r="AZ45" s="67">
        <f t="shared" ca="1" si="188"/>
        <v>26</v>
      </c>
      <c r="BA45" s="67">
        <f t="shared" ca="1" si="188"/>
        <v>23</v>
      </c>
      <c r="BB45" s="384">
        <f t="shared" ca="1" si="66"/>
        <v>756.06746031746025</v>
      </c>
      <c r="BC45" s="384">
        <f t="shared" ca="1" si="67"/>
        <v>1348.5</v>
      </c>
      <c r="BD45" s="382">
        <f t="shared" ca="1" si="158"/>
        <v>48.160714285714285</v>
      </c>
      <c r="BE45" s="385"/>
    </row>
    <row r="46" spans="1:57" x14ac:dyDescent="0.25">
      <c r="A46" s="70"/>
      <c r="B46" s="70"/>
      <c r="C46" s="70"/>
      <c r="D46" s="119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121"/>
      <c r="P46" s="369"/>
      <c r="Q46" s="122"/>
      <c r="R46" s="234"/>
      <c r="S46" s="122"/>
      <c r="T46" s="122"/>
      <c r="U46" s="119"/>
      <c r="V46" s="119"/>
      <c r="W46" s="119"/>
      <c r="X46" s="122"/>
      <c r="Y46" s="122"/>
      <c r="Z46" s="122"/>
      <c r="AA46" s="232"/>
      <c r="AB46" s="119"/>
      <c r="AC46" s="122"/>
      <c r="AD46" s="121"/>
      <c r="AF46" s="369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232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232"/>
      <c r="BC46" s="232"/>
      <c r="BD46" s="369"/>
      <c r="BE46" s="369"/>
    </row>
  </sheetData>
  <phoneticPr fontId="1" type="noConversion"/>
  <conditionalFormatting sqref="Q1:S1048576">
    <cfRule type="expression" dxfId="695" priority="252">
      <formula>Q1&gt;=7.5</formula>
    </cfRule>
    <cfRule type="expression" dxfId="694" priority="253">
      <formula>Q1&gt;=7</formula>
    </cfRule>
    <cfRule type="expression" dxfId="693" priority="254">
      <formula>Q1&gt;=6.5</formula>
    </cfRule>
    <cfRule type="expression" dxfId="692" priority="255">
      <formula>Q1&gt;=6</formula>
    </cfRule>
    <cfRule type="expression" dxfId="691" priority="256">
      <formula>Q1&gt;=5.5</formula>
    </cfRule>
    <cfRule type="expression" dxfId="690" priority="257">
      <formula>Q1&gt;=5</formula>
    </cfRule>
    <cfRule type="expression" dxfId="689" priority="258">
      <formula>Q1&gt;=4.5</formula>
    </cfRule>
    <cfRule type="expression" dxfId="688" priority="259">
      <formula>Q1&gt;=4</formula>
    </cfRule>
    <cfRule type="expression" dxfId="687" priority="260">
      <formula>Q1&gt;=3.5</formula>
    </cfRule>
    <cfRule type="expression" dxfId="686" priority="261">
      <formula>Q1&gt;=3</formula>
    </cfRule>
    <cfRule type="expression" dxfId="685" priority="262">
      <formula>Q1&gt;=2.5</formula>
    </cfRule>
    <cfRule type="expression" dxfId="684" priority="263">
      <formula>Q1&gt;=2</formula>
    </cfRule>
    <cfRule type="expression" dxfId="683" priority="264">
      <formula>Q1&gt;=1.5</formula>
    </cfRule>
    <cfRule type="expression" dxfId="682" priority="265">
      <formula>Q1&gt;=0</formula>
    </cfRule>
  </conditionalFormatting>
  <conditionalFormatting sqref="T1:T1048576">
    <cfRule type="expression" dxfId="681" priority="232">
      <formula>U1&gt;=187.5</formula>
    </cfRule>
    <cfRule type="expression" dxfId="680" priority="233">
      <formula>U1&gt;=175</formula>
    </cfRule>
    <cfRule type="expression" dxfId="679" priority="234">
      <formula>U1&gt;=162.5</formula>
    </cfRule>
    <cfRule type="expression" dxfId="678" priority="235">
      <formula>U1&gt;=150</formula>
    </cfRule>
    <cfRule type="expression" dxfId="677" priority="236">
      <formula>U1&gt;=137.5</formula>
    </cfRule>
    <cfRule type="expression" dxfId="676" priority="237">
      <formula>U1&gt;=125</formula>
    </cfRule>
    <cfRule type="expression" dxfId="675" priority="238">
      <formula>U1&gt;=112.5</formula>
    </cfRule>
    <cfRule type="expression" dxfId="674" priority="239">
      <formula>U1&gt;=100</formula>
    </cfRule>
    <cfRule type="expression" dxfId="673" priority="240">
      <formula>U1&gt;=87.5</formula>
    </cfRule>
    <cfRule type="expression" dxfId="672" priority="241">
      <formula>U1&gt;=75</formula>
    </cfRule>
    <cfRule type="expression" dxfId="671" priority="242">
      <formula>U1&gt;=62.5</formula>
    </cfRule>
    <cfRule type="expression" dxfId="670" priority="243">
      <formula>U1&gt;=50</formula>
    </cfRule>
    <cfRule type="expression" dxfId="669" priority="244">
      <formula>U1&gt;=37.5</formula>
    </cfRule>
    <cfRule type="expression" dxfId="668" priority="245">
      <formula>U1&gt;=0</formula>
    </cfRule>
  </conditionalFormatting>
  <conditionalFormatting sqref="U1:U1048576">
    <cfRule type="expression" dxfId="667" priority="218">
      <formula>U1&gt;=187.5</formula>
    </cfRule>
    <cfRule type="expression" dxfId="666" priority="219">
      <formula>U1&gt;=175</formula>
    </cfRule>
    <cfRule type="expression" dxfId="665" priority="220">
      <formula>U1&gt;=162.5</formula>
    </cfRule>
    <cfRule type="expression" dxfId="664" priority="221">
      <formula>U1&gt;=150</formula>
    </cfRule>
    <cfRule type="expression" dxfId="663" priority="222">
      <formula>U1&gt;=137.5</formula>
    </cfRule>
    <cfRule type="expression" dxfId="662" priority="223">
      <formula>U1&gt;=125</formula>
    </cfRule>
    <cfRule type="expression" dxfId="661" priority="224">
      <formula>U1&gt;=112.5</formula>
    </cfRule>
    <cfRule type="expression" dxfId="660" priority="225">
      <formula>U1&gt;=100</formula>
    </cfRule>
    <cfRule type="expression" dxfId="659" priority="226">
      <formula>U1&gt;=87.5</formula>
    </cfRule>
    <cfRule type="expression" dxfId="658" priority="227">
      <formula>U1&gt;=75</formula>
    </cfRule>
    <cfRule type="expression" dxfId="657" priority="228">
      <formula>U1&gt;=62.5</formula>
    </cfRule>
    <cfRule type="expression" dxfId="656" priority="229">
      <formula>U1&gt;=50</formula>
    </cfRule>
    <cfRule type="expression" dxfId="655" priority="230">
      <formula>U1&gt;=37.5</formula>
    </cfRule>
    <cfRule type="expression" dxfId="654" priority="231">
      <formula>U1&gt;=0</formula>
    </cfRule>
  </conditionalFormatting>
  <conditionalFormatting sqref="AD1:AD1048576">
    <cfRule type="expression" dxfId="653" priority="204">
      <formula>AD1&gt;=168.75</formula>
    </cfRule>
    <cfRule type="expression" dxfId="652" priority="205">
      <formula>AD1&gt;=147</formula>
    </cfRule>
    <cfRule type="expression" dxfId="651" priority="206">
      <formula>AD1&gt;=126.75</formula>
    </cfRule>
    <cfRule type="expression" dxfId="650" priority="207">
      <formula>AD1&gt;=108</formula>
    </cfRule>
    <cfRule type="expression" dxfId="649" priority="208">
      <formula>AD1&gt;=90.75</formula>
    </cfRule>
    <cfRule type="expression" dxfId="648" priority="209">
      <formula>AD1&gt;=75</formula>
    </cfRule>
    <cfRule type="expression" dxfId="647" priority="210">
      <formula>AD1&gt;=60.75</formula>
    </cfRule>
    <cfRule type="expression" dxfId="646" priority="211">
      <formula>AD1&gt;=48</formula>
    </cfRule>
    <cfRule type="expression" dxfId="645" priority="212">
      <formula>AD1&gt;=36.75</formula>
    </cfRule>
    <cfRule type="expression" dxfId="644" priority="213">
      <formula>AD1&gt;=27</formula>
    </cfRule>
    <cfRule type="expression" dxfId="643" priority="214">
      <formula>AD1&gt;=18.75</formula>
    </cfRule>
    <cfRule type="expression" dxfId="642" priority="215">
      <formula>AD1&gt;=12</formula>
    </cfRule>
    <cfRule type="expression" dxfId="641" priority="216">
      <formula>AD1&gt;=6.75</formula>
    </cfRule>
    <cfRule type="expression" dxfId="640" priority="217">
      <formula>AD1&gt;=0</formula>
    </cfRule>
  </conditionalFormatting>
  <conditionalFormatting sqref="AB1:AB1048576">
    <cfRule type="expression" dxfId="639" priority="190">
      <formula>AB1&gt;=7.5*3</formula>
    </cfRule>
    <cfRule type="expression" dxfId="638" priority="191">
      <formula>AB1&gt;=7*3</formula>
    </cfRule>
    <cfRule type="expression" dxfId="637" priority="192">
      <formula>AB1&gt;=6.5*3</formula>
    </cfRule>
    <cfRule type="expression" dxfId="636" priority="193">
      <formula>AB1&gt;=6*3</formula>
    </cfRule>
    <cfRule type="expression" dxfId="635" priority="194">
      <formula>AB1&gt;=5.5*3</formula>
    </cfRule>
    <cfRule type="expression" dxfId="634" priority="195">
      <formula>AB1&gt;=5*3</formula>
    </cfRule>
    <cfRule type="expression" dxfId="633" priority="196">
      <formula>AB1&gt;=4.5*3</formula>
    </cfRule>
    <cfRule type="expression" dxfId="632" priority="197">
      <formula>AB1&gt;=4*3</formula>
    </cfRule>
    <cfRule type="expression" dxfId="631" priority="198">
      <formula>AB1&gt;=3.5*3</formula>
    </cfRule>
    <cfRule type="expression" dxfId="630" priority="199">
      <formula>AB1&gt;=3*3</formula>
    </cfRule>
    <cfRule type="expression" dxfId="629" priority="200">
      <formula>AB1&gt;=2.5*3</formula>
    </cfRule>
    <cfRule type="expression" dxfId="628" priority="201">
      <formula>AB1&gt;=2*3</formula>
    </cfRule>
    <cfRule type="expression" dxfId="627" priority="202">
      <formula>AB1&gt;=1.5*3</formula>
    </cfRule>
    <cfRule type="expression" dxfId="626" priority="203">
      <formula>AB1&gt;=0</formula>
    </cfRule>
  </conditionalFormatting>
  <conditionalFormatting sqref="X1:Z1048576">
    <cfRule type="expression" dxfId="625" priority="176">
      <formula>X1&gt;=31/32</formula>
    </cfRule>
    <cfRule type="expression" dxfId="624" priority="177">
      <formula>X1&gt;=30/32</formula>
    </cfRule>
    <cfRule type="expression" dxfId="623" priority="178">
      <formula>X1&gt;=29/32</formula>
    </cfRule>
    <cfRule type="expression" dxfId="622" priority="179">
      <formula>X1&gt;=28/32</formula>
    </cfRule>
    <cfRule type="expression" dxfId="621" priority="180">
      <formula>X1&gt;=27/32</formula>
    </cfRule>
    <cfRule type="expression" dxfId="620" priority="181">
      <formula>X1&gt;=26/32</formula>
    </cfRule>
    <cfRule type="expression" dxfId="619" priority="182">
      <formula>X1&gt;=25/32</formula>
    </cfRule>
    <cfRule type="expression" dxfId="618" priority="183">
      <formula>X1&gt;=24/32</formula>
    </cfRule>
    <cfRule type="expression" dxfId="617" priority="184">
      <formula>X1&gt;=23/32</formula>
    </cfRule>
    <cfRule type="expression" dxfId="616" priority="185">
      <formula>X1&gt;=22/32</formula>
    </cfRule>
    <cfRule type="expression" dxfId="615" priority="186">
      <formula>X1&gt;=21/32</formula>
    </cfRule>
    <cfRule type="expression" dxfId="614" priority="187">
      <formula>X1&gt;=20/32</formula>
    </cfRule>
    <cfRule type="expression" dxfId="613" priority="188">
      <formula>X1&gt;=19/32</formula>
    </cfRule>
    <cfRule type="expression" dxfId="612" priority="189">
      <formula>X1&gt;=0</formula>
    </cfRule>
  </conditionalFormatting>
  <conditionalFormatting sqref="AC1:AC1048576">
    <cfRule type="expression" dxfId="611" priority="134">
      <formula>AC1&gt;=31/80</formula>
    </cfRule>
    <cfRule type="expression" dxfId="610" priority="135">
      <formula>AC1&gt;=30/80</formula>
    </cfRule>
    <cfRule type="expression" dxfId="609" priority="136">
      <formula>AC1&gt;=29/80</formula>
    </cfRule>
    <cfRule type="expression" dxfId="608" priority="137">
      <formula>AC1&gt;=28/80</formula>
    </cfRule>
    <cfRule type="expression" dxfId="607" priority="138">
      <formula>AC1&gt;=27/80</formula>
    </cfRule>
    <cfRule type="expression" dxfId="606" priority="139">
      <formula>AC1&gt;=26/80</formula>
    </cfRule>
    <cfRule type="expression" dxfId="605" priority="140">
      <formula>AC1&gt;=25/80</formula>
    </cfRule>
    <cfRule type="expression" dxfId="604" priority="141">
      <formula>AC1&gt;=24/80</formula>
    </cfRule>
    <cfRule type="expression" dxfId="603" priority="142">
      <formula>AC1&gt;=23/80</formula>
    </cfRule>
    <cfRule type="expression" dxfId="602" priority="143">
      <formula>AC1&gt;=22/80</formula>
    </cfRule>
    <cfRule type="expression" dxfId="601" priority="144">
      <formula>AC1&gt;=21/80</formula>
    </cfRule>
    <cfRule type="expression" dxfId="600" priority="145">
      <formula>AC1&gt;=20/80</formula>
    </cfRule>
    <cfRule type="expression" dxfId="599" priority="146">
      <formula>AC1&gt;=19/80</formula>
    </cfRule>
    <cfRule type="expression" dxfId="598" priority="147">
      <formula>AC1&gt;=0</formula>
    </cfRule>
  </conditionalFormatting>
  <conditionalFormatting sqref="P1:P1048576">
    <cfRule type="expression" dxfId="597" priority="120">
      <formula>P1&lt;IF(D1="BEG",18,IF(D1="INT",70,200))/7.5</formula>
    </cfRule>
    <cfRule type="expression" dxfId="596" priority="121">
      <formula>P1&lt;IF(D1="BEG",18,IF(D1="INT",70,200))/7</formula>
    </cfRule>
    <cfRule type="expression" dxfId="595" priority="122">
      <formula>P1&lt;IF(D1="BEG",18,IF(D1="INT",70,200))/6.5</formula>
    </cfRule>
    <cfRule type="expression" dxfId="594" priority="123">
      <formula>P1&lt;IF(D1="BEG",18,IF(D1="INT",70,200))/6</formula>
    </cfRule>
    <cfRule type="expression" dxfId="593" priority="124">
      <formula>P1&lt;IF(D1="BEG",18,IF(D1="INT",70,200))/5.5</formula>
    </cfRule>
    <cfRule type="expression" dxfId="592" priority="125">
      <formula>P1&lt;IF(D1="BEG",18,IF(D1="INT",70,200))/5</formula>
    </cfRule>
    <cfRule type="expression" dxfId="591" priority="126">
      <formula>P1&lt;IF(D1="BEG",18,IF(D1="INT",70,200))/4.5</formula>
    </cfRule>
    <cfRule type="expression" dxfId="590" priority="127">
      <formula>P1&lt;IF(D1="BEG",18,IF(D1="INT",70,200))/4</formula>
    </cfRule>
    <cfRule type="expression" dxfId="589" priority="128">
      <formula>P1&lt;IF(D1="BEG",18,IF(D1="INT",70,200))/3.5</formula>
    </cfRule>
    <cfRule type="expression" dxfId="588" priority="129">
      <formula>P1&lt;IF(D1="BEG",18,IF(D1="INT",70,200))/3</formula>
    </cfRule>
    <cfRule type="expression" dxfId="587" priority="130">
      <formula>P1&lt;IF(D1="BEG",18,IF(D1="INT",70,200))/2.5</formula>
    </cfRule>
    <cfRule type="expression" dxfId="586" priority="131">
      <formula>P1&lt;IF(D1="BEG",18,IF(D1="INT",70,200))/2</formula>
    </cfRule>
    <cfRule type="expression" dxfId="585" priority="132">
      <formula>P1&lt;IF(D1="BEG",18,IF(D1="INT",70,200))/1.5</formula>
    </cfRule>
    <cfRule type="expression" dxfId="584" priority="133">
      <formula>P1&gt;=0</formula>
    </cfRule>
  </conditionalFormatting>
  <conditionalFormatting sqref="AF35:AF45">
    <cfRule type="dataBar" priority="808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{9EA51023-A720-42B5-9B14-6E39217088BB}</x14:id>
        </ext>
      </extLst>
    </cfRule>
  </conditionalFormatting>
  <conditionalFormatting sqref="BD35:BD45">
    <cfRule type="dataBar" priority="808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{9F7B5AE9-EFAB-45CB-B62F-B9AF4703E9D2}</x14:id>
        </ext>
      </extLst>
    </cfRule>
  </conditionalFormatting>
  <conditionalFormatting sqref="BC35:BC45">
    <cfRule type="dataBar" priority="808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{D464E61E-1966-462F-B6C3-9F5C9063EFA1}</x14:id>
        </ext>
      </extLst>
    </cfRule>
  </conditionalFormatting>
  <conditionalFormatting sqref="AF24:AF34">
    <cfRule type="dataBar" priority="812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{07AEBA55-9EEC-4915-B004-06E125C37216}</x14:id>
        </ext>
      </extLst>
    </cfRule>
  </conditionalFormatting>
  <conditionalFormatting sqref="BD24:BD34">
    <cfRule type="dataBar" priority="812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{9DEAB8E7-A2CD-4886-84A9-7482E58F76C4}</x14:id>
        </ext>
      </extLst>
    </cfRule>
  </conditionalFormatting>
  <conditionalFormatting sqref="BE24:BE34">
    <cfRule type="dataBar" priority="812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{CED2B64F-C43D-48E6-A39A-0CDC09A47476}</x14:id>
        </ext>
      </extLst>
    </cfRule>
  </conditionalFormatting>
  <conditionalFormatting sqref="BC24:BC34">
    <cfRule type="dataBar" priority="812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{D61A655F-DF1F-45E4-A867-FCEB19E8AC00}</x14:id>
        </ext>
      </extLst>
    </cfRule>
  </conditionalFormatting>
  <conditionalFormatting sqref="AF13:AF23">
    <cfRule type="dataBar" priority="81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{1255B974-58CE-4D3E-94AC-7DCD28EFD1B7}</x14:id>
        </ext>
      </extLst>
    </cfRule>
  </conditionalFormatting>
  <conditionalFormatting sqref="BD13:BD23">
    <cfRule type="dataBar" priority="81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{48883B8E-6DC7-46A0-AF34-F4367714CE68}</x14:id>
        </ext>
      </extLst>
    </cfRule>
  </conditionalFormatting>
  <conditionalFormatting sqref="BE13:BE23">
    <cfRule type="dataBar" priority="8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{0CFC5E84-26AA-47F6-9FFB-A7E1CB82E2E9}</x14:id>
        </ext>
      </extLst>
    </cfRule>
  </conditionalFormatting>
  <conditionalFormatting sqref="BC13:BC23">
    <cfRule type="dataBar" priority="8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{4CEFBB97-FC9F-4ABF-99D5-2DC0DE52CF80}</x14:id>
        </ext>
      </extLst>
    </cfRule>
  </conditionalFormatting>
  <conditionalFormatting sqref="AF2:AF12">
    <cfRule type="dataBar" priority="819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{2FD232BA-B657-41C0-8BD0-FA0302948B0C}</x14:id>
        </ext>
      </extLst>
    </cfRule>
  </conditionalFormatting>
  <conditionalFormatting sqref="BD2:BD12">
    <cfRule type="dataBar" priority="81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{C98234C9-F19D-40E3-BEE8-59526736C7C2}</x14:id>
        </ext>
      </extLst>
    </cfRule>
  </conditionalFormatting>
  <conditionalFormatting sqref="BE2:BE12">
    <cfRule type="dataBar" priority="819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{CDD7D101-13C3-4A16-8DFE-B2385B2C4157}</x14:id>
        </ext>
      </extLst>
    </cfRule>
  </conditionalFormatting>
  <conditionalFormatting sqref="BC2:BC12">
    <cfRule type="dataBar" priority="81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{9B67D924-85AF-4991-8D31-E2A3F73A6640}</x14:id>
        </ext>
      </extLst>
    </cfRule>
  </conditionalFormatting>
  <conditionalFormatting sqref="AG1:AP1048576">
    <cfRule type="cellIs" dxfId="583" priority="5" operator="greaterThan">
      <formula>19</formula>
    </cfRule>
    <cfRule type="cellIs" dxfId="582" priority="6" operator="greaterThan">
      <formula>9</formula>
    </cfRule>
    <cfRule type="cellIs" dxfId="581" priority="7" operator="greaterThan">
      <formula>4</formula>
    </cfRule>
    <cfRule type="cellIs" dxfId="580" priority="8" operator="greaterThan">
      <formula>0</formula>
    </cfRule>
  </conditionalFormatting>
  <conditionalFormatting sqref="AR1:BA1048576">
    <cfRule type="cellIs" dxfId="579" priority="1" operator="greaterThan">
      <formula>19</formula>
    </cfRule>
    <cfRule type="cellIs" dxfId="578" priority="2" operator="greaterThan">
      <formula>9</formula>
    </cfRule>
    <cfRule type="cellIs" dxfId="577" priority="3" operator="greaterThan">
      <formula>4</formula>
    </cfRule>
    <cfRule type="cellIs" dxfId="576" priority="4" operator="greater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A51023-A720-42B5-9B14-6E39217088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AF35:AF45</xm:sqref>
        </x14:conditionalFormatting>
        <x14:conditionalFormatting xmlns:xm="http://schemas.microsoft.com/office/excel/2006/main">
          <x14:cfRule type="dataBar" id="{9F7B5AE9-EFAB-45CB-B62F-B9AF4703E9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BD35:BD45</xm:sqref>
        </x14:conditionalFormatting>
        <x14:conditionalFormatting xmlns:xm="http://schemas.microsoft.com/office/excel/2006/main">
          <x14:cfRule type="dataBar" id="{D464E61E-1966-462F-B6C3-9F5C9063EF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BC35:BC45</xm:sqref>
        </x14:conditionalFormatting>
        <x14:conditionalFormatting xmlns:xm="http://schemas.microsoft.com/office/excel/2006/main">
          <x14:cfRule type="dataBar" id="{07AEBA55-9EEC-4915-B004-06E125C372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AF24:AF34</xm:sqref>
        </x14:conditionalFormatting>
        <x14:conditionalFormatting xmlns:xm="http://schemas.microsoft.com/office/excel/2006/main">
          <x14:cfRule type="dataBar" id="{9DEAB8E7-A2CD-4886-84A9-7482E58F76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BD24:BD34</xm:sqref>
        </x14:conditionalFormatting>
        <x14:conditionalFormatting xmlns:xm="http://schemas.microsoft.com/office/excel/2006/main">
          <x14:cfRule type="dataBar" id="{CED2B64F-C43D-48E6-A39A-0CDC09A474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BE24:BE34</xm:sqref>
        </x14:conditionalFormatting>
        <x14:conditionalFormatting xmlns:xm="http://schemas.microsoft.com/office/excel/2006/main">
          <x14:cfRule type="dataBar" id="{D61A655F-DF1F-45E4-A867-FCEB19E8AC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BC24:BC34</xm:sqref>
        </x14:conditionalFormatting>
        <x14:conditionalFormatting xmlns:xm="http://schemas.microsoft.com/office/excel/2006/main">
          <x14:cfRule type="dataBar" id="{1255B974-58CE-4D3E-94AC-7DCD28EFD1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AF13:AF23</xm:sqref>
        </x14:conditionalFormatting>
        <x14:conditionalFormatting xmlns:xm="http://schemas.microsoft.com/office/excel/2006/main">
          <x14:cfRule type="dataBar" id="{48883B8E-6DC7-46A0-AF34-F4367714CE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BD13:BD23</xm:sqref>
        </x14:conditionalFormatting>
        <x14:conditionalFormatting xmlns:xm="http://schemas.microsoft.com/office/excel/2006/main">
          <x14:cfRule type="dataBar" id="{0CFC5E84-26AA-47F6-9FFB-A7E1CB82E2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BE13:BE23</xm:sqref>
        </x14:conditionalFormatting>
        <x14:conditionalFormatting xmlns:xm="http://schemas.microsoft.com/office/excel/2006/main">
          <x14:cfRule type="dataBar" id="{4CEFBB97-FC9F-4ABF-99D5-2DC0DE52CF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BC13:BC23</xm:sqref>
        </x14:conditionalFormatting>
        <x14:conditionalFormatting xmlns:xm="http://schemas.microsoft.com/office/excel/2006/main">
          <x14:cfRule type="dataBar" id="{2FD232BA-B657-41C0-8BD0-FA0302948B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AF2:AF12</xm:sqref>
        </x14:conditionalFormatting>
        <x14:conditionalFormatting xmlns:xm="http://schemas.microsoft.com/office/excel/2006/main">
          <x14:cfRule type="dataBar" id="{C98234C9-F19D-40E3-BEE8-59526736C7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BD2:BD12</xm:sqref>
        </x14:conditionalFormatting>
        <x14:conditionalFormatting xmlns:xm="http://schemas.microsoft.com/office/excel/2006/main">
          <x14:cfRule type="dataBar" id="{CDD7D101-13C3-4A16-8DFE-B2385B2C41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BE2:BE12</xm:sqref>
        </x14:conditionalFormatting>
        <x14:conditionalFormatting xmlns:xm="http://schemas.microsoft.com/office/excel/2006/main">
          <x14:cfRule type="dataBar" id="{9B67D924-85AF-4991-8D31-E2A3F73A66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BC2:BC12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F88D-E25B-469E-B629-4C9D2EF48BA8}">
  <sheetPr codeName="Sheet13">
    <tabColor rgb="FFE92B32"/>
  </sheetPr>
  <dimension ref="A1:BE42"/>
  <sheetViews>
    <sheetView workbookViewId="0">
      <pane xSplit="4" ySplit="1" topLeftCell="E18" activePane="bottomRight" state="frozen"/>
      <selection pane="topRight" activeCell="E1" sqref="E1"/>
      <selection pane="bottomLeft" activeCell="A2" sqref="A2"/>
      <selection pane="bottomRight"/>
    </sheetView>
  </sheetViews>
  <sheetFormatPr defaultColWidth="9" defaultRowHeight="13.2" x14ac:dyDescent="0.25"/>
  <cols>
    <col min="1" max="1" width="5.5546875" style="11" bestFit="1" customWidth="1"/>
    <col min="2" max="2" width="3.44140625" style="11" bestFit="1" customWidth="1"/>
    <col min="3" max="3" width="3.5546875" style="11" bestFit="1" customWidth="1"/>
    <col min="4" max="4" width="5.33203125" style="34" hidden="1" customWidth="1"/>
    <col min="5" max="5" width="5.33203125" style="11" bestFit="1" customWidth="1"/>
    <col min="6" max="6" width="6.5546875" style="11" hidden="1" customWidth="1"/>
    <col min="7" max="7" width="9.5546875" style="11" hidden="1" customWidth="1"/>
    <col min="8" max="8" width="8.5546875" style="11" hidden="1" customWidth="1"/>
    <col min="9" max="9" width="7.5546875" style="11" hidden="1" customWidth="1"/>
    <col min="10" max="11" width="6.5546875" style="11" hidden="1" customWidth="1"/>
    <col min="12" max="13" width="5.5546875" style="11" hidden="1" customWidth="1"/>
    <col min="14" max="14" width="7.5546875" style="11" hidden="1" customWidth="1"/>
    <col min="15" max="15" width="6.6640625" style="21" bestFit="1" customWidth="1"/>
    <col min="16" max="16" width="6.77734375" style="12" bestFit="1" customWidth="1"/>
    <col min="17" max="17" width="6.6640625" style="33" bestFit="1" customWidth="1"/>
    <col min="18" max="18" width="6.77734375" style="20" bestFit="1" customWidth="1"/>
    <col min="19" max="19" width="6.6640625" style="33" bestFit="1" customWidth="1"/>
    <col min="20" max="20" width="7.6640625" style="33" hidden="1" customWidth="1"/>
    <col min="21" max="23" width="6.6640625" style="34" bestFit="1" customWidth="1"/>
    <col min="24" max="26" width="6.6640625" style="33" bestFit="1" customWidth="1"/>
    <col min="27" max="27" width="5.21875" style="35" bestFit="1" customWidth="1"/>
    <col min="28" max="28" width="5.6640625" style="34" bestFit="1" customWidth="1"/>
    <col min="29" max="29" width="6.6640625" style="33" bestFit="1" customWidth="1"/>
    <col min="30" max="30" width="5.6640625" style="21" bestFit="1" customWidth="1"/>
    <col min="31" max="31" width="5.5546875" style="470" bestFit="1" customWidth="1"/>
    <col min="32" max="32" width="9" style="12" bestFit="1" customWidth="1"/>
    <col min="33" max="42" width="3.77734375" style="353" customWidth="1"/>
    <col min="43" max="43" width="6.109375" style="35" bestFit="1" customWidth="1"/>
    <col min="44" max="48" width="4.77734375" style="353" customWidth="1"/>
    <col min="49" max="53" width="5" style="510" bestFit="1" customWidth="1"/>
    <col min="54" max="55" width="6.109375" style="35" bestFit="1" customWidth="1"/>
    <col min="56" max="57" width="9" style="34" bestFit="1" customWidth="1"/>
    <col min="58" max="16384" width="9" style="19"/>
  </cols>
  <sheetData>
    <row r="1" spans="1:57" x14ac:dyDescent="0.25">
      <c r="A1" s="22" t="str">
        <f>Mon!A1</f>
        <v>年</v>
      </c>
      <c r="B1" s="22" t="str">
        <f>Mon!B1</f>
        <v>月</v>
      </c>
      <c r="C1" s="22" t="str">
        <f>Mon!B1</f>
        <v>月</v>
      </c>
      <c r="D1" s="23" t="str">
        <f>Mon!C1</f>
        <v>级别</v>
      </c>
      <c r="E1" s="24" t="str">
        <f>Mon!D1</f>
        <v>局数</v>
      </c>
      <c r="F1" s="24" t="s">
        <v>424</v>
      </c>
      <c r="G1" s="24" t="s">
        <v>425</v>
      </c>
      <c r="H1" s="24" t="s">
        <v>426</v>
      </c>
      <c r="I1" s="24" t="s">
        <v>427</v>
      </c>
      <c r="J1" s="24" t="s">
        <v>428</v>
      </c>
      <c r="K1" s="24" t="s">
        <v>429</v>
      </c>
      <c r="L1" s="24" t="s">
        <v>431</v>
      </c>
      <c r="M1" s="24" t="s">
        <v>432</v>
      </c>
      <c r="N1" s="22" t="s">
        <v>430</v>
      </c>
      <c r="O1" s="25" t="s">
        <v>288</v>
      </c>
      <c r="P1" s="26" t="s">
        <v>6</v>
      </c>
      <c r="Q1" s="27" t="s">
        <v>2</v>
      </c>
      <c r="R1" s="28" t="s">
        <v>34</v>
      </c>
      <c r="S1" s="27" t="s">
        <v>33</v>
      </c>
      <c r="T1" s="27" t="s">
        <v>0</v>
      </c>
      <c r="U1" s="23" t="s">
        <v>289</v>
      </c>
      <c r="V1" s="38" t="s">
        <v>446</v>
      </c>
      <c r="W1" s="38" t="s">
        <v>447</v>
      </c>
      <c r="X1" s="27" t="s">
        <v>4</v>
      </c>
      <c r="Y1" s="27" t="s">
        <v>5</v>
      </c>
      <c r="Z1" s="27" t="str">
        <f>Mon!Y1</f>
        <v>IOE</v>
      </c>
      <c r="AA1" s="29" t="s">
        <v>8</v>
      </c>
      <c r="AB1" s="23" t="str">
        <f>Mon!AA1</f>
        <v>移速</v>
      </c>
      <c r="AC1" s="27" t="str">
        <f>Mon!AB1</f>
        <v>IOME</v>
      </c>
      <c r="AD1" s="25" t="str">
        <f>Mon!AC1</f>
        <v>风骚</v>
      </c>
      <c r="AE1" s="471" t="str">
        <f>Mon!AD1</f>
        <v>天数</v>
      </c>
      <c r="AF1" s="14" t="str">
        <f>Mon!AE1</f>
        <v>局/天</v>
      </c>
      <c r="AG1" s="351" t="s">
        <v>76</v>
      </c>
      <c r="AH1" s="351" t="s">
        <v>77</v>
      </c>
      <c r="AI1" s="351" t="s">
        <v>78</v>
      </c>
      <c r="AJ1" s="351" t="s">
        <v>79</v>
      </c>
      <c r="AK1" s="351" t="s">
        <v>96</v>
      </c>
      <c r="AL1" s="351" t="s">
        <v>71</v>
      </c>
      <c r="AM1" s="351" t="s">
        <v>97</v>
      </c>
      <c r="AN1" s="351" t="s">
        <v>98</v>
      </c>
      <c r="AO1" s="351" t="s">
        <v>99</v>
      </c>
      <c r="AP1" s="351" t="s">
        <v>100</v>
      </c>
      <c r="AQ1" s="30" t="str">
        <f>Mon!AP1</f>
        <v>价值</v>
      </c>
      <c r="AR1" s="351" t="s">
        <v>568</v>
      </c>
      <c r="AS1" s="351" t="s">
        <v>569</v>
      </c>
      <c r="AT1" s="511" t="s">
        <v>558</v>
      </c>
      <c r="AU1" s="511" t="s">
        <v>559</v>
      </c>
      <c r="AV1" s="511" t="s">
        <v>560</v>
      </c>
      <c r="AW1" s="511" t="s">
        <v>561</v>
      </c>
      <c r="AX1" s="511" t="s">
        <v>562</v>
      </c>
      <c r="AY1" s="511" t="s">
        <v>563</v>
      </c>
      <c r="AZ1" s="511" t="s">
        <v>564</v>
      </c>
      <c r="BA1" s="511" t="s">
        <v>565</v>
      </c>
      <c r="BB1" s="30" t="str">
        <f>Mon!BA1</f>
        <v>价值</v>
      </c>
      <c r="BC1" s="30" t="str">
        <f>Mon!BB1</f>
        <v>表现</v>
      </c>
      <c r="BD1" s="38" t="str">
        <f>Mon!BC1</f>
        <v>表现/天</v>
      </c>
      <c r="BE1" s="38" t="str">
        <f>Mon!BD1</f>
        <v>表现/局</v>
      </c>
    </row>
    <row r="2" spans="1:57" x14ac:dyDescent="0.25">
      <c r="A2" s="549">
        <f t="shared" ref="A2:C10" si="0">A12</f>
        <v>2016</v>
      </c>
      <c r="B2" s="549">
        <f t="shared" si="0"/>
        <v>1</v>
      </c>
      <c r="C2" s="549">
        <f t="shared" si="0"/>
        <v>6</v>
      </c>
      <c r="D2" s="558" t="s">
        <v>38</v>
      </c>
      <c r="E2" s="544">
        <f ca="1">COUNTIFS(OFFSET(Arb!$C$2,,,Arb!$AJ$36,),$A2,OFFSET(Arb!$AI$2,,,Arb!$AJ$36,),TRUE,OFFSET(Arb!$B$2,,,Arb!$AJ$36,),"&gt;="&amp;$B2,OFFSET(Arb!$B$2,,,Arb!$AJ$36,),"&lt;="&amp;$C2)</f>
        <v>0</v>
      </c>
      <c r="F2" s="544">
        <f ca="1">SUMIFS(OFFSET(Arb!$I$2,,,Arb!$AJ$36,),OFFSET(Arb!$C$2,,,Arb!$AJ$36,),$A2,OFFSET(Arb!$AI$2,,,Arb!$AJ$36,),TRUE,OFFSET(Arb!$B$2,,,Arb!$AJ$36,),"&gt;="&amp;$B2,OFFSET(Arb!$B$2,,,Arb!$AJ$36,),"&lt;="&amp;$C2)</f>
        <v>0</v>
      </c>
      <c r="G2" s="544">
        <f ca="1">SUMIFS(OFFSET(Arb!$H$2,,,Arb!$AJ$36,),OFFSET(Arb!$C$2,,,Arb!$AJ$36,),$A2,OFFSET(Arb!$AI$2,,,Arb!$AJ$36,),TRUE,OFFSET(Arb!$B$2,,,Arb!$AJ$36,),"&gt;="&amp;$B2,OFFSET(Arb!$B$2,,,Arb!$AJ$36,),"&lt;="&amp;$C2)</f>
        <v>0</v>
      </c>
      <c r="H2" s="544">
        <f ca="1">SUMIFS(OFFSET(Arb!$AC$2,,,Arb!$AJ$36,),OFFSET(Arb!$C$2,,,Arb!$AJ$36,),$A2,OFFSET(Arb!$AI$2,,,Arb!$AJ$36,),TRUE,OFFSET(Arb!$B$2,,,Arb!$AJ$36,),"&gt;="&amp;$B2,OFFSET(Arb!$B$2,,,Arb!$AJ$36,),"&lt;="&amp;$C2)</f>
        <v>0</v>
      </c>
      <c r="I2" s="544">
        <f ca="1">SUMIFS(OFFSET(Arb!$U$2,,,Arb!$AJ$36,),OFFSET(Arb!$C$2,,,Arb!$AJ$36,),$A2,OFFSET(Arb!$AI$2,,,Arb!$AJ$36,),TRUE,OFFSET(Arb!$B$2,,,Arb!$AJ$36,),"&gt;="&amp;$B2,OFFSET(Arb!$B$2,,,Arb!$AJ$36,),"&lt;="&amp;$C2)</f>
        <v>0</v>
      </c>
      <c r="J2" s="544">
        <f ca="1">SUMIFS(OFFSET(Arb!$V$2,,,Arb!$AJ$36,),OFFSET(Arb!$C$2,,,Arb!$AJ$36,),$A2,OFFSET(Arb!$AI$2,,,Arb!$AJ$36,),TRUE,OFFSET(Arb!$B$2,,,Arb!$AJ$36,),"&gt;="&amp;$B2,OFFSET(Arb!$B$2,,,Arb!$AJ$36,),"&lt;="&amp;$C2)</f>
        <v>0</v>
      </c>
      <c r="K2" s="544">
        <f ca="1">SUMIFS(OFFSET(Arb!$X$2,,,Arb!$AJ$36,),OFFSET(Arb!$C$2,,,Arb!$AJ$36,),$A2,OFFSET(Arb!$AI$2,,,Arb!$AJ$36,),TRUE,OFFSET(Arb!$B$2,,,Arb!$AJ$36,),"&gt;="&amp;$B2,OFFSET(Arb!$B$2,,,Arb!$AJ$36,),"&lt;="&amp;$C2)</f>
        <v>0</v>
      </c>
      <c r="L2" s="544">
        <f ca="1">SUMIFS(OFFSET(Arb!$AA$2,,,Arb!$AJ$36,),OFFSET(Arb!$C$2,,,Arb!$AJ$36,),$A2,OFFSET(Arb!$AI$2,,,Arb!$AJ$36,),TRUE,OFFSET(Arb!$B$2,,,Arb!$AJ$36,),"&gt;="&amp;$B2,OFFSET(Arb!$B$2,,,Arb!$AJ$36,),"&lt;="&amp;$C2)</f>
        <v>0</v>
      </c>
      <c r="M2" s="544">
        <f ca="1">SUMIFS(OFFSET(Arb!$AB$2,,,Arb!$AJ$36,),OFFSET(Arb!$C$2,,,Arb!$AJ$36,),$A2,OFFSET(Arb!$AI$2,,,Arb!$AJ$36,),TRUE,OFFSET(Arb!$B$2,,,Arb!$AJ$36,),"&gt;="&amp;$B2,OFFSET(Arb!$B$2,,,Arb!$AJ$36,),"&lt;="&amp;$C2)</f>
        <v>0</v>
      </c>
      <c r="N2" s="544">
        <f t="shared" ref="N2" ca="1" si="1">I2+J2</f>
        <v>0</v>
      </c>
      <c r="O2" s="546" t="str">
        <f t="shared" ref="O2" ca="1" si="2">IFERROR(F2/E2,"")</f>
        <v/>
      </c>
      <c r="P2" s="12" t="str">
        <f t="shared" ref="P2" ca="1" si="3">IFERROR(G2/E2,"")</f>
        <v/>
      </c>
      <c r="Q2" s="33" t="str">
        <f t="shared" ref="Q2" ca="1" si="4">IFERROR(O2/P2,"")</f>
        <v/>
      </c>
      <c r="R2" s="20" t="str">
        <f t="shared" ref="R2" ca="1" si="5">IFERROR(K2/G2,"")</f>
        <v/>
      </c>
      <c r="S2" s="33" t="str">
        <f t="shared" ref="S2" ca="1" si="6">IFERROR(N2/G2,"")</f>
        <v/>
      </c>
      <c r="T2" s="33" t="str">
        <f t="shared" ref="T2" ca="1" si="7">IFERROR(P2^1.7/O2,"")</f>
        <v/>
      </c>
      <c r="U2" s="34" t="str">
        <f t="shared" ref="U2" ca="1" si="8">IFERROR((IF(D2="beg",47.299,0)+IF(D2="int",153.73,0)+IF(D2="exp",435.001,0))/T2,"")</f>
        <v/>
      </c>
      <c r="V2" s="34" t="str">
        <f t="shared" ref="V2" ca="1" si="9">IFERROR(L2/E2,"")</f>
        <v/>
      </c>
      <c r="W2" s="34" t="str">
        <f t="shared" ref="W2" ca="1" si="10">IFERROR(M2/E2,"")</f>
        <v/>
      </c>
      <c r="X2" s="33" t="str">
        <f t="shared" ref="X2" ca="1" si="11">IFERROR(R2/S2,"")</f>
        <v/>
      </c>
      <c r="Y2" s="33" t="str">
        <f t="shared" ref="Y2" ca="1" si="12">IFERROR(Q2/R2,"")</f>
        <v/>
      </c>
      <c r="Z2" s="33" t="str">
        <f t="shared" ref="Z2" ca="1" si="13">IFERROR(F2/N2,"")</f>
        <v/>
      </c>
      <c r="AA2" s="550" t="str">
        <f t="shared" ref="AA2" ca="1" si="14">IFERROR(H2/E2/16,"")</f>
        <v/>
      </c>
      <c r="AB2" s="34" t="str">
        <f t="shared" ref="AB2" ca="1" si="15">IFERROR(AA2/P2,"")</f>
        <v/>
      </c>
      <c r="AC2" s="33" t="str">
        <f t="shared" ref="AC2" ca="1" si="16">IFERROR(O2/AA2,"")</f>
        <v/>
      </c>
      <c r="AD2" s="21" t="str">
        <f t="shared" ref="AD2" ca="1" si="17">IFERROR(AB2*R2,"")</f>
        <v/>
      </c>
      <c r="AE2" s="547" t="e">
        <f ca="1">SUM(OFFSET(Arb!AK$36,MATCH(A2,OFFSET(Arb!AK$36,,,23,),0)-1,B2,1,6))</f>
        <v>#N/A</v>
      </c>
      <c r="AF2" s="12" t="e">
        <f t="shared" ref="AF2" ca="1" si="18">E2/AE2</f>
        <v>#N/A</v>
      </c>
      <c r="AG2" s="547">
        <f ca="1">COUNTIFS(BV!$H$2:$H$54,"&gt;=" &amp; DATE($A2,$B2,1),BV!$H$2:$H$54,"&lt;" &amp; DATE($A2,$C2+1,1))</f>
        <v>0</v>
      </c>
      <c r="AH2" s="547">
        <f ca="1">COUNTIFS(BV!$P$2:$P$54,"&gt;=" &amp; DATE($A2,$B2,1),BV!$P$2:$P$54,"&lt;" &amp; DATE($A2,$C2+1,1))</f>
        <v>0</v>
      </c>
      <c r="AI2" s="547">
        <f ca="1">COUNTIFS(BV!$X$2:$X$54,"&gt;=" &amp; DATE($A2,$B2,1),BV!$X$2:$X$54,"&lt;" &amp; DATE($A2,$C2+1,1))</f>
        <v>0</v>
      </c>
      <c r="AJ2" s="547">
        <f ca="1">COUNTIFS(BV!$AF$2:$AF$54,"&gt;=" &amp; DATE($A2,$B2,1),BV!$AF$2:$AF$54,"&lt;" &amp; DATE($A2,$C2+1,1))</f>
        <v>0</v>
      </c>
      <c r="AK2" s="547">
        <f ca="1">COUNTIFS(BV!$AN$2:$AN$54,"&gt;=" &amp; DATE($A2,$B2,1),BV!$AN$2:$AN$54,"&lt;" &amp; DATE($A2,$C2+1,1))</f>
        <v>0</v>
      </c>
      <c r="AL2" s="547">
        <f ca="1">COUNTIFS(BV!$AV$2:$AV$54,"&gt;=" &amp; DATE($A2,$B2,1),BV!$AV$2:$AV$54,"&lt;" &amp; DATE($A2,$C2+1,1))</f>
        <v>0</v>
      </c>
      <c r="AM2" s="547">
        <f ca="1">COUNTIFS(BV!$BD$2:$BD$54,"&gt;=" &amp; DATE($A2,$B2,1),BV!$BD$2:$BD$54,"&lt;" &amp; DATE($A2,$C2+1,1))</f>
        <v>0</v>
      </c>
      <c r="AN2" s="547">
        <f ca="1">COUNTIFS(BV!$BL$2:$BL$54,"&gt;=" &amp; DATE($A2,$B2,1),BV!$BL$2:$BL$54,"&lt;" &amp; DATE($A2,$C2+1,1))</f>
        <v>0</v>
      </c>
      <c r="AO2" s="547">
        <f ca="1">COUNTIFS(BV!$BT$2:$BT$54,"&gt;=" &amp; DATE($A2,$B2,1),BV!$BT$2:$BT$54,"&lt;" &amp; DATE($A2,$C2+1,1))</f>
        <v>0</v>
      </c>
      <c r="AP2" s="547">
        <f ca="1">COUNTIFS(BV!$CB$2:$CB$54,"&gt;=" &amp; DATE($A2,$B2,1),BV!$CB$2:$CB$54,"&lt;" &amp; DATE($A2,$C2+1,1))</f>
        <v>0</v>
      </c>
      <c r="AQ2" s="35">
        <f t="shared" ref="AQ2" ca="1" si="19">(AG2+AH2/2+AI2/3+AJ2/4+AK2/5+AL2/6+AM2/7+AN2/8+AO2/9+AP2/10)*10</f>
        <v>0</v>
      </c>
      <c r="AR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S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T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U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V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W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X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Y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AZ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BA2" s="547">
        <f ca="1">COUNTIFS(OFFSET(Time!$J$2,(COLUMN()-44)*20,,20,),"&gt;=" &amp; DATE($A2,$B2,1),OFFSET(Time!$J$2,(COLUMN()-44)*20,,20,),"&lt;" &amp; DATE($A2,$C2+1,1))+COUNTIFS(OFFSET(Bvs!$J$2,(COLUMN()-44)*20,,20,),"&gt;=" &amp; DATE($A2,$B2,1),OFFSET(Bvs!$J$2,(COLUMN()-44)*20,,20,),"&lt;" &amp; DATE($A2,$C2+1,1))+COUNTIFS(OFFSET(QG!$J$2,(COLUMN()-44)*20,,20,),"&gt;=" &amp; DATE($A2,$B2,1),OFFSET(QG!$J$2,(COLUMN()-44)*20,,20,),"&lt;" &amp; DATE($A2,$C2+1,1))</f>
        <v>0</v>
      </c>
      <c r="BB2" s="35">
        <f t="shared" ref="BB2" ca="1" si="20">(AR2+AS2/2+AT2/3+AU2/4+AV2/5+AW2/6+AX2/7+AY2/8+AZ2/9+BA2/10)*10</f>
        <v>0</v>
      </c>
      <c r="BC2" s="35">
        <f t="shared" ref="BC2" ca="1" si="21">AQ2+BB2</f>
        <v>0</v>
      </c>
      <c r="BD2" s="34" t="e">
        <f t="shared" ref="BD2" ca="1" si="22">BC2/AE2</f>
        <v>#N/A</v>
      </c>
      <c r="BE2" s="34" t="e">
        <f t="shared" ref="BE2" ca="1" si="23">IF(AF2=0,0,BD2/AF2)</f>
        <v>#N/A</v>
      </c>
    </row>
    <row r="3" spans="1:57" x14ac:dyDescent="0.25">
      <c r="A3" s="31">
        <f t="shared" si="0"/>
        <v>2016</v>
      </c>
      <c r="B3" s="31">
        <f t="shared" si="0"/>
        <v>7</v>
      </c>
      <c r="C3" s="31">
        <f t="shared" si="0"/>
        <v>12</v>
      </c>
      <c r="D3" s="32" t="s">
        <v>38</v>
      </c>
      <c r="E3" s="1">
        <f ca="1">COUNTIFS(OFFSET(Arb!$C$2,,,Arb!$AJ$36,),$A3,OFFSET(Arb!$AI$2,,,Arb!$AJ$36,),TRUE,OFFSET(Arb!$B$2,,,Arb!$AJ$36,),"&gt;="&amp;$B3,OFFSET(Arb!$B$2,,,Arb!$AJ$36,),"&lt;="&amp;$C3)</f>
        <v>0</v>
      </c>
      <c r="F3" s="1">
        <f ca="1">SUMIFS(OFFSET(Arb!$I$2,,,Arb!$AJ$36,),OFFSET(Arb!$C$2,,,Arb!$AJ$36,),$A3,OFFSET(Arb!$AI$2,,,Arb!$AJ$36,),TRUE,OFFSET(Arb!$B$2,,,Arb!$AJ$36,),"&gt;="&amp;$B3,OFFSET(Arb!$B$2,,,Arb!$AJ$36,),"&lt;="&amp;$C3)</f>
        <v>0</v>
      </c>
      <c r="G3" s="1">
        <f ca="1">SUMIFS(OFFSET(Arb!$H$2,,,Arb!$AJ$36,),OFFSET(Arb!$C$2,,,Arb!$AJ$36,),$A3,OFFSET(Arb!$AI$2,,,Arb!$AJ$36,),TRUE,OFFSET(Arb!$B$2,,,Arb!$AJ$36,),"&gt;="&amp;$B3,OFFSET(Arb!$B$2,,,Arb!$AJ$36,),"&lt;="&amp;$C3)</f>
        <v>0</v>
      </c>
      <c r="H3" s="1">
        <f ca="1">SUMIFS(OFFSET(Arb!$AC$2,,,Arb!$AJ$36,),OFFSET(Arb!$C$2,,,Arb!$AJ$36,),$A3,OFFSET(Arb!$AI$2,,,Arb!$AJ$36,),TRUE,OFFSET(Arb!$B$2,,,Arb!$AJ$36,),"&gt;="&amp;$B3,OFFSET(Arb!$B$2,,,Arb!$AJ$36,),"&lt;="&amp;$C3)</f>
        <v>0</v>
      </c>
      <c r="I3" s="1">
        <f ca="1">SUMIFS(OFFSET(Arb!$U$2,,,Arb!$AJ$36,),OFFSET(Arb!$C$2,,,Arb!$AJ$36,),$A3,OFFSET(Arb!$AI$2,,,Arb!$AJ$36,),TRUE,OFFSET(Arb!$B$2,,,Arb!$AJ$36,),"&gt;="&amp;$B3,OFFSET(Arb!$B$2,,,Arb!$AJ$36,),"&lt;="&amp;$C3)</f>
        <v>0</v>
      </c>
      <c r="J3" s="1">
        <f ca="1">SUMIFS(OFFSET(Arb!$V$2,,,Arb!$AJ$36,),OFFSET(Arb!$C$2,,,Arb!$AJ$36,),$A3,OFFSET(Arb!$AI$2,,,Arb!$AJ$36,),TRUE,OFFSET(Arb!$B$2,,,Arb!$AJ$36,),"&gt;="&amp;$B3,OFFSET(Arb!$B$2,,,Arb!$AJ$36,),"&lt;="&amp;$C3)</f>
        <v>0</v>
      </c>
      <c r="K3" s="1">
        <f ca="1">SUMIFS(OFFSET(Arb!$X$2,,,Arb!$AJ$36,),OFFSET(Arb!$C$2,,,Arb!$AJ$36,),$A3,OFFSET(Arb!$AI$2,,,Arb!$AJ$36,),TRUE,OFFSET(Arb!$B$2,,,Arb!$AJ$36,),"&gt;="&amp;$B3,OFFSET(Arb!$B$2,,,Arb!$AJ$36,),"&lt;="&amp;$C3)</f>
        <v>0</v>
      </c>
      <c r="L3" s="1">
        <f ca="1">SUMIFS(OFFSET(Arb!$AA$2,,,Arb!$AJ$36,),OFFSET(Arb!$C$2,,,Arb!$AJ$36,),$A3,OFFSET(Arb!$AI$2,,,Arb!$AJ$36,),TRUE,OFFSET(Arb!$B$2,,,Arb!$AJ$36,),"&gt;="&amp;$B3,OFFSET(Arb!$B$2,,,Arb!$AJ$36,),"&lt;="&amp;$C3)</f>
        <v>0</v>
      </c>
      <c r="M3" s="1">
        <f ca="1">SUMIFS(OFFSET(Arb!$AB$2,,,Arb!$AJ$36,),OFFSET(Arb!$C$2,,,Arb!$AJ$36,),$A3,OFFSET(Arb!$AI$2,,,Arb!$AJ$36,),TRUE,OFFSET(Arb!$B$2,,,Arb!$AJ$36,),"&gt;="&amp;$B3,OFFSET(Arb!$B$2,,,Arb!$AJ$36,),"&lt;="&amp;$C3)</f>
        <v>0</v>
      </c>
      <c r="N3" s="1">
        <f t="shared" ref="N3:N31" ca="1" si="24">I3+J3</f>
        <v>0</v>
      </c>
      <c r="O3" s="39" t="str">
        <f t="shared" ref="O3:O31" ca="1" si="25">IFERROR(F3/E3,"")</f>
        <v/>
      </c>
      <c r="P3" s="12" t="str">
        <f t="shared" ref="P3:P31" ca="1" si="26">IFERROR(G3/E3,"")</f>
        <v/>
      </c>
      <c r="Q3" s="33" t="str">
        <f t="shared" ref="Q3:Q22" ca="1" si="27">IFERROR(O3/P3,"")</f>
        <v/>
      </c>
      <c r="R3" s="20" t="str">
        <f t="shared" ref="R3:R31" ca="1" si="28">IFERROR(K3/G3,"")</f>
        <v/>
      </c>
      <c r="S3" s="33" t="str">
        <f t="shared" ref="S3:S31" ca="1" si="29">IFERROR(N3/G3,"")</f>
        <v/>
      </c>
      <c r="T3" s="33" t="str">
        <f t="shared" ref="T3:T22" ca="1" si="30">IFERROR(P3^1.7/O3,"")</f>
        <v/>
      </c>
      <c r="U3" s="34" t="str">
        <f t="shared" ref="U3:U31" ca="1" si="31">IFERROR((IF(D3="beg",47.299,0)+IF(D3="int",153.73,0)+IF(D3="exp",435.001,0))/T3,"")</f>
        <v/>
      </c>
      <c r="V3" s="34" t="str">
        <f t="shared" ref="V3:V31" ca="1" si="32">IFERROR(L3/E3,"")</f>
        <v/>
      </c>
      <c r="W3" s="34" t="str">
        <f t="shared" ref="W3:W31" ca="1" si="33">IFERROR(M3/E3,"")</f>
        <v/>
      </c>
      <c r="X3" s="33" t="str">
        <f t="shared" ref="X3:X22" ca="1" si="34">IFERROR(R3/S3,"")</f>
        <v/>
      </c>
      <c r="Y3" s="33" t="str">
        <f t="shared" ref="Y3:Y22" ca="1" si="35">IFERROR(Q3/R3,"")</f>
        <v/>
      </c>
      <c r="Z3" s="33" t="str">
        <f t="shared" ref="Z3:Z31" ca="1" si="36">IFERROR(F3/N3,"")</f>
        <v/>
      </c>
      <c r="AA3" s="17" t="str">
        <f t="shared" ref="AA3:AA31" ca="1" si="37">IFERROR(H3/E3/16,"")</f>
        <v/>
      </c>
      <c r="AB3" s="34" t="str">
        <f t="shared" ref="AB3:AB22" ca="1" si="38">IFERROR(AA3/P3,"")</f>
        <v/>
      </c>
      <c r="AC3" s="33" t="str">
        <f t="shared" ref="AC3:AC22" ca="1" si="39">IFERROR(O3/AA3,"")</f>
        <v/>
      </c>
      <c r="AD3" s="21" t="str">
        <f t="shared" ref="AD3:AD31" ca="1" si="40">IFERROR(AB3*R3,"")</f>
        <v/>
      </c>
      <c r="AE3" s="470" t="e">
        <f ca="1">SUM(OFFSET(Arb!AK$36,MATCH(A3,OFFSET(Arb!AK$36,,,23,),0)-1,B3,1,6))</f>
        <v>#N/A</v>
      </c>
      <c r="AF3" s="12" t="e">
        <f t="shared" ref="AF3:AF31" ca="1" si="41">E3/AE3</f>
        <v>#N/A</v>
      </c>
      <c r="AG3" s="353">
        <f ca="1">COUNTIFS(BV!$H$2:$H$54,"&gt;=" &amp; DATE($A3,$B3,1),BV!$H$2:$H$54,"&lt;" &amp; DATE($A3,$C3+1,1))</f>
        <v>0</v>
      </c>
      <c r="AH3" s="353">
        <f ca="1">COUNTIFS(BV!$P$2:$P$54,"&gt;=" &amp; DATE($A3,$B3,1),BV!$P$2:$P$54,"&lt;" &amp; DATE($A3,$C3+1,1))</f>
        <v>0</v>
      </c>
      <c r="AI3" s="353">
        <f ca="1">COUNTIFS(BV!$X$2:$X$54,"&gt;=" &amp; DATE($A3,$B3,1),BV!$X$2:$X$54,"&lt;" &amp; DATE($A3,$C3+1,1))</f>
        <v>0</v>
      </c>
      <c r="AJ3" s="353">
        <f ca="1">COUNTIFS(BV!$AF$2:$AF$54,"&gt;=" &amp; DATE($A3,$B3,1),BV!$AF$2:$AF$54,"&lt;" &amp; DATE($A3,$C3+1,1))</f>
        <v>0</v>
      </c>
      <c r="AK3" s="353">
        <f ca="1">COUNTIFS(BV!$AN$2:$AN$54,"&gt;=" &amp; DATE($A3,$B3,1),BV!$AN$2:$AN$54,"&lt;" &amp; DATE($A3,$C3+1,1))</f>
        <v>0</v>
      </c>
      <c r="AL3" s="353">
        <f ca="1">COUNTIFS(BV!$AV$2:$AV$54,"&gt;=" &amp; DATE($A3,$B3,1),BV!$AV$2:$AV$54,"&lt;" &amp; DATE($A3,$C3+1,1))</f>
        <v>0</v>
      </c>
      <c r="AM3" s="353">
        <f ca="1">COUNTIFS(BV!$BD$2:$BD$54,"&gt;=" &amp; DATE($A3,$B3,1),BV!$BD$2:$BD$54,"&lt;" &amp; DATE($A3,$C3+1,1))</f>
        <v>0</v>
      </c>
      <c r="AN3" s="353">
        <f ca="1">COUNTIFS(BV!$BL$2:$BL$54,"&gt;=" &amp; DATE($A3,$B3,1),BV!$BL$2:$BL$54,"&lt;" &amp; DATE($A3,$C3+1,1))</f>
        <v>0</v>
      </c>
      <c r="AO3" s="353">
        <f ca="1">COUNTIFS(BV!$BT$2:$BT$54,"&gt;=" &amp; DATE($A3,$B3,1),BV!$BT$2:$BT$54,"&lt;" &amp; DATE($A3,$C3+1,1))</f>
        <v>0</v>
      </c>
      <c r="AP3" s="353">
        <f ca="1">COUNTIFS(BV!$CB$2:$CB$54,"&gt;=" &amp; DATE($A3,$B3,1),BV!$CB$2:$CB$54,"&lt;" &amp; DATE($A3,$C3+1,1))</f>
        <v>0</v>
      </c>
      <c r="AQ3" s="35">
        <f t="shared" ref="AQ3:AQ22" ca="1" si="42">(AG3+AH3/2+AI3/3+AJ3/4+AK3/5+AL3/6+AM3/7+AN3/8+AO3/9+AP3/10)*10</f>
        <v>0</v>
      </c>
      <c r="AR3" s="353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S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T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U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V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W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X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Y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AZ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BA3" s="510">
        <f ca="1">COUNTIFS(OFFSET(Time!$J$2,(COLUMN()-44)*20,,20,),"&gt;=" &amp; DATE($A3,$B3,1),OFFSET(Time!$J$2,(COLUMN()-44)*20,,20,),"&lt;" &amp; DATE($A3,$C3+1,1))+COUNTIFS(OFFSET(Bvs!$J$2,(COLUMN()-44)*20,,20,),"&gt;=" &amp; DATE($A3,$B3,1),OFFSET(Bvs!$J$2,(COLUMN()-44)*20,,20,),"&lt;" &amp; DATE($A3,$C3+1,1))+COUNTIFS(OFFSET(QG!$J$2,(COLUMN()-44)*20,,20,),"&gt;=" &amp; DATE($A3,$B3,1),OFFSET(QG!$J$2,(COLUMN()-44)*20,,20,),"&lt;" &amp; DATE($A3,$C3+1,1))</f>
        <v>0</v>
      </c>
      <c r="BB3" s="35">
        <f t="shared" ref="BB3:BB41" ca="1" si="43">(AR3+AS3/2+AT3/3+AU3/4+AV3/5+AW3/6+AX3/7+AY3/8+AZ3/9+BA3/10)*10</f>
        <v>0</v>
      </c>
      <c r="BC3" s="35">
        <f t="shared" ref="BC3:BC41" ca="1" si="44">AQ3+BB3</f>
        <v>0</v>
      </c>
      <c r="BD3" s="34" t="e">
        <f t="shared" ref="BD3:BD22" ca="1" si="45">BC3/AE3</f>
        <v>#N/A</v>
      </c>
      <c r="BE3" s="34" t="e">
        <f t="shared" ref="BE3:BE31" ca="1" si="46">IF(AF3=0,0,BD3/AF3)</f>
        <v>#N/A</v>
      </c>
    </row>
    <row r="4" spans="1:57" x14ac:dyDescent="0.25">
      <c r="A4" s="31">
        <f t="shared" si="0"/>
        <v>2017</v>
      </c>
      <c r="B4" s="31">
        <f t="shared" si="0"/>
        <v>1</v>
      </c>
      <c r="C4" s="31">
        <f t="shared" si="0"/>
        <v>6</v>
      </c>
      <c r="D4" s="32" t="s">
        <v>38</v>
      </c>
      <c r="E4" s="1">
        <f ca="1">COUNTIFS(OFFSET(Arb!$C$2,,,Arb!$AJ$36,),$A4,OFFSET(Arb!$AI$2,,,Arb!$AJ$36,),TRUE,OFFSET(Arb!$B$2,,,Arb!$AJ$36,),"&gt;="&amp;$B4,OFFSET(Arb!$B$2,,,Arb!$AJ$36,),"&lt;="&amp;$C4)</f>
        <v>0</v>
      </c>
      <c r="F4" s="1">
        <f ca="1">SUMIFS(OFFSET(Arb!$I$2,,,Arb!$AJ$36,),OFFSET(Arb!$C$2,,,Arb!$AJ$36,),$A4,OFFSET(Arb!$AI$2,,,Arb!$AJ$36,),TRUE,OFFSET(Arb!$B$2,,,Arb!$AJ$36,),"&gt;="&amp;$B4,OFFSET(Arb!$B$2,,,Arb!$AJ$36,),"&lt;="&amp;$C4)</f>
        <v>0</v>
      </c>
      <c r="G4" s="1">
        <f ca="1">SUMIFS(OFFSET(Arb!$H$2,,,Arb!$AJ$36,),OFFSET(Arb!$C$2,,,Arb!$AJ$36,),$A4,OFFSET(Arb!$AI$2,,,Arb!$AJ$36,),TRUE,OFFSET(Arb!$B$2,,,Arb!$AJ$36,),"&gt;="&amp;$B4,OFFSET(Arb!$B$2,,,Arb!$AJ$36,),"&lt;="&amp;$C4)</f>
        <v>0</v>
      </c>
      <c r="H4" s="1">
        <f ca="1">SUMIFS(OFFSET(Arb!$AC$2,,,Arb!$AJ$36,),OFFSET(Arb!$C$2,,,Arb!$AJ$36,),$A4,OFFSET(Arb!$AI$2,,,Arb!$AJ$36,),TRUE,OFFSET(Arb!$B$2,,,Arb!$AJ$36,),"&gt;="&amp;$B4,OFFSET(Arb!$B$2,,,Arb!$AJ$36,),"&lt;="&amp;$C4)</f>
        <v>0</v>
      </c>
      <c r="I4" s="1">
        <f ca="1">SUMIFS(OFFSET(Arb!$U$2,,,Arb!$AJ$36,),OFFSET(Arb!$C$2,,,Arb!$AJ$36,),$A4,OFFSET(Arb!$AI$2,,,Arb!$AJ$36,),TRUE,OFFSET(Arb!$B$2,,,Arb!$AJ$36,),"&gt;="&amp;$B4,OFFSET(Arb!$B$2,,,Arb!$AJ$36,),"&lt;="&amp;$C4)</f>
        <v>0</v>
      </c>
      <c r="J4" s="1">
        <f ca="1">SUMIFS(OFFSET(Arb!$V$2,,,Arb!$AJ$36,),OFFSET(Arb!$C$2,,,Arb!$AJ$36,),$A4,OFFSET(Arb!$AI$2,,,Arb!$AJ$36,),TRUE,OFFSET(Arb!$B$2,,,Arb!$AJ$36,),"&gt;="&amp;$B4,OFFSET(Arb!$B$2,,,Arb!$AJ$36,),"&lt;="&amp;$C4)</f>
        <v>0</v>
      </c>
      <c r="K4" s="1">
        <f ca="1">SUMIFS(OFFSET(Arb!$X$2,,,Arb!$AJ$36,),OFFSET(Arb!$C$2,,,Arb!$AJ$36,),$A4,OFFSET(Arb!$AI$2,,,Arb!$AJ$36,),TRUE,OFFSET(Arb!$B$2,,,Arb!$AJ$36,),"&gt;="&amp;$B4,OFFSET(Arb!$B$2,,,Arb!$AJ$36,),"&lt;="&amp;$C4)</f>
        <v>0</v>
      </c>
      <c r="L4" s="1">
        <f ca="1">SUMIFS(OFFSET(Arb!$AA$2,,,Arb!$AJ$36,),OFFSET(Arb!$C$2,,,Arb!$AJ$36,),$A4,OFFSET(Arb!$AI$2,,,Arb!$AJ$36,),TRUE,OFFSET(Arb!$B$2,,,Arb!$AJ$36,),"&gt;="&amp;$B4,OFFSET(Arb!$B$2,,,Arb!$AJ$36,),"&lt;="&amp;$C4)</f>
        <v>0</v>
      </c>
      <c r="M4" s="1">
        <f ca="1">SUMIFS(OFFSET(Arb!$AB$2,,,Arb!$AJ$36,),OFFSET(Arb!$C$2,,,Arb!$AJ$36,),$A4,OFFSET(Arb!$AI$2,,,Arb!$AJ$36,),TRUE,OFFSET(Arb!$B$2,,,Arb!$AJ$36,),"&gt;="&amp;$B4,OFFSET(Arb!$B$2,,,Arb!$AJ$36,),"&lt;="&amp;$C4)</f>
        <v>0</v>
      </c>
      <c r="N4" s="1">
        <f t="shared" ca="1" si="24"/>
        <v>0</v>
      </c>
      <c r="O4" s="39" t="str">
        <f t="shared" ca="1" si="25"/>
        <v/>
      </c>
      <c r="P4" s="12" t="str">
        <f t="shared" ca="1" si="26"/>
        <v/>
      </c>
      <c r="Q4" s="33" t="str">
        <f t="shared" ca="1" si="27"/>
        <v/>
      </c>
      <c r="R4" s="20" t="str">
        <f t="shared" ca="1" si="28"/>
        <v/>
      </c>
      <c r="S4" s="33" t="str">
        <f t="shared" ca="1" si="29"/>
        <v/>
      </c>
      <c r="T4" s="33" t="str">
        <f t="shared" ca="1" si="30"/>
        <v/>
      </c>
      <c r="U4" s="34" t="str">
        <f t="shared" ca="1" si="31"/>
        <v/>
      </c>
      <c r="V4" s="34" t="str">
        <f t="shared" ca="1" si="32"/>
        <v/>
      </c>
      <c r="W4" s="34" t="str">
        <f t="shared" ca="1" si="33"/>
        <v/>
      </c>
      <c r="X4" s="33" t="str">
        <f t="shared" ca="1" si="34"/>
        <v/>
      </c>
      <c r="Y4" s="33" t="str">
        <f t="shared" ca="1" si="35"/>
        <v/>
      </c>
      <c r="Z4" s="33" t="str">
        <f t="shared" ca="1" si="36"/>
        <v/>
      </c>
      <c r="AA4" s="17" t="str">
        <f t="shared" ca="1" si="37"/>
        <v/>
      </c>
      <c r="AB4" s="34" t="str">
        <f t="shared" ca="1" si="38"/>
        <v/>
      </c>
      <c r="AC4" s="33" t="str">
        <f t="shared" ca="1" si="39"/>
        <v/>
      </c>
      <c r="AD4" s="21" t="str">
        <f t="shared" ca="1" si="40"/>
        <v/>
      </c>
      <c r="AE4" s="472" t="e">
        <f ca="1">SUM(OFFSET(Arb!AK$36,MATCH(A4,OFFSET(Arb!AK$36,,,23,),0)-1,B4,1,6))</f>
        <v>#N/A</v>
      </c>
      <c r="AF4" s="12" t="e">
        <f t="shared" ca="1" si="41"/>
        <v>#N/A</v>
      </c>
      <c r="AG4" s="353">
        <f ca="1">COUNTIFS(BV!$H$2:$H$54,"&gt;=" &amp; DATE($A4,$B4,1),BV!$H$2:$H$54,"&lt;" &amp; DATE($A4,$C4+1,1))</f>
        <v>0</v>
      </c>
      <c r="AH4" s="353">
        <f ca="1">COUNTIFS(BV!$P$2:$P$54,"&gt;=" &amp; DATE($A4,$B4,1),BV!$P$2:$P$54,"&lt;" &amp; DATE($A4,$C4+1,1))</f>
        <v>0</v>
      </c>
      <c r="AI4" s="353">
        <f ca="1">COUNTIFS(BV!$X$2:$X$54,"&gt;=" &amp; DATE($A4,$B4,1),BV!$X$2:$X$54,"&lt;" &amp; DATE($A4,$C4+1,1))</f>
        <v>0</v>
      </c>
      <c r="AJ4" s="353">
        <f ca="1">COUNTIFS(BV!$AF$2:$AF$54,"&gt;=" &amp; DATE($A4,$B4,1),BV!$AF$2:$AF$54,"&lt;" &amp; DATE($A4,$C4+1,1))</f>
        <v>0</v>
      </c>
      <c r="AK4" s="353">
        <f ca="1">COUNTIFS(BV!$AN$2:$AN$54,"&gt;=" &amp; DATE($A4,$B4,1),BV!$AN$2:$AN$54,"&lt;" &amp; DATE($A4,$C4+1,1))</f>
        <v>0</v>
      </c>
      <c r="AL4" s="353">
        <f ca="1">COUNTIFS(BV!$AV$2:$AV$54,"&gt;=" &amp; DATE($A4,$B4,1),BV!$AV$2:$AV$54,"&lt;" &amp; DATE($A4,$C4+1,1))</f>
        <v>0</v>
      </c>
      <c r="AM4" s="353">
        <f ca="1">COUNTIFS(BV!$BD$2:$BD$54,"&gt;=" &amp; DATE($A4,$B4,1),BV!$BD$2:$BD$54,"&lt;" &amp; DATE($A4,$C4+1,1))</f>
        <v>0</v>
      </c>
      <c r="AN4" s="353">
        <f ca="1">COUNTIFS(BV!$BL$2:$BL$54,"&gt;=" &amp; DATE($A4,$B4,1),BV!$BL$2:$BL$54,"&lt;" &amp; DATE($A4,$C4+1,1))</f>
        <v>0</v>
      </c>
      <c r="AO4" s="353">
        <f ca="1">COUNTIFS(BV!$BT$2:$BT$54,"&gt;=" &amp; DATE($A4,$B4,1),BV!$BT$2:$BT$54,"&lt;" &amp; DATE($A4,$C4+1,1))</f>
        <v>0</v>
      </c>
      <c r="AP4" s="353">
        <f ca="1">COUNTIFS(BV!$CB$2:$CB$54,"&gt;=" &amp; DATE($A4,$B4,1),BV!$CB$2:$CB$54,"&lt;" &amp; DATE($A4,$C4+1,1))</f>
        <v>0</v>
      </c>
      <c r="AQ4" s="35">
        <f t="shared" ca="1" si="42"/>
        <v>0</v>
      </c>
      <c r="AR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S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T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U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V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W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X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Y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AZ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BA4" s="510">
        <f ca="1">COUNTIFS(OFFSET(Time!$J$2,(COLUMN()-44)*20,,20,),"&gt;=" &amp; DATE($A4,$B4,1),OFFSET(Time!$J$2,(COLUMN()-44)*20,,20,),"&lt;" &amp; DATE($A4,$C4+1,1))+COUNTIFS(OFFSET(Bvs!$J$2,(COLUMN()-44)*20,,20,),"&gt;=" &amp; DATE($A4,$B4,1),OFFSET(Bvs!$J$2,(COLUMN()-44)*20,,20,),"&lt;" &amp; DATE($A4,$C4+1,1))+COUNTIFS(OFFSET(QG!$J$2,(COLUMN()-44)*20,,20,),"&gt;=" &amp; DATE($A4,$B4,1),OFFSET(QG!$J$2,(COLUMN()-44)*20,,20,),"&lt;" &amp; DATE($A4,$C4+1,1))</f>
        <v>0</v>
      </c>
      <c r="BB4" s="35">
        <f t="shared" ca="1" si="43"/>
        <v>0</v>
      </c>
      <c r="BC4" s="35">
        <f t="shared" ca="1" si="44"/>
        <v>0</v>
      </c>
      <c r="BD4" s="34" t="e">
        <f t="shared" ca="1" si="45"/>
        <v>#N/A</v>
      </c>
      <c r="BE4" s="34" t="e">
        <f t="shared" ca="1" si="46"/>
        <v>#N/A</v>
      </c>
    </row>
    <row r="5" spans="1:57" x14ac:dyDescent="0.25">
      <c r="A5" s="31">
        <f t="shared" si="0"/>
        <v>2017</v>
      </c>
      <c r="B5" s="31">
        <f t="shared" si="0"/>
        <v>7</v>
      </c>
      <c r="C5" s="31">
        <f t="shared" si="0"/>
        <v>12</v>
      </c>
      <c r="D5" s="32" t="s">
        <v>38</v>
      </c>
      <c r="E5" s="1">
        <f ca="1">COUNTIFS(OFFSET(Arb!$C$2,,,Arb!$AJ$36,),$A5,OFFSET(Arb!$AI$2,,,Arb!$AJ$36,),TRUE,OFFSET(Arb!$B$2,,,Arb!$AJ$36,),"&gt;="&amp;$B5,OFFSET(Arb!$B$2,,,Arb!$AJ$36,),"&lt;="&amp;$C5)</f>
        <v>0</v>
      </c>
      <c r="F5" s="1">
        <f ca="1">SUMIFS(OFFSET(Arb!$I$2,,,Arb!$AJ$36,),OFFSET(Arb!$C$2,,,Arb!$AJ$36,),$A5,OFFSET(Arb!$AI$2,,,Arb!$AJ$36,),TRUE,OFFSET(Arb!$B$2,,,Arb!$AJ$36,),"&gt;="&amp;$B5,OFFSET(Arb!$B$2,,,Arb!$AJ$36,),"&lt;="&amp;$C5)</f>
        <v>0</v>
      </c>
      <c r="G5" s="1">
        <f ca="1">SUMIFS(OFFSET(Arb!$H$2,,,Arb!$AJ$36,),OFFSET(Arb!$C$2,,,Arb!$AJ$36,),$A5,OFFSET(Arb!$AI$2,,,Arb!$AJ$36,),TRUE,OFFSET(Arb!$B$2,,,Arb!$AJ$36,),"&gt;="&amp;$B5,OFFSET(Arb!$B$2,,,Arb!$AJ$36,),"&lt;="&amp;$C5)</f>
        <v>0</v>
      </c>
      <c r="H5" s="1">
        <f ca="1">SUMIFS(OFFSET(Arb!$AC$2,,,Arb!$AJ$36,),OFFSET(Arb!$C$2,,,Arb!$AJ$36,),$A5,OFFSET(Arb!$AI$2,,,Arb!$AJ$36,),TRUE,OFFSET(Arb!$B$2,,,Arb!$AJ$36,),"&gt;="&amp;$B5,OFFSET(Arb!$B$2,,,Arb!$AJ$36,),"&lt;="&amp;$C5)</f>
        <v>0</v>
      </c>
      <c r="I5" s="1">
        <f ca="1">SUMIFS(OFFSET(Arb!$U$2,,,Arb!$AJ$36,),OFFSET(Arb!$C$2,,,Arb!$AJ$36,),$A5,OFFSET(Arb!$AI$2,,,Arb!$AJ$36,),TRUE,OFFSET(Arb!$B$2,,,Arb!$AJ$36,),"&gt;="&amp;$B5,OFFSET(Arb!$B$2,,,Arb!$AJ$36,),"&lt;="&amp;$C5)</f>
        <v>0</v>
      </c>
      <c r="J5" s="1">
        <f ca="1">SUMIFS(OFFSET(Arb!$V$2,,,Arb!$AJ$36,),OFFSET(Arb!$C$2,,,Arb!$AJ$36,),$A5,OFFSET(Arb!$AI$2,,,Arb!$AJ$36,),TRUE,OFFSET(Arb!$B$2,,,Arb!$AJ$36,),"&gt;="&amp;$B5,OFFSET(Arb!$B$2,,,Arb!$AJ$36,),"&lt;="&amp;$C5)</f>
        <v>0</v>
      </c>
      <c r="K5" s="1">
        <f ca="1">SUMIFS(OFFSET(Arb!$X$2,,,Arb!$AJ$36,),OFFSET(Arb!$C$2,,,Arb!$AJ$36,),$A5,OFFSET(Arb!$AI$2,,,Arb!$AJ$36,),TRUE,OFFSET(Arb!$B$2,,,Arb!$AJ$36,),"&gt;="&amp;$B5,OFFSET(Arb!$B$2,,,Arb!$AJ$36,),"&lt;="&amp;$C5)</f>
        <v>0</v>
      </c>
      <c r="L5" s="1">
        <f ca="1">SUMIFS(OFFSET(Arb!$AA$2,,,Arb!$AJ$36,),OFFSET(Arb!$C$2,,,Arb!$AJ$36,),$A5,OFFSET(Arb!$AI$2,,,Arb!$AJ$36,),TRUE,OFFSET(Arb!$B$2,,,Arb!$AJ$36,),"&gt;="&amp;$B5,OFFSET(Arb!$B$2,,,Arb!$AJ$36,),"&lt;="&amp;$C5)</f>
        <v>0</v>
      </c>
      <c r="M5" s="1">
        <f ca="1">SUMIFS(OFFSET(Arb!$AB$2,,,Arb!$AJ$36,),OFFSET(Arb!$C$2,,,Arb!$AJ$36,),$A5,OFFSET(Arb!$AI$2,,,Arb!$AJ$36,),TRUE,OFFSET(Arb!$B$2,,,Arb!$AJ$36,),"&gt;="&amp;$B5,OFFSET(Arb!$B$2,,,Arb!$AJ$36,),"&lt;="&amp;$C5)</f>
        <v>0</v>
      </c>
      <c r="N5" s="1">
        <f t="shared" ca="1" si="24"/>
        <v>0</v>
      </c>
      <c r="O5" s="39" t="str">
        <f t="shared" ca="1" si="25"/>
        <v/>
      </c>
      <c r="P5" s="12" t="str">
        <f t="shared" ca="1" si="26"/>
        <v/>
      </c>
      <c r="Q5" s="33" t="str">
        <f t="shared" ca="1" si="27"/>
        <v/>
      </c>
      <c r="R5" s="20" t="str">
        <f t="shared" ca="1" si="28"/>
        <v/>
      </c>
      <c r="S5" s="33" t="str">
        <f t="shared" ca="1" si="29"/>
        <v/>
      </c>
      <c r="T5" s="33" t="str">
        <f t="shared" ca="1" si="30"/>
        <v/>
      </c>
      <c r="U5" s="34" t="str">
        <f t="shared" ca="1" si="31"/>
        <v/>
      </c>
      <c r="V5" s="34" t="str">
        <f t="shared" ca="1" si="32"/>
        <v/>
      </c>
      <c r="W5" s="34" t="str">
        <f t="shared" ca="1" si="33"/>
        <v/>
      </c>
      <c r="X5" s="33" t="str">
        <f t="shared" ca="1" si="34"/>
        <v/>
      </c>
      <c r="Y5" s="33" t="str">
        <f t="shared" ca="1" si="35"/>
        <v/>
      </c>
      <c r="Z5" s="33" t="str">
        <f t="shared" ca="1" si="36"/>
        <v/>
      </c>
      <c r="AA5" s="17" t="str">
        <f t="shared" ca="1" si="37"/>
        <v/>
      </c>
      <c r="AB5" s="34" t="str">
        <f t="shared" ca="1" si="38"/>
        <v/>
      </c>
      <c r="AC5" s="33" t="str">
        <f t="shared" ca="1" si="39"/>
        <v/>
      </c>
      <c r="AD5" s="21" t="str">
        <f t="shared" ca="1" si="40"/>
        <v/>
      </c>
      <c r="AE5" s="472" t="e">
        <f ca="1">SUM(OFFSET(Arb!AK$36,MATCH(A5,OFFSET(Arb!AK$36,,,23,),0)-1,B5,1,6))</f>
        <v>#N/A</v>
      </c>
      <c r="AF5" s="12" t="e">
        <f t="shared" ca="1" si="41"/>
        <v>#N/A</v>
      </c>
      <c r="AG5" s="353">
        <f ca="1">COUNTIFS(BV!$H$2:$H$54,"&gt;=" &amp; DATE($A5,$B5,1),BV!$H$2:$H$54,"&lt;" &amp; DATE($A5,$C5+1,1))</f>
        <v>0</v>
      </c>
      <c r="AH5" s="353">
        <f ca="1">COUNTIFS(BV!$P$2:$P$54,"&gt;=" &amp; DATE($A5,$B5,1),BV!$P$2:$P$54,"&lt;" &amp; DATE($A5,$C5+1,1))</f>
        <v>0</v>
      </c>
      <c r="AI5" s="353">
        <f ca="1">COUNTIFS(BV!$X$2:$X$54,"&gt;=" &amp; DATE($A5,$B5,1),BV!$X$2:$X$54,"&lt;" &amp; DATE($A5,$C5+1,1))</f>
        <v>0</v>
      </c>
      <c r="AJ5" s="353">
        <f ca="1">COUNTIFS(BV!$AF$2:$AF$54,"&gt;=" &amp; DATE($A5,$B5,1),BV!$AF$2:$AF$54,"&lt;" &amp; DATE($A5,$C5+1,1))</f>
        <v>0</v>
      </c>
      <c r="AK5" s="353">
        <f ca="1">COUNTIFS(BV!$AN$2:$AN$54,"&gt;=" &amp; DATE($A5,$B5,1),BV!$AN$2:$AN$54,"&lt;" &amp; DATE($A5,$C5+1,1))</f>
        <v>0</v>
      </c>
      <c r="AL5" s="353">
        <f ca="1">COUNTIFS(BV!$AV$2:$AV$54,"&gt;=" &amp; DATE($A5,$B5,1),BV!$AV$2:$AV$54,"&lt;" &amp; DATE($A5,$C5+1,1))</f>
        <v>0</v>
      </c>
      <c r="AM5" s="353">
        <f ca="1">COUNTIFS(BV!$BD$2:$BD$54,"&gt;=" &amp; DATE($A5,$B5,1),BV!$BD$2:$BD$54,"&lt;" &amp; DATE($A5,$C5+1,1))</f>
        <v>0</v>
      </c>
      <c r="AN5" s="353">
        <f ca="1">COUNTIFS(BV!$BL$2:$BL$54,"&gt;=" &amp; DATE($A5,$B5,1),BV!$BL$2:$BL$54,"&lt;" &amp; DATE($A5,$C5+1,1))</f>
        <v>0</v>
      </c>
      <c r="AO5" s="353">
        <f ca="1">COUNTIFS(BV!$BT$2:$BT$54,"&gt;=" &amp; DATE($A5,$B5,1),BV!$BT$2:$BT$54,"&lt;" &amp; DATE($A5,$C5+1,1))</f>
        <v>0</v>
      </c>
      <c r="AP5" s="353">
        <f ca="1">COUNTIFS(BV!$CB$2:$CB$54,"&gt;=" &amp; DATE($A5,$B5,1),BV!$CB$2:$CB$54,"&lt;" &amp; DATE($A5,$C5+1,1))</f>
        <v>0</v>
      </c>
      <c r="AQ5" s="35">
        <f t="shared" ca="1" si="42"/>
        <v>0</v>
      </c>
      <c r="AR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S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T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U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V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W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X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Y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AZ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BA5" s="510">
        <f ca="1">COUNTIFS(OFFSET(Time!$J$2,(COLUMN()-44)*20,,20,),"&gt;=" &amp; DATE($A5,$B5,1),OFFSET(Time!$J$2,(COLUMN()-44)*20,,20,),"&lt;" &amp; DATE($A5,$C5+1,1))+COUNTIFS(OFFSET(Bvs!$J$2,(COLUMN()-44)*20,,20,),"&gt;=" &amp; DATE($A5,$B5,1),OFFSET(Bvs!$J$2,(COLUMN()-44)*20,,20,),"&lt;" &amp; DATE($A5,$C5+1,1))+COUNTIFS(OFFSET(QG!$J$2,(COLUMN()-44)*20,,20,),"&gt;=" &amp; DATE($A5,$B5,1),OFFSET(QG!$J$2,(COLUMN()-44)*20,,20,),"&lt;" &amp; DATE($A5,$C5+1,1))</f>
        <v>0</v>
      </c>
      <c r="BB5" s="35">
        <f t="shared" ca="1" si="43"/>
        <v>0</v>
      </c>
      <c r="BC5" s="35">
        <f t="shared" ca="1" si="44"/>
        <v>0</v>
      </c>
      <c r="BD5" s="34" t="e">
        <f t="shared" ca="1" si="45"/>
        <v>#N/A</v>
      </c>
      <c r="BE5" s="34" t="e">
        <f t="shared" ca="1" si="46"/>
        <v>#N/A</v>
      </c>
    </row>
    <row r="6" spans="1:57" x14ac:dyDescent="0.25">
      <c r="A6" s="31">
        <f t="shared" si="0"/>
        <v>2018</v>
      </c>
      <c r="B6" s="31">
        <f t="shared" si="0"/>
        <v>1</v>
      </c>
      <c r="C6" s="31">
        <f t="shared" si="0"/>
        <v>6</v>
      </c>
      <c r="D6" s="32" t="s">
        <v>38</v>
      </c>
      <c r="E6" s="1">
        <f ca="1">COUNTIFS(OFFSET(Arb!$C$2,,,Arb!$AJ$36,),$A6,OFFSET(Arb!$AI$2,,,Arb!$AJ$36,),TRUE,OFFSET(Arb!$B$2,,,Arb!$AJ$36,),"&gt;="&amp;$B6,OFFSET(Arb!$B$2,,,Arb!$AJ$36,),"&lt;="&amp;$C6)</f>
        <v>0</v>
      </c>
      <c r="F6" s="1">
        <f ca="1">SUMIFS(OFFSET(Arb!$I$2,,,Arb!$AJ$36,),OFFSET(Arb!$C$2,,,Arb!$AJ$36,),$A6,OFFSET(Arb!$AI$2,,,Arb!$AJ$36,),TRUE,OFFSET(Arb!$B$2,,,Arb!$AJ$36,),"&gt;="&amp;$B6,OFFSET(Arb!$B$2,,,Arb!$AJ$36,),"&lt;="&amp;$C6)</f>
        <v>0</v>
      </c>
      <c r="G6" s="1">
        <f ca="1">SUMIFS(OFFSET(Arb!$H$2,,,Arb!$AJ$36,),OFFSET(Arb!$C$2,,,Arb!$AJ$36,),$A6,OFFSET(Arb!$AI$2,,,Arb!$AJ$36,),TRUE,OFFSET(Arb!$B$2,,,Arb!$AJ$36,),"&gt;="&amp;$B6,OFFSET(Arb!$B$2,,,Arb!$AJ$36,),"&lt;="&amp;$C6)</f>
        <v>0</v>
      </c>
      <c r="H6" s="1">
        <f ca="1">SUMIFS(OFFSET(Arb!$AC$2,,,Arb!$AJ$36,),OFFSET(Arb!$C$2,,,Arb!$AJ$36,),$A6,OFFSET(Arb!$AI$2,,,Arb!$AJ$36,),TRUE,OFFSET(Arb!$B$2,,,Arb!$AJ$36,),"&gt;="&amp;$B6,OFFSET(Arb!$B$2,,,Arb!$AJ$36,),"&lt;="&amp;$C6)</f>
        <v>0</v>
      </c>
      <c r="I6" s="1">
        <f ca="1">SUMIFS(OFFSET(Arb!$U$2,,,Arb!$AJ$36,),OFFSET(Arb!$C$2,,,Arb!$AJ$36,),$A6,OFFSET(Arb!$AI$2,,,Arb!$AJ$36,),TRUE,OFFSET(Arb!$B$2,,,Arb!$AJ$36,),"&gt;="&amp;$B6,OFFSET(Arb!$B$2,,,Arb!$AJ$36,),"&lt;="&amp;$C6)</f>
        <v>0</v>
      </c>
      <c r="J6" s="1">
        <f ca="1">SUMIFS(OFFSET(Arb!$V$2,,,Arb!$AJ$36,),OFFSET(Arb!$C$2,,,Arb!$AJ$36,),$A6,OFFSET(Arb!$AI$2,,,Arb!$AJ$36,),TRUE,OFFSET(Arb!$B$2,,,Arb!$AJ$36,),"&gt;="&amp;$B6,OFFSET(Arb!$B$2,,,Arb!$AJ$36,),"&lt;="&amp;$C6)</f>
        <v>0</v>
      </c>
      <c r="K6" s="1">
        <f ca="1">SUMIFS(OFFSET(Arb!$X$2,,,Arb!$AJ$36,),OFFSET(Arb!$C$2,,,Arb!$AJ$36,),$A6,OFFSET(Arb!$AI$2,,,Arb!$AJ$36,),TRUE,OFFSET(Arb!$B$2,,,Arb!$AJ$36,),"&gt;="&amp;$B6,OFFSET(Arb!$B$2,,,Arb!$AJ$36,),"&lt;="&amp;$C6)</f>
        <v>0</v>
      </c>
      <c r="L6" s="1">
        <f ca="1">SUMIFS(OFFSET(Arb!$AA$2,,,Arb!$AJ$36,),OFFSET(Arb!$C$2,,,Arb!$AJ$36,),$A6,OFFSET(Arb!$AI$2,,,Arb!$AJ$36,),TRUE,OFFSET(Arb!$B$2,,,Arb!$AJ$36,),"&gt;="&amp;$B6,OFFSET(Arb!$B$2,,,Arb!$AJ$36,),"&lt;="&amp;$C6)</f>
        <v>0</v>
      </c>
      <c r="M6" s="1">
        <f ca="1">SUMIFS(OFFSET(Arb!$AB$2,,,Arb!$AJ$36,),OFFSET(Arb!$C$2,,,Arb!$AJ$36,),$A6,OFFSET(Arb!$AI$2,,,Arb!$AJ$36,),TRUE,OFFSET(Arb!$B$2,,,Arb!$AJ$36,),"&gt;="&amp;$B6,OFFSET(Arb!$B$2,,,Arb!$AJ$36,),"&lt;="&amp;$C6)</f>
        <v>0</v>
      </c>
      <c r="N6" s="1">
        <f t="shared" ca="1" si="24"/>
        <v>0</v>
      </c>
      <c r="O6" s="39" t="str">
        <f t="shared" ca="1" si="25"/>
        <v/>
      </c>
      <c r="P6" s="12" t="str">
        <f t="shared" ca="1" si="26"/>
        <v/>
      </c>
      <c r="Q6" s="33" t="str">
        <f t="shared" ca="1" si="27"/>
        <v/>
      </c>
      <c r="R6" s="20" t="str">
        <f t="shared" ca="1" si="28"/>
        <v/>
      </c>
      <c r="S6" s="33" t="str">
        <f t="shared" ca="1" si="29"/>
        <v/>
      </c>
      <c r="T6" s="33" t="str">
        <f t="shared" ca="1" si="30"/>
        <v/>
      </c>
      <c r="U6" s="34" t="str">
        <f t="shared" ca="1" si="31"/>
        <v/>
      </c>
      <c r="V6" s="34" t="str">
        <f t="shared" ca="1" si="32"/>
        <v/>
      </c>
      <c r="W6" s="34" t="str">
        <f t="shared" ca="1" si="33"/>
        <v/>
      </c>
      <c r="X6" s="33" t="str">
        <f t="shared" ca="1" si="34"/>
        <v/>
      </c>
      <c r="Y6" s="33" t="str">
        <f t="shared" ca="1" si="35"/>
        <v/>
      </c>
      <c r="Z6" s="33" t="str">
        <f t="shared" ca="1" si="36"/>
        <v/>
      </c>
      <c r="AA6" s="17" t="str">
        <f t="shared" ca="1" si="37"/>
        <v/>
      </c>
      <c r="AB6" s="34" t="str">
        <f t="shared" ca="1" si="38"/>
        <v/>
      </c>
      <c r="AC6" s="33" t="str">
        <f t="shared" ca="1" si="39"/>
        <v/>
      </c>
      <c r="AD6" s="21" t="str">
        <f t="shared" ca="1" si="40"/>
        <v/>
      </c>
      <c r="AE6" s="472" t="e">
        <f ca="1">SUM(OFFSET(Arb!AK$36,MATCH(A6,OFFSET(Arb!AK$36,,,23,),0)-1,B6,1,6))</f>
        <v>#N/A</v>
      </c>
      <c r="AF6" s="12" t="e">
        <f t="shared" ca="1" si="41"/>
        <v>#N/A</v>
      </c>
      <c r="AG6" s="353">
        <f ca="1">COUNTIFS(BV!$H$2:$H$54,"&gt;=" &amp; DATE($A6,$B6,1),BV!$H$2:$H$54,"&lt;" &amp; DATE($A6,$C6+1,1))</f>
        <v>0</v>
      </c>
      <c r="AH6" s="353">
        <f ca="1">COUNTIFS(BV!$P$2:$P$54,"&gt;=" &amp; DATE($A6,$B6,1),BV!$P$2:$P$54,"&lt;" &amp; DATE($A6,$C6+1,1))</f>
        <v>0</v>
      </c>
      <c r="AI6" s="353">
        <f ca="1">COUNTIFS(BV!$X$2:$X$54,"&gt;=" &amp; DATE($A6,$B6,1),BV!$X$2:$X$54,"&lt;" &amp; DATE($A6,$C6+1,1))</f>
        <v>0</v>
      </c>
      <c r="AJ6" s="353">
        <f ca="1">COUNTIFS(BV!$AF$2:$AF$54,"&gt;=" &amp; DATE($A6,$B6,1),BV!$AF$2:$AF$54,"&lt;" &amp; DATE($A6,$C6+1,1))</f>
        <v>0</v>
      </c>
      <c r="AK6" s="353">
        <f ca="1">COUNTIFS(BV!$AN$2:$AN$54,"&gt;=" &amp; DATE($A6,$B6,1),BV!$AN$2:$AN$54,"&lt;" &amp; DATE($A6,$C6+1,1))</f>
        <v>0</v>
      </c>
      <c r="AL6" s="353">
        <f ca="1">COUNTIFS(BV!$AV$2:$AV$54,"&gt;=" &amp; DATE($A6,$B6,1),BV!$AV$2:$AV$54,"&lt;" &amp; DATE($A6,$C6+1,1))</f>
        <v>0</v>
      </c>
      <c r="AM6" s="353">
        <f ca="1">COUNTIFS(BV!$BD$2:$BD$54,"&gt;=" &amp; DATE($A6,$B6,1),BV!$BD$2:$BD$54,"&lt;" &amp; DATE($A6,$C6+1,1))</f>
        <v>0</v>
      </c>
      <c r="AN6" s="353">
        <f ca="1">COUNTIFS(BV!$BL$2:$BL$54,"&gt;=" &amp; DATE($A6,$B6,1),BV!$BL$2:$BL$54,"&lt;" &amp; DATE($A6,$C6+1,1))</f>
        <v>0</v>
      </c>
      <c r="AO6" s="353">
        <f ca="1">COUNTIFS(BV!$BT$2:$BT$54,"&gt;=" &amp; DATE($A6,$B6,1),BV!$BT$2:$BT$54,"&lt;" &amp; DATE($A6,$C6+1,1))</f>
        <v>0</v>
      </c>
      <c r="AP6" s="353">
        <f ca="1">COUNTIFS(BV!$CB$2:$CB$54,"&gt;=" &amp; DATE($A6,$B6,1),BV!$CB$2:$CB$54,"&lt;" &amp; DATE($A6,$C6+1,1))</f>
        <v>0</v>
      </c>
      <c r="AQ6" s="35">
        <f t="shared" ca="1" si="42"/>
        <v>0</v>
      </c>
      <c r="AR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S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T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U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V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W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X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Y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AZ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BA6" s="510">
        <f ca="1">COUNTIFS(OFFSET(Time!$J$2,(COLUMN()-44)*20,,20,),"&gt;=" &amp; DATE($A6,$B6,1),OFFSET(Time!$J$2,(COLUMN()-44)*20,,20,),"&lt;" &amp; DATE($A6,$C6+1,1))+COUNTIFS(OFFSET(Bvs!$J$2,(COLUMN()-44)*20,,20,),"&gt;=" &amp; DATE($A6,$B6,1),OFFSET(Bvs!$J$2,(COLUMN()-44)*20,,20,),"&lt;" &amp; DATE($A6,$C6+1,1))+COUNTIFS(OFFSET(QG!$J$2,(COLUMN()-44)*20,,20,),"&gt;=" &amp; DATE($A6,$B6,1),OFFSET(QG!$J$2,(COLUMN()-44)*20,,20,),"&lt;" &amp; DATE($A6,$C6+1,1))</f>
        <v>0</v>
      </c>
      <c r="BB6" s="35">
        <f t="shared" ca="1" si="43"/>
        <v>0</v>
      </c>
      <c r="BC6" s="35">
        <f t="shared" ca="1" si="44"/>
        <v>0</v>
      </c>
      <c r="BD6" s="34" t="e">
        <f t="shared" ca="1" si="45"/>
        <v>#N/A</v>
      </c>
      <c r="BE6" s="34" t="e">
        <f t="shared" ca="1" si="46"/>
        <v>#N/A</v>
      </c>
    </row>
    <row r="7" spans="1:57" x14ac:dyDescent="0.25">
      <c r="A7" s="31">
        <f t="shared" si="0"/>
        <v>2018</v>
      </c>
      <c r="B7" s="31">
        <f t="shared" si="0"/>
        <v>7</v>
      </c>
      <c r="C7" s="31">
        <f t="shared" si="0"/>
        <v>12</v>
      </c>
      <c r="D7" s="32" t="s">
        <v>38</v>
      </c>
      <c r="E7" s="1">
        <f ca="1">COUNTIFS(OFFSET(Arb!$C$2,,,Arb!$AJ$36,),$A7,OFFSET(Arb!$AI$2,,,Arb!$AJ$36,),TRUE,OFFSET(Arb!$B$2,,,Arb!$AJ$36,),"&gt;="&amp;$B7,OFFSET(Arb!$B$2,,,Arb!$AJ$36,),"&lt;="&amp;$C7)</f>
        <v>0</v>
      </c>
      <c r="F7" s="1">
        <f ca="1">SUMIFS(OFFSET(Arb!$I$2,,,Arb!$AJ$36,),OFFSET(Arb!$C$2,,,Arb!$AJ$36,),$A7,OFFSET(Arb!$AI$2,,,Arb!$AJ$36,),TRUE,OFFSET(Arb!$B$2,,,Arb!$AJ$36,),"&gt;="&amp;$B7,OFFSET(Arb!$B$2,,,Arb!$AJ$36,),"&lt;="&amp;$C7)</f>
        <v>0</v>
      </c>
      <c r="G7" s="1">
        <f ca="1">SUMIFS(OFFSET(Arb!$H$2,,,Arb!$AJ$36,),OFFSET(Arb!$C$2,,,Arb!$AJ$36,),$A7,OFFSET(Arb!$AI$2,,,Arb!$AJ$36,),TRUE,OFFSET(Arb!$B$2,,,Arb!$AJ$36,),"&gt;="&amp;$B7,OFFSET(Arb!$B$2,,,Arb!$AJ$36,),"&lt;="&amp;$C7)</f>
        <v>0</v>
      </c>
      <c r="H7" s="1">
        <f ca="1">SUMIFS(OFFSET(Arb!$AC$2,,,Arb!$AJ$36,),OFFSET(Arb!$C$2,,,Arb!$AJ$36,),$A7,OFFSET(Arb!$AI$2,,,Arb!$AJ$36,),TRUE,OFFSET(Arb!$B$2,,,Arb!$AJ$36,),"&gt;="&amp;$B7,OFFSET(Arb!$B$2,,,Arb!$AJ$36,),"&lt;="&amp;$C7)</f>
        <v>0</v>
      </c>
      <c r="I7" s="1">
        <f ca="1">SUMIFS(OFFSET(Arb!$U$2,,,Arb!$AJ$36,),OFFSET(Arb!$C$2,,,Arb!$AJ$36,),$A7,OFFSET(Arb!$AI$2,,,Arb!$AJ$36,),TRUE,OFFSET(Arb!$B$2,,,Arb!$AJ$36,),"&gt;="&amp;$B7,OFFSET(Arb!$B$2,,,Arb!$AJ$36,),"&lt;="&amp;$C7)</f>
        <v>0</v>
      </c>
      <c r="J7" s="1">
        <f ca="1">SUMIFS(OFFSET(Arb!$V$2,,,Arb!$AJ$36,),OFFSET(Arb!$C$2,,,Arb!$AJ$36,),$A7,OFFSET(Arb!$AI$2,,,Arb!$AJ$36,),TRUE,OFFSET(Arb!$B$2,,,Arb!$AJ$36,),"&gt;="&amp;$B7,OFFSET(Arb!$B$2,,,Arb!$AJ$36,),"&lt;="&amp;$C7)</f>
        <v>0</v>
      </c>
      <c r="K7" s="1">
        <f ca="1">SUMIFS(OFFSET(Arb!$X$2,,,Arb!$AJ$36,),OFFSET(Arb!$C$2,,,Arb!$AJ$36,),$A7,OFFSET(Arb!$AI$2,,,Arb!$AJ$36,),TRUE,OFFSET(Arb!$B$2,,,Arb!$AJ$36,),"&gt;="&amp;$B7,OFFSET(Arb!$B$2,,,Arb!$AJ$36,),"&lt;="&amp;$C7)</f>
        <v>0</v>
      </c>
      <c r="L7" s="1">
        <f ca="1">SUMIFS(OFFSET(Arb!$AA$2,,,Arb!$AJ$36,),OFFSET(Arb!$C$2,,,Arb!$AJ$36,),$A7,OFFSET(Arb!$AI$2,,,Arb!$AJ$36,),TRUE,OFFSET(Arb!$B$2,,,Arb!$AJ$36,),"&gt;="&amp;$B7,OFFSET(Arb!$B$2,,,Arb!$AJ$36,),"&lt;="&amp;$C7)</f>
        <v>0</v>
      </c>
      <c r="M7" s="1">
        <f ca="1">SUMIFS(OFFSET(Arb!$AB$2,,,Arb!$AJ$36,),OFFSET(Arb!$C$2,,,Arb!$AJ$36,),$A7,OFFSET(Arb!$AI$2,,,Arb!$AJ$36,),TRUE,OFFSET(Arb!$B$2,,,Arb!$AJ$36,),"&gt;="&amp;$B7,OFFSET(Arb!$B$2,,,Arb!$AJ$36,),"&lt;="&amp;$C7)</f>
        <v>0</v>
      </c>
      <c r="N7" s="1">
        <f t="shared" ca="1" si="24"/>
        <v>0</v>
      </c>
      <c r="O7" s="39" t="str">
        <f t="shared" ca="1" si="25"/>
        <v/>
      </c>
      <c r="P7" s="12" t="str">
        <f t="shared" ca="1" si="26"/>
        <v/>
      </c>
      <c r="Q7" s="33" t="str">
        <f t="shared" ca="1" si="27"/>
        <v/>
      </c>
      <c r="R7" s="20" t="str">
        <f t="shared" ca="1" si="28"/>
        <v/>
      </c>
      <c r="S7" s="33" t="str">
        <f t="shared" ca="1" si="29"/>
        <v/>
      </c>
      <c r="T7" s="33" t="str">
        <f t="shared" ca="1" si="30"/>
        <v/>
      </c>
      <c r="U7" s="34" t="str">
        <f t="shared" ca="1" si="31"/>
        <v/>
      </c>
      <c r="V7" s="34" t="str">
        <f t="shared" ca="1" si="32"/>
        <v/>
      </c>
      <c r="W7" s="34" t="str">
        <f t="shared" ca="1" si="33"/>
        <v/>
      </c>
      <c r="X7" s="33" t="str">
        <f t="shared" ca="1" si="34"/>
        <v/>
      </c>
      <c r="Y7" s="33" t="str">
        <f t="shared" ca="1" si="35"/>
        <v/>
      </c>
      <c r="Z7" s="33" t="str">
        <f t="shared" ca="1" si="36"/>
        <v/>
      </c>
      <c r="AA7" s="17" t="str">
        <f t="shared" ca="1" si="37"/>
        <v/>
      </c>
      <c r="AB7" s="34" t="str">
        <f t="shared" ca="1" si="38"/>
        <v/>
      </c>
      <c r="AC7" s="33" t="str">
        <f t="shared" ca="1" si="39"/>
        <v/>
      </c>
      <c r="AD7" s="21" t="str">
        <f t="shared" ca="1" si="40"/>
        <v/>
      </c>
      <c r="AE7" s="472" t="e">
        <f ca="1">SUM(OFFSET(Arb!AK$36,MATCH(A7,OFFSET(Arb!AK$36,,,23,),0)-1,B7,1,6))</f>
        <v>#N/A</v>
      </c>
      <c r="AF7" s="12" t="e">
        <f t="shared" ca="1" si="41"/>
        <v>#N/A</v>
      </c>
      <c r="AG7" s="353">
        <f ca="1">COUNTIFS(BV!$H$2:$H$54,"&gt;=" &amp; DATE($A7,$B7,1),BV!$H$2:$H$54,"&lt;" &amp; DATE($A7,$C7+1,1))</f>
        <v>0</v>
      </c>
      <c r="AH7" s="353">
        <f ca="1">COUNTIFS(BV!$P$2:$P$54,"&gt;=" &amp; DATE($A7,$B7,1),BV!$P$2:$P$54,"&lt;" &amp; DATE($A7,$C7+1,1))</f>
        <v>0</v>
      </c>
      <c r="AI7" s="353">
        <f ca="1">COUNTIFS(BV!$X$2:$X$54,"&gt;=" &amp; DATE($A7,$B7,1),BV!$X$2:$X$54,"&lt;" &amp; DATE($A7,$C7+1,1))</f>
        <v>0</v>
      </c>
      <c r="AJ7" s="353">
        <f ca="1">COUNTIFS(BV!$AF$2:$AF$54,"&gt;=" &amp; DATE($A7,$B7,1),BV!$AF$2:$AF$54,"&lt;" &amp; DATE($A7,$C7+1,1))</f>
        <v>0</v>
      </c>
      <c r="AK7" s="353">
        <f ca="1">COUNTIFS(BV!$AN$2:$AN$54,"&gt;=" &amp; DATE($A7,$B7,1),BV!$AN$2:$AN$54,"&lt;" &amp; DATE($A7,$C7+1,1))</f>
        <v>0</v>
      </c>
      <c r="AL7" s="353">
        <f ca="1">COUNTIFS(BV!$AV$2:$AV$54,"&gt;=" &amp; DATE($A7,$B7,1),BV!$AV$2:$AV$54,"&lt;" &amp; DATE($A7,$C7+1,1))</f>
        <v>0</v>
      </c>
      <c r="AM7" s="353">
        <f ca="1">COUNTIFS(BV!$BD$2:$BD$54,"&gt;=" &amp; DATE($A7,$B7,1),BV!$BD$2:$BD$54,"&lt;" &amp; DATE($A7,$C7+1,1))</f>
        <v>0</v>
      </c>
      <c r="AN7" s="353">
        <f ca="1">COUNTIFS(BV!$BL$2:$BL$54,"&gt;=" &amp; DATE($A7,$B7,1),BV!$BL$2:$BL$54,"&lt;" &amp; DATE($A7,$C7+1,1))</f>
        <v>0</v>
      </c>
      <c r="AO7" s="353">
        <f ca="1">COUNTIFS(BV!$BT$2:$BT$54,"&gt;=" &amp; DATE($A7,$B7,1),BV!$BT$2:$BT$54,"&lt;" &amp; DATE($A7,$C7+1,1))</f>
        <v>0</v>
      </c>
      <c r="AP7" s="353">
        <f ca="1">COUNTIFS(BV!$CB$2:$CB$54,"&gt;=" &amp; DATE($A7,$B7,1),BV!$CB$2:$CB$54,"&lt;" &amp; DATE($A7,$C7+1,1))</f>
        <v>0</v>
      </c>
      <c r="AQ7" s="35">
        <f t="shared" ca="1" si="42"/>
        <v>0</v>
      </c>
      <c r="AR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S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T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U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V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W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X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Y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AZ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BA7" s="510">
        <f ca="1">COUNTIFS(OFFSET(Time!$J$2,(COLUMN()-44)*20,,20,),"&gt;=" &amp; DATE($A7,$B7,1),OFFSET(Time!$J$2,(COLUMN()-44)*20,,20,),"&lt;" &amp; DATE($A7,$C7+1,1))+COUNTIFS(OFFSET(Bvs!$J$2,(COLUMN()-44)*20,,20,),"&gt;=" &amp; DATE($A7,$B7,1),OFFSET(Bvs!$J$2,(COLUMN()-44)*20,,20,),"&lt;" &amp; DATE($A7,$C7+1,1))+COUNTIFS(OFFSET(QG!$J$2,(COLUMN()-44)*20,,20,),"&gt;=" &amp; DATE($A7,$B7,1),OFFSET(QG!$J$2,(COLUMN()-44)*20,,20,),"&lt;" &amp; DATE($A7,$C7+1,1))</f>
        <v>0</v>
      </c>
      <c r="BB7" s="35">
        <f t="shared" ca="1" si="43"/>
        <v>0</v>
      </c>
      <c r="BC7" s="35">
        <f t="shared" ca="1" si="44"/>
        <v>0</v>
      </c>
      <c r="BD7" s="34" t="e">
        <f t="shared" ca="1" si="45"/>
        <v>#N/A</v>
      </c>
      <c r="BE7" s="34" t="e">
        <f t="shared" ca="1" si="46"/>
        <v>#N/A</v>
      </c>
    </row>
    <row r="8" spans="1:57" x14ac:dyDescent="0.25">
      <c r="A8" s="31">
        <f t="shared" si="0"/>
        <v>2019</v>
      </c>
      <c r="B8" s="31">
        <f t="shared" si="0"/>
        <v>1</v>
      </c>
      <c r="C8" s="31">
        <f t="shared" si="0"/>
        <v>6</v>
      </c>
      <c r="D8" s="32" t="s">
        <v>38</v>
      </c>
      <c r="E8" s="1">
        <f ca="1">COUNTIFS(OFFSET(Arb!$C$2,,,Arb!$AJ$36,),$A8,OFFSET(Arb!$AI$2,,,Arb!$AJ$36,),TRUE,OFFSET(Arb!$B$2,,,Arb!$AJ$36,),"&gt;="&amp;$B8,OFFSET(Arb!$B$2,,,Arb!$AJ$36,),"&lt;="&amp;$C8)</f>
        <v>0</v>
      </c>
      <c r="F8" s="1">
        <f ca="1">SUMIFS(OFFSET(Arb!$I$2,,,Arb!$AJ$36,),OFFSET(Arb!$C$2,,,Arb!$AJ$36,),$A8,OFFSET(Arb!$AI$2,,,Arb!$AJ$36,),TRUE,OFFSET(Arb!$B$2,,,Arb!$AJ$36,),"&gt;="&amp;$B8,OFFSET(Arb!$B$2,,,Arb!$AJ$36,),"&lt;="&amp;$C8)</f>
        <v>0</v>
      </c>
      <c r="G8" s="1">
        <f ca="1">SUMIFS(OFFSET(Arb!$H$2,,,Arb!$AJ$36,),OFFSET(Arb!$C$2,,,Arb!$AJ$36,),$A8,OFFSET(Arb!$AI$2,,,Arb!$AJ$36,),TRUE,OFFSET(Arb!$B$2,,,Arb!$AJ$36,),"&gt;="&amp;$B8,OFFSET(Arb!$B$2,,,Arb!$AJ$36,),"&lt;="&amp;$C8)</f>
        <v>0</v>
      </c>
      <c r="H8" s="1">
        <f ca="1">SUMIFS(OFFSET(Arb!$AC$2,,,Arb!$AJ$36,),OFFSET(Arb!$C$2,,,Arb!$AJ$36,),$A8,OFFSET(Arb!$AI$2,,,Arb!$AJ$36,),TRUE,OFFSET(Arb!$B$2,,,Arb!$AJ$36,),"&gt;="&amp;$B8,OFFSET(Arb!$B$2,,,Arb!$AJ$36,),"&lt;="&amp;$C8)</f>
        <v>0</v>
      </c>
      <c r="I8" s="1">
        <f ca="1">SUMIFS(OFFSET(Arb!$U$2,,,Arb!$AJ$36,),OFFSET(Arb!$C$2,,,Arb!$AJ$36,),$A8,OFFSET(Arb!$AI$2,,,Arb!$AJ$36,),TRUE,OFFSET(Arb!$B$2,,,Arb!$AJ$36,),"&gt;="&amp;$B8,OFFSET(Arb!$B$2,,,Arb!$AJ$36,),"&lt;="&amp;$C8)</f>
        <v>0</v>
      </c>
      <c r="J8" s="1">
        <f ca="1">SUMIFS(OFFSET(Arb!$V$2,,,Arb!$AJ$36,),OFFSET(Arb!$C$2,,,Arb!$AJ$36,),$A8,OFFSET(Arb!$AI$2,,,Arb!$AJ$36,),TRUE,OFFSET(Arb!$B$2,,,Arb!$AJ$36,),"&gt;="&amp;$B8,OFFSET(Arb!$B$2,,,Arb!$AJ$36,),"&lt;="&amp;$C8)</f>
        <v>0</v>
      </c>
      <c r="K8" s="1">
        <f ca="1">SUMIFS(OFFSET(Arb!$X$2,,,Arb!$AJ$36,),OFFSET(Arb!$C$2,,,Arb!$AJ$36,),$A8,OFFSET(Arb!$AI$2,,,Arb!$AJ$36,),TRUE,OFFSET(Arb!$B$2,,,Arb!$AJ$36,),"&gt;="&amp;$B8,OFFSET(Arb!$B$2,,,Arb!$AJ$36,),"&lt;="&amp;$C8)</f>
        <v>0</v>
      </c>
      <c r="L8" s="1">
        <f ca="1">SUMIFS(OFFSET(Arb!$AA$2,,,Arb!$AJ$36,),OFFSET(Arb!$C$2,,,Arb!$AJ$36,),$A8,OFFSET(Arb!$AI$2,,,Arb!$AJ$36,),TRUE,OFFSET(Arb!$B$2,,,Arb!$AJ$36,),"&gt;="&amp;$B8,OFFSET(Arb!$B$2,,,Arb!$AJ$36,),"&lt;="&amp;$C8)</f>
        <v>0</v>
      </c>
      <c r="M8" s="1">
        <f ca="1">SUMIFS(OFFSET(Arb!$AB$2,,,Arb!$AJ$36,),OFFSET(Arb!$C$2,,,Arb!$AJ$36,),$A8,OFFSET(Arb!$AI$2,,,Arb!$AJ$36,),TRUE,OFFSET(Arb!$B$2,,,Arb!$AJ$36,),"&gt;="&amp;$B8,OFFSET(Arb!$B$2,,,Arb!$AJ$36,),"&lt;="&amp;$C8)</f>
        <v>0</v>
      </c>
      <c r="N8" s="1">
        <f t="shared" ca="1" si="24"/>
        <v>0</v>
      </c>
      <c r="O8" s="39" t="str">
        <f t="shared" ca="1" si="25"/>
        <v/>
      </c>
      <c r="P8" s="12" t="str">
        <f t="shared" ca="1" si="26"/>
        <v/>
      </c>
      <c r="Q8" s="33" t="str">
        <f t="shared" ca="1" si="27"/>
        <v/>
      </c>
      <c r="R8" s="20" t="str">
        <f t="shared" ca="1" si="28"/>
        <v/>
      </c>
      <c r="S8" s="33" t="str">
        <f t="shared" ca="1" si="29"/>
        <v/>
      </c>
      <c r="T8" s="33" t="str">
        <f t="shared" ca="1" si="30"/>
        <v/>
      </c>
      <c r="U8" s="34" t="str">
        <f t="shared" ca="1" si="31"/>
        <v/>
      </c>
      <c r="V8" s="34" t="str">
        <f t="shared" ca="1" si="32"/>
        <v/>
      </c>
      <c r="W8" s="34" t="str">
        <f t="shared" ca="1" si="33"/>
        <v/>
      </c>
      <c r="X8" s="33" t="str">
        <f t="shared" ca="1" si="34"/>
        <v/>
      </c>
      <c r="Y8" s="33" t="str">
        <f t="shared" ca="1" si="35"/>
        <v/>
      </c>
      <c r="Z8" s="33" t="str">
        <f t="shared" ca="1" si="36"/>
        <v/>
      </c>
      <c r="AA8" s="17" t="str">
        <f t="shared" ca="1" si="37"/>
        <v/>
      </c>
      <c r="AB8" s="34" t="str">
        <f t="shared" ca="1" si="38"/>
        <v/>
      </c>
      <c r="AC8" s="33" t="str">
        <f t="shared" ca="1" si="39"/>
        <v/>
      </c>
      <c r="AD8" s="21" t="str">
        <f t="shared" ca="1" si="40"/>
        <v/>
      </c>
      <c r="AE8" s="472">
        <f ca="1">SUM(OFFSET(Arb!AK$36,MATCH(A8,OFFSET(Arb!AK$36,,,23,),0)-1,B8,1,6))</f>
        <v>0</v>
      </c>
      <c r="AF8" s="12" t="e">
        <f t="shared" ca="1" si="41"/>
        <v>#DIV/0!</v>
      </c>
      <c r="AG8" s="353">
        <f ca="1">COUNTIFS(BV!$H$2:$H$54,"&gt;=" &amp; DATE($A8,$B8,1),BV!$H$2:$H$54,"&lt;" &amp; DATE($A8,$C8+1,1))</f>
        <v>0</v>
      </c>
      <c r="AH8" s="353">
        <f ca="1">COUNTIFS(BV!$P$2:$P$54,"&gt;=" &amp; DATE($A8,$B8,1),BV!$P$2:$P$54,"&lt;" &amp; DATE($A8,$C8+1,1))</f>
        <v>0</v>
      </c>
      <c r="AI8" s="353">
        <f ca="1">COUNTIFS(BV!$X$2:$X$54,"&gt;=" &amp; DATE($A8,$B8,1),BV!$X$2:$X$54,"&lt;" &amp; DATE($A8,$C8+1,1))</f>
        <v>0</v>
      </c>
      <c r="AJ8" s="353">
        <f ca="1">COUNTIFS(BV!$AF$2:$AF$54,"&gt;=" &amp; DATE($A8,$B8,1),BV!$AF$2:$AF$54,"&lt;" &amp; DATE($A8,$C8+1,1))</f>
        <v>0</v>
      </c>
      <c r="AK8" s="353">
        <f ca="1">COUNTIFS(BV!$AN$2:$AN$54,"&gt;=" &amp; DATE($A8,$B8,1),BV!$AN$2:$AN$54,"&lt;" &amp; DATE($A8,$C8+1,1))</f>
        <v>0</v>
      </c>
      <c r="AL8" s="353">
        <f ca="1">COUNTIFS(BV!$AV$2:$AV$54,"&gt;=" &amp; DATE($A8,$B8,1),BV!$AV$2:$AV$54,"&lt;" &amp; DATE($A8,$C8+1,1))</f>
        <v>0</v>
      </c>
      <c r="AM8" s="353">
        <f ca="1">COUNTIFS(BV!$BD$2:$BD$54,"&gt;=" &amp; DATE($A8,$B8,1),BV!$BD$2:$BD$54,"&lt;" &amp; DATE($A8,$C8+1,1))</f>
        <v>0</v>
      </c>
      <c r="AN8" s="353">
        <f ca="1">COUNTIFS(BV!$BL$2:$BL$54,"&gt;=" &amp; DATE($A8,$B8,1),BV!$BL$2:$BL$54,"&lt;" &amp; DATE($A8,$C8+1,1))</f>
        <v>0</v>
      </c>
      <c r="AO8" s="353">
        <f ca="1">COUNTIFS(BV!$BT$2:$BT$54,"&gt;=" &amp; DATE($A8,$B8,1),BV!$BT$2:$BT$54,"&lt;" &amp; DATE($A8,$C8+1,1))</f>
        <v>0</v>
      </c>
      <c r="AP8" s="353">
        <f ca="1">COUNTIFS(BV!$CB$2:$CB$54,"&gt;=" &amp; DATE($A8,$B8,1),BV!$CB$2:$CB$54,"&lt;" &amp; DATE($A8,$C8+1,1))</f>
        <v>0</v>
      </c>
      <c r="AQ8" s="35">
        <f t="shared" ca="1" si="42"/>
        <v>0</v>
      </c>
      <c r="AR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S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T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U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V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W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X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Y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AZ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BA8" s="510">
        <f ca="1">COUNTIFS(OFFSET(Time!$J$2,(COLUMN()-44)*20,,20,),"&gt;=" &amp; DATE($A8,$B8,1),OFFSET(Time!$J$2,(COLUMN()-44)*20,,20,),"&lt;" &amp; DATE($A8,$C8+1,1))+COUNTIFS(OFFSET(Bvs!$J$2,(COLUMN()-44)*20,,20,),"&gt;=" &amp; DATE($A8,$B8,1),OFFSET(Bvs!$J$2,(COLUMN()-44)*20,,20,),"&lt;" &amp; DATE($A8,$C8+1,1))+COUNTIFS(OFFSET(QG!$J$2,(COLUMN()-44)*20,,20,),"&gt;=" &amp; DATE($A8,$B8,1),OFFSET(QG!$J$2,(COLUMN()-44)*20,,20,),"&lt;" &amp; DATE($A8,$C8+1,1))</f>
        <v>0</v>
      </c>
      <c r="BB8" s="35">
        <f t="shared" ca="1" si="43"/>
        <v>0</v>
      </c>
      <c r="BC8" s="35">
        <f t="shared" ca="1" si="44"/>
        <v>0</v>
      </c>
      <c r="BD8" s="34" t="e">
        <f t="shared" ca="1" si="45"/>
        <v>#DIV/0!</v>
      </c>
      <c r="BE8" s="34" t="e">
        <f t="shared" ca="1" si="46"/>
        <v>#DIV/0!</v>
      </c>
    </row>
    <row r="9" spans="1:57" x14ac:dyDescent="0.25">
      <c r="A9" s="31">
        <f t="shared" si="0"/>
        <v>2019</v>
      </c>
      <c r="B9" s="31">
        <f t="shared" si="0"/>
        <v>7</v>
      </c>
      <c r="C9" s="31">
        <f t="shared" si="0"/>
        <v>12</v>
      </c>
      <c r="D9" s="32" t="s">
        <v>38</v>
      </c>
      <c r="E9" s="1">
        <f ca="1">COUNTIFS(OFFSET(Arb!$C$2,,,Arb!$AJ$36,),$A9,OFFSET(Arb!$AI$2,,,Arb!$AJ$36,),TRUE,OFFSET(Arb!$B$2,,,Arb!$AJ$36,),"&gt;="&amp;$B9,OFFSET(Arb!$B$2,,,Arb!$AJ$36,),"&lt;="&amp;$C9)</f>
        <v>994</v>
      </c>
      <c r="F9" s="1">
        <f ca="1">SUMIFS(OFFSET(Arb!$I$2,,,Arb!$AJ$36,),OFFSET(Arb!$C$2,,,Arb!$AJ$36,),$A9,OFFSET(Arb!$AI$2,,,Arb!$AJ$36,),TRUE,OFFSET(Arb!$B$2,,,Arb!$AJ$36,),"&gt;="&amp;$B9,OFFSET(Arb!$B$2,,,Arb!$AJ$36,),"&lt;="&amp;$C9)</f>
        <v>16371</v>
      </c>
      <c r="G9" s="1">
        <f ca="1">SUMIFS(OFFSET(Arb!$H$2,,,Arb!$AJ$36,),OFFSET(Arb!$C$2,,,Arb!$AJ$36,),$A9,OFFSET(Arb!$AI$2,,,Arb!$AJ$36,),TRUE,OFFSET(Arb!$B$2,,,Arb!$AJ$36,),"&gt;="&amp;$B9,OFFSET(Arb!$B$2,,,Arb!$AJ$36,),"&lt;="&amp;$C9)</f>
        <v>6211.5399999999991</v>
      </c>
      <c r="H9" s="1">
        <f ca="1">SUMIFS(OFFSET(Arb!$AC$2,,,Arb!$AJ$36,),OFFSET(Arb!$C$2,,,Arb!$AJ$36,),$A9,OFFSET(Arb!$AI$2,,,Arb!$AJ$36,),TRUE,OFFSET(Arb!$B$2,,,Arb!$AJ$36,),"&gt;="&amp;$B9,OFFSET(Arb!$B$2,,,Arb!$AJ$36,),"&lt;="&amp;$C9)</f>
        <v>848026</v>
      </c>
      <c r="I9" s="1">
        <f ca="1">SUMIFS(OFFSET(Arb!$U$2,,,Arb!$AJ$36,),OFFSET(Arb!$C$2,,,Arb!$AJ$36,),$A9,OFFSET(Arb!$AI$2,,,Arb!$AJ$36,),TRUE,OFFSET(Arb!$B$2,,,Arb!$AJ$36,),"&gt;="&amp;$B9,OFFSET(Arb!$B$2,,,Arb!$AJ$36,),"&lt;="&amp;$C9)</f>
        <v>20550</v>
      </c>
      <c r="J9" s="1">
        <f ca="1">SUMIFS(OFFSET(Arb!$V$2,,,Arb!$AJ$36,),OFFSET(Arb!$C$2,,,Arb!$AJ$36,),$A9,OFFSET(Arb!$AI$2,,,Arb!$AJ$36,),TRUE,OFFSET(Arb!$B$2,,,Arb!$AJ$36,),"&gt;="&amp;$B9,OFFSET(Arb!$B$2,,,Arb!$AJ$36,),"&lt;="&amp;$C9)</f>
        <v>5238</v>
      </c>
      <c r="K9" s="1">
        <f ca="1">SUMIFS(OFFSET(Arb!$X$2,,,Arb!$AJ$36,),OFFSET(Arb!$C$2,,,Arb!$AJ$36,),$A9,OFFSET(Arb!$AI$2,,,Arb!$AJ$36,),TRUE,OFFSET(Arb!$B$2,,,Arb!$AJ$36,),"&gt;="&amp;$B9,OFFSET(Arb!$B$2,,,Arb!$AJ$36,),"&lt;="&amp;$C9)</f>
        <v>20849</v>
      </c>
      <c r="L9" s="1">
        <f ca="1">SUMIFS(OFFSET(Arb!$AA$2,,,Arb!$AJ$36,),OFFSET(Arb!$C$2,,,Arb!$AJ$36,),$A9,OFFSET(Arb!$AI$2,,,Arb!$AJ$36,),TRUE,OFFSET(Arb!$B$2,,,Arb!$AJ$36,),"&gt;="&amp;$B9,OFFSET(Arb!$B$2,,,Arb!$AJ$36,),"&lt;="&amp;$C9)</f>
        <v>2696</v>
      </c>
      <c r="M9" s="1">
        <f ca="1">SUMIFS(OFFSET(Arb!$AB$2,,,Arb!$AJ$36,),OFFSET(Arb!$C$2,,,Arb!$AJ$36,),$A9,OFFSET(Arb!$AI$2,,,Arb!$AJ$36,),TRUE,OFFSET(Arb!$B$2,,,Arb!$AJ$36,),"&gt;="&amp;$B9,OFFSET(Arb!$B$2,,,Arb!$AJ$36,),"&lt;="&amp;$C9)</f>
        <v>3035</v>
      </c>
      <c r="N9" s="1">
        <f t="shared" ca="1" si="24"/>
        <v>25788</v>
      </c>
      <c r="O9" s="39">
        <f t="shared" ca="1" si="25"/>
        <v>16.469818913480886</v>
      </c>
      <c r="P9" s="12">
        <f t="shared" ca="1" si="26"/>
        <v>6.2490342052313874</v>
      </c>
      <c r="Q9" s="33">
        <f t="shared" ca="1" si="27"/>
        <v>2.6355782945936115</v>
      </c>
      <c r="R9" s="20">
        <f t="shared" ca="1" si="28"/>
        <v>3.3564945247072391</v>
      </c>
      <c r="S9" s="33">
        <f t="shared" ca="1" si="29"/>
        <v>4.1516274547052747</v>
      </c>
      <c r="T9" s="33">
        <f t="shared" ca="1" si="30"/>
        <v>1.3683371215175186</v>
      </c>
      <c r="U9" s="34">
        <f t="shared" ca="1" si="31"/>
        <v>34.566773974197439</v>
      </c>
      <c r="V9" s="34">
        <f t="shared" ca="1" si="32"/>
        <v>2.7122736418511066</v>
      </c>
      <c r="W9" s="34">
        <f t="shared" ca="1" si="33"/>
        <v>3.0533199195171026</v>
      </c>
      <c r="X9" s="33">
        <f t="shared" ca="1" si="34"/>
        <v>0.80847681091980772</v>
      </c>
      <c r="Y9" s="33">
        <f t="shared" ca="1" si="35"/>
        <v>0.78521751642764637</v>
      </c>
      <c r="Z9" s="33">
        <f t="shared" ca="1" si="36"/>
        <v>0.63483015355979522</v>
      </c>
      <c r="AA9" s="17">
        <f t="shared" ca="1" si="37"/>
        <v>53.321554325955738</v>
      </c>
      <c r="AB9" s="34">
        <f t="shared" ca="1" si="38"/>
        <v>8.5327672364663201</v>
      </c>
      <c r="AC9" s="33">
        <f t="shared" ca="1" si="39"/>
        <v>0.30887732215757535</v>
      </c>
      <c r="AD9" s="21">
        <f t="shared" ca="1" si="40"/>
        <v>28.640186509800522</v>
      </c>
      <c r="AE9" s="472">
        <f ca="1">SUM(OFFSET(Arb!AK$36,MATCH(A9,OFFSET(Arb!AK$36,,,23,),0)-1,B9,1,6))</f>
        <v>59</v>
      </c>
      <c r="AF9" s="12">
        <f t="shared" ca="1" si="41"/>
        <v>16.847457627118644</v>
      </c>
      <c r="AG9" s="353">
        <f ca="1">COUNTIFS(BV!$H$2:$H$54,"&gt;=" &amp; DATE($A9,$B9,1),BV!$H$2:$H$54,"&lt;" &amp; DATE($A9,$C9+1,1))</f>
        <v>15</v>
      </c>
      <c r="AH9" s="353">
        <f ca="1">COUNTIFS(BV!$P$2:$P$54,"&gt;=" &amp; DATE($A9,$B9,1),BV!$P$2:$P$54,"&lt;" &amp; DATE($A9,$C9+1,1))</f>
        <v>15</v>
      </c>
      <c r="AI9" s="353">
        <f ca="1">COUNTIFS(BV!$X$2:$X$54,"&gt;=" &amp; DATE($A9,$B9,1),BV!$X$2:$X$54,"&lt;" &amp; DATE($A9,$C9+1,1))</f>
        <v>10</v>
      </c>
      <c r="AJ9" s="353">
        <f ca="1">COUNTIFS(BV!$AF$2:$AF$54,"&gt;=" &amp; DATE($A9,$B9,1),BV!$AF$2:$AF$54,"&lt;" &amp; DATE($A9,$C9+1,1))</f>
        <v>11</v>
      </c>
      <c r="AK9" s="353">
        <f ca="1">COUNTIFS(BV!$AN$2:$AN$54,"&gt;=" &amp; DATE($A9,$B9,1),BV!$AN$2:$AN$54,"&lt;" &amp; DATE($A9,$C9+1,1))</f>
        <v>12</v>
      </c>
      <c r="AL9" s="353">
        <f ca="1">COUNTIFS(BV!$AV$2:$AV$54,"&gt;=" &amp; DATE($A9,$B9,1),BV!$AV$2:$AV$54,"&lt;" &amp; DATE($A9,$C9+1,1))</f>
        <v>14</v>
      </c>
      <c r="AM9" s="353">
        <f ca="1">COUNTIFS(BV!$BD$2:$BD$54,"&gt;=" &amp; DATE($A9,$B9,1),BV!$BD$2:$BD$54,"&lt;" &amp; DATE($A9,$C9+1,1))</f>
        <v>14</v>
      </c>
      <c r="AN9" s="353">
        <f ca="1">COUNTIFS(BV!$BL$2:$BL$54,"&gt;=" &amp; DATE($A9,$B9,1),BV!$BL$2:$BL$54,"&lt;" &amp; DATE($A9,$C9+1,1))</f>
        <v>11</v>
      </c>
      <c r="AO9" s="353">
        <f ca="1">COUNTIFS(BV!$BT$2:$BT$54,"&gt;=" &amp; DATE($A9,$B9,1),BV!$BT$2:$BT$54,"&lt;" &amp; DATE($A9,$C9+1,1))</f>
        <v>12</v>
      </c>
      <c r="AP9" s="353">
        <f ca="1">COUNTIFS(BV!$CB$2:$CB$54,"&gt;=" &amp; DATE($A9,$B9,1),BV!$CB$2:$CB$54,"&lt;" &amp; DATE($A9,$C9+1,1))</f>
        <v>10</v>
      </c>
      <c r="AQ9" s="35">
        <f t="shared" ca="1" si="42"/>
        <v>390.25</v>
      </c>
      <c r="AR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14</v>
      </c>
      <c r="AS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28</v>
      </c>
      <c r="AT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24</v>
      </c>
      <c r="AU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28</v>
      </c>
      <c r="AV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28</v>
      </c>
      <c r="AW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25</v>
      </c>
      <c r="AX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26</v>
      </c>
      <c r="AY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29</v>
      </c>
      <c r="AZ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24</v>
      </c>
      <c r="BA9" s="510">
        <f ca="1">COUNTIFS(OFFSET(Time!$J$2,(COLUMN()-44)*20,,20,),"&gt;=" &amp; DATE($A9,$B9,1),OFFSET(Time!$J$2,(COLUMN()-44)*20,,20,),"&lt;" &amp; DATE($A9,$C9+1,1))+COUNTIFS(OFFSET(Bvs!$J$2,(COLUMN()-44)*20,,20,),"&gt;=" &amp; DATE($A9,$B9,1),OFFSET(Bvs!$J$2,(COLUMN()-44)*20,,20,),"&lt;" &amp; DATE($A9,$C9+1,1))+COUNTIFS(OFFSET(QG!$J$2,(COLUMN()-44)*20,,20,),"&gt;=" &amp; DATE($A9,$B9,1),OFFSET(QG!$J$2,(COLUMN()-44)*20,,20,),"&lt;" &amp; DATE($A9,$C9+1,1))</f>
        <v>26</v>
      </c>
      <c r="BB9" s="35">
        <f t="shared" ca="1" si="43"/>
        <v>653.72619047619037</v>
      </c>
      <c r="BC9" s="35">
        <f t="shared" ca="1" si="44"/>
        <v>1043.9761904761904</v>
      </c>
      <c r="BD9" s="34">
        <f t="shared" ca="1" si="45"/>
        <v>17.694511702986276</v>
      </c>
      <c r="BE9" s="34">
        <f t="shared" ca="1" si="46"/>
        <v>1.0502778576219218</v>
      </c>
    </row>
    <row r="10" spans="1:57" x14ac:dyDescent="0.25">
      <c r="A10" s="31">
        <f t="shared" si="0"/>
        <v>2020</v>
      </c>
      <c r="B10" s="31">
        <f t="shared" si="0"/>
        <v>1</v>
      </c>
      <c r="C10" s="31">
        <f t="shared" si="0"/>
        <v>6</v>
      </c>
      <c r="D10" s="32" t="s">
        <v>38</v>
      </c>
      <c r="E10" s="1">
        <f ca="1">COUNTIFS(OFFSET(Arb!$C$2,,,Arb!$AJ$36,),$A10,OFFSET(Arb!$AI$2,,,Arb!$AJ$36,),TRUE,OFFSET(Arb!$B$2,,,Arb!$AJ$36,),"&gt;="&amp;$B10,OFFSET(Arb!$B$2,,,Arb!$AJ$36,),"&lt;="&amp;$C10)</f>
        <v>584</v>
      </c>
      <c r="F10" s="1">
        <f ca="1">SUMIFS(OFFSET(Arb!$I$2,,,Arb!$AJ$36,),OFFSET(Arb!$C$2,,,Arb!$AJ$36,),$A10,OFFSET(Arb!$AI$2,,,Arb!$AJ$36,),TRUE,OFFSET(Arb!$B$2,,,Arb!$AJ$36,),"&gt;="&amp;$B10,OFFSET(Arb!$B$2,,,Arb!$AJ$36,),"&lt;="&amp;$C10)</f>
        <v>9618</v>
      </c>
      <c r="G10" s="1">
        <f ca="1">SUMIFS(OFFSET(Arb!$H$2,,,Arb!$AJ$36,),OFFSET(Arb!$C$2,,,Arb!$AJ$36,),$A10,OFFSET(Arb!$AI$2,,,Arb!$AJ$36,),TRUE,OFFSET(Arb!$B$2,,,Arb!$AJ$36,),"&gt;="&amp;$B10,OFFSET(Arb!$B$2,,,Arb!$AJ$36,),"&lt;="&amp;$C10)</f>
        <v>4004.6100000000006</v>
      </c>
      <c r="H10" s="1">
        <f ca="1">SUMIFS(OFFSET(Arb!$AC$2,,,Arb!$AJ$36,),OFFSET(Arb!$C$2,,,Arb!$AJ$36,),$A10,OFFSET(Arb!$AI$2,,,Arb!$AJ$36,),TRUE,OFFSET(Arb!$B$2,,,Arb!$AJ$36,),"&gt;="&amp;$B10,OFFSET(Arb!$B$2,,,Arb!$AJ$36,),"&lt;="&amp;$C10)</f>
        <v>505011</v>
      </c>
      <c r="I10" s="1">
        <f ca="1">SUMIFS(OFFSET(Arb!$U$2,,,Arb!$AJ$36,),OFFSET(Arb!$C$2,,,Arb!$AJ$36,),$A10,OFFSET(Arb!$AI$2,,,Arb!$AJ$36,),TRUE,OFFSET(Arb!$B$2,,,Arb!$AJ$36,),"&gt;="&amp;$B10,OFFSET(Arb!$B$2,,,Arb!$AJ$36,),"&lt;="&amp;$C10)</f>
        <v>13225</v>
      </c>
      <c r="J10" s="1">
        <f ca="1">SUMIFS(OFFSET(Arb!$V$2,,,Arb!$AJ$36,),OFFSET(Arb!$C$2,,,Arb!$AJ$36,),$A10,OFFSET(Arb!$AI$2,,,Arb!$AJ$36,),TRUE,OFFSET(Arb!$B$2,,,Arb!$AJ$36,),"&gt;="&amp;$B10,OFFSET(Arb!$B$2,,,Arb!$AJ$36,),"&lt;="&amp;$C10)</f>
        <v>1553</v>
      </c>
      <c r="K10" s="1">
        <f ca="1">SUMIFS(OFFSET(Arb!$X$2,,,Arb!$AJ$36,),OFFSET(Arb!$C$2,,,Arb!$AJ$36,),$A10,OFFSET(Arb!$AI$2,,,Arb!$AJ$36,),TRUE,OFFSET(Arb!$B$2,,,Arb!$AJ$36,),"&gt;="&amp;$B10,OFFSET(Arb!$B$2,,,Arb!$AJ$36,),"&lt;="&amp;$C10)</f>
        <v>12515</v>
      </c>
      <c r="L10" s="1">
        <f ca="1">SUMIFS(OFFSET(Arb!$AA$2,,,Arb!$AJ$36,),OFFSET(Arb!$C$2,,,Arb!$AJ$36,),$A10,OFFSET(Arb!$AI$2,,,Arb!$AJ$36,),TRUE,OFFSET(Arb!$B$2,,,Arb!$AJ$36,),"&gt;="&amp;$B10,OFFSET(Arb!$B$2,,,Arb!$AJ$36,),"&lt;="&amp;$C10)</f>
        <v>1580</v>
      </c>
      <c r="M10" s="1">
        <f ca="1">SUMIFS(OFFSET(Arb!$AB$2,,,Arb!$AJ$36,),OFFSET(Arb!$C$2,,,Arb!$AJ$36,),$A10,OFFSET(Arb!$AI$2,,,Arb!$AJ$36,),TRUE,OFFSET(Arb!$B$2,,,Arb!$AJ$36,),"&gt;="&amp;$B10,OFFSET(Arb!$B$2,,,Arb!$AJ$36,),"&lt;="&amp;$C10)</f>
        <v>1823</v>
      </c>
      <c r="N10" s="1">
        <f t="shared" ca="1" si="24"/>
        <v>14778</v>
      </c>
      <c r="O10" s="39">
        <f t="shared" ca="1" si="25"/>
        <v>16.469178082191782</v>
      </c>
      <c r="P10" s="12">
        <f t="shared" ca="1" si="26"/>
        <v>6.8572089041095898</v>
      </c>
      <c r="Q10" s="33">
        <f t="shared" ca="1" si="27"/>
        <v>2.4017320038655448</v>
      </c>
      <c r="R10" s="20">
        <f t="shared" ca="1" si="28"/>
        <v>3.1251482666227171</v>
      </c>
      <c r="S10" s="33">
        <f t="shared" ca="1" si="29"/>
        <v>3.6902469903436286</v>
      </c>
      <c r="T10" s="33">
        <f t="shared" ca="1" si="30"/>
        <v>1.6024283544552833</v>
      </c>
      <c r="U10" s="34">
        <f t="shared" ca="1" si="31"/>
        <v>29.517076297666016</v>
      </c>
      <c r="V10" s="34">
        <f t="shared" ca="1" si="32"/>
        <v>2.7054794520547945</v>
      </c>
      <c r="W10" s="34">
        <f t="shared" ca="1" si="33"/>
        <v>3.1215753424657535</v>
      </c>
      <c r="X10" s="33">
        <f t="shared" ca="1" si="34"/>
        <v>0.84686696440655029</v>
      </c>
      <c r="Y10" s="33">
        <f t="shared" ca="1" si="35"/>
        <v>0.76851777866560123</v>
      </c>
      <c r="Z10" s="33">
        <f t="shared" ca="1" si="36"/>
        <v>0.65083231831100286</v>
      </c>
      <c r="AA10" s="17">
        <f t="shared" ca="1" si="37"/>
        <v>54.046553938356162</v>
      </c>
      <c r="AB10" s="34">
        <f t="shared" ca="1" si="38"/>
        <v>7.8817132005363808</v>
      </c>
      <c r="AC10" s="33">
        <f t="shared" ca="1" si="39"/>
        <v>0.30472207536073476</v>
      </c>
      <c r="AD10" s="21">
        <f t="shared" ca="1" si="40"/>
        <v>24.631522346673659</v>
      </c>
      <c r="AE10" s="472">
        <f ca="1">SUM(OFFSET(Arb!AK$36,MATCH(A10,OFFSET(Arb!AK$36,,,23,),0)-1,B10,1,6))</f>
        <v>112</v>
      </c>
      <c r="AF10" s="12">
        <f t="shared" ca="1" si="41"/>
        <v>5.2142857142857144</v>
      </c>
      <c r="AG10" s="353">
        <f ca="1">COUNTIFS(BV!$H$2:$H$54,"&gt;=" &amp; DATE($A10,$B10,1),BV!$H$2:$H$54,"&lt;" &amp; DATE($A10,$C10+1,1))</f>
        <v>11</v>
      </c>
      <c r="AH10" s="353">
        <f ca="1">COUNTIFS(BV!$P$2:$P$54,"&gt;=" &amp; DATE($A10,$B10,1),BV!$P$2:$P$54,"&lt;" &amp; DATE($A10,$C10+1,1))</f>
        <v>8</v>
      </c>
      <c r="AI10" s="353">
        <f ca="1">COUNTIFS(BV!$X$2:$X$54,"&gt;=" &amp; DATE($A10,$B10,1),BV!$X$2:$X$54,"&lt;" &amp; DATE($A10,$C10+1,1))</f>
        <v>15</v>
      </c>
      <c r="AJ10" s="353">
        <f ca="1">COUNTIFS(BV!$AF$2:$AF$54,"&gt;=" &amp; DATE($A10,$B10,1),BV!$AF$2:$AF$54,"&lt;" &amp; DATE($A10,$C10+1,1))</f>
        <v>13</v>
      </c>
      <c r="AK10" s="353">
        <f ca="1">COUNTIFS(BV!$AN$2:$AN$54,"&gt;=" &amp; DATE($A10,$B10,1),BV!$AN$2:$AN$54,"&lt;" &amp; DATE($A10,$C10+1,1))</f>
        <v>8</v>
      </c>
      <c r="AL10" s="353">
        <f ca="1">COUNTIFS(BV!$AV$2:$AV$54,"&gt;=" &amp; DATE($A10,$B10,1),BV!$AV$2:$AV$54,"&lt;" &amp; DATE($A10,$C10+1,1))</f>
        <v>10</v>
      </c>
      <c r="AM10" s="353">
        <f ca="1">COUNTIFS(BV!$BD$2:$BD$54,"&gt;=" &amp; DATE($A10,$B10,1),BV!$BD$2:$BD$54,"&lt;" &amp; DATE($A10,$C10+1,1))</f>
        <v>8</v>
      </c>
      <c r="AN10" s="353">
        <f ca="1">COUNTIFS(BV!$BL$2:$BL$54,"&gt;=" &amp; DATE($A10,$B10,1),BV!$BL$2:$BL$54,"&lt;" &amp; DATE($A10,$C10+1,1))</f>
        <v>11</v>
      </c>
      <c r="AO10" s="353">
        <f ca="1">COUNTIFS(BV!$BT$2:$BT$54,"&gt;=" &amp; DATE($A10,$B10,1),BV!$BT$2:$BT$54,"&lt;" &amp; DATE($A10,$C10+1,1))</f>
        <v>9</v>
      </c>
      <c r="AP10" s="353">
        <f ca="1">COUNTIFS(BV!$CB$2:$CB$54,"&gt;=" &amp; DATE($A10,$B10,1),BV!$CB$2:$CB$54,"&lt;" &amp; DATE($A10,$C10+1,1))</f>
        <v>5</v>
      </c>
      <c r="AQ10" s="35">
        <f t="shared" ca="1" si="42"/>
        <v>305.34523809523813</v>
      </c>
      <c r="AR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26</v>
      </c>
      <c r="AS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17</v>
      </c>
      <c r="AT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20</v>
      </c>
      <c r="AU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22</v>
      </c>
      <c r="AV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22</v>
      </c>
      <c r="AW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19</v>
      </c>
      <c r="AX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23</v>
      </c>
      <c r="AY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20</v>
      </c>
      <c r="AZ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25</v>
      </c>
      <c r="BA10" s="510">
        <f ca="1">COUNTIFS(OFFSET(Time!$J$2,(COLUMN()-44)*20,,20,),"&gt;=" &amp; DATE($A10,$B10,1),OFFSET(Time!$J$2,(COLUMN()-44)*20,,20,),"&lt;" &amp; DATE($A10,$C10+1,1))+COUNTIFS(OFFSET(Bvs!$J$2,(COLUMN()-44)*20,,20,),"&gt;=" &amp; DATE($A10,$B10,1),OFFSET(Bvs!$J$2,(COLUMN()-44)*20,,20,),"&lt;" &amp; DATE($A10,$C10+1,1))+COUNTIFS(OFFSET(QG!$J$2,(COLUMN()-44)*20,,20,),"&gt;=" &amp; DATE($A10,$B10,1),OFFSET(QG!$J$2,(COLUMN()-44)*20,,20,),"&lt;" &amp; DATE($A10,$C10+1,1))</f>
        <v>18</v>
      </c>
      <c r="BB10" s="35">
        <f t="shared" ca="1" si="43"/>
        <v>645.96825396825398</v>
      </c>
      <c r="BC10" s="35">
        <f t="shared" ca="1" si="44"/>
        <v>951.31349206349205</v>
      </c>
      <c r="BD10" s="34">
        <f t="shared" ca="1" si="45"/>
        <v>8.4938704648526073</v>
      </c>
      <c r="BE10" s="34">
        <f t="shared" ca="1" si="46"/>
        <v>1.6289614590128287</v>
      </c>
    </row>
    <row r="11" spans="1:57" ht="13.8" thickBot="1" x14ac:dyDescent="0.3">
      <c r="A11" s="362">
        <f t="shared" ref="A11" si="47">A21</f>
        <v>2020</v>
      </c>
      <c r="B11" s="362">
        <f t="shared" ref="B11:C11" si="48">B21</f>
        <v>7</v>
      </c>
      <c r="C11" s="362">
        <f t="shared" si="48"/>
        <v>12</v>
      </c>
      <c r="D11" s="363" t="s">
        <v>38</v>
      </c>
      <c r="E11" s="146">
        <f ca="1">COUNTIFS(OFFSET(Arb!$C$2,,,Arb!$AJ$36,),$A11,OFFSET(Arb!$AI$2,,,Arb!$AJ$36,),TRUE,OFFSET(Arb!$B$2,,,Arb!$AJ$36,),"&gt;="&amp;$B11,OFFSET(Arb!$B$2,,,Arb!$AJ$36,),"&lt;="&amp;$C11)</f>
        <v>303</v>
      </c>
      <c r="F11" s="146">
        <f ca="1">SUMIFS(OFFSET(Arb!$I$2,,,Arb!$AJ$36,),OFFSET(Arb!$C$2,,,Arb!$AJ$36,),$A11,OFFSET(Arb!$AI$2,,,Arb!$AJ$36,),TRUE,OFFSET(Arb!$B$2,,,Arb!$AJ$36,),"&gt;="&amp;$B11,OFFSET(Arb!$B$2,,,Arb!$AJ$36,),"&lt;="&amp;$C11)</f>
        <v>4938</v>
      </c>
      <c r="G11" s="146">
        <f ca="1">SUMIFS(OFFSET(Arb!$H$2,,,Arb!$AJ$36,),OFFSET(Arb!$C$2,,,Arb!$AJ$36,),$A11,OFFSET(Arb!$AI$2,,,Arb!$AJ$36,),TRUE,OFFSET(Arb!$B$2,,,Arb!$AJ$36,),"&gt;="&amp;$B11,OFFSET(Arb!$B$2,,,Arb!$AJ$36,),"&lt;="&amp;$C11)</f>
        <v>1714.6200000000019</v>
      </c>
      <c r="H11" s="146">
        <f ca="1">SUMIFS(OFFSET(Arb!$AC$2,,,Arb!$AJ$36,),OFFSET(Arb!$C$2,,,Arb!$AJ$36,),$A11,OFFSET(Arb!$AI$2,,,Arb!$AJ$36,),TRUE,OFFSET(Arb!$B$2,,,Arb!$AJ$36,),"&gt;="&amp;$B11,OFFSET(Arb!$B$2,,,Arb!$AJ$36,),"&lt;="&amp;$C11)</f>
        <v>247105</v>
      </c>
      <c r="I11" s="146">
        <f ca="1">SUMIFS(OFFSET(Arb!$U$2,,,Arb!$AJ$36,),OFFSET(Arb!$C$2,,,Arb!$AJ$36,),$A11,OFFSET(Arb!$AI$2,,,Arb!$AJ$36,),TRUE,OFFSET(Arb!$B$2,,,Arb!$AJ$36,),"&gt;="&amp;$B11,OFFSET(Arb!$B$2,,,Arb!$AJ$36,),"&lt;="&amp;$C11)</f>
        <v>3460</v>
      </c>
      <c r="J11" s="146">
        <f ca="1">SUMIFS(OFFSET(Arb!$V$2,,,Arb!$AJ$36,),OFFSET(Arb!$C$2,,,Arb!$AJ$36,),$A11,OFFSET(Arb!$AI$2,,,Arb!$AJ$36,),TRUE,OFFSET(Arb!$B$2,,,Arb!$AJ$36,),"&gt;="&amp;$B11,OFFSET(Arb!$B$2,,,Arb!$AJ$36,),"&lt;="&amp;$C11)</f>
        <v>3696</v>
      </c>
      <c r="K11" s="146">
        <f ca="1">SUMIFS(OFFSET(Arb!$X$2,,,Arb!$AJ$36,),OFFSET(Arb!$C$2,,,Arb!$AJ$36,),$A11,OFFSET(Arb!$AI$2,,,Arb!$AJ$36,),TRUE,OFFSET(Arb!$B$2,,,Arb!$AJ$36,),"&gt;="&amp;$B11,OFFSET(Arb!$B$2,,,Arb!$AJ$36,),"&lt;="&amp;$C11)</f>
        <v>6071</v>
      </c>
      <c r="L11" s="146">
        <f ca="1">SUMIFS(OFFSET(Arb!$AA$2,,,Arb!$AJ$36,),OFFSET(Arb!$C$2,,,Arb!$AJ$36,),$A11,OFFSET(Arb!$AI$2,,,Arb!$AJ$36,),TRUE,OFFSET(Arb!$B$2,,,Arb!$AJ$36,),"&gt;="&amp;$B11,OFFSET(Arb!$B$2,,,Arb!$AJ$36,),"&lt;="&amp;$C11)</f>
        <v>795</v>
      </c>
      <c r="M11" s="146">
        <f ca="1">SUMIFS(OFFSET(Arb!$AB$2,,,Arb!$AJ$36,),OFFSET(Arb!$C$2,,,Arb!$AJ$36,),$A11,OFFSET(Arb!$AI$2,,,Arb!$AJ$36,),TRUE,OFFSET(Arb!$B$2,,,Arb!$AJ$36,),"&gt;="&amp;$B11,OFFSET(Arb!$B$2,,,Arb!$AJ$36,),"&lt;="&amp;$C11)</f>
        <v>955</v>
      </c>
      <c r="N11" s="146">
        <f t="shared" ca="1" si="24"/>
        <v>7156</v>
      </c>
      <c r="O11" s="388">
        <f t="shared" ca="1" si="25"/>
        <v>16.297029702970296</v>
      </c>
      <c r="P11" s="364">
        <f t="shared" ca="1" si="26"/>
        <v>5.6588118811881252</v>
      </c>
      <c r="Q11" s="96">
        <f t="shared" ca="1" si="27"/>
        <v>2.8799384120096545</v>
      </c>
      <c r="R11" s="365">
        <f t="shared" ca="1" si="28"/>
        <v>3.5407262250527776</v>
      </c>
      <c r="S11" s="96">
        <f t="shared" ca="1" si="29"/>
        <v>4.1735194970314078</v>
      </c>
      <c r="T11" s="96">
        <f t="shared" ca="1" si="30"/>
        <v>1.1682195754722551</v>
      </c>
      <c r="U11" s="95">
        <f t="shared" ca="1" si="31"/>
        <v>40.488107709442623</v>
      </c>
      <c r="V11" s="95">
        <f t="shared" ca="1" si="32"/>
        <v>2.6237623762376239</v>
      </c>
      <c r="W11" s="95">
        <f t="shared" ca="1" si="33"/>
        <v>3.1518151815181517</v>
      </c>
      <c r="X11" s="96">
        <f t="shared" ca="1" si="34"/>
        <v>0.84837898267188372</v>
      </c>
      <c r="Y11" s="96">
        <f t="shared" ca="1" si="35"/>
        <v>0.81337506176906593</v>
      </c>
      <c r="Z11" s="96">
        <f t="shared" ca="1" si="36"/>
        <v>0.69005030743432083</v>
      </c>
      <c r="AA11" s="147">
        <f t="shared" ca="1" si="37"/>
        <v>50.97050330033003</v>
      </c>
      <c r="AB11" s="95">
        <f t="shared" ca="1" si="38"/>
        <v>9.0072800387257708</v>
      </c>
      <c r="AC11" s="96">
        <f t="shared" ca="1" si="39"/>
        <v>0.31973452580886669</v>
      </c>
      <c r="AD11" s="129">
        <f t="shared" ca="1" si="40"/>
        <v>31.892312649510735</v>
      </c>
      <c r="AE11" s="472">
        <f ca="1">SUM(OFFSET(Arb!AK$36,MATCH(A11,OFFSET(Arb!AK$36,,,23,),0)-1,B11,1,6))</f>
        <v>83</v>
      </c>
      <c r="AF11" s="364">
        <f t="shared" ca="1" si="41"/>
        <v>3.6506024096385543</v>
      </c>
      <c r="AG11" s="94">
        <f ca="1">COUNTIFS(BV!$H$2:$H$54,"&gt;=" &amp; DATE($A11,$B11,1),BV!$H$2:$H$54,"&lt;" &amp; DATE($A11,$C11+1,1))</f>
        <v>11</v>
      </c>
      <c r="AH11" s="94">
        <f ca="1">COUNTIFS(BV!$P$2:$P$54,"&gt;=" &amp; DATE($A11,$B11,1),BV!$P$2:$P$54,"&lt;" &amp; DATE($A11,$C11+1,1))</f>
        <v>12</v>
      </c>
      <c r="AI11" s="94">
        <f ca="1">COUNTIFS(BV!$X$2:$X$54,"&gt;=" &amp; DATE($A11,$B11,1),BV!$X$2:$X$54,"&lt;" &amp; DATE($A11,$C11+1,1))</f>
        <v>6</v>
      </c>
      <c r="AJ11" s="94">
        <f ca="1">COUNTIFS(BV!$AF$2:$AF$54,"&gt;=" &amp; DATE($A11,$B11,1),BV!$AF$2:$AF$54,"&lt;" &amp; DATE($A11,$C11+1,1))</f>
        <v>5</v>
      </c>
      <c r="AK11" s="94">
        <f ca="1">COUNTIFS(BV!$AN$2:$AN$54,"&gt;=" &amp; DATE($A11,$B11,1),BV!$AN$2:$AN$54,"&lt;" &amp; DATE($A11,$C11+1,1))</f>
        <v>8</v>
      </c>
      <c r="AL11" s="94">
        <f ca="1">COUNTIFS(BV!$AV$2:$AV$54,"&gt;=" &amp; DATE($A11,$B11,1),BV!$AV$2:$AV$54,"&lt;" &amp; DATE($A11,$C11+1,1))</f>
        <v>3</v>
      </c>
      <c r="AM11" s="94">
        <f ca="1">COUNTIFS(BV!$BD$2:$BD$54,"&gt;=" &amp; DATE($A11,$B11,1),BV!$BD$2:$BD$54,"&lt;" &amp; DATE($A11,$C11+1,1))</f>
        <v>5</v>
      </c>
      <c r="AN11" s="94">
        <f ca="1">COUNTIFS(BV!$BL$2:$BL$54,"&gt;=" &amp; DATE($A11,$B11,1),BV!$BL$2:$BL$54,"&lt;" &amp; DATE($A11,$C11+1,1))</f>
        <v>3</v>
      </c>
      <c r="AO11" s="94">
        <f ca="1">COUNTIFS(BV!$BT$2:$BT$54,"&gt;=" &amp; DATE($A11,$B11,1),BV!$BT$2:$BT$54,"&lt;" &amp; DATE($A11,$C11+1,1))</f>
        <v>4</v>
      </c>
      <c r="AP11" s="94">
        <f ca="1">COUNTIFS(BV!$CB$2:$CB$54,"&gt;=" &amp; DATE($A11,$B11,1),BV!$CB$2:$CB$54,"&lt;" &amp; DATE($A11,$C11+1,1))</f>
        <v>9</v>
      </c>
      <c r="AQ11" s="366">
        <f t="shared" ca="1" si="42"/>
        <v>247.83730158730157</v>
      </c>
      <c r="AR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20</v>
      </c>
      <c r="AS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15</v>
      </c>
      <c r="AT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16</v>
      </c>
      <c r="AU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10</v>
      </c>
      <c r="AV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10</v>
      </c>
      <c r="AW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16</v>
      </c>
      <c r="AX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11</v>
      </c>
      <c r="AY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11</v>
      </c>
      <c r="AZ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11</v>
      </c>
      <c r="BA11" s="510">
        <f ca="1">COUNTIFS(OFFSET(Time!$J$2,(COLUMN()-44)*20,,20,),"&gt;=" &amp; DATE($A11,$B11,1),OFFSET(Time!$J$2,(COLUMN()-44)*20,,20,),"&lt;" &amp; DATE($A11,$C11+1,1))+COUNTIFS(OFFSET(Bvs!$J$2,(COLUMN()-44)*20,,20,),"&gt;=" &amp; DATE($A11,$B11,1),OFFSET(Bvs!$J$2,(COLUMN()-44)*20,,20,),"&lt;" &amp; DATE($A11,$C11+1,1))+COUNTIFS(OFFSET(QG!$J$2,(COLUMN()-44)*20,,20,),"&gt;=" &amp; DATE($A11,$B11,1),OFFSET(QG!$J$2,(COLUMN()-44)*20,,20,),"&lt;" &amp; DATE($A11,$C11+1,1))</f>
        <v>16</v>
      </c>
      <c r="BB11" s="366">
        <f t="shared" ca="1" si="43"/>
        <v>457.68650793650795</v>
      </c>
      <c r="BC11" s="366">
        <f t="shared" ca="1" si="44"/>
        <v>705.52380952380952</v>
      </c>
      <c r="BD11" s="95">
        <f t="shared" ca="1" si="45"/>
        <v>8.5002868617326452</v>
      </c>
      <c r="BE11" s="95">
        <f t="shared" ca="1" si="46"/>
        <v>2.3284614175703284</v>
      </c>
    </row>
    <row r="12" spans="1:57" ht="13.8" thickBot="1" x14ac:dyDescent="0.3">
      <c r="A12" s="370">
        <f t="shared" ref="A12:A21" si="49">A22</f>
        <v>2016</v>
      </c>
      <c r="B12" s="371">
        <f>B22</f>
        <v>1</v>
      </c>
      <c r="C12" s="371">
        <f>C22</f>
        <v>6</v>
      </c>
      <c r="D12" s="372" t="s">
        <v>39</v>
      </c>
      <c r="E12" s="157">
        <f ca="1">COUNTIFS(OFFSET(Arb!$C$2,Arb!$AJ$36,,Arb!$AJ$37,),$A12,OFFSET(Arb!$AI$2,Arb!$AJ$36,,Arb!$AJ$37,),TRUE,OFFSET(Arb!$B$2,Arb!$AJ$36,,Arb!$AJ$37,),"&gt;="&amp;$B12,OFFSET(Arb!$B$2,Arb!$AJ$36,,Arb!$AJ$37,),"&lt;="&amp;$C12)</f>
        <v>0</v>
      </c>
      <c r="F12" s="157">
        <f ca="1">SUMIFS(OFFSET(Arb!$I$2,Arb!$AJ$36,,Arb!$AJ$37,),OFFSET(Arb!$C$2,Arb!$AJ$36,,Arb!$AJ$37,),$A12,OFFSET(Arb!$AI$2,Arb!$AJ$36,,Arb!$AJ$37,),TRUE,OFFSET(Arb!$B$2,Arb!$AJ$36,,Arb!$AJ$37,),"&gt;="&amp;$B12,OFFSET(Arb!$B$2,Arb!$AJ$36,,Arb!$AJ$37,),"&lt;="&amp;$C12)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G12" s="157">
        <f ca="1">SUMIFS(OFFSET(Arb!$H$2,Arb!$AJ$36,,Arb!$AJ$37,),OFFSET(Arb!$C$2,Arb!$AJ$36,,Arb!$AJ$37,),$A12,OFFSET(Arb!$AI$2,Arb!$AJ$36,,Arb!$AJ$37,),TRUE,OFFSET(Arb!$B$2,Arb!$AJ$36,,Arb!$AJ$37,),"&gt;="&amp;$B12,OFFSET(Arb!$B$2,Arb!$AJ$36,,Arb!$AJ$37,),"&lt;="&amp;$C12)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H12" s="157">
        <f ca="1">SUMIFS(OFFSET(Arb!$AC$2,Arb!$AJ$36,,Arb!$AJ$37,),OFFSET(Arb!$C$2,Arb!$AJ$36,,Arb!$AJ$37,),$A12,OFFSET(Arb!$AI$2,Arb!$AJ$36,,Arb!$AJ$37,),TRUE,OFFSET(Arb!$B$2,Arb!$AJ$36,,Arb!$AJ$37,),"&gt;="&amp;$B12,OFFSET(Arb!$B$2,Arb!$AJ$36,,Arb!$AJ$37,),"&lt;="&amp;$C12)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I12" s="157">
        <f ca="1">SUMIFS(OFFSET(Arb!$U$2,Arb!$AJ$36,,Arb!$AJ$37,),OFFSET(Arb!$C$2,Arb!$AJ$36,,Arb!$AJ$37,),$A12,OFFSET(Arb!$AI$2,Arb!$AJ$36,,Arb!$AJ$37,),TRUE,OFFSET(Arb!$B$2,Arb!$AJ$36,,Arb!$AJ$37,),"&gt;="&amp;$B12,OFFSET(Arb!$B$2,Arb!$AJ$36,,Arb!$AJ$37,),"&lt;="&amp;$C12)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J12" s="157">
        <f ca="1">SUMIFS(OFFSET(Arb!$V$2,Arb!$AJ$36,,Arb!$AJ$37,),OFFSET(Arb!$C$2,Arb!$AJ$36,,Arb!$AJ$37,),$A12,OFFSET(Arb!$AI$2,Arb!$AJ$36,,Arb!$AJ$37,),TRUE,OFFSET(Arb!$B$2,Arb!$AJ$36,,Arb!$AJ$37,),"&gt;="&amp;$B12,OFFSET(Arb!$B$2,Arb!$AJ$36,,Arb!$AJ$37,),"&lt;="&amp;$C12)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K12" s="157">
        <f ca="1">SUMIFS(OFFSET(Arb!$X$2,Arb!$AJ$36,,Arb!$AJ$37,),OFFSET(Arb!$C$2,Arb!$AJ$36,,Arb!$AJ$37,),$A12,OFFSET(Arb!$AI$2,Arb!$AJ$36,,Arb!$AJ$37,),TRUE,OFFSET(Arb!$B$2,Arb!$AJ$36,,Arb!$AJ$37,),"&gt;="&amp;$B12,OFFSET(Arb!$B$2,Arb!$AJ$36,,Arb!$AJ$37,),"&lt;="&amp;$C12)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L12" s="157">
        <f ca="1">SUMIFS(OFFSET(Arb!$AA$2,Arb!$AJ$36,,Arb!$AJ$37,),OFFSET(Arb!$C$2,Arb!$AJ$36,,Arb!$AJ$37,),$A12,OFFSET(Arb!$AI$2,Arb!$AJ$36,,Arb!$AJ$37,),TRUE,OFFSET(Arb!$B$2,Arb!$AJ$36,,Arb!$AJ$37,),"&gt;="&amp;$B12,OFFSET(Arb!$B$2,Arb!$AJ$36,,Arb!$AJ$37,),"&lt;="&amp;$C12)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M12" s="157">
        <f ca="1">SUMIFS(OFFSET(Arb!$AB$2,Arb!$AJ$36,,Arb!$AJ$37,),OFFSET(Arb!$C$2,Arb!$AJ$36,,Arb!$AJ$37,),$A12,OFFSET(Arb!$AI$2,Arb!$AJ$36,,Arb!$AJ$37,),TRUE,OFFSET(Arb!$B$2,Arb!$AJ$36,,Arb!$AJ$37,),"&gt;="&amp;$B12,OFFSET(Arb!$B$2,Arb!$AJ$36,,Arb!$AJ$37,),"&lt;="&amp;$C12)</f>
        <v>0</v>
      </c>
      <c r="N12" s="157">
        <f t="shared" ref="N12" ca="1" si="50">I12+J12</f>
        <v>0</v>
      </c>
      <c r="O12" s="390" t="str">
        <f t="shared" ref="O12" ca="1" si="51">IFERROR(F12/E12,"")</f>
        <v/>
      </c>
      <c r="P12" s="373" t="str">
        <f t="shared" ref="P12" ca="1" si="52">IFERROR(G12/E12,"")</f>
        <v/>
      </c>
      <c r="Q12" s="106" t="str">
        <f t="shared" ref="Q12" ca="1" si="53">IFERROR(O12/P12,"")</f>
        <v/>
      </c>
      <c r="R12" s="374" t="str">
        <f t="shared" ref="R12" ca="1" si="54">IFERROR(K12/G12,"")</f>
        <v/>
      </c>
      <c r="S12" s="106" t="str">
        <f t="shared" ref="S12" ca="1" si="55">IFERROR(N12/G12,"")</f>
        <v/>
      </c>
      <c r="T12" s="106" t="str">
        <f t="shared" ref="T12" ca="1" si="56">IFERROR(P12^1.7/O12,"")</f>
        <v/>
      </c>
      <c r="U12" s="105" t="str">
        <f t="shared" ref="U12" ca="1" si="57">IFERROR((IF(D12="beg",47.299,0)+IF(D12="int",153.73,0)+IF(D12="exp",435.001,0))/T12,"")</f>
        <v/>
      </c>
      <c r="V12" s="105" t="str">
        <f t="shared" ref="V12" ca="1" si="58">IFERROR(L12/E12,"")</f>
        <v/>
      </c>
      <c r="W12" s="105" t="str">
        <f t="shared" ref="W12" ca="1" si="59">IFERROR(M12/E12,"")</f>
        <v/>
      </c>
      <c r="X12" s="106" t="str">
        <f t="shared" ref="X12" ca="1" si="60">IFERROR(R12/S12,"")</f>
        <v/>
      </c>
      <c r="Y12" s="106" t="str">
        <f t="shared" ref="Y12" ca="1" si="61">IFERROR(Q12/R12,"")</f>
        <v/>
      </c>
      <c r="Z12" s="106" t="str">
        <f t="shared" ref="Z12" ca="1" si="62">IFERROR(F12/N12,"")</f>
        <v/>
      </c>
      <c r="AA12" s="158" t="str">
        <f t="shared" ref="AA12" ca="1" si="63">IFERROR(H12/E12/16,"")</f>
        <v/>
      </c>
      <c r="AB12" s="105" t="str">
        <f t="shared" ref="AB12" ca="1" si="64">IFERROR(AA12/P12,"")</f>
        <v/>
      </c>
      <c r="AC12" s="106" t="str">
        <f t="shared" ref="AC12" ca="1" si="65">IFERROR(O12/AA12,"")</f>
        <v/>
      </c>
      <c r="AD12" s="132" t="str">
        <f t="shared" ref="AD12" ca="1" si="66">IFERROR(AB12*R12,"")</f>
        <v/>
      </c>
      <c r="AE12" s="547" t="str">
        <f>AE1</f>
        <v>天数</v>
      </c>
      <c r="AF12" s="373" t="e">
        <f t="shared" ref="AF12" ca="1" si="67">E12/AE12</f>
        <v>#VALUE!</v>
      </c>
      <c r="AG12" s="104">
        <f ca="1">COUNTIFS(BV!$H$55:$H$160,"&gt;=" &amp; DATE($A12,$B12,1),BV!$H$55:$H$160,"&lt;" &amp; DATE($A12,$C12+1,1))</f>
        <v>0</v>
      </c>
      <c r="AH12" s="104">
        <f ca="1">COUNTIFS(BV!$P$55:$P$160,"&gt;=" &amp; DATE($A12,$B12,1),BV!$P$55:$P$160,"&lt;" &amp; DATE($A12,$C12+1,1))</f>
        <v>0</v>
      </c>
      <c r="AI12" s="104">
        <f ca="1">COUNTIFS(BV!$X$55:$X$160,"&gt;=" &amp; DATE($A12,$B12,1),BV!$X$55:$X$160,"&lt;" &amp; DATE($A12,$C12+1,1))</f>
        <v>0</v>
      </c>
      <c r="AJ12" s="104">
        <f ca="1">COUNTIFS(BV!$AF$55:$AF$160,"&gt;=" &amp; DATE($A12,$B12,1),BV!$AF$55:$AF$160,"&lt;" &amp; DATE($A12,$C12+1,1))</f>
        <v>0</v>
      </c>
      <c r="AK12" s="104">
        <f ca="1">COUNTIFS(BV!$AN$55:$AN$160,"&gt;=" &amp; DATE($A12,$B12,1),BV!$AN$55:$AN$160,"&lt;" &amp; DATE($A12,$C12+1,1))</f>
        <v>0</v>
      </c>
      <c r="AL12" s="104">
        <f ca="1">COUNTIFS(BV!$AV$55:$AV$160,"&gt;=" &amp; DATE($A12,$B12,1),BV!$AV$55:$AV$160,"&lt;" &amp; DATE($A12,$C12+1,1))</f>
        <v>0</v>
      </c>
      <c r="AM12" s="104">
        <f ca="1">COUNTIFS(BV!$BD$55:$BD$160,"&gt;=" &amp; DATE($A12,$B12,1),BV!$BD$55:$BD$160,"&lt;" &amp; DATE($A12,$C12+1,1))</f>
        <v>0</v>
      </c>
      <c r="AN12" s="104">
        <f ca="1">COUNTIFS(BV!$BL$55:$BL$160,"&gt;=" &amp; DATE($A12,$B12,1),BV!$BL$55:$BL$160,"&lt;" &amp; DATE($A12,$C12+1,1))</f>
        <v>0</v>
      </c>
      <c r="AO12" s="104">
        <f ca="1">COUNTIFS(BV!$BT$55:$BT$160,"&gt;=" &amp; DATE($A12,$B12,1),BV!$BT$55:$BT$160,"&lt;" &amp; DATE($A12,$C12+1,1))</f>
        <v>0</v>
      </c>
      <c r="AP12" s="104">
        <f ca="1">COUNTIFS(BV!$CB$55:$CB$160,"&gt;=" &amp; DATE($A12,$B12,1),BV!$CB$55:$CB$160,"&lt;" &amp; DATE($A12,$C12+1,1))</f>
        <v>0</v>
      </c>
      <c r="AQ12" s="375">
        <f t="shared" ref="AQ12" ca="1" si="68">(AG12+AH12/2+AI12/3+AJ12/4+AK12/5+AL12/6+AM12/7+AN12/8+AO12/9+AP12/10)*10</f>
        <v>0</v>
      </c>
      <c r="AR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S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T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U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V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W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X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Y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AZ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BA12" s="547">
        <f ca="1">COUNTIFS(OFFSET(Time!$T$2,(COLUMN()-44)*20,,20,),"&gt;=" &amp; DATE($A12,$B12,1),OFFSET(Time!$T$2,(COLUMN()-44)*20,,20,),"&lt;" &amp; DATE($A12,$C12+1,1))+COUNTIFS(OFFSET(Bvs!$T$2,(COLUMN()-44)*20,,20,),"&gt;=" &amp; DATE($A12,$B12,1),OFFSET(Bvs!$T$2,(COLUMN()-44)*20,,20,),"&lt;" &amp; DATE($A12,$C12+1,1))+COUNTIFS(OFFSET(QG!$T$2,(COLUMN()-44)*20,,20,),"&gt;=" &amp; DATE($A12,$B12,1),OFFSET(QG!$T$2,(COLUMN()-44)*20,,20,),"&lt;" &amp; DATE($A12,$C12+1,1))</f>
        <v>0</v>
      </c>
      <c r="BB12" s="375">
        <f t="shared" ref="BB12" ca="1" si="69">(AR12+AS12/2+AT12/3+AU12/4+AV12/5+AW12/6+AX12/7+AY12/8+AZ12/9+BA12/10)*10</f>
        <v>0</v>
      </c>
      <c r="BC12" s="375">
        <f t="shared" ref="BC12" ca="1" si="70">AQ12+BB12</f>
        <v>0</v>
      </c>
      <c r="BD12" s="105" t="e">
        <f t="shared" ref="BD12" ca="1" si="71">BC12/AE12</f>
        <v>#VALUE!</v>
      </c>
      <c r="BE12" s="392" t="e">
        <f t="shared" ref="BE12" ca="1" si="72">IF(AF12=0,0,BD12/AF12)</f>
        <v>#VALUE!</v>
      </c>
    </row>
    <row r="13" spans="1:57" x14ac:dyDescent="0.25">
      <c r="A13" s="370">
        <f t="shared" si="49"/>
        <v>2016</v>
      </c>
      <c r="B13" s="371">
        <f>B23</f>
        <v>7</v>
      </c>
      <c r="C13" s="371">
        <f>C23</f>
        <v>12</v>
      </c>
      <c r="D13" s="372" t="s">
        <v>39</v>
      </c>
      <c r="E13" s="157">
        <f ca="1">COUNTIFS(OFFSET(Arb!$C$2,Arb!$AJ$36,,Arb!$AJ$37,),$A13,OFFSET(Arb!$AI$2,Arb!$AJ$36,,Arb!$AJ$37,),TRUE,OFFSET(Arb!$B$2,Arb!$AJ$36,,Arb!$AJ$37,),"&gt;="&amp;$B13,OFFSET(Arb!$B$2,Arb!$AJ$36,,Arb!$AJ$37,),"&lt;="&amp;$C13)</f>
        <v>0</v>
      </c>
      <c r="F13" s="157">
        <f ca="1">SUMIFS(OFFSET(Arb!$I$2,Arb!$AJ$36,,Arb!$AJ$37,),OFFSET(Arb!$C$2,Arb!$AJ$36,,Arb!$AJ$37,),$A13,OFFSET(Arb!$AI$2,Arb!$AJ$36,,Arb!$AJ$37,),TRUE,OFFSET(Arb!$B$2,Arb!$AJ$36,,Arb!$AJ$37,),"&gt;="&amp;$B13,OFFSET(Arb!$B$2,Arb!$AJ$36,,Arb!$AJ$37,),"&lt;="&amp;$C13)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G13" s="157">
        <f ca="1">SUMIFS(OFFSET(Arb!$H$2,Arb!$AJ$36,,Arb!$AJ$37,),OFFSET(Arb!$C$2,Arb!$AJ$36,,Arb!$AJ$37,),$A13,OFFSET(Arb!$AI$2,Arb!$AJ$36,,Arb!$AJ$37,),TRUE,OFFSET(Arb!$B$2,Arb!$AJ$36,,Arb!$AJ$37,),"&gt;="&amp;$B13,OFFSET(Arb!$B$2,Arb!$AJ$36,,Arb!$AJ$37,),"&lt;="&amp;$C13)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H13" s="157">
        <f ca="1">SUMIFS(OFFSET(Arb!$AC$2,Arb!$AJ$36,,Arb!$AJ$37,),OFFSET(Arb!$C$2,Arb!$AJ$36,,Arb!$AJ$37,),$A13,OFFSET(Arb!$AI$2,Arb!$AJ$36,,Arb!$AJ$37,),TRUE,OFFSET(Arb!$B$2,Arb!$AJ$36,,Arb!$AJ$37,),"&gt;="&amp;$B13,OFFSET(Arb!$B$2,Arb!$AJ$36,,Arb!$AJ$37,),"&lt;="&amp;$C13)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I13" s="157">
        <f ca="1">SUMIFS(OFFSET(Arb!$U$2,Arb!$AJ$36,,Arb!$AJ$37,),OFFSET(Arb!$C$2,Arb!$AJ$36,,Arb!$AJ$37,),$A13,OFFSET(Arb!$AI$2,Arb!$AJ$36,,Arb!$AJ$37,),TRUE,OFFSET(Arb!$B$2,Arb!$AJ$36,,Arb!$AJ$37,),"&gt;="&amp;$B13,OFFSET(Arb!$B$2,Arb!$AJ$36,,Arb!$AJ$37,),"&lt;="&amp;$C13)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J13" s="157">
        <f ca="1">SUMIFS(OFFSET(Arb!$V$2,Arb!$AJ$36,,Arb!$AJ$37,),OFFSET(Arb!$C$2,Arb!$AJ$36,,Arb!$AJ$37,),$A13,OFFSET(Arb!$AI$2,Arb!$AJ$36,,Arb!$AJ$37,),TRUE,OFFSET(Arb!$B$2,Arb!$AJ$36,,Arb!$AJ$37,),"&gt;="&amp;$B13,OFFSET(Arb!$B$2,Arb!$AJ$36,,Arb!$AJ$37,),"&lt;="&amp;$C13)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K13" s="157">
        <f ca="1">SUMIFS(OFFSET(Arb!$X$2,Arb!$AJ$36,,Arb!$AJ$37,),OFFSET(Arb!$C$2,Arb!$AJ$36,,Arb!$AJ$37,),$A13,OFFSET(Arb!$AI$2,Arb!$AJ$36,,Arb!$AJ$37,),TRUE,OFFSET(Arb!$B$2,Arb!$AJ$36,,Arb!$AJ$37,),"&gt;="&amp;$B13,OFFSET(Arb!$B$2,Arb!$AJ$36,,Arb!$AJ$37,),"&lt;="&amp;$C13)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L13" s="157">
        <f ca="1">SUMIFS(OFFSET(Arb!$AA$2,Arb!$AJ$36,,Arb!$AJ$37,),OFFSET(Arb!$C$2,Arb!$AJ$36,,Arb!$AJ$37,),$A13,OFFSET(Arb!$AI$2,Arb!$AJ$36,,Arb!$AJ$37,),TRUE,OFFSET(Arb!$B$2,Arb!$AJ$36,,Arb!$AJ$37,),"&gt;="&amp;$B13,OFFSET(Arb!$B$2,Arb!$AJ$36,,Arb!$AJ$37,),"&lt;="&amp;$C13)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M13" s="157">
        <f ca="1">SUMIFS(OFFSET(Arb!$AB$2,Arb!$AJ$36,,Arb!$AJ$37,),OFFSET(Arb!$C$2,Arb!$AJ$36,,Arb!$AJ$37,),$A13,OFFSET(Arb!$AI$2,Arb!$AJ$36,,Arb!$AJ$37,),TRUE,OFFSET(Arb!$B$2,Arb!$AJ$36,,Arb!$AJ$37,),"&gt;="&amp;$B13,OFFSET(Arb!$B$2,Arb!$AJ$36,,Arb!$AJ$37,),"&lt;="&amp;$C13)</f>
        <v>0</v>
      </c>
      <c r="N13" s="157">
        <f t="shared" ca="1" si="24"/>
        <v>0</v>
      </c>
      <c r="O13" s="390" t="str">
        <f t="shared" ca="1" si="25"/>
        <v/>
      </c>
      <c r="P13" s="373" t="str">
        <f t="shared" ca="1" si="26"/>
        <v/>
      </c>
      <c r="Q13" s="106" t="str">
        <f t="shared" ca="1" si="27"/>
        <v/>
      </c>
      <c r="R13" s="374" t="str">
        <f t="shared" ca="1" si="28"/>
        <v/>
      </c>
      <c r="S13" s="106" t="str">
        <f t="shared" ca="1" si="29"/>
        <v/>
      </c>
      <c r="T13" s="106" t="str">
        <f t="shared" ca="1" si="30"/>
        <v/>
      </c>
      <c r="U13" s="105" t="str">
        <f t="shared" ca="1" si="31"/>
        <v/>
      </c>
      <c r="V13" s="105" t="str">
        <f t="shared" ca="1" si="32"/>
        <v/>
      </c>
      <c r="W13" s="105" t="str">
        <f t="shared" ca="1" si="33"/>
        <v/>
      </c>
      <c r="X13" s="106" t="str">
        <f t="shared" ca="1" si="34"/>
        <v/>
      </c>
      <c r="Y13" s="106" t="str">
        <f t="shared" ca="1" si="35"/>
        <v/>
      </c>
      <c r="Z13" s="106" t="str">
        <f t="shared" ca="1" si="36"/>
        <v/>
      </c>
      <c r="AA13" s="158" t="str">
        <f t="shared" ca="1" si="37"/>
        <v/>
      </c>
      <c r="AB13" s="105" t="str">
        <f t="shared" ca="1" si="38"/>
        <v/>
      </c>
      <c r="AC13" s="106" t="str">
        <f t="shared" ca="1" si="39"/>
        <v/>
      </c>
      <c r="AD13" s="132" t="str">
        <f t="shared" ca="1" si="40"/>
        <v/>
      </c>
      <c r="AE13" s="470" t="e">
        <f ca="1">AE3</f>
        <v>#N/A</v>
      </c>
      <c r="AF13" s="373" t="e">
        <f t="shared" ca="1" si="41"/>
        <v>#N/A</v>
      </c>
      <c r="AG13" s="104">
        <f ca="1">COUNTIFS(BV!$H$55:$H$160,"&gt;=" &amp; DATE($A13,$B13,1),BV!$H$55:$H$160,"&lt;" &amp; DATE($A13,$C13+1,1))</f>
        <v>0</v>
      </c>
      <c r="AH13" s="104">
        <f ca="1">COUNTIFS(BV!$P$55:$P$160,"&gt;=" &amp; DATE($A13,$B13,1),BV!$P$55:$P$160,"&lt;" &amp; DATE($A13,$C13+1,1))</f>
        <v>0</v>
      </c>
      <c r="AI13" s="104">
        <f ca="1">COUNTIFS(BV!$X$55:$X$160,"&gt;=" &amp; DATE($A13,$B13,1),BV!$X$55:$X$160,"&lt;" &amp; DATE($A13,$C13+1,1))</f>
        <v>0</v>
      </c>
      <c r="AJ13" s="104">
        <f ca="1">COUNTIFS(BV!$AF$55:$AF$160,"&gt;=" &amp; DATE($A13,$B13,1),BV!$AF$55:$AF$160,"&lt;" &amp; DATE($A13,$C13+1,1))</f>
        <v>0</v>
      </c>
      <c r="AK13" s="104">
        <f ca="1">COUNTIFS(BV!$AN$55:$AN$160,"&gt;=" &amp; DATE($A13,$B13,1),BV!$AN$55:$AN$160,"&lt;" &amp; DATE($A13,$C13+1,1))</f>
        <v>0</v>
      </c>
      <c r="AL13" s="104">
        <f ca="1">COUNTIFS(BV!$AV$55:$AV$160,"&gt;=" &amp; DATE($A13,$B13,1),BV!$AV$55:$AV$160,"&lt;" &amp; DATE($A13,$C13+1,1))</f>
        <v>0</v>
      </c>
      <c r="AM13" s="104">
        <f ca="1">COUNTIFS(BV!$BD$55:$BD$160,"&gt;=" &amp; DATE($A13,$B13,1),BV!$BD$55:$BD$160,"&lt;" &amp; DATE($A13,$C13+1,1))</f>
        <v>0</v>
      </c>
      <c r="AN13" s="104">
        <f ca="1">COUNTIFS(BV!$BL$55:$BL$160,"&gt;=" &amp; DATE($A13,$B13,1),BV!$BL$55:$BL$160,"&lt;" &amp; DATE($A13,$C13+1,1))</f>
        <v>0</v>
      </c>
      <c r="AO13" s="104">
        <f ca="1">COUNTIFS(BV!$BT$55:$BT$160,"&gt;=" &amp; DATE($A13,$B13,1),BV!$BT$55:$BT$160,"&lt;" &amp; DATE($A13,$C13+1,1))</f>
        <v>0</v>
      </c>
      <c r="AP13" s="104">
        <f ca="1">COUNTIFS(BV!$CB$55:$CB$160,"&gt;=" &amp; DATE($A13,$B13,1),BV!$CB$55:$CB$160,"&lt;" &amp; DATE($A13,$C13+1,1))</f>
        <v>0</v>
      </c>
      <c r="AQ13" s="375">
        <f t="shared" ca="1" si="42"/>
        <v>0</v>
      </c>
      <c r="AR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S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T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U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V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W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X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Y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AZ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BA13" s="510">
        <f ca="1">COUNTIFS(OFFSET(Time!$T$2,(COLUMN()-44)*20,,20,),"&gt;=" &amp; DATE($A13,$B13,1),OFFSET(Time!$T$2,(COLUMN()-44)*20,,20,),"&lt;" &amp; DATE($A13,$C13+1,1))+COUNTIFS(OFFSET(Bvs!$T$2,(COLUMN()-44)*20,,20,),"&gt;=" &amp; DATE($A13,$B13,1),OFFSET(Bvs!$T$2,(COLUMN()-44)*20,,20,),"&lt;" &amp; DATE($A13,$C13+1,1))+COUNTIFS(OFFSET(QG!$T$2,(COLUMN()-44)*20,,20,),"&gt;=" &amp; DATE($A13,$B13,1),OFFSET(QG!$T$2,(COLUMN()-44)*20,,20,),"&lt;" &amp; DATE($A13,$C13+1,1))</f>
        <v>0</v>
      </c>
      <c r="BB13" s="375">
        <f t="shared" ca="1" si="43"/>
        <v>0</v>
      </c>
      <c r="BC13" s="375">
        <f t="shared" ca="1" si="44"/>
        <v>0</v>
      </c>
      <c r="BD13" s="105" t="e">
        <f t="shared" ca="1" si="45"/>
        <v>#N/A</v>
      </c>
      <c r="BE13" s="392" t="e">
        <f t="shared" ca="1" si="46"/>
        <v>#N/A</v>
      </c>
    </row>
    <row r="14" spans="1:57" x14ac:dyDescent="0.25">
      <c r="A14" s="377">
        <f t="shared" si="49"/>
        <v>2017</v>
      </c>
      <c r="B14" s="360">
        <f>B24</f>
        <v>1</v>
      </c>
      <c r="C14" s="360">
        <f>C24</f>
        <v>6</v>
      </c>
      <c r="D14" s="361" t="s">
        <v>39</v>
      </c>
      <c r="E14" s="356">
        <f ca="1">COUNTIFS(OFFSET(Arb!$C$2,Arb!$AJ$36,,Arb!$AJ$37,),$A14,OFFSET(Arb!$AI$2,Arb!$AJ$36,,Arb!$AJ$37,),TRUE,OFFSET(Arb!$B$2,Arb!$AJ$36,,Arb!$AJ$37,),"&gt;="&amp;$B14,OFFSET(Arb!$B$2,Arb!$AJ$36,,Arb!$AJ$37,),"&lt;="&amp;$C14)</f>
        <v>0</v>
      </c>
      <c r="F14" s="356">
        <f ca="1">SUMIFS(OFFSET(Arb!$I$2,Arb!$AJ$36,,Arb!$AJ$37,),OFFSET(Arb!$C$2,Arb!$AJ$36,,Arb!$AJ$37,),$A14,OFFSET(Arb!$AI$2,Arb!$AJ$36,,Arb!$AJ$37,),TRUE,OFFSET(Arb!$B$2,Arb!$AJ$36,,Arb!$AJ$37,),"&gt;="&amp;$B14,OFFSET(Arb!$B$2,Arb!$AJ$36,,Arb!$AJ$37,),"&lt;="&amp;$C14)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G14" s="356">
        <f ca="1">SUMIFS(OFFSET(Arb!$H$2,Arb!$AJ$36,,Arb!$AJ$37,),OFFSET(Arb!$C$2,Arb!$AJ$36,,Arb!$AJ$37,),$A14,OFFSET(Arb!$AI$2,Arb!$AJ$36,,Arb!$AJ$37,),TRUE,OFFSET(Arb!$B$2,Arb!$AJ$36,,Arb!$AJ$37,),"&gt;="&amp;$B14,OFFSET(Arb!$B$2,Arb!$AJ$36,,Arb!$AJ$37,),"&lt;="&amp;$C14)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H14" s="356">
        <f ca="1">SUMIFS(OFFSET(Arb!$AC$2,Arb!$AJ$36,,Arb!$AJ$37,),OFFSET(Arb!$C$2,Arb!$AJ$36,,Arb!$AJ$37,),$A14,OFFSET(Arb!$AI$2,Arb!$AJ$36,,Arb!$AJ$37,),TRUE,OFFSET(Arb!$B$2,Arb!$AJ$36,,Arb!$AJ$37,),"&gt;="&amp;$B14,OFFSET(Arb!$B$2,Arb!$AJ$36,,Arb!$AJ$37,),"&lt;="&amp;$C14)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I14" s="356">
        <f ca="1">SUMIFS(OFFSET(Arb!$U$2,Arb!$AJ$36,,Arb!$AJ$37,),OFFSET(Arb!$C$2,Arb!$AJ$36,,Arb!$AJ$37,),$A14,OFFSET(Arb!$AI$2,Arb!$AJ$36,,Arb!$AJ$37,),TRUE,OFFSET(Arb!$B$2,Arb!$AJ$36,,Arb!$AJ$37,),"&gt;="&amp;$B14,OFFSET(Arb!$B$2,Arb!$AJ$36,,Arb!$AJ$37,),"&lt;="&amp;$C14)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J14" s="356">
        <f ca="1">SUMIFS(OFFSET(Arb!$V$2,Arb!$AJ$36,,Arb!$AJ$37,),OFFSET(Arb!$C$2,Arb!$AJ$36,,Arb!$AJ$37,),$A14,OFFSET(Arb!$AI$2,Arb!$AJ$36,,Arb!$AJ$37,),TRUE,OFFSET(Arb!$B$2,Arb!$AJ$36,,Arb!$AJ$37,),"&gt;="&amp;$B14,OFFSET(Arb!$B$2,Arb!$AJ$36,,Arb!$AJ$37,),"&lt;="&amp;$C14)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K14" s="356">
        <f ca="1">SUMIFS(OFFSET(Arb!$X$2,Arb!$AJ$36,,Arb!$AJ$37,),OFFSET(Arb!$C$2,Arb!$AJ$36,,Arb!$AJ$37,),$A14,OFFSET(Arb!$AI$2,Arb!$AJ$36,,Arb!$AJ$37,),TRUE,OFFSET(Arb!$B$2,Arb!$AJ$36,,Arb!$AJ$37,),"&gt;="&amp;$B14,OFFSET(Arb!$B$2,Arb!$AJ$36,,Arb!$AJ$37,),"&lt;="&amp;$C14)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L14" s="356">
        <f ca="1">SUMIFS(OFFSET(Arb!$AA$2,Arb!$AJ$36,,Arb!$AJ$37,),OFFSET(Arb!$C$2,Arb!$AJ$36,,Arb!$AJ$37,),$A14,OFFSET(Arb!$AI$2,Arb!$AJ$36,,Arb!$AJ$37,),TRUE,OFFSET(Arb!$B$2,Arb!$AJ$36,,Arb!$AJ$37,),"&gt;="&amp;$B14,OFFSET(Arb!$B$2,Arb!$AJ$36,,Arb!$AJ$37,),"&lt;="&amp;$C14)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M14" s="356">
        <f ca="1">SUMIFS(OFFSET(Arb!$AB$2,Arb!$AJ$36,,Arb!$AJ$37,),OFFSET(Arb!$C$2,Arb!$AJ$36,,Arb!$AJ$37,),$A14,OFFSET(Arb!$AI$2,Arb!$AJ$36,,Arb!$AJ$37,),TRUE,OFFSET(Arb!$B$2,Arb!$AJ$36,,Arb!$AJ$37,),"&gt;="&amp;$B14,OFFSET(Arb!$B$2,Arb!$AJ$36,,Arb!$AJ$37,),"&lt;="&amp;$C14)</f>
        <v>0</v>
      </c>
      <c r="N14" s="356">
        <f t="shared" ca="1" si="24"/>
        <v>0</v>
      </c>
      <c r="O14" s="357" t="str">
        <f t="shared" ca="1" si="25"/>
        <v/>
      </c>
      <c r="P14" s="12" t="str">
        <f t="shared" ca="1" si="26"/>
        <v/>
      </c>
      <c r="Q14" s="33" t="str">
        <f t="shared" ca="1" si="27"/>
        <v/>
      </c>
      <c r="R14" s="20" t="str">
        <f t="shared" ca="1" si="28"/>
        <v/>
      </c>
      <c r="S14" s="33" t="str">
        <f t="shared" ca="1" si="29"/>
        <v/>
      </c>
      <c r="T14" s="33" t="str">
        <f t="shared" ca="1" si="30"/>
        <v/>
      </c>
      <c r="U14" s="34" t="str">
        <f t="shared" ca="1" si="31"/>
        <v/>
      </c>
      <c r="V14" s="34" t="str">
        <f t="shared" ca="1" si="32"/>
        <v/>
      </c>
      <c r="W14" s="34" t="str">
        <f t="shared" ca="1" si="33"/>
        <v/>
      </c>
      <c r="X14" s="33" t="str">
        <f t="shared" ca="1" si="34"/>
        <v/>
      </c>
      <c r="Y14" s="33" t="str">
        <f t="shared" ca="1" si="35"/>
        <v/>
      </c>
      <c r="Z14" s="33" t="str">
        <f t="shared" ca="1" si="36"/>
        <v/>
      </c>
      <c r="AA14" s="359" t="str">
        <f t="shared" ca="1" si="37"/>
        <v/>
      </c>
      <c r="AB14" s="34" t="str">
        <f t="shared" ca="1" si="38"/>
        <v/>
      </c>
      <c r="AC14" s="33" t="str">
        <f t="shared" ca="1" si="39"/>
        <v/>
      </c>
      <c r="AD14" s="21" t="str">
        <f t="shared" ca="1" si="40"/>
        <v/>
      </c>
      <c r="AE14" s="470" t="e">
        <f ca="1">AE4</f>
        <v>#N/A</v>
      </c>
      <c r="AF14" s="12" t="e">
        <f t="shared" ca="1" si="41"/>
        <v>#N/A</v>
      </c>
      <c r="AG14" s="358">
        <f ca="1">COUNTIFS(BV!$H$55:$H$160,"&gt;=" &amp; DATE($A14,$B14,1),BV!$H$55:$H$160,"&lt;" &amp; DATE($A14,$C14+1,1))</f>
        <v>0</v>
      </c>
      <c r="AH14" s="358">
        <f ca="1">COUNTIFS(BV!$P$55:$P$160,"&gt;=" &amp; DATE($A14,$B14,1),BV!$P$55:$P$160,"&lt;" &amp; DATE($A14,$C14+1,1))</f>
        <v>0</v>
      </c>
      <c r="AI14" s="358">
        <f ca="1">COUNTIFS(BV!$X$55:$X$160,"&gt;=" &amp; DATE($A14,$B14,1),BV!$X$55:$X$160,"&lt;" &amp; DATE($A14,$C14+1,1))</f>
        <v>0</v>
      </c>
      <c r="AJ14" s="358">
        <f ca="1">COUNTIFS(BV!$AF$55:$AF$160,"&gt;=" &amp; DATE($A14,$B14,1),BV!$AF$55:$AF$160,"&lt;" &amp; DATE($A14,$C14+1,1))</f>
        <v>0</v>
      </c>
      <c r="AK14" s="358">
        <f ca="1">COUNTIFS(BV!$AN$55:$AN$160,"&gt;=" &amp; DATE($A14,$B14,1),BV!$AN$55:$AN$160,"&lt;" &amp; DATE($A14,$C14+1,1))</f>
        <v>0</v>
      </c>
      <c r="AL14" s="358">
        <f ca="1">COUNTIFS(BV!$AV$55:$AV$160,"&gt;=" &amp; DATE($A14,$B14,1),BV!$AV$55:$AV$160,"&lt;" &amp; DATE($A14,$C14+1,1))</f>
        <v>0</v>
      </c>
      <c r="AM14" s="358">
        <f ca="1">COUNTIFS(BV!$BD$55:$BD$160,"&gt;=" &amp; DATE($A14,$B14,1),BV!$BD$55:$BD$160,"&lt;" &amp; DATE($A14,$C14+1,1))</f>
        <v>0</v>
      </c>
      <c r="AN14" s="358">
        <f ca="1">COUNTIFS(BV!$BL$55:$BL$160,"&gt;=" &amp; DATE($A14,$B14,1),BV!$BL$55:$BL$160,"&lt;" &amp; DATE($A14,$C14+1,1))</f>
        <v>0</v>
      </c>
      <c r="AO14" s="358">
        <f ca="1">COUNTIFS(BV!$BT$55:$BT$160,"&gt;=" &amp; DATE($A14,$B14,1),BV!$BT$55:$BT$160,"&lt;" &amp; DATE($A14,$C14+1,1))</f>
        <v>0</v>
      </c>
      <c r="AP14" s="358">
        <f ca="1">COUNTIFS(BV!$CB$55:$CB$160,"&gt;=" &amp; DATE($A14,$B14,1),BV!$CB$55:$CB$160,"&lt;" &amp; DATE($A14,$C14+1,1))</f>
        <v>0</v>
      </c>
      <c r="AQ14" s="35">
        <f t="shared" ca="1" si="42"/>
        <v>0</v>
      </c>
      <c r="AR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S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T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U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V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W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X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Y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AZ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BA14" s="510">
        <f ca="1">COUNTIFS(OFFSET(Time!$T$2,(COLUMN()-44)*20,,20,),"&gt;=" &amp; DATE($A14,$B14,1),OFFSET(Time!$T$2,(COLUMN()-44)*20,,20,),"&lt;" &amp; DATE($A14,$C14+1,1))+COUNTIFS(OFFSET(Bvs!$T$2,(COLUMN()-44)*20,,20,),"&gt;=" &amp; DATE($A14,$B14,1),OFFSET(Bvs!$T$2,(COLUMN()-44)*20,,20,),"&lt;" &amp; DATE($A14,$C14+1,1))+COUNTIFS(OFFSET(QG!$T$2,(COLUMN()-44)*20,,20,),"&gt;=" &amp; DATE($A14,$B14,1),OFFSET(QG!$T$2,(COLUMN()-44)*20,,20,),"&lt;" &amp; DATE($A14,$C14+1,1))</f>
        <v>0</v>
      </c>
      <c r="BB14" s="35">
        <f t="shared" ca="1" si="43"/>
        <v>0</v>
      </c>
      <c r="BC14" s="35">
        <f t="shared" ca="1" si="44"/>
        <v>0</v>
      </c>
      <c r="BD14" s="34" t="e">
        <f t="shared" ca="1" si="45"/>
        <v>#N/A</v>
      </c>
      <c r="BE14" s="393" t="e">
        <f t="shared" ca="1" si="46"/>
        <v>#N/A</v>
      </c>
    </row>
    <row r="15" spans="1:57" x14ac:dyDescent="0.25">
      <c r="A15" s="377">
        <f t="shared" si="49"/>
        <v>2017</v>
      </c>
      <c r="B15" s="360">
        <f>B25</f>
        <v>7</v>
      </c>
      <c r="C15" s="360">
        <f>C25</f>
        <v>12</v>
      </c>
      <c r="D15" s="361" t="s">
        <v>39</v>
      </c>
      <c r="E15" s="356">
        <f ca="1">COUNTIFS(OFFSET(Arb!$C$2,Arb!$AJ$36,,Arb!$AJ$37,),$A15,OFFSET(Arb!$AI$2,Arb!$AJ$36,,Arb!$AJ$37,),TRUE,OFFSET(Arb!$B$2,Arb!$AJ$36,,Arb!$AJ$37,),"&gt;="&amp;$B15,OFFSET(Arb!$B$2,Arb!$AJ$36,,Arb!$AJ$37,),"&lt;="&amp;$C15)</f>
        <v>0</v>
      </c>
      <c r="F15" s="356">
        <f ca="1">SUMIFS(OFFSET(Arb!$I$2,Arb!$AJ$36,,Arb!$AJ$37,),OFFSET(Arb!$C$2,Arb!$AJ$36,,Arb!$AJ$37,),$A15,OFFSET(Arb!$AI$2,Arb!$AJ$36,,Arb!$AJ$37,),TRUE,OFFSET(Arb!$B$2,Arb!$AJ$36,,Arb!$AJ$37,),"&gt;="&amp;$B15,OFFSET(Arb!$B$2,Arb!$AJ$36,,Arb!$AJ$37,),"&lt;="&amp;$C15)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G15" s="356">
        <f ca="1">SUMIFS(OFFSET(Arb!$H$2,Arb!$AJ$36,,Arb!$AJ$37,),OFFSET(Arb!$C$2,Arb!$AJ$36,,Arb!$AJ$37,),$A15,OFFSET(Arb!$AI$2,Arb!$AJ$36,,Arb!$AJ$37,),TRUE,OFFSET(Arb!$B$2,Arb!$AJ$36,,Arb!$AJ$37,),"&gt;="&amp;$B15,OFFSET(Arb!$B$2,Arb!$AJ$36,,Arb!$AJ$37,),"&lt;="&amp;$C15)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H15" s="356">
        <f ca="1">SUMIFS(OFFSET(Arb!$AC$2,Arb!$AJ$36,,Arb!$AJ$37,),OFFSET(Arb!$C$2,Arb!$AJ$36,,Arb!$AJ$37,),$A15,OFFSET(Arb!$AI$2,Arb!$AJ$36,,Arb!$AJ$37,),TRUE,OFFSET(Arb!$B$2,Arb!$AJ$36,,Arb!$AJ$37,),"&gt;="&amp;$B15,OFFSET(Arb!$B$2,Arb!$AJ$36,,Arb!$AJ$37,),"&lt;="&amp;$C15)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I15" s="356">
        <f ca="1">SUMIFS(OFFSET(Arb!$U$2,Arb!$AJ$36,,Arb!$AJ$37,),OFFSET(Arb!$C$2,Arb!$AJ$36,,Arb!$AJ$37,),$A15,OFFSET(Arb!$AI$2,Arb!$AJ$36,,Arb!$AJ$37,),TRUE,OFFSET(Arb!$B$2,Arb!$AJ$36,,Arb!$AJ$37,),"&gt;="&amp;$B15,OFFSET(Arb!$B$2,Arb!$AJ$36,,Arb!$AJ$37,),"&lt;="&amp;$C15)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J15" s="356">
        <f ca="1">SUMIFS(OFFSET(Arb!$V$2,Arb!$AJ$36,,Arb!$AJ$37,),OFFSET(Arb!$C$2,Arb!$AJ$36,,Arb!$AJ$37,),$A15,OFFSET(Arb!$AI$2,Arb!$AJ$36,,Arb!$AJ$37,),TRUE,OFFSET(Arb!$B$2,Arb!$AJ$36,,Arb!$AJ$37,),"&gt;="&amp;$B15,OFFSET(Arb!$B$2,Arb!$AJ$36,,Arb!$AJ$37,),"&lt;="&amp;$C15)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K15" s="356">
        <f ca="1">SUMIFS(OFFSET(Arb!$X$2,Arb!$AJ$36,,Arb!$AJ$37,),OFFSET(Arb!$C$2,Arb!$AJ$36,,Arb!$AJ$37,),$A15,OFFSET(Arb!$AI$2,Arb!$AJ$36,,Arb!$AJ$37,),TRUE,OFFSET(Arb!$B$2,Arb!$AJ$36,,Arb!$AJ$37,),"&gt;="&amp;$B15,OFFSET(Arb!$B$2,Arb!$AJ$36,,Arb!$AJ$37,),"&lt;="&amp;$C15)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L15" s="356">
        <f ca="1">SUMIFS(OFFSET(Arb!$AA$2,Arb!$AJ$36,,Arb!$AJ$37,),OFFSET(Arb!$C$2,Arb!$AJ$36,,Arb!$AJ$37,),$A15,OFFSET(Arb!$AI$2,Arb!$AJ$36,,Arb!$AJ$37,),TRUE,OFFSET(Arb!$B$2,Arb!$AJ$36,,Arb!$AJ$37,),"&gt;="&amp;$B15,OFFSET(Arb!$B$2,Arb!$AJ$36,,Arb!$AJ$37,),"&lt;="&amp;$C15)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M15" s="356">
        <f ca="1">SUMIFS(OFFSET(Arb!$AB$2,Arb!$AJ$36,,Arb!$AJ$37,),OFFSET(Arb!$C$2,Arb!$AJ$36,,Arb!$AJ$37,),$A15,OFFSET(Arb!$AI$2,Arb!$AJ$36,,Arb!$AJ$37,),TRUE,OFFSET(Arb!$B$2,Arb!$AJ$36,,Arb!$AJ$37,),"&gt;="&amp;$B15,OFFSET(Arb!$B$2,Arb!$AJ$36,,Arb!$AJ$37,),"&lt;="&amp;$C15)</f>
        <v>0</v>
      </c>
      <c r="N15" s="356">
        <f t="shared" ca="1" si="24"/>
        <v>0</v>
      </c>
      <c r="O15" s="357" t="str">
        <f t="shared" ca="1" si="25"/>
        <v/>
      </c>
      <c r="P15" s="12" t="str">
        <f t="shared" ca="1" si="26"/>
        <v/>
      </c>
      <c r="Q15" s="33" t="str">
        <f t="shared" ca="1" si="27"/>
        <v/>
      </c>
      <c r="R15" s="20" t="str">
        <f t="shared" ca="1" si="28"/>
        <v/>
      </c>
      <c r="S15" s="33" t="str">
        <f t="shared" ca="1" si="29"/>
        <v/>
      </c>
      <c r="T15" s="33" t="str">
        <f t="shared" ca="1" si="30"/>
        <v/>
      </c>
      <c r="U15" s="34" t="str">
        <f t="shared" ca="1" si="31"/>
        <v/>
      </c>
      <c r="V15" s="34" t="str">
        <f t="shared" ca="1" si="32"/>
        <v/>
      </c>
      <c r="W15" s="34" t="str">
        <f t="shared" ca="1" si="33"/>
        <v/>
      </c>
      <c r="X15" s="33" t="str">
        <f t="shared" ca="1" si="34"/>
        <v/>
      </c>
      <c r="Y15" s="33" t="str">
        <f t="shared" ca="1" si="35"/>
        <v/>
      </c>
      <c r="Z15" s="33" t="str">
        <f t="shared" ca="1" si="36"/>
        <v/>
      </c>
      <c r="AA15" s="359" t="str">
        <f t="shared" ca="1" si="37"/>
        <v/>
      </c>
      <c r="AB15" s="34" t="str">
        <f t="shared" ca="1" si="38"/>
        <v/>
      </c>
      <c r="AC15" s="33" t="str">
        <f t="shared" ca="1" si="39"/>
        <v/>
      </c>
      <c r="AD15" s="21" t="str">
        <f t="shared" ca="1" si="40"/>
        <v/>
      </c>
      <c r="AE15" s="470" t="e">
        <f ca="1">AE5</f>
        <v>#N/A</v>
      </c>
      <c r="AF15" s="12" t="e">
        <f t="shared" ca="1" si="41"/>
        <v>#N/A</v>
      </c>
      <c r="AG15" s="358">
        <f ca="1">COUNTIFS(BV!$H$55:$H$160,"&gt;=" &amp; DATE($A15,$B15,1),BV!$H$55:$H$160,"&lt;" &amp; DATE($A15,$C15+1,1))</f>
        <v>0</v>
      </c>
      <c r="AH15" s="358">
        <f ca="1">COUNTIFS(BV!$P$55:$P$160,"&gt;=" &amp; DATE($A15,$B15,1),BV!$P$55:$P$160,"&lt;" &amp; DATE($A15,$C15+1,1))</f>
        <v>0</v>
      </c>
      <c r="AI15" s="358">
        <f ca="1">COUNTIFS(BV!$X$55:$X$160,"&gt;=" &amp; DATE($A15,$B15,1),BV!$X$55:$X$160,"&lt;" &amp; DATE($A15,$C15+1,1))</f>
        <v>0</v>
      </c>
      <c r="AJ15" s="358">
        <f ca="1">COUNTIFS(BV!$AF$55:$AF$160,"&gt;=" &amp; DATE($A15,$B15,1),BV!$AF$55:$AF$160,"&lt;" &amp; DATE($A15,$C15+1,1))</f>
        <v>0</v>
      </c>
      <c r="AK15" s="358">
        <f ca="1">COUNTIFS(BV!$AN$55:$AN$160,"&gt;=" &amp; DATE($A15,$B15,1),BV!$AN$55:$AN$160,"&lt;" &amp; DATE($A15,$C15+1,1))</f>
        <v>0</v>
      </c>
      <c r="AL15" s="358">
        <f ca="1">COUNTIFS(BV!$AV$55:$AV$160,"&gt;=" &amp; DATE($A15,$B15,1),BV!$AV$55:$AV$160,"&lt;" &amp; DATE($A15,$C15+1,1))</f>
        <v>0</v>
      </c>
      <c r="AM15" s="358">
        <f ca="1">COUNTIFS(BV!$BD$55:$BD$160,"&gt;=" &amp; DATE($A15,$B15,1),BV!$BD$55:$BD$160,"&lt;" &amp; DATE($A15,$C15+1,1))</f>
        <v>0</v>
      </c>
      <c r="AN15" s="358">
        <f ca="1">COUNTIFS(BV!$BL$55:$BL$160,"&gt;=" &amp; DATE($A15,$B15,1),BV!$BL$55:$BL$160,"&lt;" &amp; DATE($A15,$C15+1,1))</f>
        <v>0</v>
      </c>
      <c r="AO15" s="358">
        <f ca="1">COUNTIFS(BV!$BT$55:$BT$160,"&gt;=" &amp; DATE($A15,$B15,1),BV!$BT$55:$BT$160,"&lt;" &amp; DATE($A15,$C15+1,1))</f>
        <v>0</v>
      </c>
      <c r="AP15" s="358">
        <f ca="1">COUNTIFS(BV!$CB$55:$CB$160,"&gt;=" &amp; DATE($A15,$B15,1),BV!$CB$55:$CB$160,"&lt;" &amp; DATE($A15,$C15+1,1))</f>
        <v>0</v>
      </c>
      <c r="AQ15" s="35">
        <f t="shared" ca="1" si="42"/>
        <v>0</v>
      </c>
      <c r="AR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S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T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U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V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W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X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Y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AZ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BA15" s="510">
        <f ca="1">COUNTIFS(OFFSET(Time!$T$2,(COLUMN()-44)*20,,20,),"&gt;=" &amp; DATE($A15,$B15,1),OFFSET(Time!$T$2,(COLUMN()-44)*20,,20,),"&lt;" &amp; DATE($A15,$C15+1,1))+COUNTIFS(OFFSET(Bvs!$T$2,(COLUMN()-44)*20,,20,),"&gt;=" &amp; DATE($A15,$B15,1),OFFSET(Bvs!$T$2,(COLUMN()-44)*20,,20,),"&lt;" &amp; DATE($A15,$C15+1,1))+COUNTIFS(OFFSET(QG!$T$2,(COLUMN()-44)*20,,20,),"&gt;=" &amp; DATE($A15,$B15,1),OFFSET(QG!$T$2,(COLUMN()-44)*20,,20,),"&lt;" &amp; DATE($A15,$C15+1,1))</f>
        <v>0</v>
      </c>
      <c r="BB15" s="35">
        <f t="shared" ca="1" si="43"/>
        <v>0</v>
      </c>
      <c r="BC15" s="35">
        <f t="shared" ca="1" si="44"/>
        <v>0</v>
      </c>
      <c r="BD15" s="34" t="e">
        <f t="shared" ca="1" si="45"/>
        <v>#N/A</v>
      </c>
      <c r="BE15" s="393" t="e">
        <f t="shared" ca="1" si="46"/>
        <v>#N/A</v>
      </c>
    </row>
    <row r="16" spans="1:57" x14ac:dyDescent="0.25">
      <c r="A16" s="377">
        <f t="shared" si="49"/>
        <v>2018</v>
      </c>
      <c r="B16" s="360">
        <f>B26</f>
        <v>1</v>
      </c>
      <c r="C16" s="360">
        <f>C26</f>
        <v>6</v>
      </c>
      <c r="D16" s="361" t="s">
        <v>39</v>
      </c>
      <c r="E16" s="356">
        <f ca="1">COUNTIFS(OFFSET(Arb!$C$2,Arb!$AJ$36,,Arb!$AJ$37,),$A16,OFFSET(Arb!$AI$2,Arb!$AJ$36,,Arb!$AJ$37,),TRUE,OFFSET(Arb!$B$2,Arb!$AJ$36,,Arb!$AJ$37,),"&gt;="&amp;$B16,OFFSET(Arb!$B$2,Arb!$AJ$36,,Arb!$AJ$37,),"&lt;="&amp;$C16)</f>
        <v>0</v>
      </c>
      <c r="F16" s="356">
        <f ca="1">SUMIFS(OFFSET(Arb!$I$2,Arb!$AJ$36,,Arb!$AJ$37,),OFFSET(Arb!$C$2,Arb!$AJ$36,,Arb!$AJ$37,),$A16,OFFSET(Arb!$AI$2,Arb!$AJ$36,,Arb!$AJ$37,),TRUE,OFFSET(Arb!$B$2,Arb!$AJ$36,,Arb!$AJ$37,),"&gt;="&amp;$B16,OFFSET(Arb!$B$2,Arb!$AJ$36,,Arb!$AJ$37,),"&lt;="&amp;$C16)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G16" s="356">
        <f ca="1">SUMIFS(OFFSET(Arb!$H$2,Arb!$AJ$36,,Arb!$AJ$37,),OFFSET(Arb!$C$2,Arb!$AJ$36,,Arb!$AJ$37,),$A16,OFFSET(Arb!$AI$2,Arb!$AJ$36,,Arb!$AJ$37,),TRUE,OFFSET(Arb!$B$2,Arb!$AJ$36,,Arb!$AJ$37,),"&gt;="&amp;$B16,OFFSET(Arb!$B$2,Arb!$AJ$36,,Arb!$AJ$37,),"&lt;="&amp;$C16)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H16" s="356">
        <f ca="1">SUMIFS(OFFSET(Arb!$AC$2,Arb!$AJ$36,,Arb!$AJ$37,),OFFSET(Arb!$C$2,Arb!$AJ$36,,Arb!$AJ$37,),$A16,OFFSET(Arb!$AI$2,Arb!$AJ$36,,Arb!$AJ$37,),TRUE,OFFSET(Arb!$B$2,Arb!$AJ$36,,Arb!$AJ$37,),"&gt;="&amp;$B16,OFFSET(Arb!$B$2,Arb!$AJ$36,,Arb!$AJ$37,),"&lt;="&amp;$C16)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I16" s="356">
        <f ca="1">SUMIFS(OFFSET(Arb!$U$2,Arb!$AJ$36,,Arb!$AJ$37,),OFFSET(Arb!$C$2,Arb!$AJ$36,,Arb!$AJ$37,),$A16,OFFSET(Arb!$AI$2,Arb!$AJ$36,,Arb!$AJ$37,),TRUE,OFFSET(Arb!$B$2,Arb!$AJ$36,,Arb!$AJ$37,),"&gt;="&amp;$B16,OFFSET(Arb!$B$2,Arb!$AJ$36,,Arb!$AJ$37,),"&lt;="&amp;$C16)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J16" s="356">
        <f ca="1">SUMIFS(OFFSET(Arb!$V$2,Arb!$AJ$36,,Arb!$AJ$37,),OFFSET(Arb!$C$2,Arb!$AJ$36,,Arb!$AJ$37,),$A16,OFFSET(Arb!$AI$2,Arb!$AJ$36,,Arb!$AJ$37,),TRUE,OFFSET(Arb!$B$2,Arb!$AJ$36,,Arb!$AJ$37,),"&gt;="&amp;$B16,OFFSET(Arb!$B$2,Arb!$AJ$36,,Arb!$AJ$37,),"&lt;="&amp;$C16)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K16" s="356">
        <f ca="1">SUMIFS(OFFSET(Arb!$X$2,Arb!$AJ$36,,Arb!$AJ$37,),OFFSET(Arb!$C$2,Arb!$AJ$36,,Arb!$AJ$37,),$A16,OFFSET(Arb!$AI$2,Arb!$AJ$36,,Arb!$AJ$37,),TRUE,OFFSET(Arb!$B$2,Arb!$AJ$36,,Arb!$AJ$37,),"&gt;="&amp;$B16,OFFSET(Arb!$B$2,Arb!$AJ$36,,Arb!$AJ$37,),"&lt;="&amp;$C16)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L16" s="356">
        <f ca="1">SUMIFS(OFFSET(Arb!$AA$2,Arb!$AJ$36,,Arb!$AJ$37,),OFFSET(Arb!$C$2,Arb!$AJ$36,,Arb!$AJ$37,),$A16,OFFSET(Arb!$AI$2,Arb!$AJ$36,,Arb!$AJ$37,),TRUE,OFFSET(Arb!$B$2,Arb!$AJ$36,,Arb!$AJ$37,),"&gt;="&amp;$B16,OFFSET(Arb!$B$2,Arb!$AJ$36,,Arb!$AJ$37,),"&lt;="&amp;$C16)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M16" s="356">
        <f ca="1">SUMIFS(OFFSET(Arb!$AB$2,Arb!$AJ$36,,Arb!$AJ$37,),OFFSET(Arb!$C$2,Arb!$AJ$36,,Arb!$AJ$37,),$A16,OFFSET(Arb!$AI$2,Arb!$AJ$36,,Arb!$AJ$37,),TRUE,OFFSET(Arb!$B$2,Arb!$AJ$36,,Arb!$AJ$37,),"&gt;="&amp;$B16,OFFSET(Arb!$B$2,Arb!$AJ$36,,Arb!$AJ$37,),"&lt;="&amp;$C16)</f>
        <v>0</v>
      </c>
      <c r="N16" s="356">
        <f t="shared" ca="1" si="24"/>
        <v>0</v>
      </c>
      <c r="O16" s="357" t="str">
        <f t="shared" ca="1" si="25"/>
        <v/>
      </c>
      <c r="P16" s="12" t="str">
        <f t="shared" ca="1" si="26"/>
        <v/>
      </c>
      <c r="Q16" s="33" t="str">
        <f t="shared" ca="1" si="27"/>
        <v/>
      </c>
      <c r="R16" s="20" t="str">
        <f t="shared" ca="1" si="28"/>
        <v/>
      </c>
      <c r="S16" s="33" t="str">
        <f t="shared" ca="1" si="29"/>
        <v/>
      </c>
      <c r="T16" s="33" t="str">
        <f t="shared" ca="1" si="30"/>
        <v/>
      </c>
      <c r="U16" s="34" t="str">
        <f t="shared" ca="1" si="31"/>
        <v/>
      </c>
      <c r="V16" s="34" t="str">
        <f t="shared" ca="1" si="32"/>
        <v/>
      </c>
      <c r="W16" s="34" t="str">
        <f t="shared" ca="1" si="33"/>
        <v/>
      </c>
      <c r="X16" s="33" t="str">
        <f t="shared" ca="1" si="34"/>
        <v/>
      </c>
      <c r="Y16" s="33" t="str">
        <f t="shared" ca="1" si="35"/>
        <v/>
      </c>
      <c r="Z16" s="33" t="str">
        <f t="shared" ca="1" si="36"/>
        <v/>
      </c>
      <c r="AA16" s="359" t="str">
        <f t="shared" ca="1" si="37"/>
        <v/>
      </c>
      <c r="AB16" s="34" t="str">
        <f t="shared" ca="1" si="38"/>
        <v/>
      </c>
      <c r="AC16" s="33" t="str">
        <f t="shared" ca="1" si="39"/>
        <v/>
      </c>
      <c r="AD16" s="21" t="str">
        <f t="shared" ca="1" si="40"/>
        <v/>
      </c>
      <c r="AE16" s="470" t="e">
        <f ca="1">AE6</f>
        <v>#N/A</v>
      </c>
      <c r="AF16" s="12" t="e">
        <f t="shared" ca="1" si="41"/>
        <v>#N/A</v>
      </c>
      <c r="AG16" s="358">
        <f ca="1">COUNTIFS(BV!$H$55:$H$160,"&gt;=" &amp; DATE($A16,$B16,1),BV!$H$55:$H$160,"&lt;" &amp; DATE($A16,$C16+1,1))</f>
        <v>0</v>
      </c>
      <c r="AH16" s="358">
        <f ca="1">COUNTIFS(BV!$P$55:$P$160,"&gt;=" &amp; DATE($A16,$B16,1),BV!$P$55:$P$160,"&lt;" &amp; DATE($A16,$C16+1,1))</f>
        <v>0</v>
      </c>
      <c r="AI16" s="358">
        <f ca="1">COUNTIFS(BV!$X$55:$X$160,"&gt;=" &amp; DATE($A16,$B16,1),BV!$X$55:$X$160,"&lt;" &amp; DATE($A16,$C16+1,1))</f>
        <v>0</v>
      </c>
      <c r="AJ16" s="358">
        <f ca="1">COUNTIFS(BV!$AF$55:$AF$160,"&gt;=" &amp; DATE($A16,$B16,1),BV!$AF$55:$AF$160,"&lt;" &amp; DATE($A16,$C16+1,1))</f>
        <v>0</v>
      </c>
      <c r="AK16" s="358">
        <f ca="1">COUNTIFS(BV!$AN$55:$AN$160,"&gt;=" &amp; DATE($A16,$B16,1),BV!$AN$55:$AN$160,"&lt;" &amp; DATE($A16,$C16+1,1))</f>
        <v>0</v>
      </c>
      <c r="AL16" s="358">
        <f ca="1">COUNTIFS(BV!$AV$55:$AV$160,"&gt;=" &amp; DATE($A16,$B16,1),BV!$AV$55:$AV$160,"&lt;" &amp; DATE($A16,$C16+1,1))</f>
        <v>0</v>
      </c>
      <c r="AM16" s="358">
        <f ca="1">COUNTIFS(BV!$BD$55:$BD$160,"&gt;=" &amp; DATE($A16,$B16,1),BV!$BD$55:$BD$160,"&lt;" &amp; DATE($A16,$C16+1,1))</f>
        <v>0</v>
      </c>
      <c r="AN16" s="358">
        <f ca="1">COUNTIFS(BV!$BL$55:$BL$160,"&gt;=" &amp; DATE($A16,$B16,1),BV!$BL$55:$BL$160,"&lt;" &amp; DATE($A16,$C16+1,1))</f>
        <v>0</v>
      </c>
      <c r="AO16" s="358">
        <f ca="1">COUNTIFS(BV!$BT$55:$BT$160,"&gt;=" &amp; DATE($A16,$B16,1),BV!$BT$55:$BT$160,"&lt;" &amp; DATE($A16,$C16+1,1))</f>
        <v>0</v>
      </c>
      <c r="AP16" s="358">
        <f ca="1">COUNTIFS(BV!$CB$55:$CB$160,"&gt;=" &amp; DATE($A16,$B16,1),BV!$CB$55:$CB$160,"&lt;" &amp; DATE($A16,$C16+1,1))</f>
        <v>0</v>
      </c>
      <c r="AQ16" s="35">
        <f t="shared" ca="1" si="42"/>
        <v>0</v>
      </c>
      <c r="AR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S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T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U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V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W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X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Y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AZ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BA16" s="510">
        <f ca="1">COUNTIFS(OFFSET(Time!$T$2,(COLUMN()-44)*20,,20,),"&gt;=" &amp; DATE($A16,$B16,1),OFFSET(Time!$T$2,(COLUMN()-44)*20,,20,),"&lt;" &amp; DATE($A16,$C16+1,1))+COUNTIFS(OFFSET(Bvs!$T$2,(COLUMN()-44)*20,,20,),"&gt;=" &amp; DATE($A16,$B16,1),OFFSET(Bvs!$T$2,(COLUMN()-44)*20,,20,),"&lt;" &amp; DATE($A16,$C16+1,1))+COUNTIFS(OFFSET(QG!$T$2,(COLUMN()-44)*20,,20,),"&gt;=" &amp; DATE($A16,$B16,1),OFFSET(QG!$T$2,(COLUMN()-44)*20,,20,),"&lt;" &amp; DATE($A16,$C16+1,1))</f>
        <v>0</v>
      </c>
      <c r="BB16" s="35">
        <f t="shared" ca="1" si="43"/>
        <v>0</v>
      </c>
      <c r="BC16" s="35">
        <f t="shared" ca="1" si="44"/>
        <v>0</v>
      </c>
      <c r="BD16" s="34" t="e">
        <f t="shared" ca="1" si="45"/>
        <v>#N/A</v>
      </c>
      <c r="BE16" s="393" t="e">
        <f t="shared" ca="1" si="46"/>
        <v>#N/A</v>
      </c>
    </row>
    <row r="17" spans="1:57" x14ac:dyDescent="0.25">
      <c r="A17" s="377">
        <f t="shared" si="49"/>
        <v>2018</v>
      </c>
      <c r="B17" s="360">
        <f>B27</f>
        <v>7</v>
      </c>
      <c r="C17" s="360">
        <f>C27</f>
        <v>12</v>
      </c>
      <c r="D17" s="361" t="s">
        <v>39</v>
      </c>
      <c r="E17" s="356">
        <f ca="1">COUNTIFS(OFFSET(Arb!$C$2,Arb!$AJ$36,,Arb!$AJ$37,),$A17,OFFSET(Arb!$AI$2,Arb!$AJ$36,,Arb!$AJ$37,),TRUE,OFFSET(Arb!$B$2,Arb!$AJ$36,,Arb!$AJ$37,),"&gt;="&amp;$B17,OFFSET(Arb!$B$2,Arb!$AJ$36,,Arb!$AJ$37,),"&lt;="&amp;$C17)</f>
        <v>0</v>
      </c>
      <c r="F17" s="356">
        <f ca="1">SUMIFS(OFFSET(Arb!$I$2,Arb!$AJ$36,,Arb!$AJ$37,),OFFSET(Arb!$C$2,Arb!$AJ$36,,Arb!$AJ$37,),$A17,OFFSET(Arb!$AI$2,Arb!$AJ$36,,Arb!$AJ$37,),TRUE,OFFSET(Arb!$B$2,Arb!$AJ$36,,Arb!$AJ$37,),"&gt;="&amp;$B17,OFFSET(Arb!$B$2,Arb!$AJ$36,,Arb!$AJ$37,),"&lt;="&amp;$C17)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G17" s="356">
        <f ca="1">SUMIFS(OFFSET(Arb!$H$2,Arb!$AJ$36,,Arb!$AJ$37,),OFFSET(Arb!$C$2,Arb!$AJ$36,,Arb!$AJ$37,),$A17,OFFSET(Arb!$AI$2,Arb!$AJ$36,,Arb!$AJ$37,),TRUE,OFFSET(Arb!$B$2,Arb!$AJ$36,,Arb!$AJ$37,),"&gt;="&amp;$B17,OFFSET(Arb!$B$2,Arb!$AJ$36,,Arb!$AJ$37,),"&lt;="&amp;$C17)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H17" s="356">
        <f ca="1">SUMIFS(OFFSET(Arb!$AC$2,Arb!$AJ$36,,Arb!$AJ$37,),OFFSET(Arb!$C$2,Arb!$AJ$36,,Arb!$AJ$37,),$A17,OFFSET(Arb!$AI$2,Arb!$AJ$36,,Arb!$AJ$37,),TRUE,OFFSET(Arb!$B$2,Arb!$AJ$36,,Arb!$AJ$37,),"&gt;="&amp;$B17,OFFSET(Arb!$B$2,Arb!$AJ$36,,Arb!$AJ$37,),"&lt;="&amp;$C17)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I17" s="356">
        <f ca="1">SUMIFS(OFFSET(Arb!$U$2,Arb!$AJ$36,,Arb!$AJ$37,),OFFSET(Arb!$C$2,Arb!$AJ$36,,Arb!$AJ$37,),$A17,OFFSET(Arb!$AI$2,Arb!$AJ$36,,Arb!$AJ$37,),TRUE,OFFSET(Arb!$B$2,Arb!$AJ$36,,Arb!$AJ$37,),"&gt;="&amp;$B17,OFFSET(Arb!$B$2,Arb!$AJ$36,,Arb!$AJ$37,),"&lt;="&amp;$C17)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J17" s="356">
        <f ca="1">SUMIFS(OFFSET(Arb!$V$2,Arb!$AJ$36,,Arb!$AJ$37,),OFFSET(Arb!$C$2,Arb!$AJ$36,,Arb!$AJ$37,),$A17,OFFSET(Arb!$AI$2,Arb!$AJ$36,,Arb!$AJ$37,),TRUE,OFFSET(Arb!$B$2,Arb!$AJ$36,,Arb!$AJ$37,),"&gt;="&amp;$B17,OFFSET(Arb!$B$2,Arb!$AJ$36,,Arb!$AJ$37,),"&lt;="&amp;$C17)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K17" s="356">
        <f ca="1">SUMIFS(OFFSET(Arb!$X$2,Arb!$AJ$36,,Arb!$AJ$37,),OFFSET(Arb!$C$2,Arb!$AJ$36,,Arb!$AJ$37,),$A17,OFFSET(Arb!$AI$2,Arb!$AJ$36,,Arb!$AJ$37,),TRUE,OFFSET(Arb!$B$2,Arb!$AJ$36,,Arb!$AJ$37,),"&gt;="&amp;$B17,OFFSET(Arb!$B$2,Arb!$AJ$36,,Arb!$AJ$37,),"&lt;="&amp;$C17)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L17" s="356">
        <f ca="1">SUMIFS(OFFSET(Arb!$AA$2,Arb!$AJ$36,,Arb!$AJ$37,),OFFSET(Arb!$C$2,Arb!$AJ$36,,Arb!$AJ$37,),$A17,OFFSET(Arb!$AI$2,Arb!$AJ$36,,Arb!$AJ$37,),TRUE,OFFSET(Arb!$B$2,Arb!$AJ$36,,Arb!$AJ$37,),"&gt;="&amp;$B17,OFFSET(Arb!$B$2,Arb!$AJ$36,,Arb!$AJ$37,),"&lt;="&amp;$C17)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M17" s="356">
        <f ca="1">SUMIFS(OFFSET(Arb!$AB$2,Arb!$AJ$36,,Arb!$AJ$37,),OFFSET(Arb!$C$2,Arb!$AJ$36,,Arb!$AJ$37,),$A17,OFFSET(Arb!$AI$2,Arb!$AJ$36,,Arb!$AJ$37,),TRUE,OFFSET(Arb!$B$2,Arb!$AJ$36,,Arb!$AJ$37,),"&gt;="&amp;$B17,OFFSET(Arb!$B$2,Arb!$AJ$36,,Arb!$AJ$37,),"&lt;="&amp;$C17)</f>
        <v>0</v>
      </c>
      <c r="N17" s="356">
        <f t="shared" ca="1" si="24"/>
        <v>0</v>
      </c>
      <c r="O17" s="357" t="str">
        <f t="shared" ca="1" si="25"/>
        <v/>
      </c>
      <c r="P17" s="12" t="str">
        <f t="shared" ca="1" si="26"/>
        <v/>
      </c>
      <c r="Q17" s="33" t="str">
        <f t="shared" ca="1" si="27"/>
        <v/>
      </c>
      <c r="R17" s="20" t="str">
        <f t="shared" ca="1" si="28"/>
        <v/>
      </c>
      <c r="S17" s="33" t="str">
        <f t="shared" ca="1" si="29"/>
        <v/>
      </c>
      <c r="T17" s="33" t="str">
        <f t="shared" ca="1" si="30"/>
        <v/>
      </c>
      <c r="U17" s="34" t="str">
        <f t="shared" ca="1" si="31"/>
        <v/>
      </c>
      <c r="V17" s="34" t="str">
        <f t="shared" ca="1" si="32"/>
        <v/>
      </c>
      <c r="W17" s="34" t="str">
        <f t="shared" ca="1" si="33"/>
        <v/>
      </c>
      <c r="X17" s="33" t="str">
        <f t="shared" ca="1" si="34"/>
        <v/>
      </c>
      <c r="Y17" s="33" t="str">
        <f t="shared" ca="1" si="35"/>
        <v/>
      </c>
      <c r="Z17" s="33" t="str">
        <f t="shared" ca="1" si="36"/>
        <v/>
      </c>
      <c r="AA17" s="359" t="str">
        <f t="shared" ca="1" si="37"/>
        <v/>
      </c>
      <c r="AB17" s="34" t="str">
        <f t="shared" ca="1" si="38"/>
        <v/>
      </c>
      <c r="AC17" s="33" t="str">
        <f t="shared" ca="1" si="39"/>
        <v/>
      </c>
      <c r="AD17" s="21" t="str">
        <f t="shared" ca="1" si="40"/>
        <v/>
      </c>
      <c r="AE17" s="470" t="e">
        <f ca="1">AE7</f>
        <v>#N/A</v>
      </c>
      <c r="AF17" s="12" t="e">
        <f t="shared" ca="1" si="41"/>
        <v>#N/A</v>
      </c>
      <c r="AG17" s="358">
        <f ca="1">COUNTIFS(BV!$H$55:$H$160,"&gt;=" &amp; DATE($A17,$B17,1),BV!$H$55:$H$160,"&lt;" &amp; DATE($A17,$C17+1,1))</f>
        <v>0</v>
      </c>
      <c r="AH17" s="358">
        <f ca="1">COUNTIFS(BV!$P$55:$P$160,"&gt;=" &amp; DATE($A17,$B17,1),BV!$P$55:$P$160,"&lt;" &amp; DATE($A17,$C17+1,1))</f>
        <v>0</v>
      </c>
      <c r="AI17" s="358">
        <f ca="1">COUNTIFS(BV!$X$55:$X$160,"&gt;=" &amp; DATE($A17,$B17,1),BV!$X$55:$X$160,"&lt;" &amp; DATE($A17,$C17+1,1))</f>
        <v>0</v>
      </c>
      <c r="AJ17" s="358">
        <f ca="1">COUNTIFS(BV!$AF$55:$AF$160,"&gt;=" &amp; DATE($A17,$B17,1),BV!$AF$55:$AF$160,"&lt;" &amp; DATE($A17,$C17+1,1))</f>
        <v>0</v>
      </c>
      <c r="AK17" s="358">
        <f ca="1">COUNTIFS(BV!$AN$55:$AN$160,"&gt;=" &amp; DATE($A17,$B17,1),BV!$AN$55:$AN$160,"&lt;" &amp; DATE($A17,$C17+1,1))</f>
        <v>0</v>
      </c>
      <c r="AL17" s="358">
        <f ca="1">COUNTIFS(BV!$AV$55:$AV$160,"&gt;=" &amp; DATE($A17,$B17,1),BV!$AV$55:$AV$160,"&lt;" &amp; DATE($A17,$C17+1,1))</f>
        <v>0</v>
      </c>
      <c r="AM17" s="358">
        <f ca="1">COUNTIFS(BV!$BD$55:$BD$160,"&gt;=" &amp; DATE($A17,$B17,1),BV!$BD$55:$BD$160,"&lt;" &amp; DATE($A17,$C17+1,1))</f>
        <v>0</v>
      </c>
      <c r="AN17" s="358">
        <f ca="1">COUNTIFS(BV!$BL$55:$BL$160,"&gt;=" &amp; DATE($A17,$B17,1),BV!$BL$55:$BL$160,"&lt;" &amp; DATE($A17,$C17+1,1))</f>
        <v>0</v>
      </c>
      <c r="AO17" s="358">
        <f ca="1">COUNTIFS(BV!$BT$55:$BT$160,"&gt;=" &amp; DATE($A17,$B17,1),BV!$BT$55:$BT$160,"&lt;" &amp; DATE($A17,$C17+1,1))</f>
        <v>0</v>
      </c>
      <c r="AP17" s="358">
        <f ca="1">COUNTIFS(BV!$CB$55:$CB$160,"&gt;=" &amp; DATE($A17,$B17,1),BV!$CB$55:$CB$160,"&lt;" &amp; DATE($A17,$C17+1,1))</f>
        <v>0</v>
      </c>
      <c r="AQ17" s="35">
        <f t="shared" ca="1" si="42"/>
        <v>0</v>
      </c>
      <c r="AR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S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T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U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V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W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X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Y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AZ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BA17" s="510">
        <f ca="1">COUNTIFS(OFFSET(Time!$T$2,(COLUMN()-44)*20,,20,),"&gt;=" &amp; DATE($A17,$B17,1),OFFSET(Time!$T$2,(COLUMN()-44)*20,,20,),"&lt;" &amp; DATE($A17,$C17+1,1))+COUNTIFS(OFFSET(Bvs!$T$2,(COLUMN()-44)*20,,20,),"&gt;=" &amp; DATE($A17,$B17,1),OFFSET(Bvs!$T$2,(COLUMN()-44)*20,,20,),"&lt;" &amp; DATE($A17,$C17+1,1))+COUNTIFS(OFFSET(QG!$T$2,(COLUMN()-44)*20,,20,),"&gt;=" &amp; DATE($A17,$B17,1),OFFSET(QG!$T$2,(COLUMN()-44)*20,,20,),"&lt;" &amp; DATE($A17,$C17+1,1))</f>
        <v>0</v>
      </c>
      <c r="BB17" s="35">
        <f t="shared" ca="1" si="43"/>
        <v>0</v>
      </c>
      <c r="BC17" s="35">
        <f t="shared" ca="1" si="44"/>
        <v>0</v>
      </c>
      <c r="BD17" s="34" t="e">
        <f t="shared" ca="1" si="45"/>
        <v>#N/A</v>
      </c>
      <c r="BE17" s="393" t="e">
        <f t="shared" ca="1" si="46"/>
        <v>#N/A</v>
      </c>
    </row>
    <row r="18" spans="1:57" x14ac:dyDescent="0.25">
      <c r="A18" s="377">
        <f t="shared" si="49"/>
        <v>2019</v>
      </c>
      <c r="B18" s="360">
        <f>B28</f>
        <v>1</v>
      </c>
      <c r="C18" s="360">
        <f>C28</f>
        <v>6</v>
      </c>
      <c r="D18" s="361" t="s">
        <v>39</v>
      </c>
      <c r="E18" s="356">
        <f ca="1">COUNTIFS(OFFSET(Arb!$C$2,Arb!$AJ$36,,Arb!$AJ$37,),$A18,OFFSET(Arb!$AI$2,Arb!$AJ$36,,Arb!$AJ$37,),TRUE,OFFSET(Arb!$B$2,Arb!$AJ$36,,Arb!$AJ$37,),"&gt;="&amp;$B18,OFFSET(Arb!$B$2,Arb!$AJ$36,,Arb!$AJ$37,),"&lt;="&amp;$C18)</f>
        <v>0</v>
      </c>
      <c r="F18" s="356">
        <f ca="1">SUMIFS(OFFSET(Arb!$I$2,Arb!$AJ$36,,Arb!$AJ$37,),OFFSET(Arb!$C$2,Arb!$AJ$36,,Arb!$AJ$37,),$A18,OFFSET(Arb!$AI$2,Arb!$AJ$36,,Arb!$AJ$37,),TRUE,OFFSET(Arb!$B$2,Arb!$AJ$36,,Arb!$AJ$37,),"&gt;="&amp;$B18,OFFSET(Arb!$B$2,Arb!$AJ$36,,Arb!$AJ$37,),"&lt;="&amp;$C18)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G18" s="356">
        <f ca="1">SUMIFS(OFFSET(Arb!$H$2,Arb!$AJ$36,,Arb!$AJ$37,),OFFSET(Arb!$C$2,Arb!$AJ$36,,Arb!$AJ$37,),$A18,OFFSET(Arb!$AI$2,Arb!$AJ$36,,Arb!$AJ$37,),TRUE,OFFSET(Arb!$B$2,Arb!$AJ$36,,Arb!$AJ$37,),"&gt;="&amp;$B18,OFFSET(Arb!$B$2,Arb!$AJ$36,,Arb!$AJ$37,),"&lt;="&amp;$C18)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H18" s="356">
        <f ca="1">SUMIFS(OFFSET(Arb!$AC$2,Arb!$AJ$36,,Arb!$AJ$37,),OFFSET(Arb!$C$2,Arb!$AJ$36,,Arb!$AJ$37,),$A18,OFFSET(Arb!$AI$2,Arb!$AJ$36,,Arb!$AJ$37,),TRUE,OFFSET(Arb!$B$2,Arb!$AJ$36,,Arb!$AJ$37,),"&gt;="&amp;$B18,OFFSET(Arb!$B$2,Arb!$AJ$36,,Arb!$AJ$37,),"&lt;="&amp;$C18)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I18" s="356">
        <f ca="1">SUMIFS(OFFSET(Arb!$U$2,Arb!$AJ$36,,Arb!$AJ$37,),OFFSET(Arb!$C$2,Arb!$AJ$36,,Arb!$AJ$37,),$A18,OFFSET(Arb!$AI$2,Arb!$AJ$36,,Arb!$AJ$37,),TRUE,OFFSET(Arb!$B$2,Arb!$AJ$36,,Arb!$AJ$37,),"&gt;="&amp;$B18,OFFSET(Arb!$B$2,Arb!$AJ$36,,Arb!$AJ$37,),"&lt;="&amp;$C18)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J18" s="356">
        <f ca="1">SUMIFS(OFFSET(Arb!$V$2,Arb!$AJ$36,,Arb!$AJ$37,),OFFSET(Arb!$C$2,Arb!$AJ$36,,Arb!$AJ$37,),$A18,OFFSET(Arb!$AI$2,Arb!$AJ$36,,Arb!$AJ$37,),TRUE,OFFSET(Arb!$B$2,Arb!$AJ$36,,Arb!$AJ$37,),"&gt;="&amp;$B18,OFFSET(Arb!$B$2,Arb!$AJ$36,,Arb!$AJ$37,),"&lt;="&amp;$C18)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K18" s="356">
        <f ca="1">SUMIFS(OFFSET(Arb!$X$2,Arb!$AJ$36,,Arb!$AJ$37,),OFFSET(Arb!$C$2,Arb!$AJ$36,,Arb!$AJ$37,),$A18,OFFSET(Arb!$AI$2,Arb!$AJ$36,,Arb!$AJ$37,),TRUE,OFFSET(Arb!$B$2,Arb!$AJ$36,,Arb!$AJ$37,),"&gt;="&amp;$B18,OFFSET(Arb!$B$2,Arb!$AJ$36,,Arb!$AJ$37,),"&lt;="&amp;$C18)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L18" s="356">
        <f ca="1">SUMIFS(OFFSET(Arb!$AA$2,Arb!$AJ$36,,Arb!$AJ$37,),OFFSET(Arb!$C$2,Arb!$AJ$36,,Arb!$AJ$37,),$A18,OFFSET(Arb!$AI$2,Arb!$AJ$36,,Arb!$AJ$37,),TRUE,OFFSET(Arb!$B$2,Arb!$AJ$36,,Arb!$AJ$37,),"&gt;="&amp;$B18,OFFSET(Arb!$B$2,Arb!$AJ$36,,Arb!$AJ$37,),"&lt;="&amp;$C18)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M18" s="356">
        <f ca="1">SUMIFS(OFFSET(Arb!$AB$2,Arb!$AJ$36,,Arb!$AJ$37,),OFFSET(Arb!$C$2,Arb!$AJ$36,,Arb!$AJ$37,),$A18,OFFSET(Arb!$AI$2,Arb!$AJ$36,,Arb!$AJ$37,),TRUE,OFFSET(Arb!$B$2,Arb!$AJ$36,,Arb!$AJ$37,),"&gt;="&amp;$B18,OFFSET(Arb!$B$2,Arb!$AJ$36,,Arb!$AJ$37,),"&lt;="&amp;$C18)</f>
        <v>0</v>
      </c>
      <c r="N18" s="356">
        <f t="shared" ca="1" si="24"/>
        <v>0</v>
      </c>
      <c r="O18" s="357" t="str">
        <f t="shared" ca="1" si="25"/>
        <v/>
      </c>
      <c r="P18" s="12" t="str">
        <f t="shared" ca="1" si="26"/>
        <v/>
      </c>
      <c r="Q18" s="33" t="str">
        <f t="shared" ca="1" si="27"/>
        <v/>
      </c>
      <c r="R18" s="20" t="str">
        <f t="shared" ca="1" si="28"/>
        <v/>
      </c>
      <c r="S18" s="33" t="str">
        <f t="shared" ca="1" si="29"/>
        <v/>
      </c>
      <c r="T18" s="33" t="str">
        <f t="shared" ca="1" si="30"/>
        <v/>
      </c>
      <c r="U18" s="34" t="str">
        <f t="shared" ca="1" si="31"/>
        <v/>
      </c>
      <c r="V18" s="34" t="str">
        <f t="shared" ca="1" si="32"/>
        <v/>
      </c>
      <c r="W18" s="34" t="str">
        <f t="shared" ca="1" si="33"/>
        <v/>
      </c>
      <c r="X18" s="33" t="str">
        <f t="shared" ca="1" si="34"/>
        <v/>
      </c>
      <c r="Y18" s="33" t="str">
        <f t="shared" ca="1" si="35"/>
        <v/>
      </c>
      <c r="Z18" s="33" t="str">
        <f t="shared" ca="1" si="36"/>
        <v/>
      </c>
      <c r="AA18" s="359" t="str">
        <f t="shared" ca="1" si="37"/>
        <v/>
      </c>
      <c r="AB18" s="34" t="str">
        <f t="shared" ca="1" si="38"/>
        <v/>
      </c>
      <c r="AC18" s="33" t="str">
        <f t="shared" ca="1" si="39"/>
        <v/>
      </c>
      <c r="AD18" s="21" t="str">
        <f t="shared" ca="1" si="40"/>
        <v/>
      </c>
      <c r="AE18" s="470">
        <f ca="1">AE8</f>
        <v>0</v>
      </c>
      <c r="AF18" s="12" t="e">
        <f t="shared" ca="1" si="41"/>
        <v>#DIV/0!</v>
      </c>
      <c r="AG18" s="358">
        <f ca="1">COUNTIFS(BV!$H$55:$H$160,"&gt;=" &amp; DATE($A18,$B18,1),BV!$H$55:$H$160,"&lt;" &amp; DATE($A18,$C18+1,1))</f>
        <v>0</v>
      </c>
      <c r="AH18" s="358">
        <f ca="1">COUNTIFS(BV!$P$55:$P$160,"&gt;=" &amp; DATE($A18,$B18,1),BV!$P$55:$P$160,"&lt;" &amp; DATE($A18,$C18+1,1))</f>
        <v>0</v>
      </c>
      <c r="AI18" s="358">
        <f ca="1">COUNTIFS(BV!$X$55:$X$160,"&gt;=" &amp; DATE($A18,$B18,1),BV!$X$55:$X$160,"&lt;" &amp; DATE($A18,$C18+1,1))</f>
        <v>0</v>
      </c>
      <c r="AJ18" s="358">
        <f ca="1">COUNTIFS(BV!$AF$55:$AF$160,"&gt;=" &amp; DATE($A18,$B18,1),BV!$AF$55:$AF$160,"&lt;" &amp; DATE($A18,$C18+1,1))</f>
        <v>0</v>
      </c>
      <c r="AK18" s="358">
        <f ca="1">COUNTIFS(BV!$AN$55:$AN$160,"&gt;=" &amp; DATE($A18,$B18,1),BV!$AN$55:$AN$160,"&lt;" &amp; DATE($A18,$C18+1,1))</f>
        <v>0</v>
      </c>
      <c r="AL18" s="358">
        <f ca="1">COUNTIFS(BV!$AV$55:$AV$160,"&gt;=" &amp; DATE($A18,$B18,1),BV!$AV$55:$AV$160,"&lt;" &amp; DATE($A18,$C18+1,1))</f>
        <v>0</v>
      </c>
      <c r="AM18" s="358">
        <f ca="1">COUNTIFS(BV!$BD$55:$BD$160,"&gt;=" &amp; DATE($A18,$B18,1),BV!$BD$55:$BD$160,"&lt;" &amp; DATE($A18,$C18+1,1))</f>
        <v>0</v>
      </c>
      <c r="AN18" s="358">
        <f ca="1">COUNTIFS(BV!$BL$55:$BL$160,"&gt;=" &amp; DATE($A18,$B18,1),BV!$BL$55:$BL$160,"&lt;" &amp; DATE($A18,$C18+1,1))</f>
        <v>0</v>
      </c>
      <c r="AO18" s="358">
        <f ca="1">COUNTIFS(BV!$BT$55:$BT$160,"&gt;=" &amp; DATE($A18,$B18,1),BV!$BT$55:$BT$160,"&lt;" &amp; DATE($A18,$C18+1,1))</f>
        <v>0</v>
      </c>
      <c r="AP18" s="358">
        <f ca="1">COUNTIFS(BV!$CB$55:$CB$160,"&gt;=" &amp; DATE($A18,$B18,1),BV!$CB$55:$CB$160,"&lt;" &amp; DATE($A18,$C18+1,1))</f>
        <v>0</v>
      </c>
      <c r="AQ18" s="35">
        <f t="shared" ca="1" si="42"/>
        <v>0</v>
      </c>
      <c r="AR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S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T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U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V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W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X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Y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AZ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BA18" s="510">
        <f ca="1">COUNTIFS(OFFSET(Time!$T$2,(COLUMN()-44)*20,,20,),"&gt;=" &amp; DATE($A18,$B18,1),OFFSET(Time!$T$2,(COLUMN()-44)*20,,20,),"&lt;" &amp; DATE($A18,$C18+1,1))+COUNTIFS(OFFSET(Bvs!$T$2,(COLUMN()-44)*20,,20,),"&gt;=" &amp; DATE($A18,$B18,1),OFFSET(Bvs!$T$2,(COLUMN()-44)*20,,20,),"&lt;" &amp; DATE($A18,$C18+1,1))+COUNTIFS(OFFSET(QG!$T$2,(COLUMN()-44)*20,,20,),"&gt;=" &amp; DATE($A18,$B18,1),OFFSET(QG!$T$2,(COLUMN()-44)*20,,20,),"&lt;" &amp; DATE($A18,$C18+1,1))</f>
        <v>0</v>
      </c>
      <c r="BB18" s="35">
        <f t="shared" ca="1" si="43"/>
        <v>0</v>
      </c>
      <c r="BC18" s="35">
        <f t="shared" ca="1" si="44"/>
        <v>0</v>
      </c>
      <c r="BD18" s="34" t="e">
        <f t="shared" ca="1" si="45"/>
        <v>#DIV/0!</v>
      </c>
      <c r="BE18" s="393" t="e">
        <f t="shared" ca="1" si="46"/>
        <v>#DIV/0!</v>
      </c>
    </row>
    <row r="19" spans="1:57" x14ac:dyDescent="0.25">
      <c r="A19" s="377">
        <f t="shared" si="49"/>
        <v>2019</v>
      </c>
      <c r="B19" s="360">
        <f>B29</f>
        <v>7</v>
      </c>
      <c r="C19" s="360">
        <f>C29</f>
        <v>12</v>
      </c>
      <c r="D19" s="361" t="s">
        <v>39</v>
      </c>
      <c r="E19" s="356">
        <f ca="1">COUNTIFS(OFFSET(Arb!$C$2,Arb!$AJ$36,,Arb!$AJ$37,),$A19,OFFSET(Arb!$AI$2,Arb!$AJ$36,,Arb!$AJ$37,),TRUE,OFFSET(Arb!$B$2,Arb!$AJ$36,,Arb!$AJ$37,),"&gt;="&amp;$B19,OFFSET(Arb!$B$2,Arb!$AJ$36,,Arb!$AJ$37,),"&lt;="&amp;$C19)</f>
        <v>284</v>
      </c>
      <c r="F19" s="356">
        <f ca="1">SUMIFS(OFFSET(Arb!$I$2,Arb!$AJ$36,,Arb!$AJ$37,),OFFSET(Arb!$C$2,Arb!$AJ$36,,Arb!$AJ$37,),$A19,OFFSET(Arb!$AI$2,Arb!$AJ$36,,Arb!$AJ$37,),TRUE,OFFSET(Arb!$B$2,Arb!$AJ$36,,Arb!$AJ$37,),"&gt;="&amp;$B19,OFFSET(Arb!$B$2,Arb!$AJ$36,,Arb!$AJ$37,),"&lt;="&amp;$C19)</f>
        <v>18359</v>
      </c>
      <c r="G19" s="356">
        <f ca="1">SUMIFS(OFFSET(Arb!$H$2,Arb!$AJ$36,,Arb!$AJ$37,),OFFSET(Arb!$C$2,Arb!$AJ$36,,Arb!$AJ$37,),$A19,OFFSET(Arb!$AI$2,Arb!$AJ$36,,Arb!$AJ$37,),TRUE,OFFSET(Arb!$B$2,Arb!$AJ$36,,Arb!$AJ$37,),"&gt;="&amp;$B19,OFFSET(Arb!$B$2,Arb!$AJ$36,,Arb!$AJ$37,),"&lt;="&amp;$C19)</f>
        <v>7532.9100000000008</v>
      </c>
      <c r="H19" s="356">
        <f ca="1">SUMIFS(OFFSET(Arb!$AC$2,Arb!$AJ$36,,Arb!$AJ$37,),OFFSET(Arb!$C$2,Arb!$AJ$36,,Arb!$AJ$37,),$A19,OFFSET(Arb!$AI$2,Arb!$AJ$36,,Arb!$AJ$37,),TRUE,OFFSET(Arb!$B$2,Arb!$AJ$36,,Arb!$AJ$37,),"&gt;="&amp;$B19,OFFSET(Arb!$B$2,Arb!$AJ$36,,Arb!$AJ$37,),"&lt;="&amp;$C19)</f>
        <v>959713</v>
      </c>
      <c r="I19" s="356">
        <f ca="1">SUMIFS(OFFSET(Arb!$U$2,Arb!$AJ$36,,Arb!$AJ$37,),OFFSET(Arb!$C$2,Arb!$AJ$36,,Arb!$AJ$37,),$A19,OFFSET(Arb!$AI$2,Arb!$AJ$36,,Arb!$AJ$37,),TRUE,OFFSET(Arb!$B$2,Arb!$AJ$36,,Arb!$AJ$37,),"&gt;="&amp;$B19,OFFSET(Arb!$B$2,Arb!$AJ$36,,Arb!$AJ$37,),"&lt;="&amp;$C19)</f>
        <v>24804</v>
      </c>
      <c r="J19" s="356">
        <f ca="1">SUMIFS(OFFSET(Arb!$V$2,Arb!$AJ$36,,Arb!$AJ$37,),OFFSET(Arb!$C$2,Arb!$AJ$36,,Arb!$AJ$37,),$A19,OFFSET(Arb!$AI$2,Arb!$AJ$36,,Arb!$AJ$37,),TRUE,OFFSET(Arb!$B$2,Arb!$AJ$36,,Arb!$AJ$37,),"&gt;="&amp;$B19,OFFSET(Arb!$B$2,Arb!$AJ$36,,Arb!$AJ$37,),"&lt;="&amp;$C19)</f>
        <v>1963</v>
      </c>
      <c r="K19" s="356">
        <f ca="1">SUMIFS(OFFSET(Arb!$X$2,Arb!$AJ$36,,Arb!$AJ$37,),OFFSET(Arb!$C$2,Arb!$AJ$36,,Arb!$AJ$37,),$A19,OFFSET(Arb!$AI$2,Arb!$AJ$36,,Arb!$AJ$37,),TRUE,OFFSET(Arb!$B$2,Arb!$AJ$36,,Arb!$AJ$37,),"&gt;="&amp;$B19,OFFSET(Arb!$B$2,Arb!$AJ$36,,Arb!$AJ$37,),"&lt;="&amp;$C19)</f>
        <v>23180</v>
      </c>
      <c r="L19" s="356">
        <f ca="1">SUMIFS(OFFSET(Arb!$AA$2,Arb!$AJ$36,,Arb!$AJ$37,),OFFSET(Arb!$C$2,Arb!$AJ$36,,Arb!$AJ$37,),$A19,OFFSET(Arb!$AI$2,Arb!$AJ$36,,Arb!$AJ$37,),TRUE,OFFSET(Arb!$B$2,Arb!$AJ$36,,Arb!$AJ$37,),"&gt;="&amp;$B19,OFFSET(Arb!$B$2,Arb!$AJ$36,,Arb!$AJ$37,),"&lt;="&amp;$C19)</f>
        <v>2086</v>
      </c>
      <c r="M19" s="356">
        <f ca="1">SUMIFS(OFFSET(Arb!$AB$2,Arb!$AJ$36,,Arb!$AJ$37,),OFFSET(Arb!$C$2,Arb!$AJ$36,,Arb!$AJ$37,),$A19,OFFSET(Arb!$AI$2,Arb!$AJ$36,,Arb!$AJ$37,),TRUE,OFFSET(Arb!$B$2,Arb!$AJ$36,,Arb!$AJ$37,),"&gt;="&amp;$B19,OFFSET(Arb!$B$2,Arb!$AJ$36,,Arb!$AJ$37,),"&lt;="&amp;$C19)</f>
        <v>2240</v>
      </c>
      <c r="N19" s="356">
        <f t="shared" ca="1" si="24"/>
        <v>26767</v>
      </c>
      <c r="O19" s="357">
        <f t="shared" ca="1" si="25"/>
        <v>64.644366197183103</v>
      </c>
      <c r="P19" s="12">
        <f t="shared" ca="1" si="26"/>
        <v>26.524330985915494</v>
      </c>
      <c r="Q19" s="33">
        <f t="shared" ca="1" si="27"/>
        <v>2.4371723543756665</v>
      </c>
      <c r="R19" s="20">
        <f t="shared" ca="1" si="28"/>
        <v>3.077164070724328</v>
      </c>
      <c r="S19" s="33">
        <f t="shared" ca="1" si="29"/>
        <v>3.5533412718325317</v>
      </c>
      <c r="T19" s="33">
        <f t="shared" ca="1" si="30"/>
        <v>4.0706603212006627</v>
      </c>
      <c r="U19" s="34">
        <f t="shared" ca="1" si="31"/>
        <v>37.765371676764353</v>
      </c>
      <c r="V19" s="34">
        <f t="shared" ca="1" si="32"/>
        <v>7.345070422535211</v>
      </c>
      <c r="W19" s="34">
        <f t="shared" ca="1" si="33"/>
        <v>7.887323943661972</v>
      </c>
      <c r="X19" s="33">
        <f t="shared" ca="1" si="34"/>
        <v>0.86599170620540222</v>
      </c>
      <c r="Y19" s="33">
        <f t="shared" ca="1" si="35"/>
        <v>0.792018981880932</v>
      </c>
      <c r="Z19" s="33">
        <f t="shared" ca="1" si="36"/>
        <v>0.68588186946613372</v>
      </c>
      <c r="AA19" s="359">
        <f t="shared" ca="1" si="37"/>
        <v>211.2044454225352</v>
      </c>
      <c r="AB19" s="34">
        <f t="shared" ca="1" si="38"/>
        <v>7.9626681455108308</v>
      </c>
      <c r="AC19" s="33">
        <f t="shared" ca="1" si="39"/>
        <v>0.30607483695646515</v>
      </c>
      <c r="AD19" s="21">
        <f t="shared" ca="1" si="40"/>
        <v>24.502436324467045</v>
      </c>
      <c r="AE19" s="470">
        <f ca="1">AE9</f>
        <v>59</v>
      </c>
      <c r="AF19" s="12">
        <f t="shared" ca="1" si="41"/>
        <v>4.8135593220338979</v>
      </c>
      <c r="AG19" s="358">
        <f ca="1">COUNTIFS(BV!$H$55:$H$160,"&gt;=" &amp; DATE($A19,$B19,1),BV!$H$55:$H$160,"&lt;" &amp; DATE($A19,$C19+1,1))</f>
        <v>27</v>
      </c>
      <c r="AH19" s="358">
        <f ca="1">COUNTIFS(BV!$P$55:$P$160,"&gt;=" &amp; DATE($A19,$B19,1),BV!$P$55:$P$160,"&lt;" &amp; DATE($A19,$C19+1,1))</f>
        <v>23</v>
      </c>
      <c r="AI19" s="358">
        <f ca="1">COUNTIFS(BV!$X$55:$X$160,"&gt;=" &amp; DATE($A19,$B19,1),BV!$X$55:$X$160,"&lt;" &amp; DATE($A19,$C19+1,1))</f>
        <v>22</v>
      </c>
      <c r="AJ19" s="358">
        <f ca="1">COUNTIFS(BV!$AF$55:$AF$160,"&gt;=" &amp; DATE($A19,$B19,1),BV!$AF$55:$AF$160,"&lt;" &amp; DATE($A19,$C19+1,1))</f>
        <v>24</v>
      </c>
      <c r="AK19" s="358">
        <f ca="1">COUNTIFS(BV!$AN$55:$AN$160,"&gt;=" &amp; DATE($A19,$B19,1),BV!$AN$55:$AN$160,"&lt;" &amp; DATE($A19,$C19+1,1))</f>
        <v>19</v>
      </c>
      <c r="AL19" s="358">
        <f ca="1">COUNTIFS(BV!$AV$55:$AV$160,"&gt;=" &amp; DATE($A19,$B19,1),BV!$AV$55:$AV$160,"&lt;" &amp; DATE($A19,$C19+1,1))</f>
        <v>17</v>
      </c>
      <c r="AM19" s="358">
        <f ca="1">COUNTIFS(BV!$BD$55:$BD$160,"&gt;=" &amp; DATE($A19,$B19,1),BV!$BD$55:$BD$160,"&lt;" &amp; DATE($A19,$C19+1,1))</f>
        <v>18</v>
      </c>
      <c r="AN19" s="358">
        <f ca="1">COUNTIFS(BV!$BL$55:$BL$160,"&gt;=" &amp; DATE($A19,$B19,1),BV!$BL$55:$BL$160,"&lt;" &amp; DATE($A19,$C19+1,1))</f>
        <v>21</v>
      </c>
      <c r="AO19" s="358">
        <f ca="1">COUNTIFS(BV!$BT$55:$BT$160,"&gt;=" &amp; DATE($A19,$B19,1),BV!$BT$55:$BT$160,"&lt;" &amp; DATE($A19,$C19+1,1))</f>
        <v>21</v>
      </c>
      <c r="AP19" s="358">
        <f ca="1">COUNTIFS(BV!$CB$55:$CB$160,"&gt;=" &amp; DATE($A19,$B19,1),BV!$CB$55:$CB$160,"&lt;" &amp; DATE($A19,$C19+1,1))</f>
        <v>15</v>
      </c>
      <c r="AQ19" s="35">
        <f t="shared" ca="1" si="42"/>
        <v>674.96428571428567</v>
      </c>
      <c r="AR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28</v>
      </c>
      <c r="AS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23</v>
      </c>
      <c r="AT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24</v>
      </c>
      <c r="AU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20</v>
      </c>
      <c r="AV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20</v>
      </c>
      <c r="AW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28</v>
      </c>
      <c r="AX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25</v>
      </c>
      <c r="AY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33</v>
      </c>
      <c r="AZ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32</v>
      </c>
      <c r="BA19" s="510">
        <f ca="1">COUNTIFS(OFFSET(Time!$T$2,(COLUMN()-44)*20,,20,),"&gt;=" &amp; DATE($A19,$B19,1),OFFSET(Time!$T$2,(COLUMN()-44)*20,,20,),"&lt;" &amp; DATE($A19,$C19+1,1))+COUNTIFS(OFFSET(Bvs!$T$2,(COLUMN()-44)*20,,20,),"&gt;=" &amp; DATE($A19,$B19,1),OFFSET(Bvs!$T$2,(COLUMN()-44)*20,,20,),"&lt;" &amp; DATE($A19,$C19+1,1))+COUNTIFS(OFFSET(QG!$T$2,(COLUMN()-44)*20,,20,),"&gt;=" &amp; DATE($A19,$B19,1),OFFSET(QG!$T$2,(COLUMN()-44)*20,,20,),"&lt;" &amp; DATE($A19,$C19+1,1))</f>
        <v>32</v>
      </c>
      <c r="BB19" s="35">
        <f t="shared" ca="1" si="43"/>
        <v>756.18650793650795</v>
      </c>
      <c r="BC19" s="35">
        <f t="shared" ca="1" si="44"/>
        <v>1431.1507936507937</v>
      </c>
      <c r="BD19" s="34">
        <f t="shared" ca="1" si="45"/>
        <v>24.256793112725319</v>
      </c>
      <c r="BE19" s="393">
        <f t="shared" ca="1" si="46"/>
        <v>5.0392633579253303</v>
      </c>
    </row>
    <row r="20" spans="1:57" x14ac:dyDescent="0.25">
      <c r="A20" s="377">
        <f t="shared" si="49"/>
        <v>2020</v>
      </c>
      <c r="B20" s="360">
        <f>B30</f>
        <v>1</v>
      </c>
      <c r="C20" s="360">
        <f>C30</f>
        <v>6</v>
      </c>
      <c r="D20" s="361" t="s">
        <v>39</v>
      </c>
      <c r="E20" s="356">
        <f ca="1">COUNTIFS(OFFSET(Arb!$C$2,Arb!$AJ$36,,Arb!$AJ$37,),$A20,OFFSET(Arb!$AI$2,Arb!$AJ$36,,Arb!$AJ$37,),TRUE,OFFSET(Arb!$B$2,Arb!$AJ$36,,Arb!$AJ$37,),"&gt;="&amp;$B20,OFFSET(Arb!$B$2,Arb!$AJ$36,,Arb!$AJ$37,),"&lt;="&amp;$C20)</f>
        <v>161</v>
      </c>
      <c r="F20" s="356">
        <f ca="1">SUMIFS(OFFSET(Arb!$I$2,Arb!$AJ$36,,Arb!$AJ$37,),OFFSET(Arb!$C$2,Arb!$AJ$36,,Arb!$AJ$37,),$A20,OFFSET(Arb!$AI$2,Arb!$AJ$36,,Arb!$AJ$37,),TRUE,OFFSET(Arb!$B$2,Arb!$AJ$36,,Arb!$AJ$37,),"&gt;="&amp;$B20,OFFSET(Arb!$B$2,Arb!$AJ$36,,Arb!$AJ$37,),"&lt;="&amp;$C20)</f>
        <v>9761</v>
      </c>
      <c r="G20" s="356">
        <f ca="1">SUMIFS(OFFSET(Arb!$H$2,Arb!$AJ$36,,Arb!$AJ$37,),OFFSET(Arb!$C$2,Arb!$AJ$36,,Arb!$AJ$37,),$A20,OFFSET(Arb!$AI$2,Arb!$AJ$36,,Arb!$AJ$37,),TRUE,OFFSET(Arb!$B$2,Arb!$AJ$36,,Arb!$AJ$37,),"&gt;="&amp;$B20,OFFSET(Arb!$B$2,Arb!$AJ$36,,Arb!$AJ$37,),"&lt;="&amp;$C20)</f>
        <v>4238.5499999999993</v>
      </c>
      <c r="H20" s="356">
        <f ca="1">SUMIFS(OFFSET(Arb!$AC$2,Arb!$AJ$36,,Arb!$AJ$37,),OFFSET(Arb!$C$2,Arb!$AJ$36,,Arb!$AJ$37,),$A20,OFFSET(Arb!$AI$2,Arb!$AJ$36,,Arb!$AJ$37,),TRUE,OFFSET(Arb!$B$2,Arb!$AJ$36,,Arb!$AJ$37,),"&gt;="&amp;$B20,OFFSET(Arb!$B$2,Arb!$AJ$36,,Arb!$AJ$37,),"&lt;="&amp;$C20)</f>
        <v>524514</v>
      </c>
      <c r="I20" s="356">
        <f ca="1">SUMIFS(OFFSET(Arb!$U$2,Arb!$AJ$36,,Arb!$AJ$37,),OFFSET(Arb!$C$2,Arb!$AJ$36,,Arb!$AJ$37,),$A20,OFFSET(Arb!$AI$2,Arb!$AJ$36,,Arb!$AJ$37,),TRUE,OFFSET(Arb!$B$2,Arb!$AJ$36,,Arb!$AJ$37,),"&gt;="&amp;$B20,OFFSET(Arb!$B$2,Arb!$AJ$36,,Arb!$AJ$37,),"&lt;="&amp;$C20)</f>
        <v>13744</v>
      </c>
      <c r="J20" s="356">
        <f ca="1">SUMIFS(OFFSET(Arb!$V$2,Arb!$AJ$36,,Arb!$AJ$37,),OFFSET(Arb!$C$2,Arb!$AJ$36,,Arb!$AJ$37,),$A20,OFFSET(Arb!$AI$2,Arb!$AJ$36,,Arb!$AJ$37,),TRUE,OFFSET(Arb!$B$2,Arb!$AJ$36,,Arb!$AJ$37,),"&gt;="&amp;$B20,OFFSET(Arb!$B$2,Arb!$AJ$36,,Arb!$AJ$37,),"&lt;="&amp;$C20)</f>
        <v>363</v>
      </c>
      <c r="K20" s="356">
        <f ca="1">SUMIFS(OFFSET(Arb!$X$2,Arb!$AJ$36,,Arb!$AJ$37,),OFFSET(Arb!$C$2,Arb!$AJ$36,,Arb!$AJ$37,),$A20,OFFSET(Arb!$AI$2,Arb!$AJ$36,,Arb!$AJ$37,),TRUE,OFFSET(Arb!$B$2,Arb!$AJ$36,,Arb!$AJ$37,),"&gt;="&amp;$B20,OFFSET(Arb!$B$2,Arb!$AJ$36,,Arb!$AJ$37,),"&lt;="&amp;$C20)</f>
        <v>12382</v>
      </c>
      <c r="L20" s="356">
        <f ca="1">SUMIFS(OFFSET(Arb!$AA$2,Arb!$AJ$36,,Arb!$AJ$37,),OFFSET(Arb!$C$2,Arb!$AJ$36,,Arb!$AJ$37,),$A20,OFFSET(Arb!$AI$2,Arb!$AJ$36,,Arb!$AJ$37,),TRUE,OFFSET(Arb!$B$2,Arb!$AJ$36,,Arb!$AJ$37,),"&gt;="&amp;$B20,OFFSET(Arb!$B$2,Arb!$AJ$36,,Arb!$AJ$37,),"&lt;="&amp;$C20)</f>
        <v>1175</v>
      </c>
      <c r="M20" s="356">
        <f ca="1">SUMIFS(OFFSET(Arb!$AB$2,Arb!$AJ$36,,Arb!$AJ$37,),OFFSET(Arb!$C$2,Arb!$AJ$36,,Arb!$AJ$37,),$A20,OFFSET(Arb!$AI$2,Arb!$AJ$36,,Arb!$AJ$37,),TRUE,OFFSET(Arb!$B$2,Arb!$AJ$36,,Arb!$AJ$37,),"&gt;="&amp;$B20,OFFSET(Arb!$B$2,Arb!$AJ$36,,Arb!$AJ$37,),"&lt;="&amp;$C20)</f>
        <v>1342</v>
      </c>
      <c r="N20" s="356">
        <f t="shared" ca="1" si="24"/>
        <v>14107</v>
      </c>
      <c r="O20" s="357">
        <f t="shared" ca="1" si="25"/>
        <v>60.627329192546583</v>
      </c>
      <c r="P20" s="12">
        <f t="shared" ca="1" si="26"/>
        <v>26.326397515527947</v>
      </c>
      <c r="Q20" s="33">
        <f t="shared" ca="1" si="27"/>
        <v>2.302910193344422</v>
      </c>
      <c r="R20" s="20">
        <f t="shared" ca="1" si="28"/>
        <v>2.9212820422078312</v>
      </c>
      <c r="S20" s="33">
        <f t="shared" ca="1" si="29"/>
        <v>3.3282608439206811</v>
      </c>
      <c r="T20" s="33">
        <f t="shared" ca="1" si="30"/>
        <v>4.2854556221960198</v>
      </c>
      <c r="U20" s="34">
        <f t="shared" ca="1" si="31"/>
        <v>35.872498411551227</v>
      </c>
      <c r="V20" s="34">
        <f t="shared" ca="1" si="32"/>
        <v>7.2981366459627326</v>
      </c>
      <c r="W20" s="34">
        <f t="shared" ca="1" si="33"/>
        <v>8.3354037267080745</v>
      </c>
      <c r="X20" s="33">
        <f t="shared" ca="1" si="34"/>
        <v>0.87772028071170338</v>
      </c>
      <c r="Y20" s="33">
        <f t="shared" ca="1" si="35"/>
        <v>0.78832175738975918</v>
      </c>
      <c r="Z20" s="33">
        <f t="shared" ca="1" si="36"/>
        <v>0.69192599418728296</v>
      </c>
      <c r="AA20" s="359">
        <f t="shared" ca="1" si="37"/>
        <v>203.61568322981367</v>
      </c>
      <c r="AB20" s="34">
        <f t="shared" ca="1" si="38"/>
        <v>7.7342782319425289</v>
      </c>
      <c r="AC20" s="33">
        <f t="shared" ca="1" si="39"/>
        <v>0.29775373011969175</v>
      </c>
      <c r="AD20" s="21">
        <f t="shared" ca="1" si="40"/>
        <v>22.594008108412645</v>
      </c>
      <c r="AE20" s="470">
        <f ca="1">AE10</f>
        <v>112</v>
      </c>
      <c r="AF20" s="12">
        <f t="shared" ca="1" si="41"/>
        <v>1.4375</v>
      </c>
      <c r="AG20" s="358">
        <f ca="1">COUNTIFS(BV!$H$55:$H$160,"&gt;=" &amp; DATE($A20,$B20,1),BV!$H$55:$H$160,"&lt;" &amp; DATE($A20,$C20+1,1))</f>
        <v>22</v>
      </c>
      <c r="AH20" s="358">
        <f ca="1">COUNTIFS(BV!$P$55:$P$160,"&gt;=" &amp; DATE($A20,$B20,1),BV!$P$55:$P$160,"&lt;" &amp; DATE($A20,$C20+1,1))</f>
        <v>19</v>
      </c>
      <c r="AI20" s="358">
        <f ca="1">COUNTIFS(BV!$X$55:$X$160,"&gt;=" &amp; DATE($A20,$B20,1),BV!$X$55:$X$160,"&lt;" &amp; DATE($A20,$C20+1,1))</f>
        <v>16</v>
      </c>
      <c r="AJ20" s="358">
        <f ca="1">COUNTIFS(BV!$AF$55:$AF$160,"&gt;=" &amp; DATE($A20,$B20,1),BV!$AF$55:$AF$160,"&lt;" &amp; DATE($A20,$C20+1,1))</f>
        <v>17</v>
      </c>
      <c r="AK20" s="358">
        <f ca="1">COUNTIFS(BV!$AN$55:$AN$160,"&gt;=" &amp; DATE($A20,$B20,1),BV!$AN$55:$AN$160,"&lt;" &amp; DATE($A20,$C20+1,1))</f>
        <v>13</v>
      </c>
      <c r="AL20" s="358">
        <f ca="1">COUNTIFS(BV!$AV$55:$AV$160,"&gt;=" &amp; DATE($A20,$B20,1),BV!$AV$55:$AV$160,"&lt;" &amp; DATE($A20,$C20+1,1))</f>
        <v>13</v>
      </c>
      <c r="AM20" s="358">
        <f ca="1">COUNTIFS(BV!$BD$55:$BD$160,"&gt;=" &amp; DATE($A20,$B20,1),BV!$BD$55:$BD$160,"&lt;" &amp; DATE($A20,$C20+1,1))</f>
        <v>8</v>
      </c>
      <c r="AN20" s="358">
        <f ca="1">COUNTIFS(BV!$BL$55:$BL$160,"&gt;=" &amp; DATE($A20,$B20,1),BV!$BL$55:$BL$160,"&lt;" &amp; DATE($A20,$C20+1,1))</f>
        <v>6</v>
      </c>
      <c r="AO20" s="358">
        <f ca="1">COUNTIFS(BV!$BT$55:$BT$160,"&gt;=" &amp; DATE($A20,$B20,1),BV!$BT$55:$BT$160,"&lt;" &amp; DATE($A20,$C20+1,1))</f>
        <v>7</v>
      </c>
      <c r="AP20" s="358">
        <f ca="1">COUNTIFS(BV!$CB$55:$CB$160,"&gt;=" &amp; DATE($A20,$B20,1),BV!$CB$55:$CB$160,"&lt;" &amp; DATE($A20,$C20+1,1))</f>
        <v>3</v>
      </c>
      <c r="AQ20" s="35">
        <f t="shared" ca="1" si="42"/>
        <v>488.20634920634922</v>
      </c>
      <c r="AR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16</v>
      </c>
      <c r="AS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23</v>
      </c>
      <c r="AT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21</v>
      </c>
      <c r="AU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24</v>
      </c>
      <c r="AV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24</v>
      </c>
      <c r="AW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26</v>
      </c>
      <c r="AX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23</v>
      </c>
      <c r="AY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17</v>
      </c>
      <c r="AZ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19</v>
      </c>
      <c r="BA20" s="510">
        <f ca="1">COUNTIFS(OFFSET(Time!$T$2,(COLUMN()-44)*20,,20,),"&gt;=" &amp; DATE($A20,$B20,1),OFFSET(Time!$T$2,(COLUMN()-44)*20,,20,),"&lt;" &amp; DATE($A20,$C20+1,1))+COUNTIFS(OFFSET(Bvs!$T$2,(COLUMN()-44)*20,,20,),"&gt;=" &amp; DATE($A20,$B20,1),OFFSET(Bvs!$T$2,(COLUMN()-44)*20,,20,),"&lt;" &amp; DATE($A20,$C20+1,1))+COUNTIFS(OFFSET(QG!$T$2,(COLUMN()-44)*20,,20,),"&gt;=" &amp; DATE($A20,$B20,1),OFFSET(QG!$T$2,(COLUMN()-44)*20,,20,),"&lt;" &amp; DATE($A20,$C20+1,1))</f>
        <v>16</v>
      </c>
      <c r="BB20" s="35">
        <f t="shared" ca="1" si="43"/>
        <v>587.55158730158735</v>
      </c>
      <c r="BC20" s="35">
        <f t="shared" ca="1" si="44"/>
        <v>1075.7579365079366</v>
      </c>
      <c r="BD20" s="34">
        <f t="shared" ca="1" si="45"/>
        <v>9.6049815759637198</v>
      </c>
      <c r="BE20" s="393">
        <f t="shared" ca="1" si="46"/>
        <v>6.6817263137138925</v>
      </c>
    </row>
    <row r="21" spans="1:57" ht="13.8" thickBot="1" x14ac:dyDescent="0.3">
      <c r="A21" s="379">
        <f t="shared" si="49"/>
        <v>2020</v>
      </c>
      <c r="B21" s="380">
        <f>B31</f>
        <v>7</v>
      </c>
      <c r="C21" s="380">
        <f>C31</f>
        <v>12</v>
      </c>
      <c r="D21" s="381" t="s">
        <v>39</v>
      </c>
      <c r="E21" s="167">
        <f ca="1">COUNTIFS(OFFSET(Arb!$C$2,Arb!$AJ$36,,Arb!$AJ$37,),$A21,OFFSET(Arb!$AI$2,Arb!$AJ$36,,Arb!$AJ$37,),TRUE,OFFSET(Arb!$B$2,Arb!$AJ$36,,Arb!$AJ$37,),"&gt;="&amp;$B21,OFFSET(Arb!$B$2,Arb!$AJ$36,,Arb!$AJ$37,),"&lt;="&amp;$C21)</f>
        <v>86</v>
      </c>
      <c r="F21" s="167">
        <f ca="1">SUMIFS(OFFSET(Arb!$I$2,Arb!$AJ$36,,Arb!$AJ$37,),OFFSET(Arb!$C$2,Arb!$AJ$36,,Arb!$AJ$37,),$A21,OFFSET(Arb!$AI$2,Arb!$AJ$36,,Arb!$AJ$37,),TRUE,OFFSET(Arb!$B$2,Arb!$AJ$36,,Arb!$AJ$37,),"&gt;="&amp;$B21,OFFSET(Arb!$B$2,Arb!$AJ$36,,Arb!$AJ$37,),"&lt;="&amp;$C21)</f>
        <v>5344</v>
      </c>
      <c r="G21" s="167">
        <f ca="1">SUMIFS(OFFSET(Arb!$H$2,Arb!$AJ$36,,Arb!$AJ$37,),OFFSET(Arb!$C$2,Arb!$AJ$36,,Arb!$AJ$37,),$A21,OFFSET(Arb!$AI$2,Arb!$AJ$36,,Arb!$AJ$37,),TRUE,OFFSET(Arb!$B$2,Arb!$AJ$36,,Arb!$AJ$37,),"&gt;="&amp;$B21,OFFSET(Arb!$B$2,Arb!$AJ$36,,Arb!$AJ$37,),"&lt;="&amp;$C21)</f>
        <v>2128.11</v>
      </c>
      <c r="H21" s="167">
        <f ca="1">SUMIFS(OFFSET(Arb!$AC$2,Arb!$AJ$36,,Arb!$AJ$37,),OFFSET(Arb!$C$2,Arb!$AJ$36,,Arb!$AJ$37,),$A21,OFFSET(Arb!$AI$2,Arb!$AJ$36,,Arb!$AJ$37,),TRUE,OFFSET(Arb!$B$2,Arb!$AJ$36,,Arb!$AJ$37,),"&gt;="&amp;$B21,OFFSET(Arb!$B$2,Arb!$AJ$36,,Arb!$AJ$37,),"&lt;="&amp;$C21)</f>
        <v>269022</v>
      </c>
      <c r="I21" s="167">
        <f ca="1">SUMIFS(OFFSET(Arb!$U$2,Arb!$AJ$36,,Arb!$AJ$37,),OFFSET(Arb!$C$2,Arb!$AJ$36,,Arb!$AJ$37,),$A21,OFFSET(Arb!$AI$2,Arb!$AJ$36,,Arb!$AJ$37,),TRUE,OFFSET(Arb!$B$2,Arb!$AJ$36,,Arb!$AJ$37,),"&gt;="&amp;$B21,OFFSET(Arb!$B$2,Arb!$AJ$36,,Arb!$AJ$37,),"&lt;="&amp;$C21)</f>
        <v>996</v>
      </c>
      <c r="J21" s="167">
        <f ca="1">SUMIFS(OFFSET(Arb!$V$2,Arb!$AJ$36,,Arb!$AJ$37,),OFFSET(Arb!$C$2,Arb!$AJ$36,,Arb!$AJ$37,),$A21,OFFSET(Arb!$AI$2,Arb!$AJ$36,,Arb!$AJ$37,),TRUE,OFFSET(Arb!$B$2,Arb!$AJ$36,,Arb!$AJ$37,),"&gt;="&amp;$B21,OFFSET(Arb!$B$2,Arb!$AJ$36,,Arb!$AJ$37,),"&lt;="&amp;$C21)</f>
        <v>6409</v>
      </c>
      <c r="K21" s="167">
        <f ca="1">SUMIFS(OFFSET(Arb!$X$2,Arb!$AJ$36,,Arb!$AJ$37,),OFFSET(Arb!$C$2,Arb!$AJ$36,,Arb!$AJ$37,),$A21,OFFSET(Arb!$AI$2,Arb!$AJ$36,,Arb!$AJ$37,),TRUE,OFFSET(Arb!$B$2,Arb!$AJ$36,,Arb!$AJ$37,),"&gt;="&amp;$B21,OFFSET(Arb!$B$2,Arb!$AJ$36,,Arb!$AJ$37,),"&lt;="&amp;$C21)</f>
        <v>6432</v>
      </c>
      <c r="L21" s="167">
        <f ca="1">SUMIFS(OFFSET(Arb!$AA$2,Arb!$AJ$36,,Arb!$AJ$37,),OFFSET(Arb!$C$2,Arb!$AJ$36,,Arb!$AJ$37,),$A21,OFFSET(Arb!$AI$2,Arb!$AJ$36,,Arb!$AJ$37,),TRUE,OFFSET(Arb!$B$2,Arb!$AJ$36,,Arb!$AJ$37,),"&gt;="&amp;$B21,OFFSET(Arb!$B$2,Arb!$AJ$36,,Arb!$AJ$37,),"&lt;="&amp;$C21)</f>
        <v>644</v>
      </c>
      <c r="M21" s="167">
        <f ca="1">SUMIFS(OFFSET(Arb!$AB$2,Arb!$AJ$36,,Arb!$AJ$37,),OFFSET(Arb!$C$2,Arb!$AJ$36,,Arb!$AJ$37,),$A21,OFFSET(Arb!$AI$2,Arb!$AJ$36,,Arb!$AJ$37,),TRUE,OFFSET(Arb!$B$2,Arb!$AJ$36,,Arb!$AJ$37,),"&gt;="&amp;$B21,OFFSET(Arb!$B$2,Arb!$AJ$36,,Arb!$AJ$37,),"&lt;="&amp;$C21)</f>
        <v>745</v>
      </c>
      <c r="N21" s="167">
        <f t="shared" ca="1" si="24"/>
        <v>7405</v>
      </c>
      <c r="O21" s="391">
        <f t="shared" ca="1" si="25"/>
        <v>62.139534883720927</v>
      </c>
      <c r="P21" s="382">
        <f t="shared" ca="1" si="26"/>
        <v>24.745465116279071</v>
      </c>
      <c r="Q21" s="113">
        <f t="shared" ca="1" si="27"/>
        <v>2.5111483898858609</v>
      </c>
      <c r="R21" s="383">
        <f t="shared" ca="1" si="28"/>
        <v>3.0224001578865751</v>
      </c>
      <c r="S21" s="113">
        <f t="shared" ca="1" si="29"/>
        <v>3.4796133658504491</v>
      </c>
      <c r="T21" s="113">
        <f t="shared" ca="1" si="30"/>
        <v>3.7633495434219544</v>
      </c>
      <c r="U21" s="112">
        <f t="shared" ca="1" si="31"/>
        <v>40.849248316226223</v>
      </c>
      <c r="V21" s="112">
        <f t="shared" ca="1" si="32"/>
        <v>7.4883720930232558</v>
      </c>
      <c r="W21" s="112">
        <f t="shared" ca="1" si="33"/>
        <v>8.6627906976744189</v>
      </c>
      <c r="X21" s="113">
        <f t="shared" ca="1" si="34"/>
        <v>0.86860229574611747</v>
      </c>
      <c r="Y21" s="113">
        <f t="shared" ca="1" si="35"/>
        <v>0.8308457711442786</v>
      </c>
      <c r="Z21" s="113">
        <f t="shared" ca="1" si="36"/>
        <v>0.72167454422687372</v>
      </c>
      <c r="AA21" s="168">
        <f t="shared" ca="1" si="37"/>
        <v>195.51017441860466</v>
      </c>
      <c r="AB21" s="112">
        <f t="shared" ca="1" si="38"/>
        <v>7.9008486403428391</v>
      </c>
      <c r="AC21" s="113">
        <f t="shared" ca="1" si="39"/>
        <v>0.31783274230360337</v>
      </c>
      <c r="AD21" s="135">
        <f t="shared" ca="1" si="40"/>
        <v>23.879526178010128</v>
      </c>
      <c r="AE21" s="470">
        <f ca="1">AE11</f>
        <v>83</v>
      </c>
      <c r="AF21" s="382">
        <f t="shared" ca="1" si="41"/>
        <v>1.036144578313253</v>
      </c>
      <c r="AG21" s="67">
        <f ca="1">COUNTIFS(BV!$H$55:$H$160,"&gt;=" &amp; DATE($A21,$B21,1),BV!$H$55:$H$160,"&lt;" &amp; DATE($A21,$C21+1,1))</f>
        <v>14</v>
      </c>
      <c r="AH21" s="67">
        <f ca="1">COUNTIFS(BV!$P$55:$P$160,"&gt;=" &amp; DATE($A21,$B21,1),BV!$P$55:$P$160,"&lt;" &amp; DATE($A21,$C21+1,1))</f>
        <v>14</v>
      </c>
      <c r="AI21" s="67">
        <f ca="1">COUNTIFS(BV!$X$55:$X$160,"&gt;=" &amp; DATE($A21,$B21,1),BV!$X$55:$X$160,"&lt;" &amp; DATE($A21,$C21+1,1))</f>
        <v>9</v>
      </c>
      <c r="AJ21" s="67">
        <f ca="1">COUNTIFS(BV!$AF$55:$AF$160,"&gt;=" &amp; DATE($A21,$B21,1),BV!$AF$55:$AF$160,"&lt;" &amp; DATE($A21,$C21+1,1))</f>
        <v>3</v>
      </c>
      <c r="AK21" s="67">
        <f ca="1">COUNTIFS(BV!$AN$55:$AN$160,"&gt;=" &amp; DATE($A21,$B21,1),BV!$AN$55:$AN$160,"&lt;" &amp; DATE($A21,$C21+1,1))</f>
        <v>6</v>
      </c>
      <c r="AL21" s="67">
        <f ca="1">COUNTIFS(BV!$AV$55:$AV$160,"&gt;=" &amp; DATE($A21,$B21,1),BV!$AV$55:$AV$160,"&lt;" &amp; DATE($A21,$C21+1,1))</f>
        <v>6</v>
      </c>
      <c r="AM21" s="67">
        <f ca="1">COUNTIFS(BV!$BD$55:$BD$160,"&gt;=" &amp; DATE($A21,$B21,1),BV!$BD$55:$BD$160,"&lt;" &amp; DATE($A21,$C21+1,1))</f>
        <v>8</v>
      </c>
      <c r="AN21" s="67">
        <f ca="1">COUNTIFS(BV!$BL$55:$BL$160,"&gt;=" &amp; DATE($A21,$B21,1),BV!$BL$55:$BL$160,"&lt;" &amp; DATE($A21,$C21+1,1))</f>
        <v>4</v>
      </c>
      <c r="AO21" s="67">
        <f ca="1">COUNTIFS(BV!$BT$55:$BT$160,"&gt;=" &amp; DATE($A21,$B21,1),BV!$BT$55:$BT$160,"&lt;" &amp; DATE($A21,$C21+1,1))</f>
        <v>0</v>
      </c>
      <c r="AP21" s="67">
        <f ca="1">COUNTIFS(BV!$CB$55:$CB$160,"&gt;=" &amp; DATE($A21,$B21,1),BV!$CB$55:$CB$160,"&lt;" &amp; DATE($A21,$C21+1,1))</f>
        <v>8</v>
      </c>
      <c r="AQ21" s="384">
        <f t="shared" ca="1" si="42"/>
        <v>293.92857142857144</v>
      </c>
      <c r="AR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16</v>
      </c>
      <c r="AS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14</v>
      </c>
      <c r="AT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15</v>
      </c>
      <c r="AU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16</v>
      </c>
      <c r="AV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16</v>
      </c>
      <c r="AW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6</v>
      </c>
      <c r="AX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12</v>
      </c>
      <c r="AY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10</v>
      </c>
      <c r="AZ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9</v>
      </c>
      <c r="BA21" s="510">
        <f ca="1">COUNTIFS(OFFSET(Time!$T$2,(COLUMN()-44)*20,,20,),"&gt;=" &amp; DATE($A21,$B21,1),OFFSET(Time!$T$2,(COLUMN()-44)*20,,20,),"&lt;" &amp; DATE($A21,$C21+1,1))+COUNTIFS(OFFSET(Bvs!$T$2,(COLUMN()-44)*20,,20,),"&gt;=" &amp; DATE($A21,$B21,1),OFFSET(Bvs!$T$2,(COLUMN()-44)*20,,20,),"&lt;" &amp; DATE($A21,$C21+1,1))+COUNTIFS(OFFSET(QG!$T$2,(COLUMN()-44)*20,,20,),"&gt;=" &amp; DATE($A21,$B21,1),OFFSET(QG!$T$2,(COLUMN()-44)*20,,20,),"&lt;" &amp; DATE($A21,$C21+1,1))</f>
        <v>12</v>
      </c>
      <c r="BB21" s="384">
        <f t="shared" ca="1" si="43"/>
        <v>413.64285714285722</v>
      </c>
      <c r="BC21" s="384">
        <f t="shared" ca="1" si="44"/>
        <v>707.57142857142867</v>
      </c>
      <c r="BD21" s="112">
        <f t="shared" ca="1" si="45"/>
        <v>8.5249569707401047</v>
      </c>
      <c r="BE21" s="394">
        <f t="shared" ca="1" si="46"/>
        <v>8.2275747508305663</v>
      </c>
    </row>
    <row r="22" spans="1:57" x14ac:dyDescent="0.25">
      <c r="A22" s="367">
        <f t="shared" ref="A22" si="73">IF(B23=1,A23-1,A23)</f>
        <v>2016</v>
      </c>
      <c r="B22" s="367">
        <f t="shared" ref="B22:B29" si="74">IF(B23=1,7,B23-6)</f>
        <v>1</v>
      </c>
      <c r="C22" s="367">
        <f t="shared" ref="C22" si="75">B22+5</f>
        <v>6</v>
      </c>
      <c r="D22" s="368" t="s">
        <v>40</v>
      </c>
      <c r="E22" s="69">
        <f ca="1">COUNTIFS(OFFSET(Arb!$C$2,Arb!$AJ$36+Arb!$AJ$37,,Arb!$AJ$38,),$A22,OFFSET(Arb!$AI$2,Arb!$AJ$36+Arb!$AJ$37,,Arb!$AJ$38,),TRUE,OFFSET(Arb!$B$2,Arb!$AJ$36+Arb!$AJ$37,,Arb!$AJ$38,),"&gt;="&amp;$B22,OFFSET(Arb!$B$2,Arb!$AJ$36+Arb!$AJ$37,,Arb!$AJ$38,),"&lt;="&amp;$C22)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F22" s="69">
        <f ca="1">SUMIFS(OFFSET(Arb!$I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G22" s="69">
        <f ca="1">SUMIFS(OFFSET(Arb!$H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H22" s="69">
        <f ca="1">SUMIFS(OFFSET(Arb!$AC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I22" s="69">
        <f ca="1">SUMIFS(OFFSET(Arb!$U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J22" s="69">
        <f ca="1">SUMIFS(OFFSET(Arb!$V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K22" s="69">
        <f ca="1">SUMIFS(OFFSET(Arb!$X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L22" s="69">
        <f ca="1">SUMIFS(OFFSET(Arb!$AA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M22" s="69">
        <f ca="1">SUMIFS(OFFSET(Arb!$AB$2,Arb!$AJ$36+Arb!$AJ$37,,Arb!$AJ$38,),OFFSET(Arb!$C$2,Arb!$AJ$36+Arb!$AJ$37,,Arb!$AJ$38,),$A22,OFFSET(Arb!$AI$2,Arb!$AJ$36+Arb!$AJ$37,,Arb!$AJ$38,),TRUE,OFFSET(Arb!$B$2,Arb!$AJ$36+Arb!$AJ$37,,Arb!$AJ$38,),"&gt;="&amp;$B22,OFFSET(Arb!$B$2,Arb!$AJ$36+Arb!$AJ$37,,Arb!$AJ$38,),"&lt;="&amp;$C22)</f>
        <v>0</v>
      </c>
      <c r="N22" s="69">
        <f t="shared" ref="N22" ca="1" si="76">I22+J22</f>
        <v>0</v>
      </c>
      <c r="O22" s="389" t="str">
        <f t="shared" ref="O22" ca="1" si="77">IFERROR(F22/E22,"")</f>
        <v/>
      </c>
      <c r="P22" s="369" t="str">
        <f t="shared" ref="P22" ca="1" si="78">IFERROR(G22/E22,"")</f>
        <v/>
      </c>
      <c r="Q22" s="122" t="str">
        <f t="shared" ca="1" si="27"/>
        <v/>
      </c>
      <c r="R22" s="234" t="str">
        <f t="shared" ref="R22" ca="1" si="79">IFERROR(K22/G22,"")</f>
        <v/>
      </c>
      <c r="S22" s="122" t="str">
        <f t="shared" ref="S22" ca="1" si="80">IFERROR(N22/G22,"")</f>
        <v/>
      </c>
      <c r="T22" s="122" t="str">
        <f t="shared" ca="1" si="30"/>
        <v/>
      </c>
      <c r="U22" s="119" t="str">
        <f t="shared" ref="U22" ca="1" si="81">IFERROR((IF(D22="beg",47.299,0)+IF(D22="int",153.73,0)+IF(D22="exp",435.001,0))/T22,"")</f>
        <v/>
      </c>
      <c r="V22" s="119" t="str">
        <f t="shared" ref="V22" ca="1" si="82">IFERROR(L22/E22,"")</f>
        <v/>
      </c>
      <c r="W22" s="119" t="str">
        <f t="shared" ref="W22" ca="1" si="83">IFERROR(M22/E22,"")</f>
        <v/>
      </c>
      <c r="X22" s="122" t="str">
        <f t="shared" ca="1" si="34"/>
        <v/>
      </c>
      <c r="Y22" s="122" t="str">
        <f t="shared" ca="1" si="35"/>
        <v/>
      </c>
      <c r="Z22" s="122" t="str">
        <f t="shared" ref="Z22" ca="1" si="84">IFERROR(F22/N22,"")</f>
        <v/>
      </c>
      <c r="AA22" s="175" t="str">
        <f t="shared" ref="AA22" ca="1" si="85">IFERROR(H22/E22/16,"")</f>
        <v/>
      </c>
      <c r="AB22" s="119" t="str">
        <f t="shared" ca="1" si="38"/>
        <v/>
      </c>
      <c r="AC22" s="122" t="str">
        <f t="shared" ca="1" si="39"/>
        <v/>
      </c>
      <c r="AD22" s="121" t="str">
        <f t="shared" ref="AD22" ca="1" si="86">IFERROR(AB22*R22,"")</f>
        <v/>
      </c>
      <c r="AE22" s="547">
        <f ca="1">AE11</f>
        <v>83</v>
      </c>
      <c r="AF22" s="369">
        <f t="shared" ref="AF22" ca="1" si="87">E22/AE22</f>
        <v>0</v>
      </c>
      <c r="AG22" s="70">
        <f ca="1">COUNTIFS(BV!$H$242:$H$420,"&gt;=" &amp; DATE($A22,$B22,1),BV!$H$242:$H$420,"&lt;" &amp; DATE($A22,$C22+1,1))</f>
        <v>0</v>
      </c>
      <c r="AH22" s="70">
        <f ca="1">COUNTIFS(BV!$P$242:$P$420,"&gt;=" &amp; DATE($A22,$B22,1),BV!$P$242:$P$420,"&lt;" &amp; DATE($A22,$C22+1,1))</f>
        <v>0</v>
      </c>
      <c r="AI22" s="70">
        <f ca="1">COUNTIFS(BV!$X$242:$X$420,"&gt;=" &amp; DATE($A22,$B22,1),BV!$X$242:$X$420,"&lt;" &amp; DATE($A22,$C22+1,1))</f>
        <v>0</v>
      </c>
      <c r="AJ22" s="70">
        <f ca="1">COUNTIFS(BV!$AF$242:$AF$420,"&gt;=" &amp; DATE($A22,$B22,1),BV!$AF$242:$AF$420,"&lt;" &amp; DATE($A22,$C22+1,1))</f>
        <v>0</v>
      </c>
      <c r="AK22" s="70">
        <f ca="1">COUNTIFS(BV!$AN$242:$AN$420,"&gt;=" &amp; DATE($A22,$B22,1),BV!$AN$242:$AN$420,"&lt;" &amp; DATE($A22,$C22+1,1))</f>
        <v>0</v>
      </c>
      <c r="AL22" s="70">
        <f ca="1">COUNTIFS(BV!$AV$242:$AV$420,"&gt;=" &amp; DATE($A22,$B22,1),BV!$AV$242:$AV$420,"&lt;" &amp; DATE($A22,$C22+1,1))</f>
        <v>0</v>
      </c>
      <c r="AM22" s="70">
        <f ca="1">COUNTIFS(BV!$BD$242:$BD$420,"&gt;=" &amp; DATE($A22,$B22,1),BV!$BD$242:$BD$420,"&lt;" &amp; DATE($A22,$C22+1,1))</f>
        <v>0</v>
      </c>
      <c r="AN22" s="70">
        <f ca="1">COUNTIFS(BV!$BL$242:$BL$420,"&gt;=" &amp; DATE($A22,$B22,1),BV!$BL$242:$BL$420,"&lt;" &amp; DATE($A22,$C22+1,1))</f>
        <v>0</v>
      </c>
      <c r="AO22" s="70">
        <f ca="1">COUNTIFS(BV!$BT$242:$BT$420,"&gt;=" &amp; DATE($A22,$B22,1),BV!$BT$242:$BT$420,"&lt;" &amp; DATE($A22,$C22+1,1))</f>
        <v>0</v>
      </c>
      <c r="AP22" s="70">
        <f ca="1">COUNTIFS(BV!$CB$242:$CB$420,"&gt;=" &amp; DATE($A22,$B22,1),BV!$CB$242:$CB$420,"&lt;" &amp; DATE($A22,$C22+1,1))</f>
        <v>0</v>
      </c>
      <c r="AQ22" s="232">
        <f t="shared" ca="1" si="42"/>
        <v>0</v>
      </c>
      <c r="AR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S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T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U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V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W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X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Y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AZ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BA22" s="547">
        <f ca="1">COUNTIFS(OFFSET(Time!$AD$2,(COLUMN()-44)*20,,20,),"&gt;=" &amp; DATE($A22,$B22,1),OFFSET(Time!$AD$2,(COLUMN()-44)*20,,20,),"&lt;" &amp; DATE($A22,$C22+1,1))+COUNTIFS(OFFSET(Bvs!$AD$2,(COLUMN()-44)*20,,20,),"&gt;=" &amp; DATE($A22,$B22,1),OFFSET(Bvs!$AD$2,(COLUMN()-44)*20,,20,),"&lt;" &amp; DATE($A22,$C22+1,1))+COUNTIFS(OFFSET(QG!$AD$2,(COLUMN()-44)*20,,20,),"&gt;=" &amp; DATE($A22,$B22,1),OFFSET(QG!$AD$2,(COLUMN()-44)*20,,20,),"&lt;" &amp; DATE($A22,$C22+1,1))</f>
        <v>0</v>
      </c>
      <c r="BB22" s="232">
        <f t="shared" ref="BB22" ca="1" si="88">(AR22+AS22/2+AT22/3+AU22/4+AV22/5+AW22/6+AX22/7+AY22/8+AZ22/9+BA22/10)*10</f>
        <v>0</v>
      </c>
      <c r="BC22" s="232">
        <f t="shared" ref="BC22" ca="1" si="89">AQ22+BB22</f>
        <v>0</v>
      </c>
      <c r="BD22" s="119">
        <f t="shared" ca="1" si="45"/>
        <v>0</v>
      </c>
      <c r="BE22" s="119">
        <f t="shared" ref="BE22" ca="1" si="90">IF(AF22=0,0,BD22/AF22)</f>
        <v>0</v>
      </c>
    </row>
    <row r="23" spans="1:57" x14ac:dyDescent="0.25">
      <c r="A23" s="367">
        <f t="shared" ref="A23:A29" si="91">IF(B24=1,A24-1,A24)</f>
        <v>2016</v>
      </c>
      <c r="B23" s="367">
        <f t="shared" si="74"/>
        <v>7</v>
      </c>
      <c r="C23" s="367">
        <f t="shared" ref="C23:C29" si="92">B23+5</f>
        <v>12</v>
      </c>
      <c r="D23" s="368" t="s">
        <v>40</v>
      </c>
      <c r="E23" s="69">
        <f ca="1">COUNTIFS(OFFSET(Arb!$C$2,Arb!$AJ$36+Arb!$AJ$37,,Arb!$AJ$38,),$A23,OFFSET(Arb!$AI$2,Arb!$AJ$36+Arb!$AJ$37,,Arb!$AJ$38,),TRUE,OFFSET(Arb!$B$2,Arb!$AJ$36+Arb!$AJ$37,,Arb!$AJ$38,),"&gt;="&amp;$B23,OFFSET(Arb!$B$2,Arb!$AJ$36+Arb!$AJ$37,,Arb!$AJ$38,),"&lt;="&amp;$C23)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F23" s="69">
        <f ca="1">SUMIFS(OFFSET(Arb!$I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G23" s="69">
        <f ca="1">SUMIFS(OFFSET(Arb!$H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H23" s="69">
        <f ca="1">SUMIFS(OFFSET(Arb!$AC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I23" s="69">
        <f ca="1">SUMIFS(OFFSET(Arb!$U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J23" s="69">
        <f ca="1">SUMIFS(OFFSET(Arb!$V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K23" s="69">
        <f ca="1">SUMIFS(OFFSET(Arb!$X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L23" s="69">
        <f ca="1">SUMIFS(OFFSET(Arb!$AA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M23" s="69">
        <f ca="1">SUMIFS(OFFSET(Arb!$AB$2,Arb!$AJ$36+Arb!$AJ$37,,Arb!$AJ$38,),OFFSET(Arb!$C$2,Arb!$AJ$36+Arb!$AJ$37,,Arb!$AJ$38,),$A23,OFFSET(Arb!$AI$2,Arb!$AJ$36+Arb!$AJ$37,,Arb!$AJ$38,),TRUE,OFFSET(Arb!$B$2,Arb!$AJ$36+Arb!$AJ$37,,Arb!$AJ$38,),"&gt;="&amp;$B23,OFFSET(Arb!$B$2,Arb!$AJ$36+Arb!$AJ$37,,Arb!$AJ$38,),"&lt;="&amp;$C23)</f>
        <v>0</v>
      </c>
      <c r="N23" s="69">
        <f t="shared" ca="1" si="24"/>
        <v>0</v>
      </c>
      <c r="O23" s="389" t="str">
        <f t="shared" ca="1" si="25"/>
        <v/>
      </c>
      <c r="P23" s="369" t="str">
        <f t="shared" ca="1" si="26"/>
        <v/>
      </c>
      <c r="Q23" s="122" t="str">
        <f t="shared" ref="Q23:Q31" ca="1" si="93">IFERROR(O23/P23,"")</f>
        <v/>
      </c>
      <c r="R23" s="234" t="str">
        <f t="shared" ca="1" si="28"/>
        <v/>
      </c>
      <c r="S23" s="122" t="str">
        <f t="shared" ca="1" si="29"/>
        <v/>
      </c>
      <c r="T23" s="122" t="str">
        <f t="shared" ref="T23:T31" ca="1" si="94">IFERROR(P23^1.7/O23,"")</f>
        <v/>
      </c>
      <c r="U23" s="119" t="str">
        <f t="shared" ca="1" si="31"/>
        <v/>
      </c>
      <c r="V23" s="119" t="str">
        <f t="shared" ca="1" si="32"/>
        <v/>
      </c>
      <c r="W23" s="119" t="str">
        <f t="shared" ca="1" si="33"/>
        <v/>
      </c>
      <c r="X23" s="122" t="str">
        <f t="shared" ref="X23:X31" ca="1" si="95">IFERROR(R23/S23,"")</f>
        <v/>
      </c>
      <c r="Y23" s="122" t="str">
        <f t="shared" ref="Y23:Y31" ca="1" si="96">IFERROR(Q23/R23,"")</f>
        <v/>
      </c>
      <c r="Z23" s="122" t="str">
        <f t="shared" ca="1" si="36"/>
        <v/>
      </c>
      <c r="AA23" s="175" t="str">
        <f t="shared" ca="1" si="37"/>
        <v/>
      </c>
      <c r="AB23" s="119" t="str">
        <f t="shared" ref="AB23:AB31" ca="1" si="97">IFERROR(AA23/P23,"")</f>
        <v/>
      </c>
      <c r="AC23" s="122" t="str">
        <f t="shared" ref="AC23:AC31" ca="1" si="98">IFERROR(O23/AA23,"")</f>
        <v/>
      </c>
      <c r="AD23" s="121" t="str">
        <f t="shared" ca="1" si="40"/>
        <v/>
      </c>
      <c r="AE23" s="470" t="e">
        <f ca="1">AE13</f>
        <v>#N/A</v>
      </c>
      <c r="AF23" s="369" t="e">
        <f t="shared" ca="1" si="41"/>
        <v>#N/A</v>
      </c>
      <c r="AG23" s="70">
        <f ca="1">COUNTIFS(BV!$H$242:$H$420,"&gt;=" &amp; DATE($A23,$B23,1),BV!$H$242:$H$420,"&lt;" &amp; DATE($A23,$C23+1,1))</f>
        <v>0</v>
      </c>
      <c r="AH23" s="70">
        <f ca="1">COUNTIFS(BV!$P$242:$P$420,"&gt;=" &amp; DATE($A23,$B23,1),BV!$P$242:$P$420,"&lt;" &amp; DATE($A23,$C23+1,1))</f>
        <v>0</v>
      </c>
      <c r="AI23" s="70">
        <f ca="1">COUNTIFS(BV!$X$242:$X$420,"&gt;=" &amp; DATE($A23,$B23,1),BV!$X$242:$X$420,"&lt;" &amp; DATE($A23,$C23+1,1))</f>
        <v>0</v>
      </c>
      <c r="AJ23" s="70">
        <f ca="1">COUNTIFS(BV!$AF$242:$AF$420,"&gt;=" &amp; DATE($A23,$B23,1),BV!$AF$242:$AF$420,"&lt;" &amp; DATE($A23,$C23+1,1))</f>
        <v>0</v>
      </c>
      <c r="AK23" s="70">
        <f ca="1">COUNTIFS(BV!$AN$242:$AN$420,"&gt;=" &amp; DATE($A23,$B23,1),BV!$AN$242:$AN$420,"&lt;" &amp; DATE($A23,$C23+1,1))</f>
        <v>0</v>
      </c>
      <c r="AL23" s="70">
        <f ca="1">COUNTIFS(BV!$AV$242:$AV$420,"&gt;=" &amp; DATE($A23,$B23,1),BV!$AV$242:$AV$420,"&lt;" &amp; DATE($A23,$C23+1,1))</f>
        <v>0</v>
      </c>
      <c r="AM23" s="70">
        <f ca="1">COUNTIFS(BV!$BD$242:$BD$420,"&gt;=" &amp; DATE($A23,$B23,1),BV!$BD$242:$BD$420,"&lt;" &amp; DATE($A23,$C23+1,1))</f>
        <v>0</v>
      </c>
      <c r="AN23" s="70">
        <f ca="1">COUNTIFS(BV!$BL$242:$BL$420,"&gt;=" &amp; DATE($A23,$B23,1),BV!$BL$242:$BL$420,"&lt;" &amp; DATE($A23,$C23+1,1))</f>
        <v>0</v>
      </c>
      <c r="AO23" s="70">
        <f ca="1">COUNTIFS(BV!$BT$242:$BT$420,"&gt;=" &amp; DATE($A23,$B23,1),BV!$BT$242:$BT$420,"&lt;" &amp; DATE($A23,$C23+1,1))</f>
        <v>0</v>
      </c>
      <c r="AP23" s="70">
        <f ca="1">COUNTIFS(BV!$CB$242:$CB$420,"&gt;=" &amp; DATE($A23,$B23,1),BV!$CB$242:$CB$420,"&lt;" &amp; DATE($A23,$C23+1,1))</f>
        <v>0</v>
      </c>
      <c r="AQ23" s="232">
        <f t="shared" ref="AQ23:AQ41" ca="1" si="99">(AG23+AH23/2+AI23/3+AJ23/4+AK23/5+AL23/6+AM23/7+AN23/8+AO23/9+AP23/10)*10</f>
        <v>0</v>
      </c>
      <c r="AR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S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T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U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V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W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X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Y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AZ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BA23" s="510">
        <f ca="1">COUNTIFS(OFFSET(Time!$AD$2,(COLUMN()-44)*20,,20,),"&gt;=" &amp; DATE($A23,$B23,1),OFFSET(Time!$AD$2,(COLUMN()-44)*20,,20,),"&lt;" &amp; DATE($A23,$C23+1,1))+COUNTIFS(OFFSET(Bvs!$AD$2,(COLUMN()-44)*20,,20,),"&gt;=" &amp; DATE($A23,$B23,1),OFFSET(Bvs!$AD$2,(COLUMN()-44)*20,,20,),"&lt;" &amp; DATE($A23,$C23+1,1))+COUNTIFS(OFFSET(QG!$AD$2,(COLUMN()-44)*20,,20,),"&gt;=" &amp; DATE($A23,$B23,1),OFFSET(QG!$AD$2,(COLUMN()-44)*20,,20,),"&lt;" &amp; DATE($A23,$C23+1,1))</f>
        <v>0</v>
      </c>
      <c r="BB23" s="232">
        <f t="shared" ca="1" si="43"/>
        <v>0</v>
      </c>
      <c r="BC23" s="232">
        <f t="shared" ca="1" si="44"/>
        <v>0</v>
      </c>
      <c r="BD23" s="119" t="e">
        <f t="shared" ref="BD23:BD41" ca="1" si="100">BC23/AE23</f>
        <v>#N/A</v>
      </c>
      <c r="BE23" s="119" t="e">
        <f t="shared" ca="1" si="46"/>
        <v>#N/A</v>
      </c>
    </row>
    <row r="24" spans="1:57" x14ac:dyDescent="0.25">
      <c r="A24" s="24">
        <f t="shared" si="91"/>
        <v>2017</v>
      </c>
      <c r="B24" s="24">
        <f t="shared" si="74"/>
        <v>1</v>
      </c>
      <c r="C24" s="24">
        <f t="shared" si="92"/>
        <v>6</v>
      </c>
      <c r="D24" s="38" t="s">
        <v>40</v>
      </c>
      <c r="E24" s="1">
        <f ca="1">COUNTIFS(OFFSET(Arb!$C$2,Arb!$AJ$36+Arb!$AJ$37,,Arb!$AJ$38,),$A24,OFFSET(Arb!$AI$2,Arb!$AJ$36+Arb!$AJ$37,,Arb!$AJ$38,),TRUE,OFFSET(Arb!$B$2,Arb!$AJ$36+Arb!$AJ$37,,Arb!$AJ$38,),"&gt;="&amp;$B24,OFFSET(Arb!$B$2,Arb!$AJ$36+Arb!$AJ$37,,Arb!$AJ$38,),"&lt;="&amp;$C24)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F24" s="1">
        <f ca="1">SUMIFS(OFFSET(Arb!$I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G24" s="1">
        <f ca="1">SUMIFS(OFFSET(Arb!$H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H24" s="1">
        <f ca="1">SUMIFS(OFFSET(Arb!$AC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I24" s="1">
        <f ca="1">SUMIFS(OFFSET(Arb!$U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J24" s="1">
        <f ca="1">SUMIFS(OFFSET(Arb!$V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K24" s="1">
        <f ca="1">SUMIFS(OFFSET(Arb!$X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L24" s="1">
        <f ca="1">SUMIFS(OFFSET(Arb!$AA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M24" s="1">
        <f ca="1">SUMIFS(OFFSET(Arb!$AB$2,Arb!$AJ$36+Arb!$AJ$37,,Arb!$AJ$38,),OFFSET(Arb!$C$2,Arb!$AJ$36+Arb!$AJ$37,,Arb!$AJ$38,),$A24,OFFSET(Arb!$AI$2,Arb!$AJ$36+Arb!$AJ$37,,Arb!$AJ$38,),TRUE,OFFSET(Arb!$B$2,Arb!$AJ$36+Arb!$AJ$37,,Arb!$AJ$38,),"&gt;="&amp;$B24,OFFSET(Arb!$B$2,Arb!$AJ$36+Arb!$AJ$37,,Arb!$AJ$38,),"&lt;="&amp;$C24)</f>
        <v>0</v>
      </c>
      <c r="N24" s="1">
        <f t="shared" ca="1" si="24"/>
        <v>0</v>
      </c>
      <c r="O24" s="39" t="str">
        <f t="shared" ca="1" si="25"/>
        <v/>
      </c>
      <c r="P24" s="12" t="str">
        <f t="shared" ca="1" si="26"/>
        <v/>
      </c>
      <c r="Q24" s="33" t="str">
        <f t="shared" ca="1" si="93"/>
        <v/>
      </c>
      <c r="R24" s="20" t="str">
        <f t="shared" ca="1" si="28"/>
        <v/>
      </c>
      <c r="S24" s="33" t="str">
        <f t="shared" ca="1" si="29"/>
        <v/>
      </c>
      <c r="T24" s="33" t="str">
        <f t="shared" ca="1" si="94"/>
        <v/>
      </c>
      <c r="U24" s="34" t="str">
        <f t="shared" ca="1" si="31"/>
        <v/>
      </c>
      <c r="V24" s="34" t="str">
        <f t="shared" ca="1" si="32"/>
        <v/>
      </c>
      <c r="W24" s="34" t="str">
        <f t="shared" ca="1" si="33"/>
        <v/>
      </c>
      <c r="X24" s="33" t="str">
        <f t="shared" ca="1" si="95"/>
        <v/>
      </c>
      <c r="Y24" s="33" t="str">
        <f t="shared" ca="1" si="96"/>
        <v/>
      </c>
      <c r="Z24" s="33" t="str">
        <f t="shared" ca="1" si="36"/>
        <v/>
      </c>
      <c r="AA24" s="17" t="str">
        <f t="shared" ca="1" si="37"/>
        <v/>
      </c>
      <c r="AB24" s="34" t="str">
        <f t="shared" ca="1" si="97"/>
        <v/>
      </c>
      <c r="AC24" s="33" t="str">
        <f t="shared" ca="1" si="98"/>
        <v/>
      </c>
      <c r="AD24" s="21" t="str">
        <f t="shared" ca="1" si="40"/>
        <v/>
      </c>
      <c r="AE24" s="470" t="e">
        <f ca="1">AE14</f>
        <v>#N/A</v>
      </c>
      <c r="AF24" s="12" t="e">
        <f t="shared" ca="1" si="41"/>
        <v>#N/A</v>
      </c>
      <c r="AG24" s="353">
        <f ca="1">COUNTIFS(BV!$H$242:$H$420,"&gt;=" &amp; DATE($A24,$B24,1),BV!$H$242:$H$420,"&lt;" &amp; DATE($A24,$C24+1,1))</f>
        <v>0</v>
      </c>
      <c r="AH24" s="353">
        <f ca="1">COUNTIFS(BV!$P$242:$P$420,"&gt;=" &amp; DATE($A24,$B24,1),BV!$P$242:$P$420,"&lt;" &amp; DATE($A24,$C24+1,1))</f>
        <v>0</v>
      </c>
      <c r="AI24" s="353">
        <f ca="1">COUNTIFS(BV!$X$242:$X$420,"&gt;=" &amp; DATE($A24,$B24,1),BV!$X$242:$X$420,"&lt;" &amp; DATE($A24,$C24+1,1))</f>
        <v>0</v>
      </c>
      <c r="AJ24" s="353">
        <f ca="1">COUNTIFS(BV!$AF$242:$AF$420,"&gt;=" &amp; DATE($A24,$B24,1),BV!$AF$242:$AF$420,"&lt;" &amp; DATE($A24,$C24+1,1))</f>
        <v>0</v>
      </c>
      <c r="AK24" s="353">
        <f ca="1">COUNTIFS(BV!$AN$242:$AN$420,"&gt;=" &amp; DATE($A24,$B24,1),BV!$AN$242:$AN$420,"&lt;" &amp; DATE($A24,$C24+1,1))</f>
        <v>0</v>
      </c>
      <c r="AL24" s="353">
        <f ca="1">COUNTIFS(BV!$AV$242:$AV$420,"&gt;=" &amp; DATE($A24,$B24,1),BV!$AV$242:$AV$420,"&lt;" &amp; DATE($A24,$C24+1,1))</f>
        <v>0</v>
      </c>
      <c r="AM24" s="353">
        <f ca="1">COUNTIFS(BV!$BD$242:$BD$420,"&gt;=" &amp; DATE($A24,$B24,1),BV!$BD$242:$BD$420,"&lt;" &amp; DATE($A24,$C24+1,1))</f>
        <v>0</v>
      </c>
      <c r="AN24" s="353">
        <f ca="1">COUNTIFS(BV!$BL$242:$BL$420,"&gt;=" &amp; DATE($A24,$B24,1),BV!$BL$242:$BL$420,"&lt;" &amp; DATE($A24,$C24+1,1))</f>
        <v>0</v>
      </c>
      <c r="AO24" s="353">
        <f ca="1">COUNTIFS(BV!$BT$242:$BT$420,"&gt;=" &amp; DATE($A24,$B24,1),BV!$BT$242:$BT$420,"&lt;" &amp; DATE($A24,$C24+1,1))</f>
        <v>0</v>
      </c>
      <c r="AP24" s="353">
        <f ca="1">COUNTIFS(BV!$CB$242:$CB$420,"&gt;=" &amp; DATE($A24,$B24,1),BV!$CB$242:$CB$420,"&lt;" &amp; DATE($A24,$C24+1,1))</f>
        <v>0</v>
      </c>
      <c r="AQ24" s="35">
        <f t="shared" ca="1" si="99"/>
        <v>0</v>
      </c>
      <c r="AR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S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T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U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V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W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X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Y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AZ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BA24" s="510">
        <f ca="1">COUNTIFS(OFFSET(Time!$AD$2,(COLUMN()-44)*20,,20,),"&gt;=" &amp; DATE($A24,$B24,1),OFFSET(Time!$AD$2,(COLUMN()-44)*20,,20,),"&lt;" &amp; DATE($A24,$C24+1,1))+COUNTIFS(OFFSET(Bvs!$AD$2,(COLUMN()-44)*20,,20,),"&gt;=" &amp; DATE($A24,$B24,1),OFFSET(Bvs!$AD$2,(COLUMN()-44)*20,,20,),"&lt;" &amp; DATE($A24,$C24+1,1))+COUNTIFS(OFFSET(QG!$AD$2,(COLUMN()-44)*20,,20,),"&gt;=" &amp; DATE($A24,$B24,1),OFFSET(QG!$AD$2,(COLUMN()-44)*20,,20,),"&lt;" &amp; DATE($A24,$C24+1,1))</f>
        <v>0</v>
      </c>
      <c r="BB24" s="35">
        <f t="shared" ca="1" si="43"/>
        <v>0</v>
      </c>
      <c r="BC24" s="35">
        <f t="shared" ca="1" si="44"/>
        <v>0</v>
      </c>
      <c r="BD24" s="34" t="e">
        <f t="shared" ca="1" si="100"/>
        <v>#N/A</v>
      </c>
      <c r="BE24" s="34" t="e">
        <f t="shared" ca="1" si="46"/>
        <v>#N/A</v>
      </c>
    </row>
    <row r="25" spans="1:57" x14ac:dyDescent="0.25">
      <c r="A25" s="24">
        <f t="shared" si="91"/>
        <v>2017</v>
      </c>
      <c r="B25" s="24">
        <f t="shared" si="74"/>
        <v>7</v>
      </c>
      <c r="C25" s="24">
        <f t="shared" si="92"/>
        <v>12</v>
      </c>
      <c r="D25" s="38" t="s">
        <v>40</v>
      </c>
      <c r="E25" s="1">
        <f ca="1">COUNTIFS(OFFSET(Arb!$C$2,Arb!$AJ$36+Arb!$AJ$37,,Arb!$AJ$38,),$A25,OFFSET(Arb!$AI$2,Arb!$AJ$36+Arb!$AJ$37,,Arb!$AJ$38,),TRUE,OFFSET(Arb!$B$2,Arb!$AJ$36+Arb!$AJ$37,,Arb!$AJ$38,),"&gt;="&amp;$B25,OFFSET(Arb!$B$2,Arb!$AJ$36+Arb!$AJ$37,,Arb!$AJ$38,),"&lt;="&amp;$C25)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F25" s="1">
        <f ca="1">SUMIFS(OFFSET(Arb!$I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G25" s="1">
        <f ca="1">SUMIFS(OFFSET(Arb!$H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H25" s="1">
        <f ca="1">SUMIFS(OFFSET(Arb!$AC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I25" s="1">
        <f ca="1">SUMIFS(OFFSET(Arb!$U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J25" s="1">
        <f ca="1">SUMIFS(OFFSET(Arb!$V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K25" s="1">
        <f ca="1">SUMIFS(OFFSET(Arb!$X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L25" s="1">
        <f ca="1">SUMIFS(OFFSET(Arb!$AA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M25" s="1">
        <f ca="1">SUMIFS(OFFSET(Arb!$AB$2,Arb!$AJ$36+Arb!$AJ$37,,Arb!$AJ$38,),OFFSET(Arb!$C$2,Arb!$AJ$36+Arb!$AJ$37,,Arb!$AJ$38,),$A25,OFFSET(Arb!$AI$2,Arb!$AJ$36+Arb!$AJ$37,,Arb!$AJ$38,),TRUE,OFFSET(Arb!$B$2,Arb!$AJ$36+Arb!$AJ$37,,Arb!$AJ$38,),"&gt;="&amp;$B25,OFFSET(Arb!$B$2,Arb!$AJ$36+Arb!$AJ$37,,Arb!$AJ$38,),"&lt;="&amp;$C25)</f>
        <v>0</v>
      </c>
      <c r="N25" s="1">
        <f t="shared" ca="1" si="24"/>
        <v>0</v>
      </c>
      <c r="O25" s="39" t="str">
        <f t="shared" ca="1" si="25"/>
        <v/>
      </c>
      <c r="P25" s="12" t="str">
        <f t="shared" ca="1" si="26"/>
        <v/>
      </c>
      <c r="Q25" s="33" t="str">
        <f t="shared" ca="1" si="93"/>
        <v/>
      </c>
      <c r="R25" s="20" t="str">
        <f t="shared" ca="1" si="28"/>
        <v/>
      </c>
      <c r="S25" s="33" t="str">
        <f t="shared" ca="1" si="29"/>
        <v/>
      </c>
      <c r="T25" s="33" t="str">
        <f t="shared" ca="1" si="94"/>
        <v/>
      </c>
      <c r="U25" s="34" t="str">
        <f t="shared" ca="1" si="31"/>
        <v/>
      </c>
      <c r="V25" s="34" t="str">
        <f t="shared" ca="1" si="32"/>
        <v/>
      </c>
      <c r="W25" s="34" t="str">
        <f t="shared" ca="1" si="33"/>
        <v/>
      </c>
      <c r="X25" s="33" t="str">
        <f t="shared" ca="1" si="95"/>
        <v/>
      </c>
      <c r="Y25" s="33" t="str">
        <f t="shared" ca="1" si="96"/>
        <v/>
      </c>
      <c r="Z25" s="33" t="str">
        <f t="shared" ca="1" si="36"/>
        <v/>
      </c>
      <c r="AA25" s="17" t="str">
        <f t="shared" ca="1" si="37"/>
        <v/>
      </c>
      <c r="AB25" s="34" t="str">
        <f t="shared" ca="1" si="97"/>
        <v/>
      </c>
      <c r="AC25" s="33" t="str">
        <f t="shared" ca="1" si="98"/>
        <v/>
      </c>
      <c r="AD25" s="21" t="str">
        <f t="shared" ca="1" si="40"/>
        <v/>
      </c>
      <c r="AE25" s="470" t="e">
        <f ca="1">AE15</f>
        <v>#N/A</v>
      </c>
      <c r="AF25" s="12" t="e">
        <f t="shared" ca="1" si="41"/>
        <v>#N/A</v>
      </c>
      <c r="AG25" s="353">
        <f ca="1">COUNTIFS(BV!$H$242:$H$420,"&gt;=" &amp; DATE($A25,$B25,1),BV!$H$242:$H$420,"&lt;" &amp; DATE($A25,$C25+1,1))</f>
        <v>0</v>
      </c>
      <c r="AH25" s="353">
        <f ca="1">COUNTIFS(BV!$P$242:$P$420,"&gt;=" &amp; DATE($A25,$B25,1),BV!$P$242:$P$420,"&lt;" &amp; DATE($A25,$C25+1,1))</f>
        <v>0</v>
      </c>
      <c r="AI25" s="353">
        <f ca="1">COUNTIFS(BV!$X$242:$X$420,"&gt;=" &amp; DATE($A25,$B25,1),BV!$X$242:$X$420,"&lt;" &amp; DATE($A25,$C25+1,1))</f>
        <v>0</v>
      </c>
      <c r="AJ25" s="353">
        <f ca="1">COUNTIFS(BV!$AF$242:$AF$420,"&gt;=" &amp; DATE($A25,$B25,1),BV!$AF$242:$AF$420,"&lt;" &amp; DATE($A25,$C25+1,1))</f>
        <v>0</v>
      </c>
      <c r="AK25" s="353">
        <f ca="1">COUNTIFS(BV!$AN$242:$AN$420,"&gt;=" &amp; DATE($A25,$B25,1),BV!$AN$242:$AN$420,"&lt;" &amp; DATE($A25,$C25+1,1))</f>
        <v>0</v>
      </c>
      <c r="AL25" s="353">
        <f ca="1">COUNTIFS(BV!$AV$242:$AV$420,"&gt;=" &amp; DATE($A25,$B25,1),BV!$AV$242:$AV$420,"&lt;" &amp; DATE($A25,$C25+1,1))</f>
        <v>0</v>
      </c>
      <c r="AM25" s="353">
        <f ca="1">COUNTIFS(BV!$BD$242:$BD$420,"&gt;=" &amp; DATE($A25,$B25,1),BV!$BD$242:$BD$420,"&lt;" &amp; DATE($A25,$C25+1,1))</f>
        <v>0</v>
      </c>
      <c r="AN25" s="353">
        <f ca="1">COUNTIFS(BV!$BL$242:$BL$420,"&gt;=" &amp; DATE($A25,$B25,1),BV!$BL$242:$BL$420,"&lt;" &amp; DATE($A25,$C25+1,1))</f>
        <v>0</v>
      </c>
      <c r="AO25" s="353">
        <f ca="1">COUNTIFS(BV!$BT$242:$BT$420,"&gt;=" &amp; DATE($A25,$B25,1),BV!$BT$242:$BT$420,"&lt;" &amp; DATE($A25,$C25+1,1))</f>
        <v>0</v>
      </c>
      <c r="AP25" s="353">
        <f ca="1">COUNTIFS(BV!$CB$242:$CB$420,"&gt;=" &amp; DATE($A25,$B25,1),BV!$CB$242:$CB$420,"&lt;" &amp; DATE($A25,$C25+1,1))</f>
        <v>0</v>
      </c>
      <c r="AQ25" s="35">
        <f t="shared" ca="1" si="99"/>
        <v>0</v>
      </c>
      <c r="AR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S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T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U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V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W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X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Y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AZ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BA25" s="510">
        <f ca="1">COUNTIFS(OFFSET(Time!$AD$2,(COLUMN()-44)*20,,20,),"&gt;=" &amp; DATE($A25,$B25,1),OFFSET(Time!$AD$2,(COLUMN()-44)*20,,20,),"&lt;" &amp; DATE($A25,$C25+1,1))+COUNTIFS(OFFSET(Bvs!$AD$2,(COLUMN()-44)*20,,20,),"&gt;=" &amp; DATE($A25,$B25,1),OFFSET(Bvs!$AD$2,(COLUMN()-44)*20,,20,),"&lt;" &amp; DATE($A25,$C25+1,1))+COUNTIFS(OFFSET(QG!$AD$2,(COLUMN()-44)*20,,20,),"&gt;=" &amp; DATE($A25,$B25,1),OFFSET(QG!$AD$2,(COLUMN()-44)*20,,20,),"&lt;" &amp; DATE($A25,$C25+1,1))</f>
        <v>0</v>
      </c>
      <c r="BB25" s="35">
        <f t="shared" ca="1" si="43"/>
        <v>0</v>
      </c>
      <c r="BC25" s="35">
        <f t="shared" ca="1" si="44"/>
        <v>0</v>
      </c>
      <c r="BD25" s="34" t="e">
        <f t="shared" ca="1" si="100"/>
        <v>#N/A</v>
      </c>
      <c r="BE25" s="34" t="e">
        <f t="shared" ca="1" si="46"/>
        <v>#N/A</v>
      </c>
    </row>
    <row r="26" spans="1:57" x14ac:dyDescent="0.25">
      <c r="A26" s="24">
        <f t="shared" si="91"/>
        <v>2018</v>
      </c>
      <c r="B26" s="24">
        <f t="shared" si="74"/>
        <v>1</v>
      </c>
      <c r="C26" s="24">
        <f t="shared" si="92"/>
        <v>6</v>
      </c>
      <c r="D26" s="38" t="s">
        <v>40</v>
      </c>
      <c r="E26" s="1">
        <f ca="1">COUNTIFS(OFFSET(Arb!$C$2,Arb!$AJ$36+Arb!$AJ$37,,Arb!$AJ$38,),$A26,OFFSET(Arb!$AI$2,Arb!$AJ$36+Arb!$AJ$37,,Arb!$AJ$38,),TRUE,OFFSET(Arb!$B$2,Arb!$AJ$36+Arb!$AJ$37,,Arb!$AJ$38,),"&gt;="&amp;$B26,OFFSET(Arb!$B$2,Arb!$AJ$36+Arb!$AJ$37,,Arb!$AJ$38,),"&lt;="&amp;$C26)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F26" s="1">
        <f ca="1">SUMIFS(OFFSET(Arb!$I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G26" s="1">
        <f ca="1">SUMIFS(OFFSET(Arb!$H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H26" s="1">
        <f ca="1">SUMIFS(OFFSET(Arb!$AC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I26" s="1">
        <f ca="1">SUMIFS(OFFSET(Arb!$U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J26" s="1">
        <f ca="1">SUMIFS(OFFSET(Arb!$V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K26" s="1">
        <f ca="1">SUMIFS(OFFSET(Arb!$X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L26" s="1">
        <f ca="1">SUMIFS(OFFSET(Arb!$AA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M26" s="1">
        <f ca="1">SUMIFS(OFFSET(Arb!$AB$2,Arb!$AJ$36+Arb!$AJ$37,,Arb!$AJ$38,),OFFSET(Arb!$C$2,Arb!$AJ$36+Arb!$AJ$37,,Arb!$AJ$38,),$A26,OFFSET(Arb!$AI$2,Arb!$AJ$36+Arb!$AJ$37,,Arb!$AJ$38,),TRUE,OFFSET(Arb!$B$2,Arb!$AJ$36+Arb!$AJ$37,,Arb!$AJ$38,),"&gt;="&amp;$B26,OFFSET(Arb!$B$2,Arb!$AJ$36+Arb!$AJ$37,,Arb!$AJ$38,),"&lt;="&amp;$C26)</f>
        <v>0</v>
      </c>
      <c r="N26" s="1">
        <f t="shared" ca="1" si="24"/>
        <v>0</v>
      </c>
      <c r="O26" s="39" t="str">
        <f t="shared" ca="1" si="25"/>
        <v/>
      </c>
      <c r="P26" s="12" t="str">
        <f t="shared" ca="1" si="26"/>
        <v/>
      </c>
      <c r="Q26" s="33" t="str">
        <f t="shared" ca="1" si="93"/>
        <v/>
      </c>
      <c r="R26" s="20" t="str">
        <f t="shared" ca="1" si="28"/>
        <v/>
      </c>
      <c r="S26" s="33" t="str">
        <f t="shared" ca="1" si="29"/>
        <v/>
      </c>
      <c r="T26" s="33" t="str">
        <f t="shared" ca="1" si="94"/>
        <v/>
      </c>
      <c r="U26" s="34" t="str">
        <f t="shared" ca="1" si="31"/>
        <v/>
      </c>
      <c r="V26" s="34" t="str">
        <f t="shared" ca="1" si="32"/>
        <v/>
      </c>
      <c r="W26" s="34" t="str">
        <f t="shared" ca="1" si="33"/>
        <v/>
      </c>
      <c r="X26" s="33" t="str">
        <f t="shared" ca="1" si="95"/>
        <v/>
      </c>
      <c r="Y26" s="33" t="str">
        <f t="shared" ca="1" si="96"/>
        <v/>
      </c>
      <c r="Z26" s="33" t="str">
        <f t="shared" ca="1" si="36"/>
        <v/>
      </c>
      <c r="AA26" s="17" t="str">
        <f t="shared" ca="1" si="37"/>
        <v/>
      </c>
      <c r="AB26" s="34" t="str">
        <f t="shared" ca="1" si="97"/>
        <v/>
      </c>
      <c r="AC26" s="33" t="str">
        <f t="shared" ca="1" si="98"/>
        <v/>
      </c>
      <c r="AD26" s="21" t="str">
        <f t="shared" ca="1" si="40"/>
        <v/>
      </c>
      <c r="AE26" s="470" t="e">
        <f ca="1">AE16</f>
        <v>#N/A</v>
      </c>
      <c r="AF26" s="12" t="e">
        <f t="shared" ca="1" si="41"/>
        <v>#N/A</v>
      </c>
      <c r="AG26" s="353">
        <f ca="1">COUNTIFS(BV!$H$242:$H$420,"&gt;=" &amp; DATE($A26,$B26,1),BV!$H$242:$H$420,"&lt;" &amp; DATE($A26,$C26+1,1))</f>
        <v>0</v>
      </c>
      <c r="AH26" s="353">
        <f ca="1">COUNTIFS(BV!$P$242:$P$420,"&gt;=" &amp; DATE($A26,$B26,1),BV!$P$242:$P$420,"&lt;" &amp; DATE($A26,$C26+1,1))</f>
        <v>0</v>
      </c>
      <c r="AI26" s="353">
        <f ca="1">COUNTIFS(BV!$X$242:$X$420,"&gt;=" &amp; DATE($A26,$B26,1),BV!$X$242:$X$420,"&lt;" &amp; DATE($A26,$C26+1,1))</f>
        <v>0</v>
      </c>
      <c r="AJ26" s="353">
        <f ca="1">COUNTIFS(BV!$AF$242:$AF$420,"&gt;=" &amp; DATE($A26,$B26,1),BV!$AF$242:$AF$420,"&lt;" &amp; DATE($A26,$C26+1,1))</f>
        <v>0</v>
      </c>
      <c r="AK26" s="353">
        <f ca="1">COUNTIFS(BV!$AN$242:$AN$420,"&gt;=" &amp; DATE($A26,$B26,1),BV!$AN$242:$AN$420,"&lt;" &amp; DATE($A26,$C26+1,1))</f>
        <v>0</v>
      </c>
      <c r="AL26" s="353">
        <f ca="1">COUNTIFS(BV!$AV$242:$AV$420,"&gt;=" &amp; DATE($A26,$B26,1),BV!$AV$242:$AV$420,"&lt;" &amp; DATE($A26,$C26+1,1))</f>
        <v>0</v>
      </c>
      <c r="AM26" s="353">
        <f ca="1">COUNTIFS(BV!$BD$242:$BD$420,"&gt;=" &amp; DATE($A26,$B26,1),BV!$BD$242:$BD$420,"&lt;" &amp; DATE($A26,$C26+1,1))</f>
        <v>0</v>
      </c>
      <c r="AN26" s="353">
        <f ca="1">COUNTIFS(BV!$BL$242:$BL$420,"&gt;=" &amp; DATE($A26,$B26,1),BV!$BL$242:$BL$420,"&lt;" &amp; DATE($A26,$C26+1,1))</f>
        <v>0</v>
      </c>
      <c r="AO26" s="353">
        <f ca="1">COUNTIFS(BV!$BT$242:$BT$420,"&gt;=" &amp; DATE($A26,$B26,1),BV!$BT$242:$BT$420,"&lt;" &amp; DATE($A26,$C26+1,1))</f>
        <v>0</v>
      </c>
      <c r="AP26" s="353">
        <f ca="1">COUNTIFS(BV!$CB$242:$CB$420,"&gt;=" &amp; DATE($A26,$B26,1),BV!$CB$242:$CB$420,"&lt;" &amp; DATE($A26,$C26+1,1))</f>
        <v>0</v>
      </c>
      <c r="AQ26" s="35">
        <f t="shared" ca="1" si="99"/>
        <v>0</v>
      </c>
      <c r="AR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S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T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U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V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W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X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Y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AZ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BA26" s="510">
        <f ca="1">COUNTIFS(OFFSET(Time!$AD$2,(COLUMN()-44)*20,,20,),"&gt;=" &amp; DATE($A26,$B26,1),OFFSET(Time!$AD$2,(COLUMN()-44)*20,,20,),"&lt;" &amp; DATE($A26,$C26+1,1))+COUNTIFS(OFFSET(Bvs!$AD$2,(COLUMN()-44)*20,,20,),"&gt;=" &amp; DATE($A26,$B26,1),OFFSET(Bvs!$AD$2,(COLUMN()-44)*20,,20,),"&lt;" &amp; DATE($A26,$C26+1,1))+COUNTIFS(OFFSET(QG!$AD$2,(COLUMN()-44)*20,,20,),"&gt;=" &amp; DATE($A26,$B26,1),OFFSET(QG!$AD$2,(COLUMN()-44)*20,,20,),"&lt;" &amp; DATE($A26,$C26+1,1))</f>
        <v>0</v>
      </c>
      <c r="BB26" s="35">
        <f t="shared" ca="1" si="43"/>
        <v>0</v>
      </c>
      <c r="BC26" s="35">
        <f t="shared" ca="1" si="44"/>
        <v>0</v>
      </c>
      <c r="BD26" s="34" t="e">
        <f t="shared" ca="1" si="100"/>
        <v>#N/A</v>
      </c>
      <c r="BE26" s="34" t="e">
        <f t="shared" ca="1" si="46"/>
        <v>#N/A</v>
      </c>
    </row>
    <row r="27" spans="1:57" x14ac:dyDescent="0.25">
      <c r="A27" s="24">
        <f t="shared" si="91"/>
        <v>2018</v>
      </c>
      <c r="B27" s="24">
        <f t="shared" si="74"/>
        <v>7</v>
      </c>
      <c r="C27" s="24">
        <f t="shared" si="92"/>
        <v>12</v>
      </c>
      <c r="D27" s="38" t="s">
        <v>40</v>
      </c>
      <c r="E27" s="1">
        <f ca="1">COUNTIFS(OFFSET(Arb!$C$2,Arb!$AJ$36+Arb!$AJ$37,,Arb!$AJ$38,),$A27,OFFSET(Arb!$AI$2,Arb!$AJ$36+Arb!$AJ$37,,Arb!$AJ$38,),TRUE,OFFSET(Arb!$B$2,Arb!$AJ$36+Arb!$AJ$37,,Arb!$AJ$38,),"&gt;="&amp;$B27,OFFSET(Arb!$B$2,Arb!$AJ$36+Arb!$AJ$37,,Arb!$AJ$38,),"&lt;="&amp;$C27)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F27" s="1">
        <f ca="1">SUMIFS(OFFSET(Arb!$I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G27" s="1">
        <f ca="1">SUMIFS(OFFSET(Arb!$H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H27" s="1">
        <f ca="1">SUMIFS(OFFSET(Arb!$AC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I27" s="1">
        <f ca="1">SUMIFS(OFFSET(Arb!$U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J27" s="1">
        <f ca="1">SUMIFS(OFFSET(Arb!$V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K27" s="1">
        <f ca="1">SUMIFS(OFFSET(Arb!$X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L27" s="1">
        <f ca="1">SUMIFS(OFFSET(Arb!$AA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M27" s="1">
        <f ca="1">SUMIFS(OFFSET(Arb!$AB$2,Arb!$AJ$36+Arb!$AJ$37,,Arb!$AJ$38,),OFFSET(Arb!$C$2,Arb!$AJ$36+Arb!$AJ$37,,Arb!$AJ$38,),$A27,OFFSET(Arb!$AI$2,Arb!$AJ$36+Arb!$AJ$37,,Arb!$AJ$38,),TRUE,OFFSET(Arb!$B$2,Arb!$AJ$36+Arb!$AJ$37,,Arb!$AJ$38,),"&gt;="&amp;$B27,OFFSET(Arb!$B$2,Arb!$AJ$36+Arb!$AJ$37,,Arb!$AJ$38,),"&lt;="&amp;$C27)</f>
        <v>0</v>
      </c>
      <c r="N27" s="1">
        <f t="shared" ca="1" si="24"/>
        <v>0</v>
      </c>
      <c r="O27" s="39" t="str">
        <f t="shared" ca="1" si="25"/>
        <v/>
      </c>
      <c r="P27" s="12" t="str">
        <f t="shared" ca="1" si="26"/>
        <v/>
      </c>
      <c r="Q27" s="33" t="str">
        <f t="shared" ca="1" si="93"/>
        <v/>
      </c>
      <c r="R27" s="20" t="str">
        <f t="shared" ca="1" si="28"/>
        <v/>
      </c>
      <c r="S27" s="33" t="str">
        <f t="shared" ca="1" si="29"/>
        <v/>
      </c>
      <c r="T27" s="33" t="str">
        <f t="shared" ca="1" si="94"/>
        <v/>
      </c>
      <c r="U27" s="34" t="str">
        <f t="shared" ca="1" si="31"/>
        <v/>
      </c>
      <c r="V27" s="34" t="str">
        <f t="shared" ca="1" si="32"/>
        <v/>
      </c>
      <c r="W27" s="34" t="str">
        <f t="shared" ca="1" si="33"/>
        <v/>
      </c>
      <c r="X27" s="33" t="str">
        <f t="shared" ca="1" si="95"/>
        <v/>
      </c>
      <c r="Y27" s="33" t="str">
        <f t="shared" ca="1" si="96"/>
        <v/>
      </c>
      <c r="Z27" s="33" t="str">
        <f t="shared" ca="1" si="36"/>
        <v/>
      </c>
      <c r="AA27" s="17" t="str">
        <f t="shared" ca="1" si="37"/>
        <v/>
      </c>
      <c r="AB27" s="34" t="str">
        <f t="shared" ca="1" si="97"/>
        <v/>
      </c>
      <c r="AC27" s="33" t="str">
        <f t="shared" ca="1" si="98"/>
        <v/>
      </c>
      <c r="AD27" s="21" t="str">
        <f t="shared" ca="1" si="40"/>
        <v/>
      </c>
      <c r="AE27" s="470" t="e">
        <f ca="1">AE17</f>
        <v>#N/A</v>
      </c>
      <c r="AF27" s="12" t="e">
        <f t="shared" ca="1" si="41"/>
        <v>#N/A</v>
      </c>
      <c r="AG27" s="353">
        <f ca="1">COUNTIFS(BV!$H$242:$H$420,"&gt;=" &amp; DATE($A27,$B27,1),BV!$H$242:$H$420,"&lt;" &amp; DATE($A27,$C27+1,1))</f>
        <v>0</v>
      </c>
      <c r="AH27" s="353">
        <f ca="1">COUNTIFS(BV!$P$242:$P$420,"&gt;=" &amp; DATE($A27,$B27,1),BV!$P$242:$P$420,"&lt;" &amp; DATE($A27,$C27+1,1))</f>
        <v>0</v>
      </c>
      <c r="AI27" s="353">
        <f ca="1">COUNTIFS(BV!$X$242:$X$420,"&gt;=" &amp; DATE($A27,$B27,1),BV!$X$242:$X$420,"&lt;" &amp; DATE($A27,$C27+1,1))</f>
        <v>0</v>
      </c>
      <c r="AJ27" s="353">
        <f ca="1">COUNTIFS(BV!$AF$242:$AF$420,"&gt;=" &amp; DATE($A27,$B27,1),BV!$AF$242:$AF$420,"&lt;" &amp; DATE($A27,$C27+1,1))</f>
        <v>0</v>
      </c>
      <c r="AK27" s="353">
        <f ca="1">COUNTIFS(BV!$AN$242:$AN$420,"&gt;=" &amp; DATE($A27,$B27,1),BV!$AN$242:$AN$420,"&lt;" &amp; DATE($A27,$C27+1,1))</f>
        <v>0</v>
      </c>
      <c r="AL27" s="353">
        <f ca="1">COUNTIFS(BV!$AV$242:$AV$420,"&gt;=" &amp; DATE($A27,$B27,1),BV!$AV$242:$AV$420,"&lt;" &amp; DATE($A27,$C27+1,1))</f>
        <v>0</v>
      </c>
      <c r="AM27" s="353">
        <f ca="1">COUNTIFS(BV!$BD$242:$BD$420,"&gt;=" &amp; DATE($A27,$B27,1),BV!$BD$242:$BD$420,"&lt;" &amp; DATE($A27,$C27+1,1))</f>
        <v>0</v>
      </c>
      <c r="AN27" s="353">
        <f ca="1">COUNTIFS(BV!$BL$242:$BL$420,"&gt;=" &amp; DATE($A27,$B27,1),BV!$BL$242:$BL$420,"&lt;" &amp; DATE($A27,$C27+1,1))</f>
        <v>0</v>
      </c>
      <c r="AO27" s="353">
        <f ca="1">COUNTIFS(BV!$BT$242:$BT$420,"&gt;=" &amp; DATE($A27,$B27,1),BV!$BT$242:$BT$420,"&lt;" &amp; DATE($A27,$C27+1,1))</f>
        <v>0</v>
      </c>
      <c r="AP27" s="353">
        <f ca="1">COUNTIFS(BV!$CB$242:$CB$420,"&gt;=" &amp; DATE($A27,$B27,1),BV!$CB$242:$CB$420,"&lt;" &amp; DATE($A27,$C27+1,1))</f>
        <v>0</v>
      </c>
      <c r="AQ27" s="35">
        <f t="shared" ca="1" si="99"/>
        <v>0</v>
      </c>
      <c r="AR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S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T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U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V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W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X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Y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AZ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BA27" s="510">
        <f ca="1">COUNTIFS(OFFSET(Time!$AD$2,(COLUMN()-44)*20,,20,),"&gt;=" &amp; DATE($A27,$B27,1),OFFSET(Time!$AD$2,(COLUMN()-44)*20,,20,),"&lt;" &amp; DATE($A27,$C27+1,1))+COUNTIFS(OFFSET(Bvs!$AD$2,(COLUMN()-44)*20,,20,),"&gt;=" &amp; DATE($A27,$B27,1),OFFSET(Bvs!$AD$2,(COLUMN()-44)*20,,20,),"&lt;" &amp; DATE($A27,$C27+1,1))+COUNTIFS(OFFSET(QG!$AD$2,(COLUMN()-44)*20,,20,),"&gt;=" &amp; DATE($A27,$B27,1),OFFSET(QG!$AD$2,(COLUMN()-44)*20,,20,),"&lt;" &amp; DATE($A27,$C27+1,1))</f>
        <v>0</v>
      </c>
      <c r="BB27" s="35">
        <f t="shared" ca="1" si="43"/>
        <v>0</v>
      </c>
      <c r="BC27" s="35">
        <f t="shared" ca="1" si="44"/>
        <v>0</v>
      </c>
      <c r="BD27" s="34" t="e">
        <f t="shared" ca="1" si="100"/>
        <v>#N/A</v>
      </c>
      <c r="BE27" s="34" t="e">
        <f t="shared" ca="1" si="46"/>
        <v>#N/A</v>
      </c>
    </row>
    <row r="28" spans="1:57" x14ac:dyDescent="0.25">
      <c r="A28" s="24">
        <f t="shared" si="91"/>
        <v>2019</v>
      </c>
      <c r="B28" s="24">
        <f t="shared" si="74"/>
        <v>1</v>
      </c>
      <c r="C28" s="24">
        <f t="shared" si="92"/>
        <v>6</v>
      </c>
      <c r="D28" s="38" t="s">
        <v>40</v>
      </c>
      <c r="E28" s="1">
        <f ca="1">COUNTIFS(OFFSET(Arb!$C$2,Arb!$AJ$36+Arb!$AJ$37,,Arb!$AJ$38,),$A28,OFFSET(Arb!$AI$2,Arb!$AJ$36+Arb!$AJ$37,,Arb!$AJ$38,),TRUE,OFFSET(Arb!$B$2,Arb!$AJ$36+Arb!$AJ$37,,Arb!$AJ$38,),"&gt;="&amp;$B28,OFFSET(Arb!$B$2,Arb!$AJ$36+Arb!$AJ$37,,Arb!$AJ$38,),"&lt;="&amp;$C28)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F28" s="1">
        <f ca="1">SUMIFS(OFFSET(Arb!$I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G28" s="1">
        <f ca="1">SUMIFS(OFFSET(Arb!$H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H28" s="1">
        <f ca="1">SUMIFS(OFFSET(Arb!$AC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I28" s="1">
        <f ca="1">SUMIFS(OFFSET(Arb!$U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J28" s="1">
        <f ca="1">SUMIFS(OFFSET(Arb!$V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K28" s="1">
        <f ca="1">SUMIFS(OFFSET(Arb!$X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L28" s="1">
        <f ca="1">SUMIFS(OFFSET(Arb!$AA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M28" s="1">
        <f ca="1">SUMIFS(OFFSET(Arb!$AB$2,Arb!$AJ$36+Arb!$AJ$37,,Arb!$AJ$38,),OFFSET(Arb!$C$2,Arb!$AJ$36+Arb!$AJ$37,,Arb!$AJ$38,),$A28,OFFSET(Arb!$AI$2,Arb!$AJ$36+Arb!$AJ$37,,Arb!$AJ$38,),TRUE,OFFSET(Arb!$B$2,Arb!$AJ$36+Arb!$AJ$37,,Arb!$AJ$38,),"&gt;="&amp;$B28,OFFSET(Arb!$B$2,Arb!$AJ$36+Arb!$AJ$37,,Arb!$AJ$38,),"&lt;="&amp;$C28)</f>
        <v>0</v>
      </c>
      <c r="N28" s="1">
        <f t="shared" ca="1" si="24"/>
        <v>0</v>
      </c>
      <c r="O28" s="39" t="str">
        <f t="shared" ca="1" si="25"/>
        <v/>
      </c>
      <c r="P28" s="12" t="str">
        <f t="shared" ca="1" si="26"/>
        <v/>
      </c>
      <c r="Q28" s="33" t="str">
        <f t="shared" ca="1" si="93"/>
        <v/>
      </c>
      <c r="R28" s="20" t="str">
        <f t="shared" ca="1" si="28"/>
        <v/>
      </c>
      <c r="S28" s="33" t="str">
        <f t="shared" ca="1" si="29"/>
        <v/>
      </c>
      <c r="T28" s="33" t="str">
        <f t="shared" ca="1" si="94"/>
        <v/>
      </c>
      <c r="U28" s="34" t="str">
        <f t="shared" ca="1" si="31"/>
        <v/>
      </c>
      <c r="V28" s="34" t="str">
        <f t="shared" ca="1" si="32"/>
        <v/>
      </c>
      <c r="W28" s="34" t="str">
        <f t="shared" ca="1" si="33"/>
        <v/>
      </c>
      <c r="X28" s="33" t="str">
        <f t="shared" ca="1" si="95"/>
        <v/>
      </c>
      <c r="Y28" s="33" t="str">
        <f t="shared" ca="1" si="96"/>
        <v/>
      </c>
      <c r="Z28" s="33" t="str">
        <f t="shared" ca="1" si="36"/>
        <v/>
      </c>
      <c r="AA28" s="17" t="str">
        <f t="shared" ca="1" si="37"/>
        <v/>
      </c>
      <c r="AB28" s="34" t="str">
        <f t="shared" ca="1" si="97"/>
        <v/>
      </c>
      <c r="AC28" s="33" t="str">
        <f t="shared" ca="1" si="98"/>
        <v/>
      </c>
      <c r="AD28" s="21" t="str">
        <f t="shared" ca="1" si="40"/>
        <v/>
      </c>
      <c r="AE28" s="470">
        <f ca="1">AE18</f>
        <v>0</v>
      </c>
      <c r="AF28" s="12" t="e">
        <f t="shared" ca="1" si="41"/>
        <v>#DIV/0!</v>
      </c>
      <c r="AG28" s="353">
        <f ca="1">COUNTIFS(BV!$H$242:$H$420,"&gt;=" &amp; DATE($A28,$B28,1),BV!$H$242:$H$420,"&lt;" &amp; DATE($A28,$C28+1,1))</f>
        <v>0</v>
      </c>
      <c r="AH28" s="353">
        <f ca="1">COUNTIFS(BV!$P$242:$P$420,"&gt;=" &amp; DATE($A28,$B28,1),BV!$P$242:$P$420,"&lt;" &amp; DATE($A28,$C28+1,1))</f>
        <v>0</v>
      </c>
      <c r="AI28" s="353">
        <f ca="1">COUNTIFS(BV!$X$242:$X$420,"&gt;=" &amp; DATE($A28,$B28,1),BV!$X$242:$X$420,"&lt;" &amp; DATE($A28,$C28+1,1))</f>
        <v>0</v>
      </c>
      <c r="AJ28" s="353">
        <f ca="1">COUNTIFS(BV!$AF$242:$AF$420,"&gt;=" &amp; DATE($A28,$B28,1),BV!$AF$242:$AF$420,"&lt;" &amp; DATE($A28,$C28+1,1))</f>
        <v>0</v>
      </c>
      <c r="AK28" s="353">
        <f ca="1">COUNTIFS(BV!$AN$242:$AN$420,"&gt;=" &amp; DATE($A28,$B28,1),BV!$AN$242:$AN$420,"&lt;" &amp; DATE($A28,$C28+1,1))</f>
        <v>0</v>
      </c>
      <c r="AL28" s="353">
        <f ca="1">COUNTIFS(BV!$AV$242:$AV$420,"&gt;=" &amp; DATE($A28,$B28,1),BV!$AV$242:$AV$420,"&lt;" &amp; DATE($A28,$C28+1,1))</f>
        <v>0</v>
      </c>
      <c r="AM28" s="353">
        <f ca="1">COUNTIFS(BV!$BD$242:$BD$420,"&gt;=" &amp; DATE($A28,$B28,1),BV!$BD$242:$BD$420,"&lt;" &amp; DATE($A28,$C28+1,1))</f>
        <v>0</v>
      </c>
      <c r="AN28" s="353">
        <f ca="1">COUNTIFS(BV!$BL$242:$BL$420,"&gt;=" &amp; DATE($A28,$B28,1),BV!$BL$242:$BL$420,"&lt;" &amp; DATE($A28,$C28+1,1))</f>
        <v>0</v>
      </c>
      <c r="AO28" s="353">
        <f ca="1">COUNTIFS(BV!$BT$242:$BT$420,"&gt;=" &amp; DATE($A28,$B28,1),BV!$BT$242:$BT$420,"&lt;" &amp; DATE($A28,$C28+1,1))</f>
        <v>0</v>
      </c>
      <c r="AP28" s="353">
        <f ca="1">COUNTIFS(BV!$CB$242:$CB$420,"&gt;=" &amp; DATE($A28,$B28,1),BV!$CB$242:$CB$420,"&lt;" &amp; DATE($A28,$C28+1,1))</f>
        <v>0</v>
      </c>
      <c r="AQ28" s="35">
        <f t="shared" ca="1" si="99"/>
        <v>0</v>
      </c>
      <c r="AR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S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T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U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V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W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X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Y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AZ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BA28" s="510">
        <f ca="1">COUNTIFS(OFFSET(Time!$AD$2,(COLUMN()-44)*20,,20,),"&gt;=" &amp; DATE($A28,$B28,1),OFFSET(Time!$AD$2,(COLUMN()-44)*20,,20,),"&lt;" &amp; DATE($A28,$C28+1,1))+COUNTIFS(OFFSET(Bvs!$AD$2,(COLUMN()-44)*20,,20,),"&gt;=" &amp; DATE($A28,$B28,1),OFFSET(Bvs!$AD$2,(COLUMN()-44)*20,,20,),"&lt;" &amp; DATE($A28,$C28+1,1))+COUNTIFS(OFFSET(QG!$AD$2,(COLUMN()-44)*20,,20,),"&gt;=" &amp; DATE($A28,$B28,1),OFFSET(QG!$AD$2,(COLUMN()-44)*20,,20,),"&lt;" &amp; DATE($A28,$C28+1,1))</f>
        <v>0</v>
      </c>
      <c r="BB28" s="35">
        <f t="shared" ca="1" si="43"/>
        <v>0</v>
      </c>
      <c r="BC28" s="35">
        <f t="shared" ca="1" si="44"/>
        <v>0</v>
      </c>
      <c r="BD28" s="34" t="e">
        <f t="shared" ca="1" si="100"/>
        <v>#DIV/0!</v>
      </c>
      <c r="BE28" s="34" t="e">
        <f t="shared" ca="1" si="46"/>
        <v>#DIV/0!</v>
      </c>
    </row>
    <row r="29" spans="1:57" x14ac:dyDescent="0.25">
      <c r="A29" s="24">
        <f t="shared" si="91"/>
        <v>2019</v>
      </c>
      <c r="B29" s="24">
        <f t="shared" si="74"/>
        <v>7</v>
      </c>
      <c r="C29" s="24">
        <f t="shared" si="92"/>
        <v>12</v>
      </c>
      <c r="D29" s="38" t="s">
        <v>40</v>
      </c>
      <c r="E29" s="1">
        <f ca="1">COUNTIFS(OFFSET(Arb!$C$2,Arb!$AJ$36+Arb!$AJ$37,,Arb!$AJ$38,),$A29,OFFSET(Arb!$AI$2,Arb!$AJ$36+Arb!$AJ$37,,Arb!$AJ$38,),TRUE,OFFSET(Arb!$B$2,Arb!$AJ$36+Arb!$AJ$37,,Arb!$AJ$38,),"&gt;="&amp;$B29,OFFSET(Arb!$B$2,Arb!$AJ$36+Arb!$AJ$37,,Arb!$AJ$38,),"&lt;="&amp;$C29)</f>
        <v>267</v>
      </c>
      <c r="F29" s="1">
        <f ca="1">SUMIFS(OFFSET(Arb!$I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45933</v>
      </c>
      <c r="G29" s="1">
        <f ca="1">SUMIFS(OFFSET(Arb!$H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21758.069999999996</v>
      </c>
      <c r="H29" s="1">
        <f ca="1">SUMIFS(OFFSET(Arb!$AC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2338862</v>
      </c>
      <c r="I29" s="1">
        <f ca="1">SUMIFS(OFFSET(Arb!$U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62208</v>
      </c>
      <c r="J29" s="1">
        <f ca="1">SUMIFS(OFFSET(Arb!$V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0</v>
      </c>
      <c r="K29" s="1">
        <f ca="1">SUMIFS(OFFSET(Arb!$X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55505</v>
      </c>
      <c r="L29" s="1">
        <f ca="1">SUMIFS(OFFSET(Arb!$AA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3628</v>
      </c>
      <c r="M29" s="1">
        <f ca="1">SUMIFS(OFFSET(Arb!$AB$2,Arb!$AJ$36+Arb!$AJ$37,,Arb!$AJ$38,),OFFSET(Arb!$C$2,Arb!$AJ$36+Arb!$AJ$37,,Arb!$AJ$38,),$A29,OFFSET(Arb!$AI$2,Arb!$AJ$36+Arb!$AJ$37,,Arb!$AJ$38,),TRUE,OFFSET(Arb!$B$2,Arb!$AJ$36+Arb!$AJ$37,,Arb!$AJ$38,),"&gt;="&amp;$B29,OFFSET(Arb!$B$2,Arb!$AJ$36+Arb!$AJ$37,,Arb!$AJ$38,),"&lt;="&amp;$C29)</f>
        <v>2817</v>
      </c>
      <c r="N29" s="1">
        <f t="shared" ca="1" si="24"/>
        <v>62208</v>
      </c>
      <c r="O29" s="39">
        <f t="shared" ca="1" si="25"/>
        <v>172.03370786516854</v>
      </c>
      <c r="P29" s="12">
        <f t="shared" ca="1" si="26"/>
        <v>81.490898876404486</v>
      </c>
      <c r="Q29" s="33">
        <f t="shared" ca="1" si="93"/>
        <v>2.1110787859401134</v>
      </c>
      <c r="R29" s="20">
        <f t="shared" ca="1" si="28"/>
        <v>2.5510075112360613</v>
      </c>
      <c r="S29" s="33">
        <f t="shared" ca="1" si="29"/>
        <v>2.8590771148360132</v>
      </c>
      <c r="T29" s="33">
        <f t="shared" ca="1" si="94"/>
        <v>10.310315004483131</v>
      </c>
      <c r="U29" s="34">
        <f t="shared" ca="1" si="31"/>
        <v>42.190854480280457</v>
      </c>
      <c r="V29" s="34">
        <f t="shared" ca="1" si="32"/>
        <v>13.588014981273409</v>
      </c>
      <c r="W29" s="34">
        <f t="shared" ca="1" si="33"/>
        <v>10.55056179775281</v>
      </c>
      <c r="X29" s="33">
        <f t="shared" ca="1" si="95"/>
        <v>0.89224858539094642</v>
      </c>
      <c r="Y29" s="33">
        <f t="shared" ca="1" si="96"/>
        <v>0.82754706783172682</v>
      </c>
      <c r="Z29" s="33">
        <f t="shared" ca="1" si="36"/>
        <v>0.73837770061728392</v>
      </c>
      <c r="AA29" s="17">
        <f t="shared" ca="1" si="37"/>
        <v>547.48642322097373</v>
      </c>
      <c r="AB29" s="34">
        <f t="shared" ca="1" si="97"/>
        <v>6.7183750672738896</v>
      </c>
      <c r="AC29" s="33">
        <f t="shared" ca="1" si="98"/>
        <v>0.314224610088154</v>
      </c>
      <c r="AD29" s="21">
        <f t="shared" ca="1" si="40"/>
        <v>17.138625259916772</v>
      </c>
      <c r="AE29" s="470">
        <f ca="1">AE19</f>
        <v>59</v>
      </c>
      <c r="AF29" s="12">
        <f t="shared" ca="1" si="41"/>
        <v>4.5254237288135597</v>
      </c>
      <c r="AG29" s="353">
        <f ca="1">COUNTIFS(BV!$H$242:$H$420,"&gt;=" &amp; DATE($A29,$B29,1),BV!$H$242:$H$420,"&lt;" &amp; DATE($A29,$C29+1,1))</f>
        <v>8</v>
      </c>
      <c r="AH29" s="353">
        <f ca="1">COUNTIFS(BV!$P$242:$P$420,"&gt;=" &amp; DATE($A29,$B29,1),BV!$P$242:$P$420,"&lt;" &amp; DATE($A29,$C29+1,1))</f>
        <v>8</v>
      </c>
      <c r="AI29" s="353">
        <f ca="1">COUNTIFS(BV!$X$242:$X$420,"&gt;=" &amp; DATE($A29,$B29,1),BV!$X$242:$X$420,"&lt;" &amp; DATE($A29,$C29+1,1))</f>
        <v>8</v>
      </c>
      <c r="AJ29" s="353">
        <f ca="1">COUNTIFS(BV!$AF$242:$AF$420,"&gt;=" &amp; DATE($A29,$B29,1),BV!$AF$242:$AF$420,"&lt;" &amp; DATE($A29,$C29+1,1))</f>
        <v>15</v>
      </c>
      <c r="AK29" s="353">
        <f ca="1">COUNTIFS(BV!$AN$242:$AN$420,"&gt;=" &amp; DATE($A29,$B29,1),BV!$AN$242:$AN$420,"&lt;" &amp; DATE($A29,$C29+1,1))</f>
        <v>10</v>
      </c>
      <c r="AL29" s="353">
        <f ca="1">COUNTIFS(BV!$AV$242:$AV$420,"&gt;=" &amp; DATE($A29,$B29,1),BV!$AV$242:$AV$420,"&lt;" &amp; DATE($A29,$C29+1,1))</f>
        <v>12</v>
      </c>
      <c r="AM29" s="353">
        <f ca="1">COUNTIFS(BV!$BD$242:$BD$420,"&gt;=" &amp; DATE($A29,$B29,1),BV!$BD$242:$BD$420,"&lt;" &amp; DATE($A29,$C29+1,1))</f>
        <v>20</v>
      </c>
      <c r="AN29" s="353">
        <f ca="1">COUNTIFS(BV!$BL$242:$BL$420,"&gt;=" &amp; DATE($A29,$B29,1),BV!$BL$242:$BL$420,"&lt;" &amp; DATE($A29,$C29+1,1))</f>
        <v>16</v>
      </c>
      <c r="AO29" s="353">
        <f ca="1">COUNTIFS(BV!$BT$242:$BT$420,"&gt;=" &amp; DATE($A29,$B29,1),BV!$BT$242:$BT$420,"&lt;" &amp; DATE($A29,$C29+1,1))</f>
        <v>14</v>
      </c>
      <c r="AP29" s="353">
        <f ca="1">COUNTIFS(BV!$CB$242:$CB$420,"&gt;=" &amp; DATE($A29,$B29,1),BV!$CB$242:$CB$420,"&lt;" &amp; DATE($A29,$C29+1,1))</f>
        <v>13</v>
      </c>
      <c r="AQ29" s="35">
        <f t="shared" ca="1" si="99"/>
        <v>301.29365079365078</v>
      </c>
      <c r="AR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S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0</v>
      </c>
      <c r="AT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1</v>
      </c>
      <c r="AU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1</v>
      </c>
      <c r="AV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3</v>
      </c>
      <c r="AW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2</v>
      </c>
      <c r="AX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5</v>
      </c>
      <c r="AY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3</v>
      </c>
      <c r="AZ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4</v>
      </c>
      <c r="BA29" s="510">
        <f ca="1">COUNTIFS(OFFSET(Time!$AD$2,(COLUMN()-44)*20,,20,),"&gt;=" &amp; DATE($A29,$B29,1),OFFSET(Time!$AD$2,(COLUMN()-44)*20,,20,),"&lt;" &amp; DATE($A29,$C29+1,1))+COUNTIFS(OFFSET(Bvs!$AD$2,(COLUMN()-44)*20,,20,),"&gt;=" &amp; DATE($A29,$B29,1),OFFSET(Bvs!$AD$2,(COLUMN()-44)*20,,20,),"&lt;" &amp; DATE($A29,$C29+1,1))+COUNTIFS(OFFSET(QG!$AD$2,(COLUMN()-44)*20,,20,),"&gt;=" &amp; DATE($A29,$B29,1),OFFSET(QG!$AD$2,(COLUMN()-44)*20,,20,),"&lt;" &amp; DATE($A29,$C29+1,1))</f>
        <v>7</v>
      </c>
      <c r="BB29" s="35">
        <f t="shared" ca="1" si="43"/>
        <v>37.503968253968253</v>
      </c>
      <c r="BC29" s="35">
        <f t="shared" ca="1" si="44"/>
        <v>338.79761904761904</v>
      </c>
      <c r="BD29" s="34">
        <f t="shared" ca="1" si="100"/>
        <v>5.7423325262308316</v>
      </c>
      <c r="BE29" s="34">
        <f t="shared" ca="1" si="46"/>
        <v>1.2689049402532548</v>
      </c>
    </row>
    <row r="30" spans="1:57" x14ac:dyDescent="0.25">
      <c r="A30" s="24">
        <f>IF(B31=1,A31-1,A31)</f>
        <v>2020</v>
      </c>
      <c r="B30" s="24">
        <f>IF(B31=1,7,B31-6)</f>
        <v>1</v>
      </c>
      <c r="C30" s="24">
        <f>B30+5</f>
        <v>6</v>
      </c>
      <c r="D30" s="38" t="s">
        <v>40</v>
      </c>
      <c r="E30" s="1">
        <f ca="1">COUNTIFS(OFFSET(Arb!$C$2,Arb!$AJ$36+Arb!$AJ$37,,Arb!$AJ$38,),$A30,OFFSET(Arb!$AI$2,Arb!$AJ$36+Arb!$AJ$37,,Arb!$AJ$38,),TRUE,OFFSET(Arb!$B$2,Arb!$AJ$36+Arb!$AJ$37,,Arb!$AJ$38,),"&gt;="&amp;$B30,OFFSET(Arb!$B$2,Arb!$AJ$36+Arb!$AJ$37,,Arb!$AJ$38,),"&lt;="&amp;$C30)</f>
        <v>438</v>
      </c>
      <c r="F30" s="1">
        <f ca="1">SUMIFS(OFFSET(Arb!$I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74937</v>
      </c>
      <c r="G30" s="1">
        <f ca="1">SUMIFS(OFFSET(Arb!$H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33552.570000000022</v>
      </c>
      <c r="H30" s="1">
        <f ca="1">SUMIFS(OFFSET(Arb!$AC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3725690</v>
      </c>
      <c r="I30" s="1">
        <f ca="1">SUMIFS(OFFSET(Arb!$U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101164</v>
      </c>
      <c r="J30" s="1">
        <f ca="1">SUMIFS(OFFSET(Arb!$V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324</v>
      </c>
      <c r="K30" s="1">
        <f ca="1">SUMIFS(OFFSET(Arb!$X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90853</v>
      </c>
      <c r="L30" s="1">
        <f ca="1">SUMIFS(OFFSET(Arb!$AA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6062</v>
      </c>
      <c r="M30" s="1">
        <f ca="1">SUMIFS(OFFSET(Arb!$AB$2,Arb!$AJ$36+Arb!$AJ$37,,Arb!$AJ$38,),OFFSET(Arb!$C$2,Arb!$AJ$36+Arb!$AJ$37,,Arb!$AJ$38,),$A30,OFFSET(Arb!$AI$2,Arb!$AJ$36+Arb!$AJ$37,,Arb!$AJ$38,),TRUE,OFFSET(Arb!$B$2,Arb!$AJ$36+Arb!$AJ$37,,Arb!$AJ$38,),"&gt;="&amp;$B30,OFFSET(Arb!$B$2,Arb!$AJ$36+Arb!$AJ$37,,Arb!$AJ$38,),"&lt;="&amp;$C30)</f>
        <v>4773</v>
      </c>
      <c r="N30" s="1">
        <f t="shared" ca="1" si="24"/>
        <v>101488</v>
      </c>
      <c r="O30" s="39">
        <f t="shared" ca="1" si="25"/>
        <v>171.08904109589042</v>
      </c>
      <c r="P30" s="12">
        <f t="shared" ca="1" si="26"/>
        <v>76.604041095890466</v>
      </c>
      <c r="Q30" s="33">
        <f t="shared" ca="1" si="93"/>
        <v>2.2334205695718676</v>
      </c>
      <c r="R30" s="20">
        <f t="shared" ca="1" si="28"/>
        <v>2.7077806558484174</v>
      </c>
      <c r="S30" s="33">
        <f t="shared" ca="1" si="29"/>
        <v>3.0247459434552981</v>
      </c>
      <c r="T30" s="33">
        <f t="shared" ca="1" si="94"/>
        <v>9.3326647391951276</v>
      </c>
      <c r="U30" s="34">
        <f t="shared" ca="1" si="31"/>
        <v>46.610588953559208</v>
      </c>
      <c r="V30" s="34">
        <f t="shared" ca="1" si="32"/>
        <v>13.840182648401827</v>
      </c>
      <c r="W30" s="34">
        <f t="shared" ca="1" si="33"/>
        <v>10.897260273972602</v>
      </c>
      <c r="X30" s="33">
        <f t="shared" ca="1" si="95"/>
        <v>0.89520928582689574</v>
      </c>
      <c r="Y30" s="33">
        <f t="shared" ca="1" si="96"/>
        <v>0.82481591141734467</v>
      </c>
      <c r="Z30" s="33">
        <f t="shared" ca="1" si="36"/>
        <v>0.73838286299858114</v>
      </c>
      <c r="AA30" s="17">
        <f t="shared" ca="1" si="37"/>
        <v>531.63384703196346</v>
      </c>
      <c r="AB30" s="34">
        <f t="shared" ca="1" si="97"/>
        <v>6.9400235212980652</v>
      </c>
      <c r="AC30" s="33">
        <f t="shared" ca="1" si="98"/>
        <v>0.32181743515966171</v>
      </c>
      <c r="AD30" s="21">
        <f t="shared" ca="1" si="40"/>
        <v>18.792061442103918</v>
      </c>
      <c r="AE30" s="470">
        <f ca="1">AE20</f>
        <v>112</v>
      </c>
      <c r="AF30" s="12">
        <f t="shared" ca="1" si="41"/>
        <v>3.9107142857142856</v>
      </c>
      <c r="AG30" s="353">
        <f ca="1">COUNTIFS(BV!$H$242:$H$420,"&gt;=" &amp; DATE($A30,$B30,1),BV!$H$242:$H$420,"&lt;" &amp; DATE($A30,$C30+1,1))</f>
        <v>36</v>
      </c>
      <c r="AH30" s="353">
        <f ca="1">COUNTIFS(BV!$P$242:$P$420,"&gt;=" &amp; DATE($A30,$B30,1),BV!$P$242:$P$420,"&lt;" &amp; DATE($A30,$C30+1,1))</f>
        <v>33</v>
      </c>
      <c r="AI30" s="353">
        <f ca="1">COUNTIFS(BV!$X$242:$X$420,"&gt;=" &amp; DATE($A30,$B30,1),BV!$X$242:$X$420,"&lt;" &amp; DATE($A30,$C30+1,1))</f>
        <v>33</v>
      </c>
      <c r="AJ30" s="353">
        <f ca="1">COUNTIFS(BV!$AF$242:$AF$420,"&gt;=" &amp; DATE($A30,$B30,1),BV!$AF$242:$AF$420,"&lt;" &amp; DATE($A30,$C30+1,1))</f>
        <v>30</v>
      </c>
      <c r="AK30" s="353">
        <f ca="1">COUNTIFS(BV!$AN$242:$AN$420,"&gt;=" &amp; DATE($A30,$B30,1),BV!$AN$242:$AN$420,"&lt;" &amp; DATE($A30,$C30+1,1))</f>
        <v>32</v>
      </c>
      <c r="AL30" s="353">
        <f ca="1">COUNTIFS(BV!$AV$242:$AV$420,"&gt;=" &amp; DATE($A30,$B30,1),BV!$AV$242:$AV$420,"&lt;" &amp; DATE($A30,$C30+1,1))</f>
        <v>31</v>
      </c>
      <c r="AM30" s="353">
        <f ca="1">COUNTIFS(BV!$BD$242:$BD$420,"&gt;=" &amp; DATE($A30,$B30,1),BV!$BD$242:$BD$420,"&lt;" &amp; DATE($A30,$C30+1,1))</f>
        <v>26</v>
      </c>
      <c r="AN30" s="353">
        <f ca="1">COUNTIFS(BV!$BL$242:$BL$420,"&gt;=" &amp; DATE($A30,$B30,1),BV!$BL$242:$BL$420,"&lt;" &amp; DATE($A30,$C30+1,1))</f>
        <v>27</v>
      </c>
      <c r="AO30" s="353">
        <f ca="1">COUNTIFS(BV!$BT$242:$BT$420,"&gt;=" &amp; DATE($A30,$B30,1),BV!$BT$242:$BT$420,"&lt;" &amp; DATE($A30,$C30+1,1))</f>
        <v>20</v>
      </c>
      <c r="AP30" s="353">
        <f ca="1">COUNTIFS(BV!$CB$242:$CB$420,"&gt;=" &amp; DATE($A30,$B30,1),BV!$CB$242:$CB$420,"&lt;" &amp; DATE($A30,$C30+1,1))</f>
        <v>23</v>
      </c>
      <c r="AQ30" s="35">
        <f t="shared" ca="1" si="99"/>
        <v>941.78174603174614</v>
      </c>
      <c r="AR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10</v>
      </c>
      <c r="AS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19</v>
      </c>
      <c r="AT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25</v>
      </c>
      <c r="AU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20</v>
      </c>
      <c r="AV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22</v>
      </c>
      <c r="AW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29</v>
      </c>
      <c r="AX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20</v>
      </c>
      <c r="AY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26</v>
      </c>
      <c r="AZ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25</v>
      </c>
      <c r="BA30" s="510">
        <f ca="1">COUNTIFS(OFFSET(Time!$AD$2,(COLUMN()-44)*20,,20,),"&gt;=" &amp; DATE($A30,$B30,1),OFFSET(Time!$AD$2,(COLUMN()-44)*20,,20,),"&lt;" &amp; DATE($A30,$C30+1,1))+COUNTIFS(OFFSET(Bvs!$AD$2,(COLUMN()-44)*20,,20,),"&gt;=" &amp; DATE($A30,$B30,1),OFFSET(Bvs!$AD$2,(COLUMN()-44)*20,,20,),"&lt;" &amp; DATE($A30,$C30+1,1))+COUNTIFS(OFFSET(QG!$AD$2,(COLUMN()-44)*20,,20,),"&gt;=" &amp; DATE($A30,$B30,1),OFFSET(QG!$AD$2,(COLUMN()-44)*20,,20,),"&lt;" &amp; DATE($A30,$C30+1,1))</f>
        <v>27</v>
      </c>
      <c r="BB30" s="35">
        <f t="shared" ca="1" si="43"/>
        <v>536.51587301587301</v>
      </c>
      <c r="BC30" s="35">
        <f t="shared" ca="1" si="44"/>
        <v>1478.2976190476193</v>
      </c>
      <c r="BD30" s="34">
        <f t="shared" ca="1" si="100"/>
        <v>13.199085884353744</v>
      </c>
      <c r="BE30" s="34">
        <f t="shared" ca="1" si="46"/>
        <v>3.3751087192868021</v>
      </c>
    </row>
    <row r="31" spans="1:57" ht="13.8" thickBot="1" x14ac:dyDescent="0.3">
      <c r="A31" s="386">
        <f>Mon!A34</f>
        <v>2020</v>
      </c>
      <c r="B31" s="386">
        <f>C31-5</f>
        <v>7</v>
      </c>
      <c r="C31" s="386">
        <f>ROUNDUP(Mon!B34/6,0)*6</f>
        <v>12</v>
      </c>
      <c r="D31" s="387" t="s">
        <v>40</v>
      </c>
      <c r="E31" s="146">
        <f ca="1">COUNTIFS(OFFSET(Arb!$C$2,Arb!$AJ$36+Arb!$AJ$37,,Arb!$AJ$38,),$A31,OFFSET(Arb!$AI$2,Arb!$AJ$36+Arb!$AJ$37,,Arb!$AJ$38,),TRUE,OFFSET(Arb!$B$2,Arb!$AJ$36+Arb!$AJ$37,,Arb!$AJ$38,),"&gt;="&amp;$B31,OFFSET(Arb!$B$2,Arb!$AJ$36+Arb!$AJ$37,,Arb!$AJ$38,),"&lt;="&amp;$C31)</f>
        <v>332</v>
      </c>
      <c r="F31" s="146">
        <f ca="1">SUMIFS(OFFSET(Arb!$I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56751</v>
      </c>
      <c r="G31" s="146">
        <f ca="1">SUMIFS(OFFSET(Arb!$H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24351.450000000008</v>
      </c>
      <c r="H31" s="146">
        <f ca="1">SUMIFS(OFFSET(Arb!$AC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2789289</v>
      </c>
      <c r="I31" s="146">
        <f ca="1">SUMIFS(OFFSET(Arb!$U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55639</v>
      </c>
      <c r="J31" s="146">
        <f ca="1">SUMIFS(OFFSET(Arb!$V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19664</v>
      </c>
      <c r="K31" s="146">
        <f ca="1">SUMIFS(OFFSET(Arb!$X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67252</v>
      </c>
      <c r="L31" s="146">
        <f ca="1">SUMIFS(OFFSET(Arb!$AA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4542</v>
      </c>
      <c r="M31" s="146">
        <f ca="1">SUMIFS(OFFSET(Arb!$AB$2,Arb!$AJ$36+Arb!$AJ$37,,Arb!$AJ$38,),OFFSET(Arb!$C$2,Arb!$AJ$36+Arb!$AJ$37,,Arb!$AJ$38,),$A31,OFFSET(Arb!$AI$2,Arb!$AJ$36+Arb!$AJ$37,,Arb!$AJ$38,),TRUE,OFFSET(Arb!$B$2,Arb!$AJ$36+Arb!$AJ$37,,Arb!$AJ$38,),"&gt;="&amp;$B31,OFFSET(Arb!$B$2,Arb!$AJ$36+Arb!$AJ$37,,Arb!$AJ$38,),"&lt;="&amp;$C31)</f>
        <v>3530</v>
      </c>
      <c r="N31" s="146">
        <f t="shared" ca="1" si="24"/>
        <v>75303</v>
      </c>
      <c r="O31" s="388">
        <f t="shared" ca="1" si="25"/>
        <v>170.93674698795181</v>
      </c>
      <c r="P31" s="364">
        <f t="shared" ca="1" si="26"/>
        <v>73.347740963855443</v>
      </c>
      <c r="Q31" s="96">
        <f t="shared" ca="1" si="93"/>
        <v>2.3304977732332155</v>
      </c>
      <c r="R31" s="365">
        <f t="shared" ca="1" si="28"/>
        <v>2.761724661159807</v>
      </c>
      <c r="S31" s="96">
        <f t="shared" ca="1" si="29"/>
        <v>3.0923415238106959</v>
      </c>
      <c r="T31" s="96">
        <f t="shared" ca="1" si="94"/>
        <v>8.6760496264037261</v>
      </c>
      <c r="U31" s="95">
        <f t="shared" ca="1" si="31"/>
        <v>50.13814105859494</v>
      </c>
      <c r="V31" s="95">
        <f t="shared" ca="1" si="32"/>
        <v>13.680722891566266</v>
      </c>
      <c r="W31" s="95">
        <f t="shared" ca="1" si="33"/>
        <v>10.632530120481928</v>
      </c>
      <c r="X31" s="96">
        <f t="shared" ca="1" si="95"/>
        <v>0.89308526884719075</v>
      </c>
      <c r="Y31" s="96">
        <f t="shared" ca="1" si="96"/>
        <v>0.84385594480461545</v>
      </c>
      <c r="Z31" s="96">
        <f t="shared" ca="1" si="36"/>
        <v>0.75363531333413014</v>
      </c>
      <c r="AA31" s="147">
        <f t="shared" ca="1" si="37"/>
        <v>525.09205572289159</v>
      </c>
      <c r="AB31" s="95">
        <f t="shared" ca="1" si="97"/>
        <v>7.1589397140621998</v>
      </c>
      <c r="AC31" s="96">
        <f t="shared" ca="1" si="98"/>
        <v>0.325536722799251</v>
      </c>
      <c r="AD31" s="129">
        <f t="shared" ca="1" si="40"/>
        <v>19.771020356081912</v>
      </c>
      <c r="AE31" s="470">
        <f ca="1">AE21</f>
        <v>83</v>
      </c>
      <c r="AF31" s="364">
        <f t="shared" ca="1" si="41"/>
        <v>4</v>
      </c>
      <c r="AG31" s="94">
        <f ca="1">COUNTIFS(BV!$H$242:$H$420,"&gt;=" &amp; DATE($A31,$B31,1),BV!$H$242:$H$420,"&lt;" &amp; DATE($A31,$C31+1,1))</f>
        <v>57</v>
      </c>
      <c r="AH31" s="94">
        <f ca="1">COUNTIFS(BV!$P$242:$P$420,"&gt;=" &amp; DATE($A31,$B31,1),BV!$P$242:$P$420,"&lt;" &amp; DATE($A31,$C31+1,1))</f>
        <v>46</v>
      </c>
      <c r="AI31" s="94">
        <f ca="1">COUNTIFS(BV!$X$242:$X$420,"&gt;=" &amp; DATE($A31,$B31,1),BV!$X$242:$X$420,"&lt;" &amp; DATE($A31,$C31+1,1))</f>
        <v>38</v>
      </c>
      <c r="AJ31" s="94">
        <f ca="1">COUNTIFS(BV!$AF$242:$AF$420,"&gt;=" &amp; DATE($A31,$B31,1),BV!$AF$242:$AF$420,"&lt;" &amp; DATE($A31,$C31+1,1))</f>
        <v>27</v>
      </c>
      <c r="AK31" s="94">
        <f ca="1">COUNTIFS(BV!$AN$242:$AN$420,"&gt;=" &amp; DATE($A31,$B31,1),BV!$AN$242:$AN$420,"&lt;" &amp; DATE($A31,$C31+1,1))</f>
        <v>27</v>
      </c>
      <c r="AL31" s="94">
        <f ca="1">COUNTIFS(BV!$AV$242:$AV$420,"&gt;=" &amp; DATE($A31,$B31,1),BV!$AV$242:$AV$420,"&lt;" &amp; DATE($A31,$C31+1,1))</f>
        <v>22</v>
      </c>
      <c r="AM31" s="94">
        <f ca="1">COUNTIFS(BV!$BD$242:$BD$420,"&gt;=" &amp; DATE($A31,$B31,1),BV!$BD$242:$BD$420,"&lt;" &amp; DATE($A31,$C31+1,1))</f>
        <v>15</v>
      </c>
      <c r="AN31" s="94">
        <f ca="1">COUNTIFS(BV!$BL$242:$BL$420,"&gt;=" &amp; DATE($A31,$B31,1),BV!$BL$242:$BL$420,"&lt;" &amp; DATE($A31,$C31+1,1))</f>
        <v>14</v>
      </c>
      <c r="AO31" s="94">
        <f ca="1">COUNTIFS(BV!$BT$242:$BT$420,"&gt;=" &amp; DATE($A31,$B31,1),BV!$BT$242:$BT$420,"&lt;" &amp; DATE($A31,$C31+1,1))</f>
        <v>16</v>
      </c>
      <c r="AP31" s="94">
        <f ca="1">COUNTIFS(BV!$CB$242:$CB$420,"&gt;=" &amp; DATE($A31,$B31,1),BV!$CB$242:$CB$420,"&lt;" &amp; DATE($A31,$C31+1,1))</f>
        <v>12</v>
      </c>
      <c r="AQ31" s="366">
        <f t="shared" ca="1" si="99"/>
        <v>1153.5396825396826</v>
      </c>
      <c r="AR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50</v>
      </c>
      <c r="AS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41</v>
      </c>
      <c r="AT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34</v>
      </c>
      <c r="AU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39</v>
      </c>
      <c r="AV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35</v>
      </c>
      <c r="AW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29</v>
      </c>
      <c r="AX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35</v>
      </c>
      <c r="AY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31</v>
      </c>
      <c r="AZ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31</v>
      </c>
      <c r="BA31" s="510">
        <f ca="1">COUNTIFS(OFFSET(Time!$AD$2,(COLUMN()-44)*20,,20,),"&gt;=" &amp; DATE($A31,$B31,1),OFFSET(Time!$AD$2,(COLUMN()-44)*20,,20,),"&lt;" &amp; DATE($A31,$C31+1,1))+COUNTIFS(OFFSET(Bvs!$AD$2,(COLUMN()-44)*20,,20,),"&gt;=" &amp; DATE($A31,$B31,1),OFFSET(Bvs!$AD$2,(COLUMN()-44)*20,,20,),"&lt;" &amp; DATE($A31,$C31+1,1))+COUNTIFS(OFFSET(QG!$AD$2,(COLUMN()-44)*20,,20,),"&gt;=" &amp; DATE($A31,$B31,1),OFFSET(QG!$AD$2,(COLUMN()-44)*20,,20,),"&lt;" &amp; DATE($A31,$C31+1,1))</f>
        <v>26</v>
      </c>
      <c r="BB31" s="366">
        <f t="shared" ca="1" si="43"/>
        <v>1183.3611111111109</v>
      </c>
      <c r="BC31" s="366">
        <f t="shared" ca="1" si="44"/>
        <v>2336.9007936507933</v>
      </c>
      <c r="BD31" s="95">
        <f t="shared" ca="1" si="100"/>
        <v>28.155431248804739</v>
      </c>
      <c r="BE31" s="95">
        <f t="shared" ca="1" si="46"/>
        <v>7.0388578122011847</v>
      </c>
    </row>
    <row r="32" spans="1:57" ht="13.8" thickBot="1" x14ac:dyDescent="0.3">
      <c r="A32" s="156">
        <f t="shared" ref="A32" si="101">IF(B33=1,A33-1,A33)</f>
        <v>2016</v>
      </c>
      <c r="B32" s="157">
        <f t="shared" ref="B32:B39" si="102">IF(B33=1,7,B33-6)</f>
        <v>1</v>
      </c>
      <c r="C32" s="157">
        <f t="shared" ref="C32" si="103">B32+5</f>
        <v>6</v>
      </c>
      <c r="D32" s="105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32"/>
      <c r="P32" s="373"/>
      <c r="Q32" s="106"/>
      <c r="R32" s="374"/>
      <c r="S32" s="106"/>
      <c r="T32" s="106"/>
      <c r="U32" s="105"/>
      <c r="V32" s="105"/>
      <c r="W32" s="105"/>
      <c r="X32" s="106"/>
      <c r="Y32" s="106"/>
      <c r="Z32" s="106"/>
      <c r="AA32" s="375"/>
      <c r="AB32" s="105"/>
      <c r="AC32" s="106"/>
      <c r="AD32" s="132"/>
      <c r="AE32" s="547">
        <f ca="1">AE22</f>
        <v>83</v>
      </c>
      <c r="AF32" s="373"/>
      <c r="AG32" s="104">
        <f t="shared" ref="AG32:AP33" ca="1" si="104">AG2+AG12+AG22</f>
        <v>0</v>
      </c>
      <c r="AH32" s="104">
        <f t="shared" ca="1" si="104"/>
        <v>0</v>
      </c>
      <c r="AI32" s="104">
        <f t="shared" ca="1" si="104"/>
        <v>0</v>
      </c>
      <c r="AJ32" s="104">
        <f t="shared" ca="1" si="104"/>
        <v>0</v>
      </c>
      <c r="AK32" s="104">
        <f t="shared" ca="1" si="104"/>
        <v>0</v>
      </c>
      <c r="AL32" s="104">
        <f t="shared" ca="1" si="104"/>
        <v>0</v>
      </c>
      <c r="AM32" s="104">
        <f t="shared" ca="1" si="104"/>
        <v>0</v>
      </c>
      <c r="AN32" s="104">
        <f t="shared" ca="1" si="104"/>
        <v>0</v>
      </c>
      <c r="AO32" s="104">
        <f t="shared" ca="1" si="104"/>
        <v>0</v>
      </c>
      <c r="AP32" s="104">
        <f t="shared" ca="1" si="104"/>
        <v>0</v>
      </c>
      <c r="AQ32" s="375">
        <f t="shared" ref="AQ32" ca="1" si="105">(AG32+AH32/2+AI32/3+AJ32/4+AK32/5+AL32/6+AM32/7+AN32/8+AO32/9+AP32/10)*10</f>
        <v>0</v>
      </c>
      <c r="AR32" s="104">
        <f ca="1">AR2+AR12+AR22</f>
        <v>0</v>
      </c>
      <c r="AS32" s="104">
        <f ca="1">AS2+AS12+AS22</f>
        <v>0</v>
      </c>
      <c r="AT32" s="104">
        <f ca="1">AT2+AT12+AT22</f>
        <v>0</v>
      </c>
      <c r="AU32" s="104">
        <f ca="1">AU2+AU12+AU22</f>
        <v>0</v>
      </c>
      <c r="AV32" s="104">
        <f ca="1">AV2+AV12+AV22</f>
        <v>0</v>
      </c>
      <c r="AW32" s="104">
        <f t="shared" ref="AW32:BA33" ca="1" si="106">AW2+AW12+AW22</f>
        <v>0</v>
      </c>
      <c r="AX32" s="104">
        <f t="shared" ca="1" si="106"/>
        <v>0</v>
      </c>
      <c r="AY32" s="104">
        <f t="shared" ca="1" si="106"/>
        <v>0</v>
      </c>
      <c r="AZ32" s="104">
        <f t="shared" ca="1" si="106"/>
        <v>0</v>
      </c>
      <c r="BA32" s="104">
        <f t="shared" ca="1" si="106"/>
        <v>0</v>
      </c>
      <c r="BB32" s="375">
        <f t="shared" ref="BB32" ca="1" si="107">(AR32+AS32/2+AT32/3+AU32/4+AV32/5+AW32/6+AX32/7+AY32/8+AZ32/9+BA32/10)*10</f>
        <v>0</v>
      </c>
      <c r="BC32" s="375">
        <f t="shared" ref="BC32" ca="1" si="108">AQ32+BB32</f>
        <v>0</v>
      </c>
      <c r="BD32" s="105">
        <f t="shared" ref="BD32" ca="1" si="109">BC32/AE32</f>
        <v>0</v>
      </c>
      <c r="BE32" s="392"/>
    </row>
    <row r="33" spans="1:57" x14ac:dyDescent="0.25">
      <c r="A33" s="156">
        <f t="shared" ref="A33:A39" si="110">IF(B34=1,A34-1,A34)</f>
        <v>2016</v>
      </c>
      <c r="B33" s="157">
        <f t="shared" si="102"/>
        <v>7</v>
      </c>
      <c r="C33" s="157">
        <f t="shared" ref="C33:C39" si="111">B33+5</f>
        <v>12</v>
      </c>
      <c r="D33" s="105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32"/>
      <c r="P33" s="373"/>
      <c r="Q33" s="106"/>
      <c r="R33" s="374"/>
      <c r="S33" s="106"/>
      <c r="T33" s="106"/>
      <c r="U33" s="105"/>
      <c r="V33" s="105"/>
      <c r="W33" s="105"/>
      <c r="X33" s="106"/>
      <c r="Y33" s="106"/>
      <c r="Z33" s="106"/>
      <c r="AA33" s="375"/>
      <c r="AB33" s="105"/>
      <c r="AC33" s="106"/>
      <c r="AD33" s="132"/>
      <c r="AE33" s="470" t="e">
        <f ca="1">AE23</f>
        <v>#N/A</v>
      </c>
      <c r="AF33" s="373"/>
      <c r="AG33" s="104">
        <f t="shared" ca="1" si="104"/>
        <v>0</v>
      </c>
      <c r="AH33" s="104">
        <f t="shared" ca="1" si="104"/>
        <v>0</v>
      </c>
      <c r="AI33" s="104">
        <f t="shared" ca="1" si="104"/>
        <v>0</v>
      </c>
      <c r="AJ33" s="104">
        <f t="shared" ca="1" si="104"/>
        <v>0</v>
      </c>
      <c r="AK33" s="104">
        <f t="shared" ca="1" si="104"/>
        <v>0</v>
      </c>
      <c r="AL33" s="104">
        <f t="shared" ca="1" si="104"/>
        <v>0</v>
      </c>
      <c r="AM33" s="104">
        <f t="shared" ca="1" si="104"/>
        <v>0</v>
      </c>
      <c r="AN33" s="104">
        <f t="shared" ca="1" si="104"/>
        <v>0</v>
      </c>
      <c r="AO33" s="104">
        <f t="shared" ca="1" si="104"/>
        <v>0</v>
      </c>
      <c r="AP33" s="104">
        <f t="shared" ca="1" si="104"/>
        <v>0</v>
      </c>
      <c r="AQ33" s="375">
        <f t="shared" ca="1" si="99"/>
        <v>0</v>
      </c>
      <c r="AR33" s="104">
        <f ca="1">AR3+AR13+AR23</f>
        <v>0</v>
      </c>
      <c r="AS33" s="104">
        <f ca="1">AS3+AS13+AS23</f>
        <v>0</v>
      </c>
      <c r="AT33" s="104">
        <f ca="1">AT3+AT13+AT23</f>
        <v>0</v>
      </c>
      <c r="AU33" s="104">
        <f ca="1">AU3+AU13+AU23</f>
        <v>0</v>
      </c>
      <c r="AV33" s="104">
        <f ca="1">AV3+AV13+AV23</f>
        <v>0</v>
      </c>
      <c r="AW33" s="104">
        <f t="shared" ca="1" si="106"/>
        <v>0</v>
      </c>
      <c r="AX33" s="104">
        <f t="shared" ca="1" si="106"/>
        <v>0</v>
      </c>
      <c r="AY33" s="104">
        <f t="shared" ca="1" si="106"/>
        <v>0</v>
      </c>
      <c r="AZ33" s="104">
        <f t="shared" ca="1" si="106"/>
        <v>0</v>
      </c>
      <c r="BA33" s="104">
        <f t="shared" ca="1" si="106"/>
        <v>0</v>
      </c>
      <c r="BB33" s="375">
        <f t="shared" ca="1" si="43"/>
        <v>0</v>
      </c>
      <c r="BC33" s="375">
        <f t="shared" ca="1" si="44"/>
        <v>0</v>
      </c>
      <c r="BD33" s="105" t="e">
        <f t="shared" ca="1" si="100"/>
        <v>#N/A</v>
      </c>
      <c r="BE33" s="392"/>
    </row>
    <row r="34" spans="1:57" x14ac:dyDescent="0.25">
      <c r="A34" s="55">
        <f t="shared" si="110"/>
        <v>2017</v>
      </c>
      <c r="B34" s="356">
        <f t="shared" si="102"/>
        <v>1</v>
      </c>
      <c r="C34" s="356">
        <f t="shared" si="111"/>
        <v>6</v>
      </c>
      <c r="E34" s="358"/>
      <c r="F34" s="358"/>
      <c r="G34" s="358"/>
      <c r="H34" s="358"/>
      <c r="I34" s="358"/>
      <c r="J34" s="358"/>
      <c r="K34" s="358"/>
      <c r="L34" s="358"/>
      <c r="M34" s="358"/>
      <c r="N34" s="358"/>
      <c r="AE34" s="470" t="e">
        <f ca="1">AE24</f>
        <v>#N/A</v>
      </c>
      <c r="AG34" s="358">
        <f t="shared" ref="AG34:AP34" ca="1" si="112">AG4+AG14+AG24</f>
        <v>0</v>
      </c>
      <c r="AH34" s="358">
        <f t="shared" ca="1" si="112"/>
        <v>0</v>
      </c>
      <c r="AI34" s="358">
        <f t="shared" ca="1" si="112"/>
        <v>0</v>
      </c>
      <c r="AJ34" s="358">
        <f t="shared" ca="1" si="112"/>
        <v>0</v>
      </c>
      <c r="AK34" s="358">
        <f t="shared" ca="1" si="112"/>
        <v>0</v>
      </c>
      <c r="AL34" s="358">
        <f t="shared" ca="1" si="112"/>
        <v>0</v>
      </c>
      <c r="AM34" s="358">
        <f t="shared" ca="1" si="112"/>
        <v>0</v>
      </c>
      <c r="AN34" s="358">
        <f t="shared" ca="1" si="112"/>
        <v>0</v>
      </c>
      <c r="AO34" s="358">
        <f t="shared" ca="1" si="112"/>
        <v>0</v>
      </c>
      <c r="AP34" s="358">
        <f t="shared" ca="1" si="112"/>
        <v>0</v>
      </c>
      <c r="AQ34" s="35">
        <f t="shared" ca="1" si="99"/>
        <v>0</v>
      </c>
      <c r="AR34" s="358">
        <f ca="1">AR4+AR14+AR24</f>
        <v>0</v>
      </c>
      <c r="AS34" s="358">
        <f ca="1">AS4+AS14+AS24</f>
        <v>0</v>
      </c>
      <c r="AT34" s="358">
        <f ca="1">AT4+AT14+AT24</f>
        <v>0</v>
      </c>
      <c r="AU34" s="358">
        <f ca="1">AU4+AU14+AU24</f>
        <v>0</v>
      </c>
      <c r="AV34" s="358">
        <f ca="1">AV4+AV14+AV24</f>
        <v>0</v>
      </c>
      <c r="AW34" s="510">
        <f t="shared" ref="AW34:BA34" ca="1" si="113">AW4+AW14+AW24</f>
        <v>0</v>
      </c>
      <c r="AX34" s="510">
        <f t="shared" ca="1" si="113"/>
        <v>0</v>
      </c>
      <c r="AY34" s="510">
        <f t="shared" ca="1" si="113"/>
        <v>0</v>
      </c>
      <c r="AZ34" s="510">
        <f t="shared" ca="1" si="113"/>
        <v>0</v>
      </c>
      <c r="BA34" s="510">
        <f t="shared" ca="1" si="113"/>
        <v>0</v>
      </c>
      <c r="BB34" s="35">
        <f t="shared" ca="1" si="43"/>
        <v>0</v>
      </c>
      <c r="BC34" s="35">
        <f t="shared" ca="1" si="44"/>
        <v>0</v>
      </c>
      <c r="BD34" s="34" t="e">
        <f t="shared" ca="1" si="100"/>
        <v>#N/A</v>
      </c>
      <c r="BE34" s="393"/>
    </row>
    <row r="35" spans="1:57" x14ac:dyDescent="0.25">
      <c r="A35" s="55">
        <f t="shared" si="110"/>
        <v>2017</v>
      </c>
      <c r="B35" s="356">
        <f t="shared" si="102"/>
        <v>7</v>
      </c>
      <c r="C35" s="356">
        <f t="shared" si="111"/>
        <v>12</v>
      </c>
      <c r="E35" s="358"/>
      <c r="F35" s="358"/>
      <c r="G35" s="358"/>
      <c r="H35" s="358"/>
      <c r="I35" s="358"/>
      <c r="J35" s="358"/>
      <c r="K35" s="358"/>
      <c r="L35" s="358"/>
      <c r="M35" s="358"/>
      <c r="N35" s="358"/>
      <c r="AE35" s="470" t="e">
        <f ca="1">AE25</f>
        <v>#N/A</v>
      </c>
      <c r="AG35" s="358">
        <f t="shared" ref="AG35:AP35" ca="1" si="114">AG5+AG15+AG25</f>
        <v>0</v>
      </c>
      <c r="AH35" s="358">
        <f t="shared" ca="1" si="114"/>
        <v>0</v>
      </c>
      <c r="AI35" s="358">
        <f t="shared" ca="1" si="114"/>
        <v>0</v>
      </c>
      <c r="AJ35" s="358">
        <f t="shared" ca="1" si="114"/>
        <v>0</v>
      </c>
      <c r="AK35" s="358">
        <f t="shared" ca="1" si="114"/>
        <v>0</v>
      </c>
      <c r="AL35" s="358">
        <f t="shared" ca="1" si="114"/>
        <v>0</v>
      </c>
      <c r="AM35" s="358">
        <f t="shared" ca="1" si="114"/>
        <v>0</v>
      </c>
      <c r="AN35" s="358">
        <f t="shared" ca="1" si="114"/>
        <v>0</v>
      </c>
      <c r="AO35" s="358">
        <f t="shared" ca="1" si="114"/>
        <v>0</v>
      </c>
      <c r="AP35" s="358">
        <f t="shared" ca="1" si="114"/>
        <v>0</v>
      </c>
      <c r="AQ35" s="35">
        <f t="shared" ca="1" si="99"/>
        <v>0</v>
      </c>
      <c r="AR35" s="358">
        <f ca="1">AR5+AR15+AR25</f>
        <v>0</v>
      </c>
      <c r="AS35" s="358">
        <f ca="1">AS5+AS15+AS25</f>
        <v>0</v>
      </c>
      <c r="AT35" s="358">
        <f ca="1">AT5+AT15+AT25</f>
        <v>0</v>
      </c>
      <c r="AU35" s="358">
        <f ca="1">AU5+AU15+AU25</f>
        <v>0</v>
      </c>
      <c r="AV35" s="358">
        <f ca="1">AV5+AV15+AV25</f>
        <v>0</v>
      </c>
      <c r="AW35" s="510">
        <f t="shared" ref="AW35:BA35" ca="1" si="115">AW5+AW15+AW25</f>
        <v>0</v>
      </c>
      <c r="AX35" s="510">
        <f t="shared" ca="1" si="115"/>
        <v>0</v>
      </c>
      <c r="AY35" s="510">
        <f t="shared" ca="1" si="115"/>
        <v>0</v>
      </c>
      <c r="AZ35" s="510">
        <f t="shared" ca="1" si="115"/>
        <v>0</v>
      </c>
      <c r="BA35" s="510">
        <f t="shared" ca="1" si="115"/>
        <v>0</v>
      </c>
      <c r="BB35" s="35">
        <f t="shared" ca="1" si="43"/>
        <v>0</v>
      </c>
      <c r="BC35" s="35">
        <f t="shared" ca="1" si="44"/>
        <v>0</v>
      </c>
      <c r="BD35" s="34" t="e">
        <f t="shared" ca="1" si="100"/>
        <v>#N/A</v>
      </c>
      <c r="BE35" s="393"/>
    </row>
    <row r="36" spans="1:57" x14ac:dyDescent="0.25">
      <c r="A36" s="55">
        <f t="shared" si="110"/>
        <v>2018</v>
      </c>
      <c r="B36" s="356">
        <f t="shared" si="102"/>
        <v>1</v>
      </c>
      <c r="C36" s="356">
        <f t="shared" si="111"/>
        <v>6</v>
      </c>
      <c r="E36" s="358"/>
      <c r="F36" s="358"/>
      <c r="G36" s="358"/>
      <c r="H36" s="358"/>
      <c r="I36" s="358"/>
      <c r="J36" s="358"/>
      <c r="K36" s="358"/>
      <c r="L36" s="358"/>
      <c r="M36" s="358"/>
      <c r="N36" s="358"/>
      <c r="AE36" s="470" t="e">
        <f ca="1">AE26</f>
        <v>#N/A</v>
      </c>
      <c r="AG36" s="358">
        <f t="shared" ref="AG36:AP36" ca="1" si="116">AG6+AG16+AG26</f>
        <v>0</v>
      </c>
      <c r="AH36" s="358">
        <f t="shared" ca="1" si="116"/>
        <v>0</v>
      </c>
      <c r="AI36" s="358">
        <f t="shared" ca="1" si="116"/>
        <v>0</v>
      </c>
      <c r="AJ36" s="358">
        <f t="shared" ca="1" si="116"/>
        <v>0</v>
      </c>
      <c r="AK36" s="358">
        <f t="shared" ca="1" si="116"/>
        <v>0</v>
      </c>
      <c r="AL36" s="358">
        <f t="shared" ca="1" si="116"/>
        <v>0</v>
      </c>
      <c r="AM36" s="358">
        <f t="shared" ca="1" si="116"/>
        <v>0</v>
      </c>
      <c r="AN36" s="358">
        <f t="shared" ca="1" si="116"/>
        <v>0</v>
      </c>
      <c r="AO36" s="358">
        <f t="shared" ca="1" si="116"/>
        <v>0</v>
      </c>
      <c r="AP36" s="358">
        <f t="shared" ca="1" si="116"/>
        <v>0</v>
      </c>
      <c r="AQ36" s="35">
        <f t="shared" ca="1" si="99"/>
        <v>0</v>
      </c>
      <c r="AR36" s="358">
        <f ca="1">AR6+AR16+AR26</f>
        <v>0</v>
      </c>
      <c r="AS36" s="358">
        <f ca="1">AS6+AS16+AS26</f>
        <v>0</v>
      </c>
      <c r="AT36" s="358">
        <f ca="1">AT6+AT16+AT26</f>
        <v>0</v>
      </c>
      <c r="AU36" s="358">
        <f ca="1">AU6+AU16+AU26</f>
        <v>0</v>
      </c>
      <c r="AV36" s="358">
        <f ca="1">AV6+AV16+AV26</f>
        <v>0</v>
      </c>
      <c r="AW36" s="510">
        <f t="shared" ref="AW36:BA36" ca="1" si="117">AW6+AW16+AW26</f>
        <v>0</v>
      </c>
      <c r="AX36" s="510">
        <f t="shared" ca="1" si="117"/>
        <v>0</v>
      </c>
      <c r="AY36" s="510">
        <f t="shared" ca="1" si="117"/>
        <v>0</v>
      </c>
      <c r="AZ36" s="510">
        <f t="shared" ca="1" si="117"/>
        <v>0</v>
      </c>
      <c r="BA36" s="510">
        <f t="shared" ca="1" si="117"/>
        <v>0</v>
      </c>
      <c r="BB36" s="35">
        <f t="shared" ca="1" si="43"/>
        <v>0</v>
      </c>
      <c r="BC36" s="35">
        <f t="shared" ca="1" si="44"/>
        <v>0</v>
      </c>
      <c r="BD36" s="34" t="e">
        <f t="shared" ca="1" si="100"/>
        <v>#N/A</v>
      </c>
      <c r="BE36" s="393"/>
    </row>
    <row r="37" spans="1:57" x14ac:dyDescent="0.25">
      <c r="A37" s="55">
        <f t="shared" si="110"/>
        <v>2018</v>
      </c>
      <c r="B37" s="356">
        <f t="shared" si="102"/>
        <v>7</v>
      </c>
      <c r="C37" s="356">
        <f t="shared" si="111"/>
        <v>12</v>
      </c>
      <c r="E37" s="358"/>
      <c r="F37" s="358"/>
      <c r="G37" s="358"/>
      <c r="H37" s="358"/>
      <c r="I37" s="358"/>
      <c r="J37" s="358"/>
      <c r="K37" s="358"/>
      <c r="L37" s="358"/>
      <c r="M37" s="358"/>
      <c r="N37" s="358"/>
      <c r="AE37" s="470" t="e">
        <f ca="1">AE27</f>
        <v>#N/A</v>
      </c>
      <c r="AG37" s="358">
        <f t="shared" ref="AG37:AP37" ca="1" si="118">AG7+AG17+AG27</f>
        <v>0</v>
      </c>
      <c r="AH37" s="358">
        <f t="shared" ca="1" si="118"/>
        <v>0</v>
      </c>
      <c r="AI37" s="358">
        <f t="shared" ca="1" si="118"/>
        <v>0</v>
      </c>
      <c r="AJ37" s="358">
        <f t="shared" ca="1" si="118"/>
        <v>0</v>
      </c>
      <c r="AK37" s="358">
        <f t="shared" ca="1" si="118"/>
        <v>0</v>
      </c>
      <c r="AL37" s="358">
        <f t="shared" ca="1" si="118"/>
        <v>0</v>
      </c>
      <c r="AM37" s="358">
        <f t="shared" ca="1" si="118"/>
        <v>0</v>
      </c>
      <c r="AN37" s="358">
        <f t="shared" ca="1" si="118"/>
        <v>0</v>
      </c>
      <c r="AO37" s="358">
        <f t="shared" ca="1" si="118"/>
        <v>0</v>
      </c>
      <c r="AP37" s="358">
        <f t="shared" ca="1" si="118"/>
        <v>0</v>
      </c>
      <c r="AQ37" s="35">
        <f t="shared" ca="1" si="99"/>
        <v>0</v>
      </c>
      <c r="AR37" s="358">
        <f ca="1">AR7+AR17+AR27</f>
        <v>0</v>
      </c>
      <c r="AS37" s="358">
        <f ca="1">AS7+AS17+AS27</f>
        <v>0</v>
      </c>
      <c r="AT37" s="358">
        <f ca="1">AT7+AT17+AT27</f>
        <v>0</v>
      </c>
      <c r="AU37" s="358">
        <f ca="1">AU7+AU17+AU27</f>
        <v>0</v>
      </c>
      <c r="AV37" s="358">
        <f ca="1">AV7+AV17+AV27</f>
        <v>0</v>
      </c>
      <c r="AW37" s="510">
        <f t="shared" ref="AW37:BA37" ca="1" si="119">AW7+AW17+AW27</f>
        <v>0</v>
      </c>
      <c r="AX37" s="510">
        <f t="shared" ca="1" si="119"/>
        <v>0</v>
      </c>
      <c r="AY37" s="510">
        <f t="shared" ca="1" si="119"/>
        <v>0</v>
      </c>
      <c r="AZ37" s="510">
        <f t="shared" ca="1" si="119"/>
        <v>0</v>
      </c>
      <c r="BA37" s="510">
        <f t="shared" ca="1" si="119"/>
        <v>0</v>
      </c>
      <c r="BB37" s="35">
        <f t="shared" ca="1" si="43"/>
        <v>0</v>
      </c>
      <c r="BC37" s="35">
        <f t="shared" ca="1" si="44"/>
        <v>0</v>
      </c>
      <c r="BD37" s="34" t="e">
        <f t="shared" ca="1" si="100"/>
        <v>#N/A</v>
      </c>
      <c r="BE37" s="393"/>
    </row>
    <row r="38" spans="1:57" x14ac:dyDescent="0.25">
      <c r="A38" s="55">
        <f t="shared" si="110"/>
        <v>2019</v>
      </c>
      <c r="B38" s="356">
        <f t="shared" si="102"/>
        <v>1</v>
      </c>
      <c r="C38" s="356">
        <f t="shared" si="111"/>
        <v>6</v>
      </c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AE38" s="470">
        <f ca="1">AE28</f>
        <v>0</v>
      </c>
      <c r="AG38" s="358">
        <f t="shared" ref="AG38:AP38" ca="1" si="120">AG8+AG18+AG28</f>
        <v>0</v>
      </c>
      <c r="AH38" s="358">
        <f t="shared" ca="1" si="120"/>
        <v>0</v>
      </c>
      <c r="AI38" s="358">
        <f t="shared" ca="1" si="120"/>
        <v>0</v>
      </c>
      <c r="AJ38" s="358">
        <f t="shared" ca="1" si="120"/>
        <v>0</v>
      </c>
      <c r="AK38" s="358">
        <f t="shared" ca="1" si="120"/>
        <v>0</v>
      </c>
      <c r="AL38" s="358">
        <f t="shared" ca="1" si="120"/>
        <v>0</v>
      </c>
      <c r="AM38" s="358">
        <f t="shared" ca="1" si="120"/>
        <v>0</v>
      </c>
      <c r="AN38" s="358">
        <f t="shared" ca="1" si="120"/>
        <v>0</v>
      </c>
      <c r="AO38" s="358">
        <f t="shared" ca="1" si="120"/>
        <v>0</v>
      </c>
      <c r="AP38" s="358">
        <f t="shared" ca="1" si="120"/>
        <v>0</v>
      </c>
      <c r="AQ38" s="35">
        <f t="shared" ca="1" si="99"/>
        <v>0</v>
      </c>
      <c r="AR38" s="358">
        <f ca="1">AR8+AR18+AR28</f>
        <v>0</v>
      </c>
      <c r="AS38" s="358">
        <f ca="1">AS8+AS18+AS28</f>
        <v>0</v>
      </c>
      <c r="AT38" s="358">
        <f ca="1">AT8+AT18+AT28</f>
        <v>0</v>
      </c>
      <c r="AU38" s="358">
        <f ca="1">AU8+AU18+AU28</f>
        <v>0</v>
      </c>
      <c r="AV38" s="358">
        <f ca="1">AV8+AV18+AV28</f>
        <v>0</v>
      </c>
      <c r="AW38" s="510">
        <f t="shared" ref="AW38:BA38" ca="1" si="121">AW8+AW18+AW28</f>
        <v>0</v>
      </c>
      <c r="AX38" s="510">
        <f t="shared" ca="1" si="121"/>
        <v>0</v>
      </c>
      <c r="AY38" s="510">
        <f t="shared" ca="1" si="121"/>
        <v>0</v>
      </c>
      <c r="AZ38" s="510">
        <f t="shared" ca="1" si="121"/>
        <v>0</v>
      </c>
      <c r="BA38" s="510">
        <f t="shared" ca="1" si="121"/>
        <v>0</v>
      </c>
      <c r="BB38" s="35">
        <f t="shared" ca="1" si="43"/>
        <v>0</v>
      </c>
      <c r="BC38" s="35">
        <f t="shared" ca="1" si="44"/>
        <v>0</v>
      </c>
      <c r="BD38" s="34" t="e">
        <f t="shared" ca="1" si="100"/>
        <v>#DIV/0!</v>
      </c>
      <c r="BE38" s="393"/>
    </row>
    <row r="39" spans="1:57" x14ac:dyDescent="0.25">
      <c r="A39" s="55">
        <f t="shared" si="110"/>
        <v>2019</v>
      </c>
      <c r="B39" s="356">
        <f t="shared" si="102"/>
        <v>7</v>
      </c>
      <c r="C39" s="356">
        <f t="shared" si="111"/>
        <v>12</v>
      </c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AE39" s="470">
        <f ca="1">AE29</f>
        <v>59</v>
      </c>
      <c r="AG39" s="358">
        <f t="shared" ref="AG39:AP39" ca="1" si="122">AG9+AG19+AG29</f>
        <v>50</v>
      </c>
      <c r="AH39" s="358">
        <f t="shared" ca="1" si="122"/>
        <v>46</v>
      </c>
      <c r="AI39" s="358">
        <f t="shared" ca="1" si="122"/>
        <v>40</v>
      </c>
      <c r="AJ39" s="358">
        <f t="shared" ca="1" si="122"/>
        <v>50</v>
      </c>
      <c r="AK39" s="358">
        <f t="shared" ca="1" si="122"/>
        <v>41</v>
      </c>
      <c r="AL39" s="358">
        <f t="shared" ca="1" si="122"/>
        <v>43</v>
      </c>
      <c r="AM39" s="358">
        <f t="shared" ca="1" si="122"/>
        <v>52</v>
      </c>
      <c r="AN39" s="358">
        <f t="shared" ca="1" si="122"/>
        <v>48</v>
      </c>
      <c r="AO39" s="358">
        <f t="shared" ca="1" si="122"/>
        <v>47</v>
      </c>
      <c r="AP39" s="358">
        <f t="shared" ca="1" si="122"/>
        <v>38</v>
      </c>
      <c r="AQ39" s="35">
        <f t="shared" ca="1" si="99"/>
        <v>1366.5079365079368</v>
      </c>
      <c r="AR39" s="358">
        <f ca="1">AR9+AR19+AR29</f>
        <v>42</v>
      </c>
      <c r="AS39" s="358">
        <f ca="1">AS9+AS19+AS29</f>
        <v>51</v>
      </c>
      <c r="AT39" s="358">
        <f ca="1">AT9+AT19+AT29</f>
        <v>49</v>
      </c>
      <c r="AU39" s="358">
        <f ca="1">AU9+AU19+AU29</f>
        <v>49</v>
      </c>
      <c r="AV39" s="358">
        <f ca="1">AV9+AV19+AV29</f>
        <v>51</v>
      </c>
      <c r="AW39" s="510">
        <f t="shared" ref="AW39:BA39" ca="1" si="123">AW9+AW19+AW29</f>
        <v>55</v>
      </c>
      <c r="AX39" s="510">
        <f t="shared" ca="1" si="123"/>
        <v>56</v>
      </c>
      <c r="AY39" s="510">
        <f t="shared" ca="1" si="123"/>
        <v>65</v>
      </c>
      <c r="AZ39" s="510">
        <f t="shared" ca="1" si="123"/>
        <v>60</v>
      </c>
      <c r="BA39" s="510">
        <f t="shared" ca="1" si="123"/>
        <v>65</v>
      </c>
      <c r="BB39" s="35">
        <f t="shared" ca="1" si="43"/>
        <v>1447.4166666666665</v>
      </c>
      <c r="BC39" s="35">
        <f t="shared" ca="1" si="44"/>
        <v>2813.9246031746034</v>
      </c>
      <c r="BD39" s="34">
        <f t="shared" ca="1" si="100"/>
        <v>47.693637341942427</v>
      </c>
      <c r="BE39" s="393"/>
    </row>
    <row r="40" spans="1:57" x14ac:dyDescent="0.25">
      <c r="A40" s="55">
        <f>IF(B41=1,A41-1,A41)</f>
        <v>2020</v>
      </c>
      <c r="B40" s="356">
        <f>IF(B41=1,7,B41-6)</f>
        <v>1</v>
      </c>
      <c r="C40" s="356">
        <f>B40+5</f>
        <v>6</v>
      </c>
      <c r="E40" s="358"/>
      <c r="F40" s="358"/>
      <c r="G40" s="358"/>
      <c r="H40" s="358"/>
      <c r="I40" s="358"/>
      <c r="J40" s="358"/>
      <c r="K40" s="358"/>
      <c r="L40" s="358"/>
      <c r="M40" s="358"/>
      <c r="N40" s="358"/>
      <c r="AE40" s="470">
        <f ca="1">AE30</f>
        <v>112</v>
      </c>
      <c r="AG40" s="358">
        <f t="shared" ref="AG40:AP40" ca="1" si="124">AG10+AG20+AG30</f>
        <v>69</v>
      </c>
      <c r="AH40" s="358">
        <f t="shared" ca="1" si="124"/>
        <v>60</v>
      </c>
      <c r="AI40" s="358">
        <f t="shared" ca="1" si="124"/>
        <v>64</v>
      </c>
      <c r="AJ40" s="358">
        <f t="shared" ca="1" si="124"/>
        <v>60</v>
      </c>
      <c r="AK40" s="358">
        <f t="shared" ca="1" si="124"/>
        <v>53</v>
      </c>
      <c r="AL40" s="358">
        <f t="shared" ca="1" si="124"/>
        <v>54</v>
      </c>
      <c r="AM40" s="358">
        <f t="shared" ca="1" si="124"/>
        <v>42</v>
      </c>
      <c r="AN40" s="358">
        <f t="shared" ca="1" si="124"/>
        <v>44</v>
      </c>
      <c r="AO40" s="358">
        <f t="shared" ca="1" si="124"/>
        <v>36</v>
      </c>
      <c r="AP40" s="358">
        <f t="shared" ca="1" si="124"/>
        <v>31</v>
      </c>
      <c r="AQ40" s="35">
        <f t="shared" ca="1" si="99"/>
        <v>1735.333333333333</v>
      </c>
      <c r="AR40" s="358">
        <f ca="1">AR10+AR20+AR30</f>
        <v>52</v>
      </c>
      <c r="AS40" s="358">
        <f ca="1">AS10+AS20+AS30</f>
        <v>59</v>
      </c>
      <c r="AT40" s="358">
        <f ca="1">AT10+AT20+AT30</f>
        <v>66</v>
      </c>
      <c r="AU40" s="358">
        <f ca="1">AU10+AU20+AU30</f>
        <v>66</v>
      </c>
      <c r="AV40" s="358">
        <f ca="1">AV10+AV20+AV30</f>
        <v>68</v>
      </c>
      <c r="AW40" s="510">
        <f t="shared" ref="AW40:BA40" ca="1" si="125">AW10+AW20+AW30</f>
        <v>74</v>
      </c>
      <c r="AX40" s="510">
        <f t="shared" ca="1" si="125"/>
        <v>66</v>
      </c>
      <c r="AY40" s="510">
        <f t="shared" ca="1" si="125"/>
        <v>63</v>
      </c>
      <c r="AZ40" s="510">
        <f t="shared" ca="1" si="125"/>
        <v>69</v>
      </c>
      <c r="BA40" s="510">
        <f t="shared" ca="1" si="125"/>
        <v>61</v>
      </c>
      <c r="BB40" s="35">
        <f t="shared" ca="1" si="43"/>
        <v>1770.035714285714</v>
      </c>
      <c r="BC40" s="35">
        <f t="shared" ca="1" si="44"/>
        <v>3505.3690476190468</v>
      </c>
      <c r="BD40" s="34">
        <f t="shared" ca="1" si="100"/>
        <v>31.297937925170061</v>
      </c>
      <c r="BE40" s="393"/>
    </row>
    <row r="41" spans="1:57" ht="13.8" thickBot="1" x14ac:dyDescent="0.3">
      <c r="A41" s="111">
        <f t="shared" ref="A41:C41" si="126">A31</f>
        <v>2020</v>
      </c>
      <c r="B41" s="67">
        <f t="shared" si="126"/>
        <v>7</v>
      </c>
      <c r="C41" s="67">
        <f t="shared" si="126"/>
        <v>12</v>
      </c>
      <c r="D41" s="112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135"/>
      <c r="P41" s="382"/>
      <c r="Q41" s="113"/>
      <c r="R41" s="383"/>
      <c r="S41" s="113"/>
      <c r="T41" s="113"/>
      <c r="U41" s="112"/>
      <c r="V41" s="112"/>
      <c r="W41" s="112"/>
      <c r="X41" s="113"/>
      <c r="Y41" s="113"/>
      <c r="Z41" s="113"/>
      <c r="AA41" s="384"/>
      <c r="AB41" s="112"/>
      <c r="AC41" s="113"/>
      <c r="AD41" s="135"/>
      <c r="AE41" s="470">
        <f ca="1">AE31</f>
        <v>83</v>
      </c>
      <c r="AF41" s="382"/>
      <c r="AG41" s="67">
        <f t="shared" ref="AG41:AP41" ca="1" si="127">AG11+AG21+AG31</f>
        <v>82</v>
      </c>
      <c r="AH41" s="67">
        <f t="shared" ca="1" si="127"/>
        <v>72</v>
      </c>
      <c r="AI41" s="67">
        <f t="shared" ca="1" si="127"/>
        <v>53</v>
      </c>
      <c r="AJ41" s="67">
        <f t="shared" ca="1" si="127"/>
        <v>35</v>
      </c>
      <c r="AK41" s="67">
        <f t="shared" ca="1" si="127"/>
        <v>41</v>
      </c>
      <c r="AL41" s="67">
        <f t="shared" ca="1" si="127"/>
        <v>31</v>
      </c>
      <c r="AM41" s="67">
        <f t="shared" ca="1" si="127"/>
        <v>28</v>
      </c>
      <c r="AN41" s="67">
        <f t="shared" ca="1" si="127"/>
        <v>21</v>
      </c>
      <c r="AO41" s="67">
        <f t="shared" ca="1" si="127"/>
        <v>20</v>
      </c>
      <c r="AP41" s="67">
        <f t="shared" ca="1" si="127"/>
        <v>29</v>
      </c>
      <c r="AQ41" s="384">
        <f t="shared" ca="1" si="99"/>
        <v>1695.3055555555554</v>
      </c>
      <c r="AR41" s="67">
        <f ca="1">AR11+AR21+AR31</f>
        <v>86</v>
      </c>
      <c r="AS41" s="67">
        <f ca="1">AS11+AS21+AS31</f>
        <v>70</v>
      </c>
      <c r="AT41" s="67">
        <f ca="1">AT11+AT21+AT31</f>
        <v>65</v>
      </c>
      <c r="AU41" s="67">
        <f ca="1">AU11+AU21+AU31</f>
        <v>65</v>
      </c>
      <c r="AV41" s="67">
        <f ca="1">AV11+AV21+AV31</f>
        <v>61</v>
      </c>
      <c r="AW41" s="67">
        <f t="shared" ref="AW41:BA41" ca="1" si="128">AW11+AW21+AW31</f>
        <v>51</v>
      </c>
      <c r="AX41" s="67">
        <f t="shared" ca="1" si="128"/>
        <v>58</v>
      </c>
      <c r="AY41" s="67">
        <f t="shared" ca="1" si="128"/>
        <v>52</v>
      </c>
      <c r="AZ41" s="67">
        <f t="shared" ca="1" si="128"/>
        <v>51</v>
      </c>
      <c r="BA41" s="67">
        <f t="shared" ca="1" si="128"/>
        <v>54</v>
      </c>
      <c r="BB41" s="384">
        <f t="shared" ca="1" si="43"/>
        <v>2054.6904761904757</v>
      </c>
      <c r="BC41" s="384">
        <f t="shared" ca="1" si="44"/>
        <v>3749.9960317460309</v>
      </c>
      <c r="BD41" s="112">
        <f t="shared" ca="1" si="100"/>
        <v>45.180675081277478</v>
      </c>
      <c r="BE41" s="394"/>
    </row>
    <row r="42" spans="1:57" x14ac:dyDescent="0.25">
      <c r="A42" s="70"/>
      <c r="B42" s="70"/>
      <c r="C42" s="70"/>
      <c r="D42" s="119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121"/>
      <c r="P42" s="369"/>
      <c r="Q42" s="122"/>
      <c r="R42" s="234"/>
      <c r="S42" s="122"/>
      <c r="T42" s="122"/>
      <c r="U42" s="119"/>
      <c r="V42" s="119"/>
      <c r="W42" s="119"/>
      <c r="X42" s="122"/>
      <c r="Y42" s="122"/>
      <c r="Z42" s="122"/>
      <c r="AA42" s="232"/>
      <c r="AB42" s="119"/>
      <c r="AC42" s="122"/>
      <c r="AD42" s="121"/>
      <c r="AF42" s="369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232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232"/>
      <c r="BC42" s="232"/>
      <c r="BD42" s="119"/>
      <c r="BE42" s="119"/>
    </row>
  </sheetData>
  <phoneticPr fontId="1" type="noConversion"/>
  <conditionalFormatting sqref="Q1:S1048576">
    <cfRule type="expression" dxfId="575" priority="271">
      <formula>Q1&gt;=7.5</formula>
    </cfRule>
    <cfRule type="expression" dxfId="574" priority="272">
      <formula>Q1&gt;=7</formula>
    </cfRule>
    <cfRule type="expression" dxfId="573" priority="273">
      <formula>Q1&gt;=6.5</formula>
    </cfRule>
    <cfRule type="expression" dxfId="572" priority="274">
      <formula>Q1&gt;=6</formula>
    </cfRule>
    <cfRule type="expression" dxfId="571" priority="275">
      <formula>Q1&gt;=5.5</formula>
    </cfRule>
    <cfRule type="expression" dxfId="570" priority="276">
      <formula>Q1&gt;=5</formula>
    </cfRule>
    <cfRule type="expression" dxfId="569" priority="277">
      <formula>Q1&gt;=4.5</formula>
    </cfRule>
    <cfRule type="expression" dxfId="568" priority="278">
      <formula>Q1&gt;=4</formula>
    </cfRule>
    <cfRule type="expression" dxfId="567" priority="279">
      <formula>Q1&gt;=3.5</formula>
    </cfRule>
    <cfRule type="expression" dxfId="566" priority="280">
      <formula>Q1&gt;=3</formula>
    </cfRule>
    <cfRule type="expression" dxfId="565" priority="281">
      <formula>Q1&gt;=2.5</formula>
    </cfRule>
    <cfRule type="expression" dxfId="564" priority="282">
      <formula>Q1&gt;=2</formula>
    </cfRule>
    <cfRule type="expression" dxfId="563" priority="283">
      <formula>Q1&gt;=1.5</formula>
    </cfRule>
    <cfRule type="expression" dxfId="562" priority="284">
      <formula>Q1&gt;=0</formula>
    </cfRule>
  </conditionalFormatting>
  <conditionalFormatting sqref="T1:T1048576">
    <cfRule type="expression" dxfId="561" priority="254">
      <formula>U1&gt;=187.5</formula>
    </cfRule>
    <cfRule type="expression" dxfId="560" priority="255">
      <formula>U1&gt;=175</formula>
    </cfRule>
    <cfRule type="expression" dxfId="559" priority="256">
      <formula>U1&gt;=162.5</formula>
    </cfRule>
    <cfRule type="expression" dxfId="558" priority="257">
      <formula>U1&gt;=150</formula>
    </cfRule>
    <cfRule type="expression" dxfId="557" priority="258">
      <formula>U1&gt;=137.5</formula>
    </cfRule>
    <cfRule type="expression" dxfId="556" priority="259">
      <formula>U1&gt;=125</formula>
    </cfRule>
    <cfRule type="expression" dxfId="555" priority="260">
      <formula>U1&gt;=112.5</formula>
    </cfRule>
    <cfRule type="expression" dxfId="554" priority="261">
      <formula>U1&gt;=100</formula>
    </cfRule>
    <cfRule type="expression" dxfId="553" priority="262">
      <formula>U1&gt;=87.5</formula>
    </cfRule>
    <cfRule type="expression" dxfId="552" priority="263">
      <formula>U1&gt;=75</formula>
    </cfRule>
    <cfRule type="expression" dxfId="551" priority="264">
      <formula>U1&gt;=62.5</formula>
    </cfRule>
    <cfRule type="expression" dxfId="550" priority="265">
      <formula>U1&gt;=50</formula>
    </cfRule>
    <cfRule type="expression" dxfId="549" priority="266">
      <formula>U1&gt;=37.5</formula>
    </cfRule>
    <cfRule type="expression" dxfId="548" priority="267">
      <formula>U1&gt;=0</formula>
    </cfRule>
  </conditionalFormatting>
  <conditionalFormatting sqref="U1:U1048576">
    <cfRule type="expression" dxfId="547" priority="240">
      <formula>U1&gt;=187.5</formula>
    </cfRule>
    <cfRule type="expression" dxfId="546" priority="241">
      <formula>U1&gt;=175</formula>
    </cfRule>
    <cfRule type="expression" dxfId="545" priority="242">
      <formula>U1&gt;=162.5</formula>
    </cfRule>
    <cfRule type="expression" dxfId="544" priority="243">
      <formula>U1&gt;=150</formula>
    </cfRule>
    <cfRule type="expression" dxfId="543" priority="244">
      <formula>U1&gt;=137.5</formula>
    </cfRule>
    <cfRule type="expression" dxfId="542" priority="245">
      <formula>U1&gt;=125</formula>
    </cfRule>
    <cfRule type="expression" dxfId="541" priority="246">
      <formula>U1&gt;=112.5</formula>
    </cfRule>
    <cfRule type="expression" dxfId="540" priority="247">
      <formula>U1&gt;=100</formula>
    </cfRule>
    <cfRule type="expression" dxfId="539" priority="248">
      <formula>U1&gt;=87.5</formula>
    </cfRule>
    <cfRule type="expression" dxfId="538" priority="249">
      <formula>U1&gt;=75</formula>
    </cfRule>
    <cfRule type="expression" dxfId="537" priority="250">
      <formula>U1&gt;=62.5</formula>
    </cfRule>
    <cfRule type="expression" dxfId="536" priority="251">
      <formula>U1&gt;=50</formula>
    </cfRule>
    <cfRule type="expression" dxfId="535" priority="252">
      <formula>U1&gt;=37.5</formula>
    </cfRule>
    <cfRule type="expression" dxfId="534" priority="253">
      <formula>U1&gt;=0</formula>
    </cfRule>
  </conditionalFormatting>
  <conditionalFormatting sqref="AB1:AB1048576">
    <cfRule type="expression" dxfId="533" priority="212">
      <formula>AB1&gt;=7.5*3</formula>
    </cfRule>
    <cfRule type="expression" dxfId="532" priority="213">
      <formula>AB1&gt;=7*3</formula>
    </cfRule>
    <cfRule type="expression" dxfId="531" priority="214">
      <formula>AB1&gt;=6.5*3</formula>
    </cfRule>
    <cfRule type="expression" dxfId="530" priority="215">
      <formula>AB1&gt;=6*3</formula>
    </cfRule>
    <cfRule type="expression" dxfId="529" priority="216">
      <formula>AB1&gt;=5.5*3</formula>
    </cfRule>
    <cfRule type="expression" dxfId="528" priority="217">
      <formula>AB1&gt;=5*3</formula>
    </cfRule>
    <cfRule type="expression" dxfId="527" priority="218">
      <formula>AB1&gt;=4.5*3</formula>
    </cfRule>
    <cfRule type="expression" dxfId="526" priority="219">
      <formula>AB1&gt;=4*3</formula>
    </cfRule>
    <cfRule type="expression" dxfId="525" priority="220">
      <formula>AB1&gt;=3.5*3</formula>
    </cfRule>
    <cfRule type="expression" dxfId="524" priority="221">
      <formula>AB1&gt;=3*3</formula>
    </cfRule>
    <cfRule type="expression" dxfId="523" priority="222">
      <formula>AB1&gt;=2.5*3</formula>
    </cfRule>
    <cfRule type="expression" dxfId="522" priority="223">
      <formula>AB1&gt;=2*3</formula>
    </cfRule>
    <cfRule type="expression" dxfId="521" priority="224">
      <formula>AB1&gt;=1.5*3</formula>
    </cfRule>
    <cfRule type="expression" dxfId="520" priority="225">
      <formula>AB1&gt;=0</formula>
    </cfRule>
  </conditionalFormatting>
  <conditionalFormatting sqref="X1:Z1048576">
    <cfRule type="expression" dxfId="519" priority="198">
      <formula>X1&gt;=31/32</formula>
    </cfRule>
    <cfRule type="expression" dxfId="518" priority="199">
      <formula>X1&gt;=30/32</formula>
    </cfRule>
    <cfRule type="expression" dxfId="517" priority="200">
      <formula>X1&gt;=29/32</formula>
    </cfRule>
    <cfRule type="expression" dxfId="516" priority="201">
      <formula>X1&gt;=28/32</formula>
    </cfRule>
    <cfRule type="expression" dxfId="515" priority="202">
      <formula>X1&gt;=27/32</formula>
    </cfRule>
    <cfRule type="expression" dxfId="514" priority="203">
      <formula>X1&gt;=26/32</formula>
    </cfRule>
    <cfRule type="expression" dxfId="513" priority="204">
      <formula>X1&gt;=25/32</formula>
    </cfRule>
    <cfRule type="expression" dxfId="512" priority="205">
      <formula>X1&gt;=24/32</formula>
    </cfRule>
    <cfRule type="expression" dxfId="511" priority="206">
      <formula>X1&gt;=23/32</formula>
    </cfRule>
    <cfRule type="expression" dxfId="510" priority="207">
      <formula>X1&gt;=22/32</formula>
    </cfRule>
    <cfRule type="expression" dxfId="509" priority="208">
      <formula>X1&gt;=21/32</formula>
    </cfRule>
    <cfRule type="expression" dxfId="508" priority="209">
      <formula>X1&gt;=20/32</formula>
    </cfRule>
    <cfRule type="expression" dxfId="507" priority="210">
      <formula>X1&gt;=19/32</formula>
    </cfRule>
    <cfRule type="expression" dxfId="506" priority="211">
      <formula>X1&gt;=0</formula>
    </cfRule>
  </conditionalFormatting>
  <conditionalFormatting sqref="P1:P1048576">
    <cfRule type="expression" dxfId="505" priority="142">
      <formula>P1&lt;IF(D1="BEG",18,IF(D1="INT",70,200))/7.5</formula>
    </cfRule>
    <cfRule type="expression" dxfId="504" priority="143">
      <formula>P1&lt;IF(D1="BEG",18,IF(D1="INT",70,200))/7</formula>
    </cfRule>
    <cfRule type="expression" dxfId="503" priority="144">
      <formula>P1&lt;IF(D1="BEG",18,IF(D1="INT",70,200))/6.5</formula>
    </cfRule>
    <cfRule type="expression" dxfId="502" priority="145">
      <formula>P1&lt;IF(D1="BEG",18,IF(D1="INT",70,200))/6</formula>
    </cfRule>
    <cfRule type="expression" dxfId="501" priority="146">
      <formula>P1&lt;IF(D1="BEG",18,IF(D1="INT",70,200))/5.5</formula>
    </cfRule>
    <cfRule type="expression" dxfId="500" priority="147">
      <formula>P1&lt;IF(D1="BEG",18,IF(D1="INT",70,200))/5</formula>
    </cfRule>
    <cfRule type="expression" dxfId="499" priority="148">
      <formula>P1&lt;IF(D1="BEG",18,IF(D1="INT",70,200))/4.5</formula>
    </cfRule>
    <cfRule type="expression" dxfId="498" priority="149">
      <formula>P1&lt;IF(D1="BEG",18,IF(D1="INT",70,200))/4</formula>
    </cfRule>
    <cfRule type="expression" dxfId="497" priority="150">
      <formula>P1&lt;IF(D1="BEG",18,IF(D1="INT",70,200))/3.5</formula>
    </cfRule>
    <cfRule type="expression" dxfId="496" priority="151">
      <formula>P1&lt;IF(D1="BEG",18,IF(D1="INT",70,200))/3</formula>
    </cfRule>
    <cfRule type="expression" dxfId="495" priority="152">
      <formula>P1&lt;IF(D1="BEG",18,IF(D1="INT",70,200))/2.5</formula>
    </cfRule>
    <cfRule type="expression" dxfId="494" priority="153">
      <formula>P1&lt;IF(D1="BEG",18,IF(D1="INT",70,200))/2</formula>
    </cfRule>
    <cfRule type="expression" dxfId="493" priority="154">
      <formula>P1&lt;IF(D1="BEG",18,IF(D1="INT",70,200))/1.5</formula>
    </cfRule>
    <cfRule type="expression" dxfId="492" priority="155">
      <formula>P1&gt;=0</formula>
    </cfRule>
  </conditionalFormatting>
  <conditionalFormatting sqref="AF32:AF41">
    <cfRule type="dataBar" priority="795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{316859FD-F6F7-4F4A-8E49-76CAD3006A82}</x14:id>
        </ext>
      </extLst>
    </cfRule>
  </conditionalFormatting>
  <conditionalFormatting sqref="BD32:BD41">
    <cfRule type="dataBar" priority="795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{4DB063D2-1A98-457A-BDE2-20FEA305F7FF}</x14:id>
        </ext>
      </extLst>
    </cfRule>
  </conditionalFormatting>
  <conditionalFormatting sqref="BC32:BC41">
    <cfRule type="dataBar" priority="795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{41058EAB-81A4-4218-BC01-FBFB4FDAB5C0}</x14:id>
        </ext>
      </extLst>
    </cfRule>
  </conditionalFormatting>
  <conditionalFormatting sqref="AF22:AF31">
    <cfRule type="dataBar" priority="798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{53BA3116-9797-49AB-9BA6-19EE51E59036}</x14:id>
        </ext>
      </extLst>
    </cfRule>
  </conditionalFormatting>
  <conditionalFormatting sqref="BD22:BD31">
    <cfRule type="dataBar" priority="798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{3D2B531D-1E6D-4D23-8EB2-3C39FFF947E8}</x14:id>
        </ext>
      </extLst>
    </cfRule>
  </conditionalFormatting>
  <conditionalFormatting sqref="BE22:BE31">
    <cfRule type="dataBar" priority="798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{CDACDB43-B61B-4CC3-AC30-061D1B07FF7E}</x14:id>
        </ext>
      </extLst>
    </cfRule>
  </conditionalFormatting>
  <conditionalFormatting sqref="BC22:BC31">
    <cfRule type="dataBar" priority="798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{A770B8C9-9CE7-4051-AADF-C2E3AE68C6D5}</x14:id>
        </ext>
      </extLst>
    </cfRule>
  </conditionalFormatting>
  <conditionalFormatting sqref="AF12:AF21">
    <cfRule type="dataBar" priority="80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{DFCAE59D-2A72-438E-A668-2571BB19ADEE}</x14:id>
        </ext>
      </extLst>
    </cfRule>
  </conditionalFormatting>
  <conditionalFormatting sqref="BD12:BD21">
    <cfRule type="dataBar" priority="80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{C40941A3-D739-499B-B65D-E681D65D13EE}</x14:id>
        </ext>
      </extLst>
    </cfRule>
  </conditionalFormatting>
  <conditionalFormatting sqref="BE12:BE21">
    <cfRule type="dataBar" priority="80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{3A350A9E-3686-4796-A88E-471C470F1443}</x14:id>
        </ext>
      </extLst>
    </cfRule>
  </conditionalFormatting>
  <conditionalFormatting sqref="BC12:BC21">
    <cfRule type="dataBar" priority="80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{DC45E0F3-5C92-4CA9-829A-00114D7D6144}</x14:id>
        </ext>
      </extLst>
    </cfRule>
  </conditionalFormatting>
  <conditionalFormatting sqref="AF2:AF11">
    <cfRule type="dataBar" priority="80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{35F46C40-0918-47DA-962A-3B35B29C6B94}</x14:id>
        </ext>
      </extLst>
    </cfRule>
  </conditionalFormatting>
  <conditionalFormatting sqref="BD2:BD11">
    <cfRule type="dataBar" priority="80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{B8F61851-A8FF-4281-A37C-D6D6F1234328}</x14:id>
        </ext>
      </extLst>
    </cfRule>
  </conditionalFormatting>
  <conditionalFormatting sqref="BE2:BE11">
    <cfRule type="dataBar" priority="80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{D696F5FF-DE8B-43D6-9C8C-614D93274E08}</x14:id>
        </ext>
      </extLst>
    </cfRule>
  </conditionalFormatting>
  <conditionalFormatting sqref="BC2:BC11">
    <cfRule type="dataBar" priority="80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{B6536F72-EA4E-4452-AF80-A35BAD196D4B}</x14:id>
        </ext>
      </extLst>
    </cfRule>
  </conditionalFormatting>
  <conditionalFormatting sqref="AD1:AD1048576">
    <cfRule type="expression" dxfId="491" priority="29">
      <formula>AD1&gt;=168.75</formula>
    </cfRule>
    <cfRule type="expression" dxfId="490" priority="30">
      <formula>AD1&gt;=147</formula>
    </cfRule>
    <cfRule type="expression" dxfId="489" priority="31">
      <formula>AD1&gt;=126.75</formula>
    </cfRule>
    <cfRule type="expression" dxfId="488" priority="32">
      <formula>AD1&gt;=108</formula>
    </cfRule>
    <cfRule type="expression" dxfId="487" priority="33">
      <formula>AD1&gt;=90.75</formula>
    </cfRule>
    <cfRule type="expression" dxfId="486" priority="34">
      <formula>AD1&gt;=75</formula>
    </cfRule>
    <cfRule type="expression" dxfId="485" priority="35">
      <formula>AD1&gt;=60.75</formula>
    </cfRule>
    <cfRule type="expression" dxfId="484" priority="36">
      <formula>AD1&gt;=48</formula>
    </cfRule>
    <cfRule type="expression" dxfId="483" priority="37">
      <formula>AD1&gt;=36.75</formula>
    </cfRule>
    <cfRule type="expression" dxfId="482" priority="38">
      <formula>AD1&gt;=27</formula>
    </cfRule>
    <cfRule type="expression" dxfId="481" priority="39">
      <formula>AD1&gt;=18.75</formula>
    </cfRule>
    <cfRule type="expression" dxfId="480" priority="40">
      <formula>AD1&gt;=12</formula>
    </cfRule>
    <cfRule type="expression" dxfId="479" priority="41">
      <formula>AD1&gt;=6.75</formula>
    </cfRule>
    <cfRule type="expression" dxfId="478" priority="42">
      <formula>AD1&gt;=0</formula>
    </cfRule>
  </conditionalFormatting>
  <conditionalFormatting sqref="AC1:AC1048576">
    <cfRule type="expression" dxfId="477" priority="15">
      <formula>AC1&gt;=31/80</formula>
    </cfRule>
    <cfRule type="expression" dxfId="476" priority="16">
      <formula>AC1&gt;=30/80</formula>
    </cfRule>
    <cfRule type="expression" dxfId="475" priority="17">
      <formula>AC1&gt;=29/80</formula>
    </cfRule>
    <cfRule type="expression" dxfId="474" priority="18">
      <formula>AC1&gt;=28/80</formula>
    </cfRule>
    <cfRule type="expression" dxfId="473" priority="19">
      <formula>AC1&gt;=27/80</formula>
    </cfRule>
    <cfRule type="expression" dxfId="472" priority="20">
      <formula>AC1&gt;=26/80</formula>
    </cfRule>
    <cfRule type="expression" dxfId="471" priority="21">
      <formula>AC1&gt;=25/80</formula>
    </cfRule>
    <cfRule type="expression" dxfId="470" priority="22">
      <formula>AC1&gt;=24/80</formula>
    </cfRule>
    <cfRule type="expression" dxfId="469" priority="23">
      <formula>AC1&gt;=23/80</formula>
    </cfRule>
    <cfRule type="expression" dxfId="468" priority="24">
      <formula>AC1&gt;=22/80</formula>
    </cfRule>
    <cfRule type="expression" dxfId="467" priority="25">
      <formula>AC1&gt;=21/80</formula>
    </cfRule>
    <cfRule type="expression" dxfId="466" priority="26">
      <formula>AC1&gt;=20/80</formula>
    </cfRule>
    <cfRule type="expression" dxfId="465" priority="27">
      <formula>AC1&gt;=19/80</formula>
    </cfRule>
    <cfRule type="expression" dxfId="464" priority="28">
      <formula>AC1&gt;=0</formula>
    </cfRule>
  </conditionalFormatting>
  <conditionalFormatting sqref="AG1:AP1048576">
    <cfRule type="cellIs" dxfId="463" priority="5" operator="greaterThan">
      <formula>19</formula>
    </cfRule>
    <cfRule type="cellIs" dxfId="462" priority="6" operator="greaterThan">
      <formula>9</formula>
    </cfRule>
    <cfRule type="cellIs" dxfId="461" priority="7" operator="greaterThan">
      <formula>4</formula>
    </cfRule>
    <cfRule type="cellIs" dxfId="460" priority="8" operator="greaterThan">
      <formula>0</formula>
    </cfRule>
  </conditionalFormatting>
  <conditionalFormatting sqref="AR1:BA1048576">
    <cfRule type="cellIs" dxfId="459" priority="1" operator="greaterThan">
      <formula>19</formula>
    </cfRule>
    <cfRule type="cellIs" dxfId="458" priority="2" operator="greaterThan">
      <formula>9</formula>
    </cfRule>
    <cfRule type="cellIs" dxfId="457" priority="3" operator="greaterThan">
      <formula>4</formula>
    </cfRule>
    <cfRule type="cellIs" dxfId="456" priority="4" operator="greater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6859FD-F6F7-4F4A-8E49-76CAD3006A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AF32:AF41</xm:sqref>
        </x14:conditionalFormatting>
        <x14:conditionalFormatting xmlns:xm="http://schemas.microsoft.com/office/excel/2006/main">
          <x14:cfRule type="dataBar" id="{4DB063D2-1A98-457A-BDE2-20FEA305F7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BD32:BD41</xm:sqref>
        </x14:conditionalFormatting>
        <x14:conditionalFormatting xmlns:xm="http://schemas.microsoft.com/office/excel/2006/main">
          <x14:cfRule type="dataBar" id="{41058EAB-81A4-4218-BC01-FBFB4FDAB5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BC32:BC41</xm:sqref>
        </x14:conditionalFormatting>
        <x14:conditionalFormatting xmlns:xm="http://schemas.microsoft.com/office/excel/2006/main">
          <x14:cfRule type="dataBar" id="{53BA3116-9797-49AB-9BA6-19EE51E59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AF22:AF31</xm:sqref>
        </x14:conditionalFormatting>
        <x14:conditionalFormatting xmlns:xm="http://schemas.microsoft.com/office/excel/2006/main">
          <x14:cfRule type="dataBar" id="{3D2B531D-1E6D-4D23-8EB2-3C39FFF947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BD22:BD31</xm:sqref>
        </x14:conditionalFormatting>
        <x14:conditionalFormatting xmlns:xm="http://schemas.microsoft.com/office/excel/2006/main">
          <x14:cfRule type="dataBar" id="{CDACDB43-B61B-4CC3-AC30-061D1B07FF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BE22:BE31</xm:sqref>
        </x14:conditionalFormatting>
        <x14:conditionalFormatting xmlns:xm="http://schemas.microsoft.com/office/excel/2006/main">
          <x14:cfRule type="dataBar" id="{A770B8C9-9CE7-4051-AADF-C2E3AE68C6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BC22:BC31</xm:sqref>
        </x14:conditionalFormatting>
        <x14:conditionalFormatting xmlns:xm="http://schemas.microsoft.com/office/excel/2006/main">
          <x14:cfRule type="dataBar" id="{DFCAE59D-2A72-438E-A668-2571BB19AD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AF12:AF21</xm:sqref>
        </x14:conditionalFormatting>
        <x14:conditionalFormatting xmlns:xm="http://schemas.microsoft.com/office/excel/2006/main">
          <x14:cfRule type="dataBar" id="{C40941A3-D739-499B-B65D-E681D65D13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BD12:BD21</xm:sqref>
        </x14:conditionalFormatting>
        <x14:conditionalFormatting xmlns:xm="http://schemas.microsoft.com/office/excel/2006/main">
          <x14:cfRule type="dataBar" id="{3A350A9E-3686-4796-A88E-471C470F14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BE12:BE21</xm:sqref>
        </x14:conditionalFormatting>
        <x14:conditionalFormatting xmlns:xm="http://schemas.microsoft.com/office/excel/2006/main">
          <x14:cfRule type="dataBar" id="{DC45E0F3-5C92-4CA9-829A-00114D7D61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BC12:BC21</xm:sqref>
        </x14:conditionalFormatting>
        <x14:conditionalFormatting xmlns:xm="http://schemas.microsoft.com/office/excel/2006/main">
          <x14:cfRule type="dataBar" id="{35F46C40-0918-47DA-962A-3B35B29C6B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AF2:AF11</xm:sqref>
        </x14:conditionalFormatting>
        <x14:conditionalFormatting xmlns:xm="http://schemas.microsoft.com/office/excel/2006/main">
          <x14:cfRule type="dataBar" id="{B8F61851-A8FF-4281-A37C-D6D6F12343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BD2:BD11</xm:sqref>
        </x14:conditionalFormatting>
        <x14:conditionalFormatting xmlns:xm="http://schemas.microsoft.com/office/excel/2006/main">
          <x14:cfRule type="dataBar" id="{D696F5FF-DE8B-43D6-9C8C-614D93274E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BE2:BE11</xm:sqref>
        </x14:conditionalFormatting>
        <x14:conditionalFormatting xmlns:xm="http://schemas.microsoft.com/office/excel/2006/main">
          <x14:cfRule type="dataBar" id="{B6536F72-EA4E-4452-AF80-A35BAD196D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BC2:BC11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E92B32"/>
  </sheetPr>
  <dimension ref="A1:BC42"/>
  <sheetViews>
    <sheetView workbookViewId="0">
      <pane xSplit="2" ySplit="1" topLeftCell="C18" activePane="bottomRight" state="frozen"/>
      <selection pane="topRight" activeCell="E1" sqref="E1"/>
      <selection pane="bottomLeft" activeCell="A2" sqref="A2"/>
      <selection pane="bottomRight"/>
    </sheetView>
  </sheetViews>
  <sheetFormatPr defaultColWidth="9" defaultRowHeight="13.2" x14ac:dyDescent="0.25"/>
  <cols>
    <col min="1" max="1" width="5.5546875" style="11" bestFit="1" customWidth="1"/>
    <col min="2" max="2" width="5.33203125" style="34" hidden="1" customWidth="1"/>
    <col min="3" max="3" width="5.33203125" style="11" bestFit="1" customWidth="1"/>
    <col min="4" max="4" width="7.5546875" style="11" hidden="1" customWidth="1"/>
    <col min="5" max="5" width="9.5546875" style="11" hidden="1" customWidth="1"/>
    <col min="6" max="6" width="8.5546875" style="11" hidden="1" customWidth="1"/>
    <col min="7" max="7" width="7.5546875" style="11" hidden="1" customWidth="1"/>
    <col min="8" max="8" width="6.5546875" style="11" hidden="1" customWidth="1"/>
    <col min="9" max="9" width="7.5546875" style="11" hidden="1" customWidth="1"/>
    <col min="10" max="10" width="6.5546875" style="11" hidden="1" customWidth="1"/>
    <col min="11" max="11" width="5.5546875" style="11" hidden="1" customWidth="1"/>
    <col min="12" max="12" width="7.5546875" style="11" hidden="1" customWidth="1"/>
    <col min="13" max="13" width="6.6640625" style="21" bestFit="1" customWidth="1"/>
    <col min="14" max="14" width="6.77734375" style="12" bestFit="1" customWidth="1"/>
    <col min="15" max="15" width="6.6640625" style="33" bestFit="1" customWidth="1"/>
    <col min="16" max="16" width="6.77734375" style="20" bestFit="1" customWidth="1"/>
    <col min="17" max="17" width="6.6640625" style="33" bestFit="1" customWidth="1"/>
    <col min="18" max="18" width="7.6640625" style="33" hidden="1" customWidth="1"/>
    <col min="19" max="21" width="6.6640625" style="34" bestFit="1" customWidth="1"/>
    <col min="22" max="24" width="6.6640625" style="33" bestFit="1" customWidth="1"/>
    <col min="25" max="25" width="5.21875" style="35" bestFit="1" customWidth="1"/>
    <col min="26" max="26" width="5.6640625" style="34" bestFit="1" customWidth="1"/>
    <col min="27" max="27" width="6.6640625" style="33" bestFit="1" customWidth="1"/>
    <col min="28" max="28" width="5.6640625" style="21" bestFit="1" customWidth="1"/>
    <col min="29" max="29" width="5.5546875" style="470" bestFit="1" customWidth="1"/>
    <col min="30" max="30" width="9" style="12" bestFit="1" customWidth="1"/>
    <col min="31" max="40" width="3.77734375" style="353" customWidth="1"/>
    <col min="41" max="41" width="6.109375" style="35" bestFit="1" customWidth="1"/>
    <col min="42" max="46" width="4.77734375" style="353" customWidth="1"/>
    <col min="47" max="51" width="5" style="510" bestFit="1" customWidth="1"/>
    <col min="52" max="53" width="6.109375" style="35" bestFit="1" customWidth="1"/>
    <col min="54" max="55" width="9" style="34" bestFit="1" customWidth="1"/>
    <col min="56" max="16384" width="9" style="19"/>
  </cols>
  <sheetData>
    <row r="1" spans="1:55" x14ac:dyDescent="0.25">
      <c r="A1" s="22" t="str">
        <f>Mon!A1</f>
        <v>年</v>
      </c>
      <c r="B1" s="23" t="str">
        <f>Mon!C1</f>
        <v>级别</v>
      </c>
      <c r="C1" s="24" t="str">
        <f>Mon!D1</f>
        <v>局数</v>
      </c>
      <c r="D1" s="24" t="s">
        <v>424</v>
      </c>
      <c r="E1" s="24" t="s">
        <v>425</v>
      </c>
      <c r="F1" s="24" t="s">
        <v>426</v>
      </c>
      <c r="G1" s="24" t="s">
        <v>427</v>
      </c>
      <c r="H1" s="24" t="s">
        <v>428</v>
      </c>
      <c r="I1" s="24" t="s">
        <v>429</v>
      </c>
      <c r="J1" s="24" t="s">
        <v>431</v>
      </c>
      <c r="K1" s="24" t="s">
        <v>432</v>
      </c>
      <c r="L1" s="22" t="s">
        <v>430</v>
      </c>
      <c r="M1" s="25" t="s">
        <v>288</v>
      </c>
      <c r="N1" s="26" t="s">
        <v>6</v>
      </c>
      <c r="O1" s="27" t="s">
        <v>2</v>
      </c>
      <c r="P1" s="28" t="s">
        <v>34</v>
      </c>
      <c r="Q1" s="27" t="s">
        <v>33</v>
      </c>
      <c r="R1" s="27" t="s">
        <v>0</v>
      </c>
      <c r="S1" s="23" t="s">
        <v>289</v>
      </c>
      <c r="T1" s="38" t="s">
        <v>446</v>
      </c>
      <c r="U1" s="38" t="s">
        <v>447</v>
      </c>
      <c r="V1" s="27" t="s">
        <v>4</v>
      </c>
      <c r="W1" s="27" t="s">
        <v>5</v>
      </c>
      <c r="X1" s="27" t="str">
        <f>Mon!Y1</f>
        <v>IOE</v>
      </c>
      <c r="Y1" s="29" t="s">
        <v>8</v>
      </c>
      <c r="Z1" s="23" t="str">
        <f>Mon!AA1</f>
        <v>移速</v>
      </c>
      <c r="AA1" s="27" t="str">
        <f>Mon!AB1</f>
        <v>IOME</v>
      </c>
      <c r="AB1" s="25" t="str">
        <f>Mon!AC1</f>
        <v>风骚</v>
      </c>
      <c r="AC1" s="471" t="str">
        <f>Mon!AD1</f>
        <v>天数</v>
      </c>
      <c r="AD1" s="14" t="str">
        <f>Mon!AE1</f>
        <v>局/天</v>
      </c>
      <c r="AE1" s="351" t="s">
        <v>76</v>
      </c>
      <c r="AF1" s="351" t="s">
        <v>77</v>
      </c>
      <c r="AG1" s="351" t="s">
        <v>78</v>
      </c>
      <c r="AH1" s="351" t="s">
        <v>79</v>
      </c>
      <c r="AI1" s="351" t="s">
        <v>96</v>
      </c>
      <c r="AJ1" s="351" t="s">
        <v>71</v>
      </c>
      <c r="AK1" s="351" t="s">
        <v>97</v>
      </c>
      <c r="AL1" s="351" t="s">
        <v>98</v>
      </c>
      <c r="AM1" s="351" t="s">
        <v>99</v>
      </c>
      <c r="AN1" s="351" t="s">
        <v>100</v>
      </c>
      <c r="AO1" s="30" t="str">
        <f>Mon!AP1</f>
        <v>价值</v>
      </c>
      <c r="AP1" s="351" t="s">
        <v>568</v>
      </c>
      <c r="AQ1" s="351" t="s">
        <v>569</v>
      </c>
      <c r="AR1" s="511" t="s">
        <v>558</v>
      </c>
      <c r="AS1" s="511" t="s">
        <v>559</v>
      </c>
      <c r="AT1" s="511" t="s">
        <v>560</v>
      </c>
      <c r="AU1" s="511" t="s">
        <v>561</v>
      </c>
      <c r="AV1" s="511" t="s">
        <v>562</v>
      </c>
      <c r="AW1" s="511" t="s">
        <v>563</v>
      </c>
      <c r="AX1" s="511" t="s">
        <v>564</v>
      </c>
      <c r="AY1" s="511" t="s">
        <v>565</v>
      </c>
      <c r="AZ1" s="30" t="str">
        <f>Mon!BA1</f>
        <v>价值</v>
      </c>
      <c r="BA1" s="30" t="str">
        <f>Mon!BB1</f>
        <v>表现</v>
      </c>
      <c r="BB1" s="38" t="str">
        <f>Mon!BC1</f>
        <v>表现/天</v>
      </c>
      <c r="BC1" s="38" t="str">
        <f>Mon!BD1</f>
        <v>表现/局</v>
      </c>
    </row>
    <row r="2" spans="1:55" x14ac:dyDescent="0.25">
      <c r="A2" s="549">
        <f t="shared" ref="A2:A9" si="0">A3-1</f>
        <v>2011</v>
      </c>
      <c r="B2" s="558" t="s">
        <v>38</v>
      </c>
      <c r="C2" s="544">
        <f ca="1">COUNTIFS(OFFSET(Arb!$C$2,,,Arb!$AJ$36,),$A2,OFFSET(Arb!$AI$2,,,Arb!$AJ$36,),TRUE)</f>
        <v>0</v>
      </c>
      <c r="D2" s="544">
        <f ca="1">SUMIFS(OFFSET(Arb!$I$2,,,Arb!$AJ$36,),OFFSET(Arb!$C$2,,,Arb!$AJ$36,),$A2,OFFSET(Arb!$AI$2,,,Arb!$AJ$36,),TRUE)</f>
        <v>0</v>
      </c>
      <c r="E2" s="544">
        <f ca="1">SUMIFS(OFFSET(Arb!$H$2,,,Arb!$AJ$36,),OFFSET(Arb!$C$2,,,Arb!$AJ$36,),$A2,OFFSET(Arb!$AI$2,,,Arb!$AJ$36,),TRUE)</f>
        <v>0</v>
      </c>
      <c r="F2" s="544">
        <f ca="1">SUMIFS(OFFSET(Arb!$AC$2,,,Arb!$AJ$36,),OFFSET(Arb!$C$2,,,Arb!$AJ$36,),$A2,OFFSET(Arb!$AI$2,,,Arb!$AJ$36,),TRUE)</f>
        <v>0</v>
      </c>
      <c r="G2" s="544">
        <f ca="1">SUMIFS(OFFSET(Arb!$U$2,,,Arb!$AJ$36,),OFFSET(Arb!$C$2,,,Arb!$AJ$36,),$A2,OFFSET(Arb!$AI$2,,,Arb!$AJ$36,),TRUE)</f>
        <v>0</v>
      </c>
      <c r="H2" s="544">
        <f ca="1">SUMIFS(OFFSET(Arb!$V$2,,,Arb!$AJ$36,),OFFSET(Arb!$C$2,,,Arb!$AJ$36,),$A2,OFFSET(Arb!$AI$2,,,Arb!$AJ$36,),TRUE)</f>
        <v>0</v>
      </c>
      <c r="I2" s="544">
        <f ca="1">SUMIFS(OFFSET(Arb!$X$2,,,Arb!$AJ$36,),OFFSET(Arb!$C$2,,,Arb!$AJ$36,),$A2,OFFSET(Arb!$AI$2,,,Arb!$AJ$36,),TRUE)</f>
        <v>0</v>
      </c>
      <c r="J2" s="544">
        <f ca="1">SUMIFS(OFFSET(Arb!$AA$2,,,Arb!$AJ$36,),OFFSET(Arb!$C$2,,,Arb!$AJ$36,),$A2,OFFSET(Arb!$AI$2,,,Arb!$AJ$36,),TRUE)</f>
        <v>0</v>
      </c>
      <c r="K2" s="544">
        <f ca="1">SUMIFS(OFFSET(Arb!$AB$2,,,Arb!$AJ$36,),OFFSET(Arb!$C$2,,,Arb!$AJ$36,),$A2,OFFSET(Arb!$AI$2,,,Arb!$AJ$36,),TRUE)</f>
        <v>0</v>
      </c>
      <c r="L2" s="544">
        <f t="shared" ref="L2" ca="1" si="1">G2+H2</f>
        <v>0</v>
      </c>
      <c r="M2" s="546" t="str">
        <f t="shared" ref="M2" ca="1" si="2">IFERROR(D2/C2,"")</f>
        <v/>
      </c>
      <c r="N2" s="12" t="str">
        <f t="shared" ref="N2" ca="1" si="3">IFERROR(E2/C2,"")</f>
        <v/>
      </c>
      <c r="O2" s="33" t="str">
        <f t="shared" ref="O2" ca="1" si="4">IFERROR(M2/N2,"")</f>
        <v/>
      </c>
      <c r="P2" s="20" t="str">
        <f t="shared" ref="P2" ca="1" si="5">IFERROR(I2/E2,"")</f>
        <v/>
      </c>
      <c r="Q2" s="33" t="str">
        <f t="shared" ref="Q2" ca="1" si="6">IFERROR(L2/E2,"")</f>
        <v/>
      </c>
      <c r="R2" s="33" t="str">
        <f t="shared" ref="R2" ca="1" si="7">IFERROR(N2^1.7/M2,"")</f>
        <v/>
      </c>
      <c r="S2" s="34" t="str">
        <f t="shared" ref="S2" ca="1" si="8">IFERROR((IF(B2="beg",47.299,0)+IF(B2="int",153.73,0)+IF(B2="exp",435.001,0))/R2,"")</f>
        <v/>
      </c>
      <c r="T2" s="34" t="str">
        <f t="shared" ref="T2" ca="1" si="9">IFERROR(J2/C2,"")</f>
        <v/>
      </c>
      <c r="U2" s="34" t="str">
        <f t="shared" ref="U2" ca="1" si="10">IFERROR(K2/C2,"")</f>
        <v/>
      </c>
      <c r="V2" s="33" t="str">
        <f t="shared" ref="V2" ca="1" si="11">IFERROR(P2/Q2,"")</f>
        <v/>
      </c>
      <c r="W2" s="33" t="str">
        <f t="shared" ref="W2" ca="1" si="12">IFERROR(O2/P2,"")</f>
        <v/>
      </c>
      <c r="X2" s="33" t="str">
        <f t="shared" ref="X2" ca="1" si="13">IFERROR(D2/L2,"")</f>
        <v/>
      </c>
      <c r="Y2" s="550" t="str">
        <f t="shared" ref="Y2" ca="1" si="14">IFERROR(F2/C2/16,"")</f>
        <v/>
      </c>
      <c r="Z2" s="34" t="str">
        <f t="shared" ref="Z2" ca="1" si="15">IFERROR(Y2/N2,"")</f>
        <v/>
      </c>
      <c r="AA2" s="33" t="str">
        <f t="shared" ref="AA2" ca="1" si="16">IFERROR(M2/Y2,"")</f>
        <v/>
      </c>
      <c r="AB2" s="21" t="str">
        <f t="shared" ref="AB2" ca="1" si="17">IFERROR(Z2*P2,"")</f>
        <v/>
      </c>
      <c r="AC2" s="547" t="e">
        <f ca="1">SUM(OFFSET(Arb!AK$36,MATCH(A2,OFFSET(Arb!AK$36,,,23,),0)-1,1,1,12))</f>
        <v>#N/A</v>
      </c>
      <c r="AD2" s="12" t="e">
        <f t="shared" ref="AD2" ca="1" si="18">C2/AC2</f>
        <v>#N/A</v>
      </c>
      <c r="AE2" s="547">
        <f ca="1">COUNTIFS(BV!$H$2:$H$54,"&gt;=" &amp; DATE($A2,1,1),BV!$H$2:$H$54,"&lt;" &amp; DATE($A2+1,1,1))</f>
        <v>0</v>
      </c>
      <c r="AF2" s="547">
        <f ca="1">COUNTIFS(BV!$P$2:$P$54,"&gt;=" &amp; DATE($A2,1,1),BV!$P$2:$P$54,"&lt;" &amp; DATE($A2+1,1,1))</f>
        <v>0</v>
      </c>
      <c r="AG2" s="547">
        <f ca="1">COUNTIFS(BV!$X$2:$X$54,"&gt;=" &amp; DATE($A2,1,1),BV!$X$2:$X$54,"&lt;" &amp; DATE($A2+1,1,1))</f>
        <v>0</v>
      </c>
      <c r="AH2" s="547">
        <f ca="1">COUNTIFS(BV!$AF$2:$AF$54,"&gt;=" &amp; DATE($A2,1,1),BV!$AF$2:$AF$54,"&lt;" &amp; DATE($A2+1,1,1))</f>
        <v>0</v>
      </c>
      <c r="AI2" s="547">
        <f ca="1">COUNTIFS(BV!$AN$2:$AN$54,"&gt;=" &amp; DATE($A2,1,1),BV!$AN$2:$AN$54,"&lt;" &amp; DATE($A2+1,1,1))</f>
        <v>0</v>
      </c>
      <c r="AJ2" s="547">
        <f ca="1">COUNTIFS(BV!$AV$2:$AV$54,"&gt;=" &amp; DATE($A2,1,1),BV!$AV$2:$AV$54,"&lt;" &amp; DATE($A2+1,1,1))</f>
        <v>0</v>
      </c>
      <c r="AK2" s="547">
        <f ca="1">COUNTIFS(BV!$BD$2:$BD$54,"&gt;=" &amp; DATE($A2,1,1),BV!$BD$2:$BD$54,"&lt;" &amp; DATE($A2+1,1,1))</f>
        <v>0</v>
      </c>
      <c r="AL2" s="547">
        <f ca="1">COUNTIFS(BV!$BL$2:$BL$54,"&gt;=" &amp; DATE($A2,1,1),BV!$BL$2:$BL$54,"&lt;" &amp; DATE($A2+1,1,1))</f>
        <v>0</v>
      </c>
      <c r="AM2" s="547">
        <f ca="1">COUNTIFS(BV!$BT$2:$BT$54,"&gt;=" &amp; DATE($A2,1,1),BV!$BT$2:$BT$54,"&lt;" &amp; DATE($A2+1,1,1))</f>
        <v>0</v>
      </c>
      <c r="AN2" s="547">
        <f ca="1">COUNTIFS(BV!$CB$2:$CB$54,"&gt;=" &amp; DATE($A2,1,1),BV!$CB$2:$CB$54,"&lt;" &amp; DATE($A2+1,1,1))</f>
        <v>0</v>
      </c>
      <c r="AO2" s="35">
        <f t="shared" ref="AO2" ca="1" si="19">(AE2+AF2/2+AG2/3+AH2/4+AI2/5+AJ2/6+AK2/7+AL2/8+AM2/9+AN2/10)*10</f>
        <v>0</v>
      </c>
      <c r="AP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Q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R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S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T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U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V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W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X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Y2" s="547">
        <f ca="1">COUNTIFS(OFFSET(Time!$J$2,(COLUMN()-42)*20,,20,),"&gt;=" &amp; DATE($A2,1,1),OFFSET(Time!$J$2,(COLUMN()-42)*20,,20,),"&lt;" &amp; DATE($A2+1,1,1))+COUNTIFS(OFFSET(Bvs!$J$2,(COLUMN()-42)*20,,20,),"&gt;=" &amp; DATE($A2,1,1),OFFSET(Bvs!$J$2,(COLUMN()-42)*20,,20,),"&lt;" &amp; DATE($A2+1,1,1))+COUNTIFS(OFFSET(QG!$J$2,(COLUMN()-42)*20,,20,),"&gt;=" &amp; DATE($A2,1,1),OFFSET(QG!$J$2,(COLUMN()-42)*20,,20,),"&lt;" &amp; DATE($A2+1,1,1))</f>
        <v>0</v>
      </c>
      <c r="AZ2" s="35">
        <f t="shared" ref="AZ2" ca="1" si="20">(AP2+AQ2/2+AR2/3+AS2/4+AT2/5+AU2/6+AV2/7+AW2/8+AX2/9+AY2/10)*10</f>
        <v>0</v>
      </c>
      <c r="BA2" s="35">
        <f ca="1">AO2+AZ2</f>
        <v>0</v>
      </c>
      <c r="BB2" s="34" t="e">
        <f t="shared" ref="BB2" ca="1" si="21">BA2/AC2</f>
        <v>#N/A</v>
      </c>
      <c r="BC2" s="34" t="e">
        <f t="shared" ref="BC2" ca="1" si="22">IF(AD2=0,0,BB2/AD2)</f>
        <v>#N/A</v>
      </c>
    </row>
    <row r="3" spans="1:55" x14ac:dyDescent="0.25">
      <c r="A3" s="31">
        <f t="shared" si="0"/>
        <v>2012</v>
      </c>
      <c r="B3" s="32" t="s">
        <v>38</v>
      </c>
      <c r="C3" s="1">
        <f ca="1">COUNTIFS(OFFSET(Arb!$C$2,,,Arb!$AJ$36,),$A3,OFFSET(Arb!$AI$2,,,Arb!$AJ$36,),TRUE)</f>
        <v>0</v>
      </c>
      <c r="D3" s="1">
        <f ca="1">SUMIFS(OFFSET(Arb!$I$2,,,Arb!$AJ$36,),OFFSET(Arb!$C$2,,,Arb!$AJ$36,),$A3,OFFSET(Arb!$AI$2,,,Arb!$AJ$36,),TRUE)</f>
        <v>0</v>
      </c>
      <c r="E3" s="1">
        <f ca="1">SUMIFS(OFFSET(Arb!$H$2,,,Arb!$AJ$36,),OFFSET(Arb!$C$2,,,Arb!$AJ$36,),$A3,OFFSET(Arb!$AI$2,,,Arb!$AJ$36,),TRUE)</f>
        <v>0</v>
      </c>
      <c r="F3" s="1">
        <f ca="1">SUMIFS(OFFSET(Arb!$AC$2,,,Arb!$AJ$36,),OFFSET(Arb!$C$2,,,Arb!$AJ$36,),$A3,OFFSET(Arb!$AI$2,,,Arb!$AJ$36,),TRUE)</f>
        <v>0</v>
      </c>
      <c r="G3" s="1">
        <f ca="1">SUMIFS(OFFSET(Arb!$U$2,,,Arb!$AJ$36,),OFFSET(Arb!$C$2,,,Arb!$AJ$36,),$A3,OFFSET(Arb!$AI$2,,,Arb!$AJ$36,),TRUE)</f>
        <v>0</v>
      </c>
      <c r="H3" s="1">
        <f ca="1">SUMIFS(OFFSET(Arb!$V$2,,,Arb!$AJ$36,),OFFSET(Arb!$C$2,,,Arb!$AJ$36,),$A3,OFFSET(Arb!$AI$2,,,Arb!$AJ$36,),TRUE)</f>
        <v>0</v>
      </c>
      <c r="I3" s="1">
        <f ca="1">SUMIFS(OFFSET(Arb!$X$2,,,Arb!$AJ$36,),OFFSET(Arb!$C$2,,,Arb!$AJ$36,),$A3,OFFSET(Arb!$AI$2,,,Arb!$AJ$36,),TRUE)</f>
        <v>0</v>
      </c>
      <c r="J3" s="1">
        <f ca="1">SUMIFS(OFFSET(Arb!$AA$2,,,Arb!$AJ$36,),OFFSET(Arb!$C$2,,,Arb!$AJ$36,),$A3,OFFSET(Arb!$AI$2,,,Arb!$AJ$36,),TRUE)</f>
        <v>0</v>
      </c>
      <c r="K3" s="1">
        <f ca="1">SUMIFS(OFFSET(Arb!$AB$2,,,Arb!$AJ$36,),OFFSET(Arb!$C$2,,,Arb!$AJ$36,),$A3,OFFSET(Arb!$AI$2,,,Arb!$AJ$36,),TRUE)</f>
        <v>0</v>
      </c>
      <c r="L3" s="1">
        <f t="shared" ref="L3:L31" ca="1" si="23">G3+H3</f>
        <v>0</v>
      </c>
      <c r="M3" s="39" t="str">
        <f t="shared" ref="M3:M31" ca="1" si="24">IFERROR(D3/C3,"")</f>
        <v/>
      </c>
      <c r="N3" s="12" t="str">
        <f t="shared" ref="N3:N31" ca="1" si="25">IFERROR(E3/C3,"")</f>
        <v/>
      </c>
      <c r="O3" s="33" t="str">
        <f t="shared" ref="O3" ca="1" si="26">IFERROR(M3/N3,"")</f>
        <v/>
      </c>
      <c r="P3" s="20" t="str">
        <f t="shared" ref="P3:P31" ca="1" si="27">IFERROR(I3/E3,"")</f>
        <v/>
      </c>
      <c r="Q3" s="33" t="str">
        <f t="shared" ref="Q3:Q31" ca="1" si="28">IFERROR(L3/E3,"")</f>
        <v/>
      </c>
      <c r="R3" s="33" t="str">
        <f t="shared" ref="R3" ca="1" si="29">IFERROR(N3^1.7/M3,"")</f>
        <v/>
      </c>
      <c r="S3" s="34" t="str">
        <f t="shared" ref="S3:S31" ca="1" si="30">IFERROR((IF(B3="beg",47.299,0)+IF(B3="int",153.73,0)+IF(B3="exp",435.001,0))/R3,"")</f>
        <v/>
      </c>
      <c r="T3" s="34" t="str">
        <f t="shared" ref="T3:T31" ca="1" si="31">IFERROR(J3/C3,"")</f>
        <v/>
      </c>
      <c r="U3" s="34" t="str">
        <f t="shared" ref="U3:U31" ca="1" si="32">IFERROR(K3/C3,"")</f>
        <v/>
      </c>
      <c r="V3" s="33" t="str">
        <f t="shared" ref="V3" ca="1" si="33">IFERROR(P3/Q3,"")</f>
        <v/>
      </c>
      <c r="W3" s="33" t="str">
        <f t="shared" ref="W3" ca="1" si="34">IFERROR(O3/P3,"")</f>
        <v/>
      </c>
      <c r="X3" s="33" t="str">
        <f t="shared" ref="X3:X31" ca="1" si="35">IFERROR(D3/L3,"")</f>
        <v/>
      </c>
      <c r="Y3" s="17" t="str">
        <f t="shared" ref="Y3:Y31" ca="1" si="36">IFERROR(F3/C3/16,"")</f>
        <v/>
      </c>
      <c r="Z3" s="34" t="str">
        <f t="shared" ref="Z3" ca="1" si="37">IFERROR(Y3/N3,"")</f>
        <v/>
      </c>
      <c r="AA3" s="33" t="str">
        <f t="shared" ref="AA3" ca="1" si="38">IFERROR(M3/Y3,"")</f>
        <v/>
      </c>
      <c r="AB3" s="21" t="str">
        <f t="shared" ref="AB3:AB5" ca="1" si="39">IFERROR(Z3*P3,"")</f>
        <v/>
      </c>
      <c r="AC3" s="470" t="e">
        <f ca="1">SUM(OFFSET(Arb!AK$36,MATCH(A3,OFFSET(Arb!AK$36,,,23,),0)-1,1,1,12))</f>
        <v>#N/A</v>
      </c>
      <c r="AD3" s="12" t="e">
        <f t="shared" ref="AD3:AD31" ca="1" si="40">C3/AC3</f>
        <v>#N/A</v>
      </c>
      <c r="AE3" s="353">
        <f ca="1">COUNTIFS(BV!$H$2:$H$54,"&gt;=" &amp; DATE($A3,1,1),BV!$H$2:$H$54,"&lt;" &amp; DATE($A3+1,1,1))</f>
        <v>0</v>
      </c>
      <c r="AF3" s="353">
        <f ca="1">COUNTIFS(BV!$P$2:$P$54,"&gt;=" &amp; DATE($A3,1,1),BV!$P$2:$P$54,"&lt;" &amp; DATE($A3+1,1,1))</f>
        <v>0</v>
      </c>
      <c r="AG3" s="353">
        <f ca="1">COUNTIFS(BV!$X$2:$X$54,"&gt;=" &amp; DATE($A3,1,1),BV!$X$2:$X$54,"&lt;" &amp; DATE($A3+1,1,1))</f>
        <v>0</v>
      </c>
      <c r="AH3" s="353">
        <f ca="1">COUNTIFS(BV!$AF$2:$AF$54,"&gt;=" &amp; DATE($A3,1,1),BV!$AF$2:$AF$54,"&lt;" &amp; DATE($A3+1,1,1))</f>
        <v>0</v>
      </c>
      <c r="AI3" s="353">
        <f ca="1">COUNTIFS(BV!$AN$2:$AN$54,"&gt;=" &amp; DATE($A3,1,1),BV!$AN$2:$AN$54,"&lt;" &amp; DATE($A3+1,1,1))</f>
        <v>0</v>
      </c>
      <c r="AJ3" s="353">
        <f ca="1">COUNTIFS(BV!$AV$2:$AV$54,"&gt;=" &amp; DATE($A3,1,1),BV!$AV$2:$AV$54,"&lt;" &amp; DATE($A3+1,1,1))</f>
        <v>0</v>
      </c>
      <c r="AK3" s="353">
        <f ca="1">COUNTIFS(BV!$BD$2:$BD$54,"&gt;=" &amp; DATE($A3,1,1),BV!$BD$2:$BD$54,"&lt;" &amp; DATE($A3+1,1,1))</f>
        <v>0</v>
      </c>
      <c r="AL3" s="353">
        <f ca="1">COUNTIFS(BV!$BL$2:$BL$54,"&gt;=" &amp; DATE($A3,1,1),BV!$BL$2:$BL$54,"&lt;" &amp; DATE($A3+1,1,1))</f>
        <v>0</v>
      </c>
      <c r="AM3" s="353">
        <f ca="1">COUNTIFS(BV!$BT$2:$BT$54,"&gt;=" &amp; DATE($A3,1,1),BV!$BT$2:$BT$54,"&lt;" &amp; DATE($A3+1,1,1))</f>
        <v>0</v>
      </c>
      <c r="AN3" s="353">
        <f ca="1">COUNTIFS(BV!$CB$2:$CB$54,"&gt;=" &amp; DATE($A3,1,1),BV!$CB$2:$CB$54,"&lt;" &amp; DATE($A3+1,1,1))</f>
        <v>0</v>
      </c>
      <c r="AO3" s="35">
        <f t="shared" ref="AO3:AO41" ca="1" si="41">(AE3+AF3/2+AG3/3+AH3/4+AI3/5+AJ3/6+AK3/7+AL3/8+AM3/9+AN3/10)*10</f>
        <v>0</v>
      </c>
      <c r="AP3" s="353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Q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R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S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T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U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V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W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X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Y3" s="510">
        <f ca="1">COUNTIFS(OFFSET(Time!$J$2,(COLUMN()-42)*20,,20,),"&gt;=" &amp; DATE($A3,1,1),OFFSET(Time!$J$2,(COLUMN()-42)*20,,20,),"&lt;" &amp; DATE($A3+1,1,1))+COUNTIFS(OFFSET(Bvs!$J$2,(COLUMN()-42)*20,,20,),"&gt;=" &amp; DATE($A3,1,1),OFFSET(Bvs!$J$2,(COLUMN()-42)*20,,20,),"&lt;" &amp; DATE($A3+1,1,1))+COUNTIFS(OFFSET(QG!$J$2,(COLUMN()-42)*20,,20,),"&gt;=" &amp; DATE($A3,1,1),OFFSET(QG!$J$2,(COLUMN()-42)*20,,20,),"&lt;" &amp; DATE($A3+1,1,1))</f>
        <v>0</v>
      </c>
      <c r="AZ3" s="35">
        <f t="shared" ref="AZ3:AZ41" ca="1" si="42">(AP3+AQ3/2+AR3/3+AS3/4+AT3/5+AU3/6+AV3/7+AW3/8+AX3/9+AY3/10)*10</f>
        <v>0</v>
      </c>
      <c r="BA3" s="35">
        <f ca="1">AO3+AZ3</f>
        <v>0</v>
      </c>
      <c r="BB3" s="34" t="e">
        <f t="shared" ref="BB3:BB41" ca="1" si="43">BA3/AC3</f>
        <v>#N/A</v>
      </c>
      <c r="BC3" s="34" t="e">
        <f t="shared" ref="BC3:BC31" ca="1" si="44">IF(AD3=0,0,BB3/AD3)</f>
        <v>#N/A</v>
      </c>
    </row>
    <row r="4" spans="1:55" x14ac:dyDescent="0.25">
      <c r="A4" s="31">
        <f t="shared" si="0"/>
        <v>2013</v>
      </c>
      <c r="B4" s="32" t="s">
        <v>38</v>
      </c>
      <c r="C4" s="1">
        <f ca="1">COUNTIFS(OFFSET(Arb!$C$2,,,Arb!$AJ$36,),$A4,OFFSET(Arb!$AI$2,,,Arb!$AJ$36,),TRUE)</f>
        <v>0</v>
      </c>
      <c r="D4" s="1">
        <f ca="1">SUMIFS(OFFSET(Arb!$I$2,,,Arb!$AJ$36,),OFFSET(Arb!$C$2,,,Arb!$AJ$36,),$A4,OFFSET(Arb!$AI$2,,,Arb!$AJ$36,),TRUE)</f>
        <v>0</v>
      </c>
      <c r="E4" s="1">
        <f ca="1">SUMIFS(OFFSET(Arb!$H$2,,,Arb!$AJ$36,),OFFSET(Arb!$C$2,,,Arb!$AJ$36,),$A4,OFFSET(Arb!$AI$2,,,Arb!$AJ$36,),TRUE)</f>
        <v>0</v>
      </c>
      <c r="F4" s="1">
        <f ca="1">SUMIFS(OFFSET(Arb!$AC$2,,,Arb!$AJ$36,),OFFSET(Arb!$C$2,,,Arb!$AJ$36,),$A4,OFFSET(Arb!$AI$2,,,Arb!$AJ$36,),TRUE)</f>
        <v>0</v>
      </c>
      <c r="G4" s="1">
        <f ca="1">SUMIFS(OFFSET(Arb!$U$2,,,Arb!$AJ$36,),OFFSET(Arb!$C$2,,,Arb!$AJ$36,),$A4,OFFSET(Arb!$AI$2,,,Arb!$AJ$36,),TRUE)</f>
        <v>0</v>
      </c>
      <c r="H4" s="1">
        <f ca="1">SUMIFS(OFFSET(Arb!$V$2,,,Arb!$AJ$36,),OFFSET(Arb!$C$2,,,Arb!$AJ$36,),$A4,OFFSET(Arb!$AI$2,,,Arb!$AJ$36,),TRUE)</f>
        <v>0</v>
      </c>
      <c r="I4" s="1">
        <f ca="1">SUMIFS(OFFSET(Arb!$X$2,,,Arb!$AJ$36,),OFFSET(Arb!$C$2,,,Arb!$AJ$36,),$A4,OFFSET(Arb!$AI$2,,,Arb!$AJ$36,),TRUE)</f>
        <v>0</v>
      </c>
      <c r="J4" s="1">
        <f ca="1">SUMIFS(OFFSET(Arb!$AA$2,,,Arb!$AJ$36,),OFFSET(Arb!$C$2,,,Arb!$AJ$36,),$A4,OFFSET(Arb!$AI$2,,,Arb!$AJ$36,),TRUE)</f>
        <v>0</v>
      </c>
      <c r="K4" s="1">
        <f ca="1">SUMIFS(OFFSET(Arb!$AB$2,,,Arb!$AJ$36,),OFFSET(Arb!$C$2,,,Arb!$AJ$36,),$A4,OFFSET(Arb!$AI$2,,,Arb!$AJ$36,),TRUE)</f>
        <v>0</v>
      </c>
      <c r="L4" s="1">
        <f t="shared" ca="1" si="23"/>
        <v>0</v>
      </c>
      <c r="M4" s="39" t="str">
        <f t="shared" ca="1" si="24"/>
        <v/>
      </c>
      <c r="N4" s="12" t="str">
        <f t="shared" ca="1" si="25"/>
        <v/>
      </c>
      <c r="O4" s="33" t="str">
        <f t="shared" ref="O4" ca="1" si="45">IFERROR(M4/N4,"")</f>
        <v/>
      </c>
      <c r="P4" s="20" t="str">
        <f t="shared" ca="1" si="27"/>
        <v/>
      </c>
      <c r="Q4" s="33" t="str">
        <f t="shared" ca="1" si="28"/>
        <v/>
      </c>
      <c r="R4" s="33" t="str">
        <f t="shared" ref="R4" ca="1" si="46">IFERROR(N4^1.7/M4,"")</f>
        <v/>
      </c>
      <c r="S4" s="34" t="str">
        <f t="shared" ca="1" si="30"/>
        <v/>
      </c>
      <c r="T4" s="34" t="str">
        <f t="shared" ca="1" si="31"/>
        <v/>
      </c>
      <c r="U4" s="34" t="str">
        <f t="shared" ca="1" si="32"/>
        <v/>
      </c>
      <c r="V4" s="33" t="str">
        <f t="shared" ref="V4" ca="1" si="47">IFERROR(P4/Q4,"")</f>
        <v/>
      </c>
      <c r="W4" s="33" t="str">
        <f t="shared" ref="W4" ca="1" si="48">IFERROR(O4/P4,"")</f>
        <v/>
      </c>
      <c r="X4" s="33" t="str">
        <f t="shared" ca="1" si="35"/>
        <v/>
      </c>
      <c r="Y4" s="17" t="str">
        <f t="shared" ca="1" si="36"/>
        <v/>
      </c>
      <c r="Z4" s="34" t="str">
        <f t="shared" ref="Z4" ca="1" si="49">IFERROR(Y4/N4,"")</f>
        <v/>
      </c>
      <c r="AA4" s="33" t="str">
        <f t="shared" ref="AA4" ca="1" si="50">IFERROR(M4/Y4,"")</f>
        <v/>
      </c>
      <c r="AB4" s="21" t="str">
        <f t="shared" ca="1" si="39"/>
        <v/>
      </c>
      <c r="AC4" s="472" t="e">
        <f ca="1">SUM(OFFSET(Arb!AK$36,MATCH(A4,OFFSET(Arb!AK$36,,,23,),0)-1,1,1,12))</f>
        <v>#N/A</v>
      </c>
      <c r="AD4" s="12" t="e">
        <f t="shared" ca="1" si="40"/>
        <v>#N/A</v>
      </c>
      <c r="AE4" s="353">
        <f ca="1">COUNTIFS(BV!$H$2:$H$54,"&gt;=" &amp; DATE($A4,1,1),BV!$H$2:$H$54,"&lt;" &amp; DATE($A4+1,1,1))</f>
        <v>0</v>
      </c>
      <c r="AF4" s="353">
        <f ca="1">COUNTIFS(BV!$P$2:$P$54,"&gt;=" &amp; DATE($A4,1,1),BV!$P$2:$P$54,"&lt;" &amp; DATE($A4+1,1,1))</f>
        <v>0</v>
      </c>
      <c r="AG4" s="353">
        <f ca="1">COUNTIFS(BV!$X$2:$X$54,"&gt;=" &amp; DATE($A4,1,1),BV!$X$2:$X$54,"&lt;" &amp; DATE($A4+1,1,1))</f>
        <v>0</v>
      </c>
      <c r="AH4" s="353">
        <f ca="1">COUNTIFS(BV!$AF$2:$AF$54,"&gt;=" &amp; DATE($A4,1,1),BV!$AF$2:$AF$54,"&lt;" &amp; DATE($A4+1,1,1))</f>
        <v>0</v>
      </c>
      <c r="AI4" s="353">
        <f ca="1">COUNTIFS(BV!$AN$2:$AN$54,"&gt;=" &amp; DATE($A4,1,1),BV!$AN$2:$AN$54,"&lt;" &amp; DATE($A4+1,1,1))</f>
        <v>0</v>
      </c>
      <c r="AJ4" s="353">
        <f ca="1">COUNTIFS(BV!$AV$2:$AV$54,"&gt;=" &amp; DATE($A4,1,1),BV!$AV$2:$AV$54,"&lt;" &amp; DATE($A4+1,1,1))</f>
        <v>0</v>
      </c>
      <c r="AK4" s="353">
        <f ca="1">COUNTIFS(BV!$BD$2:$BD$54,"&gt;=" &amp; DATE($A4,1,1),BV!$BD$2:$BD$54,"&lt;" &amp; DATE($A4+1,1,1))</f>
        <v>0</v>
      </c>
      <c r="AL4" s="353">
        <f ca="1">COUNTIFS(BV!$BL$2:$BL$54,"&gt;=" &amp; DATE($A4,1,1),BV!$BL$2:$BL$54,"&lt;" &amp; DATE($A4+1,1,1))</f>
        <v>0</v>
      </c>
      <c r="AM4" s="353">
        <f ca="1">COUNTIFS(BV!$BT$2:$BT$54,"&gt;=" &amp; DATE($A4,1,1),BV!$BT$2:$BT$54,"&lt;" &amp; DATE($A4+1,1,1))</f>
        <v>0</v>
      </c>
      <c r="AN4" s="353">
        <f ca="1">COUNTIFS(BV!$CB$2:$CB$54,"&gt;=" &amp; DATE($A4,1,1),BV!$CB$2:$CB$54,"&lt;" &amp; DATE($A4+1,1,1))</f>
        <v>0</v>
      </c>
      <c r="AO4" s="35">
        <f t="shared" ca="1" si="41"/>
        <v>0</v>
      </c>
      <c r="AP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Q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R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S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T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U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V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W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X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Y4" s="510">
        <f ca="1">COUNTIFS(OFFSET(Time!$J$2,(COLUMN()-42)*20,,20,),"&gt;=" &amp; DATE($A4,1,1),OFFSET(Time!$J$2,(COLUMN()-42)*20,,20,),"&lt;" &amp; DATE($A4+1,1,1))+COUNTIFS(OFFSET(Bvs!$J$2,(COLUMN()-42)*20,,20,),"&gt;=" &amp; DATE($A4,1,1),OFFSET(Bvs!$J$2,(COLUMN()-42)*20,,20,),"&lt;" &amp; DATE($A4+1,1,1))+COUNTIFS(OFFSET(QG!$J$2,(COLUMN()-42)*20,,20,),"&gt;=" &amp; DATE($A4,1,1),OFFSET(QG!$J$2,(COLUMN()-42)*20,,20,),"&lt;" &amp; DATE($A4+1,1,1))</f>
        <v>0</v>
      </c>
      <c r="AZ4" s="35">
        <f t="shared" ca="1" si="42"/>
        <v>0</v>
      </c>
      <c r="BA4" s="35">
        <f t="shared" ref="BA4:BA41" ca="1" si="51">AO4+AZ4</f>
        <v>0</v>
      </c>
      <c r="BB4" s="34" t="e">
        <f t="shared" ca="1" si="43"/>
        <v>#N/A</v>
      </c>
      <c r="BC4" s="34" t="e">
        <f t="shared" ca="1" si="44"/>
        <v>#N/A</v>
      </c>
    </row>
    <row r="5" spans="1:55" x14ac:dyDescent="0.25">
      <c r="A5" s="31">
        <f t="shared" si="0"/>
        <v>2014</v>
      </c>
      <c r="B5" s="32" t="s">
        <v>38</v>
      </c>
      <c r="C5" s="1">
        <f ca="1">COUNTIFS(OFFSET(Arb!$C$2,,,Arb!$AJ$36,),$A5,OFFSET(Arb!$AI$2,,,Arb!$AJ$36,),TRUE)</f>
        <v>0</v>
      </c>
      <c r="D5" s="1">
        <f ca="1">SUMIFS(OFFSET(Arb!$I$2,,,Arb!$AJ$36,),OFFSET(Arb!$C$2,,,Arb!$AJ$36,),$A5,OFFSET(Arb!$AI$2,,,Arb!$AJ$36,),TRUE)</f>
        <v>0</v>
      </c>
      <c r="E5" s="1">
        <f ca="1">SUMIFS(OFFSET(Arb!$H$2,,,Arb!$AJ$36,),OFFSET(Arb!$C$2,,,Arb!$AJ$36,),$A5,OFFSET(Arb!$AI$2,,,Arb!$AJ$36,),TRUE)</f>
        <v>0</v>
      </c>
      <c r="F5" s="1">
        <f ca="1">SUMIFS(OFFSET(Arb!$AC$2,,,Arb!$AJ$36,),OFFSET(Arb!$C$2,,,Arb!$AJ$36,),$A5,OFFSET(Arb!$AI$2,,,Arb!$AJ$36,),TRUE)</f>
        <v>0</v>
      </c>
      <c r="G5" s="1">
        <f ca="1">SUMIFS(OFFSET(Arb!$U$2,,,Arb!$AJ$36,),OFFSET(Arb!$C$2,,,Arb!$AJ$36,),$A5,OFFSET(Arb!$AI$2,,,Arb!$AJ$36,),TRUE)</f>
        <v>0</v>
      </c>
      <c r="H5" s="1">
        <f ca="1">SUMIFS(OFFSET(Arb!$V$2,,,Arb!$AJ$36,),OFFSET(Arb!$C$2,,,Arb!$AJ$36,),$A5,OFFSET(Arb!$AI$2,,,Arb!$AJ$36,),TRUE)</f>
        <v>0</v>
      </c>
      <c r="I5" s="1">
        <f ca="1">SUMIFS(OFFSET(Arb!$X$2,,,Arb!$AJ$36,),OFFSET(Arb!$C$2,,,Arb!$AJ$36,),$A5,OFFSET(Arb!$AI$2,,,Arb!$AJ$36,),TRUE)</f>
        <v>0</v>
      </c>
      <c r="J5" s="1">
        <f ca="1">SUMIFS(OFFSET(Arb!$AA$2,,,Arb!$AJ$36,),OFFSET(Arb!$C$2,,,Arb!$AJ$36,),$A5,OFFSET(Arb!$AI$2,,,Arb!$AJ$36,),TRUE)</f>
        <v>0</v>
      </c>
      <c r="K5" s="1">
        <f ca="1">SUMIFS(OFFSET(Arb!$AB$2,,,Arb!$AJ$36,),OFFSET(Arb!$C$2,,,Arb!$AJ$36,),$A5,OFFSET(Arb!$AI$2,,,Arb!$AJ$36,),TRUE)</f>
        <v>0</v>
      </c>
      <c r="L5" s="1">
        <f t="shared" ca="1" si="23"/>
        <v>0</v>
      </c>
      <c r="M5" s="39" t="str">
        <f t="shared" ca="1" si="24"/>
        <v/>
      </c>
      <c r="N5" s="12" t="str">
        <f t="shared" ca="1" si="25"/>
        <v/>
      </c>
      <c r="O5" s="33" t="str">
        <f t="shared" ref="O5" ca="1" si="52">IFERROR(M5/N5,"")</f>
        <v/>
      </c>
      <c r="P5" s="20" t="str">
        <f t="shared" ca="1" si="27"/>
        <v/>
      </c>
      <c r="Q5" s="33" t="str">
        <f t="shared" ca="1" si="28"/>
        <v/>
      </c>
      <c r="R5" s="33" t="str">
        <f t="shared" ref="R5" ca="1" si="53">IFERROR(N5^1.7/M5,"")</f>
        <v/>
      </c>
      <c r="S5" s="34" t="str">
        <f t="shared" ca="1" si="30"/>
        <v/>
      </c>
      <c r="T5" s="34" t="str">
        <f t="shared" ca="1" si="31"/>
        <v/>
      </c>
      <c r="U5" s="34" t="str">
        <f t="shared" ca="1" si="32"/>
        <v/>
      </c>
      <c r="V5" s="33" t="str">
        <f t="shared" ref="V5" ca="1" si="54">IFERROR(P5/Q5,"")</f>
        <v/>
      </c>
      <c r="W5" s="33" t="str">
        <f t="shared" ref="W5" ca="1" si="55">IFERROR(O5/P5,"")</f>
        <v/>
      </c>
      <c r="X5" s="33" t="str">
        <f t="shared" ca="1" si="35"/>
        <v/>
      </c>
      <c r="Y5" s="17" t="str">
        <f t="shared" ca="1" si="36"/>
        <v/>
      </c>
      <c r="Z5" s="34" t="str">
        <f t="shared" ref="Z5" ca="1" si="56">IFERROR(Y5/N5,"")</f>
        <v/>
      </c>
      <c r="AA5" s="33" t="str">
        <f t="shared" ref="AA5" ca="1" si="57">IFERROR(M5/Y5,"")</f>
        <v/>
      </c>
      <c r="AB5" s="21" t="str">
        <f t="shared" ca="1" si="39"/>
        <v/>
      </c>
      <c r="AC5" s="472" t="e">
        <f ca="1">SUM(OFFSET(Arb!AK$36,MATCH(A5,OFFSET(Arb!AK$36,,,23,),0)-1,1,1,12))</f>
        <v>#N/A</v>
      </c>
      <c r="AD5" s="12" t="e">
        <f t="shared" ca="1" si="40"/>
        <v>#N/A</v>
      </c>
      <c r="AE5" s="353">
        <f ca="1">COUNTIFS(BV!$H$2:$H$54,"&gt;=" &amp; DATE($A5,1,1),BV!$H$2:$H$54,"&lt;" &amp; DATE($A5+1,1,1))</f>
        <v>0</v>
      </c>
      <c r="AF5" s="353">
        <f ca="1">COUNTIFS(BV!$P$2:$P$54,"&gt;=" &amp; DATE($A5,1,1),BV!$P$2:$P$54,"&lt;" &amp; DATE($A5+1,1,1))</f>
        <v>0</v>
      </c>
      <c r="AG5" s="353">
        <f ca="1">COUNTIFS(BV!$X$2:$X$54,"&gt;=" &amp; DATE($A5,1,1),BV!$X$2:$X$54,"&lt;" &amp; DATE($A5+1,1,1))</f>
        <v>0</v>
      </c>
      <c r="AH5" s="353">
        <f ca="1">COUNTIFS(BV!$AF$2:$AF$54,"&gt;=" &amp; DATE($A5,1,1),BV!$AF$2:$AF$54,"&lt;" &amp; DATE($A5+1,1,1))</f>
        <v>0</v>
      </c>
      <c r="AI5" s="353">
        <f ca="1">COUNTIFS(BV!$AN$2:$AN$54,"&gt;=" &amp; DATE($A5,1,1),BV!$AN$2:$AN$54,"&lt;" &amp; DATE($A5+1,1,1))</f>
        <v>0</v>
      </c>
      <c r="AJ5" s="353">
        <f ca="1">COUNTIFS(BV!$AV$2:$AV$54,"&gt;=" &amp; DATE($A5,1,1),BV!$AV$2:$AV$54,"&lt;" &amp; DATE($A5+1,1,1))</f>
        <v>0</v>
      </c>
      <c r="AK5" s="353">
        <f ca="1">COUNTIFS(BV!$BD$2:$BD$54,"&gt;=" &amp; DATE($A5,1,1),BV!$BD$2:$BD$54,"&lt;" &amp; DATE($A5+1,1,1))</f>
        <v>0</v>
      </c>
      <c r="AL5" s="353">
        <f ca="1">COUNTIFS(BV!$BL$2:$BL$54,"&gt;=" &amp; DATE($A5,1,1),BV!$BL$2:$BL$54,"&lt;" &amp; DATE($A5+1,1,1))</f>
        <v>0</v>
      </c>
      <c r="AM5" s="353">
        <f ca="1">COUNTIFS(BV!$BT$2:$BT$54,"&gt;=" &amp; DATE($A5,1,1),BV!$BT$2:$BT$54,"&lt;" &amp; DATE($A5+1,1,1))</f>
        <v>0</v>
      </c>
      <c r="AN5" s="353">
        <f ca="1">COUNTIFS(BV!$CB$2:$CB$54,"&gt;=" &amp; DATE($A5,1,1),BV!$CB$2:$CB$54,"&lt;" &amp; DATE($A5+1,1,1))</f>
        <v>0</v>
      </c>
      <c r="AO5" s="35">
        <f t="shared" ca="1" si="41"/>
        <v>0</v>
      </c>
      <c r="AP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Q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R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S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T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U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V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W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X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Y5" s="510">
        <f ca="1">COUNTIFS(OFFSET(Time!$J$2,(COLUMN()-42)*20,,20,),"&gt;=" &amp; DATE($A5,1,1),OFFSET(Time!$J$2,(COLUMN()-42)*20,,20,),"&lt;" &amp; DATE($A5+1,1,1))+COUNTIFS(OFFSET(Bvs!$J$2,(COLUMN()-42)*20,,20,),"&gt;=" &amp; DATE($A5,1,1),OFFSET(Bvs!$J$2,(COLUMN()-42)*20,,20,),"&lt;" &amp; DATE($A5+1,1,1))+COUNTIFS(OFFSET(QG!$J$2,(COLUMN()-42)*20,,20,),"&gt;=" &amp; DATE($A5,1,1),OFFSET(QG!$J$2,(COLUMN()-42)*20,,20,),"&lt;" &amp; DATE($A5+1,1,1))</f>
        <v>0</v>
      </c>
      <c r="AZ5" s="35">
        <f t="shared" ca="1" si="42"/>
        <v>0</v>
      </c>
      <c r="BA5" s="35">
        <f t="shared" ca="1" si="51"/>
        <v>0</v>
      </c>
      <c r="BB5" s="34" t="e">
        <f t="shared" ca="1" si="43"/>
        <v>#N/A</v>
      </c>
      <c r="BC5" s="34" t="e">
        <f t="shared" ca="1" si="44"/>
        <v>#N/A</v>
      </c>
    </row>
    <row r="6" spans="1:55" x14ac:dyDescent="0.25">
      <c r="A6" s="31">
        <f t="shared" si="0"/>
        <v>2015</v>
      </c>
      <c r="B6" s="32" t="s">
        <v>38</v>
      </c>
      <c r="C6" s="1">
        <f ca="1">COUNTIFS(OFFSET(Arb!$C$2,,,Arb!$AJ$36,),$A6,OFFSET(Arb!$AI$2,,,Arb!$AJ$36,),TRUE)</f>
        <v>0</v>
      </c>
      <c r="D6" s="1">
        <f ca="1">SUMIFS(OFFSET(Arb!$I$2,,,Arb!$AJ$36,),OFFSET(Arb!$C$2,,,Arb!$AJ$36,),$A6,OFFSET(Arb!$AI$2,,,Arb!$AJ$36,),TRUE)</f>
        <v>0</v>
      </c>
      <c r="E6" s="1">
        <f ca="1">SUMIFS(OFFSET(Arb!$H$2,,,Arb!$AJ$36,),OFFSET(Arb!$C$2,,,Arb!$AJ$36,),$A6,OFFSET(Arb!$AI$2,,,Arb!$AJ$36,),TRUE)</f>
        <v>0</v>
      </c>
      <c r="F6" s="1">
        <f ca="1">SUMIFS(OFFSET(Arb!$AC$2,,,Arb!$AJ$36,),OFFSET(Arb!$C$2,,,Arb!$AJ$36,),$A6,OFFSET(Arb!$AI$2,,,Arb!$AJ$36,),TRUE)</f>
        <v>0</v>
      </c>
      <c r="G6" s="1">
        <f ca="1">SUMIFS(OFFSET(Arb!$U$2,,,Arb!$AJ$36,),OFFSET(Arb!$C$2,,,Arb!$AJ$36,),$A6,OFFSET(Arb!$AI$2,,,Arb!$AJ$36,),TRUE)</f>
        <v>0</v>
      </c>
      <c r="H6" s="1">
        <f ca="1">SUMIFS(OFFSET(Arb!$V$2,,,Arb!$AJ$36,),OFFSET(Arb!$C$2,,,Arb!$AJ$36,),$A6,OFFSET(Arb!$AI$2,,,Arb!$AJ$36,),TRUE)</f>
        <v>0</v>
      </c>
      <c r="I6" s="1">
        <f ca="1">SUMIFS(OFFSET(Arb!$X$2,,,Arb!$AJ$36,),OFFSET(Arb!$C$2,,,Arb!$AJ$36,),$A6,OFFSET(Arb!$AI$2,,,Arb!$AJ$36,),TRUE)</f>
        <v>0</v>
      </c>
      <c r="J6" s="1">
        <f ca="1">SUMIFS(OFFSET(Arb!$AA$2,,,Arb!$AJ$36,),OFFSET(Arb!$C$2,,,Arb!$AJ$36,),$A6,OFFSET(Arb!$AI$2,,,Arb!$AJ$36,),TRUE)</f>
        <v>0</v>
      </c>
      <c r="K6" s="1">
        <f ca="1">SUMIFS(OFFSET(Arb!$AB$2,,,Arb!$AJ$36,),OFFSET(Arb!$C$2,,,Arb!$AJ$36,),$A6,OFFSET(Arb!$AI$2,,,Arb!$AJ$36,),TRUE)</f>
        <v>0</v>
      </c>
      <c r="L6" s="1">
        <f t="shared" ca="1" si="23"/>
        <v>0</v>
      </c>
      <c r="M6" s="39" t="str">
        <f t="shared" ca="1" si="24"/>
        <v/>
      </c>
      <c r="N6" s="12" t="str">
        <f t="shared" ca="1" si="25"/>
        <v/>
      </c>
      <c r="O6" s="33" t="str">
        <f t="shared" ref="O6:O31" ca="1" si="58">IFERROR(M6/N6,"")</f>
        <v/>
      </c>
      <c r="P6" s="20" t="str">
        <f t="shared" ca="1" si="27"/>
        <v/>
      </c>
      <c r="Q6" s="33" t="str">
        <f t="shared" ca="1" si="28"/>
        <v/>
      </c>
      <c r="R6" s="33" t="str">
        <f t="shared" ref="R6:R31" ca="1" si="59">IFERROR(N6^1.7/M6,"")</f>
        <v/>
      </c>
      <c r="S6" s="34" t="str">
        <f t="shared" ca="1" si="30"/>
        <v/>
      </c>
      <c r="T6" s="34" t="str">
        <f t="shared" ca="1" si="31"/>
        <v/>
      </c>
      <c r="U6" s="34" t="str">
        <f t="shared" ca="1" si="32"/>
        <v/>
      </c>
      <c r="V6" s="33" t="str">
        <f t="shared" ref="V6:V31" ca="1" si="60">IFERROR(P6/Q6,"")</f>
        <v/>
      </c>
      <c r="W6" s="33" t="str">
        <f t="shared" ref="W6:W31" ca="1" si="61">IFERROR(O6/P6,"")</f>
        <v/>
      </c>
      <c r="X6" s="33" t="str">
        <f t="shared" ca="1" si="35"/>
        <v/>
      </c>
      <c r="Y6" s="17" t="str">
        <f t="shared" ca="1" si="36"/>
        <v/>
      </c>
      <c r="Z6" s="34" t="str">
        <f t="shared" ref="Z6:Z31" ca="1" si="62">IFERROR(Y6/N6,"")</f>
        <v/>
      </c>
      <c r="AA6" s="33" t="str">
        <f t="shared" ref="AA6:AA31" ca="1" si="63">IFERROR(M6/Y6,"")</f>
        <v/>
      </c>
      <c r="AB6" s="21" t="str">
        <f t="shared" ref="AB6:AB31" ca="1" si="64">IFERROR(Z6*P6,"")</f>
        <v/>
      </c>
      <c r="AC6" s="472" t="e">
        <f ca="1">SUM(OFFSET(Arb!AK$36,MATCH(A6,OFFSET(Arb!AK$36,,,23,),0)-1,1,1,12))</f>
        <v>#N/A</v>
      </c>
      <c r="AD6" s="12" t="e">
        <f t="shared" ca="1" si="40"/>
        <v>#N/A</v>
      </c>
      <c r="AE6" s="353">
        <f ca="1">COUNTIFS(BV!$H$2:$H$54,"&gt;=" &amp; DATE($A6,1,1),BV!$H$2:$H$54,"&lt;" &amp; DATE($A6+1,1,1))</f>
        <v>0</v>
      </c>
      <c r="AF6" s="353">
        <f ca="1">COUNTIFS(BV!$P$2:$P$54,"&gt;=" &amp; DATE($A6,1,1),BV!$P$2:$P$54,"&lt;" &amp; DATE($A6+1,1,1))</f>
        <v>0</v>
      </c>
      <c r="AG6" s="353">
        <f ca="1">COUNTIFS(BV!$X$2:$X$54,"&gt;=" &amp; DATE($A6,1,1),BV!$X$2:$X$54,"&lt;" &amp; DATE($A6+1,1,1))</f>
        <v>0</v>
      </c>
      <c r="AH6" s="353">
        <f ca="1">COUNTIFS(BV!$AF$2:$AF$54,"&gt;=" &amp; DATE($A6,1,1),BV!$AF$2:$AF$54,"&lt;" &amp; DATE($A6+1,1,1))</f>
        <v>0</v>
      </c>
      <c r="AI6" s="353">
        <f ca="1">COUNTIFS(BV!$AN$2:$AN$54,"&gt;=" &amp; DATE($A6,1,1),BV!$AN$2:$AN$54,"&lt;" &amp; DATE($A6+1,1,1))</f>
        <v>0</v>
      </c>
      <c r="AJ6" s="353">
        <f ca="1">COUNTIFS(BV!$AV$2:$AV$54,"&gt;=" &amp; DATE($A6,1,1),BV!$AV$2:$AV$54,"&lt;" &amp; DATE($A6+1,1,1))</f>
        <v>0</v>
      </c>
      <c r="AK6" s="353">
        <f ca="1">COUNTIFS(BV!$BD$2:$BD$54,"&gt;=" &amp; DATE($A6,1,1),BV!$BD$2:$BD$54,"&lt;" &amp; DATE($A6+1,1,1))</f>
        <v>0</v>
      </c>
      <c r="AL6" s="353">
        <f ca="1">COUNTIFS(BV!$BL$2:$BL$54,"&gt;=" &amp; DATE($A6,1,1),BV!$BL$2:$BL$54,"&lt;" &amp; DATE($A6+1,1,1))</f>
        <v>0</v>
      </c>
      <c r="AM6" s="353">
        <f ca="1">COUNTIFS(BV!$BT$2:$BT$54,"&gt;=" &amp; DATE($A6,1,1),BV!$BT$2:$BT$54,"&lt;" &amp; DATE($A6+1,1,1))</f>
        <v>0</v>
      </c>
      <c r="AN6" s="353">
        <f ca="1">COUNTIFS(BV!$CB$2:$CB$54,"&gt;=" &amp; DATE($A6,1,1),BV!$CB$2:$CB$54,"&lt;" &amp; DATE($A6+1,1,1))</f>
        <v>0</v>
      </c>
      <c r="AO6" s="35">
        <f t="shared" ca="1" si="41"/>
        <v>0</v>
      </c>
      <c r="AP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Q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R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S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T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U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V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W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X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Y6" s="510">
        <f ca="1">COUNTIFS(OFFSET(Time!$J$2,(COLUMN()-42)*20,,20,),"&gt;=" &amp; DATE($A6,1,1),OFFSET(Time!$J$2,(COLUMN()-42)*20,,20,),"&lt;" &amp; DATE($A6+1,1,1))+COUNTIFS(OFFSET(Bvs!$J$2,(COLUMN()-42)*20,,20,),"&gt;=" &amp; DATE($A6,1,1),OFFSET(Bvs!$J$2,(COLUMN()-42)*20,,20,),"&lt;" &amp; DATE($A6+1,1,1))+COUNTIFS(OFFSET(QG!$J$2,(COLUMN()-42)*20,,20,),"&gt;=" &amp; DATE($A6,1,1),OFFSET(QG!$J$2,(COLUMN()-42)*20,,20,),"&lt;" &amp; DATE($A6+1,1,1))</f>
        <v>0</v>
      </c>
      <c r="AZ6" s="35">
        <f t="shared" ca="1" si="42"/>
        <v>0</v>
      </c>
      <c r="BA6" s="35">
        <f t="shared" ca="1" si="51"/>
        <v>0</v>
      </c>
      <c r="BB6" s="34" t="e">
        <f t="shared" ca="1" si="43"/>
        <v>#N/A</v>
      </c>
      <c r="BC6" s="34" t="e">
        <f t="shared" ca="1" si="44"/>
        <v>#N/A</v>
      </c>
    </row>
    <row r="7" spans="1:55" x14ac:dyDescent="0.25">
      <c r="A7" s="31">
        <f t="shared" si="0"/>
        <v>2016</v>
      </c>
      <c r="B7" s="32" t="s">
        <v>38</v>
      </c>
      <c r="C7" s="1">
        <f ca="1">COUNTIFS(OFFSET(Arb!$C$2,,,Arb!$AJ$36,),$A7,OFFSET(Arb!$AI$2,,,Arb!$AJ$36,),TRUE)</f>
        <v>0</v>
      </c>
      <c r="D7" s="1">
        <f ca="1">SUMIFS(OFFSET(Arb!$I$2,,,Arb!$AJ$36,),OFFSET(Arb!$C$2,,,Arb!$AJ$36,),$A7,OFFSET(Arb!$AI$2,,,Arb!$AJ$36,),TRUE)</f>
        <v>0</v>
      </c>
      <c r="E7" s="1">
        <f ca="1">SUMIFS(OFFSET(Arb!$H$2,,,Arb!$AJ$36,),OFFSET(Arb!$C$2,,,Arb!$AJ$36,),$A7,OFFSET(Arb!$AI$2,,,Arb!$AJ$36,),TRUE)</f>
        <v>0</v>
      </c>
      <c r="F7" s="1">
        <f ca="1">SUMIFS(OFFSET(Arb!$AC$2,,,Arb!$AJ$36,),OFFSET(Arb!$C$2,,,Arb!$AJ$36,),$A7,OFFSET(Arb!$AI$2,,,Arb!$AJ$36,),TRUE)</f>
        <v>0</v>
      </c>
      <c r="G7" s="1">
        <f ca="1">SUMIFS(OFFSET(Arb!$U$2,,,Arb!$AJ$36,),OFFSET(Arb!$C$2,,,Arb!$AJ$36,),$A7,OFFSET(Arb!$AI$2,,,Arb!$AJ$36,),TRUE)</f>
        <v>0</v>
      </c>
      <c r="H7" s="1">
        <f ca="1">SUMIFS(OFFSET(Arb!$V$2,,,Arb!$AJ$36,),OFFSET(Arb!$C$2,,,Arb!$AJ$36,),$A7,OFFSET(Arb!$AI$2,,,Arb!$AJ$36,),TRUE)</f>
        <v>0</v>
      </c>
      <c r="I7" s="1">
        <f ca="1">SUMIFS(OFFSET(Arb!$X$2,,,Arb!$AJ$36,),OFFSET(Arb!$C$2,,,Arb!$AJ$36,),$A7,OFFSET(Arb!$AI$2,,,Arb!$AJ$36,),TRUE)</f>
        <v>0</v>
      </c>
      <c r="J7" s="1">
        <f ca="1">SUMIFS(OFFSET(Arb!$AA$2,,,Arb!$AJ$36,),OFFSET(Arb!$C$2,,,Arb!$AJ$36,),$A7,OFFSET(Arb!$AI$2,,,Arb!$AJ$36,),TRUE)</f>
        <v>0</v>
      </c>
      <c r="K7" s="1">
        <f ca="1">SUMIFS(OFFSET(Arb!$AB$2,,,Arb!$AJ$36,),OFFSET(Arb!$C$2,,,Arb!$AJ$36,),$A7,OFFSET(Arb!$AI$2,,,Arb!$AJ$36,),TRUE)</f>
        <v>0</v>
      </c>
      <c r="L7" s="1">
        <f t="shared" ca="1" si="23"/>
        <v>0</v>
      </c>
      <c r="M7" s="39" t="str">
        <f t="shared" ca="1" si="24"/>
        <v/>
      </c>
      <c r="N7" s="12" t="str">
        <f t="shared" ca="1" si="25"/>
        <v/>
      </c>
      <c r="O7" s="33" t="str">
        <f t="shared" ca="1" si="58"/>
        <v/>
      </c>
      <c r="P7" s="20" t="str">
        <f t="shared" ca="1" si="27"/>
        <v/>
      </c>
      <c r="Q7" s="33" t="str">
        <f t="shared" ca="1" si="28"/>
        <v/>
      </c>
      <c r="R7" s="33" t="str">
        <f t="shared" ca="1" si="59"/>
        <v/>
      </c>
      <c r="S7" s="34" t="str">
        <f t="shared" ca="1" si="30"/>
        <v/>
      </c>
      <c r="T7" s="34" t="str">
        <f t="shared" ca="1" si="31"/>
        <v/>
      </c>
      <c r="U7" s="34" t="str">
        <f t="shared" ca="1" si="32"/>
        <v/>
      </c>
      <c r="V7" s="33" t="str">
        <f t="shared" ca="1" si="60"/>
        <v/>
      </c>
      <c r="W7" s="33" t="str">
        <f t="shared" ca="1" si="61"/>
        <v/>
      </c>
      <c r="X7" s="33" t="str">
        <f t="shared" ca="1" si="35"/>
        <v/>
      </c>
      <c r="Y7" s="17" t="str">
        <f t="shared" ca="1" si="36"/>
        <v/>
      </c>
      <c r="Z7" s="34" t="str">
        <f t="shared" ca="1" si="62"/>
        <v/>
      </c>
      <c r="AA7" s="33" t="str">
        <f t="shared" ca="1" si="63"/>
        <v/>
      </c>
      <c r="AB7" s="21" t="str">
        <f t="shared" ca="1" si="64"/>
        <v/>
      </c>
      <c r="AC7" s="472" t="e">
        <f ca="1">SUM(OFFSET(Arb!AK$36,MATCH(A7,OFFSET(Arb!AK$36,,,23,),0)-1,1,1,12))</f>
        <v>#N/A</v>
      </c>
      <c r="AD7" s="12" t="e">
        <f t="shared" ca="1" si="40"/>
        <v>#N/A</v>
      </c>
      <c r="AE7" s="353">
        <f ca="1">COUNTIFS(BV!$H$2:$H$54,"&gt;=" &amp; DATE($A7,1,1),BV!$H$2:$H$54,"&lt;" &amp; DATE($A7+1,1,1))</f>
        <v>0</v>
      </c>
      <c r="AF7" s="353">
        <f ca="1">COUNTIFS(BV!$P$2:$P$54,"&gt;=" &amp; DATE($A7,1,1),BV!$P$2:$P$54,"&lt;" &amp; DATE($A7+1,1,1))</f>
        <v>0</v>
      </c>
      <c r="AG7" s="353">
        <f ca="1">COUNTIFS(BV!$X$2:$X$54,"&gt;=" &amp; DATE($A7,1,1),BV!$X$2:$X$54,"&lt;" &amp; DATE($A7+1,1,1))</f>
        <v>0</v>
      </c>
      <c r="AH7" s="353">
        <f ca="1">COUNTIFS(BV!$AF$2:$AF$54,"&gt;=" &amp; DATE($A7,1,1),BV!$AF$2:$AF$54,"&lt;" &amp; DATE($A7+1,1,1))</f>
        <v>0</v>
      </c>
      <c r="AI7" s="353">
        <f ca="1">COUNTIFS(BV!$AN$2:$AN$54,"&gt;=" &amp; DATE($A7,1,1),BV!$AN$2:$AN$54,"&lt;" &amp; DATE($A7+1,1,1))</f>
        <v>0</v>
      </c>
      <c r="AJ7" s="353">
        <f ca="1">COUNTIFS(BV!$AV$2:$AV$54,"&gt;=" &amp; DATE($A7,1,1),BV!$AV$2:$AV$54,"&lt;" &amp; DATE($A7+1,1,1))</f>
        <v>0</v>
      </c>
      <c r="AK7" s="353">
        <f ca="1">COUNTIFS(BV!$BD$2:$BD$54,"&gt;=" &amp; DATE($A7,1,1),BV!$BD$2:$BD$54,"&lt;" &amp; DATE($A7+1,1,1))</f>
        <v>0</v>
      </c>
      <c r="AL7" s="353">
        <f ca="1">COUNTIFS(BV!$BL$2:$BL$54,"&gt;=" &amp; DATE($A7,1,1),BV!$BL$2:$BL$54,"&lt;" &amp; DATE($A7+1,1,1))</f>
        <v>0</v>
      </c>
      <c r="AM7" s="353">
        <f ca="1">COUNTIFS(BV!$BT$2:$BT$54,"&gt;=" &amp; DATE($A7,1,1),BV!$BT$2:$BT$54,"&lt;" &amp; DATE($A7+1,1,1))</f>
        <v>0</v>
      </c>
      <c r="AN7" s="353">
        <f ca="1">COUNTIFS(BV!$CB$2:$CB$54,"&gt;=" &amp; DATE($A7,1,1),BV!$CB$2:$CB$54,"&lt;" &amp; DATE($A7+1,1,1))</f>
        <v>0</v>
      </c>
      <c r="AO7" s="35">
        <f t="shared" ca="1" si="41"/>
        <v>0</v>
      </c>
      <c r="AP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Q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R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S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T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U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V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W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X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Y7" s="510">
        <f ca="1">COUNTIFS(OFFSET(Time!$J$2,(COLUMN()-42)*20,,20,),"&gt;=" &amp; DATE($A7,1,1),OFFSET(Time!$J$2,(COLUMN()-42)*20,,20,),"&lt;" &amp; DATE($A7+1,1,1))+COUNTIFS(OFFSET(Bvs!$J$2,(COLUMN()-42)*20,,20,),"&gt;=" &amp; DATE($A7,1,1),OFFSET(Bvs!$J$2,(COLUMN()-42)*20,,20,),"&lt;" &amp; DATE($A7+1,1,1))+COUNTIFS(OFFSET(QG!$J$2,(COLUMN()-42)*20,,20,),"&gt;=" &amp; DATE($A7,1,1),OFFSET(QG!$J$2,(COLUMN()-42)*20,,20,),"&lt;" &amp; DATE($A7+1,1,1))</f>
        <v>0</v>
      </c>
      <c r="AZ7" s="35">
        <f t="shared" ca="1" si="42"/>
        <v>0</v>
      </c>
      <c r="BA7" s="35">
        <f t="shared" ca="1" si="51"/>
        <v>0</v>
      </c>
      <c r="BB7" s="34" t="e">
        <f t="shared" ca="1" si="43"/>
        <v>#N/A</v>
      </c>
      <c r="BC7" s="34" t="e">
        <f t="shared" ca="1" si="44"/>
        <v>#N/A</v>
      </c>
    </row>
    <row r="8" spans="1:55" x14ac:dyDescent="0.25">
      <c r="A8" s="31">
        <f t="shared" si="0"/>
        <v>2017</v>
      </c>
      <c r="B8" s="32" t="s">
        <v>38</v>
      </c>
      <c r="C8" s="1">
        <f ca="1">COUNTIFS(OFFSET(Arb!$C$2,,,Arb!$AJ$36,),$A8,OFFSET(Arb!$AI$2,,,Arb!$AJ$36,),TRUE)</f>
        <v>0</v>
      </c>
      <c r="D8" s="1">
        <f ca="1">SUMIFS(OFFSET(Arb!$I$2,,,Arb!$AJ$36,),OFFSET(Arb!$C$2,,,Arb!$AJ$36,),$A8,OFFSET(Arb!$AI$2,,,Arb!$AJ$36,),TRUE)</f>
        <v>0</v>
      </c>
      <c r="E8" s="1">
        <f ca="1">SUMIFS(OFFSET(Arb!$H$2,,,Arb!$AJ$36,),OFFSET(Arb!$C$2,,,Arb!$AJ$36,),$A8,OFFSET(Arb!$AI$2,,,Arb!$AJ$36,),TRUE)</f>
        <v>0</v>
      </c>
      <c r="F8" s="1">
        <f ca="1">SUMIFS(OFFSET(Arb!$AC$2,,,Arb!$AJ$36,),OFFSET(Arb!$C$2,,,Arb!$AJ$36,),$A8,OFFSET(Arb!$AI$2,,,Arb!$AJ$36,),TRUE)</f>
        <v>0</v>
      </c>
      <c r="G8" s="1">
        <f ca="1">SUMIFS(OFFSET(Arb!$U$2,,,Arb!$AJ$36,),OFFSET(Arb!$C$2,,,Arb!$AJ$36,),$A8,OFFSET(Arb!$AI$2,,,Arb!$AJ$36,),TRUE)</f>
        <v>0</v>
      </c>
      <c r="H8" s="1">
        <f ca="1">SUMIFS(OFFSET(Arb!$V$2,,,Arb!$AJ$36,),OFFSET(Arb!$C$2,,,Arb!$AJ$36,),$A8,OFFSET(Arb!$AI$2,,,Arb!$AJ$36,),TRUE)</f>
        <v>0</v>
      </c>
      <c r="I8" s="1">
        <f ca="1">SUMIFS(OFFSET(Arb!$X$2,,,Arb!$AJ$36,),OFFSET(Arb!$C$2,,,Arb!$AJ$36,),$A8,OFFSET(Arb!$AI$2,,,Arb!$AJ$36,),TRUE)</f>
        <v>0</v>
      </c>
      <c r="J8" s="1">
        <f ca="1">SUMIFS(OFFSET(Arb!$AA$2,,,Arb!$AJ$36,),OFFSET(Arb!$C$2,,,Arb!$AJ$36,),$A8,OFFSET(Arb!$AI$2,,,Arb!$AJ$36,),TRUE)</f>
        <v>0</v>
      </c>
      <c r="K8" s="1">
        <f ca="1">SUMIFS(OFFSET(Arb!$AB$2,,,Arb!$AJ$36,),OFFSET(Arb!$C$2,,,Arb!$AJ$36,),$A8,OFFSET(Arb!$AI$2,,,Arb!$AJ$36,),TRUE)</f>
        <v>0</v>
      </c>
      <c r="L8" s="1">
        <f t="shared" ca="1" si="23"/>
        <v>0</v>
      </c>
      <c r="M8" s="39" t="str">
        <f t="shared" ca="1" si="24"/>
        <v/>
      </c>
      <c r="N8" s="12" t="str">
        <f t="shared" ca="1" si="25"/>
        <v/>
      </c>
      <c r="O8" s="33" t="str">
        <f t="shared" ca="1" si="58"/>
        <v/>
      </c>
      <c r="P8" s="20" t="str">
        <f t="shared" ca="1" si="27"/>
        <v/>
      </c>
      <c r="Q8" s="33" t="str">
        <f t="shared" ca="1" si="28"/>
        <v/>
      </c>
      <c r="R8" s="33" t="str">
        <f t="shared" ca="1" si="59"/>
        <v/>
      </c>
      <c r="S8" s="34" t="str">
        <f t="shared" ca="1" si="30"/>
        <v/>
      </c>
      <c r="T8" s="34" t="str">
        <f t="shared" ca="1" si="31"/>
        <v/>
      </c>
      <c r="U8" s="34" t="str">
        <f t="shared" ca="1" si="32"/>
        <v/>
      </c>
      <c r="V8" s="33" t="str">
        <f t="shared" ca="1" si="60"/>
        <v/>
      </c>
      <c r="W8" s="33" t="str">
        <f t="shared" ca="1" si="61"/>
        <v/>
      </c>
      <c r="X8" s="33" t="str">
        <f t="shared" ca="1" si="35"/>
        <v/>
      </c>
      <c r="Y8" s="17" t="str">
        <f t="shared" ca="1" si="36"/>
        <v/>
      </c>
      <c r="Z8" s="34" t="str">
        <f t="shared" ca="1" si="62"/>
        <v/>
      </c>
      <c r="AA8" s="33" t="str">
        <f t="shared" ca="1" si="63"/>
        <v/>
      </c>
      <c r="AB8" s="21" t="str">
        <f t="shared" ca="1" si="64"/>
        <v/>
      </c>
      <c r="AC8" s="472" t="e">
        <f ca="1">SUM(OFFSET(Arb!AK$36,MATCH(A8,OFFSET(Arb!AK$36,,,23,),0)-1,1,1,12))</f>
        <v>#N/A</v>
      </c>
      <c r="AD8" s="12" t="e">
        <f t="shared" ca="1" si="40"/>
        <v>#N/A</v>
      </c>
      <c r="AE8" s="353">
        <f ca="1">COUNTIFS(BV!$H$2:$H$54,"&gt;=" &amp; DATE($A8,1,1),BV!$H$2:$H$54,"&lt;" &amp; DATE($A8+1,1,1))</f>
        <v>0</v>
      </c>
      <c r="AF8" s="353">
        <f ca="1">COUNTIFS(BV!$P$2:$P$54,"&gt;=" &amp; DATE($A8,1,1),BV!$P$2:$P$54,"&lt;" &amp; DATE($A8+1,1,1))</f>
        <v>0</v>
      </c>
      <c r="AG8" s="353">
        <f ca="1">COUNTIFS(BV!$X$2:$X$54,"&gt;=" &amp; DATE($A8,1,1),BV!$X$2:$X$54,"&lt;" &amp; DATE($A8+1,1,1))</f>
        <v>0</v>
      </c>
      <c r="AH8" s="353">
        <f ca="1">COUNTIFS(BV!$AF$2:$AF$54,"&gt;=" &amp; DATE($A8,1,1),BV!$AF$2:$AF$54,"&lt;" &amp; DATE($A8+1,1,1))</f>
        <v>0</v>
      </c>
      <c r="AI8" s="353">
        <f ca="1">COUNTIFS(BV!$AN$2:$AN$54,"&gt;=" &amp; DATE($A8,1,1),BV!$AN$2:$AN$54,"&lt;" &amp; DATE($A8+1,1,1))</f>
        <v>0</v>
      </c>
      <c r="AJ8" s="353">
        <f ca="1">COUNTIFS(BV!$AV$2:$AV$54,"&gt;=" &amp; DATE($A8,1,1),BV!$AV$2:$AV$54,"&lt;" &amp; DATE($A8+1,1,1))</f>
        <v>0</v>
      </c>
      <c r="AK8" s="353">
        <f ca="1">COUNTIFS(BV!$BD$2:$BD$54,"&gt;=" &amp; DATE($A8,1,1),BV!$BD$2:$BD$54,"&lt;" &amp; DATE($A8+1,1,1))</f>
        <v>0</v>
      </c>
      <c r="AL8" s="353">
        <f ca="1">COUNTIFS(BV!$BL$2:$BL$54,"&gt;=" &amp; DATE($A8,1,1),BV!$BL$2:$BL$54,"&lt;" &amp; DATE($A8+1,1,1))</f>
        <v>0</v>
      </c>
      <c r="AM8" s="353">
        <f ca="1">COUNTIFS(BV!$BT$2:$BT$54,"&gt;=" &amp; DATE($A8,1,1),BV!$BT$2:$BT$54,"&lt;" &amp; DATE($A8+1,1,1))</f>
        <v>0</v>
      </c>
      <c r="AN8" s="353">
        <f ca="1">COUNTIFS(BV!$CB$2:$CB$54,"&gt;=" &amp; DATE($A8,1,1),BV!$CB$2:$CB$54,"&lt;" &amp; DATE($A8+1,1,1))</f>
        <v>0</v>
      </c>
      <c r="AO8" s="35">
        <f t="shared" ca="1" si="41"/>
        <v>0</v>
      </c>
      <c r="AP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Q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R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S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T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U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V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W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X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Y8" s="510">
        <f ca="1">COUNTIFS(OFFSET(Time!$J$2,(COLUMN()-42)*20,,20,),"&gt;=" &amp; DATE($A8,1,1),OFFSET(Time!$J$2,(COLUMN()-42)*20,,20,),"&lt;" &amp; DATE($A8+1,1,1))+COUNTIFS(OFFSET(Bvs!$J$2,(COLUMN()-42)*20,,20,),"&gt;=" &amp; DATE($A8,1,1),OFFSET(Bvs!$J$2,(COLUMN()-42)*20,,20,),"&lt;" &amp; DATE($A8+1,1,1))+COUNTIFS(OFFSET(QG!$J$2,(COLUMN()-42)*20,,20,),"&gt;=" &amp; DATE($A8,1,1),OFFSET(QG!$J$2,(COLUMN()-42)*20,,20,),"&lt;" &amp; DATE($A8+1,1,1))</f>
        <v>0</v>
      </c>
      <c r="AZ8" s="35">
        <f t="shared" ca="1" si="42"/>
        <v>0</v>
      </c>
      <c r="BA8" s="35">
        <f t="shared" ca="1" si="51"/>
        <v>0</v>
      </c>
      <c r="BB8" s="34" t="e">
        <f t="shared" ca="1" si="43"/>
        <v>#N/A</v>
      </c>
      <c r="BC8" s="34" t="e">
        <f t="shared" ca="1" si="44"/>
        <v>#N/A</v>
      </c>
    </row>
    <row r="9" spans="1:55" x14ac:dyDescent="0.25">
      <c r="A9" s="31">
        <f t="shared" si="0"/>
        <v>2018</v>
      </c>
      <c r="B9" s="32" t="s">
        <v>38</v>
      </c>
      <c r="C9" s="1">
        <f ca="1">COUNTIFS(OFFSET(Arb!$C$2,,,Arb!$AJ$36,),$A9,OFFSET(Arb!$AI$2,,,Arb!$AJ$36,),TRUE)</f>
        <v>0</v>
      </c>
      <c r="D9" s="1">
        <f ca="1">SUMIFS(OFFSET(Arb!$I$2,,,Arb!$AJ$36,),OFFSET(Arb!$C$2,,,Arb!$AJ$36,),$A9,OFFSET(Arb!$AI$2,,,Arb!$AJ$36,),TRUE)</f>
        <v>0</v>
      </c>
      <c r="E9" s="1">
        <f ca="1">SUMIFS(OFFSET(Arb!$H$2,,,Arb!$AJ$36,),OFFSET(Arb!$C$2,,,Arb!$AJ$36,),$A9,OFFSET(Arb!$AI$2,,,Arb!$AJ$36,),TRUE)</f>
        <v>0</v>
      </c>
      <c r="F9" s="1">
        <f ca="1">SUMIFS(OFFSET(Arb!$AC$2,,,Arb!$AJ$36,),OFFSET(Arb!$C$2,,,Arb!$AJ$36,),$A9,OFFSET(Arb!$AI$2,,,Arb!$AJ$36,),TRUE)</f>
        <v>0</v>
      </c>
      <c r="G9" s="1">
        <f ca="1">SUMIFS(OFFSET(Arb!$U$2,,,Arb!$AJ$36,),OFFSET(Arb!$C$2,,,Arb!$AJ$36,),$A9,OFFSET(Arb!$AI$2,,,Arb!$AJ$36,),TRUE)</f>
        <v>0</v>
      </c>
      <c r="H9" s="1">
        <f ca="1">SUMIFS(OFFSET(Arb!$V$2,,,Arb!$AJ$36,),OFFSET(Arb!$C$2,,,Arb!$AJ$36,),$A9,OFFSET(Arb!$AI$2,,,Arb!$AJ$36,),TRUE)</f>
        <v>0</v>
      </c>
      <c r="I9" s="1">
        <f ca="1">SUMIFS(OFFSET(Arb!$X$2,,,Arb!$AJ$36,),OFFSET(Arb!$C$2,,,Arb!$AJ$36,),$A9,OFFSET(Arb!$AI$2,,,Arb!$AJ$36,),TRUE)</f>
        <v>0</v>
      </c>
      <c r="J9" s="1">
        <f ca="1">SUMIFS(OFFSET(Arb!$AA$2,,,Arb!$AJ$36,),OFFSET(Arb!$C$2,,,Arb!$AJ$36,),$A9,OFFSET(Arb!$AI$2,,,Arb!$AJ$36,),TRUE)</f>
        <v>0</v>
      </c>
      <c r="K9" s="1">
        <f ca="1">SUMIFS(OFFSET(Arb!$AB$2,,,Arb!$AJ$36,),OFFSET(Arb!$C$2,,,Arb!$AJ$36,),$A9,OFFSET(Arb!$AI$2,,,Arb!$AJ$36,),TRUE)</f>
        <v>0</v>
      </c>
      <c r="L9" s="1">
        <f t="shared" ca="1" si="23"/>
        <v>0</v>
      </c>
      <c r="M9" s="39" t="str">
        <f t="shared" ca="1" si="24"/>
        <v/>
      </c>
      <c r="N9" s="12" t="str">
        <f t="shared" ca="1" si="25"/>
        <v/>
      </c>
      <c r="O9" s="33" t="str">
        <f t="shared" ca="1" si="58"/>
        <v/>
      </c>
      <c r="P9" s="20" t="str">
        <f t="shared" ca="1" si="27"/>
        <v/>
      </c>
      <c r="Q9" s="33" t="str">
        <f t="shared" ca="1" si="28"/>
        <v/>
      </c>
      <c r="R9" s="33" t="str">
        <f t="shared" ca="1" si="59"/>
        <v/>
      </c>
      <c r="S9" s="34" t="str">
        <f t="shared" ca="1" si="30"/>
        <v/>
      </c>
      <c r="T9" s="34" t="str">
        <f t="shared" ca="1" si="31"/>
        <v/>
      </c>
      <c r="U9" s="34" t="str">
        <f t="shared" ca="1" si="32"/>
        <v/>
      </c>
      <c r="V9" s="33" t="str">
        <f t="shared" ca="1" si="60"/>
        <v/>
      </c>
      <c r="W9" s="33" t="str">
        <f t="shared" ca="1" si="61"/>
        <v/>
      </c>
      <c r="X9" s="33" t="str">
        <f t="shared" ca="1" si="35"/>
        <v/>
      </c>
      <c r="Y9" s="17" t="str">
        <f t="shared" ca="1" si="36"/>
        <v/>
      </c>
      <c r="Z9" s="34" t="str">
        <f t="shared" ca="1" si="62"/>
        <v/>
      </c>
      <c r="AA9" s="33" t="str">
        <f t="shared" ca="1" si="63"/>
        <v/>
      </c>
      <c r="AB9" s="21" t="str">
        <f t="shared" ca="1" si="64"/>
        <v/>
      </c>
      <c r="AC9" s="472" t="e">
        <f ca="1">SUM(OFFSET(Arb!AK$36,MATCH(A9,OFFSET(Arb!AK$36,,,23,),0)-1,1,1,12))</f>
        <v>#N/A</v>
      </c>
      <c r="AD9" s="12" t="e">
        <f t="shared" ca="1" si="40"/>
        <v>#N/A</v>
      </c>
      <c r="AE9" s="353">
        <f ca="1">COUNTIFS(BV!$H$2:$H$54,"&gt;=" &amp; DATE($A9,1,1),BV!$H$2:$H$54,"&lt;" &amp; DATE($A9+1,1,1))</f>
        <v>0</v>
      </c>
      <c r="AF9" s="353">
        <f ca="1">COUNTIFS(BV!$P$2:$P$54,"&gt;=" &amp; DATE($A9,1,1),BV!$P$2:$P$54,"&lt;" &amp; DATE($A9+1,1,1))</f>
        <v>0</v>
      </c>
      <c r="AG9" s="353">
        <f ca="1">COUNTIFS(BV!$X$2:$X$54,"&gt;=" &amp; DATE($A9,1,1),BV!$X$2:$X$54,"&lt;" &amp; DATE($A9+1,1,1))</f>
        <v>0</v>
      </c>
      <c r="AH9" s="353">
        <f ca="1">COUNTIFS(BV!$AF$2:$AF$54,"&gt;=" &amp; DATE($A9,1,1),BV!$AF$2:$AF$54,"&lt;" &amp; DATE($A9+1,1,1))</f>
        <v>0</v>
      </c>
      <c r="AI9" s="353">
        <f ca="1">COUNTIFS(BV!$AN$2:$AN$54,"&gt;=" &amp; DATE($A9,1,1),BV!$AN$2:$AN$54,"&lt;" &amp; DATE($A9+1,1,1))</f>
        <v>0</v>
      </c>
      <c r="AJ9" s="353">
        <f ca="1">COUNTIFS(BV!$AV$2:$AV$54,"&gt;=" &amp; DATE($A9,1,1),BV!$AV$2:$AV$54,"&lt;" &amp; DATE($A9+1,1,1))</f>
        <v>0</v>
      </c>
      <c r="AK9" s="353">
        <f ca="1">COUNTIFS(BV!$BD$2:$BD$54,"&gt;=" &amp; DATE($A9,1,1),BV!$BD$2:$BD$54,"&lt;" &amp; DATE($A9+1,1,1))</f>
        <v>0</v>
      </c>
      <c r="AL9" s="353">
        <f ca="1">COUNTIFS(BV!$BL$2:$BL$54,"&gt;=" &amp; DATE($A9,1,1),BV!$BL$2:$BL$54,"&lt;" &amp; DATE($A9+1,1,1))</f>
        <v>0</v>
      </c>
      <c r="AM9" s="353">
        <f ca="1">COUNTIFS(BV!$BT$2:$BT$54,"&gt;=" &amp; DATE($A9,1,1),BV!$BT$2:$BT$54,"&lt;" &amp; DATE($A9+1,1,1))</f>
        <v>0</v>
      </c>
      <c r="AN9" s="353">
        <f ca="1">COUNTIFS(BV!$CB$2:$CB$54,"&gt;=" &amp; DATE($A9,1,1),BV!$CB$2:$CB$54,"&lt;" &amp; DATE($A9+1,1,1))</f>
        <v>0</v>
      </c>
      <c r="AO9" s="35">
        <f t="shared" ca="1" si="41"/>
        <v>0</v>
      </c>
      <c r="AP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Q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R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S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T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U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V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W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X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Y9" s="510">
        <f ca="1">COUNTIFS(OFFSET(Time!$J$2,(COLUMN()-42)*20,,20,),"&gt;=" &amp; DATE($A9,1,1),OFFSET(Time!$J$2,(COLUMN()-42)*20,,20,),"&lt;" &amp; DATE($A9+1,1,1))+COUNTIFS(OFFSET(Bvs!$J$2,(COLUMN()-42)*20,,20,),"&gt;=" &amp; DATE($A9,1,1),OFFSET(Bvs!$J$2,(COLUMN()-42)*20,,20,),"&lt;" &amp; DATE($A9+1,1,1))+COUNTIFS(OFFSET(QG!$J$2,(COLUMN()-42)*20,,20,),"&gt;=" &amp; DATE($A9,1,1),OFFSET(QG!$J$2,(COLUMN()-42)*20,,20,),"&lt;" &amp; DATE($A9+1,1,1))</f>
        <v>0</v>
      </c>
      <c r="AZ9" s="35">
        <f t="shared" ca="1" si="42"/>
        <v>0</v>
      </c>
      <c r="BA9" s="35">
        <f t="shared" ca="1" si="51"/>
        <v>0</v>
      </c>
      <c r="BB9" s="34" t="e">
        <f t="shared" ca="1" si="43"/>
        <v>#N/A</v>
      </c>
      <c r="BC9" s="34" t="e">
        <f t="shared" ca="1" si="44"/>
        <v>#N/A</v>
      </c>
    </row>
    <row r="10" spans="1:55" x14ac:dyDescent="0.25">
      <c r="A10" s="31">
        <f>A11-1</f>
        <v>2019</v>
      </c>
      <c r="B10" s="32" t="s">
        <v>38</v>
      </c>
      <c r="C10" s="1">
        <f ca="1">COUNTIFS(OFFSET(Arb!$C$2,,,Arb!$AJ$36,),$A10,OFFSET(Arb!$AI$2,,,Arb!$AJ$36,),TRUE)</f>
        <v>994</v>
      </c>
      <c r="D10" s="1">
        <f ca="1">SUMIFS(OFFSET(Arb!$I$2,,,Arb!$AJ$36,),OFFSET(Arb!$C$2,,,Arb!$AJ$36,),$A10,OFFSET(Arb!$AI$2,,,Arb!$AJ$36,),TRUE)</f>
        <v>16371</v>
      </c>
      <c r="E10" s="1">
        <f ca="1">SUMIFS(OFFSET(Arb!$H$2,,,Arb!$AJ$36,),OFFSET(Arb!$C$2,,,Arb!$AJ$36,),$A10,OFFSET(Arb!$AI$2,,,Arb!$AJ$36,),TRUE)</f>
        <v>6211.5399999999991</v>
      </c>
      <c r="F10" s="1">
        <f ca="1">SUMIFS(OFFSET(Arb!$AC$2,,,Arb!$AJ$36,),OFFSET(Arb!$C$2,,,Arb!$AJ$36,),$A10,OFFSET(Arb!$AI$2,,,Arb!$AJ$36,),TRUE)</f>
        <v>848026</v>
      </c>
      <c r="G10" s="1">
        <f ca="1">SUMIFS(OFFSET(Arb!$U$2,,,Arb!$AJ$36,),OFFSET(Arb!$C$2,,,Arb!$AJ$36,),$A10,OFFSET(Arb!$AI$2,,,Arb!$AJ$36,),TRUE)</f>
        <v>20550</v>
      </c>
      <c r="H10" s="1">
        <f ca="1">SUMIFS(OFFSET(Arb!$V$2,,,Arb!$AJ$36,),OFFSET(Arb!$C$2,,,Arb!$AJ$36,),$A10,OFFSET(Arb!$AI$2,,,Arb!$AJ$36,),TRUE)</f>
        <v>5238</v>
      </c>
      <c r="I10" s="1">
        <f ca="1">SUMIFS(OFFSET(Arb!$X$2,,,Arb!$AJ$36,),OFFSET(Arb!$C$2,,,Arb!$AJ$36,),$A10,OFFSET(Arb!$AI$2,,,Arb!$AJ$36,),TRUE)</f>
        <v>20849</v>
      </c>
      <c r="J10" s="1">
        <f ca="1">SUMIFS(OFFSET(Arb!$AA$2,,,Arb!$AJ$36,),OFFSET(Arb!$C$2,,,Arb!$AJ$36,),$A10,OFFSET(Arb!$AI$2,,,Arb!$AJ$36,),TRUE)</f>
        <v>2696</v>
      </c>
      <c r="K10" s="1">
        <f ca="1">SUMIFS(OFFSET(Arb!$AB$2,,,Arb!$AJ$36,),OFFSET(Arb!$C$2,,,Arb!$AJ$36,),$A10,OFFSET(Arb!$AI$2,,,Arb!$AJ$36,),TRUE)</f>
        <v>3035</v>
      </c>
      <c r="L10" s="1">
        <f t="shared" ca="1" si="23"/>
        <v>25788</v>
      </c>
      <c r="M10" s="39">
        <f t="shared" ca="1" si="24"/>
        <v>16.469818913480886</v>
      </c>
      <c r="N10" s="12">
        <f t="shared" ca="1" si="25"/>
        <v>6.2490342052313874</v>
      </c>
      <c r="O10" s="33">
        <f t="shared" ca="1" si="58"/>
        <v>2.6355782945936115</v>
      </c>
      <c r="P10" s="20">
        <f t="shared" ca="1" si="27"/>
        <v>3.3564945247072391</v>
      </c>
      <c r="Q10" s="33">
        <f t="shared" ca="1" si="28"/>
        <v>4.1516274547052747</v>
      </c>
      <c r="R10" s="33">
        <f t="shared" ca="1" si="59"/>
        <v>1.3683371215175186</v>
      </c>
      <c r="S10" s="34">
        <f t="shared" ca="1" si="30"/>
        <v>34.566773974197439</v>
      </c>
      <c r="T10" s="34">
        <f t="shared" ca="1" si="31"/>
        <v>2.7122736418511066</v>
      </c>
      <c r="U10" s="34">
        <f t="shared" ca="1" si="32"/>
        <v>3.0533199195171026</v>
      </c>
      <c r="V10" s="33">
        <f t="shared" ca="1" si="60"/>
        <v>0.80847681091980772</v>
      </c>
      <c r="W10" s="33">
        <f t="shared" ca="1" si="61"/>
        <v>0.78521751642764637</v>
      </c>
      <c r="X10" s="33">
        <f t="shared" ca="1" si="35"/>
        <v>0.63483015355979522</v>
      </c>
      <c r="Y10" s="17">
        <f t="shared" ca="1" si="36"/>
        <v>53.321554325955738</v>
      </c>
      <c r="Z10" s="34">
        <f t="shared" ca="1" si="62"/>
        <v>8.5327672364663201</v>
      </c>
      <c r="AA10" s="33">
        <f t="shared" ca="1" si="63"/>
        <v>0.30887732215757535</v>
      </c>
      <c r="AB10" s="21">
        <f t="shared" ca="1" si="64"/>
        <v>28.640186509800522</v>
      </c>
      <c r="AC10" s="472">
        <f ca="1">SUM(OFFSET(Arb!AK$36,MATCH(A10,OFFSET(Arb!AK$36,,,23,),0)-1,1,1,12))</f>
        <v>59</v>
      </c>
      <c r="AD10" s="12">
        <f t="shared" ca="1" si="40"/>
        <v>16.847457627118644</v>
      </c>
      <c r="AE10" s="353">
        <f ca="1">COUNTIFS(BV!$H$2:$H$54,"&gt;=" &amp; DATE($A10,1,1),BV!$H$2:$H$54,"&lt;" &amp; DATE($A10+1,1,1))</f>
        <v>15</v>
      </c>
      <c r="AF10" s="353">
        <f ca="1">COUNTIFS(BV!$P$2:$P$54,"&gt;=" &amp; DATE($A10,1,1),BV!$P$2:$P$54,"&lt;" &amp; DATE($A10+1,1,1))</f>
        <v>15</v>
      </c>
      <c r="AG10" s="353">
        <f ca="1">COUNTIFS(BV!$X$2:$X$54,"&gt;=" &amp; DATE($A10,1,1),BV!$X$2:$X$54,"&lt;" &amp; DATE($A10+1,1,1))</f>
        <v>10</v>
      </c>
      <c r="AH10" s="353">
        <f ca="1">COUNTIFS(BV!$AF$2:$AF$54,"&gt;=" &amp; DATE($A10,1,1),BV!$AF$2:$AF$54,"&lt;" &amp; DATE($A10+1,1,1))</f>
        <v>11</v>
      </c>
      <c r="AI10" s="353">
        <f ca="1">COUNTIFS(BV!$AN$2:$AN$54,"&gt;=" &amp; DATE($A10,1,1),BV!$AN$2:$AN$54,"&lt;" &amp; DATE($A10+1,1,1))</f>
        <v>12</v>
      </c>
      <c r="AJ10" s="353">
        <f ca="1">COUNTIFS(BV!$AV$2:$AV$54,"&gt;=" &amp; DATE($A10,1,1),BV!$AV$2:$AV$54,"&lt;" &amp; DATE($A10+1,1,1))</f>
        <v>14</v>
      </c>
      <c r="AK10" s="353">
        <f ca="1">COUNTIFS(BV!$BD$2:$BD$54,"&gt;=" &amp; DATE($A10,1,1),BV!$BD$2:$BD$54,"&lt;" &amp; DATE($A10+1,1,1))</f>
        <v>14</v>
      </c>
      <c r="AL10" s="353">
        <f ca="1">COUNTIFS(BV!$BL$2:$BL$54,"&gt;=" &amp; DATE($A10,1,1),BV!$BL$2:$BL$54,"&lt;" &amp; DATE($A10+1,1,1))</f>
        <v>11</v>
      </c>
      <c r="AM10" s="353">
        <f ca="1">COUNTIFS(BV!$BT$2:$BT$54,"&gt;=" &amp; DATE($A10,1,1),BV!$BT$2:$BT$54,"&lt;" &amp; DATE($A10+1,1,1))</f>
        <v>12</v>
      </c>
      <c r="AN10" s="353">
        <f ca="1">COUNTIFS(BV!$CB$2:$CB$54,"&gt;=" &amp; DATE($A10,1,1),BV!$CB$2:$CB$54,"&lt;" &amp; DATE($A10+1,1,1))</f>
        <v>10</v>
      </c>
      <c r="AO10" s="35">
        <f t="shared" ca="1" si="41"/>
        <v>390.25</v>
      </c>
      <c r="AP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14</v>
      </c>
      <c r="AQ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28</v>
      </c>
      <c r="AR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24</v>
      </c>
      <c r="AS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28</v>
      </c>
      <c r="AT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28</v>
      </c>
      <c r="AU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25</v>
      </c>
      <c r="AV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26</v>
      </c>
      <c r="AW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29</v>
      </c>
      <c r="AX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24</v>
      </c>
      <c r="AY10" s="510">
        <f ca="1">COUNTIFS(OFFSET(Time!$J$2,(COLUMN()-42)*20,,20,),"&gt;=" &amp; DATE($A10,1,1),OFFSET(Time!$J$2,(COLUMN()-42)*20,,20,),"&lt;" &amp; DATE($A10+1,1,1))+COUNTIFS(OFFSET(Bvs!$J$2,(COLUMN()-42)*20,,20,),"&gt;=" &amp; DATE($A10,1,1),OFFSET(Bvs!$J$2,(COLUMN()-42)*20,,20,),"&lt;" &amp; DATE($A10+1,1,1))+COUNTIFS(OFFSET(QG!$J$2,(COLUMN()-42)*20,,20,),"&gt;=" &amp; DATE($A10,1,1),OFFSET(QG!$J$2,(COLUMN()-42)*20,,20,),"&lt;" &amp; DATE($A10+1,1,1))</f>
        <v>26</v>
      </c>
      <c r="AZ10" s="35">
        <f t="shared" ca="1" si="42"/>
        <v>653.72619047619037</v>
      </c>
      <c r="BA10" s="35">
        <f t="shared" ca="1" si="51"/>
        <v>1043.9761904761904</v>
      </c>
      <c r="BB10" s="34">
        <f t="shared" ca="1" si="43"/>
        <v>17.694511702986276</v>
      </c>
      <c r="BC10" s="34">
        <f t="shared" ca="1" si="44"/>
        <v>1.0502778576219218</v>
      </c>
    </row>
    <row r="11" spans="1:55" ht="13.8" thickBot="1" x14ac:dyDescent="0.3">
      <c r="A11" s="362">
        <f>A21</f>
        <v>2020</v>
      </c>
      <c r="B11" s="363" t="s">
        <v>38</v>
      </c>
      <c r="C11" s="146">
        <f ca="1">COUNTIFS(OFFSET(Arb!$C$2,,,Arb!$AJ$36,),$A11,OFFSET(Arb!$AI$2,,,Arb!$AJ$36,),TRUE)</f>
        <v>887</v>
      </c>
      <c r="D11" s="146">
        <f ca="1">SUMIFS(OFFSET(Arb!$I$2,,,Arb!$AJ$36,),OFFSET(Arb!$C$2,,,Arb!$AJ$36,),$A11,OFFSET(Arb!$AI$2,,,Arb!$AJ$36,),TRUE)</f>
        <v>14556</v>
      </c>
      <c r="E11" s="146">
        <f ca="1">SUMIFS(OFFSET(Arb!$H$2,,,Arb!$AJ$36,),OFFSET(Arb!$C$2,,,Arb!$AJ$36,),$A11,OFFSET(Arb!$AI$2,,,Arb!$AJ$36,),TRUE)</f>
        <v>5719.2300000000023</v>
      </c>
      <c r="F11" s="146">
        <f ca="1">SUMIFS(OFFSET(Arb!$AC$2,,,Arb!$AJ$36,),OFFSET(Arb!$C$2,,,Arb!$AJ$36,),$A11,OFFSET(Arb!$AI$2,,,Arb!$AJ$36,),TRUE)</f>
        <v>752116</v>
      </c>
      <c r="G11" s="146">
        <f ca="1">SUMIFS(OFFSET(Arb!$U$2,,,Arb!$AJ$36,),OFFSET(Arb!$C$2,,,Arb!$AJ$36,),$A11,OFFSET(Arb!$AI$2,,,Arb!$AJ$36,),TRUE)</f>
        <v>16685</v>
      </c>
      <c r="H11" s="146">
        <f ca="1">SUMIFS(OFFSET(Arb!$V$2,,,Arb!$AJ$36,),OFFSET(Arb!$C$2,,,Arb!$AJ$36,),$A11,OFFSET(Arb!$AI$2,,,Arb!$AJ$36,),TRUE)</f>
        <v>5249</v>
      </c>
      <c r="I11" s="146">
        <f ca="1">SUMIFS(OFFSET(Arb!$X$2,,,Arb!$AJ$36,),OFFSET(Arb!$C$2,,,Arb!$AJ$36,),$A11,OFFSET(Arb!$AI$2,,,Arb!$AJ$36,),TRUE)</f>
        <v>18586</v>
      </c>
      <c r="J11" s="146">
        <f ca="1">SUMIFS(OFFSET(Arb!$AA$2,,,Arb!$AJ$36,),OFFSET(Arb!$C$2,,,Arb!$AJ$36,),$A11,OFFSET(Arb!$AI$2,,,Arb!$AJ$36,),TRUE)</f>
        <v>2375</v>
      </c>
      <c r="K11" s="146">
        <f ca="1">SUMIFS(OFFSET(Arb!$AB$2,,,Arb!$AJ$36,),OFFSET(Arb!$C$2,,,Arb!$AJ$36,),$A11,OFFSET(Arb!$AI$2,,,Arb!$AJ$36,),TRUE)</f>
        <v>2778</v>
      </c>
      <c r="L11" s="146">
        <f t="shared" ca="1" si="23"/>
        <v>21934</v>
      </c>
      <c r="M11" s="388">
        <f t="shared" ca="1" si="24"/>
        <v>16.410372040586246</v>
      </c>
      <c r="N11" s="364">
        <f t="shared" ca="1" si="25"/>
        <v>6.4478354002254816</v>
      </c>
      <c r="O11" s="96">
        <f t="shared" ca="1" si="58"/>
        <v>2.5450978540817548</v>
      </c>
      <c r="P11" s="365">
        <f t="shared" ca="1" si="27"/>
        <v>3.2497381640535514</v>
      </c>
      <c r="Q11" s="96">
        <f t="shared" ca="1" si="28"/>
        <v>3.8351316523378132</v>
      </c>
      <c r="R11" s="96">
        <f t="shared" ca="1" si="59"/>
        <v>1.4483891900794357</v>
      </c>
      <c r="S11" s="95">
        <f t="shared" ca="1" si="30"/>
        <v>32.656277970015729</v>
      </c>
      <c r="T11" s="95">
        <f t="shared" ca="1" si="31"/>
        <v>2.6775648252536639</v>
      </c>
      <c r="U11" s="95">
        <f t="shared" ca="1" si="32"/>
        <v>3.1319052987598646</v>
      </c>
      <c r="V11" s="96">
        <f t="shared" ca="1" si="60"/>
        <v>0.84736026260599984</v>
      </c>
      <c r="W11" s="96">
        <f t="shared" ca="1" si="61"/>
        <v>0.78317012805337349</v>
      </c>
      <c r="X11" s="96">
        <f t="shared" ca="1" si="35"/>
        <v>0.66362724537248108</v>
      </c>
      <c r="Y11" s="147">
        <f t="shared" ca="1" si="36"/>
        <v>52.995772266065387</v>
      </c>
      <c r="Z11" s="95">
        <f t="shared" ca="1" si="62"/>
        <v>8.2191571242981976</v>
      </c>
      <c r="AA11" s="96">
        <f t="shared" ca="1" si="63"/>
        <v>0.30965436182716499</v>
      </c>
      <c r="AB11" s="129">
        <f t="shared" ca="1" si="64"/>
        <v>26.710108583184493</v>
      </c>
      <c r="AC11" s="472">
        <f ca="1">SUM(OFFSET(Arb!AK$36,MATCH(A11,OFFSET(Arb!AK$36,,,23,),0)-1,1,1,12))</f>
        <v>195</v>
      </c>
      <c r="AD11" s="364">
        <f t="shared" ca="1" si="40"/>
        <v>4.5487179487179485</v>
      </c>
      <c r="AE11" s="94">
        <f ca="1">COUNTIFS(BV!$H$2:$H$54,"&gt;=" &amp; DATE($A11,1,1),BV!$H$2:$H$54,"&lt;" &amp; DATE($A11+1,1,1))</f>
        <v>22</v>
      </c>
      <c r="AF11" s="94">
        <f ca="1">COUNTIFS(BV!$P$2:$P$54,"&gt;=" &amp; DATE($A11,1,1),BV!$P$2:$P$54,"&lt;" &amp; DATE($A11+1,1,1))</f>
        <v>20</v>
      </c>
      <c r="AG11" s="94">
        <f ca="1">COUNTIFS(BV!$X$2:$X$54,"&gt;=" &amp; DATE($A11,1,1),BV!$X$2:$X$54,"&lt;" &amp; DATE($A11+1,1,1))</f>
        <v>21</v>
      </c>
      <c r="AH11" s="94">
        <f ca="1">COUNTIFS(BV!$AF$2:$AF$54,"&gt;=" &amp; DATE($A11,1,1),BV!$AF$2:$AF$54,"&lt;" &amp; DATE($A11+1,1,1))</f>
        <v>18</v>
      </c>
      <c r="AI11" s="94">
        <f ca="1">COUNTIFS(BV!$AN$2:$AN$54,"&gt;=" &amp; DATE($A11,1,1),BV!$AN$2:$AN$54,"&lt;" &amp; DATE($A11+1,1,1))</f>
        <v>16</v>
      </c>
      <c r="AJ11" s="94">
        <f ca="1">COUNTIFS(BV!$AV$2:$AV$54,"&gt;=" &amp; DATE($A11,1,1),BV!$AV$2:$AV$54,"&lt;" &amp; DATE($A11+1,1,1))</f>
        <v>13</v>
      </c>
      <c r="AK11" s="94">
        <f ca="1">COUNTIFS(BV!$BD$2:$BD$54,"&gt;=" &amp; DATE($A11,1,1),BV!$BD$2:$BD$54,"&lt;" &amp; DATE($A11+1,1,1))</f>
        <v>13</v>
      </c>
      <c r="AL11" s="94">
        <f ca="1">COUNTIFS(BV!$BL$2:$BL$54,"&gt;=" &amp; DATE($A11,1,1),BV!$BL$2:$BL$54,"&lt;" &amp; DATE($A11+1,1,1))</f>
        <v>14</v>
      </c>
      <c r="AM11" s="94">
        <f ca="1">COUNTIFS(BV!$BT$2:$BT$54,"&gt;=" &amp; DATE($A11,1,1),BV!$BT$2:$BT$54,"&lt;" &amp; DATE($A11+1,1,1))</f>
        <v>13</v>
      </c>
      <c r="AN11" s="94">
        <f ca="1">COUNTIFS(BV!$CB$2:$CB$54,"&gt;=" &amp; DATE($A11,1,1),BV!$CB$2:$CB$54,"&lt;" &amp; DATE($A11+1,1,1))</f>
        <v>14</v>
      </c>
      <c r="AO11" s="366">
        <f t="shared" ca="1" si="41"/>
        <v>553.18253968253964</v>
      </c>
      <c r="AP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46</v>
      </c>
      <c r="AQ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32</v>
      </c>
      <c r="AR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36</v>
      </c>
      <c r="AS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32</v>
      </c>
      <c r="AT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32</v>
      </c>
      <c r="AU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35</v>
      </c>
      <c r="AV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34</v>
      </c>
      <c r="AW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31</v>
      </c>
      <c r="AX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36</v>
      </c>
      <c r="AY11" s="510">
        <f ca="1">COUNTIFS(OFFSET(Time!$J$2,(COLUMN()-42)*20,,20,),"&gt;=" &amp; DATE($A11,1,1),OFFSET(Time!$J$2,(COLUMN()-42)*20,,20,),"&lt;" &amp; DATE($A11+1,1,1))+COUNTIFS(OFFSET(Bvs!$J$2,(COLUMN()-42)*20,,20,),"&gt;=" &amp; DATE($A11,1,1),OFFSET(Bvs!$J$2,(COLUMN()-42)*20,,20,),"&lt;" &amp; DATE($A11+1,1,1))+COUNTIFS(OFFSET(QG!$J$2,(COLUMN()-42)*20,,20,),"&gt;=" &amp; DATE($A11,1,1),OFFSET(QG!$J$2,(COLUMN()-42)*20,,20,),"&lt;" &amp; DATE($A11+1,1,1))</f>
        <v>34</v>
      </c>
      <c r="AZ11" s="366">
        <f t="shared" ca="1" si="42"/>
        <v>1103.6547619047619</v>
      </c>
      <c r="BA11" s="366">
        <f t="shared" ca="1" si="51"/>
        <v>1656.8373015873017</v>
      </c>
      <c r="BB11" s="95">
        <f t="shared" ca="1" si="43"/>
        <v>8.4966015466015463</v>
      </c>
      <c r="BC11" s="95">
        <f t="shared" ca="1" si="44"/>
        <v>1.867911275746676</v>
      </c>
    </row>
    <row r="12" spans="1:55" ht="13.8" thickBot="1" x14ac:dyDescent="0.3">
      <c r="A12" s="370">
        <f t="shared" ref="A12:A19" si="65">A13-1</f>
        <v>2011</v>
      </c>
      <c r="B12" s="372" t="s">
        <v>39</v>
      </c>
      <c r="C12" s="157">
        <f ca="1">COUNTIFS(OFFSET(Arb!$C$2,Arb!$AJ$36,,Arb!$AJ$37,),$A12,OFFSET(Arb!$AI$2,Arb!$AJ$36,,Arb!$AJ$37,),TRUE)</f>
        <v>0</v>
      </c>
      <c r="D12" s="157">
        <f ca="1">SUMIFS(OFFSET(Arb!$I$2,Arb!$AJ$36,,Arb!$AJ$37,),OFFSET(Arb!$C$2,Arb!$AJ$36,,Arb!$AJ$37,),$A12,OFFSET(Arb!$AI$2,Arb!$AJ$36,,Arb!$AJ$37,),TRUE)</f>
        <v>0</v>
      </c>
      <c r="E12" s="157">
        <f ca="1">SUMIFS(OFFSET(Arb!$H$2,Arb!$AJ$36,,Arb!$AJ$37,),OFFSET(Arb!$C$2,Arb!$AJ$36,,Arb!$AJ$37,),$A12,OFFSET(Arb!$AI$2,Arb!$AJ$36,,Arb!$AJ$37,),TRUE)</f>
        <v>0</v>
      </c>
      <c r="F12" s="157">
        <f ca="1">SUMIFS(OFFSET(Arb!$AC$2,Arb!$AJ$36,,Arb!$AJ$37,),OFFSET(Arb!$C$2,Arb!$AJ$36,,Arb!$AJ$37,),$A12,OFFSET(Arb!$AI$2,Arb!$AJ$36,,Arb!$AJ$37,),TRUE)</f>
        <v>0</v>
      </c>
      <c r="G12" s="157">
        <f ca="1">SUMIFS(OFFSET(Arb!$U$2,Arb!$AJ$36,,Arb!$AJ$37,),OFFSET(Arb!$C$2,Arb!$AJ$36,,Arb!$AJ$37,),$A12,OFFSET(Arb!$AI$2,Arb!$AJ$36,,Arb!$AJ$37,),TRUE)</f>
        <v>0</v>
      </c>
      <c r="H12" s="157">
        <f ca="1">SUMIFS(OFFSET(Arb!$V$2,Arb!$AJ$36,,Arb!$AJ$37,),OFFSET(Arb!$C$2,Arb!$AJ$36,,Arb!$AJ$37,),$A12,OFFSET(Arb!$AI$2,Arb!$AJ$36,,Arb!$AJ$37,),TRUE)</f>
        <v>0</v>
      </c>
      <c r="I12" s="157">
        <f ca="1">SUMIFS(OFFSET(Arb!$X$2,Arb!$AJ$36,,Arb!$AJ$37,),OFFSET(Arb!$C$2,Arb!$AJ$36,,Arb!$AJ$37,),$A12,OFFSET(Arb!$AI$2,Arb!$AJ$36,,Arb!$AJ$37,),TRUE)</f>
        <v>0</v>
      </c>
      <c r="J12" s="157">
        <f ca="1">SUMIFS(OFFSET(Arb!$AA$2,Arb!$AJ$36,,Arb!$AJ$37,),OFFSET(Arb!$C$2,Arb!$AJ$36,,Arb!$AJ$37,),$A12,OFFSET(Arb!$AI$2,Arb!$AJ$36,,Arb!$AJ$37,),TRUE)</f>
        <v>0</v>
      </c>
      <c r="K12" s="157">
        <f ca="1">SUMIFS(OFFSET(Arb!$AB$2,Arb!$AJ$36,,Arb!$AJ$37,),OFFSET(Arb!$C$2,Arb!$AJ$36,,Arb!$AJ$37,),$A12,OFFSET(Arb!$AI$2,Arb!$AJ$36,,Arb!$AJ$37,),TRUE)</f>
        <v>0</v>
      </c>
      <c r="L12" s="157">
        <f t="shared" ref="L12" ca="1" si="66">G12+H12</f>
        <v>0</v>
      </c>
      <c r="M12" s="390" t="str">
        <f t="shared" ref="M12" ca="1" si="67">IFERROR(D12/C12,"")</f>
        <v/>
      </c>
      <c r="N12" s="373" t="str">
        <f t="shared" ref="N12" ca="1" si="68">IFERROR(E12/C12,"")</f>
        <v/>
      </c>
      <c r="O12" s="106" t="str">
        <f t="shared" ca="1" si="58"/>
        <v/>
      </c>
      <c r="P12" s="374" t="str">
        <f t="shared" ref="P12" ca="1" si="69">IFERROR(I12/E12,"")</f>
        <v/>
      </c>
      <c r="Q12" s="106" t="str">
        <f t="shared" ref="Q12" ca="1" si="70">IFERROR(L12/E12,"")</f>
        <v/>
      </c>
      <c r="R12" s="106" t="str">
        <f t="shared" ca="1" si="59"/>
        <v/>
      </c>
      <c r="S12" s="105" t="str">
        <f t="shared" ref="S12" ca="1" si="71">IFERROR((IF(B12="beg",47.299,0)+IF(B12="int",153.73,0)+IF(B12="exp",435.001,0))/R12,"")</f>
        <v/>
      </c>
      <c r="T12" s="105" t="str">
        <f t="shared" ref="T12" ca="1" si="72">IFERROR(J12/C12,"")</f>
        <v/>
      </c>
      <c r="U12" s="105" t="str">
        <f t="shared" ref="U12" ca="1" si="73">IFERROR(K12/C12,"")</f>
        <v/>
      </c>
      <c r="V12" s="106" t="str">
        <f t="shared" ca="1" si="60"/>
        <v/>
      </c>
      <c r="W12" s="106" t="str">
        <f t="shared" ca="1" si="61"/>
        <v/>
      </c>
      <c r="X12" s="106" t="str">
        <f t="shared" ref="X12" ca="1" si="74">IFERROR(D12/L12,"")</f>
        <v/>
      </c>
      <c r="Y12" s="158" t="str">
        <f t="shared" ref="Y12" ca="1" si="75">IFERROR(F12/C12/16,"")</f>
        <v/>
      </c>
      <c r="Z12" s="105" t="str">
        <f t="shared" ca="1" si="62"/>
        <v/>
      </c>
      <c r="AA12" s="106" t="str">
        <f t="shared" ca="1" si="63"/>
        <v/>
      </c>
      <c r="AB12" s="132" t="str">
        <f t="shared" ref="AB12" ca="1" si="76">IFERROR(Z12*P12,"")</f>
        <v/>
      </c>
      <c r="AC12" s="547" t="str">
        <f>AC1</f>
        <v>天数</v>
      </c>
      <c r="AD12" s="373" t="e">
        <f t="shared" ref="AD12" ca="1" si="77">C12/AC12</f>
        <v>#VALUE!</v>
      </c>
      <c r="AE12" s="104">
        <f ca="1">COUNTIFS(BV!$H$55:$H$160,"&gt;=" &amp; DATE($A12,1,1),BV!$H$55:$H$160,"&lt;" &amp; DATE($A12+1,1,1))</f>
        <v>0</v>
      </c>
      <c r="AF12" s="104">
        <f ca="1">COUNTIFS(BV!$P$55:$P$160,"&gt;=" &amp; DATE($A12,1,1),BV!$P$55:$P$160,"&lt;" &amp; DATE($A12+1,1,1))</f>
        <v>0</v>
      </c>
      <c r="AG12" s="104">
        <f ca="1">COUNTIFS(BV!$X$55:$X$160,"&gt;=" &amp; DATE($A12,1,1),BV!$X$55:$X$160,"&lt;" &amp; DATE($A12+1,1,1))</f>
        <v>0</v>
      </c>
      <c r="AH12" s="104">
        <f ca="1">COUNTIFS(BV!$AF$55:$AF$160,"&gt;=" &amp; DATE($A12,1,1),BV!$AF$55:$AF$160,"&lt;" &amp; DATE($A12+1,1,1))</f>
        <v>0</v>
      </c>
      <c r="AI12" s="104">
        <f ca="1">COUNTIFS(BV!$AN$55:$AN$160,"&gt;=" &amp; DATE($A12,1,1),BV!$AN$55:$AN$160,"&lt;" &amp; DATE($A12+1,1,1))</f>
        <v>0</v>
      </c>
      <c r="AJ12" s="104">
        <f ca="1">COUNTIFS(BV!$AV$55:$AV$160,"&gt;=" &amp; DATE($A12,1,1),BV!$AV$55:$AV$160,"&lt;" &amp; DATE($A12+1,1,1))</f>
        <v>0</v>
      </c>
      <c r="AK12" s="104">
        <f ca="1">COUNTIFS(BV!$BD$55:$BD$160,"&gt;=" &amp; DATE($A12,1,1),BV!$BD$55:$BD$160,"&lt;" &amp; DATE($A12+1,1,1))</f>
        <v>0</v>
      </c>
      <c r="AL12" s="104">
        <f ca="1">COUNTIFS(BV!$BL$55:$BL$160,"&gt;=" &amp; DATE($A12,1,1),BV!$BL$55:$BL$160,"&lt;" &amp; DATE($A12+1,1,1))</f>
        <v>0</v>
      </c>
      <c r="AM12" s="104">
        <f ca="1">COUNTIFS(BV!$BT$55:$BT$160,"&gt;=" &amp; DATE($A12,1,1),BV!$BT$55:$BT$160,"&lt;" &amp; DATE($A12+1,1,1))</f>
        <v>0</v>
      </c>
      <c r="AN12" s="104">
        <f ca="1">COUNTIFS(BV!$CB$55:$CB$160,"&gt;=" &amp; DATE($A12,1,1),BV!$CB$55:$CB$160,"&lt;" &amp; DATE($A12+1,1,1))</f>
        <v>0</v>
      </c>
      <c r="AO12" s="375">
        <f t="shared" ref="AO12" ca="1" si="78">(AE12+AF12/2+AG12/3+AH12/4+AI12/5+AJ12/6+AK12/7+AL12/8+AM12/9+AN12/10)*10</f>
        <v>0</v>
      </c>
      <c r="AP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Q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R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S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T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U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V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W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X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Y12" s="547">
        <f ca="1">COUNTIFS(OFFSET(Time!$T$2,(COLUMN()-42)*20,,20,),"&gt;=" &amp; DATE($A12,1,1),OFFSET(Time!$T$2,(COLUMN()-42)*20,,20,),"&lt;" &amp; DATE($A12+1,1,1))+COUNTIFS(OFFSET(Bvs!$T$2,(COLUMN()-42)*20,,20,),"&gt;=" &amp; DATE($A12,1,1),OFFSET(Bvs!$T$2,(COLUMN()-42)*20,,20,),"&lt;" &amp; DATE($A12+1,1,1))+COUNTIFS(OFFSET(QG!$T$2,(COLUMN()-42)*20,,20,),"&gt;=" &amp; DATE($A12,1,1),OFFSET(QG!$T$2,(COLUMN()-42)*20,,20,),"&lt;" &amp; DATE($A12+1,1,1))</f>
        <v>0</v>
      </c>
      <c r="AZ12" s="375">
        <f t="shared" ref="AZ12" ca="1" si="79">(AP12+AQ12/2+AR12/3+AS12/4+AT12/5+AU12/6+AV12/7+AW12/8+AX12/9+AY12/10)*10</f>
        <v>0</v>
      </c>
      <c r="BA12" s="375">
        <f t="shared" ref="BA12" ca="1" si="80">AO12+AZ12</f>
        <v>0</v>
      </c>
      <c r="BB12" s="105" t="e">
        <f t="shared" ref="BB12" ca="1" si="81">BA12/AC12</f>
        <v>#VALUE!</v>
      </c>
      <c r="BC12" s="392" t="e">
        <f t="shared" ref="BC12" ca="1" si="82">IF(AD12=0,0,BB12/AD12)</f>
        <v>#VALUE!</v>
      </c>
    </row>
    <row r="13" spans="1:55" x14ac:dyDescent="0.25">
      <c r="A13" s="370">
        <f t="shared" si="65"/>
        <v>2012</v>
      </c>
      <c r="B13" s="372" t="s">
        <v>39</v>
      </c>
      <c r="C13" s="157">
        <f ca="1">COUNTIFS(OFFSET(Arb!$C$2,Arb!$AJ$36,,Arb!$AJ$37,),$A13,OFFSET(Arb!$AI$2,Arb!$AJ$36,,Arb!$AJ$37,),TRUE)</f>
        <v>0</v>
      </c>
      <c r="D13" s="157">
        <f ca="1">SUMIFS(OFFSET(Arb!$I$2,Arb!$AJ$36,,Arb!$AJ$37,),OFFSET(Arb!$C$2,Arb!$AJ$36,,Arb!$AJ$37,),$A13,OFFSET(Arb!$AI$2,Arb!$AJ$36,,Arb!$AJ$37,),TRUE)</f>
        <v>0</v>
      </c>
      <c r="E13" s="157">
        <f ca="1">SUMIFS(OFFSET(Arb!$H$2,Arb!$AJ$36,,Arb!$AJ$37,),OFFSET(Arb!$C$2,Arb!$AJ$36,,Arb!$AJ$37,),$A13,OFFSET(Arb!$AI$2,Arb!$AJ$36,,Arb!$AJ$37,),TRUE)</f>
        <v>0</v>
      </c>
      <c r="F13" s="157">
        <f ca="1">SUMIFS(OFFSET(Arb!$AC$2,Arb!$AJ$36,,Arb!$AJ$37,),OFFSET(Arb!$C$2,Arb!$AJ$36,,Arb!$AJ$37,),$A13,OFFSET(Arb!$AI$2,Arb!$AJ$36,,Arb!$AJ$37,),TRUE)</f>
        <v>0</v>
      </c>
      <c r="G13" s="157">
        <f ca="1">SUMIFS(OFFSET(Arb!$U$2,Arb!$AJ$36,,Arb!$AJ$37,),OFFSET(Arb!$C$2,Arb!$AJ$36,,Arb!$AJ$37,),$A13,OFFSET(Arb!$AI$2,Arb!$AJ$36,,Arb!$AJ$37,),TRUE)</f>
        <v>0</v>
      </c>
      <c r="H13" s="157">
        <f ca="1">SUMIFS(OFFSET(Arb!$V$2,Arb!$AJ$36,,Arb!$AJ$37,),OFFSET(Arb!$C$2,Arb!$AJ$36,,Arb!$AJ$37,),$A13,OFFSET(Arb!$AI$2,Arb!$AJ$36,,Arb!$AJ$37,),TRUE)</f>
        <v>0</v>
      </c>
      <c r="I13" s="157">
        <f ca="1">SUMIFS(OFFSET(Arb!$X$2,Arb!$AJ$36,,Arb!$AJ$37,),OFFSET(Arb!$C$2,Arb!$AJ$36,,Arb!$AJ$37,),$A13,OFFSET(Arb!$AI$2,Arb!$AJ$36,,Arb!$AJ$37,),TRUE)</f>
        <v>0</v>
      </c>
      <c r="J13" s="157">
        <f ca="1">SUMIFS(OFFSET(Arb!$AA$2,Arb!$AJ$36,,Arb!$AJ$37,),OFFSET(Arb!$C$2,Arb!$AJ$36,,Arb!$AJ$37,),$A13,OFFSET(Arb!$AI$2,Arb!$AJ$36,,Arb!$AJ$37,),TRUE)</f>
        <v>0</v>
      </c>
      <c r="K13" s="157">
        <f ca="1">SUMIFS(OFFSET(Arb!$AB$2,Arb!$AJ$36,,Arb!$AJ$37,),OFFSET(Arb!$C$2,Arb!$AJ$36,,Arb!$AJ$37,),$A13,OFFSET(Arb!$AI$2,Arb!$AJ$36,,Arb!$AJ$37,),TRUE)</f>
        <v>0</v>
      </c>
      <c r="L13" s="157">
        <f t="shared" ca="1" si="23"/>
        <v>0</v>
      </c>
      <c r="M13" s="390" t="str">
        <f t="shared" ca="1" si="24"/>
        <v/>
      </c>
      <c r="N13" s="373" t="str">
        <f t="shared" ca="1" si="25"/>
        <v/>
      </c>
      <c r="O13" s="106" t="str">
        <f t="shared" ref="O13" ca="1" si="83">IFERROR(M13/N13,"")</f>
        <v/>
      </c>
      <c r="P13" s="374" t="str">
        <f t="shared" ca="1" si="27"/>
        <v/>
      </c>
      <c r="Q13" s="106" t="str">
        <f t="shared" ca="1" si="28"/>
        <v/>
      </c>
      <c r="R13" s="106" t="str">
        <f t="shared" ref="R13" ca="1" si="84">IFERROR(N13^1.7/M13,"")</f>
        <v/>
      </c>
      <c r="S13" s="105" t="str">
        <f t="shared" ca="1" si="30"/>
        <v/>
      </c>
      <c r="T13" s="105" t="str">
        <f t="shared" ca="1" si="31"/>
        <v/>
      </c>
      <c r="U13" s="105" t="str">
        <f t="shared" ca="1" si="32"/>
        <v/>
      </c>
      <c r="V13" s="106" t="str">
        <f t="shared" ref="V13" ca="1" si="85">IFERROR(P13/Q13,"")</f>
        <v/>
      </c>
      <c r="W13" s="106" t="str">
        <f t="shared" ref="W13" ca="1" si="86">IFERROR(O13/P13,"")</f>
        <v/>
      </c>
      <c r="X13" s="106" t="str">
        <f t="shared" ca="1" si="35"/>
        <v/>
      </c>
      <c r="Y13" s="158" t="str">
        <f t="shared" ca="1" si="36"/>
        <v/>
      </c>
      <c r="Z13" s="105" t="str">
        <f t="shared" ref="Z13" ca="1" si="87">IFERROR(Y13/N13,"")</f>
        <v/>
      </c>
      <c r="AA13" s="106" t="str">
        <f t="shared" ref="AA13" ca="1" si="88">IFERROR(M13/Y13,"")</f>
        <v/>
      </c>
      <c r="AB13" s="132" t="str">
        <f t="shared" ca="1" si="64"/>
        <v/>
      </c>
      <c r="AC13" s="470" t="e">
        <f ca="1">AC3</f>
        <v>#N/A</v>
      </c>
      <c r="AD13" s="373" t="e">
        <f t="shared" ca="1" si="40"/>
        <v>#N/A</v>
      </c>
      <c r="AE13" s="104">
        <f ca="1">COUNTIFS(BV!$H$55:$H$160,"&gt;=" &amp; DATE($A13,1,1),BV!$H$55:$H$160,"&lt;" &amp; DATE($A13+1,1,1))</f>
        <v>0</v>
      </c>
      <c r="AF13" s="104">
        <f ca="1">COUNTIFS(BV!$P$55:$P$160,"&gt;=" &amp; DATE($A13,1,1),BV!$P$55:$P$160,"&lt;" &amp; DATE($A13+1,1,1))</f>
        <v>0</v>
      </c>
      <c r="AG13" s="104">
        <f ca="1">COUNTIFS(BV!$X$55:$X$160,"&gt;=" &amp; DATE($A13,1,1),BV!$X$55:$X$160,"&lt;" &amp; DATE($A13+1,1,1))</f>
        <v>0</v>
      </c>
      <c r="AH13" s="104">
        <f ca="1">COUNTIFS(BV!$AF$55:$AF$160,"&gt;=" &amp; DATE($A13,1,1),BV!$AF$55:$AF$160,"&lt;" &amp; DATE($A13+1,1,1))</f>
        <v>0</v>
      </c>
      <c r="AI13" s="104">
        <f ca="1">COUNTIFS(BV!$AN$55:$AN$160,"&gt;=" &amp; DATE($A13,1,1),BV!$AN$55:$AN$160,"&lt;" &amp; DATE($A13+1,1,1))</f>
        <v>0</v>
      </c>
      <c r="AJ13" s="104">
        <f ca="1">COUNTIFS(BV!$AV$55:$AV$160,"&gt;=" &amp; DATE($A13,1,1),BV!$AV$55:$AV$160,"&lt;" &amp; DATE($A13+1,1,1))</f>
        <v>0</v>
      </c>
      <c r="AK13" s="104">
        <f ca="1">COUNTIFS(BV!$BD$55:$BD$160,"&gt;=" &amp; DATE($A13,1,1),BV!$BD$55:$BD$160,"&lt;" &amp; DATE($A13+1,1,1))</f>
        <v>0</v>
      </c>
      <c r="AL13" s="104">
        <f ca="1">COUNTIFS(BV!$BL$55:$BL$160,"&gt;=" &amp; DATE($A13,1,1),BV!$BL$55:$BL$160,"&lt;" &amp; DATE($A13+1,1,1))</f>
        <v>0</v>
      </c>
      <c r="AM13" s="104">
        <f ca="1">COUNTIFS(BV!$BT$55:$BT$160,"&gt;=" &amp; DATE($A13,1,1),BV!$BT$55:$BT$160,"&lt;" &amp; DATE($A13+1,1,1))</f>
        <v>0</v>
      </c>
      <c r="AN13" s="104">
        <f ca="1">COUNTIFS(BV!$CB$55:$CB$160,"&gt;=" &amp; DATE($A13,1,1),BV!$CB$55:$CB$160,"&lt;" &amp; DATE($A13+1,1,1))</f>
        <v>0</v>
      </c>
      <c r="AO13" s="375">
        <f t="shared" ca="1" si="41"/>
        <v>0</v>
      </c>
      <c r="AP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Q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R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S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T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U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V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W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X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Y13" s="510">
        <f ca="1">COUNTIFS(OFFSET(Time!$T$2,(COLUMN()-42)*20,,20,),"&gt;=" &amp; DATE($A13,1,1),OFFSET(Time!$T$2,(COLUMN()-42)*20,,20,),"&lt;" &amp; DATE($A13+1,1,1))+COUNTIFS(OFFSET(Bvs!$T$2,(COLUMN()-42)*20,,20,),"&gt;=" &amp; DATE($A13,1,1),OFFSET(Bvs!$T$2,(COLUMN()-42)*20,,20,),"&lt;" &amp; DATE($A13+1,1,1))+COUNTIFS(OFFSET(QG!$T$2,(COLUMN()-42)*20,,20,),"&gt;=" &amp; DATE($A13,1,1),OFFSET(QG!$T$2,(COLUMN()-42)*20,,20,),"&lt;" &amp; DATE($A13+1,1,1))</f>
        <v>0</v>
      </c>
      <c r="AZ13" s="375">
        <f t="shared" ca="1" si="42"/>
        <v>0</v>
      </c>
      <c r="BA13" s="375">
        <f t="shared" ca="1" si="51"/>
        <v>0</v>
      </c>
      <c r="BB13" s="105" t="e">
        <f t="shared" ca="1" si="43"/>
        <v>#N/A</v>
      </c>
      <c r="BC13" s="392" t="e">
        <f t="shared" ca="1" si="44"/>
        <v>#N/A</v>
      </c>
    </row>
    <row r="14" spans="1:55" x14ac:dyDescent="0.25">
      <c r="A14" s="377">
        <f t="shared" si="65"/>
        <v>2013</v>
      </c>
      <c r="B14" s="361" t="s">
        <v>39</v>
      </c>
      <c r="C14" s="356">
        <f ca="1">COUNTIFS(OFFSET(Arb!$C$2,Arb!$AJ$36,,Arb!$AJ$37,),$A14,OFFSET(Arb!$AI$2,Arb!$AJ$36,,Arb!$AJ$37,),TRUE)</f>
        <v>0</v>
      </c>
      <c r="D14" s="356">
        <f ca="1">SUMIFS(OFFSET(Arb!$I$2,Arb!$AJ$36,,Arb!$AJ$37,),OFFSET(Arb!$C$2,Arb!$AJ$36,,Arb!$AJ$37,),$A14,OFFSET(Arb!$AI$2,Arb!$AJ$36,,Arb!$AJ$37,),TRUE)</f>
        <v>0</v>
      </c>
      <c r="E14" s="356">
        <f ca="1">SUMIFS(OFFSET(Arb!$H$2,Arb!$AJ$36,,Arb!$AJ$37,),OFFSET(Arb!$C$2,Arb!$AJ$36,,Arb!$AJ$37,),$A14,OFFSET(Arb!$AI$2,Arb!$AJ$36,,Arb!$AJ$37,),TRUE)</f>
        <v>0</v>
      </c>
      <c r="F14" s="356">
        <f ca="1">SUMIFS(OFFSET(Arb!$AC$2,Arb!$AJ$36,,Arb!$AJ$37,),OFFSET(Arb!$C$2,Arb!$AJ$36,,Arb!$AJ$37,),$A14,OFFSET(Arb!$AI$2,Arb!$AJ$36,,Arb!$AJ$37,),TRUE)</f>
        <v>0</v>
      </c>
      <c r="G14" s="356">
        <f ca="1">SUMIFS(OFFSET(Arb!$U$2,Arb!$AJ$36,,Arb!$AJ$37,),OFFSET(Arb!$C$2,Arb!$AJ$36,,Arb!$AJ$37,),$A14,OFFSET(Arb!$AI$2,Arb!$AJ$36,,Arb!$AJ$37,),TRUE)</f>
        <v>0</v>
      </c>
      <c r="H14" s="356">
        <f ca="1">SUMIFS(OFFSET(Arb!$V$2,Arb!$AJ$36,,Arb!$AJ$37,),OFFSET(Arb!$C$2,Arb!$AJ$36,,Arb!$AJ$37,),$A14,OFFSET(Arb!$AI$2,Arb!$AJ$36,,Arb!$AJ$37,),TRUE)</f>
        <v>0</v>
      </c>
      <c r="I14" s="356">
        <f ca="1">SUMIFS(OFFSET(Arb!$X$2,Arb!$AJ$36,,Arb!$AJ$37,),OFFSET(Arb!$C$2,Arb!$AJ$36,,Arb!$AJ$37,),$A14,OFFSET(Arb!$AI$2,Arb!$AJ$36,,Arb!$AJ$37,),TRUE)</f>
        <v>0</v>
      </c>
      <c r="J14" s="356">
        <f ca="1">SUMIFS(OFFSET(Arb!$AA$2,Arb!$AJ$36,,Arb!$AJ$37,),OFFSET(Arb!$C$2,Arb!$AJ$36,,Arb!$AJ$37,),$A14,OFFSET(Arb!$AI$2,Arb!$AJ$36,,Arb!$AJ$37,),TRUE)</f>
        <v>0</v>
      </c>
      <c r="K14" s="356">
        <f ca="1">SUMIFS(OFFSET(Arb!$AB$2,Arb!$AJ$36,,Arb!$AJ$37,),OFFSET(Arb!$C$2,Arb!$AJ$36,,Arb!$AJ$37,),$A14,OFFSET(Arb!$AI$2,Arb!$AJ$36,,Arb!$AJ$37,),TRUE)</f>
        <v>0</v>
      </c>
      <c r="L14" s="356">
        <f t="shared" ca="1" si="23"/>
        <v>0</v>
      </c>
      <c r="M14" s="357" t="str">
        <f t="shared" ca="1" si="24"/>
        <v/>
      </c>
      <c r="N14" s="12" t="str">
        <f t="shared" ca="1" si="25"/>
        <v/>
      </c>
      <c r="O14" s="33" t="str">
        <f t="shared" ca="1" si="58"/>
        <v/>
      </c>
      <c r="P14" s="20" t="str">
        <f t="shared" ca="1" si="27"/>
        <v/>
      </c>
      <c r="Q14" s="33" t="str">
        <f t="shared" ca="1" si="28"/>
        <v/>
      </c>
      <c r="R14" s="33" t="str">
        <f t="shared" ca="1" si="59"/>
        <v/>
      </c>
      <c r="S14" s="34" t="str">
        <f t="shared" ca="1" si="30"/>
        <v/>
      </c>
      <c r="T14" s="34" t="str">
        <f t="shared" ca="1" si="31"/>
        <v/>
      </c>
      <c r="U14" s="34" t="str">
        <f t="shared" ca="1" si="32"/>
        <v/>
      </c>
      <c r="V14" s="33" t="str">
        <f t="shared" ca="1" si="60"/>
        <v/>
      </c>
      <c r="W14" s="33" t="str">
        <f t="shared" ca="1" si="61"/>
        <v/>
      </c>
      <c r="X14" s="33" t="str">
        <f t="shared" ca="1" si="35"/>
        <v/>
      </c>
      <c r="Y14" s="359" t="str">
        <f t="shared" ca="1" si="36"/>
        <v/>
      </c>
      <c r="Z14" s="34" t="str">
        <f t="shared" ca="1" si="62"/>
        <v/>
      </c>
      <c r="AA14" s="33" t="str">
        <f t="shared" ca="1" si="63"/>
        <v/>
      </c>
      <c r="AB14" s="21" t="str">
        <f t="shared" ref="AB14" ca="1" si="89">IFERROR(Z14*P14,"")</f>
        <v/>
      </c>
      <c r="AC14" s="470" t="e">
        <f ca="1">AC4</f>
        <v>#N/A</v>
      </c>
      <c r="AD14" s="12" t="e">
        <f t="shared" ca="1" si="40"/>
        <v>#N/A</v>
      </c>
      <c r="AE14" s="358">
        <f ca="1">COUNTIFS(BV!$H$55:$H$160,"&gt;=" &amp; DATE($A14,1,1),BV!$H$55:$H$160,"&lt;" &amp; DATE($A14+1,1,1))</f>
        <v>0</v>
      </c>
      <c r="AF14" s="358">
        <f ca="1">COUNTIFS(BV!$P$55:$P$160,"&gt;=" &amp; DATE($A14,1,1),BV!$P$55:$P$160,"&lt;" &amp; DATE($A14+1,1,1))</f>
        <v>0</v>
      </c>
      <c r="AG14" s="358">
        <f ca="1">COUNTIFS(BV!$X$55:$X$160,"&gt;=" &amp; DATE($A14,1,1),BV!$X$55:$X$160,"&lt;" &amp; DATE($A14+1,1,1))</f>
        <v>0</v>
      </c>
      <c r="AH14" s="358">
        <f ca="1">COUNTIFS(BV!$AF$55:$AF$160,"&gt;=" &amp; DATE($A14,1,1),BV!$AF$55:$AF$160,"&lt;" &amp; DATE($A14+1,1,1))</f>
        <v>0</v>
      </c>
      <c r="AI14" s="358">
        <f ca="1">COUNTIFS(BV!$AN$55:$AN$160,"&gt;=" &amp; DATE($A14,1,1),BV!$AN$55:$AN$160,"&lt;" &amp; DATE($A14+1,1,1))</f>
        <v>0</v>
      </c>
      <c r="AJ14" s="358">
        <f ca="1">COUNTIFS(BV!$AV$55:$AV$160,"&gt;=" &amp; DATE($A14,1,1),BV!$AV$55:$AV$160,"&lt;" &amp; DATE($A14+1,1,1))</f>
        <v>0</v>
      </c>
      <c r="AK14" s="358">
        <f ca="1">COUNTIFS(BV!$BD$55:$BD$160,"&gt;=" &amp; DATE($A14,1,1),BV!$BD$55:$BD$160,"&lt;" &amp; DATE($A14+1,1,1))</f>
        <v>0</v>
      </c>
      <c r="AL14" s="358">
        <f ca="1">COUNTIFS(BV!$BL$55:$BL$160,"&gt;=" &amp; DATE($A14,1,1),BV!$BL$55:$BL$160,"&lt;" &amp; DATE($A14+1,1,1))</f>
        <v>0</v>
      </c>
      <c r="AM14" s="358">
        <f ca="1">COUNTIFS(BV!$BT$55:$BT$160,"&gt;=" &amp; DATE($A14,1,1),BV!$BT$55:$BT$160,"&lt;" &amp; DATE($A14+1,1,1))</f>
        <v>0</v>
      </c>
      <c r="AN14" s="358">
        <f ca="1">COUNTIFS(BV!$CB$55:$CB$160,"&gt;=" &amp; DATE($A14,1,1),BV!$CB$55:$CB$160,"&lt;" &amp; DATE($A14+1,1,1))</f>
        <v>0</v>
      </c>
      <c r="AO14" s="35">
        <f t="shared" ca="1" si="41"/>
        <v>0</v>
      </c>
      <c r="AP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Q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R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S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T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U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V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W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X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Y14" s="510">
        <f ca="1">COUNTIFS(OFFSET(Time!$T$2,(COLUMN()-42)*20,,20,),"&gt;=" &amp; DATE($A14,1,1),OFFSET(Time!$T$2,(COLUMN()-42)*20,,20,),"&lt;" &amp; DATE($A14+1,1,1))+COUNTIFS(OFFSET(Bvs!$T$2,(COLUMN()-42)*20,,20,),"&gt;=" &amp; DATE($A14,1,1),OFFSET(Bvs!$T$2,(COLUMN()-42)*20,,20,),"&lt;" &amp; DATE($A14+1,1,1))+COUNTIFS(OFFSET(QG!$T$2,(COLUMN()-42)*20,,20,),"&gt;=" &amp; DATE($A14,1,1),OFFSET(QG!$T$2,(COLUMN()-42)*20,,20,),"&lt;" &amp; DATE($A14+1,1,1))</f>
        <v>0</v>
      </c>
      <c r="AZ14" s="35">
        <f t="shared" ca="1" si="42"/>
        <v>0</v>
      </c>
      <c r="BA14" s="35">
        <f t="shared" ca="1" si="51"/>
        <v>0</v>
      </c>
      <c r="BB14" s="34" t="e">
        <f t="shared" ca="1" si="43"/>
        <v>#N/A</v>
      </c>
      <c r="BC14" s="393" t="e">
        <f t="shared" ca="1" si="44"/>
        <v>#N/A</v>
      </c>
    </row>
    <row r="15" spans="1:55" x14ac:dyDescent="0.25">
      <c r="A15" s="377">
        <f t="shared" si="65"/>
        <v>2014</v>
      </c>
      <c r="B15" s="361" t="s">
        <v>39</v>
      </c>
      <c r="C15" s="356">
        <f ca="1">COUNTIFS(OFFSET(Arb!$C$2,Arb!$AJ$36,,Arb!$AJ$37,),$A15,OFFSET(Arb!$AI$2,Arb!$AJ$36,,Arb!$AJ$37,),TRUE)</f>
        <v>0</v>
      </c>
      <c r="D15" s="356">
        <f ca="1">SUMIFS(OFFSET(Arb!$I$2,Arb!$AJ$36,,Arb!$AJ$37,),OFFSET(Arb!$C$2,Arb!$AJ$36,,Arb!$AJ$37,),$A15,OFFSET(Arb!$AI$2,Arb!$AJ$36,,Arb!$AJ$37,),TRUE)</f>
        <v>0</v>
      </c>
      <c r="E15" s="356">
        <f ca="1">SUMIFS(OFFSET(Arb!$H$2,Arb!$AJ$36,,Arb!$AJ$37,),OFFSET(Arb!$C$2,Arb!$AJ$36,,Arb!$AJ$37,),$A15,OFFSET(Arb!$AI$2,Arb!$AJ$36,,Arb!$AJ$37,),TRUE)</f>
        <v>0</v>
      </c>
      <c r="F15" s="356">
        <f ca="1">SUMIFS(OFFSET(Arb!$AC$2,Arb!$AJ$36,,Arb!$AJ$37,),OFFSET(Arb!$C$2,Arb!$AJ$36,,Arb!$AJ$37,),$A15,OFFSET(Arb!$AI$2,Arb!$AJ$36,,Arb!$AJ$37,),TRUE)</f>
        <v>0</v>
      </c>
      <c r="G15" s="356">
        <f ca="1">SUMIFS(OFFSET(Arb!$U$2,Arb!$AJ$36,,Arb!$AJ$37,),OFFSET(Arb!$C$2,Arb!$AJ$36,,Arb!$AJ$37,),$A15,OFFSET(Arb!$AI$2,Arb!$AJ$36,,Arb!$AJ$37,),TRUE)</f>
        <v>0</v>
      </c>
      <c r="H15" s="356">
        <f ca="1">SUMIFS(OFFSET(Arb!$V$2,Arb!$AJ$36,,Arb!$AJ$37,),OFFSET(Arb!$C$2,Arb!$AJ$36,,Arb!$AJ$37,),$A15,OFFSET(Arb!$AI$2,Arb!$AJ$36,,Arb!$AJ$37,),TRUE)</f>
        <v>0</v>
      </c>
      <c r="I15" s="356">
        <f ca="1">SUMIFS(OFFSET(Arb!$X$2,Arb!$AJ$36,,Arb!$AJ$37,),OFFSET(Arb!$C$2,Arb!$AJ$36,,Arb!$AJ$37,),$A15,OFFSET(Arb!$AI$2,Arb!$AJ$36,,Arb!$AJ$37,),TRUE)</f>
        <v>0</v>
      </c>
      <c r="J15" s="356">
        <f ca="1">SUMIFS(OFFSET(Arb!$AA$2,Arb!$AJ$36,,Arb!$AJ$37,),OFFSET(Arb!$C$2,Arb!$AJ$36,,Arb!$AJ$37,),$A15,OFFSET(Arb!$AI$2,Arb!$AJ$36,,Arb!$AJ$37,),TRUE)</f>
        <v>0</v>
      </c>
      <c r="K15" s="356">
        <f ca="1">SUMIFS(OFFSET(Arb!$AB$2,Arb!$AJ$36,,Arb!$AJ$37,),OFFSET(Arb!$C$2,Arb!$AJ$36,,Arb!$AJ$37,),$A15,OFFSET(Arb!$AI$2,Arb!$AJ$36,,Arb!$AJ$37,),TRUE)</f>
        <v>0</v>
      </c>
      <c r="L15" s="356">
        <f t="shared" ca="1" si="23"/>
        <v>0</v>
      </c>
      <c r="M15" s="357" t="str">
        <f t="shared" ca="1" si="24"/>
        <v/>
      </c>
      <c r="N15" s="12" t="str">
        <f t="shared" ca="1" si="25"/>
        <v/>
      </c>
      <c r="O15" s="33" t="str">
        <f t="shared" ref="O15" ca="1" si="90">IFERROR(M15/N15,"")</f>
        <v/>
      </c>
      <c r="P15" s="20" t="str">
        <f t="shared" ca="1" si="27"/>
        <v/>
      </c>
      <c r="Q15" s="33" t="str">
        <f t="shared" ca="1" si="28"/>
        <v/>
      </c>
      <c r="R15" s="33" t="str">
        <f t="shared" ref="R15" ca="1" si="91">IFERROR(N15^1.7/M15,"")</f>
        <v/>
      </c>
      <c r="S15" s="34" t="str">
        <f t="shared" ca="1" si="30"/>
        <v/>
      </c>
      <c r="T15" s="34" t="str">
        <f t="shared" ca="1" si="31"/>
        <v/>
      </c>
      <c r="U15" s="34" t="str">
        <f t="shared" ca="1" si="32"/>
        <v/>
      </c>
      <c r="V15" s="33" t="str">
        <f t="shared" ref="V15" ca="1" si="92">IFERROR(P15/Q15,"")</f>
        <v/>
      </c>
      <c r="W15" s="33" t="str">
        <f t="shared" ref="W15" ca="1" si="93">IFERROR(O15/P15,"")</f>
        <v/>
      </c>
      <c r="X15" s="33" t="str">
        <f t="shared" ca="1" si="35"/>
        <v/>
      </c>
      <c r="Y15" s="359" t="str">
        <f t="shared" ca="1" si="36"/>
        <v/>
      </c>
      <c r="Z15" s="34" t="str">
        <f t="shared" ref="Z15" ca="1" si="94">IFERROR(Y15/N15,"")</f>
        <v/>
      </c>
      <c r="AA15" s="33" t="str">
        <f t="shared" ref="AA15" ca="1" si="95">IFERROR(M15/Y15,"")</f>
        <v/>
      </c>
      <c r="AB15" s="21" t="str">
        <f t="shared" ca="1" si="64"/>
        <v/>
      </c>
      <c r="AC15" s="470" t="e">
        <f ca="1">AC5</f>
        <v>#N/A</v>
      </c>
      <c r="AD15" s="12" t="e">
        <f t="shared" ca="1" si="40"/>
        <v>#N/A</v>
      </c>
      <c r="AE15" s="358">
        <f ca="1">COUNTIFS(BV!$H$55:$H$160,"&gt;=" &amp; DATE($A15,1,1),BV!$H$55:$H$160,"&lt;" &amp; DATE($A15+1,1,1))</f>
        <v>0</v>
      </c>
      <c r="AF15" s="358">
        <f ca="1">COUNTIFS(BV!$P$55:$P$160,"&gt;=" &amp; DATE($A15,1,1),BV!$P$55:$P$160,"&lt;" &amp; DATE($A15+1,1,1))</f>
        <v>0</v>
      </c>
      <c r="AG15" s="358">
        <f ca="1">COUNTIFS(BV!$X$55:$X$160,"&gt;=" &amp; DATE($A15,1,1),BV!$X$55:$X$160,"&lt;" &amp; DATE($A15+1,1,1))</f>
        <v>0</v>
      </c>
      <c r="AH15" s="358">
        <f ca="1">COUNTIFS(BV!$AF$55:$AF$160,"&gt;=" &amp; DATE($A15,1,1),BV!$AF$55:$AF$160,"&lt;" &amp; DATE($A15+1,1,1))</f>
        <v>0</v>
      </c>
      <c r="AI15" s="358">
        <f ca="1">COUNTIFS(BV!$AN$55:$AN$160,"&gt;=" &amp; DATE($A15,1,1),BV!$AN$55:$AN$160,"&lt;" &amp; DATE($A15+1,1,1))</f>
        <v>0</v>
      </c>
      <c r="AJ15" s="358">
        <f ca="1">COUNTIFS(BV!$AV$55:$AV$160,"&gt;=" &amp; DATE($A15,1,1),BV!$AV$55:$AV$160,"&lt;" &amp; DATE($A15+1,1,1))</f>
        <v>0</v>
      </c>
      <c r="AK15" s="358">
        <f ca="1">COUNTIFS(BV!$BD$55:$BD$160,"&gt;=" &amp; DATE($A15,1,1),BV!$BD$55:$BD$160,"&lt;" &amp; DATE($A15+1,1,1))</f>
        <v>0</v>
      </c>
      <c r="AL15" s="358">
        <f ca="1">COUNTIFS(BV!$BL$55:$BL$160,"&gt;=" &amp; DATE($A15,1,1),BV!$BL$55:$BL$160,"&lt;" &amp; DATE($A15+1,1,1))</f>
        <v>0</v>
      </c>
      <c r="AM15" s="358">
        <f ca="1">COUNTIFS(BV!$BT$55:$BT$160,"&gt;=" &amp; DATE($A15,1,1),BV!$BT$55:$BT$160,"&lt;" &amp; DATE($A15+1,1,1))</f>
        <v>0</v>
      </c>
      <c r="AN15" s="358">
        <f ca="1">COUNTIFS(BV!$CB$55:$CB$160,"&gt;=" &amp; DATE($A15,1,1),BV!$CB$55:$CB$160,"&lt;" &amp; DATE($A15+1,1,1))</f>
        <v>0</v>
      </c>
      <c r="AO15" s="35">
        <f t="shared" ca="1" si="41"/>
        <v>0</v>
      </c>
      <c r="AP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Q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R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S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T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U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V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W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X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Y15" s="510">
        <f ca="1">COUNTIFS(OFFSET(Time!$T$2,(COLUMN()-42)*20,,20,),"&gt;=" &amp; DATE($A15,1,1),OFFSET(Time!$T$2,(COLUMN()-42)*20,,20,),"&lt;" &amp; DATE($A15+1,1,1))+COUNTIFS(OFFSET(Bvs!$T$2,(COLUMN()-42)*20,,20,),"&gt;=" &amp; DATE($A15,1,1),OFFSET(Bvs!$T$2,(COLUMN()-42)*20,,20,),"&lt;" &amp; DATE($A15+1,1,1))+COUNTIFS(OFFSET(QG!$T$2,(COLUMN()-42)*20,,20,),"&gt;=" &amp; DATE($A15,1,1),OFFSET(QG!$T$2,(COLUMN()-42)*20,,20,),"&lt;" &amp; DATE($A15+1,1,1))</f>
        <v>0</v>
      </c>
      <c r="AZ15" s="35">
        <f t="shared" ca="1" si="42"/>
        <v>0</v>
      </c>
      <c r="BA15" s="35">
        <f t="shared" ca="1" si="51"/>
        <v>0</v>
      </c>
      <c r="BB15" s="34" t="e">
        <f t="shared" ca="1" si="43"/>
        <v>#N/A</v>
      </c>
      <c r="BC15" s="393" t="e">
        <f t="shared" ca="1" si="44"/>
        <v>#N/A</v>
      </c>
    </row>
    <row r="16" spans="1:55" x14ac:dyDescent="0.25">
      <c r="A16" s="377">
        <f t="shared" si="65"/>
        <v>2015</v>
      </c>
      <c r="B16" s="361" t="s">
        <v>39</v>
      </c>
      <c r="C16" s="356">
        <f ca="1">COUNTIFS(OFFSET(Arb!$C$2,Arb!$AJ$36,,Arb!$AJ$37,),$A16,OFFSET(Arb!$AI$2,Arb!$AJ$36,,Arb!$AJ$37,),TRUE)</f>
        <v>0</v>
      </c>
      <c r="D16" s="356">
        <f ca="1">SUMIFS(OFFSET(Arb!$I$2,Arb!$AJ$36,,Arb!$AJ$37,),OFFSET(Arb!$C$2,Arb!$AJ$36,,Arb!$AJ$37,),$A16,OFFSET(Arb!$AI$2,Arb!$AJ$36,,Arb!$AJ$37,),TRUE)</f>
        <v>0</v>
      </c>
      <c r="E16" s="356">
        <f ca="1">SUMIFS(OFFSET(Arb!$H$2,Arb!$AJ$36,,Arb!$AJ$37,),OFFSET(Arb!$C$2,Arb!$AJ$36,,Arb!$AJ$37,),$A16,OFFSET(Arb!$AI$2,Arb!$AJ$36,,Arb!$AJ$37,),TRUE)</f>
        <v>0</v>
      </c>
      <c r="F16" s="356">
        <f ca="1">SUMIFS(OFFSET(Arb!$AC$2,Arb!$AJ$36,,Arb!$AJ$37,),OFFSET(Arb!$C$2,Arb!$AJ$36,,Arb!$AJ$37,),$A16,OFFSET(Arb!$AI$2,Arb!$AJ$36,,Arb!$AJ$37,),TRUE)</f>
        <v>0</v>
      </c>
      <c r="G16" s="356">
        <f ca="1">SUMIFS(OFFSET(Arb!$U$2,Arb!$AJ$36,,Arb!$AJ$37,),OFFSET(Arb!$C$2,Arb!$AJ$36,,Arb!$AJ$37,),$A16,OFFSET(Arb!$AI$2,Arb!$AJ$36,,Arb!$AJ$37,),TRUE)</f>
        <v>0</v>
      </c>
      <c r="H16" s="356">
        <f ca="1">SUMIFS(OFFSET(Arb!$V$2,Arb!$AJ$36,,Arb!$AJ$37,),OFFSET(Arb!$C$2,Arb!$AJ$36,,Arb!$AJ$37,),$A16,OFFSET(Arb!$AI$2,Arb!$AJ$36,,Arb!$AJ$37,),TRUE)</f>
        <v>0</v>
      </c>
      <c r="I16" s="356">
        <f ca="1">SUMIFS(OFFSET(Arb!$X$2,Arb!$AJ$36,,Arb!$AJ$37,),OFFSET(Arb!$C$2,Arb!$AJ$36,,Arb!$AJ$37,),$A16,OFFSET(Arb!$AI$2,Arb!$AJ$36,,Arb!$AJ$37,),TRUE)</f>
        <v>0</v>
      </c>
      <c r="J16" s="356">
        <f ca="1">SUMIFS(OFFSET(Arb!$AA$2,Arb!$AJ$36,,Arb!$AJ$37,),OFFSET(Arb!$C$2,Arb!$AJ$36,,Arb!$AJ$37,),$A16,OFFSET(Arb!$AI$2,Arb!$AJ$36,,Arb!$AJ$37,),TRUE)</f>
        <v>0</v>
      </c>
      <c r="K16" s="356">
        <f ca="1">SUMIFS(OFFSET(Arb!$AB$2,Arb!$AJ$36,,Arb!$AJ$37,),OFFSET(Arb!$C$2,Arb!$AJ$36,,Arb!$AJ$37,),$A16,OFFSET(Arb!$AI$2,Arb!$AJ$36,,Arb!$AJ$37,),TRUE)</f>
        <v>0</v>
      </c>
      <c r="L16" s="356">
        <f t="shared" ca="1" si="23"/>
        <v>0</v>
      </c>
      <c r="M16" s="357" t="str">
        <f t="shared" ca="1" si="24"/>
        <v/>
      </c>
      <c r="N16" s="12" t="str">
        <f t="shared" ca="1" si="25"/>
        <v/>
      </c>
      <c r="O16" s="33" t="str">
        <f t="shared" ca="1" si="58"/>
        <v/>
      </c>
      <c r="P16" s="20" t="str">
        <f t="shared" ca="1" si="27"/>
        <v/>
      </c>
      <c r="Q16" s="33" t="str">
        <f t="shared" ca="1" si="28"/>
        <v/>
      </c>
      <c r="R16" s="33" t="str">
        <f t="shared" ca="1" si="59"/>
        <v/>
      </c>
      <c r="S16" s="34" t="str">
        <f t="shared" ca="1" si="30"/>
        <v/>
      </c>
      <c r="T16" s="34" t="str">
        <f t="shared" ca="1" si="31"/>
        <v/>
      </c>
      <c r="U16" s="34" t="str">
        <f t="shared" ca="1" si="32"/>
        <v/>
      </c>
      <c r="V16" s="33" t="str">
        <f t="shared" ca="1" si="60"/>
        <v/>
      </c>
      <c r="W16" s="33" t="str">
        <f t="shared" ca="1" si="61"/>
        <v/>
      </c>
      <c r="X16" s="33" t="str">
        <f t="shared" ca="1" si="35"/>
        <v/>
      </c>
      <c r="Y16" s="359" t="str">
        <f t="shared" ca="1" si="36"/>
        <v/>
      </c>
      <c r="Z16" s="34" t="str">
        <f t="shared" ca="1" si="62"/>
        <v/>
      </c>
      <c r="AA16" s="33" t="str">
        <f t="shared" ca="1" si="63"/>
        <v/>
      </c>
      <c r="AB16" s="21" t="str">
        <f t="shared" ca="1" si="64"/>
        <v/>
      </c>
      <c r="AC16" s="470" t="e">
        <f ca="1">AC6</f>
        <v>#N/A</v>
      </c>
      <c r="AD16" s="12" t="e">
        <f t="shared" ca="1" si="40"/>
        <v>#N/A</v>
      </c>
      <c r="AE16" s="358">
        <f ca="1">COUNTIFS(BV!$H$55:$H$160,"&gt;=" &amp; DATE($A16,1,1),BV!$H$55:$H$160,"&lt;" &amp; DATE($A16+1,1,1))</f>
        <v>0</v>
      </c>
      <c r="AF16" s="358">
        <f ca="1">COUNTIFS(BV!$P$55:$P$160,"&gt;=" &amp; DATE($A16,1,1),BV!$P$55:$P$160,"&lt;" &amp; DATE($A16+1,1,1))</f>
        <v>0</v>
      </c>
      <c r="AG16" s="358">
        <f ca="1">COUNTIFS(BV!$X$55:$X$160,"&gt;=" &amp; DATE($A16,1,1),BV!$X$55:$X$160,"&lt;" &amp; DATE($A16+1,1,1))</f>
        <v>0</v>
      </c>
      <c r="AH16" s="358">
        <f ca="1">COUNTIFS(BV!$AF$55:$AF$160,"&gt;=" &amp; DATE($A16,1,1),BV!$AF$55:$AF$160,"&lt;" &amp; DATE($A16+1,1,1))</f>
        <v>0</v>
      </c>
      <c r="AI16" s="358">
        <f ca="1">COUNTIFS(BV!$AN$55:$AN$160,"&gt;=" &amp; DATE($A16,1,1),BV!$AN$55:$AN$160,"&lt;" &amp; DATE($A16+1,1,1))</f>
        <v>0</v>
      </c>
      <c r="AJ16" s="358">
        <f ca="1">COUNTIFS(BV!$AV$55:$AV$160,"&gt;=" &amp; DATE($A16,1,1),BV!$AV$55:$AV$160,"&lt;" &amp; DATE($A16+1,1,1))</f>
        <v>0</v>
      </c>
      <c r="AK16" s="358">
        <f ca="1">COUNTIFS(BV!$BD$55:$BD$160,"&gt;=" &amp; DATE($A16,1,1),BV!$BD$55:$BD$160,"&lt;" &amp; DATE($A16+1,1,1))</f>
        <v>0</v>
      </c>
      <c r="AL16" s="358">
        <f ca="1">COUNTIFS(BV!$BL$55:$BL$160,"&gt;=" &amp; DATE($A16,1,1),BV!$BL$55:$BL$160,"&lt;" &amp; DATE($A16+1,1,1))</f>
        <v>0</v>
      </c>
      <c r="AM16" s="358">
        <f ca="1">COUNTIFS(BV!$BT$55:$BT$160,"&gt;=" &amp; DATE($A16,1,1),BV!$BT$55:$BT$160,"&lt;" &amp; DATE($A16+1,1,1))</f>
        <v>0</v>
      </c>
      <c r="AN16" s="358">
        <f ca="1">COUNTIFS(BV!$CB$55:$CB$160,"&gt;=" &amp; DATE($A16,1,1),BV!$CB$55:$CB$160,"&lt;" &amp; DATE($A16+1,1,1))</f>
        <v>0</v>
      </c>
      <c r="AO16" s="35">
        <f t="shared" ca="1" si="41"/>
        <v>0</v>
      </c>
      <c r="AP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Q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R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S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T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U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V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W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X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Y16" s="510">
        <f ca="1">COUNTIFS(OFFSET(Time!$T$2,(COLUMN()-42)*20,,20,),"&gt;=" &amp; DATE($A16,1,1),OFFSET(Time!$T$2,(COLUMN()-42)*20,,20,),"&lt;" &amp; DATE($A16+1,1,1))+COUNTIFS(OFFSET(Bvs!$T$2,(COLUMN()-42)*20,,20,),"&gt;=" &amp; DATE($A16,1,1),OFFSET(Bvs!$T$2,(COLUMN()-42)*20,,20,),"&lt;" &amp; DATE($A16+1,1,1))+COUNTIFS(OFFSET(QG!$T$2,(COLUMN()-42)*20,,20,),"&gt;=" &amp; DATE($A16,1,1),OFFSET(QG!$T$2,(COLUMN()-42)*20,,20,),"&lt;" &amp; DATE($A16+1,1,1))</f>
        <v>0</v>
      </c>
      <c r="AZ16" s="35">
        <f t="shared" ca="1" si="42"/>
        <v>0</v>
      </c>
      <c r="BA16" s="35">
        <f t="shared" ca="1" si="51"/>
        <v>0</v>
      </c>
      <c r="BB16" s="34" t="e">
        <f t="shared" ca="1" si="43"/>
        <v>#N/A</v>
      </c>
      <c r="BC16" s="393" t="e">
        <f t="shared" ca="1" si="44"/>
        <v>#N/A</v>
      </c>
    </row>
    <row r="17" spans="1:55" x14ac:dyDescent="0.25">
      <c r="A17" s="377">
        <f t="shared" si="65"/>
        <v>2016</v>
      </c>
      <c r="B17" s="361" t="s">
        <v>47</v>
      </c>
      <c r="C17" s="356">
        <f ca="1">COUNTIFS(OFFSET(Arb!$C$2,Arb!$AJ$36,,Arb!$AJ$37,),$A17,OFFSET(Arb!$AI$2,Arb!$AJ$36,,Arb!$AJ$37,),TRUE)</f>
        <v>0</v>
      </c>
      <c r="D17" s="356">
        <f ca="1">SUMIFS(OFFSET(Arb!$I$2,Arb!$AJ$36,,Arb!$AJ$37,),OFFSET(Arb!$C$2,Arb!$AJ$36,,Arb!$AJ$37,),$A17,OFFSET(Arb!$AI$2,Arb!$AJ$36,,Arb!$AJ$37,),TRUE)</f>
        <v>0</v>
      </c>
      <c r="E17" s="356">
        <f ca="1">SUMIFS(OFFSET(Arb!$H$2,Arb!$AJ$36,,Arb!$AJ$37,),OFFSET(Arb!$C$2,Arb!$AJ$36,,Arb!$AJ$37,),$A17,OFFSET(Arb!$AI$2,Arb!$AJ$36,,Arb!$AJ$37,),TRUE)</f>
        <v>0</v>
      </c>
      <c r="F17" s="356">
        <f ca="1">SUMIFS(OFFSET(Arb!$AC$2,Arb!$AJ$36,,Arb!$AJ$37,),OFFSET(Arb!$C$2,Arb!$AJ$36,,Arb!$AJ$37,),$A17,OFFSET(Arb!$AI$2,Arb!$AJ$36,,Arb!$AJ$37,),TRUE)</f>
        <v>0</v>
      </c>
      <c r="G17" s="356">
        <f ca="1">SUMIFS(OFFSET(Arb!$U$2,Arb!$AJ$36,,Arb!$AJ$37,),OFFSET(Arb!$C$2,Arb!$AJ$36,,Arb!$AJ$37,),$A17,OFFSET(Arb!$AI$2,Arb!$AJ$36,,Arb!$AJ$37,),TRUE)</f>
        <v>0</v>
      </c>
      <c r="H17" s="356">
        <f ca="1">SUMIFS(OFFSET(Arb!$V$2,Arb!$AJ$36,,Arb!$AJ$37,),OFFSET(Arb!$C$2,Arb!$AJ$36,,Arb!$AJ$37,),$A17,OFFSET(Arb!$AI$2,Arb!$AJ$36,,Arb!$AJ$37,),TRUE)</f>
        <v>0</v>
      </c>
      <c r="I17" s="356">
        <f ca="1">SUMIFS(OFFSET(Arb!$X$2,Arb!$AJ$36,,Arb!$AJ$37,),OFFSET(Arb!$C$2,Arb!$AJ$36,,Arb!$AJ$37,),$A17,OFFSET(Arb!$AI$2,Arb!$AJ$36,,Arb!$AJ$37,),TRUE)</f>
        <v>0</v>
      </c>
      <c r="J17" s="356">
        <f ca="1">SUMIFS(OFFSET(Arb!$AA$2,Arb!$AJ$36,,Arb!$AJ$37,),OFFSET(Arb!$C$2,Arb!$AJ$36,,Arb!$AJ$37,),$A17,OFFSET(Arb!$AI$2,Arb!$AJ$36,,Arb!$AJ$37,),TRUE)</f>
        <v>0</v>
      </c>
      <c r="K17" s="356">
        <f ca="1">SUMIFS(OFFSET(Arb!$AB$2,Arb!$AJ$36,,Arb!$AJ$37,),OFFSET(Arb!$C$2,Arb!$AJ$36,,Arb!$AJ$37,),$A17,OFFSET(Arb!$AI$2,Arb!$AJ$36,,Arb!$AJ$37,),TRUE)</f>
        <v>0</v>
      </c>
      <c r="L17" s="356">
        <f t="shared" ca="1" si="23"/>
        <v>0</v>
      </c>
      <c r="M17" s="357" t="str">
        <f t="shared" ca="1" si="24"/>
        <v/>
      </c>
      <c r="N17" s="12" t="str">
        <f t="shared" ca="1" si="25"/>
        <v/>
      </c>
      <c r="O17" s="33" t="str">
        <f t="shared" ca="1" si="58"/>
        <v/>
      </c>
      <c r="P17" s="20" t="str">
        <f t="shared" ca="1" si="27"/>
        <v/>
      </c>
      <c r="Q17" s="33" t="str">
        <f t="shared" ca="1" si="28"/>
        <v/>
      </c>
      <c r="R17" s="33" t="str">
        <f t="shared" ca="1" si="59"/>
        <v/>
      </c>
      <c r="S17" s="34" t="str">
        <f t="shared" ca="1" si="30"/>
        <v/>
      </c>
      <c r="T17" s="34" t="str">
        <f t="shared" ca="1" si="31"/>
        <v/>
      </c>
      <c r="U17" s="34" t="str">
        <f t="shared" ca="1" si="32"/>
        <v/>
      </c>
      <c r="V17" s="33" t="str">
        <f t="shared" ca="1" si="60"/>
        <v/>
      </c>
      <c r="W17" s="33" t="str">
        <f t="shared" ca="1" si="61"/>
        <v/>
      </c>
      <c r="X17" s="33" t="str">
        <f t="shared" ca="1" si="35"/>
        <v/>
      </c>
      <c r="Y17" s="359" t="str">
        <f t="shared" ca="1" si="36"/>
        <v/>
      </c>
      <c r="Z17" s="34" t="str">
        <f t="shared" ca="1" si="62"/>
        <v/>
      </c>
      <c r="AA17" s="33" t="str">
        <f t="shared" ca="1" si="63"/>
        <v/>
      </c>
      <c r="AB17" s="21" t="str">
        <f t="shared" ca="1" si="64"/>
        <v/>
      </c>
      <c r="AC17" s="470" t="e">
        <f ca="1">AC7</f>
        <v>#N/A</v>
      </c>
      <c r="AD17" s="12" t="e">
        <f t="shared" ca="1" si="40"/>
        <v>#N/A</v>
      </c>
      <c r="AE17" s="358">
        <f ca="1">COUNTIFS(BV!$H$55:$H$160,"&gt;=" &amp; DATE($A17,1,1),BV!$H$55:$H$160,"&lt;" &amp; DATE($A17+1,1,1))</f>
        <v>0</v>
      </c>
      <c r="AF17" s="358">
        <f ca="1">COUNTIFS(BV!$P$55:$P$160,"&gt;=" &amp; DATE($A17,1,1),BV!$P$55:$P$160,"&lt;" &amp; DATE($A17+1,1,1))</f>
        <v>0</v>
      </c>
      <c r="AG17" s="358">
        <f ca="1">COUNTIFS(BV!$X$55:$X$160,"&gt;=" &amp; DATE($A17,1,1),BV!$X$55:$X$160,"&lt;" &amp; DATE($A17+1,1,1))</f>
        <v>0</v>
      </c>
      <c r="AH17" s="358">
        <f ca="1">COUNTIFS(BV!$AF$55:$AF$160,"&gt;=" &amp; DATE($A17,1,1),BV!$AF$55:$AF$160,"&lt;" &amp; DATE($A17+1,1,1))</f>
        <v>0</v>
      </c>
      <c r="AI17" s="358">
        <f ca="1">COUNTIFS(BV!$AN$55:$AN$160,"&gt;=" &amp; DATE($A17,1,1),BV!$AN$55:$AN$160,"&lt;" &amp; DATE($A17+1,1,1))</f>
        <v>0</v>
      </c>
      <c r="AJ17" s="358">
        <f ca="1">COUNTIFS(BV!$AV$55:$AV$160,"&gt;=" &amp; DATE($A17,1,1),BV!$AV$55:$AV$160,"&lt;" &amp; DATE($A17+1,1,1))</f>
        <v>0</v>
      </c>
      <c r="AK17" s="358">
        <f ca="1">COUNTIFS(BV!$BD$55:$BD$160,"&gt;=" &amp; DATE($A17,1,1),BV!$BD$55:$BD$160,"&lt;" &amp; DATE($A17+1,1,1))</f>
        <v>0</v>
      </c>
      <c r="AL17" s="358">
        <f ca="1">COUNTIFS(BV!$BL$55:$BL$160,"&gt;=" &amp; DATE($A17,1,1),BV!$BL$55:$BL$160,"&lt;" &amp; DATE($A17+1,1,1))</f>
        <v>0</v>
      </c>
      <c r="AM17" s="358">
        <f ca="1">COUNTIFS(BV!$BT$55:$BT$160,"&gt;=" &amp; DATE($A17,1,1),BV!$BT$55:$BT$160,"&lt;" &amp; DATE($A17+1,1,1))</f>
        <v>0</v>
      </c>
      <c r="AN17" s="358">
        <f ca="1">COUNTIFS(BV!$CB$55:$CB$160,"&gt;=" &amp; DATE($A17,1,1),BV!$CB$55:$CB$160,"&lt;" &amp; DATE($A17+1,1,1))</f>
        <v>0</v>
      </c>
      <c r="AO17" s="35">
        <f t="shared" ca="1" si="41"/>
        <v>0</v>
      </c>
      <c r="AP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Q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R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S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T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U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V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W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X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Y17" s="510">
        <f ca="1">COUNTIFS(OFFSET(Time!$T$2,(COLUMN()-42)*20,,20,),"&gt;=" &amp; DATE($A17,1,1),OFFSET(Time!$T$2,(COLUMN()-42)*20,,20,),"&lt;" &amp; DATE($A17+1,1,1))+COUNTIFS(OFFSET(Bvs!$T$2,(COLUMN()-42)*20,,20,),"&gt;=" &amp; DATE($A17,1,1),OFFSET(Bvs!$T$2,(COLUMN()-42)*20,,20,),"&lt;" &amp; DATE($A17+1,1,1))+COUNTIFS(OFFSET(QG!$T$2,(COLUMN()-42)*20,,20,),"&gt;=" &amp; DATE($A17,1,1),OFFSET(QG!$T$2,(COLUMN()-42)*20,,20,),"&lt;" &amp; DATE($A17+1,1,1))</f>
        <v>0</v>
      </c>
      <c r="AZ17" s="35">
        <f t="shared" ca="1" si="42"/>
        <v>0</v>
      </c>
      <c r="BA17" s="35">
        <f t="shared" ca="1" si="51"/>
        <v>0</v>
      </c>
      <c r="BB17" s="34" t="e">
        <f t="shared" ca="1" si="43"/>
        <v>#N/A</v>
      </c>
      <c r="BC17" s="393" t="e">
        <f t="shared" ca="1" si="44"/>
        <v>#N/A</v>
      </c>
    </row>
    <row r="18" spans="1:55" x14ac:dyDescent="0.25">
      <c r="A18" s="377">
        <f t="shared" si="65"/>
        <v>2017</v>
      </c>
      <c r="B18" s="361" t="s">
        <v>39</v>
      </c>
      <c r="C18" s="356">
        <f ca="1">COUNTIFS(OFFSET(Arb!$C$2,Arb!$AJ$36,,Arb!$AJ$37,),$A18,OFFSET(Arb!$AI$2,Arb!$AJ$36,,Arb!$AJ$37,),TRUE)</f>
        <v>0</v>
      </c>
      <c r="D18" s="356">
        <f ca="1">SUMIFS(OFFSET(Arb!$I$2,Arb!$AJ$36,,Arb!$AJ$37,),OFFSET(Arb!$C$2,Arb!$AJ$36,,Arb!$AJ$37,),$A18,OFFSET(Arb!$AI$2,Arb!$AJ$36,,Arb!$AJ$37,),TRUE)</f>
        <v>0</v>
      </c>
      <c r="E18" s="356">
        <f ca="1">SUMIFS(OFFSET(Arb!$H$2,Arb!$AJ$36,,Arb!$AJ$37,),OFFSET(Arb!$C$2,Arb!$AJ$36,,Arb!$AJ$37,),$A18,OFFSET(Arb!$AI$2,Arb!$AJ$36,,Arb!$AJ$37,),TRUE)</f>
        <v>0</v>
      </c>
      <c r="F18" s="356">
        <f ca="1">SUMIFS(OFFSET(Arb!$AC$2,Arb!$AJ$36,,Arb!$AJ$37,),OFFSET(Arb!$C$2,Arb!$AJ$36,,Arb!$AJ$37,),$A18,OFFSET(Arb!$AI$2,Arb!$AJ$36,,Arb!$AJ$37,),TRUE)</f>
        <v>0</v>
      </c>
      <c r="G18" s="356">
        <f ca="1">SUMIFS(OFFSET(Arb!$U$2,Arb!$AJ$36,,Arb!$AJ$37,),OFFSET(Arb!$C$2,Arb!$AJ$36,,Arb!$AJ$37,),$A18,OFFSET(Arb!$AI$2,Arb!$AJ$36,,Arb!$AJ$37,),TRUE)</f>
        <v>0</v>
      </c>
      <c r="H18" s="356">
        <f ca="1">SUMIFS(OFFSET(Arb!$V$2,Arb!$AJ$36,,Arb!$AJ$37,),OFFSET(Arb!$C$2,Arb!$AJ$36,,Arb!$AJ$37,),$A18,OFFSET(Arb!$AI$2,Arb!$AJ$36,,Arb!$AJ$37,),TRUE)</f>
        <v>0</v>
      </c>
      <c r="I18" s="356">
        <f ca="1">SUMIFS(OFFSET(Arb!$X$2,Arb!$AJ$36,,Arb!$AJ$37,),OFFSET(Arb!$C$2,Arb!$AJ$36,,Arb!$AJ$37,),$A18,OFFSET(Arb!$AI$2,Arb!$AJ$36,,Arb!$AJ$37,),TRUE)</f>
        <v>0</v>
      </c>
      <c r="J18" s="356">
        <f ca="1">SUMIFS(OFFSET(Arb!$AA$2,Arb!$AJ$36,,Arb!$AJ$37,),OFFSET(Arb!$C$2,Arb!$AJ$36,,Arb!$AJ$37,),$A18,OFFSET(Arb!$AI$2,Arb!$AJ$36,,Arb!$AJ$37,),TRUE)</f>
        <v>0</v>
      </c>
      <c r="K18" s="356">
        <f ca="1">SUMIFS(OFFSET(Arb!$AB$2,Arb!$AJ$36,,Arb!$AJ$37,),OFFSET(Arb!$C$2,Arb!$AJ$36,,Arb!$AJ$37,),$A18,OFFSET(Arb!$AI$2,Arb!$AJ$36,,Arb!$AJ$37,),TRUE)</f>
        <v>0</v>
      </c>
      <c r="L18" s="356">
        <f t="shared" ca="1" si="23"/>
        <v>0</v>
      </c>
      <c r="M18" s="357" t="str">
        <f t="shared" ca="1" si="24"/>
        <v/>
      </c>
      <c r="N18" s="12" t="str">
        <f t="shared" ca="1" si="25"/>
        <v/>
      </c>
      <c r="O18" s="33" t="str">
        <f t="shared" ca="1" si="58"/>
        <v/>
      </c>
      <c r="P18" s="20" t="str">
        <f t="shared" ca="1" si="27"/>
        <v/>
      </c>
      <c r="Q18" s="33" t="str">
        <f t="shared" ca="1" si="28"/>
        <v/>
      </c>
      <c r="R18" s="33" t="str">
        <f t="shared" ca="1" si="59"/>
        <v/>
      </c>
      <c r="S18" s="34" t="str">
        <f t="shared" ca="1" si="30"/>
        <v/>
      </c>
      <c r="T18" s="34" t="str">
        <f t="shared" ca="1" si="31"/>
        <v/>
      </c>
      <c r="U18" s="34" t="str">
        <f t="shared" ca="1" si="32"/>
        <v/>
      </c>
      <c r="V18" s="33" t="str">
        <f t="shared" ca="1" si="60"/>
        <v/>
      </c>
      <c r="W18" s="33" t="str">
        <f t="shared" ca="1" si="61"/>
        <v/>
      </c>
      <c r="X18" s="33" t="str">
        <f t="shared" ca="1" si="35"/>
        <v/>
      </c>
      <c r="Y18" s="359" t="str">
        <f t="shared" ca="1" si="36"/>
        <v/>
      </c>
      <c r="Z18" s="34" t="str">
        <f t="shared" ca="1" si="62"/>
        <v/>
      </c>
      <c r="AA18" s="33" t="str">
        <f t="shared" ca="1" si="63"/>
        <v/>
      </c>
      <c r="AB18" s="21" t="str">
        <f t="shared" ca="1" si="64"/>
        <v/>
      </c>
      <c r="AC18" s="470" t="e">
        <f ca="1">AC8</f>
        <v>#N/A</v>
      </c>
      <c r="AD18" s="12" t="e">
        <f t="shared" ca="1" si="40"/>
        <v>#N/A</v>
      </c>
      <c r="AE18" s="358">
        <f ca="1">COUNTIFS(BV!$H$55:$H$160,"&gt;=" &amp; DATE($A18,1,1),BV!$H$55:$H$160,"&lt;" &amp; DATE($A18+1,1,1))</f>
        <v>0</v>
      </c>
      <c r="AF18" s="358">
        <f ca="1">COUNTIFS(BV!$P$55:$P$160,"&gt;=" &amp; DATE($A18,1,1),BV!$P$55:$P$160,"&lt;" &amp; DATE($A18+1,1,1))</f>
        <v>0</v>
      </c>
      <c r="AG18" s="358">
        <f ca="1">COUNTIFS(BV!$X$55:$X$160,"&gt;=" &amp; DATE($A18,1,1),BV!$X$55:$X$160,"&lt;" &amp; DATE($A18+1,1,1))</f>
        <v>0</v>
      </c>
      <c r="AH18" s="358">
        <f ca="1">COUNTIFS(BV!$AF$55:$AF$160,"&gt;=" &amp; DATE($A18,1,1),BV!$AF$55:$AF$160,"&lt;" &amp; DATE($A18+1,1,1))</f>
        <v>0</v>
      </c>
      <c r="AI18" s="358">
        <f ca="1">COUNTIFS(BV!$AN$55:$AN$160,"&gt;=" &amp; DATE($A18,1,1),BV!$AN$55:$AN$160,"&lt;" &amp; DATE($A18+1,1,1))</f>
        <v>0</v>
      </c>
      <c r="AJ18" s="358">
        <f ca="1">COUNTIFS(BV!$AV$55:$AV$160,"&gt;=" &amp; DATE($A18,1,1),BV!$AV$55:$AV$160,"&lt;" &amp; DATE($A18+1,1,1))</f>
        <v>0</v>
      </c>
      <c r="AK18" s="358">
        <f ca="1">COUNTIFS(BV!$BD$55:$BD$160,"&gt;=" &amp; DATE($A18,1,1),BV!$BD$55:$BD$160,"&lt;" &amp; DATE($A18+1,1,1))</f>
        <v>0</v>
      </c>
      <c r="AL18" s="358">
        <f ca="1">COUNTIFS(BV!$BL$55:$BL$160,"&gt;=" &amp; DATE($A18,1,1),BV!$BL$55:$BL$160,"&lt;" &amp; DATE($A18+1,1,1))</f>
        <v>0</v>
      </c>
      <c r="AM18" s="358">
        <f ca="1">COUNTIFS(BV!$BT$55:$BT$160,"&gt;=" &amp; DATE($A18,1,1),BV!$BT$55:$BT$160,"&lt;" &amp; DATE($A18+1,1,1))</f>
        <v>0</v>
      </c>
      <c r="AN18" s="358">
        <f ca="1">COUNTIFS(BV!$CB$55:$CB$160,"&gt;=" &amp; DATE($A18,1,1),BV!$CB$55:$CB$160,"&lt;" &amp; DATE($A18+1,1,1))</f>
        <v>0</v>
      </c>
      <c r="AO18" s="35">
        <f t="shared" ca="1" si="41"/>
        <v>0</v>
      </c>
      <c r="AP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Q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R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S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T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U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V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W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X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Y18" s="510">
        <f ca="1">COUNTIFS(OFFSET(Time!$T$2,(COLUMN()-42)*20,,20,),"&gt;=" &amp; DATE($A18,1,1),OFFSET(Time!$T$2,(COLUMN()-42)*20,,20,),"&lt;" &amp; DATE($A18+1,1,1))+COUNTIFS(OFFSET(Bvs!$T$2,(COLUMN()-42)*20,,20,),"&gt;=" &amp; DATE($A18,1,1),OFFSET(Bvs!$T$2,(COLUMN()-42)*20,,20,),"&lt;" &amp; DATE($A18+1,1,1))+COUNTIFS(OFFSET(QG!$T$2,(COLUMN()-42)*20,,20,),"&gt;=" &amp; DATE($A18,1,1),OFFSET(QG!$T$2,(COLUMN()-42)*20,,20,),"&lt;" &amp; DATE($A18+1,1,1))</f>
        <v>0</v>
      </c>
      <c r="AZ18" s="35">
        <f t="shared" ca="1" si="42"/>
        <v>0</v>
      </c>
      <c r="BA18" s="35">
        <f t="shared" ca="1" si="51"/>
        <v>0</v>
      </c>
      <c r="BB18" s="34" t="e">
        <f t="shared" ca="1" si="43"/>
        <v>#N/A</v>
      </c>
      <c r="BC18" s="393" t="e">
        <f t="shared" ca="1" si="44"/>
        <v>#N/A</v>
      </c>
    </row>
    <row r="19" spans="1:55" x14ac:dyDescent="0.25">
      <c r="A19" s="377">
        <f t="shared" si="65"/>
        <v>2018</v>
      </c>
      <c r="B19" s="361" t="s">
        <v>39</v>
      </c>
      <c r="C19" s="356">
        <f ca="1">COUNTIFS(OFFSET(Arb!$C$2,Arb!$AJ$36,,Arb!$AJ$37,),$A19,OFFSET(Arb!$AI$2,Arb!$AJ$36,,Arb!$AJ$37,),TRUE)</f>
        <v>0</v>
      </c>
      <c r="D19" s="356">
        <f ca="1">SUMIFS(OFFSET(Arb!$I$2,Arb!$AJ$36,,Arb!$AJ$37,),OFFSET(Arb!$C$2,Arb!$AJ$36,,Arb!$AJ$37,),$A19,OFFSET(Arb!$AI$2,Arb!$AJ$36,,Arb!$AJ$37,),TRUE)</f>
        <v>0</v>
      </c>
      <c r="E19" s="356">
        <f ca="1">SUMIFS(OFFSET(Arb!$H$2,Arb!$AJ$36,,Arb!$AJ$37,),OFFSET(Arb!$C$2,Arb!$AJ$36,,Arb!$AJ$37,),$A19,OFFSET(Arb!$AI$2,Arb!$AJ$36,,Arb!$AJ$37,),TRUE)</f>
        <v>0</v>
      </c>
      <c r="F19" s="356">
        <f ca="1">SUMIFS(OFFSET(Arb!$AC$2,Arb!$AJ$36,,Arb!$AJ$37,),OFFSET(Arb!$C$2,Arb!$AJ$36,,Arb!$AJ$37,),$A19,OFFSET(Arb!$AI$2,Arb!$AJ$36,,Arb!$AJ$37,),TRUE)</f>
        <v>0</v>
      </c>
      <c r="G19" s="356">
        <f ca="1">SUMIFS(OFFSET(Arb!$U$2,Arb!$AJ$36,,Arb!$AJ$37,),OFFSET(Arb!$C$2,Arb!$AJ$36,,Arb!$AJ$37,),$A19,OFFSET(Arb!$AI$2,Arb!$AJ$36,,Arb!$AJ$37,),TRUE)</f>
        <v>0</v>
      </c>
      <c r="H19" s="356">
        <f ca="1">SUMIFS(OFFSET(Arb!$V$2,Arb!$AJ$36,,Arb!$AJ$37,),OFFSET(Arb!$C$2,Arb!$AJ$36,,Arb!$AJ$37,),$A19,OFFSET(Arb!$AI$2,Arb!$AJ$36,,Arb!$AJ$37,),TRUE)</f>
        <v>0</v>
      </c>
      <c r="I19" s="356">
        <f ca="1">SUMIFS(OFFSET(Arb!$X$2,Arb!$AJ$36,,Arb!$AJ$37,),OFFSET(Arb!$C$2,Arb!$AJ$36,,Arb!$AJ$37,),$A19,OFFSET(Arb!$AI$2,Arb!$AJ$36,,Arb!$AJ$37,),TRUE)</f>
        <v>0</v>
      </c>
      <c r="J19" s="356">
        <f ca="1">SUMIFS(OFFSET(Arb!$AA$2,Arb!$AJ$36,,Arb!$AJ$37,),OFFSET(Arb!$C$2,Arb!$AJ$36,,Arb!$AJ$37,),$A19,OFFSET(Arb!$AI$2,Arb!$AJ$36,,Arb!$AJ$37,),TRUE)</f>
        <v>0</v>
      </c>
      <c r="K19" s="356">
        <f ca="1">SUMIFS(OFFSET(Arb!$AB$2,Arb!$AJ$36,,Arb!$AJ$37,),OFFSET(Arb!$C$2,Arb!$AJ$36,,Arb!$AJ$37,),$A19,OFFSET(Arb!$AI$2,Arb!$AJ$36,,Arb!$AJ$37,),TRUE)</f>
        <v>0</v>
      </c>
      <c r="L19" s="356">
        <f t="shared" ca="1" si="23"/>
        <v>0</v>
      </c>
      <c r="M19" s="357" t="str">
        <f t="shared" ca="1" si="24"/>
        <v/>
      </c>
      <c r="N19" s="12" t="str">
        <f t="shared" ca="1" si="25"/>
        <v/>
      </c>
      <c r="O19" s="33" t="str">
        <f t="shared" ca="1" si="58"/>
        <v/>
      </c>
      <c r="P19" s="20" t="str">
        <f t="shared" ca="1" si="27"/>
        <v/>
      </c>
      <c r="Q19" s="33" t="str">
        <f t="shared" ca="1" si="28"/>
        <v/>
      </c>
      <c r="R19" s="33" t="str">
        <f t="shared" ca="1" si="59"/>
        <v/>
      </c>
      <c r="S19" s="34" t="str">
        <f t="shared" ca="1" si="30"/>
        <v/>
      </c>
      <c r="T19" s="34" t="str">
        <f t="shared" ca="1" si="31"/>
        <v/>
      </c>
      <c r="U19" s="34" t="str">
        <f t="shared" ca="1" si="32"/>
        <v/>
      </c>
      <c r="V19" s="33" t="str">
        <f t="shared" ca="1" si="60"/>
        <v/>
      </c>
      <c r="W19" s="33" t="str">
        <f t="shared" ca="1" si="61"/>
        <v/>
      </c>
      <c r="X19" s="33" t="str">
        <f t="shared" ca="1" si="35"/>
        <v/>
      </c>
      <c r="Y19" s="359" t="str">
        <f t="shared" ca="1" si="36"/>
        <v/>
      </c>
      <c r="Z19" s="34" t="str">
        <f t="shared" ca="1" si="62"/>
        <v/>
      </c>
      <c r="AA19" s="33" t="str">
        <f t="shared" ca="1" si="63"/>
        <v/>
      </c>
      <c r="AB19" s="21" t="str">
        <f t="shared" ca="1" si="64"/>
        <v/>
      </c>
      <c r="AC19" s="470" t="e">
        <f ca="1">AC9</f>
        <v>#N/A</v>
      </c>
      <c r="AD19" s="12" t="e">
        <f t="shared" ca="1" si="40"/>
        <v>#N/A</v>
      </c>
      <c r="AE19" s="358">
        <f ca="1">COUNTIFS(BV!$H$55:$H$160,"&gt;=" &amp; DATE($A19,1,1),BV!$H$55:$H$160,"&lt;" &amp; DATE($A19+1,1,1))</f>
        <v>0</v>
      </c>
      <c r="AF19" s="358">
        <f ca="1">COUNTIFS(BV!$P$55:$P$160,"&gt;=" &amp; DATE($A19,1,1),BV!$P$55:$P$160,"&lt;" &amp; DATE($A19+1,1,1))</f>
        <v>0</v>
      </c>
      <c r="AG19" s="358">
        <f ca="1">COUNTIFS(BV!$X$55:$X$160,"&gt;=" &amp; DATE($A19,1,1),BV!$X$55:$X$160,"&lt;" &amp; DATE($A19+1,1,1))</f>
        <v>0</v>
      </c>
      <c r="AH19" s="358">
        <f ca="1">COUNTIFS(BV!$AF$55:$AF$160,"&gt;=" &amp; DATE($A19,1,1),BV!$AF$55:$AF$160,"&lt;" &amp; DATE($A19+1,1,1))</f>
        <v>0</v>
      </c>
      <c r="AI19" s="358">
        <f ca="1">COUNTIFS(BV!$AN$55:$AN$160,"&gt;=" &amp; DATE($A19,1,1),BV!$AN$55:$AN$160,"&lt;" &amp; DATE($A19+1,1,1))</f>
        <v>0</v>
      </c>
      <c r="AJ19" s="358">
        <f ca="1">COUNTIFS(BV!$AV$55:$AV$160,"&gt;=" &amp; DATE($A19,1,1),BV!$AV$55:$AV$160,"&lt;" &amp; DATE($A19+1,1,1))</f>
        <v>0</v>
      </c>
      <c r="AK19" s="358">
        <f ca="1">COUNTIFS(BV!$BD$55:$BD$160,"&gt;=" &amp; DATE($A19,1,1),BV!$BD$55:$BD$160,"&lt;" &amp; DATE($A19+1,1,1))</f>
        <v>0</v>
      </c>
      <c r="AL19" s="358">
        <f ca="1">COUNTIFS(BV!$BL$55:$BL$160,"&gt;=" &amp; DATE($A19,1,1),BV!$BL$55:$BL$160,"&lt;" &amp; DATE($A19+1,1,1))</f>
        <v>0</v>
      </c>
      <c r="AM19" s="358">
        <f ca="1">COUNTIFS(BV!$BT$55:$BT$160,"&gt;=" &amp; DATE($A19,1,1),BV!$BT$55:$BT$160,"&lt;" &amp; DATE($A19+1,1,1))</f>
        <v>0</v>
      </c>
      <c r="AN19" s="358">
        <f ca="1">COUNTIFS(BV!$CB$55:$CB$160,"&gt;=" &amp; DATE($A19,1,1),BV!$CB$55:$CB$160,"&lt;" &amp; DATE($A19+1,1,1))</f>
        <v>0</v>
      </c>
      <c r="AO19" s="35">
        <f t="shared" ca="1" si="41"/>
        <v>0</v>
      </c>
      <c r="AP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Q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R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S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T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U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V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W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X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Y19" s="510">
        <f ca="1">COUNTIFS(OFFSET(Time!$T$2,(COLUMN()-42)*20,,20,),"&gt;=" &amp; DATE($A19,1,1),OFFSET(Time!$T$2,(COLUMN()-42)*20,,20,),"&lt;" &amp; DATE($A19+1,1,1))+COUNTIFS(OFFSET(Bvs!$T$2,(COLUMN()-42)*20,,20,),"&gt;=" &amp; DATE($A19,1,1),OFFSET(Bvs!$T$2,(COLUMN()-42)*20,,20,),"&lt;" &amp; DATE($A19+1,1,1))+COUNTIFS(OFFSET(QG!$T$2,(COLUMN()-42)*20,,20,),"&gt;=" &amp; DATE($A19,1,1),OFFSET(QG!$T$2,(COLUMN()-42)*20,,20,),"&lt;" &amp; DATE($A19+1,1,1))</f>
        <v>0</v>
      </c>
      <c r="AZ19" s="35">
        <f t="shared" ca="1" si="42"/>
        <v>0</v>
      </c>
      <c r="BA19" s="35">
        <f t="shared" ca="1" si="51"/>
        <v>0</v>
      </c>
      <c r="BB19" s="34" t="e">
        <f t="shared" ca="1" si="43"/>
        <v>#N/A</v>
      </c>
      <c r="BC19" s="393" t="e">
        <f t="shared" ca="1" si="44"/>
        <v>#N/A</v>
      </c>
    </row>
    <row r="20" spans="1:55" x14ac:dyDescent="0.25">
      <c r="A20" s="377">
        <f>A21-1</f>
        <v>2019</v>
      </c>
      <c r="B20" s="361" t="s">
        <v>39</v>
      </c>
      <c r="C20" s="356">
        <f ca="1">COUNTIFS(OFFSET(Arb!$C$2,Arb!$AJ$36,,Arb!$AJ$37,),$A20,OFFSET(Arb!$AI$2,Arb!$AJ$36,,Arb!$AJ$37,),TRUE)</f>
        <v>284</v>
      </c>
      <c r="D20" s="356">
        <f ca="1">SUMIFS(OFFSET(Arb!$I$2,Arb!$AJ$36,,Arb!$AJ$37,),OFFSET(Arb!$C$2,Arb!$AJ$36,,Arb!$AJ$37,),$A20,OFFSET(Arb!$AI$2,Arb!$AJ$36,,Arb!$AJ$37,),TRUE)</f>
        <v>18359</v>
      </c>
      <c r="E20" s="356">
        <f ca="1">SUMIFS(OFFSET(Arb!$H$2,Arb!$AJ$36,,Arb!$AJ$37,),OFFSET(Arb!$C$2,Arb!$AJ$36,,Arb!$AJ$37,),$A20,OFFSET(Arb!$AI$2,Arb!$AJ$36,,Arb!$AJ$37,),TRUE)</f>
        <v>7532.9100000000008</v>
      </c>
      <c r="F20" s="356">
        <f ca="1">SUMIFS(OFFSET(Arb!$AC$2,Arb!$AJ$36,,Arb!$AJ$37,),OFFSET(Arb!$C$2,Arb!$AJ$36,,Arb!$AJ$37,),$A20,OFFSET(Arb!$AI$2,Arb!$AJ$36,,Arb!$AJ$37,),TRUE)</f>
        <v>959713</v>
      </c>
      <c r="G20" s="356">
        <f ca="1">SUMIFS(OFFSET(Arb!$U$2,Arb!$AJ$36,,Arb!$AJ$37,),OFFSET(Arb!$C$2,Arb!$AJ$36,,Arb!$AJ$37,),$A20,OFFSET(Arb!$AI$2,Arb!$AJ$36,,Arb!$AJ$37,),TRUE)</f>
        <v>24804</v>
      </c>
      <c r="H20" s="356">
        <f ca="1">SUMIFS(OFFSET(Arb!$V$2,Arb!$AJ$36,,Arb!$AJ$37,),OFFSET(Arb!$C$2,Arb!$AJ$36,,Arb!$AJ$37,),$A20,OFFSET(Arb!$AI$2,Arb!$AJ$36,,Arb!$AJ$37,),TRUE)</f>
        <v>1963</v>
      </c>
      <c r="I20" s="356">
        <f ca="1">SUMIFS(OFFSET(Arb!$X$2,Arb!$AJ$36,,Arb!$AJ$37,),OFFSET(Arb!$C$2,Arb!$AJ$36,,Arb!$AJ$37,),$A20,OFFSET(Arb!$AI$2,Arb!$AJ$36,,Arb!$AJ$37,),TRUE)</f>
        <v>23180</v>
      </c>
      <c r="J20" s="356">
        <f ca="1">SUMIFS(OFFSET(Arb!$AA$2,Arb!$AJ$36,,Arb!$AJ$37,),OFFSET(Arb!$C$2,Arb!$AJ$36,,Arb!$AJ$37,),$A20,OFFSET(Arb!$AI$2,Arb!$AJ$36,,Arb!$AJ$37,),TRUE)</f>
        <v>2086</v>
      </c>
      <c r="K20" s="356">
        <f ca="1">SUMIFS(OFFSET(Arb!$AB$2,Arb!$AJ$36,,Arb!$AJ$37,),OFFSET(Arb!$C$2,Arb!$AJ$36,,Arb!$AJ$37,),$A20,OFFSET(Arb!$AI$2,Arb!$AJ$36,,Arb!$AJ$37,),TRUE)</f>
        <v>2240</v>
      </c>
      <c r="L20" s="356">
        <f t="shared" ca="1" si="23"/>
        <v>26767</v>
      </c>
      <c r="M20" s="357">
        <f t="shared" ca="1" si="24"/>
        <v>64.644366197183103</v>
      </c>
      <c r="N20" s="12">
        <f t="shared" ca="1" si="25"/>
        <v>26.524330985915494</v>
      </c>
      <c r="O20" s="33">
        <f t="shared" ca="1" si="58"/>
        <v>2.4371723543756665</v>
      </c>
      <c r="P20" s="20">
        <f t="shared" ca="1" si="27"/>
        <v>3.077164070724328</v>
      </c>
      <c r="Q20" s="33">
        <f t="shared" ca="1" si="28"/>
        <v>3.5533412718325317</v>
      </c>
      <c r="R20" s="33">
        <f t="shared" ca="1" si="59"/>
        <v>4.0706603212006627</v>
      </c>
      <c r="S20" s="34">
        <f t="shared" ca="1" si="30"/>
        <v>37.765371676764353</v>
      </c>
      <c r="T20" s="34">
        <f t="shared" ca="1" si="31"/>
        <v>7.345070422535211</v>
      </c>
      <c r="U20" s="34">
        <f t="shared" ca="1" si="32"/>
        <v>7.887323943661972</v>
      </c>
      <c r="V20" s="33">
        <f t="shared" ca="1" si="60"/>
        <v>0.86599170620540222</v>
      </c>
      <c r="W20" s="33">
        <f t="shared" ca="1" si="61"/>
        <v>0.792018981880932</v>
      </c>
      <c r="X20" s="33">
        <f t="shared" ca="1" si="35"/>
        <v>0.68588186946613372</v>
      </c>
      <c r="Y20" s="359">
        <f t="shared" ca="1" si="36"/>
        <v>211.2044454225352</v>
      </c>
      <c r="Z20" s="34">
        <f t="shared" ca="1" si="62"/>
        <v>7.9626681455108308</v>
      </c>
      <c r="AA20" s="33">
        <f t="shared" ca="1" si="63"/>
        <v>0.30607483695646515</v>
      </c>
      <c r="AB20" s="21">
        <f t="shared" ca="1" si="64"/>
        <v>24.502436324467045</v>
      </c>
      <c r="AC20" s="470">
        <f ca="1">AC10</f>
        <v>59</v>
      </c>
      <c r="AD20" s="12">
        <f t="shared" ca="1" si="40"/>
        <v>4.8135593220338979</v>
      </c>
      <c r="AE20" s="358">
        <f ca="1">COUNTIFS(BV!$H$55:$H$160,"&gt;=" &amp; DATE($A20,1,1),BV!$H$55:$H$160,"&lt;" &amp; DATE($A20+1,1,1))</f>
        <v>27</v>
      </c>
      <c r="AF20" s="358">
        <f ca="1">COUNTIFS(BV!$P$55:$P$160,"&gt;=" &amp; DATE($A20,1,1),BV!$P$55:$P$160,"&lt;" &amp; DATE($A20+1,1,1))</f>
        <v>23</v>
      </c>
      <c r="AG20" s="358">
        <f ca="1">COUNTIFS(BV!$X$55:$X$160,"&gt;=" &amp; DATE($A20,1,1),BV!$X$55:$X$160,"&lt;" &amp; DATE($A20+1,1,1))</f>
        <v>22</v>
      </c>
      <c r="AH20" s="358">
        <f ca="1">COUNTIFS(BV!$AF$55:$AF$160,"&gt;=" &amp; DATE($A20,1,1),BV!$AF$55:$AF$160,"&lt;" &amp; DATE($A20+1,1,1))</f>
        <v>24</v>
      </c>
      <c r="AI20" s="358">
        <f ca="1">COUNTIFS(BV!$AN$55:$AN$160,"&gt;=" &amp; DATE($A20,1,1),BV!$AN$55:$AN$160,"&lt;" &amp; DATE($A20+1,1,1))</f>
        <v>19</v>
      </c>
      <c r="AJ20" s="358">
        <f ca="1">COUNTIFS(BV!$AV$55:$AV$160,"&gt;=" &amp; DATE($A20,1,1),BV!$AV$55:$AV$160,"&lt;" &amp; DATE($A20+1,1,1))</f>
        <v>17</v>
      </c>
      <c r="AK20" s="358">
        <f ca="1">COUNTIFS(BV!$BD$55:$BD$160,"&gt;=" &amp; DATE($A20,1,1),BV!$BD$55:$BD$160,"&lt;" &amp; DATE($A20+1,1,1))</f>
        <v>18</v>
      </c>
      <c r="AL20" s="358">
        <f ca="1">COUNTIFS(BV!$BL$55:$BL$160,"&gt;=" &amp; DATE($A20,1,1),BV!$BL$55:$BL$160,"&lt;" &amp; DATE($A20+1,1,1))</f>
        <v>21</v>
      </c>
      <c r="AM20" s="358">
        <f ca="1">COUNTIFS(BV!$BT$55:$BT$160,"&gt;=" &amp; DATE($A20,1,1),BV!$BT$55:$BT$160,"&lt;" &amp; DATE($A20+1,1,1))</f>
        <v>21</v>
      </c>
      <c r="AN20" s="358">
        <f ca="1">COUNTIFS(BV!$CB$55:$CB$160,"&gt;=" &amp; DATE($A20,1,1),BV!$CB$55:$CB$160,"&lt;" &amp; DATE($A20+1,1,1))</f>
        <v>15</v>
      </c>
      <c r="AO20" s="35">
        <f t="shared" ca="1" si="41"/>
        <v>674.96428571428567</v>
      </c>
      <c r="AP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28</v>
      </c>
      <c r="AQ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23</v>
      </c>
      <c r="AR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24</v>
      </c>
      <c r="AS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20</v>
      </c>
      <c r="AT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20</v>
      </c>
      <c r="AU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28</v>
      </c>
      <c r="AV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25</v>
      </c>
      <c r="AW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33</v>
      </c>
      <c r="AX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32</v>
      </c>
      <c r="AY20" s="510">
        <f ca="1">COUNTIFS(OFFSET(Time!$T$2,(COLUMN()-42)*20,,20,),"&gt;=" &amp; DATE($A20,1,1),OFFSET(Time!$T$2,(COLUMN()-42)*20,,20,),"&lt;" &amp; DATE($A20+1,1,1))+COUNTIFS(OFFSET(Bvs!$T$2,(COLUMN()-42)*20,,20,),"&gt;=" &amp; DATE($A20,1,1),OFFSET(Bvs!$T$2,(COLUMN()-42)*20,,20,),"&lt;" &amp; DATE($A20+1,1,1))+COUNTIFS(OFFSET(QG!$T$2,(COLUMN()-42)*20,,20,),"&gt;=" &amp; DATE($A20,1,1),OFFSET(QG!$T$2,(COLUMN()-42)*20,,20,),"&lt;" &amp; DATE($A20+1,1,1))</f>
        <v>32</v>
      </c>
      <c r="AZ20" s="35">
        <f t="shared" ca="1" si="42"/>
        <v>756.18650793650795</v>
      </c>
      <c r="BA20" s="35">
        <f t="shared" ca="1" si="51"/>
        <v>1431.1507936507937</v>
      </c>
      <c r="BB20" s="34">
        <f t="shared" ca="1" si="43"/>
        <v>24.256793112725319</v>
      </c>
      <c r="BC20" s="393">
        <f t="shared" ca="1" si="44"/>
        <v>5.0392633579253303</v>
      </c>
    </row>
    <row r="21" spans="1:55" ht="13.8" thickBot="1" x14ac:dyDescent="0.3">
      <c r="A21" s="379">
        <f>A31</f>
        <v>2020</v>
      </c>
      <c r="B21" s="381" t="s">
        <v>39</v>
      </c>
      <c r="C21" s="167">
        <f ca="1">COUNTIFS(OFFSET(Arb!$C$2,Arb!$AJ$36,,Arb!$AJ$37,),$A21,OFFSET(Arb!$AI$2,Arb!$AJ$36,,Arb!$AJ$37,),TRUE)</f>
        <v>247</v>
      </c>
      <c r="D21" s="167">
        <f ca="1">SUMIFS(OFFSET(Arb!$I$2,Arb!$AJ$36,,Arb!$AJ$37,),OFFSET(Arb!$C$2,Arb!$AJ$36,,Arb!$AJ$37,),$A21,OFFSET(Arb!$AI$2,Arb!$AJ$36,,Arb!$AJ$37,),TRUE)</f>
        <v>15105</v>
      </c>
      <c r="E21" s="167">
        <f ca="1">SUMIFS(OFFSET(Arb!$H$2,Arb!$AJ$36,,Arb!$AJ$37,),OFFSET(Arb!$C$2,Arb!$AJ$36,,Arb!$AJ$37,),$A21,OFFSET(Arb!$AI$2,Arb!$AJ$36,,Arb!$AJ$37,),TRUE)</f>
        <v>6366.6599999999989</v>
      </c>
      <c r="F21" s="167">
        <f ca="1">SUMIFS(OFFSET(Arb!$AC$2,Arb!$AJ$36,,Arb!$AJ$37,),OFFSET(Arb!$C$2,Arb!$AJ$36,,Arb!$AJ$37,),$A21,OFFSET(Arb!$AI$2,Arb!$AJ$36,,Arb!$AJ$37,),TRUE)</f>
        <v>793536</v>
      </c>
      <c r="G21" s="167">
        <f ca="1">SUMIFS(OFFSET(Arb!$U$2,Arb!$AJ$36,,Arb!$AJ$37,),OFFSET(Arb!$C$2,Arb!$AJ$36,,Arb!$AJ$37,),$A21,OFFSET(Arb!$AI$2,Arb!$AJ$36,,Arb!$AJ$37,),TRUE)</f>
        <v>14740</v>
      </c>
      <c r="H21" s="167">
        <f ca="1">SUMIFS(OFFSET(Arb!$V$2,Arb!$AJ$36,,Arb!$AJ$37,),OFFSET(Arb!$C$2,Arb!$AJ$36,,Arb!$AJ$37,),$A21,OFFSET(Arb!$AI$2,Arb!$AJ$36,,Arb!$AJ$37,),TRUE)</f>
        <v>6772</v>
      </c>
      <c r="I21" s="167">
        <f ca="1">SUMIFS(OFFSET(Arb!$X$2,Arb!$AJ$36,,Arb!$AJ$37,),OFFSET(Arb!$C$2,Arb!$AJ$36,,Arb!$AJ$37,),$A21,OFFSET(Arb!$AI$2,Arb!$AJ$36,,Arb!$AJ$37,),TRUE)</f>
        <v>18814</v>
      </c>
      <c r="J21" s="167">
        <f ca="1">SUMIFS(OFFSET(Arb!$AA$2,Arb!$AJ$36,,Arb!$AJ$37,),OFFSET(Arb!$C$2,Arb!$AJ$36,,Arb!$AJ$37,),$A21,OFFSET(Arb!$AI$2,Arb!$AJ$36,,Arb!$AJ$37,),TRUE)</f>
        <v>1819</v>
      </c>
      <c r="K21" s="167">
        <f ca="1">SUMIFS(OFFSET(Arb!$AB$2,Arb!$AJ$36,,Arb!$AJ$37,),OFFSET(Arb!$C$2,Arb!$AJ$36,,Arb!$AJ$37,),$A21,OFFSET(Arb!$AI$2,Arb!$AJ$36,,Arb!$AJ$37,),TRUE)</f>
        <v>2087</v>
      </c>
      <c r="L21" s="167">
        <f t="shared" ca="1" si="23"/>
        <v>21512</v>
      </c>
      <c r="M21" s="391">
        <f t="shared" ca="1" si="24"/>
        <v>61.153846153846153</v>
      </c>
      <c r="N21" s="382">
        <f t="shared" ca="1" si="25"/>
        <v>25.775951417004045</v>
      </c>
      <c r="O21" s="113">
        <f t="shared" ca="1" si="58"/>
        <v>2.3725155733147369</v>
      </c>
      <c r="P21" s="383">
        <f t="shared" ca="1" si="27"/>
        <v>2.9550816283577266</v>
      </c>
      <c r="Q21" s="113">
        <f t="shared" ca="1" si="28"/>
        <v>3.3788517056038807</v>
      </c>
      <c r="R21" s="113">
        <f t="shared" ca="1" si="59"/>
        <v>4.098653657474447</v>
      </c>
      <c r="S21" s="112">
        <f t="shared" ca="1" si="30"/>
        <v>37.507438502312247</v>
      </c>
      <c r="T21" s="112">
        <f t="shared" ca="1" si="31"/>
        <v>7.3643724696356276</v>
      </c>
      <c r="U21" s="112">
        <f t="shared" ca="1" si="32"/>
        <v>8.4493927125506065</v>
      </c>
      <c r="V21" s="113">
        <f t="shared" ca="1" si="60"/>
        <v>0.8745816288583117</v>
      </c>
      <c r="W21" s="113">
        <f t="shared" ca="1" si="61"/>
        <v>0.80285957265865848</v>
      </c>
      <c r="X21" s="113">
        <f t="shared" ca="1" si="35"/>
        <v>0.70216623280029755</v>
      </c>
      <c r="Y21" s="168">
        <f t="shared" ca="1" si="36"/>
        <v>200.79352226720647</v>
      </c>
      <c r="Z21" s="112">
        <f t="shared" ca="1" si="62"/>
        <v>7.7899558010008398</v>
      </c>
      <c r="AA21" s="113">
        <f t="shared" ca="1" si="63"/>
        <v>0.30456085168158725</v>
      </c>
      <c r="AB21" s="135">
        <f t="shared" ca="1" si="64"/>
        <v>23.019955273256279</v>
      </c>
      <c r="AC21" s="470">
        <f ca="1">AC11</f>
        <v>195</v>
      </c>
      <c r="AD21" s="382">
        <f t="shared" ca="1" si="40"/>
        <v>1.2666666666666666</v>
      </c>
      <c r="AE21" s="67">
        <f ca="1">COUNTIFS(BV!$H$55:$H$160,"&gt;=" &amp; DATE($A21,1,1),BV!$H$55:$H$160,"&lt;" &amp; DATE($A21+1,1,1))</f>
        <v>36</v>
      </c>
      <c r="AF21" s="67">
        <f ca="1">COUNTIFS(BV!$P$55:$P$160,"&gt;=" &amp; DATE($A21,1,1),BV!$P$55:$P$160,"&lt;" &amp; DATE($A21+1,1,1))</f>
        <v>33</v>
      </c>
      <c r="AG21" s="67">
        <f ca="1">COUNTIFS(BV!$X$55:$X$160,"&gt;=" &amp; DATE($A21,1,1),BV!$X$55:$X$160,"&lt;" &amp; DATE($A21+1,1,1))</f>
        <v>25</v>
      </c>
      <c r="AH21" s="67">
        <f ca="1">COUNTIFS(BV!$AF$55:$AF$160,"&gt;=" &amp; DATE($A21,1,1),BV!$AF$55:$AF$160,"&lt;" &amp; DATE($A21+1,1,1))</f>
        <v>20</v>
      </c>
      <c r="AI21" s="67">
        <f ca="1">COUNTIFS(BV!$AN$55:$AN$160,"&gt;=" &amp; DATE($A21,1,1),BV!$AN$55:$AN$160,"&lt;" &amp; DATE($A21+1,1,1))</f>
        <v>19</v>
      </c>
      <c r="AJ21" s="67">
        <f ca="1">COUNTIFS(BV!$AV$55:$AV$160,"&gt;=" &amp; DATE($A21,1,1),BV!$AV$55:$AV$160,"&lt;" &amp; DATE($A21+1,1,1))</f>
        <v>19</v>
      </c>
      <c r="AK21" s="67">
        <f ca="1">COUNTIFS(BV!$BD$55:$BD$160,"&gt;=" &amp; DATE($A21,1,1),BV!$BD$55:$BD$160,"&lt;" &amp; DATE($A21+1,1,1))</f>
        <v>16</v>
      </c>
      <c r="AL21" s="67">
        <f ca="1">COUNTIFS(BV!$BL$55:$BL$160,"&gt;=" &amp; DATE($A21,1,1),BV!$BL$55:$BL$160,"&lt;" &amp; DATE($A21+1,1,1))</f>
        <v>10</v>
      </c>
      <c r="AM21" s="67">
        <f ca="1">COUNTIFS(BV!$BT$55:$BT$160,"&gt;=" &amp; DATE($A21,1,1),BV!$BT$55:$BT$160,"&lt;" &amp; DATE($A21+1,1,1))</f>
        <v>7</v>
      </c>
      <c r="AN21" s="67">
        <f ca="1">COUNTIFS(BV!$CB$55:$CB$160,"&gt;=" &amp; DATE($A21,1,1),BV!$CB$55:$CB$160,"&lt;" &amp; DATE($A21+1,1,1))</f>
        <v>11</v>
      </c>
      <c r="AO21" s="384">
        <f t="shared" ca="1" si="41"/>
        <v>782.13492063492072</v>
      </c>
      <c r="AP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32</v>
      </c>
      <c r="AQ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37</v>
      </c>
      <c r="AR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36</v>
      </c>
      <c r="AS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40</v>
      </c>
      <c r="AT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40</v>
      </c>
      <c r="AU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32</v>
      </c>
      <c r="AV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35</v>
      </c>
      <c r="AW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27</v>
      </c>
      <c r="AX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28</v>
      </c>
      <c r="AY21" s="510">
        <f ca="1">COUNTIFS(OFFSET(Time!$T$2,(COLUMN()-42)*20,,20,),"&gt;=" &amp; DATE($A21,1,1),OFFSET(Time!$T$2,(COLUMN()-42)*20,,20,),"&lt;" &amp; DATE($A21+1,1,1))+COUNTIFS(OFFSET(Bvs!$T$2,(COLUMN()-42)*20,,20,),"&gt;=" &amp; DATE($A21,1,1),OFFSET(Bvs!$T$2,(COLUMN()-42)*20,,20,),"&lt;" &amp; DATE($A21+1,1,1))+COUNTIFS(OFFSET(QG!$T$2,(COLUMN()-42)*20,,20,),"&gt;=" &amp; DATE($A21,1,1),OFFSET(QG!$T$2,(COLUMN()-42)*20,,20,),"&lt;" &amp; DATE($A21+1,1,1))</f>
        <v>28</v>
      </c>
      <c r="AZ21" s="384">
        <f t="shared" ca="1" si="42"/>
        <v>1001.1944444444443</v>
      </c>
      <c r="BA21" s="384">
        <f t="shared" ca="1" si="51"/>
        <v>1783.3293650793651</v>
      </c>
      <c r="BB21" s="112">
        <f t="shared" ca="1" si="43"/>
        <v>9.1452787952787951</v>
      </c>
      <c r="BC21" s="394">
        <f t="shared" ca="1" si="44"/>
        <v>7.2199569436411544</v>
      </c>
    </row>
    <row r="22" spans="1:55" x14ac:dyDescent="0.25">
      <c r="A22" s="367">
        <f t="shared" ref="A22:A29" si="96">A23-1</f>
        <v>2011</v>
      </c>
      <c r="B22" s="368" t="s">
        <v>40</v>
      </c>
      <c r="C22" s="69">
        <f ca="1">COUNTIFS(OFFSET(Arb!$C$2,Arb!$AJ$36+Arb!$AJ$37,,Arb!$AJ$38,),$A22,OFFSET(Arb!$AI$2,Arb!$AJ$36+Arb!$AJ$37,,Arb!$AJ$38,),TRUE)</f>
        <v>0</v>
      </c>
      <c r="D22" s="69">
        <f ca="1">SUMIFS(OFFSET(Arb!$I$2,Arb!$AJ$36+Arb!$AJ$37,,Arb!$AJ$38,),OFFSET(Arb!$C$2,Arb!$AJ$36+Arb!$AJ$37,,Arb!$AJ$38,),$A22,OFFSET(Arb!$AI$2,Arb!$AJ$36+Arb!$AJ$37,,Arb!$AJ$38,),TRUE)</f>
        <v>0</v>
      </c>
      <c r="E22" s="69">
        <f ca="1">SUMIFS(OFFSET(Arb!$H$2,Arb!$AJ$36+Arb!$AJ$37,,Arb!$AJ$38,),OFFSET(Arb!$C$2,Arb!$AJ$36+Arb!$AJ$37,,Arb!$AJ$38,),$A22,OFFSET(Arb!$AI$2,Arb!$AJ$36+Arb!$AJ$37,,Arb!$AJ$38,),TRUE)</f>
        <v>0</v>
      </c>
      <c r="F22" s="69">
        <f ca="1">SUMIFS(OFFSET(Arb!$AC$2,Arb!$AJ$36+Arb!$AJ$37,,Arb!$AJ$38,),OFFSET(Arb!$C$2,Arb!$AJ$36+Arb!$AJ$37,,Arb!$AJ$38,),$A22,OFFSET(Arb!$AI$2,Arb!$AJ$36+Arb!$AJ$37,,Arb!$AJ$38,),TRUE)</f>
        <v>0</v>
      </c>
      <c r="G22" s="69">
        <f ca="1">SUMIFS(OFFSET(Arb!$U$2,Arb!$AJ$36+Arb!$AJ$37,,Arb!$AJ$38,),OFFSET(Arb!$C$2,Arb!$AJ$36+Arb!$AJ$37,,Arb!$AJ$38,),$A22,OFFSET(Arb!$AI$2,Arb!$AJ$36+Arb!$AJ$37,,Arb!$AJ$38,),TRUE)</f>
        <v>0</v>
      </c>
      <c r="H22" s="69">
        <f ca="1">SUMIFS(OFFSET(Arb!$V$2,Arb!$AJ$36+Arb!$AJ$37,,Arb!$AJ$38,),OFFSET(Arb!$C$2,Arb!$AJ$36+Arb!$AJ$37,,Arb!$AJ$38,),$A22,OFFSET(Arb!$AI$2,Arb!$AJ$36+Arb!$AJ$37,,Arb!$AJ$38,),TRUE)</f>
        <v>0</v>
      </c>
      <c r="I22" s="69">
        <f ca="1">SUMIFS(OFFSET(Arb!$X$2,Arb!$AJ$36+Arb!$AJ$37,,Arb!$AJ$38,),OFFSET(Arb!$C$2,Arb!$AJ$36+Arb!$AJ$37,,Arb!$AJ$38,),$A22,OFFSET(Arb!$AI$2,Arb!$AJ$36+Arb!$AJ$37,,Arb!$AJ$38,),TRUE)</f>
        <v>0</v>
      </c>
      <c r="J22" s="69">
        <f ca="1">SUMIFS(OFFSET(Arb!$AA$2,Arb!$AJ$36+Arb!$AJ$37,,Arb!$AJ$38,),OFFSET(Arb!$C$2,Arb!$AJ$36+Arb!$AJ$37,,Arb!$AJ$38,),$A22,OFFSET(Arb!$AI$2,Arb!$AJ$36+Arb!$AJ$37,,Arb!$AJ$38,),TRUE)</f>
        <v>0</v>
      </c>
      <c r="K22" s="69">
        <f ca="1">SUMIFS(OFFSET(Arb!$AB$2,Arb!$AJ$36+Arb!$AJ$37,,Arb!$AJ$38,),OFFSET(Arb!$C$2,Arb!$AJ$36+Arb!$AJ$37,,Arb!$AJ$38,),$A22,OFFSET(Arb!$AI$2,Arb!$AJ$36+Arb!$AJ$37,,Arb!$AJ$38,),TRUE)</f>
        <v>0</v>
      </c>
      <c r="L22" s="69">
        <f t="shared" ref="L22" ca="1" si="97">G22+H22</f>
        <v>0</v>
      </c>
      <c r="M22" s="389" t="str">
        <f t="shared" ref="M22" ca="1" si="98">IFERROR(D22/C22,"")</f>
        <v/>
      </c>
      <c r="N22" s="369" t="str">
        <f t="shared" ref="N22" ca="1" si="99">IFERROR(E22/C22,"")</f>
        <v/>
      </c>
      <c r="O22" s="122" t="str">
        <f t="shared" ca="1" si="58"/>
        <v/>
      </c>
      <c r="P22" s="234" t="str">
        <f t="shared" ref="P22" ca="1" si="100">IFERROR(I22/E22,"")</f>
        <v/>
      </c>
      <c r="Q22" s="122" t="str">
        <f t="shared" ref="Q22" ca="1" si="101">IFERROR(L22/E22,"")</f>
        <v/>
      </c>
      <c r="R22" s="122" t="str">
        <f t="shared" ca="1" si="59"/>
        <v/>
      </c>
      <c r="S22" s="119" t="str">
        <f t="shared" ref="S22" ca="1" si="102">IFERROR((IF(B22="beg",47.299,0)+IF(B22="int",153.73,0)+IF(B22="exp",435.001,0))/R22,"")</f>
        <v/>
      </c>
      <c r="T22" s="119" t="str">
        <f t="shared" ref="T22" ca="1" si="103">IFERROR(J22/C22,"")</f>
        <v/>
      </c>
      <c r="U22" s="119" t="str">
        <f t="shared" ref="U22" ca="1" si="104">IFERROR(K22/C22,"")</f>
        <v/>
      </c>
      <c r="V22" s="122" t="str">
        <f t="shared" ca="1" si="60"/>
        <v/>
      </c>
      <c r="W22" s="122" t="str">
        <f t="shared" ca="1" si="61"/>
        <v/>
      </c>
      <c r="X22" s="122" t="str">
        <f t="shared" ref="X22" ca="1" si="105">IFERROR(D22/L22,"")</f>
        <v/>
      </c>
      <c r="Y22" s="175" t="str">
        <f t="shared" ref="Y22" ca="1" si="106">IFERROR(F22/C22/16,"")</f>
        <v/>
      </c>
      <c r="Z22" s="119" t="str">
        <f t="shared" ca="1" si="62"/>
        <v/>
      </c>
      <c r="AA22" s="122" t="str">
        <f t="shared" ca="1" si="63"/>
        <v/>
      </c>
      <c r="AB22" s="121" t="str">
        <f t="shared" ref="AB22" ca="1" si="107">IFERROR(Z22*P22,"")</f>
        <v/>
      </c>
      <c r="AC22" s="547">
        <f ca="1">AC11</f>
        <v>195</v>
      </c>
      <c r="AD22" s="369">
        <f t="shared" ref="AD22" ca="1" si="108">C22/AC22</f>
        <v>0</v>
      </c>
      <c r="AE22" s="70">
        <f ca="1">COUNTIFS(BV!$H$242:$H$420,"&gt;=" &amp; DATE($A22,1,1),BV!$H$242:$H$420,"&lt;" &amp; DATE($A22+1,1,1))</f>
        <v>0</v>
      </c>
      <c r="AF22" s="70">
        <f ca="1">COUNTIFS(BV!$P$242:$P$420,"&gt;=" &amp; DATE($A22,1,1),BV!$P$242:$P$420,"&lt;" &amp; DATE($A22+1,1,1))</f>
        <v>0</v>
      </c>
      <c r="AG22" s="70">
        <f ca="1">COUNTIFS(BV!$X$242:$X$420,"&gt;=" &amp; DATE($A22,1,1),BV!$X$242:$X$420,"&lt;" &amp; DATE($A22+1,1,1))</f>
        <v>0</v>
      </c>
      <c r="AH22" s="70">
        <f ca="1">COUNTIFS(BV!$AF$242:$AF$420,"&gt;=" &amp; DATE($A22,1,1),BV!$AF$242:$AF$420,"&lt;" &amp; DATE($A22+1,1,1))</f>
        <v>0</v>
      </c>
      <c r="AI22" s="70">
        <f ca="1">COUNTIFS(BV!$AN$242:$AN$420,"&gt;=" &amp; DATE($A22,1,1),BV!$AN$242:$AN$420,"&lt;" &amp; DATE($A22+1,1,1))</f>
        <v>0</v>
      </c>
      <c r="AJ22" s="70">
        <f ca="1">COUNTIFS(BV!$AV$242:$AV$420,"&gt;=" &amp; DATE($A22,1,1),BV!$AV$242:$AV$420,"&lt;" &amp; DATE($A22+1,1,1))</f>
        <v>0</v>
      </c>
      <c r="AK22" s="70">
        <f ca="1">COUNTIFS(BV!$BD$242:$BD$420,"&gt;=" &amp; DATE($A22,1,1),BV!$BD$242:$BD$420,"&lt;" &amp; DATE($A22+1,1,1))</f>
        <v>0</v>
      </c>
      <c r="AL22" s="70">
        <f ca="1">COUNTIFS(BV!$BL$242:$BL$420,"&gt;=" &amp; DATE($A22,1,1),BV!$BL$242:$BL$420,"&lt;" &amp; DATE($A22+1,1,1))</f>
        <v>0</v>
      </c>
      <c r="AM22" s="70">
        <f ca="1">COUNTIFS(BV!$BT$242:$BT$420,"&gt;=" &amp; DATE($A22,1,1),BV!$BT$242:$BT$420,"&lt;" &amp; DATE($A22+1,1,1))</f>
        <v>0</v>
      </c>
      <c r="AN22" s="70">
        <f ca="1">COUNTIFS(BV!$CB$242:$CB$420,"&gt;=" &amp; DATE($A22,1,1),BV!$CB$242:$CB$420,"&lt;" &amp; DATE($A22+1,1,1))</f>
        <v>0</v>
      </c>
      <c r="AO22" s="232">
        <f t="shared" ref="AO22" ca="1" si="109">(AE22+AF22/2+AG22/3+AH22/4+AI22/5+AJ22/6+AK22/7+AL22/8+AM22/9+AN22/10)*10</f>
        <v>0</v>
      </c>
      <c r="AP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Q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R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S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T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U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V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W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X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Y22" s="547">
        <f ca="1">COUNTIFS(OFFSET(Time!$AD$2,(COLUMN()-42)*20,,20,),"&gt;=" &amp; DATE($A22,1,1),OFFSET(Time!$AD$2,(COLUMN()-42)*20,,20,),"&lt;" &amp; DATE($A22+1,1,1))+COUNTIFS(OFFSET(Bvs!$AD$2,(COLUMN()-42)*20,,20,),"&gt;=" &amp; DATE($A22,1,1),OFFSET(Bvs!$AD$2,(COLUMN()-42)*20,,20,),"&lt;" &amp; DATE($A22+1,1,1))+COUNTIFS(OFFSET(QG!$AD$2,(COLUMN()-42)*20,,20,),"&gt;=" &amp; DATE($A22,1,1),OFFSET(QG!$AD$2,(COLUMN()-42)*20,,20,),"&lt;" &amp; DATE($A22+1,1,1))</f>
        <v>0</v>
      </c>
      <c r="AZ22" s="232">
        <f t="shared" ref="AZ22" ca="1" si="110">(AP22+AQ22/2+AR22/3+AS22/4+AT22/5+AU22/6+AV22/7+AW22/8+AX22/9+AY22/10)*10</f>
        <v>0</v>
      </c>
      <c r="BA22" s="232">
        <f t="shared" ref="BA22" ca="1" si="111">AO22+AZ22</f>
        <v>0</v>
      </c>
      <c r="BB22" s="119">
        <f t="shared" ref="BB22" ca="1" si="112">BA22/AC22</f>
        <v>0</v>
      </c>
      <c r="BC22" s="119">
        <f t="shared" ref="BC22" ca="1" si="113">IF(AD22=0,0,BB22/AD22)</f>
        <v>0</v>
      </c>
    </row>
    <row r="23" spans="1:55" x14ac:dyDescent="0.25">
      <c r="A23" s="367">
        <f t="shared" si="96"/>
        <v>2012</v>
      </c>
      <c r="B23" s="368" t="s">
        <v>40</v>
      </c>
      <c r="C23" s="69">
        <f ca="1">COUNTIFS(OFFSET(Arb!$C$2,Arb!$AJ$36+Arb!$AJ$37,,Arb!$AJ$38,),$A23,OFFSET(Arb!$AI$2,Arb!$AJ$36+Arb!$AJ$37,,Arb!$AJ$38,),TRUE)</f>
        <v>0</v>
      </c>
      <c r="D23" s="69">
        <f ca="1">SUMIFS(OFFSET(Arb!$I$2,Arb!$AJ$36+Arb!$AJ$37,,Arb!$AJ$38,),OFFSET(Arb!$C$2,Arb!$AJ$36+Arb!$AJ$37,,Arb!$AJ$38,),$A23,OFFSET(Arb!$AI$2,Arb!$AJ$36+Arb!$AJ$37,,Arb!$AJ$38,),TRUE)</f>
        <v>0</v>
      </c>
      <c r="E23" s="69">
        <f ca="1">SUMIFS(OFFSET(Arb!$H$2,Arb!$AJ$36+Arb!$AJ$37,,Arb!$AJ$38,),OFFSET(Arb!$C$2,Arb!$AJ$36+Arb!$AJ$37,,Arb!$AJ$38,),$A23,OFFSET(Arb!$AI$2,Arb!$AJ$36+Arb!$AJ$37,,Arb!$AJ$38,),TRUE)</f>
        <v>0</v>
      </c>
      <c r="F23" s="69">
        <f ca="1">SUMIFS(OFFSET(Arb!$AC$2,Arb!$AJ$36+Arb!$AJ$37,,Arb!$AJ$38,),OFFSET(Arb!$C$2,Arb!$AJ$36+Arb!$AJ$37,,Arb!$AJ$38,),$A23,OFFSET(Arb!$AI$2,Arb!$AJ$36+Arb!$AJ$37,,Arb!$AJ$38,),TRUE)</f>
        <v>0</v>
      </c>
      <c r="G23" s="69">
        <f ca="1">SUMIFS(OFFSET(Arb!$U$2,Arb!$AJ$36+Arb!$AJ$37,,Arb!$AJ$38,),OFFSET(Arb!$C$2,Arb!$AJ$36+Arb!$AJ$37,,Arb!$AJ$38,),$A23,OFFSET(Arb!$AI$2,Arb!$AJ$36+Arb!$AJ$37,,Arb!$AJ$38,),TRUE)</f>
        <v>0</v>
      </c>
      <c r="H23" s="69">
        <f ca="1">SUMIFS(OFFSET(Arb!$V$2,Arb!$AJ$36+Arb!$AJ$37,,Arb!$AJ$38,),OFFSET(Arb!$C$2,Arb!$AJ$36+Arb!$AJ$37,,Arb!$AJ$38,),$A23,OFFSET(Arb!$AI$2,Arb!$AJ$36+Arb!$AJ$37,,Arb!$AJ$38,),TRUE)</f>
        <v>0</v>
      </c>
      <c r="I23" s="69">
        <f ca="1">SUMIFS(OFFSET(Arb!$X$2,Arb!$AJ$36+Arb!$AJ$37,,Arb!$AJ$38,),OFFSET(Arb!$C$2,Arb!$AJ$36+Arb!$AJ$37,,Arb!$AJ$38,),$A23,OFFSET(Arb!$AI$2,Arb!$AJ$36+Arb!$AJ$37,,Arb!$AJ$38,),TRUE)</f>
        <v>0</v>
      </c>
      <c r="J23" s="69">
        <f ca="1">SUMIFS(OFFSET(Arb!$AA$2,Arb!$AJ$36+Arb!$AJ$37,,Arb!$AJ$38,),OFFSET(Arb!$C$2,Arb!$AJ$36+Arb!$AJ$37,,Arb!$AJ$38,),$A23,OFFSET(Arb!$AI$2,Arb!$AJ$36+Arb!$AJ$37,,Arb!$AJ$38,),TRUE)</f>
        <v>0</v>
      </c>
      <c r="K23" s="69">
        <f ca="1">SUMIFS(OFFSET(Arb!$AB$2,Arb!$AJ$36+Arb!$AJ$37,,Arb!$AJ$38,),OFFSET(Arb!$C$2,Arb!$AJ$36+Arb!$AJ$37,,Arb!$AJ$38,),$A23,OFFSET(Arb!$AI$2,Arb!$AJ$36+Arb!$AJ$37,,Arb!$AJ$38,),TRUE)</f>
        <v>0</v>
      </c>
      <c r="L23" s="69">
        <f t="shared" ca="1" si="23"/>
        <v>0</v>
      </c>
      <c r="M23" s="389" t="str">
        <f t="shared" ca="1" si="24"/>
        <v/>
      </c>
      <c r="N23" s="369" t="str">
        <f t="shared" ca="1" si="25"/>
        <v/>
      </c>
      <c r="O23" s="122" t="str">
        <f t="shared" ref="O23" ca="1" si="114">IFERROR(M23/N23,"")</f>
        <v/>
      </c>
      <c r="P23" s="234" t="str">
        <f t="shared" ca="1" si="27"/>
        <v/>
      </c>
      <c r="Q23" s="122" t="str">
        <f t="shared" ca="1" si="28"/>
        <v/>
      </c>
      <c r="R23" s="122" t="str">
        <f t="shared" ref="R23" ca="1" si="115">IFERROR(N23^1.7/M23,"")</f>
        <v/>
      </c>
      <c r="S23" s="119" t="str">
        <f t="shared" ca="1" si="30"/>
        <v/>
      </c>
      <c r="T23" s="119" t="str">
        <f t="shared" ca="1" si="31"/>
        <v/>
      </c>
      <c r="U23" s="119" t="str">
        <f t="shared" ca="1" si="32"/>
        <v/>
      </c>
      <c r="V23" s="122" t="str">
        <f t="shared" ref="V23" ca="1" si="116">IFERROR(P23/Q23,"")</f>
        <v/>
      </c>
      <c r="W23" s="122" t="str">
        <f t="shared" ref="W23" ca="1" si="117">IFERROR(O23/P23,"")</f>
        <v/>
      </c>
      <c r="X23" s="122" t="str">
        <f t="shared" ca="1" si="35"/>
        <v/>
      </c>
      <c r="Y23" s="175" t="str">
        <f t="shared" ca="1" si="36"/>
        <v/>
      </c>
      <c r="Z23" s="119" t="str">
        <f t="shared" ref="Z23" ca="1" si="118">IFERROR(Y23/N23,"")</f>
        <v/>
      </c>
      <c r="AA23" s="122" t="str">
        <f t="shared" ref="AA23" ca="1" si="119">IFERROR(M23/Y23,"")</f>
        <v/>
      </c>
      <c r="AB23" s="121" t="str">
        <f t="shared" ca="1" si="64"/>
        <v/>
      </c>
      <c r="AC23" s="470" t="e">
        <f ca="1">AC13</f>
        <v>#N/A</v>
      </c>
      <c r="AD23" s="369" t="e">
        <f t="shared" ca="1" si="40"/>
        <v>#N/A</v>
      </c>
      <c r="AE23" s="70">
        <f ca="1">COUNTIFS(BV!$H$242:$H$420,"&gt;=" &amp; DATE($A23,1,1),BV!$H$242:$H$420,"&lt;" &amp; DATE($A23+1,1,1))</f>
        <v>0</v>
      </c>
      <c r="AF23" s="70">
        <f ca="1">COUNTIFS(BV!$P$242:$P$420,"&gt;=" &amp; DATE($A23,1,1),BV!$P$242:$P$420,"&lt;" &amp; DATE($A23+1,1,1))</f>
        <v>0</v>
      </c>
      <c r="AG23" s="70">
        <f ca="1">COUNTIFS(BV!$X$242:$X$420,"&gt;=" &amp; DATE($A23,1,1),BV!$X$242:$X$420,"&lt;" &amp; DATE($A23+1,1,1))</f>
        <v>0</v>
      </c>
      <c r="AH23" s="70">
        <f ca="1">COUNTIFS(BV!$AF$242:$AF$420,"&gt;=" &amp; DATE($A23,1,1),BV!$AF$242:$AF$420,"&lt;" &amp; DATE($A23+1,1,1))</f>
        <v>0</v>
      </c>
      <c r="AI23" s="70">
        <f ca="1">COUNTIFS(BV!$AN$242:$AN$420,"&gt;=" &amp; DATE($A23,1,1),BV!$AN$242:$AN$420,"&lt;" &amp; DATE($A23+1,1,1))</f>
        <v>0</v>
      </c>
      <c r="AJ23" s="70">
        <f ca="1">COUNTIFS(BV!$AV$242:$AV$420,"&gt;=" &amp; DATE($A23,1,1),BV!$AV$242:$AV$420,"&lt;" &amp; DATE($A23+1,1,1))</f>
        <v>0</v>
      </c>
      <c r="AK23" s="70">
        <f ca="1">COUNTIFS(BV!$BD$242:$BD$420,"&gt;=" &amp; DATE($A23,1,1),BV!$BD$242:$BD$420,"&lt;" &amp; DATE($A23+1,1,1))</f>
        <v>0</v>
      </c>
      <c r="AL23" s="70">
        <f ca="1">COUNTIFS(BV!$BL$242:$BL$420,"&gt;=" &amp; DATE($A23,1,1),BV!$BL$242:$BL$420,"&lt;" &amp; DATE($A23+1,1,1))</f>
        <v>0</v>
      </c>
      <c r="AM23" s="70">
        <f ca="1">COUNTIFS(BV!$BT$242:$BT$420,"&gt;=" &amp; DATE($A23,1,1),BV!$BT$242:$BT$420,"&lt;" &amp; DATE($A23+1,1,1))</f>
        <v>0</v>
      </c>
      <c r="AN23" s="70">
        <f ca="1">COUNTIFS(BV!$CB$242:$CB$420,"&gt;=" &amp; DATE($A23,1,1),BV!$CB$242:$CB$420,"&lt;" &amp; DATE($A23+1,1,1))</f>
        <v>0</v>
      </c>
      <c r="AO23" s="232">
        <f t="shared" ca="1" si="41"/>
        <v>0</v>
      </c>
      <c r="AP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Q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R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S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T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U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V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W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X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Y23" s="510">
        <f ca="1">COUNTIFS(OFFSET(Time!$AD$2,(COLUMN()-42)*20,,20,),"&gt;=" &amp; DATE($A23,1,1),OFFSET(Time!$AD$2,(COLUMN()-42)*20,,20,),"&lt;" &amp; DATE($A23+1,1,1))+COUNTIFS(OFFSET(Bvs!$AD$2,(COLUMN()-42)*20,,20,),"&gt;=" &amp; DATE($A23,1,1),OFFSET(Bvs!$AD$2,(COLUMN()-42)*20,,20,),"&lt;" &amp; DATE($A23+1,1,1))+COUNTIFS(OFFSET(QG!$AD$2,(COLUMN()-42)*20,,20,),"&gt;=" &amp; DATE($A23,1,1),OFFSET(QG!$AD$2,(COLUMN()-42)*20,,20,),"&lt;" &amp; DATE($A23+1,1,1))</f>
        <v>0</v>
      </c>
      <c r="AZ23" s="232">
        <f t="shared" ca="1" si="42"/>
        <v>0</v>
      </c>
      <c r="BA23" s="232">
        <f t="shared" ca="1" si="51"/>
        <v>0</v>
      </c>
      <c r="BB23" s="119" t="e">
        <f t="shared" ca="1" si="43"/>
        <v>#N/A</v>
      </c>
      <c r="BC23" s="119" t="e">
        <f t="shared" ca="1" si="44"/>
        <v>#N/A</v>
      </c>
    </row>
    <row r="24" spans="1:55" x14ac:dyDescent="0.25">
      <c r="A24" s="24">
        <f t="shared" si="96"/>
        <v>2013</v>
      </c>
      <c r="B24" s="38" t="s">
        <v>40</v>
      </c>
      <c r="C24" s="1">
        <f ca="1">COUNTIFS(OFFSET(Arb!$C$2,Arb!$AJ$36+Arb!$AJ$37,,Arb!$AJ$38,),$A24,OFFSET(Arb!$AI$2,Arb!$AJ$36+Arb!$AJ$37,,Arb!$AJ$38,),TRUE)</f>
        <v>0</v>
      </c>
      <c r="D24" s="1">
        <f ca="1">SUMIFS(OFFSET(Arb!$I$2,Arb!$AJ$36+Arb!$AJ$37,,Arb!$AJ$38,),OFFSET(Arb!$C$2,Arb!$AJ$36+Arb!$AJ$37,,Arb!$AJ$38,),$A24,OFFSET(Arb!$AI$2,Arb!$AJ$36+Arb!$AJ$37,,Arb!$AJ$38,),TRUE)</f>
        <v>0</v>
      </c>
      <c r="E24" s="1">
        <f ca="1">SUMIFS(OFFSET(Arb!$H$2,Arb!$AJ$36+Arb!$AJ$37,,Arb!$AJ$38,),OFFSET(Arb!$C$2,Arb!$AJ$36+Arb!$AJ$37,,Arb!$AJ$38,),$A24,OFFSET(Arb!$AI$2,Arb!$AJ$36+Arb!$AJ$37,,Arb!$AJ$38,),TRUE)</f>
        <v>0</v>
      </c>
      <c r="F24" s="1">
        <f ca="1">SUMIFS(OFFSET(Arb!$AC$2,Arb!$AJ$36+Arb!$AJ$37,,Arb!$AJ$38,),OFFSET(Arb!$C$2,Arb!$AJ$36+Arb!$AJ$37,,Arb!$AJ$38,),$A24,OFFSET(Arb!$AI$2,Arb!$AJ$36+Arb!$AJ$37,,Arb!$AJ$38,),TRUE)</f>
        <v>0</v>
      </c>
      <c r="G24" s="1">
        <f ca="1">SUMIFS(OFFSET(Arb!$U$2,Arb!$AJ$36+Arb!$AJ$37,,Arb!$AJ$38,),OFFSET(Arb!$C$2,Arb!$AJ$36+Arb!$AJ$37,,Arb!$AJ$38,),$A24,OFFSET(Arb!$AI$2,Arb!$AJ$36+Arb!$AJ$37,,Arb!$AJ$38,),TRUE)</f>
        <v>0</v>
      </c>
      <c r="H24" s="1">
        <f ca="1">SUMIFS(OFFSET(Arb!$V$2,Arb!$AJ$36+Arb!$AJ$37,,Arb!$AJ$38,),OFFSET(Arb!$C$2,Arb!$AJ$36+Arb!$AJ$37,,Arb!$AJ$38,),$A24,OFFSET(Arb!$AI$2,Arb!$AJ$36+Arb!$AJ$37,,Arb!$AJ$38,),TRUE)</f>
        <v>0</v>
      </c>
      <c r="I24" s="1">
        <f ca="1">SUMIFS(OFFSET(Arb!$X$2,Arb!$AJ$36+Arb!$AJ$37,,Arb!$AJ$38,),OFFSET(Arb!$C$2,Arb!$AJ$36+Arb!$AJ$37,,Arb!$AJ$38,),$A24,OFFSET(Arb!$AI$2,Arb!$AJ$36+Arb!$AJ$37,,Arb!$AJ$38,),TRUE)</f>
        <v>0</v>
      </c>
      <c r="J24" s="1">
        <f ca="1">SUMIFS(OFFSET(Arb!$AA$2,Arb!$AJ$36+Arb!$AJ$37,,Arb!$AJ$38,),OFFSET(Arb!$C$2,Arb!$AJ$36+Arb!$AJ$37,,Arb!$AJ$38,),$A24,OFFSET(Arb!$AI$2,Arb!$AJ$36+Arb!$AJ$37,,Arb!$AJ$38,),TRUE)</f>
        <v>0</v>
      </c>
      <c r="K24" s="1">
        <f ca="1">SUMIFS(OFFSET(Arb!$AB$2,Arb!$AJ$36+Arb!$AJ$37,,Arb!$AJ$38,),OFFSET(Arb!$C$2,Arb!$AJ$36+Arb!$AJ$37,,Arb!$AJ$38,),$A24,OFFSET(Arb!$AI$2,Arb!$AJ$36+Arb!$AJ$37,,Arb!$AJ$38,),TRUE)</f>
        <v>0</v>
      </c>
      <c r="L24" s="1">
        <f t="shared" ca="1" si="23"/>
        <v>0</v>
      </c>
      <c r="M24" s="39" t="str">
        <f t="shared" ca="1" si="24"/>
        <v/>
      </c>
      <c r="N24" s="12" t="str">
        <f t="shared" ca="1" si="25"/>
        <v/>
      </c>
      <c r="O24" s="33" t="str">
        <f t="shared" ca="1" si="58"/>
        <v/>
      </c>
      <c r="P24" s="20" t="str">
        <f t="shared" ca="1" si="27"/>
        <v/>
      </c>
      <c r="Q24" s="33" t="str">
        <f t="shared" ca="1" si="28"/>
        <v/>
      </c>
      <c r="R24" s="33" t="str">
        <f t="shared" ca="1" si="59"/>
        <v/>
      </c>
      <c r="S24" s="34" t="str">
        <f t="shared" ca="1" si="30"/>
        <v/>
      </c>
      <c r="T24" s="34" t="str">
        <f t="shared" ca="1" si="31"/>
        <v/>
      </c>
      <c r="U24" s="34" t="str">
        <f t="shared" ca="1" si="32"/>
        <v/>
      </c>
      <c r="V24" s="33" t="str">
        <f t="shared" ca="1" si="60"/>
        <v/>
      </c>
      <c r="W24" s="33" t="str">
        <f t="shared" ca="1" si="61"/>
        <v/>
      </c>
      <c r="X24" s="33" t="str">
        <f t="shared" ca="1" si="35"/>
        <v/>
      </c>
      <c r="Y24" s="17" t="str">
        <f t="shared" ca="1" si="36"/>
        <v/>
      </c>
      <c r="Z24" s="34" t="str">
        <f t="shared" ca="1" si="62"/>
        <v/>
      </c>
      <c r="AA24" s="33" t="str">
        <f t="shared" ca="1" si="63"/>
        <v/>
      </c>
      <c r="AB24" s="21" t="str">
        <f t="shared" ref="AB24" ca="1" si="120">IFERROR(Z24*P24,"")</f>
        <v/>
      </c>
      <c r="AC24" s="470" t="e">
        <f ca="1">AC14</f>
        <v>#N/A</v>
      </c>
      <c r="AD24" s="12" t="e">
        <f t="shared" ca="1" si="40"/>
        <v>#N/A</v>
      </c>
      <c r="AE24" s="353">
        <f ca="1">COUNTIFS(BV!$H$242:$H$420,"&gt;=" &amp; DATE($A24,1,1),BV!$H$242:$H$420,"&lt;" &amp; DATE($A24+1,1,1))</f>
        <v>0</v>
      </c>
      <c r="AF24" s="353">
        <f ca="1">COUNTIFS(BV!$P$242:$P$420,"&gt;=" &amp; DATE($A24,1,1),BV!$P$242:$P$420,"&lt;" &amp; DATE($A24+1,1,1))</f>
        <v>0</v>
      </c>
      <c r="AG24" s="353">
        <f ca="1">COUNTIFS(BV!$X$242:$X$420,"&gt;=" &amp; DATE($A24,1,1),BV!$X$242:$X$420,"&lt;" &amp; DATE($A24+1,1,1))</f>
        <v>0</v>
      </c>
      <c r="AH24" s="353">
        <f ca="1">COUNTIFS(BV!$AF$242:$AF$420,"&gt;=" &amp; DATE($A24,1,1),BV!$AF$242:$AF$420,"&lt;" &amp; DATE($A24+1,1,1))</f>
        <v>0</v>
      </c>
      <c r="AI24" s="353">
        <f ca="1">COUNTIFS(BV!$AN$242:$AN$420,"&gt;=" &amp; DATE($A24,1,1),BV!$AN$242:$AN$420,"&lt;" &amp; DATE($A24+1,1,1))</f>
        <v>0</v>
      </c>
      <c r="AJ24" s="353">
        <f ca="1">COUNTIFS(BV!$AV$242:$AV$420,"&gt;=" &amp; DATE($A24,1,1),BV!$AV$242:$AV$420,"&lt;" &amp; DATE($A24+1,1,1))</f>
        <v>0</v>
      </c>
      <c r="AK24" s="353">
        <f ca="1">COUNTIFS(BV!$BD$242:$BD$420,"&gt;=" &amp; DATE($A24,1,1),BV!$BD$242:$BD$420,"&lt;" &amp; DATE($A24+1,1,1))</f>
        <v>0</v>
      </c>
      <c r="AL24" s="353">
        <f ca="1">COUNTIFS(BV!$BL$242:$BL$420,"&gt;=" &amp; DATE($A24,1,1),BV!$BL$242:$BL$420,"&lt;" &amp; DATE($A24+1,1,1))</f>
        <v>0</v>
      </c>
      <c r="AM24" s="353">
        <f ca="1">COUNTIFS(BV!$BT$242:$BT$420,"&gt;=" &amp; DATE($A24,1,1),BV!$BT$242:$BT$420,"&lt;" &amp; DATE($A24+1,1,1))</f>
        <v>0</v>
      </c>
      <c r="AN24" s="353">
        <f ca="1">COUNTIFS(BV!$CB$242:$CB$420,"&gt;=" &amp; DATE($A24,1,1),BV!$CB$242:$CB$420,"&lt;" &amp; DATE($A24+1,1,1))</f>
        <v>0</v>
      </c>
      <c r="AO24" s="35">
        <f t="shared" ca="1" si="41"/>
        <v>0</v>
      </c>
      <c r="AP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Q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R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S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T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U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V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W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X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Y24" s="510">
        <f ca="1">COUNTIFS(OFFSET(Time!$AD$2,(COLUMN()-42)*20,,20,),"&gt;=" &amp; DATE($A24,1,1),OFFSET(Time!$AD$2,(COLUMN()-42)*20,,20,),"&lt;" &amp; DATE($A24+1,1,1))+COUNTIFS(OFFSET(Bvs!$AD$2,(COLUMN()-42)*20,,20,),"&gt;=" &amp; DATE($A24,1,1),OFFSET(Bvs!$AD$2,(COLUMN()-42)*20,,20,),"&lt;" &amp; DATE($A24+1,1,1))+COUNTIFS(OFFSET(QG!$AD$2,(COLUMN()-42)*20,,20,),"&gt;=" &amp; DATE($A24,1,1),OFFSET(QG!$AD$2,(COLUMN()-42)*20,,20,),"&lt;" &amp; DATE($A24+1,1,1))</f>
        <v>0</v>
      </c>
      <c r="AZ24" s="35">
        <f t="shared" ca="1" si="42"/>
        <v>0</v>
      </c>
      <c r="BA24" s="35">
        <f t="shared" ca="1" si="51"/>
        <v>0</v>
      </c>
      <c r="BB24" s="34" t="e">
        <f t="shared" ca="1" si="43"/>
        <v>#N/A</v>
      </c>
      <c r="BC24" s="34" t="e">
        <f t="shared" ca="1" si="44"/>
        <v>#N/A</v>
      </c>
    </row>
    <row r="25" spans="1:55" x14ac:dyDescent="0.25">
      <c r="A25" s="24">
        <f t="shared" si="96"/>
        <v>2014</v>
      </c>
      <c r="B25" s="38" t="s">
        <v>40</v>
      </c>
      <c r="C25" s="1">
        <f ca="1">COUNTIFS(OFFSET(Arb!$C$2,Arb!$AJ$36+Arb!$AJ$37,,Arb!$AJ$38,),$A25,OFFSET(Arb!$AI$2,Arb!$AJ$36+Arb!$AJ$37,,Arb!$AJ$38,),TRUE)</f>
        <v>0</v>
      </c>
      <c r="D25" s="1">
        <f ca="1">SUMIFS(OFFSET(Arb!$I$2,Arb!$AJ$36+Arb!$AJ$37,,Arb!$AJ$38,),OFFSET(Arb!$C$2,Arb!$AJ$36+Arb!$AJ$37,,Arb!$AJ$38,),$A25,OFFSET(Arb!$AI$2,Arb!$AJ$36+Arb!$AJ$37,,Arb!$AJ$38,),TRUE)</f>
        <v>0</v>
      </c>
      <c r="E25" s="1">
        <f ca="1">SUMIFS(OFFSET(Arb!$H$2,Arb!$AJ$36+Arb!$AJ$37,,Arb!$AJ$38,),OFFSET(Arb!$C$2,Arb!$AJ$36+Arb!$AJ$37,,Arb!$AJ$38,),$A25,OFFSET(Arb!$AI$2,Arb!$AJ$36+Arb!$AJ$37,,Arb!$AJ$38,),TRUE)</f>
        <v>0</v>
      </c>
      <c r="F25" s="1">
        <f ca="1">SUMIFS(OFFSET(Arb!$AC$2,Arb!$AJ$36+Arb!$AJ$37,,Arb!$AJ$38,),OFFSET(Arb!$C$2,Arb!$AJ$36+Arb!$AJ$37,,Arb!$AJ$38,),$A25,OFFSET(Arb!$AI$2,Arb!$AJ$36+Arb!$AJ$37,,Arb!$AJ$38,),TRUE)</f>
        <v>0</v>
      </c>
      <c r="G25" s="1">
        <f ca="1">SUMIFS(OFFSET(Arb!$U$2,Arb!$AJ$36+Arb!$AJ$37,,Arb!$AJ$38,),OFFSET(Arb!$C$2,Arb!$AJ$36+Arb!$AJ$37,,Arb!$AJ$38,),$A25,OFFSET(Arb!$AI$2,Arb!$AJ$36+Arb!$AJ$37,,Arb!$AJ$38,),TRUE)</f>
        <v>0</v>
      </c>
      <c r="H25" s="1">
        <f ca="1">SUMIFS(OFFSET(Arb!$V$2,Arb!$AJ$36+Arb!$AJ$37,,Arb!$AJ$38,),OFFSET(Arb!$C$2,Arb!$AJ$36+Arb!$AJ$37,,Arb!$AJ$38,),$A25,OFFSET(Arb!$AI$2,Arb!$AJ$36+Arb!$AJ$37,,Arb!$AJ$38,),TRUE)</f>
        <v>0</v>
      </c>
      <c r="I25" s="1">
        <f ca="1">SUMIFS(OFFSET(Arb!$X$2,Arb!$AJ$36+Arb!$AJ$37,,Arb!$AJ$38,),OFFSET(Arb!$C$2,Arb!$AJ$36+Arb!$AJ$37,,Arb!$AJ$38,),$A25,OFFSET(Arb!$AI$2,Arb!$AJ$36+Arb!$AJ$37,,Arb!$AJ$38,),TRUE)</f>
        <v>0</v>
      </c>
      <c r="J25" s="1">
        <f ca="1">SUMIFS(OFFSET(Arb!$AA$2,Arb!$AJ$36+Arb!$AJ$37,,Arb!$AJ$38,),OFFSET(Arb!$C$2,Arb!$AJ$36+Arb!$AJ$37,,Arb!$AJ$38,),$A25,OFFSET(Arb!$AI$2,Arb!$AJ$36+Arb!$AJ$37,,Arb!$AJ$38,),TRUE)</f>
        <v>0</v>
      </c>
      <c r="K25" s="1">
        <f ca="1">SUMIFS(OFFSET(Arb!$AB$2,Arb!$AJ$36+Arb!$AJ$37,,Arb!$AJ$38,),OFFSET(Arb!$C$2,Arb!$AJ$36+Arb!$AJ$37,,Arb!$AJ$38,),$A25,OFFSET(Arb!$AI$2,Arb!$AJ$36+Arb!$AJ$37,,Arb!$AJ$38,),TRUE)</f>
        <v>0</v>
      </c>
      <c r="L25" s="1">
        <f t="shared" ca="1" si="23"/>
        <v>0</v>
      </c>
      <c r="M25" s="39" t="str">
        <f t="shared" ca="1" si="24"/>
        <v/>
      </c>
      <c r="N25" s="12" t="str">
        <f t="shared" ca="1" si="25"/>
        <v/>
      </c>
      <c r="O25" s="33" t="str">
        <f t="shared" ref="O25" ca="1" si="121">IFERROR(M25/N25,"")</f>
        <v/>
      </c>
      <c r="P25" s="20" t="str">
        <f t="shared" ca="1" si="27"/>
        <v/>
      </c>
      <c r="Q25" s="33" t="str">
        <f t="shared" ca="1" si="28"/>
        <v/>
      </c>
      <c r="R25" s="33" t="str">
        <f t="shared" ref="R25" ca="1" si="122">IFERROR(N25^1.7/M25,"")</f>
        <v/>
      </c>
      <c r="S25" s="34" t="str">
        <f t="shared" ca="1" si="30"/>
        <v/>
      </c>
      <c r="T25" s="34" t="str">
        <f t="shared" ca="1" si="31"/>
        <v/>
      </c>
      <c r="U25" s="34" t="str">
        <f t="shared" ca="1" si="32"/>
        <v/>
      </c>
      <c r="V25" s="33" t="str">
        <f t="shared" ref="V25" ca="1" si="123">IFERROR(P25/Q25,"")</f>
        <v/>
      </c>
      <c r="W25" s="33" t="str">
        <f t="shared" ref="W25" ca="1" si="124">IFERROR(O25/P25,"")</f>
        <v/>
      </c>
      <c r="X25" s="33" t="str">
        <f t="shared" ca="1" si="35"/>
        <v/>
      </c>
      <c r="Y25" s="17" t="str">
        <f t="shared" ca="1" si="36"/>
        <v/>
      </c>
      <c r="Z25" s="34" t="str">
        <f t="shared" ref="Z25" ca="1" si="125">IFERROR(Y25/N25,"")</f>
        <v/>
      </c>
      <c r="AA25" s="33" t="str">
        <f t="shared" ref="AA25" ca="1" si="126">IFERROR(M25/Y25,"")</f>
        <v/>
      </c>
      <c r="AB25" s="21" t="str">
        <f t="shared" ca="1" si="64"/>
        <v/>
      </c>
      <c r="AC25" s="470" t="e">
        <f ca="1">AC15</f>
        <v>#N/A</v>
      </c>
      <c r="AD25" s="12" t="e">
        <f t="shared" ca="1" si="40"/>
        <v>#N/A</v>
      </c>
      <c r="AE25" s="353">
        <f ca="1">COUNTIFS(BV!$H$242:$H$420,"&gt;=" &amp; DATE($A25,1,1),BV!$H$242:$H$420,"&lt;" &amp; DATE($A25+1,1,1))</f>
        <v>0</v>
      </c>
      <c r="AF25" s="353">
        <f ca="1">COUNTIFS(BV!$P$242:$P$420,"&gt;=" &amp; DATE($A25,1,1),BV!$P$242:$P$420,"&lt;" &amp; DATE($A25+1,1,1))</f>
        <v>0</v>
      </c>
      <c r="AG25" s="353">
        <f ca="1">COUNTIFS(BV!$X$242:$X$420,"&gt;=" &amp; DATE($A25,1,1),BV!$X$242:$X$420,"&lt;" &amp; DATE($A25+1,1,1))</f>
        <v>0</v>
      </c>
      <c r="AH25" s="353">
        <f ca="1">COUNTIFS(BV!$AF$242:$AF$420,"&gt;=" &amp; DATE($A25,1,1),BV!$AF$242:$AF$420,"&lt;" &amp; DATE($A25+1,1,1))</f>
        <v>0</v>
      </c>
      <c r="AI25" s="353">
        <f ca="1">COUNTIFS(BV!$AN$242:$AN$420,"&gt;=" &amp; DATE($A25,1,1),BV!$AN$242:$AN$420,"&lt;" &amp; DATE($A25+1,1,1))</f>
        <v>0</v>
      </c>
      <c r="AJ25" s="353">
        <f ca="1">COUNTIFS(BV!$AV$242:$AV$420,"&gt;=" &amp; DATE($A25,1,1),BV!$AV$242:$AV$420,"&lt;" &amp; DATE($A25+1,1,1))</f>
        <v>0</v>
      </c>
      <c r="AK25" s="353">
        <f ca="1">COUNTIFS(BV!$BD$242:$BD$420,"&gt;=" &amp; DATE($A25,1,1),BV!$BD$242:$BD$420,"&lt;" &amp; DATE($A25+1,1,1))</f>
        <v>0</v>
      </c>
      <c r="AL25" s="353">
        <f ca="1">COUNTIFS(BV!$BL$242:$BL$420,"&gt;=" &amp; DATE($A25,1,1),BV!$BL$242:$BL$420,"&lt;" &amp; DATE($A25+1,1,1))</f>
        <v>0</v>
      </c>
      <c r="AM25" s="353">
        <f ca="1">COUNTIFS(BV!$BT$242:$BT$420,"&gt;=" &amp; DATE($A25,1,1),BV!$BT$242:$BT$420,"&lt;" &amp; DATE($A25+1,1,1))</f>
        <v>0</v>
      </c>
      <c r="AN25" s="353">
        <f ca="1">COUNTIFS(BV!$CB$242:$CB$420,"&gt;=" &amp; DATE($A25,1,1),BV!$CB$242:$CB$420,"&lt;" &amp; DATE($A25+1,1,1))</f>
        <v>0</v>
      </c>
      <c r="AO25" s="35">
        <f t="shared" ca="1" si="41"/>
        <v>0</v>
      </c>
      <c r="AP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Q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R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S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T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U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V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W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X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Y25" s="510">
        <f ca="1">COUNTIFS(OFFSET(Time!$AD$2,(COLUMN()-42)*20,,20,),"&gt;=" &amp; DATE($A25,1,1),OFFSET(Time!$AD$2,(COLUMN()-42)*20,,20,),"&lt;" &amp; DATE($A25+1,1,1))+COUNTIFS(OFFSET(Bvs!$AD$2,(COLUMN()-42)*20,,20,),"&gt;=" &amp; DATE($A25,1,1),OFFSET(Bvs!$AD$2,(COLUMN()-42)*20,,20,),"&lt;" &amp; DATE($A25+1,1,1))+COUNTIFS(OFFSET(QG!$AD$2,(COLUMN()-42)*20,,20,),"&gt;=" &amp; DATE($A25,1,1),OFFSET(QG!$AD$2,(COLUMN()-42)*20,,20,),"&lt;" &amp; DATE($A25+1,1,1))</f>
        <v>0</v>
      </c>
      <c r="AZ25" s="35">
        <f t="shared" ca="1" si="42"/>
        <v>0</v>
      </c>
      <c r="BA25" s="35">
        <f t="shared" ca="1" si="51"/>
        <v>0</v>
      </c>
      <c r="BB25" s="34" t="e">
        <f t="shared" ca="1" si="43"/>
        <v>#N/A</v>
      </c>
      <c r="BC25" s="34" t="e">
        <f t="shared" ca="1" si="44"/>
        <v>#N/A</v>
      </c>
    </row>
    <row r="26" spans="1:55" x14ac:dyDescent="0.25">
      <c r="A26" s="24">
        <f t="shared" si="96"/>
        <v>2015</v>
      </c>
      <c r="B26" s="38" t="s">
        <v>40</v>
      </c>
      <c r="C26" s="1">
        <f ca="1">COUNTIFS(OFFSET(Arb!$C$2,Arb!$AJ$36+Arb!$AJ$37,,Arb!$AJ$38,),$A26,OFFSET(Arb!$AI$2,Arb!$AJ$36+Arb!$AJ$37,,Arb!$AJ$38,),TRUE)</f>
        <v>0</v>
      </c>
      <c r="D26" s="1">
        <f ca="1">SUMIFS(OFFSET(Arb!$I$2,Arb!$AJ$36+Arb!$AJ$37,,Arb!$AJ$38,),OFFSET(Arb!$C$2,Arb!$AJ$36+Arb!$AJ$37,,Arb!$AJ$38,),$A26,OFFSET(Arb!$AI$2,Arb!$AJ$36+Arb!$AJ$37,,Arb!$AJ$38,),TRUE)</f>
        <v>0</v>
      </c>
      <c r="E26" s="1">
        <f ca="1">SUMIFS(OFFSET(Arb!$H$2,Arb!$AJ$36+Arb!$AJ$37,,Arb!$AJ$38,),OFFSET(Arb!$C$2,Arb!$AJ$36+Arb!$AJ$37,,Arb!$AJ$38,),$A26,OFFSET(Arb!$AI$2,Arb!$AJ$36+Arb!$AJ$37,,Arb!$AJ$38,),TRUE)</f>
        <v>0</v>
      </c>
      <c r="F26" s="1">
        <f ca="1">SUMIFS(OFFSET(Arb!$AC$2,Arb!$AJ$36+Arb!$AJ$37,,Arb!$AJ$38,),OFFSET(Arb!$C$2,Arb!$AJ$36+Arb!$AJ$37,,Arb!$AJ$38,),$A26,OFFSET(Arb!$AI$2,Arb!$AJ$36+Arb!$AJ$37,,Arb!$AJ$38,),TRUE)</f>
        <v>0</v>
      </c>
      <c r="G26" s="1">
        <f ca="1">SUMIFS(OFFSET(Arb!$U$2,Arb!$AJ$36+Arb!$AJ$37,,Arb!$AJ$38,),OFFSET(Arb!$C$2,Arb!$AJ$36+Arb!$AJ$37,,Arb!$AJ$38,),$A26,OFFSET(Arb!$AI$2,Arb!$AJ$36+Arb!$AJ$37,,Arb!$AJ$38,),TRUE)</f>
        <v>0</v>
      </c>
      <c r="H26" s="1">
        <f ca="1">SUMIFS(OFFSET(Arb!$V$2,Arb!$AJ$36+Arb!$AJ$37,,Arb!$AJ$38,),OFFSET(Arb!$C$2,Arb!$AJ$36+Arb!$AJ$37,,Arb!$AJ$38,),$A26,OFFSET(Arb!$AI$2,Arb!$AJ$36+Arb!$AJ$37,,Arb!$AJ$38,),TRUE)</f>
        <v>0</v>
      </c>
      <c r="I26" s="1">
        <f ca="1">SUMIFS(OFFSET(Arb!$X$2,Arb!$AJ$36+Arb!$AJ$37,,Arb!$AJ$38,),OFFSET(Arb!$C$2,Arb!$AJ$36+Arb!$AJ$37,,Arb!$AJ$38,),$A26,OFFSET(Arb!$AI$2,Arb!$AJ$36+Arb!$AJ$37,,Arb!$AJ$38,),TRUE)</f>
        <v>0</v>
      </c>
      <c r="J26" s="1">
        <f ca="1">SUMIFS(OFFSET(Arb!$AA$2,Arb!$AJ$36+Arb!$AJ$37,,Arb!$AJ$38,),OFFSET(Arb!$C$2,Arb!$AJ$36+Arb!$AJ$37,,Arb!$AJ$38,),$A26,OFFSET(Arb!$AI$2,Arb!$AJ$36+Arb!$AJ$37,,Arb!$AJ$38,),TRUE)</f>
        <v>0</v>
      </c>
      <c r="K26" s="1">
        <f ca="1">SUMIFS(OFFSET(Arb!$AB$2,Arb!$AJ$36+Arb!$AJ$37,,Arb!$AJ$38,),OFFSET(Arb!$C$2,Arb!$AJ$36+Arb!$AJ$37,,Arb!$AJ$38,),$A26,OFFSET(Arb!$AI$2,Arb!$AJ$36+Arb!$AJ$37,,Arb!$AJ$38,),TRUE)</f>
        <v>0</v>
      </c>
      <c r="L26" s="1">
        <f t="shared" ca="1" si="23"/>
        <v>0</v>
      </c>
      <c r="M26" s="39" t="str">
        <f t="shared" ca="1" si="24"/>
        <v/>
      </c>
      <c r="N26" s="12" t="str">
        <f t="shared" ca="1" si="25"/>
        <v/>
      </c>
      <c r="O26" s="33" t="str">
        <f t="shared" ca="1" si="58"/>
        <v/>
      </c>
      <c r="P26" s="20" t="str">
        <f t="shared" ca="1" si="27"/>
        <v/>
      </c>
      <c r="Q26" s="33" t="str">
        <f t="shared" ca="1" si="28"/>
        <v/>
      </c>
      <c r="R26" s="33" t="str">
        <f t="shared" ca="1" si="59"/>
        <v/>
      </c>
      <c r="S26" s="34" t="str">
        <f t="shared" ca="1" si="30"/>
        <v/>
      </c>
      <c r="T26" s="34" t="str">
        <f t="shared" ca="1" si="31"/>
        <v/>
      </c>
      <c r="U26" s="34" t="str">
        <f t="shared" ca="1" si="32"/>
        <v/>
      </c>
      <c r="V26" s="33" t="str">
        <f t="shared" ca="1" si="60"/>
        <v/>
      </c>
      <c r="W26" s="33" t="str">
        <f t="shared" ca="1" si="61"/>
        <v/>
      </c>
      <c r="X26" s="33" t="str">
        <f t="shared" ca="1" si="35"/>
        <v/>
      </c>
      <c r="Y26" s="17" t="str">
        <f t="shared" ca="1" si="36"/>
        <v/>
      </c>
      <c r="Z26" s="34" t="str">
        <f t="shared" ca="1" si="62"/>
        <v/>
      </c>
      <c r="AA26" s="33" t="str">
        <f t="shared" ca="1" si="63"/>
        <v/>
      </c>
      <c r="AB26" s="21" t="str">
        <f t="shared" ca="1" si="64"/>
        <v/>
      </c>
      <c r="AC26" s="470" t="e">
        <f ca="1">AC16</f>
        <v>#N/A</v>
      </c>
      <c r="AD26" s="12" t="e">
        <f t="shared" ca="1" si="40"/>
        <v>#N/A</v>
      </c>
      <c r="AE26" s="353">
        <f ca="1">COUNTIFS(BV!$H$242:$H$420,"&gt;=" &amp; DATE($A26,1,1),BV!$H$242:$H$420,"&lt;" &amp; DATE($A26+1,1,1))</f>
        <v>0</v>
      </c>
      <c r="AF26" s="353">
        <f ca="1">COUNTIFS(BV!$P$242:$P$420,"&gt;=" &amp; DATE($A26,1,1),BV!$P$242:$P$420,"&lt;" &amp; DATE($A26+1,1,1))</f>
        <v>0</v>
      </c>
      <c r="AG26" s="353">
        <f ca="1">COUNTIFS(BV!$X$242:$X$420,"&gt;=" &amp; DATE($A26,1,1),BV!$X$242:$X$420,"&lt;" &amp; DATE($A26+1,1,1))</f>
        <v>0</v>
      </c>
      <c r="AH26" s="353">
        <f ca="1">COUNTIFS(BV!$AF$242:$AF$420,"&gt;=" &amp; DATE($A26,1,1),BV!$AF$242:$AF$420,"&lt;" &amp; DATE($A26+1,1,1))</f>
        <v>0</v>
      </c>
      <c r="AI26" s="353">
        <f ca="1">COUNTIFS(BV!$AN$242:$AN$420,"&gt;=" &amp; DATE($A26,1,1),BV!$AN$242:$AN$420,"&lt;" &amp; DATE($A26+1,1,1))</f>
        <v>0</v>
      </c>
      <c r="AJ26" s="353">
        <f ca="1">COUNTIFS(BV!$AV$242:$AV$420,"&gt;=" &amp; DATE($A26,1,1),BV!$AV$242:$AV$420,"&lt;" &amp; DATE($A26+1,1,1))</f>
        <v>0</v>
      </c>
      <c r="AK26" s="353">
        <f ca="1">COUNTIFS(BV!$BD$242:$BD$420,"&gt;=" &amp; DATE($A26,1,1),BV!$BD$242:$BD$420,"&lt;" &amp; DATE($A26+1,1,1))</f>
        <v>0</v>
      </c>
      <c r="AL26" s="353">
        <f ca="1">COUNTIFS(BV!$BL$242:$BL$420,"&gt;=" &amp; DATE($A26,1,1),BV!$BL$242:$BL$420,"&lt;" &amp; DATE($A26+1,1,1))</f>
        <v>0</v>
      </c>
      <c r="AM26" s="353">
        <f ca="1">COUNTIFS(BV!$BT$242:$BT$420,"&gt;=" &amp; DATE($A26,1,1),BV!$BT$242:$BT$420,"&lt;" &amp; DATE($A26+1,1,1))</f>
        <v>0</v>
      </c>
      <c r="AN26" s="353">
        <f ca="1">COUNTIFS(BV!$CB$242:$CB$420,"&gt;=" &amp; DATE($A26,1,1),BV!$CB$242:$CB$420,"&lt;" &amp; DATE($A26+1,1,1))</f>
        <v>0</v>
      </c>
      <c r="AO26" s="35">
        <f t="shared" ca="1" si="41"/>
        <v>0</v>
      </c>
      <c r="AP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Q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R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S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T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U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V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W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X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Y26" s="510">
        <f ca="1">COUNTIFS(OFFSET(Time!$AD$2,(COLUMN()-42)*20,,20,),"&gt;=" &amp; DATE($A26,1,1),OFFSET(Time!$AD$2,(COLUMN()-42)*20,,20,),"&lt;" &amp; DATE($A26+1,1,1))+COUNTIFS(OFFSET(Bvs!$AD$2,(COLUMN()-42)*20,,20,),"&gt;=" &amp; DATE($A26,1,1),OFFSET(Bvs!$AD$2,(COLUMN()-42)*20,,20,),"&lt;" &amp; DATE($A26+1,1,1))+COUNTIFS(OFFSET(QG!$AD$2,(COLUMN()-42)*20,,20,),"&gt;=" &amp; DATE($A26,1,1),OFFSET(QG!$AD$2,(COLUMN()-42)*20,,20,),"&lt;" &amp; DATE($A26+1,1,1))</f>
        <v>0</v>
      </c>
      <c r="AZ26" s="35">
        <f t="shared" ca="1" si="42"/>
        <v>0</v>
      </c>
      <c r="BA26" s="35">
        <f t="shared" ca="1" si="51"/>
        <v>0</v>
      </c>
      <c r="BB26" s="34" t="e">
        <f t="shared" ca="1" si="43"/>
        <v>#N/A</v>
      </c>
      <c r="BC26" s="34" t="e">
        <f t="shared" ca="1" si="44"/>
        <v>#N/A</v>
      </c>
    </row>
    <row r="27" spans="1:55" x14ac:dyDescent="0.25">
      <c r="A27" s="24">
        <f t="shared" si="96"/>
        <v>2016</v>
      </c>
      <c r="B27" s="38" t="s">
        <v>40</v>
      </c>
      <c r="C27" s="1">
        <f ca="1">COUNTIFS(OFFSET(Arb!$C$2,Arb!$AJ$36+Arb!$AJ$37,,Arb!$AJ$38,),$A27,OFFSET(Arb!$AI$2,Arb!$AJ$36+Arb!$AJ$37,,Arb!$AJ$38,),TRUE)</f>
        <v>0</v>
      </c>
      <c r="D27" s="1">
        <f ca="1">SUMIFS(OFFSET(Arb!$I$2,Arb!$AJ$36+Arb!$AJ$37,,Arb!$AJ$38,),OFFSET(Arb!$C$2,Arb!$AJ$36+Arb!$AJ$37,,Arb!$AJ$38,),$A27,OFFSET(Arb!$AI$2,Arb!$AJ$36+Arb!$AJ$37,,Arb!$AJ$38,),TRUE)</f>
        <v>0</v>
      </c>
      <c r="E27" s="1">
        <f ca="1">SUMIFS(OFFSET(Arb!$H$2,Arb!$AJ$36+Arb!$AJ$37,,Arb!$AJ$38,),OFFSET(Arb!$C$2,Arb!$AJ$36+Arb!$AJ$37,,Arb!$AJ$38,),$A27,OFFSET(Arb!$AI$2,Arb!$AJ$36+Arb!$AJ$37,,Arb!$AJ$38,),TRUE)</f>
        <v>0</v>
      </c>
      <c r="F27" s="1">
        <f ca="1">SUMIFS(OFFSET(Arb!$AC$2,Arb!$AJ$36+Arb!$AJ$37,,Arb!$AJ$38,),OFFSET(Arb!$C$2,Arb!$AJ$36+Arb!$AJ$37,,Arb!$AJ$38,),$A27,OFFSET(Arb!$AI$2,Arb!$AJ$36+Arb!$AJ$37,,Arb!$AJ$38,),TRUE)</f>
        <v>0</v>
      </c>
      <c r="G27" s="1">
        <f ca="1">SUMIFS(OFFSET(Arb!$U$2,Arb!$AJ$36+Arb!$AJ$37,,Arb!$AJ$38,),OFFSET(Arb!$C$2,Arb!$AJ$36+Arb!$AJ$37,,Arb!$AJ$38,),$A27,OFFSET(Arb!$AI$2,Arb!$AJ$36+Arb!$AJ$37,,Arb!$AJ$38,),TRUE)</f>
        <v>0</v>
      </c>
      <c r="H27" s="1">
        <f ca="1">SUMIFS(OFFSET(Arb!$V$2,Arb!$AJ$36+Arb!$AJ$37,,Arb!$AJ$38,),OFFSET(Arb!$C$2,Arb!$AJ$36+Arb!$AJ$37,,Arb!$AJ$38,),$A27,OFFSET(Arb!$AI$2,Arb!$AJ$36+Arb!$AJ$37,,Arb!$AJ$38,),TRUE)</f>
        <v>0</v>
      </c>
      <c r="I27" s="1">
        <f ca="1">SUMIFS(OFFSET(Arb!$X$2,Arb!$AJ$36+Arb!$AJ$37,,Arb!$AJ$38,),OFFSET(Arb!$C$2,Arb!$AJ$36+Arb!$AJ$37,,Arb!$AJ$38,),$A27,OFFSET(Arb!$AI$2,Arb!$AJ$36+Arb!$AJ$37,,Arb!$AJ$38,),TRUE)</f>
        <v>0</v>
      </c>
      <c r="J27" s="1">
        <f ca="1">SUMIFS(OFFSET(Arb!$AA$2,Arb!$AJ$36+Arb!$AJ$37,,Arb!$AJ$38,),OFFSET(Arb!$C$2,Arb!$AJ$36+Arb!$AJ$37,,Arb!$AJ$38,),$A27,OFFSET(Arb!$AI$2,Arb!$AJ$36+Arb!$AJ$37,,Arb!$AJ$38,),TRUE)</f>
        <v>0</v>
      </c>
      <c r="K27" s="1">
        <f ca="1">SUMIFS(OFFSET(Arb!$AB$2,Arb!$AJ$36+Arb!$AJ$37,,Arb!$AJ$38,),OFFSET(Arb!$C$2,Arb!$AJ$36+Arb!$AJ$37,,Arb!$AJ$38,),$A27,OFFSET(Arb!$AI$2,Arb!$AJ$36+Arb!$AJ$37,,Arb!$AJ$38,),TRUE)</f>
        <v>0</v>
      </c>
      <c r="L27" s="1">
        <f t="shared" ca="1" si="23"/>
        <v>0</v>
      </c>
      <c r="M27" s="39" t="str">
        <f t="shared" ca="1" si="24"/>
        <v/>
      </c>
      <c r="N27" s="12" t="str">
        <f t="shared" ca="1" si="25"/>
        <v/>
      </c>
      <c r="O27" s="33" t="str">
        <f t="shared" ca="1" si="58"/>
        <v/>
      </c>
      <c r="P27" s="20" t="str">
        <f t="shared" ca="1" si="27"/>
        <v/>
      </c>
      <c r="Q27" s="33" t="str">
        <f t="shared" ca="1" si="28"/>
        <v/>
      </c>
      <c r="R27" s="33" t="str">
        <f t="shared" ca="1" si="59"/>
        <v/>
      </c>
      <c r="S27" s="34" t="str">
        <f t="shared" ca="1" si="30"/>
        <v/>
      </c>
      <c r="T27" s="34" t="str">
        <f t="shared" ca="1" si="31"/>
        <v/>
      </c>
      <c r="U27" s="34" t="str">
        <f t="shared" ca="1" si="32"/>
        <v/>
      </c>
      <c r="V27" s="33" t="str">
        <f t="shared" ca="1" si="60"/>
        <v/>
      </c>
      <c r="W27" s="33" t="str">
        <f t="shared" ca="1" si="61"/>
        <v/>
      </c>
      <c r="X27" s="33" t="str">
        <f t="shared" ca="1" si="35"/>
        <v/>
      </c>
      <c r="Y27" s="17" t="str">
        <f t="shared" ca="1" si="36"/>
        <v/>
      </c>
      <c r="Z27" s="34" t="str">
        <f t="shared" ca="1" si="62"/>
        <v/>
      </c>
      <c r="AA27" s="33" t="str">
        <f t="shared" ca="1" si="63"/>
        <v/>
      </c>
      <c r="AB27" s="21" t="str">
        <f t="shared" ca="1" si="64"/>
        <v/>
      </c>
      <c r="AC27" s="470" t="e">
        <f ca="1">AC17</f>
        <v>#N/A</v>
      </c>
      <c r="AD27" s="12" t="e">
        <f t="shared" ca="1" si="40"/>
        <v>#N/A</v>
      </c>
      <c r="AE27" s="353">
        <f ca="1">COUNTIFS(BV!$H$242:$H$420,"&gt;=" &amp; DATE($A27,1,1),BV!$H$242:$H$420,"&lt;" &amp; DATE($A27+1,1,1))</f>
        <v>0</v>
      </c>
      <c r="AF27" s="353">
        <f ca="1">COUNTIFS(BV!$P$242:$P$420,"&gt;=" &amp; DATE($A27,1,1),BV!$P$242:$P$420,"&lt;" &amp; DATE($A27+1,1,1))</f>
        <v>0</v>
      </c>
      <c r="AG27" s="353">
        <f ca="1">COUNTIFS(BV!$X$242:$X$420,"&gt;=" &amp; DATE($A27,1,1),BV!$X$242:$X$420,"&lt;" &amp; DATE($A27+1,1,1))</f>
        <v>0</v>
      </c>
      <c r="AH27" s="353">
        <f ca="1">COUNTIFS(BV!$AF$242:$AF$420,"&gt;=" &amp; DATE($A27,1,1),BV!$AF$242:$AF$420,"&lt;" &amp; DATE($A27+1,1,1))</f>
        <v>0</v>
      </c>
      <c r="AI27" s="353">
        <f ca="1">COUNTIFS(BV!$AN$242:$AN$420,"&gt;=" &amp; DATE($A27,1,1),BV!$AN$242:$AN$420,"&lt;" &amp; DATE($A27+1,1,1))</f>
        <v>0</v>
      </c>
      <c r="AJ27" s="353">
        <f ca="1">COUNTIFS(BV!$AV$242:$AV$420,"&gt;=" &amp; DATE($A27,1,1),BV!$AV$242:$AV$420,"&lt;" &amp; DATE($A27+1,1,1))</f>
        <v>0</v>
      </c>
      <c r="AK27" s="353">
        <f ca="1">COUNTIFS(BV!$BD$242:$BD$420,"&gt;=" &amp; DATE($A27,1,1),BV!$BD$242:$BD$420,"&lt;" &amp; DATE($A27+1,1,1))</f>
        <v>0</v>
      </c>
      <c r="AL27" s="353">
        <f ca="1">COUNTIFS(BV!$BL$242:$BL$420,"&gt;=" &amp; DATE($A27,1,1),BV!$BL$242:$BL$420,"&lt;" &amp; DATE($A27+1,1,1))</f>
        <v>0</v>
      </c>
      <c r="AM27" s="353">
        <f ca="1">COUNTIFS(BV!$BT$242:$BT$420,"&gt;=" &amp; DATE($A27,1,1),BV!$BT$242:$BT$420,"&lt;" &amp; DATE($A27+1,1,1))</f>
        <v>0</v>
      </c>
      <c r="AN27" s="353">
        <f ca="1">COUNTIFS(BV!$CB$242:$CB$420,"&gt;=" &amp; DATE($A27,1,1),BV!$CB$242:$CB$420,"&lt;" &amp; DATE($A27+1,1,1))</f>
        <v>0</v>
      </c>
      <c r="AO27" s="35">
        <f t="shared" ca="1" si="41"/>
        <v>0</v>
      </c>
      <c r="AP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Q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R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S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T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U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V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W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X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Y27" s="510">
        <f ca="1">COUNTIFS(OFFSET(Time!$AD$2,(COLUMN()-42)*20,,20,),"&gt;=" &amp; DATE($A27,1,1),OFFSET(Time!$AD$2,(COLUMN()-42)*20,,20,),"&lt;" &amp; DATE($A27+1,1,1))+COUNTIFS(OFFSET(Bvs!$AD$2,(COLUMN()-42)*20,,20,),"&gt;=" &amp; DATE($A27,1,1),OFFSET(Bvs!$AD$2,(COLUMN()-42)*20,,20,),"&lt;" &amp; DATE($A27+1,1,1))+COUNTIFS(OFFSET(QG!$AD$2,(COLUMN()-42)*20,,20,),"&gt;=" &amp; DATE($A27,1,1),OFFSET(QG!$AD$2,(COLUMN()-42)*20,,20,),"&lt;" &amp; DATE($A27+1,1,1))</f>
        <v>0</v>
      </c>
      <c r="AZ27" s="35">
        <f t="shared" ca="1" si="42"/>
        <v>0</v>
      </c>
      <c r="BA27" s="35">
        <f t="shared" ca="1" si="51"/>
        <v>0</v>
      </c>
      <c r="BB27" s="34" t="e">
        <f t="shared" ca="1" si="43"/>
        <v>#N/A</v>
      </c>
      <c r="BC27" s="34" t="e">
        <f t="shared" ca="1" si="44"/>
        <v>#N/A</v>
      </c>
    </row>
    <row r="28" spans="1:55" x14ac:dyDescent="0.25">
      <c r="A28" s="24">
        <f t="shared" si="96"/>
        <v>2017</v>
      </c>
      <c r="B28" s="38" t="s">
        <v>40</v>
      </c>
      <c r="C28" s="1">
        <f ca="1">COUNTIFS(OFFSET(Arb!$C$2,Arb!$AJ$36+Arb!$AJ$37,,Arb!$AJ$38,),$A28,OFFSET(Arb!$AI$2,Arb!$AJ$36+Arb!$AJ$37,,Arb!$AJ$38,),TRUE)</f>
        <v>0</v>
      </c>
      <c r="D28" s="1">
        <f ca="1">SUMIFS(OFFSET(Arb!$I$2,Arb!$AJ$36+Arb!$AJ$37,,Arb!$AJ$38,),OFFSET(Arb!$C$2,Arb!$AJ$36+Arb!$AJ$37,,Arb!$AJ$38,),$A28,OFFSET(Arb!$AI$2,Arb!$AJ$36+Arb!$AJ$37,,Arb!$AJ$38,),TRUE)</f>
        <v>0</v>
      </c>
      <c r="E28" s="1">
        <f ca="1">SUMIFS(OFFSET(Arb!$H$2,Arb!$AJ$36+Arb!$AJ$37,,Arb!$AJ$38,),OFFSET(Arb!$C$2,Arb!$AJ$36+Arb!$AJ$37,,Arb!$AJ$38,),$A28,OFFSET(Arb!$AI$2,Arb!$AJ$36+Arb!$AJ$37,,Arb!$AJ$38,),TRUE)</f>
        <v>0</v>
      </c>
      <c r="F28" s="1">
        <f ca="1">SUMIFS(OFFSET(Arb!$AC$2,Arb!$AJ$36+Arb!$AJ$37,,Arb!$AJ$38,),OFFSET(Arb!$C$2,Arb!$AJ$36+Arb!$AJ$37,,Arb!$AJ$38,),$A28,OFFSET(Arb!$AI$2,Arb!$AJ$36+Arb!$AJ$37,,Arb!$AJ$38,),TRUE)</f>
        <v>0</v>
      </c>
      <c r="G28" s="1">
        <f ca="1">SUMIFS(OFFSET(Arb!$U$2,Arb!$AJ$36+Arb!$AJ$37,,Arb!$AJ$38,),OFFSET(Arb!$C$2,Arb!$AJ$36+Arb!$AJ$37,,Arb!$AJ$38,),$A28,OFFSET(Arb!$AI$2,Arb!$AJ$36+Arb!$AJ$37,,Arb!$AJ$38,),TRUE)</f>
        <v>0</v>
      </c>
      <c r="H28" s="1">
        <f ca="1">SUMIFS(OFFSET(Arb!$V$2,Arb!$AJ$36+Arb!$AJ$37,,Arb!$AJ$38,),OFFSET(Arb!$C$2,Arb!$AJ$36+Arb!$AJ$37,,Arb!$AJ$38,),$A28,OFFSET(Arb!$AI$2,Arb!$AJ$36+Arb!$AJ$37,,Arb!$AJ$38,),TRUE)</f>
        <v>0</v>
      </c>
      <c r="I28" s="1">
        <f ca="1">SUMIFS(OFFSET(Arb!$X$2,Arb!$AJ$36+Arb!$AJ$37,,Arb!$AJ$38,),OFFSET(Arb!$C$2,Arb!$AJ$36+Arb!$AJ$37,,Arb!$AJ$38,),$A28,OFFSET(Arb!$AI$2,Arb!$AJ$36+Arb!$AJ$37,,Arb!$AJ$38,),TRUE)</f>
        <v>0</v>
      </c>
      <c r="J28" s="1">
        <f ca="1">SUMIFS(OFFSET(Arb!$AA$2,Arb!$AJ$36+Arb!$AJ$37,,Arb!$AJ$38,),OFFSET(Arb!$C$2,Arb!$AJ$36+Arb!$AJ$37,,Arb!$AJ$38,),$A28,OFFSET(Arb!$AI$2,Arb!$AJ$36+Arb!$AJ$37,,Arb!$AJ$38,),TRUE)</f>
        <v>0</v>
      </c>
      <c r="K28" s="1">
        <f ca="1">SUMIFS(OFFSET(Arb!$AB$2,Arb!$AJ$36+Arb!$AJ$37,,Arb!$AJ$38,),OFFSET(Arb!$C$2,Arb!$AJ$36+Arb!$AJ$37,,Arb!$AJ$38,),$A28,OFFSET(Arb!$AI$2,Arb!$AJ$36+Arb!$AJ$37,,Arb!$AJ$38,),TRUE)</f>
        <v>0</v>
      </c>
      <c r="L28" s="1">
        <f t="shared" ca="1" si="23"/>
        <v>0</v>
      </c>
      <c r="M28" s="39" t="str">
        <f t="shared" ca="1" si="24"/>
        <v/>
      </c>
      <c r="N28" s="12" t="str">
        <f t="shared" ca="1" si="25"/>
        <v/>
      </c>
      <c r="O28" s="33" t="str">
        <f t="shared" ca="1" si="58"/>
        <v/>
      </c>
      <c r="P28" s="20" t="str">
        <f t="shared" ca="1" si="27"/>
        <v/>
      </c>
      <c r="Q28" s="33" t="str">
        <f t="shared" ca="1" si="28"/>
        <v/>
      </c>
      <c r="R28" s="33" t="str">
        <f t="shared" ca="1" si="59"/>
        <v/>
      </c>
      <c r="S28" s="34" t="str">
        <f t="shared" ca="1" si="30"/>
        <v/>
      </c>
      <c r="T28" s="34" t="str">
        <f t="shared" ca="1" si="31"/>
        <v/>
      </c>
      <c r="U28" s="34" t="str">
        <f t="shared" ca="1" si="32"/>
        <v/>
      </c>
      <c r="V28" s="33" t="str">
        <f t="shared" ca="1" si="60"/>
        <v/>
      </c>
      <c r="W28" s="33" t="str">
        <f t="shared" ca="1" si="61"/>
        <v/>
      </c>
      <c r="X28" s="33" t="str">
        <f t="shared" ca="1" si="35"/>
        <v/>
      </c>
      <c r="Y28" s="17" t="str">
        <f t="shared" ca="1" si="36"/>
        <v/>
      </c>
      <c r="Z28" s="34" t="str">
        <f t="shared" ca="1" si="62"/>
        <v/>
      </c>
      <c r="AA28" s="33" t="str">
        <f t="shared" ca="1" si="63"/>
        <v/>
      </c>
      <c r="AB28" s="21" t="str">
        <f t="shared" ca="1" si="64"/>
        <v/>
      </c>
      <c r="AC28" s="470" t="e">
        <f ca="1">AC18</f>
        <v>#N/A</v>
      </c>
      <c r="AD28" s="12" t="e">
        <f t="shared" ca="1" si="40"/>
        <v>#N/A</v>
      </c>
      <c r="AE28" s="353">
        <f ca="1">COUNTIFS(BV!$H$242:$H$420,"&gt;=" &amp; DATE($A28,1,1),BV!$H$242:$H$420,"&lt;" &amp; DATE($A28+1,1,1))</f>
        <v>0</v>
      </c>
      <c r="AF28" s="353">
        <f ca="1">COUNTIFS(BV!$P$242:$P$420,"&gt;=" &amp; DATE($A28,1,1),BV!$P$242:$P$420,"&lt;" &amp; DATE($A28+1,1,1))</f>
        <v>0</v>
      </c>
      <c r="AG28" s="353">
        <f ca="1">COUNTIFS(BV!$X$242:$X$420,"&gt;=" &amp; DATE($A28,1,1),BV!$X$242:$X$420,"&lt;" &amp; DATE($A28+1,1,1))</f>
        <v>0</v>
      </c>
      <c r="AH28" s="353">
        <f ca="1">COUNTIFS(BV!$AF$242:$AF$420,"&gt;=" &amp; DATE($A28,1,1),BV!$AF$242:$AF$420,"&lt;" &amp; DATE($A28+1,1,1))</f>
        <v>0</v>
      </c>
      <c r="AI28" s="353">
        <f ca="1">COUNTIFS(BV!$AN$242:$AN$420,"&gt;=" &amp; DATE($A28,1,1),BV!$AN$242:$AN$420,"&lt;" &amp; DATE($A28+1,1,1))</f>
        <v>0</v>
      </c>
      <c r="AJ28" s="353">
        <f ca="1">COUNTIFS(BV!$AV$242:$AV$420,"&gt;=" &amp; DATE($A28,1,1),BV!$AV$242:$AV$420,"&lt;" &amp; DATE($A28+1,1,1))</f>
        <v>0</v>
      </c>
      <c r="AK28" s="353">
        <f ca="1">COUNTIFS(BV!$BD$242:$BD$420,"&gt;=" &amp; DATE($A28,1,1),BV!$BD$242:$BD$420,"&lt;" &amp; DATE($A28+1,1,1))</f>
        <v>0</v>
      </c>
      <c r="AL28" s="353">
        <f ca="1">COUNTIFS(BV!$BL$242:$BL$420,"&gt;=" &amp; DATE($A28,1,1),BV!$BL$242:$BL$420,"&lt;" &amp; DATE($A28+1,1,1))</f>
        <v>0</v>
      </c>
      <c r="AM28" s="353">
        <f ca="1">COUNTIFS(BV!$BT$242:$BT$420,"&gt;=" &amp; DATE($A28,1,1),BV!$BT$242:$BT$420,"&lt;" &amp; DATE($A28+1,1,1))</f>
        <v>0</v>
      </c>
      <c r="AN28" s="353">
        <f ca="1">COUNTIFS(BV!$CB$242:$CB$420,"&gt;=" &amp; DATE($A28,1,1),BV!$CB$242:$CB$420,"&lt;" &amp; DATE($A28+1,1,1))</f>
        <v>0</v>
      </c>
      <c r="AO28" s="35">
        <f t="shared" ca="1" si="41"/>
        <v>0</v>
      </c>
      <c r="AP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Q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R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S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T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U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V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W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X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Y28" s="510">
        <f ca="1">COUNTIFS(OFFSET(Time!$AD$2,(COLUMN()-42)*20,,20,),"&gt;=" &amp; DATE($A28,1,1),OFFSET(Time!$AD$2,(COLUMN()-42)*20,,20,),"&lt;" &amp; DATE($A28+1,1,1))+COUNTIFS(OFFSET(Bvs!$AD$2,(COLUMN()-42)*20,,20,),"&gt;=" &amp; DATE($A28,1,1),OFFSET(Bvs!$AD$2,(COLUMN()-42)*20,,20,),"&lt;" &amp; DATE($A28+1,1,1))+COUNTIFS(OFFSET(QG!$AD$2,(COLUMN()-42)*20,,20,),"&gt;=" &amp; DATE($A28,1,1),OFFSET(QG!$AD$2,(COLUMN()-42)*20,,20,),"&lt;" &amp; DATE($A28+1,1,1))</f>
        <v>0</v>
      </c>
      <c r="AZ28" s="35">
        <f t="shared" ca="1" si="42"/>
        <v>0</v>
      </c>
      <c r="BA28" s="35">
        <f t="shared" ca="1" si="51"/>
        <v>0</v>
      </c>
      <c r="BB28" s="34" t="e">
        <f t="shared" ca="1" si="43"/>
        <v>#N/A</v>
      </c>
      <c r="BC28" s="34" t="e">
        <f t="shared" ca="1" si="44"/>
        <v>#N/A</v>
      </c>
    </row>
    <row r="29" spans="1:55" x14ac:dyDescent="0.25">
      <c r="A29" s="24">
        <f t="shared" si="96"/>
        <v>2018</v>
      </c>
      <c r="B29" s="38" t="s">
        <v>40</v>
      </c>
      <c r="C29" s="1">
        <f ca="1">COUNTIFS(OFFSET(Arb!$C$2,Arb!$AJ$36+Arb!$AJ$37,,Arb!$AJ$38,),$A29,OFFSET(Arb!$AI$2,Arb!$AJ$36+Arb!$AJ$37,,Arb!$AJ$38,),TRUE)</f>
        <v>0</v>
      </c>
      <c r="D29" s="1">
        <f ca="1">SUMIFS(OFFSET(Arb!$I$2,Arb!$AJ$36+Arb!$AJ$37,,Arb!$AJ$38,),OFFSET(Arb!$C$2,Arb!$AJ$36+Arb!$AJ$37,,Arb!$AJ$38,),$A29,OFFSET(Arb!$AI$2,Arb!$AJ$36+Arb!$AJ$37,,Arb!$AJ$38,),TRUE)</f>
        <v>0</v>
      </c>
      <c r="E29" s="1">
        <f ca="1">SUMIFS(OFFSET(Arb!$H$2,Arb!$AJ$36+Arb!$AJ$37,,Arb!$AJ$38,),OFFSET(Arb!$C$2,Arb!$AJ$36+Arb!$AJ$37,,Arb!$AJ$38,),$A29,OFFSET(Arb!$AI$2,Arb!$AJ$36+Arb!$AJ$37,,Arb!$AJ$38,),TRUE)</f>
        <v>0</v>
      </c>
      <c r="F29" s="1">
        <f ca="1">SUMIFS(OFFSET(Arb!$AC$2,Arb!$AJ$36+Arb!$AJ$37,,Arb!$AJ$38,),OFFSET(Arb!$C$2,Arb!$AJ$36+Arb!$AJ$37,,Arb!$AJ$38,),$A29,OFFSET(Arb!$AI$2,Arb!$AJ$36+Arb!$AJ$37,,Arb!$AJ$38,),TRUE)</f>
        <v>0</v>
      </c>
      <c r="G29" s="1">
        <f ca="1">SUMIFS(OFFSET(Arb!$U$2,Arb!$AJ$36+Arb!$AJ$37,,Arb!$AJ$38,),OFFSET(Arb!$C$2,Arb!$AJ$36+Arb!$AJ$37,,Arb!$AJ$38,),$A29,OFFSET(Arb!$AI$2,Arb!$AJ$36+Arb!$AJ$37,,Arb!$AJ$38,),TRUE)</f>
        <v>0</v>
      </c>
      <c r="H29" s="1">
        <f ca="1">SUMIFS(OFFSET(Arb!$V$2,Arb!$AJ$36+Arb!$AJ$37,,Arb!$AJ$38,),OFFSET(Arb!$C$2,Arb!$AJ$36+Arb!$AJ$37,,Arb!$AJ$38,),$A29,OFFSET(Arb!$AI$2,Arb!$AJ$36+Arb!$AJ$37,,Arb!$AJ$38,),TRUE)</f>
        <v>0</v>
      </c>
      <c r="I29" s="1">
        <f ca="1">SUMIFS(OFFSET(Arb!$X$2,Arb!$AJ$36+Arb!$AJ$37,,Arb!$AJ$38,),OFFSET(Arb!$C$2,Arb!$AJ$36+Arb!$AJ$37,,Arb!$AJ$38,),$A29,OFFSET(Arb!$AI$2,Arb!$AJ$36+Arb!$AJ$37,,Arb!$AJ$38,),TRUE)</f>
        <v>0</v>
      </c>
      <c r="J29" s="1">
        <f ca="1">SUMIFS(OFFSET(Arb!$AA$2,Arb!$AJ$36+Arb!$AJ$37,,Arb!$AJ$38,),OFFSET(Arb!$C$2,Arb!$AJ$36+Arb!$AJ$37,,Arb!$AJ$38,),$A29,OFFSET(Arb!$AI$2,Arb!$AJ$36+Arb!$AJ$37,,Arb!$AJ$38,),TRUE)</f>
        <v>0</v>
      </c>
      <c r="K29" s="1">
        <f ca="1">SUMIFS(OFFSET(Arb!$AB$2,Arb!$AJ$36+Arb!$AJ$37,,Arb!$AJ$38,),OFFSET(Arb!$C$2,Arb!$AJ$36+Arb!$AJ$37,,Arb!$AJ$38,),$A29,OFFSET(Arb!$AI$2,Arb!$AJ$36+Arb!$AJ$37,,Arb!$AJ$38,),TRUE)</f>
        <v>0</v>
      </c>
      <c r="L29" s="1">
        <f t="shared" ca="1" si="23"/>
        <v>0</v>
      </c>
      <c r="M29" s="39" t="str">
        <f t="shared" ca="1" si="24"/>
        <v/>
      </c>
      <c r="N29" s="12" t="str">
        <f t="shared" ca="1" si="25"/>
        <v/>
      </c>
      <c r="O29" s="33" t="str">
        <f t="shared" ca="1" si="58"/>
        <v/>
      </c>
      <c r="P29" s="20" t="str">
        <f t="shared" ca="1" si="27"/>
        <v/>
      </c>
      <c r="Q29" s="33" t="str">
        <f t="shared" ca="1" si="28"/>
        <v/>
      </c>
      <c r="R29" s="33" t="str">
        <f t="shared" ca="1" si="59"/>
        <v/>
      </c>
      <c r="S29" s="34" t="str">
        <f t="shared" ca="1" si="30"/>
        <v/>
      </c>
      <c r="T29" s="34" t="str">
        <f t="shared" ca="1" si="31"/>
        <v/>
      </c>
      <c r="U29" s="34" t="str">
        <f t="shared" ca="1" si="32"/>
        <v/>
      </c>
      <c r="V29" s="33" t="str">
        <f t="shared" ca="1" si="60"/>
        <v/>
      </c>
      <c r="W29" s="33" t="str">
        <f t="shared" ca="1" si="61"/>
        <v/>
      </c>
      <c r="X29" s="33" t="str">
        <f t="shared" ca="1" si="35"/>
        <v/>
      </c>
      <c r="Y29" s="17" t="str">
        <f t="shared" ca="1" si="36"/>
        <v/>
      </c>
      <c r="Z29" s="34" t="str">
        <f t="shared" ca="1" si="62"/>
        <v/>
      </c>
      <c r="AA29" s="33" t="str">
        <f t="shared" ca="1" si="63"/>
        <v/>
      </c>
      <c r="AB29" s="21" t="str">
        <f t="shared" ca="1" si="64"/>
        <v/>
      </c>
      <c r="AC29" s="470" t="e">
        <f ca="1">AC19</f>
        <v>#N/A</v>
      </c>
      <c r="AD29" s="12" t="e">
        <f t="shared" ca="1" si="40"/>
        <v>#N/A</v>
      </c>
      <c r="AE29" s="353">
        <f ca="1">COUNTIFS(BV!$H$242:$H$420,"&gt;=" &amp; DATE($A29,1,1),BV!$H$242:$H$420,"&lt;" &amp; DATE($A29+1,1,1))</f>
        <v>0</v>
      </c>
      <c r="AF29" s="353">
        <f ca="1">COUNTIFS(BV!$P$242:$P$420,"&gt;=" &amp; DATE($A29,1,1),BV!$P$242:$P$420,"&lt;" &amp; DATE($A29+1,1,1))</f>
        <v>0</v>
      </c>
      <c r="AG29" s="353">
        <f ca="1">COUNTIFS(BV!$X$242:$X$420,"&gt;=" &amp; DATE($A29,1,1),BV!$X$242:$X$420,"&lt;" &amp; DATE($A29+1,1,1))</f>
        <v>0</v>
      </c>
      <c r="AH29" s="353">
        <f ca="1">COUNTIFS(BV!$AF$242:$AF$420,"&gt;=" &amp; DATE($A29,1,1),BV!$AF$242:$AF$420,"&lt;" &amp; DATE($A29+1,1,1))</f>
        <v>0</v>
      </c>
      <c r="AI29" s="353">
        <f ca="1">COUNTIFS(BV!$AN$242:$AN$420,"&gt;=" &amp; DATE($A29,1,1),BV!$AN$242:$AN$420,"&lt;" &amp; DATE($A29+1,1,1))</f>
        <v>0</v>
      </c>
      <c r="AJ29" s="353">
        <f ca="1">COUNTIFS(BV!$AV$242:$AV$420,"&gt;=" &amp; DATE($A29,1,1),BV!$AV$242:$AV$420,"&lt;" &amp; DATE($A29+1,1,1))</f>
        <v>0</v>
      </c>
      <c r="AK29" s="353">
        <f ca="1">COUNTIFS(BV!$BD$242:$BD$420,"&gt;=" &amp; DATE($A29,1,1),BV!$BD$242:$BD$420,"&lt;" &amp; DATE($A29+1,1,1))</f>
        <v>0</v>
      </c>
      <c r="AL29" s="353">
        <f ca="1">COUNTIFS(BV!$BL$242:$BL$420,"&gt;=" &amp; DATE($A29,1,1),BV!$BL$242:$BL$420,"&lt;" &amp; DATE($A29+1,1,1))</f>
        <v>0</v>
      </c>
      <c r="AM29" s="353">
        <f ca="1">COUNTIFS(BV!$BT$242:$BT$420,"&gt;=" &amp; DATE($A29,1,1),BV!$BT$242:$BT$420,"&lt;" &amp; DATE($A29+1,1,1))</f>
        <v>0</v>
      </c>
      <c r="AN29" s="353">
        <f ca="1">COUNTIFS(BV!$CB$242:$CB$420,"&gt;=" &amp; DATE($A29,1,1),BV!$CB$242:$CB$420,"&lt;" &amp; DATE($A29+1,1,1))</f>
        <v>0</v>
      </c>
      <c r="AO29" s="35">
        <f t="shared" ca="1" si="41"/>
        <v>0</v>
      </c>
      <c r="AP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Q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R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S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T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U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V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W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X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Y29" s="510">
        <f ca="1">COUNTIFS(OFFSET(Time!$AD$2,(COLUMN()-42)*20,,20,),"&gt;=" &amp; DATE($A29,1,1),OFFSET(Time!$AD$2,(COLUMN()-42)*20,,20,),"&lt;" &amp; DATE($A29+1,1,1))+COUNTIFS(OFFSET(Bvs!$AD$2,(COLUMN()-42)*20,,20,),"&gt;=" &amp; DATE($A29,1,1),OFFSET(Bvs!$AD$2,(COLUMN()-42)*20,,20,),"&lt;" &amp; DATE($A29+1,1,1))+COUNTIFS(OFFSET(QG!$AD$2,(COLUMN()-42)*20,,20,),"&gt;=" &amp; DATE($A29,1,1),OFFSET(QG!$AD$2,(COLUMN()-42)*20,,20,),"&lt;" &amp; DATE($A29+1,1,1))</f>
        <v>0</v>
      </c>
      <c r="AZ29" s="35">
        <f t="shared" ca="1" si="42"/>
        <v>0</v>
      </c>
      <c r="BA29" s="35">
        <f t="shared" ca="1" si="51"/>
        <v>0</v>
      </c>
      <c r="BB29" s="34" t="e">
        <f t="shared" ca="1" si="43"/>
        <v>#N/A</v>
      </c>
      <c r="BC29" s="34" t="e">
        <f t="shared" ca="1" si="44"/>
        <v>#N/A</v>
      </c>
    </row>
    <row r="30" spans="1:55" x14ac:dyDescent="0.25">
      <c r="A30" s="24">
        <f>A31-1</f>
        <v>2019</v>
      </c>
      <c r="B30" s="38" t="s">
        <v>40</v>
      </c>
      <c r="C30" s="1">
        <f ca="1">COUNTIFS(OFFSET(Arb!$C$2,Arb!$AJ$36+Arb!$AJ$37,,Arb!$AJ$38,),$A30,OFFSET(Arb!$AI$2,Arb!$AJ$36+Arb!$AJ$37,,Arb!$AJ$38,),TRUE)</f>
        <v>267</v>
      </c>
      <c r="D30" s="1">
        <f ca="1">SUMIFS(OFFSET(Arb!$I$2,Arb!$AJ$36+Arb!$AJ$37,,Arb!$AJ$38,),OFFSET(Arb!$C$2,Arb!$AJ$36+Arb!$AJ$37,,Arb!$AJ$38,),$A30,OFFSET(Arb!$AI$2,Arb!$AJ$36+Arb!$AJ$37,,Arb!$AJ$38,),TRUE)</f>
        <v>45933</v>
      </c>
      <c r="E30" s="1">
        <f ca="1">SUMIFS(OFFSET(Arb!$H$2,Arb!$AJ$36+Arb!$AJ$37,,Arb!$AJ$38,),OFFSET(Arb!$C$2,Arb!$AJ$36+Arb!$AJ$37,,Arb!$AJ$38,),$A30,OFFSET(Arb!$AI$2,Arb!$AJ$36+Arb!$AJ$37,,Arb!$AJ$38,),TRUE)</f>
        <v>21758.069999999996</v>
      </c>
      <c r="F30" s="1">
        <f ca="1">SUMIFS(OFFSET(Arb!$AC$2,Arb!$AJ$36+Arb!$AJ$37,,Arb!$AJ$38,),OFFSET(Arb!$C$2,Arb!$AJ$36+Arb!$AJ$37,,Arb!$AJ$38,),$A30,OFFSET(Arb!$AI$2,Arb!$AJ$36+Arb!$AJ$37,,Arb!$AJ$38,),TRUE)</f>
        <v>2338862</v>
      </c>
      <c r="G30" s="1">
        <f ca="1">SUMIFS(OFFSET(Arb!$U$2,Arb!$AJ$36+Arb!$AJ$37,,Arb!$AJ$38,),OFFSET(Arb!$C$2,Arb!$AJ$36+Arb!$AJ$37,,Arb!$AJ$38,),$A30,OFFSET(Arb!$AI$2,Arb!$AJ$36+Arb!$AJ$37,,Arb!$AJ$38,),TRUE)</f>
        <v>62208</v>
      </c>
      <c r="H30" s="1">
        <f ca="1">SUMIFS(OFFSET(Arb!$V$2,Arb!$AJ$36+Arb!$AJ$37,,Arb!$AJ$38,),OFFSET(Arb!$C$2,Arb!$AJ$36+Arb!$AJ$37,,Arb!$AJ$38,),$A30,OFFSET(Arb!$AI$2,Arb!$AJ$36+Arb!$AJ$37,,Arb!$AJ$38,),TRUE)</f>
        <v>0</v>
      </c>
      <c r="I30" s="1">
        <f ca="1">SUMIFS(OFFSET(Arb!$X$2,Arb!$AJ$36+Arb!$AJ$37,,Arb!$AJ$38,),OFFSET(Arb!$C$2,Arb!$AJ$36+Arb!$AJ$37,,Arb!$AJ$38,),$A30,OFFSET(Arb!$AI$2,Arb!$AJ$36+Arb!$AJ$37,,Arb!$AJ$38,),TRUE)</f>
        <v>55505</v>
      </c>
      <c r="J30" s="1">
        <f ca="1">SUMIFS(OFFSET(Arb!$AA$2,Arb!$AJ$36+Arb!$AJ$37,,Arb!$AJ$38,),OFFSET(Arb!$C$2,Arb!$AJ$36+Arb!$AJ$37,,Arb!$AJ$38,),$A30,OFFSET(Arb!$AI$2,Arb!$AJ$36+Arb!$AJ$37,,Arb!$AJ$38,),TRUE)</f>
        <v>3628</v>
      </c>
      <c r="K30" s="1">
        <f ca="1">SUMIFS(OFFSET(Arb!$AB$2,Arb!$AJ$36+Arb!$AJ$37,,Arb!$AJ$38,),OFFSET(Arb!$C$2,Arb!$AJ$36+Arb!$AJ$37,,Arb!$AJ$38,),$A30,OFFSET(Arb!$AI$2,Arb!$AJ$36+Arb!$AJ$37,,Arb!$AJ$38,),TRUE)</f>
        <v>2817</v>
      </c>
      <c r="L30" s="1">
        <f t="shared" ca="1" si="23"/>
        <v>62208</v>
      </c>
      <c r="M30" s="39">
        <f t="shared" ca="1" si="24"/>
        <v>172.03370786516854</v>
      </c>
      <c r="N30" s="12">
        <f t="shared" ca="1" si="25"/>
        <v>81.490898876404486</v>
      </c>
      <c r="O30" s="33">
        <f t="shared" ca="1" si="58"/>
        <v>2.1110787859401134</v>
      </c>
      <c r="P30" s="20">
        <f t="shared" ca="1" si="27"/>
        <v>2.5510075112360613</v>
      </c>
      <c r="Q30" s="33">
        <f t="shared" ca="1" si="28"/>
        <v>2.8590771148360132</v>
      </c>
      <c r="R30" s="33">
        <f t="shared" ca="1" si="59"/>
        <v>10.310315004483131</v>
      </c>
      <c r="S30" s="34">
        <f t="shared" ca="1" si="30"/>
        <v>42.190854480280457</v>
      </c>
      <c r="T30" s="34">
        <f t="shared" ca="1" si="31"/>
        <v>13.588014981273409</v>
      </c>
      <c r="U30" s="34">
        <f t="shared" ca="1" si="32"/>
        <v>10.55056179775281</v>
      </c>
      <c r="V30" s="33">
        <f t="shared" ca="1" si="60"/>
        <v>0.89224858539094642</v>
      </c>
      <c r="W30" s="33">
        <f t="shared" ca="1" si="61"/>
        <v>0.82754706783172682</v>
      </c>
      <c r="X30" s="33">
        <f t="shared" ca="1" si="35"/>
        <v>0.73837770061728392</v>
      </c>
      <c r="Y30" s="17">
        <f t="shared" ca="1" si="36"/>
        <v>547.48642322097373</v>
      </c>
      <c r="Z30" s="34">
        <f t="shared" ca="1" si="62"/>
        <v>6.7183750672738896</v>
      </c>
      <c r="AA30" s="33">
        <f t="shared" ca="1" si="63"/>
        <v>0.314224610088154</v>
      </c>
      <c r="AB30" s="21">
        <f t="shared" ca="1" si="64"/>
        <v>17.138625259916772</v>
      </c>
      <c r="AC30" s="470">
        <f ca="1">AC20</f>
        <v>59</v>
      </c>
      <c r="AD30" s="12">
        <f t="shared" ca="1" si="40"/>
        <v>4.5254237288135597</v>
      </c>
      <c r="AE30" s="353">
        <f ca="1">COUNTIFS(BV!$H$242:$H$420,"&gt;=" &amp; DATE($A30,1,1),BV!$H$242:$H$420,"&lt;" &amp; DATE($A30+1,1,1))</f>
        <v>8</v>
      </c>
      <c r="AF30" s="353">
        <f ca="1">COUNTIFS(BV!$P$242:$P$420,"&gt;=" &amp; DATE($A30,1,1),BV!$P$242:$P$420,"&lt;" &amp; DATE($A30+1,1,1))</f>
        <v>8</v>
      </c>
      <c r="AG30" s="353">
        <f ca="1">COUNTIFS(BV!$X$242:$X$420,"&gt;=" &amp; DATE($A30,1,1),BV!$X$242:$X$420,"&lt;" &amp; DATE($A30+1,1,1))</f>
        <v>8</v>
      </c>
      <c r="AH30" s="353">
        <f ca="1">COUNTIFS(BV!$AF$242:$AF$420,"&gt;=" &amp; DATE($A30,1,1),BV!$AF$242:$AF$420,"&lt;" &amp; DATE($A30+1,1,1))</f>
        <v>15</v>
      </c>
      <c r="AI30" s="353">
        <f ca="1">COUNTIFS(BV!$AN$242:$AN$420,"&gt;=" &amp; DATE($A30,1,1),BV!$AN$242:$AN$420,"&lt;" &amp; DATE($A30+1,1,1))</f>
        <v>10</v>
      </c>
      <c r="AJ30" s="353">
        <f ca="1">COUNTIFS(BV!$AV$242:$AV$420,"&gt;=" &amp; DATE($A30,1,1),BV!$AV$242:$AV$420,"&lt;" &amp; DATE($A30+1,1,1))</f>
        <v>12</v>
      </c>
      <c r="AK30" s="353">
        <f ca="1">COUNTIFS(BV!$BD$242:$BD$420,"&gt;=" &amp; DATE($A30,1,1),BV!$BD$242:$BD$420,"&lt;" &amp; DATE($A30+1,1,1))</f>
        <v>20</v>
      </c>
      <c r="AL30" s="353">
        <f ca="1">COUNTIFS(BV!$BL$242:$BL$420,"&gt;=" &amp; DATE($A30,1,1),BV!$BL$242:$BL$420,"&lt;" &amp; DATE($A30+1,1,1))</f>
        <v>16</v>
      </c>
      <c r="AM30" s="353">
        <f ca="1">COUNTIFS(BV!$BT$242:$BT$420,"&gt;=" &amp; DATE($A30,1,1),BV!$BT$242:$BT$420,"&lt;" &amp; DATE($A30+1,1,1))</f>
        <v>14</v>
      </c>
      <c r="AN30" s="353">
        <f ca="1">COUNTIFS(BV!$CB$242:$CB$420,"&gt;=" &amp; DATE($A30,1,1),BV!$CB$242:$CB$420,"&lt;" &amp; DATE($A30+1,1,1))</f>
        <v>13</v>
      </c>
      <c r="AO30" s="35">
        <f t="shared" ca="1" si="41"/>
        <v>301.29365079365078</v>
      </c>
      <c r="AP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0</v>
      </c>
      <c r="AQ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0</v>
      </c>
      <c r="AR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1</v>
      </c>
      <c r="AS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1</v>
      </c>
      <c r="AT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3</v>
      </c>
      <c r="AU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2</v>
      </c>
      <c r="AV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5</v>
      </c>
      <c r="AW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3</v>
      </c>
      <c r="AX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4</v>
      </c>
      <c r="AY30" s="510">
        <f ca="1">COUNTIFS(OFFSET(Time!$AD$2,(COLUMN()-42)*20,,20,),"&gt;=" &amp; DATE($A30,1,1),OFFSET(Time!$AD$2,(COLUMN()-42)*20,,20,),"&lt;" &amp; DATE($A30+1,1,1))+COUNTIFS(OFFSET(Bvs!$AD$2,(COLUMN()-42)*20,,20,),"&gt;=" &amp; DATE($A30,1,1),OFFSET(Bvs!$AD$2,(COLUMN()-42)*20,,20,),"&lt;" &amp; DATE($A30+1,1,1))+COUNTIFS(OFFSET(QG!$AD$2,(COLUMN()-42)*20,,20,),"&gt;=" &amp; DATE($A30,1,1),OFFSET(QG!$AD$2,(COLUMN()-42)*20,,20,),"&lt;" &amp; DATE($A30+1,1,1))</f>
        <v>7</v>
      </c>
      <c r="AZ30" s="35">
        <f t="shared" ca="1" si="42"/>
        <v>37.503968253968253</v>
      </c>
      <c r="BA30" s="35">
        <f t="shared" ca="1" si="51"/>
        <v>338.79761904761904</v>
      </c>
      <c r="BB30" s="34">
        <f t="shared" ca="1" si="43"/>
        <v>5.7423325262308316</v>
      </c>
      <c r="BC30" s="34">
        <f t="shared" ca="1" si="44"/>
        <v>1.2689049402532548</v>
      </c>
    </row>
    <row r="31" spans="1:55" ht="13.8" thickBot="1" x14ac:dyDescent="0.3">
      <c r="A31" s="386">
        <f>Mon!A34</f>
        <v>2020</v>
      </c>
      <c r="B31" s="387" t="s">
        <v>40</v>
      </c>
      <c r="C31" s="146">
        <f ca="1">COUNTIFS(OFFSET(Arb!$C$2,Arb!$AJ$36+Arb!$AJ$37,,Arb!$AJ$38,),$A31,OFFSET(Arb!$AI$2,Arb!$AJ$36+Arb!$AJ$37,,Arb!$AJ$38,),TRUE)</f>
        <v>770</v>
      </c>
      <c r="D31" s="146">
        <f ca="1">SUMIFS(OFFSET(Arb!$I$2,Arb!$AJ$36+Arb!$AJ$37,,Arb!$AJ$38,),OFFSET(Arb!$C$2,Arb!$AJ$36+Arb!$AJ$37,,Arb!$AJ$38,),$A31,OFFSET(Arb!$AI$2,Arb!$AJ$36+Arb!$AJ$37,,Arb!$AJ$38,),TRUE)</f>
        <v>131688</v>
      </c>
      <c r="E31" s="146">
        <f ca="1">SUMIFS(OFFSET(Arb!$H$2,Arb!$AJ$36+Arb!$AJ$37,,Arb!$AJ$38,),OFFSET(Arb!$C$2,Arb!$AJ$36+Arb!$AJ$37,,Arb!$AJ$38,),$A31,OFFSET(Arb!$AI$2,Arb!$AJ$36+Arb!$AJ$37,,Arb!$AJ$38,),TRUE)</f>
        <v>57904.019999999946</v>
      </c>
      <c r="F31" s="146">
        <f ca="1">SUMIFS(OFFSET(Arb!$AC$2,Arb!$AJ$36+Arb!$AJ$37,,Arb!$AJ$38,),OFFSET(Arb!$C$2,Arb!$AJ$36+Arb!$AJ$37,,Arb!$AJ$38,),$A31,OFFSET(Arb!$AI$2,Arb!$AJ$36+Arb!$AJ$37,,Arb!$AJ$38,),TRUE)</f>
        <v>6514979</v>
      </c>
      <c r="G31" s="146">
        <f ca="1">SUMIFS(OFFSET(Arb!$U$2,Arb!$AJ$36+Arb!$AJ$37,,Arb!$AJ$38,),OFFSET(Arb!$C$2,Arb!$AJ$36+Arb!$AJ$37,,Arb!$AJ$38,),$A31,OFFSET(Arb!$AI$2,Arb!$AJ$36+Arb!$AJ$37,,Arb!$AJ$38,),TRUE)</f>
        <v>156803</v>
      </c>
      <c r="H31" s="146">
        <f ca="1">SUMIFS(OFFSET(Arb!$V$2,Arb!$AJ$36+Arb!$AJ$37,,Arb!$AJ$38,),OFFSET(Arb!$C$2,Arb!$AJ$36+Arb!$AJ$37,,Arb!$AJ$38,),$A31,OFFSET(Arb!$AI$2,Arb!$AJ$36+Arb!$AJ$37,,Arb!$AJ$38,),TRUE)</f>
        <v>19988</v>
      </c>
      <c r="I31" s="146">
        <f ca="1">SUMIFS(OFFSET(Arb!$X$2,Arb!$AJ$36+Arb!$AJ$37,,Arb!$AJ$38,),OFFSET(Arb!$C$2,Arb!$AJ$36+Arb!$AJ$37,,Arb!$AJ$38,),$A31,OFFSET(Arb!$AI$2,Arb!$AJ$36+Arb!$AJ$37,,Arb!$AJ$38,),TRUE)</f>
        <v>158105</v>
      </c>
      <c r="J31" s="146">
        <f ca="1">SUMIFS(OFFSET(Arb!$AA$2,Arb!$AJ$36+Arb!$AJ$37,,Arb!$AJ$38,),OFFSET(Arb!$C$2,Arb!$AJ$36+Arb!$AJ$37,,Arb!$AJ$38,),$A31,OFFSET(Arb!$AI$2,Arb!$AJ$36+Arb!$AJ$37,,Arb!$AJ$38,),TRUE)</f>
        <v>10604</v>
      </c>
      <c r="K31" s="146">
        <f ca="1">SUMIFS(OFFSET(Arb!$AB$2,Arb!$AJ$36+Arb!$AJ$37,,Arb!$AJ$38,),OFFSET(Arb!$C$2,Arb!$AJ$36+Arb!$AJ$37,,Arb!$AJ$38,),$A31,OFFSET(Arb!$AI$2,Arb!$AJ$36+Arb!$AJ$37,,Arb!$AJ$38,),TRUE)</f>
        <v>8303</v>
      </c>
      <c r="L31" s="146">
        <f t="shared" ca="1" si="23"/>
        <v>176791</v>
      </c>
      <c r="M31" s="388">
        <f t="shared" ca="1" si="24"/>
        <v>171.02337662337663</v>
      </c>
      <c r="N31" s="364">
        <f t="shared" ca="1" si="25"/>
        <v>75.200025974025905</v>
      </c>
      <c r="O31" s="96">
        <f t="shared" ca="1" si="58"/>
        <v>2.2742462440431619</v>
      </c>
      <c r="P31" s="365">
        <f t="shared" ca="1" si="27"/>
        <v>2.7304667275260015</v>
      </c>
      <c r="Q31" s="96">
        <f t="shared" ca="1" si="28"/>
        <v>3.053173164833809</v>
      </c>
      <c r="R31" s="96">
        <f t="shared" ca="1" si="59"/>
        <v>9.0472190866207178</v>
      </c>
      <c r="S31" s="95">
        <f t="shared" ca="1" si="30"/>
        <v>48.081183381895954</v>
      </c>
      <c r="T31" s="95">
        <f t="shared" ca="1" si="31"/>
        <v>13.771428571428572</v>
      </c>
      <c r="U31" s="95">
        <f t="shared" ca="1" si="32"/>
        <v>10.783116883116882</v>
      </c>
      <c r="V31" s="96">
        <f t="shared" ca="1" si="60"/>
        <v>0.89430457432787858</v>
      </c>
      <c r="W31" s="96">
        <f t="shared" ca="1" si="61"/>
        <v>0.83291483507795461</v>
      </c>
      <c r="X31" s="96">
        <f t="shared" ca="1" si="35"/>
        <v>0.74487954703576542</v>
      </c>
      <c r="Y31" s="147">
        <f t="shared" ca="1" si="36"/>
        <v>528.8132305194805</v>
      </c>
      <c r="Z31" s="95">
        <f t="shared" ca="1" si="62"/>
        <v>7.032088402497795</v>
      </c>
      <c r="AA31" s="96">
        <f t="shared" ca="1" si="63"/>
        <v>0.32340979149740934</v>
      </c>
      <c r="AB31" s="129">
        <f t="shared" ca="1" si="64"/>
        <v>19.200883408041701</v>
      </c>
      <c r="AC31" s="470">
        <f ca="1">AC21</f>
        <v>195</v>
      </c>
      <c r="AD31" s="364">
        <f t="shared" ca="1" si="40"/>
        <v>3.9487179487179489</v>
      </c>
      <c r="AE31" s="94">
        <f ca="1">COUNTIFS(BV!$H$242:$H$420,"&gt;=" &amp; DATE($A31,1,1),BV!$H$242:$H$420,"&lt;" &amp; DATE($A31+1,1,1))</f>
        <v>93</v>
      </c>
      <c r="AF31" s="94">
        <f ca="1">COUNTIFS(BV!$P$242:$P$420,"&gt;=" &amp; DATE($A31,1,1),BV!$P$242:$P$420,"&lt;" &amp; DATE($A31+1,1,1))</f>
        <v>79</v>
      </c>
      <c r="AG31" s="94">
        <f ca="1">COUNTIFS(BV!$X$242:$X$420,"&gt;=" &amp; DATE($A31,1,1),BV!$X$242:$X$420,"&lt;" &amp; DATE($A31+1,1,1))</f>
        <v>71</v>
      </c>
      <c r="AH31" s="94">
        <f ca="1">COUNTIFS(BV!$AF$242:$AF$420,"&gt;=" &amp; DATE($A31,1,1),BV!$AF$242:$AF$420,"&lt;" &amp; DATE($A31+1,1,1))</f>
        <v>57</v>
      </c>
      <c r="AI31" s="94">
        <f ca="1">COUNTIFS(BV!$AN$242:$AN$420,"&gt;=" &amp; DATE($A31,1,1),BV!$AN$242:$AN$420,"&lt;" &amp; DATE($A31+1,1,1))</f>
        <v>59</v>
      </c>
      <c r="AJ31" s="94">
        <f ca="1">COUNTIFS(BV!$AV$242:$AV$420,"&gt;=" &amp; DATE($A31,1,1),BV!$AV$242:$AV$420,"&lt;" &amp; DATE($A31+1,1,1))</f>
        <v>53</v>
      </c>
      <c r="AK31" s="94">
        <f ca="1">COUNTIFS(BV!$BD$242:$BD$420,"&gt;=" &amp; DATE($A31,1,1),BV!$BD$242:$BD$420,"&lt;" &amp; DATE($A31+1,1,1))</f>
        <v>41</v>
      </c>
      <c r="AL31" s="94">
        <f ca="1">COUNTIFS(BV!$BL$242:$BL$420,"&gt;=" &amp; DATE($A31,1,1),BV!$BL$242:$BL$420,"&lt;" &amp; DATE($A31+1,1,1))</f>
        <v>41</v>
      </c>
      <c r="AM31" s="94">
        <f ca="1">COUNTIFS(BV!$BT$242:$BT$420,"&gt;=" &amp; DATE($A31,1,1),BV!$BT$242:$BT$420,"&lt;" &amp; DATE($A31+1,1,1))</f>
        <v>36</v>
      </c>
      <c r="AN31" s="94">
        <f ca="1">COUNTIFS(BV!$CB$242:$CB$420,"&gt;=" &amp; DATE($A31,1,1),BV!$CB$242:$CB$420,"&lt;" &amp; DATE($A31+1,1,1))</f>
        <v>35</v>
      </c>
      <c r="AO31" s="366">
        <f t="shared" ca="1" si="41"/>
        <v>2095.3214285714289</v>
      </c>
      <c r="AP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60</v>
      </c>
      <c r="AQ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60</v>
      </c>
      <c r="AR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59</v>
      </c>
      <c r="AS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59</v>
      </c>
      <c r="AT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57</v>
      </c>
      <c r="AU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58</v>
      </c>
      <c r="AV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55</v>
      </c>
      <c r="AW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57</v>
      </c>
      <c r="AX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56</v>
      </c>
      <c r="AY31" s="510">
        <f ca="1">COUNTIFS(OFFSET(Time!$AD$2,(COLUMN()-42)*20,,20,),"&gt;=" &amp; DATE($A31,1,1),OFFSET(Time!$AD$2,(COLUMN()-42)*20,,20,),"&lt;" &amp; DATE($A31+1,1,1))+COUNTIFS(OFFSET(Bvs!$AD$2,(COLUMN()-42)*20,,20,),"&gt;=" &amp; DATE($A31,1,1),OFFSET(Bvs!$AD$2,(COLUMN()-42)*20,,20,),"&lt;" &amp; DATE($A31+1,1,1))+COUNTIFS(OFFSET(QG!$AD$2,(COLUMN()-42)*20,,20,),"&gt;=" &amp; DATE($A31,1,1),OFFSET(QG!$AD$2,(COLUMN()-42)*20,,20,),"&lt;" &amp; DATE($A31+1,1,1))</f>
        <v>53</v>
      </c>
      <c r="AZ31" s="366">
        <f t="shared" ca="1" si="42"/>
        <v>1719.8769841269841</v>
      </c>
      <c r="BA31" s="366">
        <f t="shared" ca="1" si="51"/>
        <v>3815.198412698413</v>
      </c>
      <c r="BB31" s="95">
        <f t="shared" ca="1" si="43"/>
        <v>19.565120065120066</v>
      </c>
      <c r="BC31" s="95">
        <f t="shared" ca="1" si="44"/>
        <v>4.9548031333745621</v>
      </c>
    </row>
    <row r="32" spans="1:55" ht="13.8" thickBot="1" x14ac:dyDescent="0.3">
      <c r="A32" s="156">
        <f t="shared" ref="A32:A39" si="127">A33-1</f>
        <v>2011</v>
      </c>
      <c r="B32" s="105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32"/>
      <c r="N32" s="373"/>
      <c r="O32" s="106"/>
      <c r="P32" s="374"/>
      <c r="Q32" s="106"/>
      <c r="R32" s="106"/>
      <c r="S32" s="105"/>
      <c r="T32" s="105"/>
      <c r="U32" s="105"/>
      <c r="V32" s="106"/>
      <c r="W32" s="106"/>
      <c r="X32" s="106"/>
      <c r="Y32" s="375"/>
      <c r="Z32" s="105"/>
      <c r="AA32" s="106"/>
      <c r="AB32" s="132"/>
      <c r="AC32" s="547">
        <f ca="1">AC22</f>
        <v>195</v>
      </c>
      <c r="AD32" s="373"/>
      <c r="AE32" s="104">
        <f t="shared" ref="AE32:AT33" ca="1" si="128">AE2+AE12+AE22</f>
        <v>0</v>
      </c>
      <c r="AF32" s="104">
        <f t="shared" ca="1" si="128"/>
        <v>0</v>
      </c>
      <c r="AG32" s="104">
        <f t="shared" ca="1" si="128"/>
        <v>0</v>
      </c>
      <c r="AH32" s="104">
        <f t="shared" ca="1" si="128"/>
        <v>0</v>
      </c>
      <c r="AI32" s="104">
        <f t="shared" ca="1" si="128"/>
        <v>0</v>
      </c>
      <c r="AJ32" s="104">
        <f t="shared" ca="1" si="128"/>
        <v>0</v>
      </c>
      <c r="AK32" s="104">
        <f t="shared" ca="1" si="128"/>
        <v>0</v>
      </c>
      <c r="AL32" s="104">
        <f t="shared" ca="1" si="128"/>
        <v>0</v>
      </c>
      <c r="AM32" s="104">
        <f t="shared" ca="1" si="128"/>
        <v>0</v>
      </c>
      <c r="AN32" s="104">
        <f t="shared" ca="1" si="128"/>
        <v>0</v>
      </c>
      <c r="AO32" s="375">
        <f t="shared" ref="AO32" ca="1" si="129">(AE32+AF32/2+AG32/3+AH32/4+AI32/5+AJ32/6+AK32/7+AL32/8+AM32/9+AN32/10)*10</f>
        <v>0</v>
      </c>
      <c r="AP32" s="104">
        <f t="shared" ca="1" si="128"/>
        <v>0</v>
      </c>
      <c r="AQ32" s="104">
        <f t="shared" ca="1" si="128"/>
        <v>0</v>
      </c>
      <c r="AR32" s="104">
        <f t="shared" ca="1" si="128"/>
        <v>0</v>
      </c>
      <c r="AS32" s="104">
        <f t="shared" ca="1" si="128"/>
        <v>0</v>
      </c>
      <c r="AT32" s="104">
        <f t="shared" ca="1" si="128"/>
        <v>0</v>
      </c>
      <c r="AU32" s="104">
        <f t="shared" ref="AU32:AY33" ca="1" si="130">AU2+AU12+AU22</f>
        <v>0</v>
      </c>
      <c r="AV32" s="104">
        <f t="shared" ca="1" si="130"/>
        <v>0</v>
      </c>
      <c r="AW32" s="104">
        <f t="shared" ca="1" si="130"/>
        <v>0</v>
      </c>
      <c r="AX32" s="104">
        <f t="shared" ca="1" si="130"/>
        <v>0</v>
      </c>
      <c r="AY32" s="104">
        <f t="shared" ca="1" si="130"/>
        <v>0</v>
      </c>
      <c r="AZ32" s="375">
        <f t="shared" ref="AZ32" ca="1" si="131">(AP32+AQ32/2+AR32/3+AS32/4+AT32/5+AU32/6+AV32/7+AW32/8+AX32/9+AY32/10)*10</f>
        <v>0</v>
      </c>
      <c r="BA32" s="375">
        <f t="shared" ref="BA32" ca="1" si="132">AO32+AZ32</f>
        <v>0</v>
      </c>
      <c r="BB32" s="105">
        <f t="shared" ref="BB32" ca="1" si="133">BA32/AC32</f>
        <v>0</v>
      </c>
      <c r="BC32" s="392"/>
    </row>
    <row r="33" spans="1:55" x14ac:dyDescent="0.25">
      <c r="A33" s="156">
        <f t="shared" si="127"/>
        <v>2012</v>
      </c>
      <c r="B33" s="105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32"/>
      <c r="N33" s="373"/>
      <c r="O33" s="106"/>
      <c r="P33" s="374"/>
      <c r="Q33" s="106"/>
      <c r="R33" s="106"/>
      <c r="S33" s="105"/>
      <c r="T33" s="105"/>
      <c r="U33" s="105"/>
      <c r="V33" s="106"/>
      <c r="W33" s="106"/>
      <c r="X33" s="106"/>
      <c r="Y33" s="375"/>
      <c r="Z33" s="105"/>
      <c r="AA33" s="106"/>
      <c r="AB33" s="132"/>
      <c r="AC33" s="470" t="e">
        <f ca="1">AC23</f>
        <v>#N/A</v>
      </c>
      <c r="AD33" s="373"/>
      <c r="AE33" s="104">
        <f t="shared" ca="1" si="128"/>
        <v>0</v>
      </c>
      <c r="AF33" s="104">
        <f t="shared" ca="1" si="128"/>
        <v>0</v>
      </c>
      <c r="AG33" s="104">
        <f t="shared" ca="1" si="128"/>
        <v>0</v>
      </c>
      <c r="AH33" s="104">
        <f t="shared" ca="1" si="128"/>
        <v>0</v>
      </c>
      <c r="AI33" s="104">
        <f t="shared" ca="1" si="128"/>
        <v>0</v>
      </c>
      <c r="AJ33" s="104">
        <f t="shared" ca="1" si="128"/>
        <v>0</v>
      </c>
      <c r="AK33" s="104">
        <f t="shared" ca="1" si="128"/>
        <v>0</v>
      </c>
      <c r="AL33" s="104">
        <f t="shared" ca="1" si="128"/>
        <v>0</v>
      </c>
      <c r="AM33" s="104">
        <f t="shared" ca="1" si="128"/>
        <v>0</v>
      </c>
      <c r="AN33" s="104">
        <f t="shared" ca="1" si="128"/>
        <v>0</v>
      </c>
      <c r="AO33" s="375">
        <f t="shared" ca="1" si="41"/>
        <v>0</v>
      </c>
      <c r="AP33" s="104">
        <f t="shared" ca="1" si="128"/>
        <v>0</v>
      </c>
      <c r="AQ33" s="104">
        <f t="shared" ca="1" si="128"/>
        <v>0</v>
      </c>
      <c r="AR33" s="104">
        <f t="shared" ca="1" si="128"/>
        <v>0</v>
      </c>
      <c r="AS33" s="104">
        <f t="shared" ca="1" si="128"/>
        <v>0</v>
      </c>
      <c r="AT33" s="104">
        <f t="shared" ca="1" si="128"/>
        <v>0</v>
      </c>
      <c r="AU33" s="104">
        <f t="shared" ca="1" si="130"/>
        <v>0</v>
      </c>
      <c r="AV33" s="104">
        <f t="shared" ca="1" si="130"/>
        <v>0</v>
      </c>
      <c r="AW33" s="104">
        <f t="shared" ca="1" si="130"/>
        <v>0</v>
      </c>
      <c r="AX33" s="104">
        <f t="shared" ca="1" si="130"/>
        <v>0</v>
      </c>
      <c r="AY33" s="104">
        <f t="shared" ca="1" si="130"/>
        <v>0</v>
      </c>
      <c r="AZ33" s="375">
        <f t="shared" ca="1" si="42"/>
        <v>0</v>
      </c>
      <c r="BA33" s="375">
        <f t="shared" ca="1" si="51"/>
        <v>0</v>
      </c>
      <c r="BB33" s="105" t="e">
        <f t="shared" ca="1" si="43"/>
        <v>#N/A</v>
      </c>
      <c r="BC33" s="392"/>
    </row>
    <row r="34" spans="1:55" x14ac:dyDescent="0.25">
      <c r="A34" s="55">
        <f t="shared" si="127"/>
        <v>2013</v>
      </c>
      <c r="C34" s="358"/>
      <c r="D34" s="358"/>
      <c r="E34" s="358"/>
      <c r="F34" s="358"/>
      <c r="G34" s="358"/>
      <c r="H34" s="358"/>
      <c r="I34" s="358"/>
      <c r="J34" s="358"/>
      <c r="K34" s="358"/>
      <c r="L34" s="358"/>
      <c r="AC34" s="470" t="e">
        <f ca="1">AC24</f>
        <v>#N/A</v>
      </c>
      <c r="AE34" s="358">
        <f t="shared" ref="AE34:AT34" ca="1" si="134">AE4+AE14+AE24</f>
        <v>0</v>
      </c>
      <c r="AF34" s="358">
        <f t="shared" ca="1" si="134"/>
        <v>0</v>
      </c>
      <c r="AG34" s="358">
        <f t="shared" ca="1" si="134"/>
        <v>0</v>
      </c>
      <c r="AH34" s="358">
        <f t="shared" ca="1" si="134"/>
        <v>0</v>
      </c>
      <c r="AI34" s="358">
        <f t="shared" ca="1" si="134"/>
        <v>0</v>
      </c>
      <c r="AJ34" s="358">
        <f t="shared" ca="1" si="134"/>
        <v>0</v>
      </c>
      <c r="AK34" s="358">
        <f t="shared" ca="1" si="134"/>
        <v>0</v>
      </c>
      <c r="AL34" s="358">
        <f t="shared" ca="1" si="134"/>
        <v>0</v>
      </c>
      <c r="AM34" s="358">
        <f t="shared" ca="1" si="134"/>
        <v>0</v>
      </c>
      <c r="AN34" s="358">
        <f t="shared" ca="1" si="134"/>
        <v>0</v>
      </c>
      <c r="AO34" s="35">
        <f t="shared" ca="1" si="41"/>
        <v>0</v>
      </c>
      <c r="AP34" s="358">
        <f t="shared" ca="1" si="134"/>
        <v>0</v>
      </c>
      <c r="AQ34" s="358">
        <f t="shared" ca="1" si="134"/>
        <v>0</v>
      </c>
      <c r="AR34" s="358">
        <f t="shared" ca="1" si="134"/>
        <v>0</v>
      </c>
      <c r="AS34" s="358">
        <f t="shared" ca="1" si="134"/>
        <v>0</v>
      </c>
      <c r="AT34" s="358">
        <f t="shared" ca="1" si="134"/>
        <v>0</v>
      </c>
      <c r="AU34" s="510">
        <f t="shared" ref="AU34:AY34" ca="1" si="135">AU4+AU14+AU24</f>
        <v>0</v>
      </c>
      <c r="AV34" s="510">
        <f t="shared" ca="1" si="135"/>
        <v>0</v>
      </c>
      <c r="AW34" s="510">
        <f t="shared" ca="1" si="135"/>
        <v>0</v>
      </c>
      <c r="AX34" s="510">
        <f t="shared" ca="1" si="135"/>
        <v>0</v>
      </c>
      <c r="AY34" s="510">
        <f t="shared" ca="1" si="135"/>
        <v>0</v>
      </c>
      <c r="AZ34" s="35">
        <f t="shared" ca="1" si="42"/>
        <v>0</v>
      </c>
      <c r="BA34" s="35">
        <f t="shared" ca="1" si="51"/>
        <v>0</v>
      </c>
      <c r="BB34" s="34" t="e">
        <f t="shared" ca="1" si="43"/>
        <v>#N/A</v>
      </c>
      <c r="BC34" s="393"/>
    </row>
    <row r="35" spans="1:55" x14ac:dyDescent="0.25">
      <c r="A35" s="55">
        <f t="shared" si="127"/>
        <v>2014</v>
      </c>
      <c r="C35" s="358"/>
      <c r="D35" s="358"/>
      <c r="E35" s="358"/>
      <c r="F35" s="358"/>
      <c r="G35" s="358"/>
      <c r="H35" s="358"/>
      <c r="I35" s="358"/>
      <c r="J35" s="358"/>
      <c r="K35" s="358"/>
      <c r="L35" s="358"/>
      <c r="AC35" s="470" t="e">
        <f ca="1">AC25</f>
        <v>#N/A</v>
      </c>
      <c r="AE35" s="358">
        <f t="shared" ref="AE35:AT35" ca="1" si="136">AE5+AE15+AE25</f>
        <v>0</v>
      </c>
      <c r="AF35" s="358">
        <f t="shared" ca="1" si="136"/>
        <v>0</v>
      </c>
      <c r="AG35" s="358">
        <f t="shared" ca="1" si="136"/>
        <v>0</v>
      </c>
      <c r="AH35" s="358">
        <f t="shared" ca="1" si="136"/>
        <v>0</v>
      </c>
      <c r="AI35" s="358">
        <f t="shared" ca="1" si="136"/>
        <v>0</v>
      </c>
      <c r="AJ35" s="358">
        <f t="shared" ca="1" si="136"/>
        <v>0</v>
      </c>
      <c r="AK35" s="358">
        <f t="shared" ca="1" si="136"/>
        <v>0</v>
      </c>
      <c r="AL35" s="358">
        <f t="shared" ca="1" si="136"/>
        <v>0</v>
      </c>
      <c r="AM35" s="358">
        <f t="shared" ca="1" si="136"/>
        <v>0</v>
      </c>
      <c r="AN35" s="358">
        <f t="shared" ca="1" si="136"/>
        <v>0</v>
      </c>
      <c r="AO35" s="35">
        <f t="shared" ca="1" si="41"/>
        <v>0</v>
      </c>
      <c r="AP35" s="358">
        <f t="shared" ca="1" si="136"/>
        <v>0</v>
      </c>
      <c r="AQ35" s="358">
        <f t="shared" ca="1" si="136"/>
        <v>0</v>
      </c>
      <c r="AR35" s="358">
        <f t="shared" ca="1" si="136"/>
        <v>0</v>
      </c>
      <c r="AS35" s="358">
        <f t="shared" ca="1" si="136"/>
        <v>0</v>
      </c>
      <c r="AT35" s="358">
        <f t="shared" ca="1" si="136"/>
        <v>0</v>
      </c>
      <c r="AU35" s="510">
        <f t="shared" ref="AU35:AY35" ca="1" si="137">AU5+AU15+AU25</f>
        <v>0</v>
      </c>
      <c r="AV35" s="510">
        <f t="shared" ca="1" si="137"/>
        <v>0</v>
      </c>
      <c r="AW35" s="510">
        <f t="shared" ca="1" si="137"/>
        <v>0</v>
      </c>
      <c r="AX35" s="510">
        <f t="shared" ca="1" si="137"/>
        <v>0</v>
      </c>
      <c r="AY35" s="510">
        <f t="shared" ca="1" si="137"/>
        <v>0</v>
      </c>
      <c r="AZ35" s="35">
        <f t="shared" ca="1" si="42"/>
        <v>0</v>
      </c>
      <c r="BA35" s="35">
        <f t="shared" ca="1" si="51"/>
        <v>0</v>
      </c>
      <c r="BB35" s="34" t="e">
        <f t="shared" ca="1" si="43"/>
        <v>#N/A</v>
      </c>
      <c r="BC35" s="393"/>
    </row>
    <row r="36" spans="1:55" x14ac:dyDescent="0.25">
      <c r="A36" s="55">
        <f t="shared" si="127"/>
        <v>2015</v>
      </c>
      <c r="C36" s="358"/>
      <c r="D36" s="358"/>
      <c r="E36" s="358"/>
      <c r="F36" s="358"/>
      <c r="G36" s="358"/>
      <c r="H36" s="358"/>
      <c r="I36" s="358"/>
      <c r="J36" s="358"/>
      <c r="K36" s="358"/>
      <c r="L36" s="358"/>
      <c r="AC36" s="470" t="e">
        <f ca="1">AC26</f>
        <v>#N/A</v>
      </c>
      <c r="AE36" s="358">
        <f t="shared" ref="AE36:AT36" ca="1" si="138">AE6+AE16+AE26</f>
        <v>0</v>
      </c>
      <c r="AF36" s="358">
        <f t="shared" ca="1" si="138"/>
        <v>0</v>
      </c>
      <c r="AG36" s="358">
        <f t="shared" ca="1" si="138"/>
        <v>0</v>
      </c>
      <c r="AH36" s="358">
        <f t="shared" ca="1" si="138"/>
        <v>0</v>
      </c>
      <c r="AI36" s="358">
        <f t="shared" ca="1" si="138"/>
        <v>0</v>
      </c>
      <c r="AJ36" s="358">
        <f t="shared" ca="1" si="138"/>
        <v>0</v>
      </c>
      <c r="AK36" s="358">
        <f t="shared" ca="1" si="138"/>
        <v>0</v>
      </c>
      <c r="AL36" s="358">
        <f t="shared" ca="1" si="138"/>
        <v>0</v>
      </c>
      <c r="AM36" s="358">
        <f t="shared" ca="1" si="138"/>
        <v>0</v>
      </c>
      <c r="AN36" s="358">
        <f t="shared" ca="1" si="138"/>
        <v>0</v>
      </c>
      <c r="AO36" s="35">
        <f t="shared" ca="1" si="41"/>
        <v>0</v>
      </c>
      <c r="AP36" s="358">
        <f t="shared" ca="1" si="138"/>
        <v>0</v>
      </c>
      <c r="AQ36" s="358">
        <f t="shared" ca="1" si="138"/>
        <v>0</v>
      </c>
      <c r="AR36" s="358">
        <f t="shared" ca="1" si="138"/>
        <v>0</v>
      </c>
      <c r="AS36" s="358">
        <f t="shared" ca="1" si="138"/>
        <v>0</v>
      </c>
      <c r="AT36" s="358">
        <f t="shared" ca="1" si="138"/>
        <v>0</v>
      </c>
      <c r="AU36" s="510">
        <f t="shared" ref="AU36:AY36" ca="1" si="139">AU6+AU16+AU26</f>
        <v>0</v>
      </c>
      <c r="AV36" s="510">
        <f t="shared" ca="1" si="139"/>
        <v>0</v>
      </c>
      <c r="AW36" s="510">
        <f t="shared" ca="1" si="139"/>
        <v>0</v>
      </c>
      <c r="AX36" s="510">
        <f t="shared" ca="1" si="139"/>
        <v>0</v>
      </c>
      <c r="AY36" s="510">
        <f t="shared" ca="1" si="139"/>
        <v>0</v>
      </c>
      <c r="AZ36" s="35">
        <f t="shared" ca="1" si="42"/>
        <v>0</v>
      </c>
      <c r="BA36" s="35">
        <f t="shared" ca="1" si="51"/>
        <v>0</v>
      </c>
      <c r="BB36" s="34" t="e">
        <f t="shared" ca="1" si="43"/>
        <v>#N/A</v>
      </c>
      <c r="BC36" s="393"/>
    </row>
    <row r="37" spans="1:55" x14ac:dyDescent="0.25">
      <c r="A37" s="55">
        <f t="shared" si="127"/>
        <v>2016</v>
      </c>
      <c r="C37" s="358"/>
      <c r="D37" s="358"/>
      <c r="E37" s="358"/>
      <c r="F37" s="358"/>
      <c r="G37" s="358"/>
      <c r="H37" s="358"/>
      <c r="I37" s="358"/>
      <c r="J37" s="358"/>
      <c r="K37" s="358"/>
      <c r="L37" s="358"/>
      <c r="AC37" s="470" t="e">
        <f ca="1">AC27</f>
        <v>#N/A</v>
      </c>
      <c r="AE37" s="358">
        <f t="shared" ref="AE37:AT37" ca="1" si="140">AE7+AE17+AE27</f>
        <v>0</v>
      </c>
      <c r="AF37" s="358">
        <f t="shared" ca="1" si="140"/>
        <v>0</v>
      </c>
      <c r="AG37" s="358">
        <f t="shared" ca="1" si="140"/>
        <v>0</v>
      </c>
      <c r="AH37" s="358">
        <f t="shared" ca="1" si="140"/>
        <v>0</v>
      </c>
      <c r="AI37" s="358">
        <f t="shared" ca="1" si="140"/>
        <v>0</v>
      </c>
      <c r="AJ37" s="358">
        <f t="shared" ca="1" si="140"/>
        <v>0</v>
      </c>
      <c r="AK37" s="358">
        <f t="shared" ca="1" si="140"/>
        <v>0</v>
      </c>
      <c r="AL37" s="358">
        <f t="shared" ca="1" si="140"/>
        <v>0</v>
      </c>
      <c r="AM37" s="358">
        <f t="shared" ca="1" si="140"/>
        <v>0</v>
      </c>
      <c r="AN37" s="358">
        <f t="shared" ca="1" si="140"/>
        <v>0</v>
      </c>
      <c r="AO37" s="35">
        <f t="shared" ca="1" si="41"/>
        <v>0</v>
      </c>
      <c r="AP37" s="358">
        <f t="shared" ca="1" si="140"/>
        <v>0</v>
      </c>
      <c r="AQ37" s="358">
        <f t="shared" ca="1" si="140"/>
        <v>0</v>
      </c>
      <c r="AR37" s="358">
        <f t="shared" ca="1" si="140"/>
        <v>0</v>
      </c>
      <c r="AS37" s="358">
        <f t="shared" ca="1" si="140"/>
        <v>0</v>
      </c>
      <c r="AT37" s="358">
        <f t="shared" ca="1" si="140"/>
        <v>0</v>
      </c>
      <c r="AU37" s="510">
        <f t="shared" ref="AU37:AY37" ca="1" si="141">AU7+AU17+AU27</f>
        <v>0</v>
      </c>
      <c r="AV37" s="510">
        <f t="shared" ca="1" si="141"/>
        <v>0</v>
      </c>
      <c r="AW37" s="510">
        <f t="shared" ca="1" si="141"/>
        <v>0</v>
      </c>
      <c r="AX37" s="510">
        <f t="shared" ca="1" si="141"/>
        <v>0</v>
      </c>
      <c r="AY37" s="510">
        <f t="shared" ca="1" si="141"/>
        <v>0</v>
      </c>
      <c r="AZ37" s="35">
        <f t="shared" ca="1" si="42"/>
        <v>0</v>
      </c>
      <c r="BA37" s="35">
        <f t="shared" ca="1" si="51"/>
        <v>0</v>
      </c>
      <c r="BB37" s="34" t="e">
        <f t="shared" ca="1" si="43"/>
        <v>#N/A</v>
      </c>
      <c r="BC37" s="393"/>
    </row>
    <row r="38" spans="1:55" x14ac:dyDescent="0.25">
      <c r="A38" s="55">
        <f t="shared" si="127"/>
        <v>2017</v>
      </c>
      <c r="C38" s="358"/>
      <c r="D38" s="358"/>
      <c r="E38" s="358"/>
      <c r="F38" s="358"/>
      <c r="G38" s="358"/>
      <c r="H38" s="358"/>
      <c r="I38" s="358"/>
      <c r="J38" s="358"/>
      <c r="K38" s="358"/>
      <c r="L38" s="358"/>
      <c r="AC38" s="470" t="e">
        <f ca="1">AC28</f>
        <v>#N/A</v>
      </c>
      <c r="AE38" s="358">
        <f t="shared" ref="AE38:AT38" ca="1" si="142">AE8+AE18+AE28</f>
        <v>0</v>
      </c>
      <c r="AF38" s="358">
        <f t="shared" ca="1" si="142"/>
        <v>0</v>
      </c>
      <c r="AG38" s="358">
        <f t="shared" ca="1" si="142"/>
        <v>0</v>
      </c>
      <c r="AH38" s="358">
        <f t="shared" ca="1" si="142"/>
        <v>0</v>
      </c>
      <c r="AI38" s="358">
        <f t="shared" ca="1" si="142"/>
        <v>0</v>
      </c>
      <c r="AJ38" s="358">
        <f t="shared" ca="1" si="142"/>
        <v>0</v>
      </c>
      <c r="AK38" s="358">
        <f t="shared" ca="1" si="142"/>
        <v>0</v>
      </c>
      <c r="AL38" s="358">
        <f t="shared" ca="1" si="142"/>
        <v>0</v>
      </c>
      <c r="AM38" s="358">
        <f t="shared" ca="1" si="142"/>
        <v>0</v>
      </c>
      <c r="AN38" s="358">
        <f t="shared" ca="1" si="142"/>
        <v>0</v>
      </c>
      <c r="AO38" s="35">
        <f t="shared" ca="1" si="41"/>
        <v>0</v>
      </c>
      <c r="AP38" s="358">
        <f t="shared" ca="1" si="142"/>
        <v>0</v>
      </c>
      <c r="AQ38" s="358">
        <f t="shared" ca="1" si="142"/>
        <v>0</v>
      </c>
      <c r="AR38" s="358">
        <f t="shared" ca="1" si="142"/>
        <v>0</v>
      </c>
      <c r="AS38" s="358">
        <f t="shared" ca="1" si="142"/>
        <v>0</v>
      </c>
      <c r="AT38" s="358">
        <f t="shared" ca="1" si="142"/>
        <v>0</v>
      </c>
      <c r="AU38" s="510">
        <f t="shared" ref="AU38:AY38" ca="1" si="143">AU8+AU18+AU28</f>
        <v>0</v>
      </c>
      <c r="AV38" s="510">
        <f t="shared" ca="1" si="143"/>
        <v>0</v>
      </c>
      <c r="AW38" s="510">
        <f t="shared" ca="1" si="143"/>
        <v>0</v>
      </c>
      <c r="AX38" s="510">
        <f t="shared" ca="1" si="143"/>
        <v>0</v>
      </c>
      <c r="AY38" s="510">
        <f t="shared" ca="1" si="143"/>
        <v>0</v>
      </c>
      <c r="AZ38" s="35">
        <f t="shared" ca="1" si="42"/>
        <v>0</v>
      </c>
      <c r="BA38" s="35">
        <f t="shared" ca="1" si="51"/>
        <v>0</v>
      </c>
      <c r="BB38" s="34" t="e">
        <f t="shared" ca="1" si="43"/>
        <v>#N/A</v>
      </c>
      <c r="BC38" s="393"/>
    </row>
    <row r="39" spans="1:55" x14ac:dyDescent="0.25">
      <c r="A39" s="55">
        <f t="shared" si="127"/>
        <v>2018</v>
      </c>
      <c r="C39" s="358"/>
      <c r="D39" s="358"/>
      <c r="E39" s="358"/>
      <c r="F39" s="358"/>
      <c r="G39" s="358"/>
      <c r="H39" s="358"/>
      <c r="I39" s="358"/>
      <c r="J39" s="358"/>
      <c r="K39" s="358"/>
      <c r="L39" s="358"/>
      <c r="AC39" s="470" t="e">
        <f ca="1">AC29</f>
        <v>#N/A</v>
      </c>
      <c r="AE39" s="358">
        <f t="shared" ref="AE39:AT39" ca="1" si="144">AE9+AE19+AE29</f>
        <v>0</v>
      </c>
      <c r="AF39" s="358">
        <f t="shared" ca="1" si="144"/>
        <v>0</v>
      </c>
      <c r="AG39" s="358">
        <f t="shared" ca="1" si="144"/>
        <v>0</v>
      </c>
      <c r="AH39" s="358">
        <f t="shared" ca="1" si="144"/>
        <v>0</v>
      </c>
      <c r="AI39" s="358">
        <f t="shared" ca="1" si="144"/>
        <v>0</v>
      </c>
      <c r="AJ39" s="358">
        <f t="shared" ca="1" si="144"/>
        <v>0</v>
      </c>
      <c r="AK39" s="358">
        <f t="shared" ca="1" si="144"/>
        <v>0</v>
      </c>
      <c r="AL39" s="358">
        <f t="shared" ca="1" si="144"/>
        <v>0</v>
      </c>
      <c r="AM39" s="358">
        <f t="shared" ca="1" si="144"/>
        <v>0</v>
      </c>
      <c r="AN39" s="358">
        <f t="shared" ca="1" si="144"/>
        <v>0</v>
      </c>
      <c r="AO39" s="35">
        <f t="shared" ca="1" si="41"/>
        <v>0</v>
      </c>
      <c r="AP39" s="358">
        <f t="shared" ca="1" si="144"/>
        <v>0</v>
      </c>
      <c r="AQ39" s="358">
        <f t="shared" ca="1" si="144"/>
        <v>0</v>
      </c>
      <c r="AR39" s="358">
        <f t="shared" ca="1" si="144"/>
        <v>0</v>
      </c>
      <c r="AS39" s="358">
        <f t="shared" ca="1" si="144"/>
        <v>0</v>
      </c>
      <c r="AT39" s="358">
        <f t="shared" ca="1" si="144"/>
        <v>0</v>
      </c>
      <c r="AU39" s="510">
        <f t="shared" ref="AU39:AY39" ca="1" si="145">AU9+AU19+AU29</f>
        <v>0</v>
      </c>
      <c r="AV39" s="510">
        <f t="shared" ca="1" si="145"/>
        <v>0</v>
      </c>
      <c r="AW39" s="510">
        <f t="shared" ca="1" si="145"/>
        <v>0</v>
      </c>
      <c r="AX39" s="510">
        <f t="shared" ca="1" si="145"/>
        <v>0</v>
      </c>
      <c r="AY39" s="510">
        <f t="shared" ca="1" si="145"/>
        <v>0</v>
      </c>
      <c r="AZ39" s="35">
        <f t="shared" ca="1" si="42"/>
        <v>0</v>
      </c>
      <c r="BA39" s="35">
        <f t="shared" ca="1" si="51"/>
        <v>0</v>
      </c>
      <c r="BB39" s="34" t="e">
        <f t="shared" ca="1" si="43"/>
        <v>#N/A</v>
      </c>
      <c r="BC39" s="393"/>
    </row>
    <row r="40" spans="1:55" x14ac:dyDescent="0.25">
      <c r="A40" s="55">
        <f>A41-1</f>
        <v>2019</v>
      </c>
      <c r="C40" s="358"/>
      <c r="D40" s="358"/>
      <c r="E40" s="358"/>
      <c r="F40" s="358"/>
      <c r="G40" s="358"/>
      <c r="H40" s="358"/>
      <c r="I40" s="358"/>
      <c r="J40" s="358"/>
      <c r="K40" s="358"/>
      <c r="L40" s="358"/>
      <c r="AC40" s="470">
        <f ca="1">AC30</f>
        <v>59</v>
      </c>
      <c r="AE40" s="358">
        <f t="shared" ref="AE40:AT40" ca="1" si="146">AE10+AE20+AE30</f>
        <v>50</v>
      </c>
      <c r="AF40" s="358">
        <f t="shared" ca="1" si="146"/>
        <v>46</v>
      </c>
      <c r="AG40" s="358">
        <f t="shared" ca="1" si="146"/>
        <v>40</v>
      </c>
      <c r="AH40" s="358">
        <f t="shared" ca="1" si="146"/>
        <v>50</v>
      </c>
      <c r="AI40" s="358">
        <f t="shared" ca="1" si="146"/>
        <v>41</v>
      </c>
      <c r="AJ40" s="358">
        <f t="shared" ca="1" si="146"/>
        <v>43</v>
      </c>
      <c r="AK40" s="358">
        <f t="shared" ca="1" si="146"/>
        <v>52</v>
      </c>
      <c r="AL40" s="358">
        <f t="shared" ca="1" si="146"/>
        <v>48</v>
      </c>
      <c r="AM40" s="358">
        <f t="shared" ca="1" si="146"/>
        <v>47</v>
      </c>
      <c r="AN40" s="358">
        <f t="shared" ca="1" si="146"/>
        <v>38</v>
      </c>
      <c r="AO40" s="35">
        <f t="shared" ca="1" si="41"/>
        <v>1366.5079365079368</v>
      </c>
      <c r="AP40" s="358">
        <f t="shared" ca="1" si="146"/>
        <v>42</v>
      </c>
      <c r="AQ40" s="358">
        <f t="shared" ca="1" si="146"/>
        <v>51</v>
      </c>
      <c r="AR40" s="358">
        <f t="shared" ca="1" si="146"/>
        <v>49</v>
      </c>
      <c r="AS40" s="358">
        <f t="shared" ca="1" si="146"/>
        <v>49</v>
      </c>
      <c r="AT40" s="358">
        <f t="shared" ca="1" si="146"/>
        <v>51</v>
      </c>
      <c r="AU40" s="510">
        <f t="shared" ref="AU40:AY40" ca="1" si="147">AU10+AU20+AU30</f>
        <v>55</v>
      </c>
      <c r="AV40" s="510">
        <f t="shared" ca="1" si="147"/>
        <v>56</v>
      </c>
      <c r="AW40" s="510">
        <f t="shared" ca="1" si="147"/>
        <v>65</v>
      </c>
      <c r="AX40" s="510">
        <f t="shared" ca="1" si="147"/>
        <v>60</v>
      </c>
      <c r="AY40" s="510">
        <f t="shared" ca="1" si="147"/>
        <v>65</v>
      </c>
      <c r="AZ40" s="35">
        <f t="shared" ca="1" si="42"/>
        <v>1447.4166666666665</v>
      </c>
      <c r="BA40" s="35">
        <f t="shared" ca="1" si="51"/>
        <v>2813.9246031746034</v>
      </c>
      <c r="BB40" s="34">
        <f t="shared" ca="1" si="43"/>
        <v>47.693637341942427</v>
      </c>
      <c r="BC40" s="393"/>
    </row>
    <row r="41" spans="1:55" ht="13.8" thickBot="1" x14ac:dyDescent="0.3">
      <c r="A41" s="111">
        <f t="shared" ref="A41" si="148">A31</f>
        <v>2020</v>
      </c>
      <c r="B41" s="112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135"/>
      <c r="N41" s="382"/>
      <c r="O41" s="113"/>
      <c r="P41" s="383"/>
      <c r="Q41" s="113"/>
      <c r="R41" s="113"/>
      <c r="S41" s="112"/>
      <c r="T41" s="112"/>
      <c r="U41" s="112"/>
      <c r="V41" s="113"/>
      <c r="W41" s="113"/>
      <c r="X41" s="113"/>
      <c r="Y41" s="384"/>
      <c r="Z41" s="112"/>
      <c r="AA41" s="113"/>
      <c r="AB41" s="135"/>
      <c r="AC41" s="470">
        <f ca="1">AC31</f>
        <v>195</v>
      </c>
      <c r="AD41" s="382"/>
      <c r="AE41" s="67">
        <f t="shared" ref="AE41:AT41" ca="1" si="149">AE11+AE21+AE31</f>
        <v>151</v>
      </c>
      <c r="AF41" s="67">
        <f t="shared" ca="1" si="149"/>
        <v>132</v>
      </c>
      <c r="AG41" s="67">
        <f t="shared" ca="1" si="149"/>
        <v>117</v>
      </c>
      <c r="AH41" s="67">
        <f t="shared" ca="1" si="149"/>
        <v>95</v>
      </c>
      <c r="AI41" s="67">
        <f t="shared" ca="1" si="149"/>
        <v>94</v>
      </c>
      <c r="AJ41" s="67">
        <f t="shared" ca="1" si="149"/>
        <v>85</v>
      </c>
      <c r="AK41" s="67">
        <f t="shared" ca="1" si="149"/>
        <v>70</v>
      </c>
      <c r="AL41" s="67">
        <f t="shared" ca="1" si="149"/>
        <v>65</v>
      </c>
      <c r="AM41" s="67">
        <f t="shared" ca="1" si="149"/>
        <v>56</v>
      </c>
      <c r="AN41" s="67">
        <f t="shared" ca="1" si="149"/>
        <v>60</v>
      </c>
      <c r="AO41" s="384">
        <f t="shared" ca="1" si="41"/>
        <v>3430.6388888888891</v>
      </c>
      <c r="AP41" s="67">
        <f t="shared" ca="1" si="149"/>
        <v>138</v>
      </c>
      <c r="AQ41" s="67">
        <f t="shared" ca="1" si="149"/>
        <v>129</v>
      </c>
      <c r="AR41" s="67">
        <f t="shared" ca="1" si="149"/>
        <v>131</v>
      </c>
      <c r="AS41" s="67">
        <f t="shared" ca="1" si="149"/>
        <v>131</v>
      </c>
      <c r="AT41" s="67">
        <f t="shared" ca="1" si="149"/>
        <v>129</v>
      </c>
      <c r="AU41" s="67">
        <f t="shared" ref="AU41:AY41" ca="1" si="150">AU11+AU21+AU31</f>
        <v>125</v>
      </c>
      <c r="AV41" s="67">
        <f t="shared" ca="1" si="150"/>
        <v>124</v>
      </c>
      <c r="AW41" s="67">
        <f t="shared" ca="1" si="150"/>
        <v>115</v>
      </c>
      <c r="AX41" s="67">
        <f t="shared" ca="1" si="150"/>
        <v>120</v>
      </c>
      <c r="AY41" s="67">
        <f t="shared" ca="1" si="150"/>
        <v>115</v>
      </c>
      <c r="AZ41" s="384">
        <f t="shared" ca="1" si="42"/>
        <v>3824.7261904761899</v>
      </c>
      <c r="BA41" s="384">
        <f t="shared" ca="1" si="51"/>
        <v>7255.3650793650795</v>
      </c>
      <c r="BB41" s="112">
        <f t="shared" ca="1" si="43"/>
        <v>37.207000407000407</v>
      </c>
      <c r="BC41" s="394"/>
    </row>
    <row r="42" spans="1:55" x14ac:dyDescent="0.25">
      <c r="A42" s="70"/>
      <c r="B42" s="119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121"/>
      <c r="N42" s="369"/>
      <c r="O42" s="122"/>
      <c r="P42" s="234"/>
      <c r="Q42" s="122"/>
      <c r="R42" s="122"/>
      <c r="S42" s="119"/>
      <c r="T42" s="119"/>
      <c r="U42" s="119"/>
      <c r="V42" s="122"/>
      <c r="W42" s="122"/>
      <c r="X42" s="122"/>
      <c r="Y42" s="232"/>
      <c r="Z42" s="119"/>
      <c r="AA42" s="122"/>
      <c r="AB42" s="121"/>
      <c r="AD42" s="369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232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232"/>
      <c r="BA42" s="232"/>
      <c r="BB42" s="119"/>
      <c r="BC42" s="119"/>
    </row>
  </sheetData>
  <phoneticPr fontId="1" type="noConversion"/>
  <conditionalFormatting sqref="O1:Q1048576">
    <cfRule type="expression" dxfId="455" priority="351">
      <formula>O1&gt;=7.5</formula>
    </cfRule>
    <cfRule type="expression" dxfId="454" priority="352">
      <formula>O1&gt;=7</formula>
    </cfRule>
    <cfRule type="expression" dxfId="453" priority="353">
      <formula>O1&gt;=6.5</formula>
    </cfRule>
    <cfRule type="expression" dxfId="452" priority="354">
      <formula>O1&gt;=6</formula>
    </cfRule>
    <cfRule type="expression" dxfId="451" priority="355">
      <formula>O1&gt;=5.5</formula>
    </cfRule>
    <cfRule type="expression" dxfId="450" priority="356">
      <formula>O1&gt;=5</formula>
    </cfRule>
    <cfRule type="expression" dxfId="449" priority="357">
      <formula>O1&gt;=4.5</formula>
    </cfRule>
    <cfRule type="expression" dxfId="448" priority="358">
      <formula>O1&gt;=4</formula>
    </cfRule>
    <cfRule type="expression" dxfId="447" priority="359">
      <formula>O1&gt;=3.5</formula>
    </cfRule>
    <cfRule type="expression" dxfId="446" priority="360">
      <formula>O1&gt;=3</formula>
    </cfRule>
    <cfRule type="expression" dxfId="445" priority="361">
      <formula>O1&gt;=2.5</formula>
    </cfRule>
    <cfRule type="expression" dxfId="444" priority="362">
      <formula>O1&gt;=2</formula>
    </cfRule>
    <cfRule type="expression" dxfId="443" priority="363">
      <formula>O1&gt;=1.5</formula>
    </cfRule>
    <cfRule type="expression" dxfId="442" priority="364">
      <formula>O1&gt;=0</formula>
    </cfRule>
  </conditionalFormatting>
  <conditionalFormatting sqref="S1:S1048576">
    <cfRule type="expression" dxfId="441" priority="275">
      <formula>S1&gt;=187.5</formula>
    </cfRule>
    <cfRule type="expression" dxfId="440" priority="276">
      <formula>S1&gt;=175</formula>
    </cfRule>
    <cfRule type="expression" dxfId="439" priority="277">
      <formula>S1&gt;=162.5</formula>
    </cfRule>
    <cfRule type="expression" dxfId="438" priority="278">
      <formula>S1&gt;=150</formula>
    </cfRule>
    <cfRule type="expression" dxfId="437" priority="279">
      <formula>S1&gt;=137.5</formula>
    </cfRule>
    <cfRule type="expression" dxfId="436" priority="280">
      <formula>S1&gt;=125</formula>
    </cfRule>
    <cfRule type="expression" dxfId="435" priority="281">
      <formula>S1&gt;=112.5</formula>
    </cfRule>
    <cfRule type="expression" dxfId="434" priority="282">
      <formula>S1&gt;=100</formula>
    </cfRule>
    <cfRule type="expression" dxfId="433" priority="283">
      <formula>S1&gt;=87.5</formula>
    </cfRule>
    <cfRule type="expression" dxfId="432" priority="284">
      <formula>S1&gt;=75</formula>
    </cfRule>
    <cfRule type="expression" dxfId="431" priority="285">
      <formula>S1&gt;=62.5</formula>
    </cfRule>
    <cfRule type="expression" dxfId="430" priority="286">
      <formula>S1&gt;=50</formula>
    </cfRule>
    <cfRule type="expression" dxfId="429" priority="287">
      <formula>S1&gt;=37.5</formula>
    </cfRule>
    <cfRule type="expression" dxfId="428" priority="288">
      <formula>S1&gt;=0</formula>
    </cfRule>
  </conditionalFormatting>
  <conditionalFormatting sqref="Z1:Z1048576">
    <cfRule type="expression" dxfId="427" priority="247">
      <formula>Z1&gt;=7.5*3</formula>
    </cfRule>
    <cfRule type="expression" dxfId="426" priority="248">
      <formula>Z1&gt;=7*3</formula>
    </cfRule>
    <cfRule type="expression" dxfId="425" priority="249">
      <formula>Z1&gt;=6.5*3</formula>
    </cfRule>
    <cfRule type="expression" dxfId="424" priority="250">
      <formula>Z1&gt;=6*3</formula>
    </cfRule>
    <cfRule type="expression" dxfId="423" priority="251">
      <formula>Z1&gt;=5.5*3</formula>
    </cfRule>
    <cfRule type="expression" dxfId="422" priority="252">
      <formula>Z1&gt;=5*3</formula>
    </cfRule>
    <cfRule type="expression" dxfId="421" priority="253">
      <formula>Z1&gt;=4.5*3</formula>
    </cfRule>
    <cfRule type="expression" dxfId="420" priority="254">
      <formula>Z1&gt;=4*3</formula>
    </cfRule>
    <cfRule type="expression" dxfId="419" priority="255">
      <formula>Z1&gt;=3.5*3</formula>
    </cfRule>
    <cfRule type="expression" dxfId="418" priority="256">
      <formula>Z1&gt;=3*3</formula>
    </cfRule>
    <cfRule type="expression" dxfId="417" priority="257">
      <formula>Z1&gt;=2.5*3</formula>
    </cfRule>
    <cfRule type="expression" dxfId="416" priority="258">
      <formula>Z1&gt;=2*3</formula>
    </cfRule>
    <cfRule type="expression" dxfId="415" priority="259">
      <formula>Z1&gt;=1.5*3</formula>
    </cfRule>
    <cfRule type="expression" dxfId="414" priority="260">
      <formula>Z1&gt;=0</formula>
    </cfRule>
  </conditionalFormatting>
  <conditionalFormatting sqref="V1:X1048576">
    <cfRule type="expression" dxfId="413" priority="233">
      <formula>V1&gt;=31/32</formula>
    </cfRule>
    <cfRule type="expression" dxfId="412" priority="234">
      <formula>V1&gt;=30/32</formula>
    </cfRule>
    <cfRule type="expression" dxfId="411" priority="235">
      <formula>V1&gt;=29/32</formula>
    </cfRule>
    <cfRule type="expression" dxfId="410" priority="236">
      <formula>V1&gt;=28/32</formula>
    </cfRule>
    <cfRule type="expression" dxfId="409" priority="237">
      <formula>V1&gt;=27/32</formula>
    </cfRule>
    <cfRule type="expression" dxfId="408" priority="238">
      <formula>V1&gt;=26/32</formula>
    </cfRule>
    <cfRule type="expression" dxfId="407" priority="239">
      <formula>V1&gt;=25/32</formula>
    </cfRule>
    <cfRule type="expression" dxfId="406" priority="240">
      <formula>V1&gt;=24/32</formula>
    </cfRule>
    <cfRule type="expression" dxfId="405" priority="241">
      <formula>V1&gt;=23/32</formula>
    </cfRule>
    <cfRule type="expression" dxfId="404" priority="242">
      <formula>V1&gt;=22/32</formula>
    </cfRule>
    <cfRule type="expression" dxfId="403" priority="243">
      <formula>V1&gt;=21/32</formula>
    </cfRule>
    <cfRule type="expression" dxfId="402" priority="244">
      <formula>V1&gt;=20/32</formula>
    </cfRule>
    <cfRule type="expression" dxfId="401" priority="245">
      <formula>V1&gt;=19/32</formula>
    </cfRule>
    <cfRule type="expression" dxfId="400" priority="246">
      <formula>V1&gt;=0</formula>
    </cfRule>
  </conditionalFormatting>
  <conditionalFormatting sqref="N1:N1048576">
    <cfRule type="expression" dxfId="399" priority="149">
      <formula>N1&lt;IF(B1="BEG",18,IF(B1="INT",70,200))/7.5</formula>
    </cfRule>
    <cfRule type="expression" dxfId="398" priority="150">
      <formula>N1&lt;IF(B1="BEG",18,IF(B1="INT",70,200))/7</formula>
    </cfRule>
    <cfRule type="expression" dxfId="397" priority="151">
      <formula>N1&lt;IF(B1="BEG",18,IF(B1="INT",70,200))/6.5</formula>
    </cfRule>
    <cfRule type="expression" dxfId="396" priority="152">
      <formula>N1&lt;IF(B1="BEG",18,IF(B1="INT",70,200))/6</formula>
    </cfRule>
    <cfRule type="expression" dxfId="395" priority="153">
      <formula>N1&lt;IF(B1="BEG",18,IF(B1="INT",70,200))/5.5</formula>
    </cfRule>
    <cfRule type="expression" dxfId="394" priority="154">
      <formula>N1&lt;IF(B1="BEG",18,IF(B1="INT",70,200))/5</formula>
    </cfRule>
    <cfRule type="expression" dxfId="393" priority="155">
      <formula>N1&lt;IF(B1="BEG",18,IF(B1="INT",70,200))/4.5</formula>
    </cfRule>
    <cfRule type="expression" dxfId="392" priority="156">
      <formula>N1&lt;IF(B1="BEG",18,IF(B1="INT",70,200))/4</formula>
    </cfRule>
    <cfRule type="expression" dxfId="391" priority="157">
      <formula>N1&lt;IF(B1="BEG",18,IF(B1="INT",70,200))/3.5</formula>
    </cfRule>
    <cfRule type="expression" dxfId="390" priority="158">
      <formula>N1&lt;IF(B1="BEG",18,IF(B1="INT",70,200))/3</formula>
    </cfRule>
    <cfRule type="expression" dxfId="389" priority="159">
      <formula>N1&lt;IF(B1="BEG",18,IF(B1="INT",70,200))/2.5</formula>
    </cfRule>
    <cfRule type="expression" dxfId="388" priority="160">
      <formula>N1&lt;IF(B1="BEG",18,IF(B1="INT",70,200))/2</formula>
    </cfRule>
    <cfRule type="expression" dxfId="387" priority="161">
      <formula>N1&lt;IF(B1="BEG",18,IF(B1="INT",70,200))/1.5</formula>
    </cfRule>
    <cfRule type="expression" dxfId="386" priority="162">
      <formula>N1&gt;=0</formula>
    </cfRule>
  </conditionalFormatting>
  <conditionalFormatting sqref="AD32:AD41">
    <cfRule type="dataBar" priority="586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{24F5DAD3-2B0C-43F4-B590-CAAB232A9912}</x14:id>
        </ext>
      </extLst>
    </cfRule>
  </conditionalFormatting>
  <conditionalFormatting sqref="BB32:BB41">
    <cfRule type="dataBar" priority="5866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{43F65194-BFE2-4D7F-94A8-D164ADF151C8}</x14:id>
        </ext>
      </extLst>
    </cfRule>
  </conditionalFormatting>
  <conditionalFormatting sqref="AD22:AD31">
    <cfRule type="dataBar" priority="590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{00E157BE-B12E-4259-9044-7149DBA8678C}</x14:id>
        </ext>
      </extLst>
    </cfRule>
  </conditionalFormatting>
  <conditionalFormatting sqref="BB22:BB31">
    <cfRule type="dataBar" priority="590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{8DA77C84-75CB-4EFB-9EB3-C9ABD41FBAFB}</x14:id>
        </ext>
      </extLst>
    </cfRule>
  </conditionalFormatting>
  <conditionalFormatting sqref="BC22:BC31">
    <cfRule type="dataBar" priority="590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{948B19D9-583D-4E32-A97E-57075B824AEF}</x14:id>
        </ext>
      </extLst>
    </cfRule>
  </conditionalFormatting>
  <conditionalFormatting sqref="AD12:AD21">
    <cfRule type="dataBar" priority="59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{9152DE34-2B13-412B-B493-EA7551E0816A}</x14:id>
        </ext>
      </extLst>
    </cfRule>
  </conditionalFormatting>
  <conditionalFormatting sqref="BB12:BB21">
    <cfRule type="dataBar" priority="59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{E872A72B-797C-4E31-81D9-8A09B0FD1943}</x14:id>
        </ext>
      </extLst>
    </cfRule>
  </conditionalFormatting>
  <conditionalFormatting sqref="BC12:BC21">
    <cfRule type="dataBar" priority="59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{C83A300A-A8DB-4782-B5AA-9AA2816121B6}</x14:id>
        </ext>
      </extLst>
    </cfRule>
  </conditionalFormatting>
  <conditionalFormatting sqref="AD2:AD11">
    <cfRule type="dataBar" priority="596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{3C4B7F27-D38C-4C00-BB3B-6ADE4CE8DA55}</x14:id>
        </ext>
      </extLst>
    </cfRule>
  </conditionalFormatting>
  <conditionalFormatting sqref="BB2:BB11">
    <cfRule type="dataBar" priority="596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{AA7E78EF-1153-4236-B473-E49B4C46A164}</x14:id>
        </ext>
      </extLst>
    </cfRule>
  </conditionalFormatting>
  <conditionalFormatting sqref="BC2:BC11">
    <cfRule type="dataBar" priority="59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{AC0C543F-7215-475E-9831-8E1535112E9D}</x14:id>
        </ext>
      </extLst>
    </cfRule>
  </conditionalFormatting>
  <conditionalFormatting sqref="BA2:BA11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{545DDBB2-F1CC-473F-B063-28B722D05B1C}</x14:id>
        </ext>
      </extLst>
    </cfRule>
  </conditionalFormatting>
  <conditionalFormatting sqref="BA12:BA21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{6F1DE117-F496-42DF-9076-C9E108C8D047}</x14:id>
        </ext>
      </extLst>
    </cfRule>
  </conditionalFormatting>
  <conditionalFormatting sqref="BA22:BA31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{31289EA8-BDFB-47CA-8B4B-314DA9B1DD0D}</x14:id>
        </ext>
      </extLst>
    </cfRule>
  </conditionalFormatting>
  <conditionalFormatting sqref="BA32:BA41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{52C33934-B0B2-4055-8367-61F5FF526C89}</x14:id>
        </ext>
      </extLst>
    </cfRule>
  </conditionalFormatting>
  <conditionalFormatting sqref="AA1:AA1048576">
    <cfRule type="expression" dxfId="385" priority="30">
      <formula>AA1&gt;=31/80</formula>
    </cfRule>
    <cfRule type="expression" dxfId="384" priority="31">
      <formula>AA1&gt;=30/80</formula>
    </cfRule>
    <cfRule type="expression" dxfId="383" priority="32">
      <formula>AA1&gt;=29/80</formula>
    </cfRule>
    <cfRule type="expression" dxfId="382" priority="33">
      <formula>AA1&gt;=28/80</formula>
    </cfRule>
    <cfRule type="expression" dxfId="381" priority="34">
      <formula>AA1&gt;=27/80</formula>
    </cfRule>
    <cfRule type="expression" dxfId="380" priority="35">
      <formula>AA1&gt;=26/80</formula>
    </cfRule>
    <cfRule type="expression" dxfId="379" priority="36">
      <formula>AA1&gt;=25/80</formula>
    </cfRule>
    <cfRule type="expression" dxfId="378" priority="37">
      <formula>AA1&gt;=24/80</formula>
    </cfRule>
    <cfRule type="expression" dxfId="377" priority="38">
      <formula>AA1&gt;=23/80</formula>
    </cfRule>
    <cfRule type="expression" dxfId="376" priority="39">
      <formula>AA1&gt;=22/80</formula>
    </cfRule>
    <cfRule type="expression" dxfId="375" priority="40">
      <formula>AA1&gt;=21/80</formula>
    </cfRule>
    <cfRule type="expression" dxfId="374" priority="41">
      <formula>AA1&gt;=20/80</formula>
    </cfRule>
    <cfRule type="expression" dxfId="373" priority="42">
      <formula>AA1&gt;=19/80</formula>
    </cfRule>
    <cfRule type="expression" dxfId="372" priority="43">
      <formula>AA1&gt;=0</formula>
    </cfRule>
  </conditionalFormatting>
  <conditionalFormatting sqref="AB1:AB1048576">
    <cfRule type="expression" dxfId="371" priority="16">
      <formula>AB1&gt;=168.75</formula>
    </cfRule>
    <cfRule type="expression" dxfId="370" priority="17">
      <formula>AB1&gt;=147</formula>
    </cfRule>
    <cfRule type="expression" dxfId="369" priority="18">
      <formula>AB1&gt;=126.75</formula>
    </cfRule>
    <cfRule type="expression" dxfId="368" priority="19">
      <formula>AB1&gt;=108</formula>
    </cfRule>
    <cfRule type="expression" dxfId="367" priority="20">
      <formula>AB1&gt;=90.75</formula>
    </cfRule>
    <cfRule type="expression" dxfId="366" priority="21">
      <formula>AB1&gt;=75</formula>
    </cfRule>
    <cfRule type="expression" dxfId="365" priority="22">
      <formula>AB1&gt;=60.75</formula>
    </cfRule>
    <cfRule type="expression" dxfId="364" priority="23">
      <formula>AB1&gt;=48</formula>
    </cfRule>
    <cfRule type="expression" dxfId="363" priority="24">
      <formula>AB1&gt;=36.75</formula>
    </cfRule>
    <cfRule type="expression" dxfId="362" priority="25">
      <formula>AB1&gt;=27</formula>
    </cfRule>
    <cfRule type="expression" dxfId="361" priority="26">
      <formula>AB1&gt;=18.75</formula>
    </cfRule>
    <cfRule type="expression" dxfId="360" priority="27">
      <formula>AB1&gt;=12</formula>
    </cfRule>
    <cfRule type="expression" dxfId="359" priority="28">
      <formula>AB1&gt;=6.75</formula>
    </cfRule>
    <cfRule type="expression" dxfId="358" priority="29">
      <formula>AB1&gt;=0</formula>
    </cfRule>
  </conditionalFormatting>
  <conditionalFormatting sqref="AE1:AN1048576">
    <cfRule type="cellIs" dxfId="357" priority="6" operator="greaterThan">
      <formula>19</formula>
    </cfRule>
    <cfRule type="cellIs" dxfId="356" priority="7" operator="greaterThan">
      <formula>9</formula>
    </cfRule>
    <cfRule type="cellIs" dxfId="355" priority="8" operator="greaterThan">
      <formula>4</formula>
    </cfRule>
    <cfRule type="cellIs" dxfId="354" priority="9" operator="greaterThan">
      <formula>0</formula>
    </cfRule>
  </conditionalFormatting>
  <conditionalFormatting sqref="AP1:AY1048576">
    <cfRule type="cellIs" dxfId="353" priority="2" operator="greaterThan">
      <formula>19</formula>
    </cfRule>
    <cfRule type="cellIs" dxfId="352" priority="3" operator="greaterThan">
      <formula>9</formula>
    </cfRule>
    <cfRule type="cellIs" dxfId="351" priority="4" operator="greaterThan">
      <formula>4</formula>
    </cfRule>
    <cfRule type="cellIs" dxfId="350" priority="5" operator="greater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F5DAD3-2B0C-43F4-B590-CAAB232A99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AD32:AD41</xm:sqref>
        </x14:conditionalFormatting>
        <x14:conditionalFormatting xmlns:xm="http://schemas.microsoft.com/office/excel/2006/main">
          <x14:cfRule type="dataBar" id="{43F65194-BFE2-4D7F-94A8-D164ADF151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BB32:BB41</xm:sqref>
        </x14:conditionalFormatting>
        <x14:conditionalFormatting xmlns:xm="http://schemas.microsoft.com/office/excel/2006/main">
          <x14:cfRule type="dataBar" id="{00E157BE-B12E-4259-9044-7149DBA867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AD22:AD31</xm:sqref>
        </x14:conditionalFormatting>
        <x14:conditionalFormatting xmlns:xm="http://schemas.microsoft.com/office/excel/2006/main">
          <x14:cfRule type="dataBar" id="{8DA77C84-75CB-4EFB-9EB3-C9ABD41FBA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BB22:BB31</xm:sqref>
        </x14:conditionalFormatting>
        <x14:conditionalFormatting xmlns:xm="http://schemas.microsoft.com/office/excel/2006/main">
          <x14:cfRule type="dataBar" id="{948B19D9-583D-4E32-A97E-57075B824A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BC22:BC31</xm:sqref>
        </x14:conditionalFormatting>
        <x14:conditionalFormatting xmlns:xm="http://schemas.microsoft.com/office/excel/2006/main">
          <x14:cfRule type="dataBar" id="{9152DE34-2B13-412B-B493-EA7551E081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AD12:AD21</xm:sqref>
        </x14:conditionalFormatting>
        <x14:conditionalFormatting xmlns:xm="http://schemas.microsoft.com/office/excel/2006/main">
          <x14:cfRule type="dataBar" id="{E872A72B-797C-4E31-81D9-8A09B0FD19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BB12:BB21</xm:sqref>
        </x14:conditionalFormatting>
        <x14:conditionalFormatting xmlns:xm="http://schemas.microsoft.com/office/excel/2006/main">
          <x14:cfRule type="dataBar" id="{C83A300A-A8DB-4782-B5AA-9AA2816121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BC12:BC21</xm:sqref>
        </x14:conditionalFormatting>
        <x14:conditionalFormatting xmlns:xm="http://schemas.microsoft.com/office/excel/2006/main">
          <x14:cfRule type="dataBar" id="{3C4B7F27-D38C-4C00-BB3B-6ADE4CE8DA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AD2:AD11</xm:sqref>
        </x14:conditionalFormatting>
        <x14:conditionalFormatting xmlns:xm="http://schemas.microsoft.com/office/excel/2006/main">
          <x14:cfRule type="dataBar" id="{AA7E78EF-1153-4236-B473-E49B4C46A1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BB2:BB11</xm:sqref>
        </x14:conditionalFormatting>
        <x14:conditionalFormatting xmlns:xm="http://schemas.microsoft.com/office/excel/2006/main">
          <x14:cfRule type="dataBar" id="{AC0C543F-7215-475E-9831-8E1535112E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BC2:BC11</xm:sqref>
        </x14:conditionalFormatting>
        <x14:conditionalFormatting xmlns:xm="http://schemas.microsoft.com/office/excel/2006/main">
          <x14:cfRule type="dataBar" id="{545DDBB2-F1CC-473F-B063-28B722D05B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BA2:BA11</xm:sqref>
        </x14:conditionalFormatting>
        <x14:conditionalFormatting xmlns:xm="http://schemas.microsoft.com/office/excel/2006/main">
          <x14:cfRule type="dataBar" id="{6F1DE117-F496-42DF-9076-C9E108C8D0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BA12:BA21</xm:sqref>
        </x14:conditionalFormatting>
        <x14:conditionalFormatting xmlns:xm="http://schemas.microsoft.com/office/excel/2006/main">
          <x14:cfRule type="dataBar" id="{31289EA8-BDFB-47CA-8B4B-314DA9B1DD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BA22:BA31</xm:sqref>
        </x14:conditionalFormatting>
        <x14:conditionalFormatting xmlns:xm="http://schemas.microsoft.com/office/excel/2006/main">
          <x14:cfRule type="dataBar" id="{52C33934-B0B2-4055-8367-61F5FF526C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BA32:BA41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BG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3.2" x14ac:dyDescent="0.25"/>
  <cols>
    <col min="1" max="1" width="6.88671875" style="457" bestFit="1" customWidth="1"/>
    <col min="2" max="2" width="6.5546875" style="458" bestFit="1" customWidth="1"/>
    <col min="3" max="3" width="7.5546875" style="458" bestFit="1" customWidth="1"/>
    <col min="4" max="6" width="6.5546875" style="458" bestFit="1" customWidth="1"/>
    <col min="7" max="7" width="5.33203125" style="459" bestFit="1" customWidth="1"/>
    <col min="8" max="8" width="6.21875" style="459" bestFit="1" customWidth="1"/>
    <col min="9" max="18" width="4.33203125" style="475" bestFit="1" customWidth="1"/>
    <col min="19" max="19" width="11.44140625" style="464" bestFit="1" customWidth="1"/>
    <col min="20" max="20" width="8" style="463" bestFit="1" customWidth="1"/>
    <col min="21" max="30" width="5" style="512" bestFit="1" customWidth="1"/>
    <col min="31" max="31" width="9.33203125" style="464" bestFit="1" customWidth="1"/>
    <col min="32" max="32" width="7.33203125" style="460" bestFit="1" customWidth="1"/>
    <col min="33" max="33" width="9.88671875" style="460" bestFit="1" customWidth="1"/>
    <col min="34" max="34" width="6.5546875" style="460" bestFit="1" customWidth="1"/>
    <col min="35" max="35" width="7" style="512" bestFit="1" customWidth="1"/>
    <col min="36" max="36" width="5.44140625" style="512" bestFit="1" customWidth="1"/>
    <col min="37" max="39" width="7" style="512" bestFit="1" customWidth="1"/>
    <col min="40" max="44" width="4.88671875" style="512" bestFit="1" customWidth="1"/>
    <col min="45" max="45" width="5.21875" style="512" bestFit="1" customWidth="1"/>
    <col min="46" max="46" width="3.6640625" style="512" bestFit="1" customWidth="1"/>
    <col min="47" max="47" width="5.21875" style="512" bestFit="1" customWidth="1"/>
    <col min="48" max="48" width="3.6640625" style="512" bestFit="1" customWidth="1"/>
    <col min="49" max="49" width="5.21875" style="512" bestFit="1" customWidth="1"/>
    <col min="50" max="51" width="6.6640625" style="33" bestFit="1" customWidth="1"/>
    <col min="52" max="53" width="5.5546875" style="463" bestFit="1" customWidth="1"/>
    <col min="54" max="54" width="6.5546875" style="463" bestFit="1" customWidth="1"/>
    <col min="55" max="55" width="5.77734375" style="34" bestFit="1" customWidth="1"/>
    <col min="56" max="56" width="6.5546875" style="460" bestFit="1" customWidth="1"/>
    <col min="57" max="57" width="6.5546875" style="458" bestFit="1" customWidth="1"/>
    <col min="58" max="58" width="21.33203125" style="464" bestFit="1" customWidth="1"/>
    <col min="59" max="59" width="15.44140625" style="460" bestFit="1" customWidth="1"/>
    <col min="60" max="16384" width="9" style="456"/>
  </cols>
  <sheetData>
    <row r="1" spans="1:59" x14ac:dyDescent="0.25">
      <c r="A1" s="457" t="s">
        <v>505</v>
      </c>
      <c r="B1" s="458" t="s">
        <v>506</v>
      </c>
      <c r="C1" s="458" t="s">
        <v>507</v>
      </c>
      <c r="D1" s="458" t="s">
        <v>508</v>
      </c>
      <c r="E1" s="458" t="s">
        <v>509</v>
      </c>
      <c r="F1" s="458" t="s">
        <v>510</v>
      </c>
      <c r="G1" s="459" t="s">
        <v>511</v>
      </c>
      <c r="H1" s="459" t="s">
        <v>539</v>
      </c>
      <c r="I1" s="474" t="s">
        <v>513</v>
      </c>
      <c r="J1" s="474" t="s">
        <v>522</v>
      </c>
      <c r="K1" s="474" t="s">
        <v>523</v>
      </c>
      <c r="L1" s="474" t="s">
        <v>524</v>
      </c>
      <c r="M1" s="474" t="s">
        <v>525</v>
      </c>
      <c r="N1" s="474" t="s">
        <v>526</v>
      </c>
      <c r="O1" s="474" t="s">
        <v>527</v>
      </c>
      <c r="P1" s="474" t="s">
        <v>528</v>
      </c>
      <c r="Q1" s="474" t="s">
        <v>529</v>
      </c>
      <c r="R1" s="474" t="s">
        <v>517</v>
      </c>
      <c r="S1" s="464" t="s">
        <v>515</v>
      </c>
      <c r="T1" s="463" t="s">
        <v>537</v>
      </c>
      <c r="U1" s="513" t="s">
        <v>518</v>
      </c>
      <c r="V1" s="513" t="s">
        <v>519</v>
      </c>
      <c r="W1" s="513" t="s">
        <v>520</v>
      </c>
      <c r="X1" s="513" t="s">
        <v>521</v>
      </c>
      <c r="Y1" s="513" t="s">
        <v>530</v>
      </c>
      <c r="Z1" s="513" t="s">
        <v>531</v>
      </c>
      <c r="AA1" s="513" t="s">
        <v>532</v>
      </c>
      <c r="AB1" s="513" t="s">
        <v>533</v>
      </c>
      <c r="AC1" s="513" t="s">
        <v>534</v>
      </c>
      <c r="AD1" s="513" t="s">
        <v>535</v>
      </c>
      <c r="AE1" s="464" t="s">
        <v>516</v>
      </c>
      <c r="AF1" s="460" t="s">
        <v>538</v>
      </c>
      <c r="AG1" s="460" t="s">
        <v>514</v>
      </c>
      <c r="AH1" s="460" t="s">
        <v>37</v>
      </c>
      <c r="AI1" s="513" t="s">
        <v>664</v>
      </c>
      <c r="AJ1" s="513" t="s">
        <v>672</v>
      </c>
      <c r="AK1" s="513" t="s">
        <v>680</v>
      </c>
      <c r="AL1" s="513" t="s">
        <v>688</v>
      </c>
      <c r="AM1" s="513" t="s">
        <v>696</v>
      </c>
      <c r="AN1" s="513" t="s">
        <v>665</v>
      </c>
      <c r="AO1" s="513" t="s">
        <v>673</v>
      </c>
      <c r="AP1" s="513" t="s">
        <v>681</v>
      </c>
      <c r="AQ1" s="513" t="s">
        <v>689</v>
      </c>
      <c r="AR1" s="513" t="s">
        <v>697</v>
      </c>
      <c r="AS1" s="513" t="s">
        <v>666</v>
      </c>
      <c r="AT1" s="513" t="s">
        <v>674</v>
      </c>
      <c r="AU1" s="513" t="s">
        <v>682</v>
      </c>
      <c r="AV1" s="513" t="s">
        <v>690</v>
      </c>
      <c r="AW1" s="513" t="s">
        <v>698</v>
      </c>
      <c r="AX1" s="27" t="s">
        <v>544</v>
      </c>
      <c r="AY1" s="27" t="s">
        <v>545</v>
      </c>
      <c r="AZ1" s="463" t="s">
        <v>540</v>
      </c>
      <c r="BA1" s="463" t="s">
        <v>541</v>
      </c>
      <c r="BB1" s="463" t="s">
        <v>542</v>
      </c>
      <c r="BC1" s="23" t="s">
        <v>543</v>
      </c>
      <c r="BD1" s="460" t="s">
        <v>570</v>
      </c>
      <c r="BE1" s="458" t="s">
        <v>571</v>
      </c>
      <c r="BF1" s="464" t="s">
        <v>573</v>
      </c>
      <c r="BG1" s="460" t="s">
        <v>572</v>
      </c>
    </row>
    <row r="2" spans="1:59" x14ac:dyDescent="0.25">
      <c r="A2" s="457">
        <v>43739</v>
      </c>
      <c r="B2" s="820">
        <v>6.1369444444444445</v>
      </c>
      <c r="C2" s="458">
        <v>17.472222222222221</v>
      </c>
      <c r="D2" s="820">
        <v>2.8470556284796089</v>
      </c>
      <c r="E2" s="821">
        <v>3.6814073839375974</v>
      </c>
      <c r="F2" s="822">
        <v>4.3860046168469653</v>
      </c>
      <c r="G2" s="459">
        <v>5</v>
      </c>
      <c r="H2" s="459">
        <v>108</v>
      </c>
      <c r="J2" s="475">
        <v>2</v>
      </c>
      <c r="L2" s="475">
        <v>1</v>
      </c>
      <c r="M2" s="475">
        <v>3</v>
      </c>
      <c r="N2" s="475">
        <v>1</v>
      </c>
      <c r="O2" s="475">
        <v>2</v>
      </c>
      <c r="P2" s="475">
        <v>1</v>
      </c>
      <c r="Q2" s="475">
        <v>1</v>
      </c>
      <c r="S2" s="464">
        <v>25.384920634920636</v>
      </c>
      <c r="T2" s="463">
        <v>5.0769841269841276</v>
      </c>
      <c r="U2" s="512">
        <v>1</v>
      </c>
      <c r="V2" s="512">
        <v>2</v>
      </c>
      <c r="W2" s="512">
        <v>3</v>
      </c>
      <c r="X2" s="512">
        <v>4</v>
      </c>
      <c r="Y2" s="512">
        <v>2</v>
      </c>
      <c r="Z2" s="512">
        <v>1</v>
      </c>
      <c r="AA2" s="512">
        <v>2</v>
      </c>
      <c r="AB2" s="512">
        <v>3</v>
      </c>
      <c r="AC2" s="512">
        <v>3</v>
      </c>
      <c r="AD2" s="512">
        <v>5</v>
      </c>
      <c r="AE2" s="464">
        <v>60.607142857142854</v>
      </c>
      <c r="AF2" s="460">
        <v>12.12142857142857</v>
      </c>
      <c r="AG2" s="460">
        <v>21.6</v>
      </c>
      <c r="AH2" s="823">
        <v>37.816504015276777</v>
      </c>
      <c r="AI2" s="512">
        <v>2</v>
      </c>
      <c r="AJ2" s="512">
        <v>1</v>
      </c>
      <c r="AK2" s="512">
        <v>1</v>
      </c>
      <c r="AN2" s="512">
        <v>14</v>
      </c>
      <c r="AO2" s="512">
        <v>5</v>
      </c>
      <c r="AP2" s="512">
        <v>2</v>
      </c>
      <c r="AS2" s="512">
        <v>39</v>
      </c>
      <c r="AT2" s="512">
        <v>19</v>
      </c>
      <c r="AU2" s="512">
        <v>11</v>
      </c>
      <c r="AV2" s="512">
        <v>3</v>
      </c>
      <c r="AX2" s="33">
        <v>0.83935328517371866</v>
      </c>
      <c r="AY2" s="33">
        <v>0.77336065573770485</v>
      </c>
      <c r="AZ2" s="463">
        <v>2.8055555555555554</v>
      </c>
      <c r="BA2" s="463">
        <v>3.1018518518518516</v>
      </c>
      <c r="BB2" s="463">
        <v>56.639467592592595</v>
      </c>
      <c r="BC2" s="34">
        <v>9.2292619079949922</v>
      </c>
      <c r="BD2" s="460">
        <v>33.976672936386763</v>
      </c>
      <c r="BE2" s="458">
        <v>0.30848139936448249</v>
      </c>
      <c r="BF2" s="464">
        <v>85.992063492063494</v>
      </c>
      <c r="BG2" s="460">
        <v>17.198412698412696</v>
      </c>
    </row>
    <row r="3" spans="1:59" x14ac:dyDescent="0.25">
      <c r="A3" s="457">
        <v>43770</v>
      </c>
      <c r="B3" s="820">
        <v>6.2633333333333336</v>
      </c>
      <c r="C3" s="458">
        <v>16.198095238095238</v>
      </c>
      <c r="D3" s="824">
        <v>2.5861780582376643</v>
      </c>
      <c r="E3" s="825">
        <v>3.3081426290580094</v>
      </c>
      <c r="F3" s="826">
        <v>4.1827719911807195</v>
      </c>
      <c r="G3" s="459">
        <v>29</v>
      </c>
      <c r="H3" s="459">
        <v>525</v>
      </c>
      <c r="I3" s="475">
        <v>6</v>
      </c>
      <c r="J3" s="475">
        <v>5</v>
      </c>
      <c r="K3" s="475">
        <v>7</v>
      </c>
      <c r="L3" s="475">
        <v>7</v>
      </c>
      <c r="M3" s="475">
        <v>8</v>
      </c>
      <c r="N3" s="475">
        <v>9</v>
      </c>
      <c r="O3" s="475">
        <v>7</v>
      </c>
      <c r="P3" s="475">
        <v>7</v>
      </c>
      <c r="Q3" s="475">
        <v>10</v>
      </c>
      <c r="R3" s="475">
        <v>8</v>
      </c>
      <c r="S3" s="464">
        <v>194.69444444444443</v>
      </c>
      <c r="T3" s="463">
        <v>6.7136015325670488</v>
      </c>
      <c r="U3" s="512">
        <v>6</v>
      </c>
      <c r="V3" s="512">
        <v>12</v>
      </c>
      <c r="W3" s="512">
        <v>12</v>
      </c>
      <c r="X3" s="512">
        <v>18</v>
      </c>
      <c r="Y3" s="512">
        <v>18</v>
      </c>
      <c r="Z3" s="512">
        <v>12</v>
      </c>
      <c r="AA3" s="512">
        <v>17</v>
      </c>
      <c r="AB3" s="512">
        <v>16</v>
      </c>
      <c r="AC3" s="512">
        <v>10</v>
      </c>
      <c r="AD3" s="512">
        <v>14</v>
      </c>
      <c r="AE3" s="464">
        <v>330.39682539682536</v>
      </c>
      <c r="AF3" s="460">
        <v>11.392993979200874</v>
      </c>
      <c r="AG3" s="460">
        <v>18.103448275862068</v>
      </c>
      <c r="AH3" s="827">
        <v>33.864643955465027</v>
      </c>
      <c r="AI3" s="512">
        <v>9</v>
      </c>
      <c r="AJ3" s="512">
        <v>4</v>
      </c>
      <c r="AK3" s="512">
        <v>1</v>
      </c>
      <c r="AN3" s="512">
        <v>69</v>
      </c>
      <c r="AO3" s="512">
        <v>28</v>
      </c>
      <c r="AP3" s="512">
        <v>6</v>
      </c>
      <c r="AS3" s="512">
        <v>157</v>
      </c>
      <c r="AT3" s="512">
        <v>98</v>
      </c>
      <c r="AU3" s="512">
        <v>54</v>
      </c>
      <c r="AV3" s="512">
        <v>25</v>
      </c>
      <c r="AW3" s="512">
        <v>5</v>
      </c>
      <c r="AX3" s="33">
        <v>0.79089719354369625</v>
      </c>
      <c r="AY3" s="33">
        <v>0.78176135318992468</v>
      </c>
      <c r="AZ3" s="463">
        <v>2.7371428571428571</v>
      </c>
      <c r="BA3" s="463">
        <v>3.1142857142857143</v>
      </c>
      <c r="BB3" s="463">
        <v>53.105357142857144</v>
      </c>
      <c r="BC3" s="34">
        <v>8.4787691021059839</v>
      </c>
      <c r="BD3" s="460">
        <v>28.048977508616709</v>
      </c>
      <c r="BE3" s="458">
        <v>0.30501810193124629</v>
      </c>
      <c r="BF3" s="464">
        <v>525.09126984126976</v>
      </c>
      <c r="BG3" s="460">
        <v>18.106595511767921</v>
      </c>
    </row>
    <row r="4" spans="1:59" x14ac:dyDescent="0.25">
      <c r="A4" s="457">
        <v>43800</v>
      </c>
      <c r="B4" s="820">
        <v>6.2617728531855965</v>
      </c>
      <c r="C4" s="458">
        <v>16.565096952908586</v>
      </c>
      <c r="D4" s="824">
        <v>2.6454324264543239</v>
      </c>
      <c r="E4" s="825">
        <v>3.3315638133156376</v>
      </c>
      <c r="F4" s="826">
        <v>4.0376023003760224</v>
      </c>
      <c r="G4" s="459">
        <v>25</v>
      </c>
      <c r="H4" s="459">
        <v>361</v>
      </c>
      <c r="I4" s="475">
        <v>9</v>
      </c>
      <c r="J4" s="475">
        <v>8</v>
      </c>
      <c r="K4" s="475">
        <v>3</v>
      </c>
      <c r="L4" s="475">
        <v>3</v>
      </c>
      <c r="M4" s="475">
        <v>1</v>
      </c>
      <c r="N4" s="475">
        <v>4</v>
      </c>
      <c r="O4" s="475">
        <v>5</v>
      </c>
      <c r="P4" s="475">
        <v>3</v>
      </c>
      <c r="Q4" s="475">
        <v>1</v>
      </c>
      <c r="R4" s="475">
        <v>2</v>
      </c>
      <c r="S4" s="464">
        <v>170.17063492063491</v>
      </c>
      <c r="T4" s="463">
        <v>6.8068253968253964</v>
      </c>
      <c r="U4" s="512">
        <v>7</v>
      </c>
      <c r="V4" s="512">
        <v>14</v>
      </c>
      <c r="W4" s="512">
        <v>9</v>
      </c>
      <c r="X4" s="512">
        <v>6</v>
      </c>
      <c r="Y4" s="512">
        <v>8</v>
      </c>
      <c r="Z4" s="512">
        <v>12</v>
      </c>
      <c r="AA4" s="512">
        <v>7</v>
      </c>
      <c r="AB4" s="512">
        <v>10</v>
      </c>
      <c r="AC4" s="512">
        <v>11</v>
      </c>
      <c r="AD4" s="512">
        <v>7</v>
      </c>
      <c r="AE4" s="464">
        <v>262.72222222222223</v>
      </c>
      <c r="AF4" s="460">
        <v>10.508888888888889</v>
      </c>
      <c r="AG4" s="460">
        <v>14.44</v>
      </c>
      <c r="AH4" s="827">
        <v>34.64659145028795</v>
      </c>
      <c r="AI4" s="512">
        <v>10</v>
      </c>
      <c r="AJ4" s="512">
        <v>5</v>
      </c>
      <c r="AK4" s="512">
        <v>3</v>
      </c>
      <c r="AN4" s="512">
        <v>52</v>
      </c>
      <c r="AO4" s="512">
        <v>21</v>
      </c>
      <c r="AP4" s="512">
        <v>6</v>
      </c>
      <c r="AQ4" s="512">
        <v>1</v>
      </c>
      <c r="AS4" s="512">
        <v>117</v>
      </c>
      <c r="AT4" s="512">
        <v>77</v>
      </c>
      <c r="AU4" s="512">
        <v>42</v>
      </c>
      <c r="AV4" s="512">
        <v>17</v>
      </c>
      <c r="AW4" s="512">
        <v>4</v>
      </c>
      <c r="AX4" s="33">
        <v>0.82513421715788315</v>
      </c>
      <c r="AY4" s="33">
        <v>0.79405125481343786</v>
      </c>
      <c r="AZ4" s="463">
        <v>2.6481994459833795</v>
      </c>
      <c r="BA4" s="463">
        <v>2.9501385041551247</v>
      </c>
      <c r="BB4" s="463">
        <v>52.643351800554015</v>
      </c>
      <c r="BC4" s="34">
        <v>8.4071001990709995</v>
      </c>
      <c r="BD4" s="460">
        <v>28.008790798143636</v>
      </c>
      <c r="BE4" s="458">
        <v>0.31466645618743178</v>
      </c>
      <c r="BF4" s="464">
        <v>432.89285714285711</v>
      </c>
      <c r="BG4" s="460">
        <v>17.315714285714286</v>
      </c>
    </row>
    <row r="5" spans="1:59" x14ac:dyDescent="0.25">
      <c r="A5" s="457">
        <v>43831</v>
      </c>
      <c r="B5" s="830">
        <v>9.0906206896551716</v>
      </c>
      <c r="C5" s="458">
        <v>15.641379310344828</v>
      </c>
      <c r="D5" s="828">
        <v>1.7206063088897994</v>
      </c>
      <c r="E5" s="829">
        <v>2.3115905745975391</v>
      </c>
      <c r="F5" s="824">
        <v>2.7379489280349585</v>
      </c>
      <c r="G5" s="459">
        <v>20</v>
      </c>
      <c r="H5" s="459">
        <v>145</v>
      </c>
      <c r="I5" s="475">
        <v>1</v>
      </c>
      <c r="J5" s="475">
        <v>1</v>
      </c>
      <c r="K5" s="475">
        <v>2</v>
      </c>
      <c r="M5" s="475">
        <v>1</v>
      </c>
      <c r="O5" s="475">
        <v>2</v>
      </c>
      <c r="P5" s="475">
        <v>1</v>
      </c>
      <c r="Q5" s="475">
        <v>1</v>
      </c>
      <c r="R5" s="475">
        <v>3</v>
      </c>
      <c r="S5" s="464">
        <v>31.884920634920636</v>
      </c>
      <c r="T5" s="463">
        <v>1.5942460317460319</v>
      </c>
      <c r="U5" s="512">
        <v>3</v>
      </c>
      <c r="V5" s="512">
        <v>3</v>
      </c>
      <c r="W5" s="512">
        <v>4</v>
      </c>
      <c r="X5" s="512">
        <v>6</v>
      </c>
      <c r="Y5" s="512">
        <v>1</v>
      </c>
      <c r="Z5" s="512">
        <v>3</v>
      </c>
      <c r="AA5" s="512">
        <v>4</v>
      </c>
      <c r="AB5" s="512">
        <v>3</v>
      </c>
      <c r="AC5" s="512">
        <v>8</v>
      </c>
      <c r="AD5" s="512">
        <v>4</v>
      </c>
      <c r="AE5" s="464">
        <v>102.68650793650794</v>
      </c>
      <c r="AF5" s="460">
        <v>5.134325396825397</v>
      </c>
      <c r="AG5" s="460">
        <v>7.25</v>
      </c>
      <c r="AH5" s="831">
        <v>17.358731833876263</v>
      </c>
      <c r="AI5" s="512">
        <v>2</v>
      </c>
      <c r="AJ5" s="512">
        <v>1</v>
      </c>
      <c r="AK5" s="512">
        <v>1</v>
      </c>
      <c r="AL5" s="512">
        <v>1</v>
      </c>
      <c r="AN5" s="512">
        <v>21</v>
      </c>
      <c r="AO5" s="512">
        <v>6</v>
      </c>
      <c r="AP5" s="512">
        <v>2</v>
      </c>
      <c r="AQ5" s="512">
        <v>1</v>
      </c>
      <c r="AR5" s="512">
        <v>1</v>
      </c>
      <c r="AS5" s="512">
        <v>45</v>
      </c>
      <c r="AT5" s="512">
        <v>33</v>
      </c>
      <c r="AU5" s="512">
        <v>21</v>
      </c>
      <c r="AV5" s="512">
        <v>9</v>
      </c>
      <c r="AW5" s="512">
        <v>1</v>
      </c>
      <c r="AX5" s="33">
        <v>0.84427819340537547</v>
      </c>
      <c r="AY5" s="33">
        <v>0.74433869379717754</v>
      </c>
      <c r="AZ5" s="463">
        <v>2.7931034482758621</v>
      </c>
      <c r="BA5" s="463">
        <v>3.3724137931034481</v>
      </c>
      <c r="BB5" s="463">
        <v>58.340086206896551</v>
      </c>
      <c r="BC5" s="34">
        <v>6.4176130760010324</v>
      </c>
      <c r="BD5" s="460">
        <v>14.834893897897906</v>
      </c>
      <c r="BE5" s="458">
        <v>0.26810689402950888</v>
      </c>
      <c r="BF5" s="464">
        <v>134.57142857142858</v>
      </c>
      <c r="BG5" s="460">
        <v>6.7285714285714286</v>
      </c>
    </row>
    <row r="6" spans="1:59" x14ac:dyDescent="0.25">
      <c r="A6" s="457">
        <v>43862</v>
      </c>
      <c r="B6" s="820">
        <v>6.2997674418604648</v>
      </c>
      <c r="C6" s="458">
        <v>16.279069767441861</v>
      </c>
      <c r="D6" s="824">
        <v>2.5840747166746652</v>
      </c>
      <c r="E6" s="825">
        <v>3.3851378788438113</v>
      </c>
      <c r="F6" s="826">
        <v>4.0865295876555061</v>
      </c>
      <c r="G6" s="459">
        <v>15</v>
      </c>
      <c r="H6" s="459">
        <v>43</v>
      </c>
      <c r="K6" s="475">
        <v>1</v>
      </c>
      <c r="M6" s="475">
        <v>1</v>
      </c>
      <c r="N6" s="475">
        <v>3</v>
      </c>
      <c r="S6" s="464">
        <v>10.333333333333334</v>
      </c>
      <c r="T6" s="463">
        <v>0.68888888888888888</v>
      </c>
      <c r="X6" s="512">
        <v>2</v>
      </c>
      <c r="Z6" s="512">
        <v>1</v>
      </c>
      <c r="AB6" s="512">
        <v>1</v>
      </c>
      <c r="AE6" s="464">
        <v>7.916666666666667</v>
      </c>
      <c r="AF6" s="460">
        <v>0.52777777777777779</v>
      </c>
      <c r="AG6" s="460">
        <v>2.8666666666666667</v>
      </c>
      <c r="AH6" s="827">
        <v>33.699997094490868</v>
      </c>
      <c r="AN6" s="512">
        <v>3</v>
      </c>
      <c r="AO6" s="512">
        <v>1</v>
      </c>
      <c r="AS6" s="512">
        <v>7</v>
      </c>
      <c r="AT6" s="512">
        <v>5</v>
      </c>
      <c r="AU6" s="512">
        <v>4</v>
      </c>
      <c r="AV6" s="512">
        <v>2</v>
      </c>
      <c r="AX6" s="33">
        <v>0.82836495031616986</v>
      </c>
      <c r="AY6" s="33">
        <v>0.76335877862595425</v>
      </c>
      <c r="AZ6" s="463">
        <v>2.7441860465116279</v>
      </c>
      <c r="BA6" s="463">
        <v>3.2325581395348837</v>
      </c>
      <c r="BB6" s="463">
        <v>56.755813953488371</v>
      </c>
      <c r="BC6" s="34">
        <v>9.0091919229207438</v>
      </c>
      <c r="BD6" s="460">
        <v>30.497356836052724</v>
      </c>
      <c r="BE6" s="458">
        <v>0.28682646998565869</v>
      </c>
      <c r="BF6" s="464">
        <v>18.25</v>
      </c>
      <c r="BG6" s="460">
        <v>1.2166666666666668</v>
      </c>
    </row>
    <row r="7" spans="1:59" x14ac:dyDescent="0.25">
      <c r="A7" s="457">
        <v>43891</v>
      </c>
      <c r="B7" s="832">
        <v>5.8230069930069934</v>
      </c>
      <c r="C7" s="458">
        <v>16.804195804195803</v>
      </c>
      <c r="D7" s="820">
        <v>2.8858278591072306</v>
      </c>
      <c r="E7" s="821">
        <v>3.6664304843339055</v>
      </c>
      <c r="F7" s="822">
        <v>4.3101274183669789</v>
      </c>
      <c r="G7" s="459">
        <v>26</v>
      </c>
      <c r="H7" s="459">
        <v>143</v>
      </c>
      <c r="I7" s="475">
        <v>5</v>
      </c>
      <c r="J7" s="475">
        <v>3</v>
      </c>
      <c r="K7" s="475">
        <v>4</v>
      </c>
      <c r="L7" s="475">
        <v>7</v>
      </c>
      <c r="M7" s="475">
        <v>2</v>
      </c>
      <c r="N7" s="475">
        <v>1</v>
      </c>
      <c r="O7" s="475">
        <v>1</v>
      </c>
      <c r="P7" s="475">
        <v>6</v>
      </c>
      <c r="Q7" s="475">
        <v>2</v>
      </c>
      <c r="S7" s="464">
        <v>112.65079365079366</v>
      </c>
      <c r="T7" s="463">
        <v>4.3327228327228333</v>
      </c>
      <c r="U7" s="512">
        <v>10</v>
      </c>
      <c r="V7" s="512">
        <v>4</v>
      </c>
      <c r="W7" s="512">
        <v>8</v>
      </c>
      <c r="X7" s="512">
        <v>6</v>
      </c>
      <c r="Y7" s="512">
        <v>7</v>
      </c>
      <c r="Z7" s="512">
        <v>3</v>
      </c>
      <c r="AA7" s="512">
        <v>8</v>
      </c>
      <c r="AB7" s="512">
        <v>3</v>
      </c>
      <c r="AC7" s="512">
        <v>4</v>
      </c>
      <c r="AD7" s="512">
        <v>2</v>
      </c>
      <c r="AE7" s="464">
        <v>202.28968253968253</v>
      </c>
      <c r="AF7" s="460">
        <v>7.7803724053724048</v>
      </c>
      <c r="AG7" s="460">
        <v>5.5</v>
      </c>
      <c r="AH7" s="823">
        <v>39.766673396593305</v>
      </c>
      <c r="AI7" s="512">
        <v>10</v>
      </c>
      <c r="AJ7" s="512">
        <v>3</v>
      </c>
      <c r="AK7" s="512">
        <v>2</v>
      </c>
      <c r="AL7" s="512">
        <v>2</v>
      </c>
      <c r="AN7" s="512">
        <v>36</v>
      </c>
      <c r="AO7" s="512">
        <v>17</v>
      </c>
      <c r="AP7" s="512">
        <v>7</v>
      </c>
      <c r="AQ7" s="512">
        <v>3</v>
      </c>
      <c r="AR7" s="512">
        <v>1</v>
      </c>
      <c r="AS7" s="512">
        <v>55</v>
      </c>
      <c r="AT7" s="512">
        <v>30</v>
      </c>
      <c r="AU7" s="512">
        <v>20</v>
      </c>
      <c r="AV7" s="512">
        <v>8</v>
      </c>
      <c r="AW7" s="512">
        <v>4</v>
      </c>
      <c r="AX7" s="33">
        <v>0.85065477848983007</v>
      </c>
      <c r="AY7" s="33">
        <v>0.78709466098919101</v>
      </c>
      <c r="AZ7" s="463">
        <v>2.6573426573426575</v>
      </c>
      <c r="BA7" s="463">
        <v>3.104895104895105</v>
      </c>
      <c r="BB7" s="463">
        <v>52.6097027972028</v>
      </c>
      <c r="BC7" s="34">
        <v>9.0347998654961632</v>
      </c>
      <c r="BD7" s="460">
        <v>33.125465646711</v>
      </c>
      <c r="BE7" s="458">
        <v>0.31941248307316544</v>
      </c>
      <c r="BF7" s="464">
        <v>314.9404761904762</v>
      </c>
      <c r="BG7" s="460">
        <v>12.113095238095237</v>
      </c>
    </row>
    <row r="8" spans="1:59" x14ac:dyDescent="0.25">
      <c r="A8" s="457">
        <v>43922</v>
      </c>
      <c r="B8" s="824">
        <v>6.7524060150375931</v>
      </c>
      <c r="C8" s="458">
        <v>16.616541353383457</v>
      </c>
      <c r="D8" s="829">
        <v>2.4608326745131226</v>
      </c>
      <c r="E8" s="825">
        <v>3.2614384179406954</v>
      </c>
      <c r="F8" s="833">
        <v>3.7725344349549594</v>
      </c>
      <c r="G8" s="459">
        <v>21</v>
      </c>
      <c r="H8" s="459">
        <v>133</v>
      </c>
      <c r="I8" s="475">
        <v>4</v>
      </c>
      <c r="J8" s="475">
        <v>2</v>
      </c>
      <c r="K8" s="475">
        <v>3</v>
      </c>
      <c r="L8" s="475">
        <v>5</v>
      </c>
      <c r="M8" s="475">
        <v>3</v>
      </c>
      <c r="N8" s="475">
        <v>3</v>
      </c>
      <c r="O8" s="475">
        <v>1</v>
      </c>
      <c r="P8" s="475">
        <v>1</v>
      </c>
      <c r="Q8" s="475">
        <v>4</v>
      </c>
      <c r="S8" s="464">
        <v>90.623015873015873</v>
      </c>
      <c r="T8" s="463">
        <v>4.315381708238851</v>
      </c>
      <c r="U8" s="512">
        <v>7</v>
      </c>
      <c r="V8" s="512">
        <v>4</v>
      </c>
      <c r="W8" s="512">
        <v>7</v>
      </c>
      <c r="X8" s="512">
        <v>3</v>
      </c>
      <c r="Y8" s="512">
        <v>4</v>
      </c>
      <c r="Z8" s="512">
        <v>6</v>
      </c>
      <c r="AA8" s="512">
        <v>3</v>
      </c>
      <c r="AB8" s="512">
        <v>9</v>
      </c>
      <c r="AC8" s="512">
        <v>6</v>
      </c>
      <c r="AD8" s="512">
        <v>5</v>
      </c>
      <c r="AE8" s="464">
        <v>166.03571428571425</v>
      </c>
      <c r="AF8" s="460">
        <v>7.9064625850340118</v>
      </c>
      <c r="AG8" s="460">
        <v>6.333333333333333</v>
      </c>
      <c r="AH8" s="827">
        <v>30.571240382637981</v>
      </c>
      <c r="AI8" s="512">
        <v>9</v>
      </c>
      <c r="AJ8" s="512">
        <v>3</v>
      </c>
      <c r="AK8" s="512">
        <v>2</v>
      </c>
      <c r="AN8" s="512">
        <v>28</v>
      </c>
      <c r="AO8" s="512">
        <v>8</v>
      </c>
      <c r="AP8" s="512">
        <v>4</v>
      </c>
      <c r="AQ8" s="512">
        <v>2</v>
      </c>
      <c r="AR8" s="512">
        <v>1</v>
      </c>
      <c r="AS8" s="512">
        <v>49</v>
      </c>
      <c r="AT8" s="512">
        <v>30</v>
      </c>
      <c r="AU8" s="512">
        <v>17</v>
      </c>
      <c r="AV8" s="512">
        <v>7</v>
      </c>
      <c r="AW8" s="512">
        <v>3</v>
      </c>
      <c r="AX8" s="33">
        <v>0.86452184179456903</v>
      </c>
      <c r="AY8" s="33">
        <v>0.75452372823489233</v>
      </c>
      <c r="AZ8" s="463">
        <v>2.6165413533834587</v>
      </c>
      <c r="BA8" s="463">
        <v>2.969924812030075</v>
      </c>
      <c r="BB8" s="463">
        <v>51.977443609022558</v>
      </c>
      <c r="BC8" s="34">
        <v>7.6976182257507775</v>
      </c>
      <c r="BD8" s="460">
        <v>25.105307808104079</v>
      </c>
      <c r="BE8" s="458">
        <v>0.31968754520468678</v>
      </c>
      <c r="BF8" s="464">
        <v>256.65873015873012</v>
      </c>
      <c r="BG8" s="460">
        <v>12.221844293272863</v>
      </c>
    </row>
    <row r="9" spans="1:59" x14ac:dyDescent="0.25">
      <c r="A9" s="457">
        <v>43952</v>
      </c>
      <c r="B9" s="832">
        <v>5.5627499999999985</v>
      </c>
      <c r="C9" s="458">
        <v>16.274999999999999</v>
      </c>
      <c r="D9" s="820">
        <v>2.9257112039908328</v>
      </c>
      <c r="E9" s="821">
        <v>3.7076985304031291</v>
      </c>
      <c r="F9" s="822">
        <v>4.3863197159678231</v>
      </c>
      <c r="G9" s="459">
        <v>15</v>
      </c>
      <c r="H9" s="459">
        <v>40</v>
      </c>
      <c r="I9" s="475">
        <v>1</v>
      </c>
      <c r="L9" s="475">
        <v>1</v>
      </c>
      <c r="S9" s="464">
        <v>12.5</v>
      </c>
      <c r="T9" s="463">
        <v>0.83333333333333337</v>
      </c>
      <c r="U9" s="512">
        <v>2</v>
      </c>
      <c r="Y9" s="512">
        <v>4</v>
      </c>
      <c r="AA9" s="512">
        <v>2</v>
      </c>
      <c r="AB9" s="512">
        <v>2</v>
      </c>
      <c r="AC9" s="512">
        <v>2</v>
      </c>
      <c r="AD9" s="512">
        <v>3</v>
      </c>
      <c r="AE9" s="464">
        <v>38.579365079365083</v>
      </c>
      <c r="AF9" s="460">
        <v>2.571957671957672</v>
      </c>
      <c r="AG9" s="460">
        <v>2.6666666666666665</v>
      </c>
      <c r="AH9" s="823">
        <v>41.62753878221023</v>
      </c>
      <c r="AN9" s="512">
        <v>8</v>
      </c>
      <c r="AO9" s="512">
        <v>3</v>
      </c>
      <c r="AP9" s="512">
        <v>1</v>
      </c>
      <c r="AQ9" s="512">
        <v>1</v>
      </c>
      <c r="AS9" s="512">
        <v>16</v>
      </c>
      <c r="AT9" s="512">
        <v>11</v>
      </c>
      <c r="AU9" s="512">
        <v>7</v>
      </c>
      <c r="AV9" s="512">
        <v>4</v>
      </c>
      <c r="AW9" s="512">
        <v>1</v>
      </c>
      <c r="AX9" s="33">
        <v>0.84528688524590168</v>
      </c>
      <c r="AY9" s="33">
        <v>0.78909090909090907</v>
      </c>
      <c r="AZ9" s="463">
        <v>2.7</v>
      </c>
      <c r="BA9" s="463">
        <v>3.3</v>
      </c>
      <c r="BB9" s="463">
        <v>51</v>
      </c>
      <c r="BC9" s="34">
        <v>9.1681272751786462</v>
      </c>
      <c r="BD9" s="460">
        <v>33.992652024728713</v>
      </c>
      <c r="BE9" s="458">
        <v>0.31911764705882351</v>
      </c>
      <c r="BF9" s="464">
        <v>51.079365079365083</v>
      </c>
      <c r="BG9" s="460">
        <v>3.4052910052910055</v>
      </c>
    </row>
    <row r="10" spans="1:59" x14ac:dyDescent="0.25">
      <c r="A10" s="457">
        <v>43983</v>
      </c>
      <c r="B10" s="832">
        <v>5.7788749999999993</v>
      </c>
      <c r="C10" s="458">
        <v>17.324999999999999</v>
      </c>
      <c r="D10" s="820">
        <v>2.9979883627868751</v>
      </c>
      <c r="E10" s="833">
        <v>3.772360537301811</v>
      </c>
      <c r="F10" s="834">
        <v>4.5618740671843572</v>
      </c>
      <c r="G10" s="459">
        <v>15</v>
      </c>
      <c r="H10" s="459">
        <v>80</v>
      </c>
      <c r="J10" s="475">
        <v>2</v>
      </c>
      <c r="K10" s="475">
        <v>5</v>
      </c>
      <c r="M10" s="475">
        <v>1</v>
      </c>
      <c r="N10" s="475">
        <v>3</v>
      </c>
      <c r="O10" s="475">
        <v>4</v>
      </c>
      <c r="P10" s="475">
        <v>3</v>
      </c>
      <c r="Q10" s="475">
        <v>2</v>
      </c>
      <c r="R10" s="475">
        <v>2</v>
      </c>
      <c r="S10" s="464">
        <v>47.353174603174608</v>
      </c>
      <c r="T10" s="463">
        <v>3.1568783068783071</v>
      </c>
      <c r="U10" s="512">
        <v>4</v>
      </c>
      <c r="V10" s="512">
        <v>6</v>
      </c>
      <c r="W10" s="512">
        <v>1</v>
      </c>
      <c r="X10" s="512">
        <v>5</v>
      </c>
      <c r="Y10" s="512">
        <v>6</v>
      </c>
      <c r="Z10" s="512">
        <v>6</v>
      </c>
      <c r="AA10" s="512">
        <v>6</v>
      </c>
      <c r="AB10" s="512">
        <v>2</v>
      </c>
      <c r="AC10" s="512">
        <v>5</v>
      </c>
      <c r="AD10" s="512">
        <v>4</v>
      </c>
      <c r="AE10" s="464">
        <v>128.46031746031747</v>
      </c>
      <c r="AF10" s="460">
        <v>8.564021164021165</v>
      </c>
      <c r="AG10" s="460">
        <v>5.333333333333333</v>
      </c>
      <c r="AH10" s="823">
        <v>41.532836390422759</v>
      </c>
      <c r="AI10" s="512">
        <v>4</v>
      </c>
      <c r="AJ10" s="512">
        <v>1</v>
      </c>
      <c r="AN10" s="512">
        <v>28</v>
      </c>
      <c r="AO10" s="512">
        <v>12</v>
      </c>
      <c r="AP10" s="512">
        <v>3</v>
      </c>
      <c r="AQ10" s="512">
        <v>2</v>
      </c>
      <c r="AS10" s="512">
        <v>43</v>
      </c>
      <c r="AT10" s="512">
        <v>28</v>
      </c>
      <c r="AU10" s="512">
        <v>12</v>
      </c>
      <c r="AV10" s="512">
        <v>5</v>
      </c>
      <c r="AW10" s="512">
        <v>2</v>
      </c>
      <c r="AX10" s="33">
        <v>0.82693219535324802</v>
      </c>
      <c r="AY10" s="33">
        <v>0.79472477064220182</v>
      </c>
      <c r="AZ10" s="463">
        <v>2.7625000000000002</v>
      </c>
      <c r="BA10" s="463">
        <v>2.8</v>
      </c>
      <c r="BB10" s="463">
        <v>52.33984375</v>
      </c>
      <c r="BC10" s="34">
        <v>9.0570991326166439</v>
      </c>
      <c r="BD10" s="460">
        <v>34.166643350313485</v>
      </c>
      <c r="BE10" s="458">
        <v>0.33100977684901856</v>
      </c>
      <c r="BF10" s="464">
        <v>175.81349206349208</v>
      </c>
      <c r="BG10" s="460">
        <v>11.720899470899472</v>
      </c>
    </row>
    <row r="11" spans="1:59" x14ac:dyDescent="0.25">
      <c r="A11" s="457">
        <v>44013</v>
      </c>
      <c r="B11" s="825">
        <v>5.1333333333333329</v>
      </c>
      <c r="C11" s="458">
        <v>14.555555555555555</v>
      </c>
      <c r="D11" s="820">
        <v>2.835497835497836</v>
      </c>
      <c r="E11" s="821">
        <v>3.7229437229437234</v>
      </c>
      <c r="F11" s="834">
        <v>4.5454545454545459</v>
      </c>
      <c r="G11" s="459">
        <v>18</v>
      </c>
      <c r="H11" s="459">
        <v>9</v>
      </c>
      <c r="L11" s="475">
        <v>1</v>
      </c>
      <c r="S11" s="464">
        <v>2.5</v>
      </c>
      <c r="T11" s="463">
        <v>0.1388888888888889</v>
      </c>
      <c r="AC11" s="512">
        <v>1</v>
      </c>
      <c r="AE11" s="464">
        <v>1.1111111111111112</v>
      </c>
      <c r="AF11" s="460">
        <v>6.1728395061728399E-2</v>
      </c>
      <c r="AG11" s="460">
        <v>0.5</v>
      </c>
      <c r="AH11" s="823">
        <v>42.677763531815792</v>
      </c>
      <c r="AN11" s="512">
        <v>1</v>
      </c>
      <c r="AS11" s="512">
        <v>4</v>
      </c>
      <c r="AT11" s="512">
        <v>2</v>
      </c>
      <c r="AU11" s="512">
        <v>1</v>
      </c>
      <c r="AX11" s="33">
        <v>0.81904761904761914</v>
      </c>
      <c r="AY11" s="33">
        <v>0.76162790697674421</v>
      </c>
      <c r="AZ11" s="463">
        <v>2.5555555555555554</v>
      </c>
      <c r="BA11" s="463">
        <v>3.5555555555555554</v>
      </c>
      <c r="BB11" s="463">
        <v>47.277777777777779</v>
      </c>
      <c r="BC11" s="34">
        <v>9.2099567099567103</v>
      </c>
      <c r="BD11" s="460">
        <v>34.288150521916762</v>
      </c>
      <c r="BE11" s="458">
        <v>0.30787309048178613</v>
      </c>
      <c r="BF11" s="464">
        <v>3.6111111111111112</v>
      </c>
      <c r="BG11" s="460">
        <v>0.20061728395061729</v>
      </c>
    </row>
    <row r="12" spans="1:59" x14ac:dyDescent="0.25">
      <c r="A12" s="457">
        <v>44044</v>
      </c>
      <c r="B12" s="832">
        <v>5.5037037037037031</v>
      </c>
      <c r="C12" s="458">
        <v>17.666666666666668</v>
      </c>
      <c r="D12" s="832">
        <v>3.2099596231493943</v>
      </c>
      <c r="E12" s="826">
        <v>4.0174966352624493</v>
      </c>
      <c r="F12" s="834">
        <v>4.6769851951547778</v>
      </c>
      <c r="G12" s="459">
        <v>21</v>
      </c>
      <c r="H12" s="459">
        <v>27</v>
      </c>
      <c r="I12" s="475">
        <v>1</v>
      </c>
      <c r="J12" s="475">
        <v>1</v>
      </c>
      <c r="K12" s="475">
        <v>2</v>
      </c>
      <c r="M12" s="475">
        <v>2</v>
      </c>
      <c r="P12" s="475">
        <v>1</v>
      </c>
      <c r="Q12" s="475">
        <v>2</v>
      </c>
      <c r="R12" s="475">
        <v>1</v>
      </c>
      <c r="S12" s="464">
        <v>30.138888888888889</v>
      </c>
      <c r="T12" s="463">
        <v>1.4351851851851851</v>
      </c>
      <c r="U12" s="512">
        <v>1</v>
      </c>
      <c r="V12" s="512">
        <v>4</v>
      </c>
      <c r="W12" s="512">
        <v>1</v>
      </c>
      <c r="X12" s="512">
        <v>1</v>
      </c>
      <c r="Y12" s="512">
        <v>1</v>
      </c>
      <c r="Z12" s="512">
        <v>2</v>
      </c>
      <c r="AA12" s="512">
        <v>4</v>
      </c>
      <c r="AB12" s="512">
        <v>1</v>
      </c>
      <c r="AD12" s="512">
        <v>4</v>
      </c>
      <c r="AE12" s="464">
        <v>52.130952380952387</v>
      </c>
      <c r="AF12" s="460">
        <v>2.4824263038548757</v>
      </c>
      <c r="AG12" s="460">
        <v>1.2857142857142858</v>
      </c>
      <c r="AH12" s="823">
        <v>46.014318777985125</v>
      </c>
      <c r="AI12" s="512">
        <v>4</v>
      </c>
      <c r="AJ12" s="512">
        <v>1</v>
      </c>
      <c r="AK12" s="512">
        <v>1</v>
      </c>
      <c r="AL12" s="512">
        <v>1</v>
      </c>
      <c r="AN12" s="512">
        <v>12</v>
      </c>
      <c r="AO12" s="512">
        <v>5</v>
      </c>
      <c r="AP12" s="512">
        <v>2</v>
      </c>
      <c r="AS12" s="512">
        <v>14</v>
      </c>
      <c r="AT12" s="512">
        <v>8</v>
      </c>
      <c r="AU12" s="512">
        <v>4</v>
      </c>
      <c r="AV12" s="512">
        <v>1</v>
      </c>
      <c r="AX12" s="33">
        <v>0.85899280575539561</v>
      </c>
      <c r="AY12" s="33">
        <v>0.79899497487437188</v>
      </c>
      <c r="AZ12" s="463">
        <v>2.5925925925925926</v>
      </c>
      <c r="BA12" s="463">
        <v>3.1481481481481484</v>
      </c>
      <c r="BB12" s="463">
        <v>52.127314814814817</v>
      </c>
      <c r="BC12" s="34">
        <v>9.4713156123822344</v>
      </c>
      <c r="BD12" s="460">
        <v>38.050978604254333</v>
      </c>
      <c r="BE12" s="458">
        <v>0.33891380611927707</v>
      </c>
      <c r="BF12" s="464">
        <v>82.26984126984128</v>
      </c>
      <c r="BG12" s="460">
        <v>3.9176114890400608</v>
      </c>
    </row>
    <row r="13" spans="1:59" x14ac:dyDescent="0.25">
      <c r="A13" s="457">
        <v>44075</v>
      </c>
      <c r="B13" s="825">
        <v>5.2366176470588206</v>
      </c>
      <c r="C13" s="458">
        <v>15.529411764705882</v>
      </c>
      <c r="D13" s="820">
        <v>2.9655424190513648</v>
      </c>
      <c r="E13" s="833">
        <v>3.7546687635148439</v>
      </c>
      <c r="F13" s="822">
        <v>4.4314639557415285</v>
      </c>
      <c r="G13" s="459">
        <v>16</v>
      </c>
      <c r="H13" s="459">
        <v>68</v>
      </c>
      <c r="I13" s="475">
        <v>6</v>
      </c>
      <c r="J13" s="475">
        <v>1</v>
      </c>
      <c r="K13" s="475">
        <v>1</v>
      </c>
      <c r="L13" s="475">
        <v>1</v>
      </c>
      <c r="M13" s="475">
        <v>4</v>
      </c>
      <c r="N13" s="475">
        <v>1</v>
      </c>
      <c r="P13" s="475">
        <v>1</v>
      </c>
      <c r="Q13" s="475">
        <v>1</v>
      </c>
      <c r="R13" s="475">
        <v>2</v>
      </c>
      <c r="S13" s="464">
        <v>84.861111111111114</v>
      </c>
      <c r="T13" s="463">
        <v>5.3038194444444446</v>
      </c>
      <c r="U13" s="512">
        <v>9</v>
      </c>
      <c r="V13" s="512">
        <v>4</v>
      </c>
      <c r="W13" s="512">
        <v>4</v>
      </c>
      <c r="X13" s="512">
        <v>2</v>
      </c>
      <c r="Y13" s="512">
        <v>4</v>
      </c>
      <c r="Z13" s="512">
        <v>4</v>
      </c>
      <c r="AA13" s="512">
        <v>4</v>
      </c>
      <c r="AB13" s="512">
        <v>4</v>
      </c>
      <c r="AC13" s="512">
        <v>3</v>
      </c>
      <c r="AD13" s="512">
        <v>4</v>
      </c>
      <c r="AE13" s="464">
        <v>161.04761904761904</v>
      </c>
      <c r="AF13" s="460">
        <v>10.06547619047619</v>
      </c>
      <c r="AG13" s="460">
        <v>4.25</v>
      </c>
      <c r="AH13" s="823">
        <v>44.017005509451572</v>
      </c>
      <c r="AI13" s="512">
        <v>6</v>
      </c>
      <c r="AJ13" s="512">
        <v>4</v>
      </c>
      <c r="AK13" s="512">
        <v>2</v>
      </c>
      <c r="AL13" s="512">
        <v>2</v>
      </c>
      <c r="AM13" s="512">
        <v>2</v>
      </c>
      <c r="AN13" s="512">
        <v>19</v>
      </c>
      <c r="AO13" s="512">
        <v>13</v>
      </c>
      <c r="AP13" s="512">
        <v>7</v>
      </c>
      <c r="AQ13" s="512">
        <v>4</v>
      </c>
      <c r="AR13" s="512">
        <v>2</v>
      </c>
      <c r="AS13" s="512">
        <v>37</v>
      </c>
      <c r="AT13" s="512">
        <v>27</v>
      </c>
      <c r="AU13" s="512">
        <v>16</v>
      </c>
      <c r="AV13" s="512">
        <v>6</v>
      </c>
      <c r="AW13" s="512">
        <v>2</v>
      </c>
      <c r="AX13" s="33">
        <v>0.84727503168567808</v>
      </c>
      <c r="AY13" s="33">
        <v>0.78982797307404629</v>
      </c>
      <c r="AZ13" s="463">
        <v>2.5882352941176472</v>
      </c>
      <c r="BA13" s="463">
        <v>3.1617647058823528</v>
      </c>
      <c r="BB13" s="463">
        <v>51.420955882352942</v>
      </c>
      <c r="BC13" s="34">
        <v>9.8194978797495072</v>
      </c>
      <c r="BD13" s="460">
        <v>36.86896196249571</v>
      </c>
      <c r="BE13" s="458">
        <v>0.30200550530869053</v>
      </c>
      <c r="BF13" s="464">
        <v>245.90873015873015</v>
      </c>
      <c r="BG13" s="460">
        <v>15.369295634920634</v>
      </c>
    </row>
    <row r="14" spans="1:59" x14ac:dyDescent="0.25">
      <c r="A14" s="457">
        <v>44105</v>
      </c>
      <c r="B14" s="820">
        <v>6.0978409090909089</v>
      </c>
      <c r="C14" s="458">
        <v>16.90909090909091</v>
      </c>
      <c r="D14" s="820">
        <v>2.7729636048526864</v>
      </c>
      <c r="E14" s="825">
        <v>3.4084344309647601</v>
      </c>
      <c r="F14" s="826">
        <v>4.0867669257002293</v>
      </c>
      <c r="G14" s="459">
        <v>12</v>
      </c>
      <c r="H14" s="459">
        <v>88</v>
      </c>
      <c r="J14" s="475">
        <v>7</v>
      </c>
      <c r="K14" s="475">
        <v>2</v>
      </c>
      <c r="L14" s="475">
        <v>1</v>
      </c>
      <c r="N14" s="475">
        <v>1</v>
      </c>
      <c r="O14" s="475">
        <v>2</v>
      </c>
      <c r="R14" s="475">
        <v>4</v>
      </c>
      <c r="S14" s="464">
        <v>52.690476190476183</v>
      </c>
      <c r="T14" s="463">
        <v>4.3908730158730149</v>
      </c>
      <c r="U14" s="512">
        <v>4</v>
      </c>
      <c r="V14" s="512">
        <v>2</v>
      </c>
      <c r="W14" s="512">
        <v>5</v>
      </c>
      <c r="X14" s="512">
        <v>3</v>
      </c>
      <c r="Y14" s="512">
        <v>1</v>
      </c>
      <c r="Z14" s="512">
        <v>2</v>
      </c>
      <c r="AB14" s="512">
        <v>4</v>
      </c>
      <c r="AC14" s="512">
        <v>2</v>
      </c>
      <c r="AD14" s="512">
        <v>6</v>
      </c>
      <c r="AE14" s="464">
        <v>92.722222222222229</v>
      </c>
      <c r="AF14" s="460">
        <v>7.7268518518518521</v>
      </c>
      <c r="AG14" s="460">
        <v>7.333333333333333</v>
      </c>
      <c r="AH14" s="827">
        <v>36.997541478465024</v>
      </c>
      <c r="AI14" s="512">
        <v>4</v>
      </c>
      <c r="AJ14" s="512">
        <v>3</v>
      </c>
      <c r="AK14" s="512">
        <v>2</v>
      </c>
      <c r="AL14" s="512">
        <v>1</v>
      </c>
      <c r="AN14" s="512">
        <v>15</v>
      </c>
      <c r="AO14" s="512">
        <v>6</v>
      </c>
      <c r="AP14" s="512">
        <v>3</v>
      </c>
      <c r="AQ14" s="512">
        <v>2</v>
      </c>
      <c r="AS14" s="512">
        <v>29</v>
      </c>
      <c r="AT14" s="512">
        <v>17</v>
      </c>
      <c r="AU14" s="512">
        <v>11</v>
      </c>
      <c r="AV14" s="512">
        <v>5</v>
      </c>
      <c r="AW14" s="512">
        <v>1</v>
      </c>
      <c r="AX14" s="33">
        <v>0.83401732786137706</v>
      </c>
      <c r="AY14" s="33">
        <v>0.81355932203389836</v>
      </c>
      <c r="AZ14" s="463">
        <v>2.7272727272727271</v>
      </c>
      <c r="BA14" s="463">
        <v>3</v>
      </c>
      <c r="BB14" s="463">
        <v>51.363636363636367</v>
      </c>
      <c r="BC14" s="34">
        <v>8.4232496599019768</v>
      </c>
      <c r="BD14" s="460">
        <v>28.710094161422102</v>
      </c>
      <c r="BE14" s="458">
        <v>0.32920353982300887</v>
      </c>
      <c r="BF14" s="464">
        <v>145.4126984126984</v>
      </c>
      <c r="BG14" s="460">
        <v>12.117724867724867</v>
      </c>
    </row>
    <row r="15" spans="1:59" x14ac:dyDescent="0.25">
      <c r="A15" s="457">
        <v>44136</v>
      </c>
      <c r="B15" s="829">
        <v>7.04</v>
      </c>
      <c r="C15" s="458">
        <v>16</v>
      </c>
      <c r="D15" s="829">
        <v>2.2727272727272729</v>
      </c>
      <c r="E15" s="824">
        <v>2.6988636363636362</v>
      </c>
      <c r="F15" s="820">
        <v>2.9829545454545454</v>
      </c>
      <c r="G15" s="459">
        <v>13</v>
      </c>
      <c r="H15" s="459">
        <v>2</v>
      </c>
      <c r="S15" s="464">
        <v>0</v>
      </c>
      <c r="T15" s="463">
        <v>0</v>
      </c>
      <c r="AE15" s="464">
        <v>0</v>
      </c>
      <c r="AF15" s="460">
        <v>0</v>
      </c>
      <c r="AG15" s="460">
        <v>0.15384615384615385</v>
      </c>
      <c r="AH15" s="827">
        <v>27.421955456884305</v>
      </c>
      <c r="AX15" s="33">
        <v>0.90476190476190477</v>
      </c>
      <c r="AY15" s="33">
        <v>0.8421052631578948</v>
      </c>
      <c r="AZ15" s="463">
        <v>2.5</v>
      </c>
      <c r="BA15" s="463">
        <v>2.5</v>
      </c>
      <c r="BB15" s="463">
        <v>47.375</v>
      </c>
      <c r="BC15" s="34">
        <v>6.7294034090909092</v>
      </c>
      <c r="BD15" s="460">
        <v>18.161742155216942</v>
      </c>
      <c r="BE15" s="458">
        <v>0.33773087071240104</v>
      </c>
      <c r="BF15" s="464">
        <v>0</v>
      </c>
      <c r="BG15" s="460">
        <v>0</v>
      </c>
    </row>
    <row r="16" spans="1:59" x14ac:dyDescent="0.25">
      <c r="A16" s="457">
        <v>44166</v>
      </c>
      <c r="B16" s="832">
        <v>5.6242201834862406</v>
      </c>
      <c r="C16" s="458">
        <v>16.091743119266056</v>
      </c>
      <c r="D16" s="820">
        <v>2.8611509852538162</v>
      </c>
      <c r="E16" s="825">
        <v>3.4222889207882021</v>
      </c>
      <c r="F16" s="833">
        <v>3.9769019966070718</v>
      </c>
      <c r="G16" s="459">
        <v>3</v>
      </c>
      <c r="H16" s="459">
        <v>109</v>
      </c>
      <c r="I16" s="475">
        <v>4</v>
      </c>
      <c r="J16" s="475">
        <v>3</v>
      </c>
      <c r="K16" s="475">
        <v>1</v>
      </c>
      <c r="L16" s="475">
        <v>2</v>
      </c>
      <c r="M16" s="475">
        <v>2</v>
      </c>
      <c r="N16" s="475">
        <v>1</v>
      </c>
      <c r="O16" s="475">
        <v>3</v>
      </c>
      <c r="P16" s="475">
        <v>1</v>
      </c>
      <c r="Q16" s="475">
        <v>1</v>
      </c>
      <c r="R16" s="475">
        <v>2</v>
      </c>
      <c r="S16" s="464">
        <v>77.64682539682542</v>
      </c>
      <c r="T16" s="463">
        <v>25.88227513227514</v>
      </c>
      <c r="U16" s="512">
        <v>6</v>
      </c>
      <c r="V16" s="512">
        <v>5</v>
      </c>
      <c r="W16" s="512">
        <v>6</v>
      </c>
      <c r="X16" s="512">
        <v>4</v>
      </c>
      <c r="Y16" s="512">
        <v>4</v>
      </c>
      <c r="Z16" s="512">
        <v>8</v>
      </c>
      <c r="AA16" s="512">
        <v>3</v>
      </c>
      <c r="AB16" s="512">
        <v>2</v>
      </c>
      <c r="AC16" s="512">
        <v>5</v>
      </c>
      <c r="AD16" s="512">
        <v>2</v>
      </c>
      <c r="AE16" s="464">
        <v>150.67460317460316</v>
      </c>
      <c r="AF16" s="460">
        <v>50.224867724867721</v>
      </c>
      <c r="AG16" s="460">
        <v>36.333333333333336</v>
      </c>
      <c r="AH16" s="823">
        <v>40.397000081120552</v>
      </c>
      <c r="AI16" s="512">
        <v>6</v>
      </c>
      <c r="AJ16" s="512">
        <v>2</v>
      </c>
      <c r="AK16" s="512">
        <v>1</v>
      </c>
      <c r="AN16" s="512">
        <v>21</v>
      </c>
      <c r="AO16" s="512">
        <v>11</v>
      </c>
      <c r="AP16" s="512">
        <v>3</v>
      </c>
      <c r="AQ16" s="512">
        <v>2</v>
      </c>
      <c r="AR16" s="512">
        <v>2</v>
      </c>
      <c r="AS16" s="512">
        <v>38</v>
      </c>
      <c r="AT16" s="512">
        <v>30</v>
      </c>
      <c r="AU16" s="512">
        <v>15</v>
      </c>
      <c r="AV16" s="512">
        <v>9</v>
      </c>
      <c r="AW16" s="512">
        <v>3</v>
      </c>
      <c r="AX16" s="33">
        <v>0.86054142739950779</v>
      </c>
      <c r="AY16" s="33">
        <v>0.83603431839847475</v>
      </c>
      <c r="AZ16" s="463">
        <v>2.5779816513761467</v>
      </c>
      <c r="BA16" s="463">
        <v>3.2477064220183487</v>
      </c>
      <c r="BB16" s="463">
        <v>50.456422018348626</v>
      </c>
      <c r="BC16" s="34">
        <v>8.9712743051024368</v>
      </c>
      <c r="BD16" s="460">
        <v>30.702292659703946</v>
      </c>
      <c r="BE16" s="458">
        <v>0.31892358743579252</v>
      </c>
      <c r="BF16" s="464">
        <v>228.32142857142858</v>
      </c>
      <c r="BG16" s="460">
        <v>76.107142857142861</v>
      </c>
    </row>
  </sheetData>
  <phoneticPr fontId="1" type="noConversion"/>
  <conditionalFormatting sqref="I1:R1048576">
    <cfRule type="cellIs" dxfId="349" priority="13" operator="greaterThan">
      <formula>5</formula>
    </cfRule>
    <cfRule type="cellIs" dxfId="348" priority="37" operator="equal">
      <formula>5</formula>
    </cfRule>
    <cfRule type="cellIs" dxfId="347" priority="66" operator="equal">
      <formula>4</formula>
    </cfRule>
    <cfRule type="cellIs" dxfId="346" priority="67" operator="equal">
      <formula>3</formula>
    </cfRule>
    <cfRule type="cellIs" dxfId="345" priority="68" operator="equal">
      <formula>2</formula>
    </cfRule>
    <cfRule type="cellIs" dxfId="344" priority="69" operator="equal">
      <formula>1</formula>
    </cfRule>
  </conditionalFormatting>
  <conditionalFormatting sqref="S1:S104857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{A1DD0012-3578-4972-99B2-93F642F5ED94}</x14:id>
        </ext>
      </extLst>
    </cfRule>
  </conditionalFormatting>
  <conditionalFormatting sqref="T1:T104857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{095C1681-6778-414E-80AA-C0C42DC80B9D}</x14:id>
        </ext>
      </extLst>
    </cfRule>
  </conditionalFormatting>
  <conditionalFormatting sqref="AE1:AE104857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{021A0399-EE7C-496A-99BF-64B4F63FF3EF}</x14:id>
        </ext>
      </extLst>
    </cfRule>
  </conditionalFormatting>
  <conditionalFormatting sqref="AF1:AF104857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{A2BEBC3D-FA6F-4F78-8633-0F9CCC7C95C3}</x14:id>
        </ext>
      </extLst>
    </cfRule>
  </conditionalFormatting>
  <conditionalFormatting sqref="AG1:AG104857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{11447822-9E78-4479-A251-DF12AC21EDA3}</x14:id>
        </ext>
      </extLst>
    </cfRule>
  </conditionalFormatting>
  <conditionalFormatting sqref="AX1:AY1048576">
    <cfRule type="expression" dxfId="343" priority="39">
      <formula>AX1&gt;=31/32</formula>
    </cfRule>
    <cfRule type="expression" dxfId="342" priority="40">
      <formula>AX1&gt;=30/32</formula>
    </cfRule>
    <cfRule type="expression" dxfId="341" priority="41">
      <formula>AX1&gt;=29/32</formula>
    </cfRule>
    <cfRule type="expression" dxfId="340" priority="42">
      <formula>AX1&gt;=28/32</formula>
    </cfRule>
    <cfRule type="expression" dxfId="339" priority="43">
      <formula>AX1&gt;=27/32</formula>
    </cfRule>
    <cfRule type="expression" dxfId="338" priority="44">
      <formula>AX1&gt;=26/32</formula>
    </cfRule>
    <cfRule type="expression" dxfId="337" priority="45">
      <formula>AX1&gt;=25/32</formula>
    </cfRule>
    <cfRule type="expression" dxfId="336" priority="46">
      <formula>AX1&gt;=24/32</formula>
    </cfRule>
    <cfRule type="expression" dxfId="335" priority="47">
      <formula>AX1&gt;=23/32</formula>
    </cfRule>
    <cfRule type="expression" dxfId="334" priority="48">
      <formula>AX1&gt;=22/32</formula>
    </cfRule>
    <cfRule type="expression" dxfId="333" priority="49">
      <formula>AX1&gt;=21/32</formula>
    </cfRule>
    <cfRule type="expression" dxfId="332" priority="50">
      <formula>AX1&gt;=20/32</formula>
    </cfRule>
    <cfRule type="expression" dxfId="331" priority="51">
      <formula>AX1&gt;=19/32</formula>
    </cfRule>
    <cfRule type="expression" dxfId="330" priority="52">
      <formula>AX1&gt;=0</formula>
    </cfRule>
  </conditionalFormatting>
  <conditionalFormatting sqref="H1:H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{358F5FD5-7AF2-484A-A9CC-95D1A735B1D3}</x14:id>
        </ext>
      </extLst>
    </cfRule>
  </conditionalFormatting>
  <conditionalFormatting sqref="BC1:BC1048576">
    <cfRule type="expression" dxfId="329" priority="18">
      <formula>BC1&gt;=7.5*3</formula>
    </cfRule>
    <cfRule type="expression" dxfId="328" priority="19">
      <formula>BC1&gt;=7*3</formula>
    </cfRule>
    <cfRule type="expression" dxfId="327" priority="20">
      <formula>BC1&gt;=6.5*3</formula>
    </cfRule>
    <cfRule type="expression" dxfId="326" priority="21">
      <formula>BC1&gt;=6*3</formula>
    </cfRule>
    <cfRule type="expression" dxfId="325" priority="22">
      <formula>BC1&gt;=5.5*3</formula>
    </cfRule>
    <cfRule type="expression" dxfId="324" priority="23">
      <formula>BC1&gt;=5*3</formula>
    </cfRule>
    <cfRule type="expression" dxfId="323" priority="24">
      <formula>BC1&gt;=4.5*3</formula>
    </cfRule>
    <cfRule type="expression" dxfId="322" priority="25">
      <formula>BC1&gt;=4*3</formula>
    </cfRule>
    <cfRule type="expression" dxfId="321" priority="26">
      <formula>BC1&gt;=3.5*3</formula>
    </cfRule>
    <cfRule type="expression" dxfId="320" priority="27">
      <formula>BC1&gt;=3*3</formula>
    </cfRule>
    <cfRule type="expression" dxfId="319" priority="28">
      <formula>BC1&gt;=2.5*3</formula>
    </cfRule>
    <cfRule type="expression" dxfId="318" priority="29">
      <formula>BC1&gt;=2*3</formula>
    </cfRule>
    <cfRule type="expression" dxfId="317" priority="30">
      <formula>BC1&gt;=1.5*3</formula>
    </cfRule>
    <cfRule type="expression" dxfId="316" priority="31">
      <formula>BC1&gt;=0</formula>
    </cfRule>
  </conditionalFormatting>
  <conditionalFormatting sqref="BF1:BF104857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{91D9AD47-C1C7-42BA-8862-6131A952B15E}</x14:id>
        </ext>
      </extLst>
    </cfRule>
  </conditionalFormatting>
  <conditionalFormatting sqref="BG1:BG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{50BD02D7-29BC-4B97-A90E-0447C1C38548}</x14:id>
        </ext>
      </extLst>
    </cfRule>
  </conditionalFormatting>
  <conditionalFormatting sqref="U1:AD1048576">
    <cfRule type="cellIs" dxfId="315" priority="7" operator="greaterThan">
      <formula>5</formula>
    </cfRule>
    <cfRule type="cellIs" dxfId="314" priority="8" operator="equal">
      <formula>5</formula>
    </cfRule>
    <cfRule type="cellIs" dxfId="313" priority="9" operator="equal">
      <formula>4</formula>
    </cfRule>
    <cfRule type="cellIs" dxfId="312" priority="10" operator="equal">
      <formula>3</formula>
    </cfRule>
    <cfRule type="cellIs" dxfId="311" priority="11" operator="equal">
      <formula>2</formula>
    </cfRule>
    <cfRule type="cellIs" dxfId="310" priority="12" operator="equal">
      <formula>1</formula>
    </cfRule>
  </conditionalFormatting>
  <conditionalFormatting sqref="AI1:AW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DD0012-3578-4972-99B2-93F642F5ED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095C1681-6778-414E-80AA-C0C42DC80B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021A0399-EE7C-496A-99BF-64B4F63FF3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A2BEBC3D-FA6F-4F78-8633-0F9CCC7C95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11447822-9E78-4479-A251-DF12AC21ED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358F5FD5-7AF2-484A-A9CC-95D1A735B1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91D9AD47-C1C7-42BA-8862-6131A952B1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BF1:BF1048576</xm:sqref>
        </x14:conditionalFormatting>
        <x14:conditionalFormatting xmlns:xm="http://schemas.microsoft.com/office/excel/2006/main">
          <x14:cfRule type="dataBar" id="{50BD02D7-29BC-4B97-A90E-0447C1C385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BG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3.2" x14ac:dyDescent="0.25"/>
  <cols>
    <col min="1" max="1" width="6.88671875" style="457" bestFit="1" customWidth="1"/>
    <col min="2" max="3" width="7.5546875" style="461" bestFit="1" customWidth="1"/>
    <col min="4" max="6" width="6.5546875" style="461" bestFit="1" customWidth="1"/>
    <col min="7" max="7" width="5.33203125" style="459" bestFit="1" customWidth="1"/>
    <col min="8" max="8" width="6.21875" style="459" bestFit="1" customWidth="1"/>
    <col min="9" max="18" width="4.33203125" style="512" bestFit="1" customWidth="1"/>
    <col min="19" max="19" width="11.44140625" style="462" bestFit="1" customWidth="1"/>
    <col min="20" max="20" width="8" style="463" bestFit="1" customWidth="1"/>
    <col min="21" max="30" width="5" style="512" bestFit="1" customWidth="1"/>
    <col min="31" max="31" width="9.33203125" style="462" bestFit="1" customWidth="1"/>
    <col min="32" max="32" width="7.33203125" style="463" bestFit="1" customWidth="1"/>
    <col min="33" max="33" width="9.88671875" style="463" bestFit="1" customWidth="1"/>
    <col min="34" max="34" width="6.5546875" style="460" bestFit="1" customWidth="1"/>
    <col min="35" max="37" width="7" style="512" bestFit="1" customWidth="1"/>
    <col min="38" max="38" width="5.44140625" style="512" bestFit="1" customWidth="1"/>
    <col min="39" max="39" width="7" style="512" bestFit="1" customWidth="1"/>
    <col min="40" max="44" width="4.88671875" style="512" bestFit="1" customWidth="1"/>
    <col min="45" max="49" width="4.6640625" style="512" customWidth="1"/>
    <col min="50" max="51" width="6.6640625" style="33" bestFit="1" customWidth="1"/>
    <col min="52" max="53" width="5.5546875" style="463" bestFit="1" customWidth="1"/>
    <col min="54" max="54" width="7.5546875" style="463" bestFit="1" customWidth="1"/>
    <col min="55" max="55" width="5.77734375" style="34" bestFit="1" customWidth="1"/>
    <col min="56" max="56" width="6.5546875" style="460" bestFit="1" customWidth="1"/>
    <col min="57" max="57" width="6.5546875" style="458" bestFit="1" customWidth="1"/>
    <col min="58" max="58" width="21.33203125" style="464" bestFit="1" customWidth="1"/>
    <col min="59" max="59" width="15.44140625" style="460" bestFit="1" customWidth="1"/>
    <col min="60" max="16384" width="9" style="456"/>
  </cols>
  <sheetData>
    <row r="1" spans="1:59" x14ac:dyDescent="0.25">
      <c r="A1" s="457" t="s">
        <v>50</v>
      </c>
      <c r="B1" s="461" t="s">
        <v>6</v>
      </c>
      <c r="C1" s="461" t="s">
        <v>54</v>
      </c>
      <c r="D1" s="461" t="s">
        <v>2</v>
      </c>
      <c r="E1" s="461" t="s">
        <v>509</v>
      </c>
      <c r="F1" s="461" t="s">
        <v>510</v>
      </c>
      <c r="G1" s="459" t="s">
        <v>511</v>
      </c>
      <c r="H1" s="459" t="s">
        <v>539</v>
      </c>
      <c r="I1" s="513" t="s">
        <v>513</v>
      </c>
      <c r="J1" s="513" t="s">
        <v>522</v>
      </c>
      <c r="K1" s="513" t="s">
        <v>523</v>
      </c>
      <c r="L1" s="513" t="s">
        <v>524</v>
      </c>
      <c r="M1" s="513" t="s">
        <v>525</v>
      </c>
      <c r="N1" s="513" t="s">
        <v>526</v>
      </c>
      <c r="O1" s="513" t="s">
        <v>527</v>
      </c>
      <c r="P1" s="513" t="s">
        <v>528</v>
      </c>
      <c r="Q1" s="513" t="s">
        <v>529</v>
      </c>
      <c r="R1" s="513" t="s">
        <v>517</v>
      </c>
      <c r="S1" s="462" t="s">
        <v>515</v>
      </c>
      <c r="T1" s="463" t="s">
        <v>537</v>
      </c>
      <c r="U1" s="513" t="s">
        <v>518</v>
      </c>
      <c r="V1" s="513" t="s">
        <v>519</v>
      </c>
      <c r="W1" s="513" t="s">
        <v>520</v>
      </c>
      <c r="X1" s="513" t="s">
        <v>521</v>
      </c>
      <c r="Y1" s="513" t="s">
        <v>530</v>
      </c>
      <c r="Z1" s="513" t="s">
        <v>531</v>
      </c>
      <c r="AA1" s="513" t="s">
        <v>532</v>
      </c>
      <c r="AB1" s="513" t="s">
        <v>533</v>
      </c>
      <c r="AC1" s="513" t="s">
        <v>534</v>
      </c>
      <c r="AD1" s="513" t="s">
        <v>535</v>
      </c>
      <c r="AE1" s="464" t="s">
        <v>516</v>
      </c>
      <c r="AF1" s="463" t="s">
        <v>538</v>
      </c>
      <c r="AG1" s="463" t="s">
        <v>514</v>
      </c>
      <c r="AH1" s="460" t="s">
        <v>37</v>
      </c>
      <c r="AI1" s="513" t="s">
        <v>667</v>
      </c>
      <c r="AJ1" s="513" t="s">
        <v>675</v>
      </c>
      <c r="AK1" s="513" t="s">
        <v>683</v>
      </c>
      <c r="AL1" s="513" t="s">
        <v>691</v>
      </c>
      <c r="AM1" s="513" t="s">
        <v>699</v>
      </c>
      <c r="AN1" s="513" t="s">
        <v>668</v>
      </c>
      <c r="AO1" s="513" t="s">
        <v>676</v>
      </c>
      <c r="AP1" s="513" t="s">
        <v>665</v>
      </c>
      <c r="AQ1" s="513" t="s">
        <v>692</v>
      </c>
      <c r="AR1" s="513" t="s">
        <v>673</v>
      </c>
      <c r="AS1" s="513" t="s">
        <v>669</v>
      </c>
      <c r="AT1" s="513" t="s">
        <v>677</v>
      </c>
      <c r="AU1" s="513" t="s">
        <v>684</v>
      </c>
      <c r="AV1" s="513" t="s">
        <v>693</v>
      </c>
      <c r="AW1" s="513" t="s">
        <v>700</v>
      </c>
      <c r="AX1" s="27" t="s">
        <v>544</v>
      </c>
      <c r="AY1" s="27" t="s">
        <v>545</v>
      </c>
      <c r="AZ1" s="463" t="s">
        <v>540</v>
      </c>
      <c r="BA1" s="463" t="s">
        <v>541</v>
      </c>
      <c r="BB1" s="463" t="s">
        <v>542</v>
      </c>
      <c r="BC1" s="23" t="s">
        <v>543</v>
      </c>
      <c r="BD1" s="460" t="s">
        <v>570</v>
      </c>
      <c r="BE1" s="458" t="s">
        <v>571</v>
      </c>
      <c r="BF1" s="464" t="s">
        <v>573</v>
      </c>
      <c r="BG1" s="460" t="s">
        <v>572</v>
      </c>
    </row>
    <row r="2" spans="1:59" x14ac:dyDescent="0.25">
      <c r="A2" s="457">
        <v>43739</v>
      </c>
      <c r="B2" s="838">
        <v>25.818500000000007</v>
      </c>
      <c r="C2" s="461">
        <v>62.75</v>
      </c>
      <c r="D2" s="835">
        <v>2.4304277940236645</v>
      </c>
      <c r="E2" s="836">
        <v>3.0849971919360142</v>
      </c>
      <c r="F2" s="837">
        <v>3.5488118984449128</v>
      </c>
      <c r="G2" s="459">
        <v>5</v>
      </c>
      <c r="H2" s="459">
        <v>40</v>
      </c>
      <c r="I2" s="512">
        <v>4</v>
      </c>
      <c r="J2" s="512">
        <v>5</v>
      </c>
      <c r="K2" s="512">
        <v>2</v>
      </c>
      <c r="L2" s="512">
        <v>2</v>
      </c>
      <c r="M2" s="512">
        <v>3</v>
      </c>
      <c r="N2" s="512">
        <v>3</v>
      </c>
      <c r="O2" s="512">
        <v>4</v>
      </c>
      <c r="P2" s="512">
        <v>2</v>
      </c>
      <c r="Q2" s="512">
        <v>3</v>
      </c>
      <c r="R2" s="512">
        <v>4</v>
      </c>
      <c r="S2" s="462">
        <v>103.21428571428571</v>
      </c>
      <c r="T2" s="463">
        <v>20.642857142857142</v>
      </c>
      <c r="U2" s="512">
        <v>3</v>
      </c>
      <c r="V2" s="512">
        <v>6</v>
      </c>
      <c r="W2" s="512">
        <v>3</v>
      </c>
      <c r="X2" s="512">
        <v>4</v>
      </c>
      <c r="Y2" s="512">
        <v>3</v>
      </c>
      <c r="Z2" s="512">
        <v>5</v>
      </c>
      <c r="AA2" s="512">
        <v>3</v>
      </c>
      <c r="AB2" s="512">
        <v>5</v>
      </c>
      <c r="AC2" s="512">
        <v>5</v>
      </c>
      <c r="AD2" s="512">
        <v>6</v>
      </c>
      <c r="AE2" s="462">
        <v>116.42460317460318</v>
      </c>
      <c r="AF2" s="463">
        <v>23.284920634920635</v>
      </c>
      <c r="AG2" s="463">
        <v>8</v>
      </c>
      <c r="AH2" s="823">
        <v>38.378645695973816</v>
      </c>
      <c r="AI2" s="512">
        <v>24</v>
      </c>
      <c r="AJ2" s="512">
        <v>12</v>
      </c>
      <c r="AK2" s="512">
        <v>4</v>
      </c>
      <c r="AN2" s="512">
        <v>14</v>
      </c>
      <c r="AO2" s="512">
        <v>8</v>
      </c>
      <c r="AP2" s="512">
        <v>1</v>
      </c>
      <c r="AQ2" s="512">
        <v>1</v>
      </c>
      <c r="AX2" s="33">
        <v>0.86930422919508865</v>
      </c>
      <c r="AY2" s="33">
        <v>0.78782172002510975</v>
      </c>
      <c r="AZ2" s="463">
        <v>7.1749999999999998</v>
      </c>
      <c r="BA2" s="463">
        <v>7.7750000000000004</v>
      </c>
      <c r="BB2" s="463">
        <v>209.34687500000001</v>
      </c>
      <c r="BC2" s="34">
        <v>8.1084057942947876</v>
      </c>
      <c r="BD2" s="460">
        <v>25.014409106477125</v>
      </c>
      <c r="BE2" s="458">
        <v>0.29974175635533129</v>
      </c>
      <c r="BF2" s="464">
        <v>219.63888888888889</v>
      </c>
      <c r="BG2" s="460">
        <v>43.927777777777777</v>
      </c>
    </row>
    <row r="3" spans="1:59" x14ac:dyDescent="0.25">
      <c r="A3" s="457">
        <v>43770</v>
      </c>
      <c r="B3" s="839">
        <v>27.518167938931292</v>
      </c>
      <c r="C3" s="461">
        <v>66.427480916030532</v>
      </c>
      <c r="D3" s="835">
        <v>2.4139499789174681</v>
      </c>
      <c r="E3" s="836">
        <v>3.0225694059164252</v>
      </c>
      <c r="F3" s="837">
        <v>3.5127382880983564</v>
      </c>
      <c r="G3" s="459">
        <v>29</v>
      </c>
      <c r="H3" s="459">
        <v>131</v>
      </c>
      <c r="I3" s="512">
        <v>10</v>
      </c>
      <c r="J3" s="512">
        <v>7</v>
      </c>
      <c r="K3" s="512">
        <v>12</v>
      </c>
      <c r="L3" s="512">
        <v>14</v>
      </c>
      <c r="M3" s="512">
        <v>7</v>
      </c>
      <c r="N3" s="512">
        <v>5</v>
      </c>
      <c r="O3" s="512">
        <v>8</v>
      </c>
      <c r="P3" s="512">
        <v>9</v>
      </c>
      <c r="Q3" s="512">
        <v>9</v>
      </c>
      <c r="R3" s="512">
        <v>4</v>
      </c>
      <c r="S3" s="462">
        <v>269.01190476190476</v>
      </c>
      <c r="T3" s="463">
        <v>9.2762725779967159</v>
      </c>
      <c r="U3" s="512">
        <v>8</v>
      </c>
      <c r="V3" s="512">
        <v>5</v>
      </c>
      <c r="W3" s="512">
        <v>9</v>
      </c>
      <c r="X3" s="512">
        <v>6</v>
      </c>
      <c r="Y3" s="512">
        <v>9</v>
      </c>
      <c r="Z3" s="512">
        <v>8</v>
      </c>
      <c r="AA3" s="512">
        <v>10</v>
      </c>
      <c r="AB3" s="512">
        <v>15</v>
      </c>
      <c r="AC3" s="512">
        <v>10</v>
      </c>
      <c r="AD3" s="512">
        <v>13</v>
      </c>
      <c r="AE3" s="462">
        <v>238.48015873015873</v>
      </c>
      <c r="AF3" s="463">
        <v>8.2234537493158193</v>
      </c>
      <c r="AG3" s="463">
        <v>4.5172413793103452</v>
      </c>
      <c r="AH3" s="827">
        <v>36.454675102790539</v>
      </c>
      <c r="AI3" s="512">
        <v>66</v>
      </c>
      <c r="AJ3" s="512">
        <v>28</v>
      </c>
      <c r="AK3" s="512">
        <v>12</v>
      </c>
      <c r="AL3" s="512">
        <v>4</v>
      </c>
      <c r="AM3" s="512">
        <v>1</v>
      </c>
      <c r="AN3" s="512">
        <v>34</v>
      </c>
      <c r="AO3" s="512">
        <v>13</v>
      </c>
      <c r="AP3" s="512">
        <v>4</v>
      </c>
      <c r="AS3" s="512">
        <v>2</v>
      </c>
      <c r="AT3" s="512">
        <v>1</v>
      </c>
      <c r="AX3" s="33">
        <v>0.86045960672826349</v>
      </c>
      <c r="AY3" s="33">
        <v>0.79864170337738616</v>
      </c>
      <c r="AZ3" s="463">
        <v>7.3816793893129775</v>
      </c>
      <c r="BA3" s="463">
        <v>7.6488549618320612</v>
      </c>
      <c r="BB3" s="463">
        <v>214.26335877862596</v>
      </c>
      <c r="BC3" s="34">
        <v>7.786250859945409</v>
      </c>
      <c r="BD3" s="460">
        <v>23.534483636061449</v>
      </c>
      <c r="BE3" s="458">
        <v>0.31002725475176796</v>
      </c>
      <c r="BF3" s="464">
        <v>507.49206349206349</v>
      </c>
      <c r="BG3" s="460">
        <v>17.499726327312537</v>
      </c>
    </row>
    <row r="4" spans="1:59" x14ac:dyDescent="0.25">
      <c r="A4" s="457">
        <v>43800</v>
      </c>
      <c r="B4" s="838">
        <v>25.622035398230086</v>
      </c>
      <c r="C4" s="461">
        <v>63.247787610619469</v>
      </c>
      <c r="D4" s="835">
        <v>2.4684919299966501</v>
      </c>
      <c r="E4" s="836">
        <v>3.1423449809863611</v>
      </c>
      <c r="F4" s="837">
        <v>3.6055110196215239</v>
      </c>
      <c r="G4" s="459">
        <v>25</v>
      </c>
      <c r="H4" s="459">
        <v>113</v>
      </c>
      <c r="I4" s="512">
        <v>13</v>
      </c>
      <c r="J4" s="512">
        <v>11</v>
      </c>
      <c r="K4" s="512">
        <v>8</v>
      </c>
      <c r="L4" s="512">
        <v>8</v>
      </c>
      <c r="M4" s="512">
        <v>9</v>
      </c>
      <c r="N4" s="512">
        <v>9</v>
      </c>
      <c r="O4" s="512">
        <v>6</v>
      </c>
      <c r="P4" s="512">
        <v>10</v>
      </c>
      <c r="Q4" s="512">
        <v>9</v>
      </c>
      <c r="R4" s="512">
        <v>7</v>
      </c>
      <c r="S4" s="462">
        <v>302.73809523809518</v>
      </c>
      <c r="T4" s="463">
        <v>12.109523809523807</v>
      </c>
      <c r="U4" s="512">
        <v>17</v>
      </c>
      <c r="V4" s="512">
        <v>12</v>
      </c>
      <c r="W4" s="512">
        <v>12</v>
      </c>
      <c r="X4" s="512">
        <v>10</v>
      </c>
      <c r="Y4" s="512">
        <v>8</v>
      </c>
      <c r="Z4" s="512">
        <v>15</v>
      </c>
      <c r="AA4" s="512">
        <v>12</v>
      </c>
      <c r="AB4" s="512">
        <v>13</v>
      </c>
      <c r="AC4" s="512">
        <v>17</v>
      </c>
      <c r="AD4" s="512">
        <v>13</v>
      </c>
      <c r="AE4" s="462">
        <v>401.28174603174608</v>
      </c>
      <c r="AF4" s="463">
        <v>16.051269841269843</v>
      </c>
      <c r="AG4" s="463">
        <v>4.5199999999999996</v>
      </c>
      <c r="AH4" s="823">
        <v>39.188694874758845</v>
      </c>
      <c r="AI4" s="512">
        <v>69</v>
      </c>
      <c r="AJ4" s="512">
        <v>33</v>
      </c>
      <c r="AK4" s="512">
        <v>14</v>
      </c>
      <c r="AL4" s="512">
        <v>5</v>
      </c>
      <c r="AN4" s="512">
        <v>46</v>
      </c>
      <c r="AO4" s="512">
        <v>23</v>
      </c>
      <c r="AP4" s="512">
        <v>12</v>
      </c>
      <c r="AQ4" s="512">
        <v>6</v>
      </c>
      <c r="AR4" s="512">
        <v>2</v>
      </c>
      <c r="AS4" s="512">
        <v>2</v>
      </c>
      <c r="AX4" s="33">
        <v>0.87153941948462499</v>
      </c>
      <c r="AY4" s="33">
        <v>0.78555726533304027</v>
      </c>
      <c r="AZ4" s="463">
        <v>7.3628318584070795</v>
      </c>
      <c r="BA4" s="463">
        <v>8.2035398230088497</v>
      </c>
      <c r="BB4" s="463">
        <v>208.3158185840708</v>
      </c>
      <c r="BC4" s="34">
        <v>8.1303384116962398</v>
      </c>
      <c r="BD4" s="460">
        <v>25.548328101714301</v>
      </c>
      <c r="BE4" s="458">
        <v>0.303614905677911</v>
      </c>
      <c r="BF4" s="464">
        <v>704.01984126984121</v>
      </c>
      <c r="BG4" s="460">
        <v>28.16079365079365</v>
      </c>
    </row>
    <row r="5" spans="1:59" x14ac:dyDescent="0.25">
      <c r="A5" s="457">
        <v>43831</v>
      </c>
      <c r="B5" s="838">
        <v>24.818055555555553</v>
      </c>
      <c r="C5" s="461">
        <v>56.944444444444443</v>
      </c>
      <c r="D5" s="835">
        <v>2.294476467625497</v>
      </c>
      <c r="E5" s="840">
        <v>2.9402876490010637</v>
      </c>
      <c r="F5" s="841">
        <v>3.4081369970339699</v>
      </c>
      <c r="G5" s="459">
        <v>20</v>
      </c>
      <c r="H5" s="459">
        <v>36</v>
      </c>
      <c r="I5" s="512">
        <v>2</v>
      </c>
      <c r="J5" s="512">
        <v>2</v>
      </c>
      <c r="K5" s="512">
        <v>2</v>
      </c>
      <c r="L5" s="512">
        <v>5</v>
      </c>
      <c r="M5" s="512">
        <v>2</v>
      </c>
      <c r="N5" s="512">
        <v>3</v>
      </c>
      <c r="O5" s="512">
        <v>2</v>
      </c>
      <c r="P5" s="512">
        <v>4</v>
      </c>
      <c r="Q5" s="512">
        <v>3</v>
      </c>
      <c r="R5" s="512">
        <v>2</v>
      </c>
      <c r="S5" s="462">
        <v>71.357142857142847</v>
      </c>
      <c r="T5" s="463">
        <v>3.5678571428571422</v>
      </c>
      <c r="U5" s="512">
        <v>2</v>
      </c>
      <c r="V5" s="512">
        <v>1</v>
      </c>
      <c r="W5" s="512">
        <v>1</v>
      </c>
      <c r="X5" s="512">
        <v>6</v>
      </c>
      <c r="Y5" s="512">
        <v>3</v>
      </c>
      <c r="Z5" s="512">
        <v>7</v>
      </c>
      <c r="AA5" s="512">
        <v>1</v>
      </c>
      <c r="AB5" s="512">
        <v>4</v>
      </c>
      <c r="AC5" s="512">
        <v>6</v>
      </c>
      <c r="AD5" s="512">
        <v>6</v>
      </c>
      <c r="AE5" s="462">
        <v>80.095238095238088</v>
      </c>
      <c r="AF5" s="463">
        <v>4.0047619047619047</v>
      </c>
      <c r="AG5" s="463">
        <v>1.8</v>
      </c>
      <c r="AH5" s="827">
        <v>37.248158647590358</v>
      </c>
      <c r="AI5" s="512">
        <v>11</v>
      </c>
      <c r="AJ5" s="512">
        <v>5</v>
      </c>
      <c r="AK5" s="512">
        <v>1</v>
      </c>
      <c r="AN5" s="512">
        <v>14</v>
      </c>
      <c r="AO5" s="512">
        <v>4</v>
      </c>
      <c r="AS5" s="512">
        <v>1</v>
      </c>
      <c r="AT5" s="512">
        <v>1</v>
      </c>
      <c r="AX5" s="33">
        <v>0.86272577996715927</v>
      </c>
      <c r="AY5" s="33">
        <v>0.78035782261134379</v>
      </c>
      <c r="AZ5" s="463">
        <v>7.2222222222222223</v>
      </c>
      <c r="BA5" s="463">
        <v>8.5833333333333339</v>
      </c>
      <c r="BB5" s="463">
        <v>199.97916666666666</v>
      </c>
      <c r="BC5" s="34">
        <v>8.0578096144160281</v>
      </c>
      <c r="BD5" s="460">
        <v>23.692278087269472</v>
      </c>
      <c r="BE5" s="458">
        <v>0.28475188387679273</v>
      </c>
      <c r="BF5" s="464">
        <v>151.45238095238093</v>
      </c>
      <c r="BG5" s="460">
        <v>7.5726190476190469</v>
      </c>
    </row>
    <row r="6" spans="1:59" x14ac:dyDescent="0.25">
      <c r="A6" s="457">
        <v>43862</v>
      </c>
      <c r="B6" s="838">
        <v>25.071249999999996</v>
      </c>
      <c r="C6" s="461">
        <v>61.1</v>
      </c>
      <c r="D6" s="835">
        <v>2.4370543949743237</v>
      </c>
      <c r="E6" s="836">
        <v>3.0592810490103211</v>
      </c>
      <c r="F6" s="841">
        <v>3.4960362965548195</v>
      </c>
      <c r="G6" s="459">
        <v>15</v>
      </c>
      <c r="H6" s="459">
        <v>40</v>
      </c>
      <c r="I6" s="512">
        <v>6</v>
      </c>
      <c r="J6" s="512">
        <v>7</v>
      </c>
      <c r="K6" s="512">
        <v>5</v>
      </c>
      <c r="L6" s="512">
        <v>3</v>
      </c>
      <c r="M6" s="512">
        <v>1</v>
      </c>
      <c r="N6" s="512">
        <v>4</v>
      </c>
      <c r="O6" s="512">
        <v>3</v>
      </c>
      <c r="Q6" s="512">
        <v>3</v>
      </c>
      <c r="S6" s="462">
        <v>135.45238095238096</v>
      </c>
      <c r="T6" s="463">
        <v>9.0301587301587301</v>
      </c>
      <c r="U6" s="512">
        <v>1</v>
      </c>
      <c r="V6" s="512">
        <v>12</v>
      </c>
      <c r="W6" s="512">
        <v>5</v>
      </c>
      <c r="X6" s="512">
        <v>7</v>
      </c>
      <c r="Y6" s="512">
        <v>4</v>
      </c>
      <c r="Z6" s="512">
        <v>2</v>
      </c>
      <c r="AA6" s="512">
        <v>11</v>
      </c>
      <c r="AB6" s="512">
        <v>3</v>
      </c>
      <c r="AC6" s="512">
        <v>5</v>
      </c>
      <c r="AD6" s="512">
        <v>2</v>
      </c>
      <c r="AE6" s="462">
        <v>142.51984126984127</v>
      </c>
      <c r="AF6" s="463">
        <v>9.5013227513227516</v>
      </c>
      <c r="AG6" s="463">
        <v>2.6666666666666665</v>
      </c>
      <c r="AH6" s="823">
        <v>39.282639248031998</v>
      </c>
      <c r="AI6" s="512">
        <v>23</v>
      </c>
      <c r="AJ6" s="512">
        <v>16</v>
      </c>
      <c r="AK6" s="512">
        <v>7</v>
      </c>
      <c r="AN6" s="512">
        <v>18</v>
      </c>
      <c r="AO6" s="512">
        <v>9</v>
      </c>
      <c r="AP6" s="512">
        <v>5</v>
      </c>
      <c r="AX6" s="33">
        <v>0.87507130633200225</v>
      </c>
      <c r="AY6" s="33">
        <v>0.79661016949152552</v>
      </c>
      <c r="AZ6" s="463">
        <v>7.05</v>
      </c>
      <c r="BA6" s="463">
        <v>8.5250000000000004</v>
      </c>
      <c r="BB6" s="463">
        <v>205.61406249999999</v>
      </c>
      <c r="BC6" s="34">
        <v>8.2011891110335569</v>
      </c>
      <c r="BD6" s="460">
        <v>25.089742426734762</v>
      </c>
      <c r="BE6" s="458">
        <v>0.29715866345474307</v>
      </c>
      <c r="BF6" s="464">
        <v>277.97222222222223</v>
      </c>
      <c r="BG6" s="460">
        <v>18.531481481481482</v>
      </c>
    </row>
    <row r="7" spans="1:59" x14ac:dyDescent="0.25">
      <c r="A7" s="457">
        <v>43891</v>
      </c>
      <c r="B7" s="838">
        <v>25.703214285714285</v>
      </c>
      <c r="C7" s="461">
        <v>66</v>
      </c>
      <c r="D7" s="842">
        <v>2.5677722352679626</v>
      </c>
      <c r="E7" s="841">
        <v>3.2500104211535525</v>
      </c>
      <c r="F7" s="837">
        <v>3.6640775889619146</v>
      </c>
      <c r="G7" s="459">
        <v>26</v>
      </c>
      <c r="H7" s="459">
        <v>28</v>
      </c>
      <c r="I7" s="512">
        <v>6</v>
      </c>
      <c r="J7" s="512">
        <v>3</v>
      </c>
      <c r="K7" s="512">
        <v>2</v>
      </c>
      <c r="L7" s="512">
        <v>3</v>
      </c>
      <c r="M7" s="512">
        <v>1</v>
      </c>
      <c r="N7" s="512">
        <v>2</v>
      </c>
      <c r="O7" s="512">
        <v>3</v>
      </c>
      <c r="P7" s="512">
        <v>1</v>
      </c>
      <c r="Q7" s="512">
        <v>1</v>
      </c>
      <c r="S7" s="462">
        <v>101.14682539682541</v>
      </c>
      <c r="T7" s="463">
        <v>3.8902625152625157</v>
      </c>
      <c r="U7" s="512">
        <v>5</v>
      </c>
      <c r="V7" s="512">
        <v>2</v>
      </c>
      <c r="W7" s="512">
        <v>5</v>
      </c>
      <c r="X7" s="512">
        <v>3</v>
      </c>
      <c r="Y7" s="512">
        <v>3</v>
      </c>
      <c r="Z7" s="512">
        <v>6</v>
      </c>
      <c r="AB7" s="512">
        <v>5</v>
      </c>
      <c r="AC7" s="512">
        <v>3</v>
      </c>
      <c r="AD7" s="512">
        <v>2</v>
      </c>
      <c r="AE7" s="462">
        <v>111.75</v>
      </c>
      <c r="AF7" s="463">
        <v>4.2980769230769234</v>
      </c>
      <c r="AG7" s="463">
        <v>1.0769230769230769</v>
      </c>
      <c r="AH7" s="823">
        <v>40.674658932914312</v>
      </c>
      <c r="AI7" s="512">
        <v>18</v>
      </c>
      <c r="AJ7" s="512">
        <v>10</v>
      </c>
      <c r="AK7" s="512">
        <v>6</v>
      </c>
      <c r="AL7" s="512">
        <v>2</v>
      </c>
      <c r="AM7" s="512">
        <v>1</v>
      </c>
      <c r="AN7" s="512">
        <v>16</v>
      </c>
      <c r="AO7" s="512">
        <v>7</v>
      </c>
      <c r="AP7" s="512">
        <v>3</v>
      </c>
      <c r="AQ7" s="512">
        <v>1</v>
      </c>
      <c r="AX7" s="33">
        <v>0.88699279484262417</v>
      </c>
      <c r="AY7" s="33">
        <v>0.79008123129542529</v>
      </c>
      <c r="AZ7" s="463">
        <v>7.1785714285714288</v>
      </c>
      <c r="BA7" s="463">
        <v>8.0357142857142865</v>
      </c>
      <c r="BB7" s="463">
        <v>208.59375</v>
      </c>
      <c r="BC7" s="34">
        <v>8.1154733287943426</v>
      </c>
      <c r="BD7" s="460">
        <v>26.375372891175324</v>
      </c>
      <c r="BE7" s="458">
        <v>0.31640449438202245</v>
      </c>
      <c r="BF7" s="464">
        <v>212.89682539682542</v>
      </c>
      <c r="BG7" s="460">
        <v>8.1883394383394386</v>
      </c>
    </row>
    <row r="8" spans="1:59" x14ac:dyDescent="0.25">
      <c r="A8" s="457">
        <v>43922</v>
      </c>
      <c r="B8" s="966">
        <v>30.334390243902433</v>
      </c>
      <c r="C8" s="461">
        <v>60.170731707317074</v>
      </c>
      <c r="D8" s="843">
        <v>1.9835813815117675</v>
      </c>
      <c r="E8" s="842">
        <v>2.5110355307909402</v>
      </c>
      <c r="F8" s="840">
        <v>2.8165729953124123</v>
      </c>
      <c r="G8" s="459">
        <v>21</v>
      </c>
      <c r="H8" s="459">
        <v>41</v>
      </c>
      <c r="I8" s="512">
        <v>4</v>
      </c>
      <c r="J8" s="512">
        <v>6</v>
      </c>
      <c r="K8" s="512">
        <v>6</v>
      </c>
      <c r="L8" s="512">
        <v>4</v>
      </c>
      <c r="M8" s="512">
        <v>4</v>
      </c>
      <c r="N8" s="512">
        <v>3</v>
      </c>
      <c r="P8" s="512">
        <v>1</v>
      </c>
      <c r="R8" s="512">
        <v>1</v>
      </c>
      <c r="S8" s="462">
        <v>115.25</v>
      </c>
      <c r="T8" s="463">
        <v>5.4880952380952381</v>
      </c>
      <c r="U8" s="512">
        <v>4</v>
      </c>
      <c r="V8" s="512">
        <v>4</v>
      </c>
      <c r="W8" s="512">
        <v>6</v>
      </c>
      <c r="X8" s="512">
        <v>7</v>
      </c>
      <c r="Y8" s="512">
        <v>11</v>
      </c>
      <c r="Z8" s="512">
        <v>6</v>
      </c>
      <c r="AA8" s="512">
        <v>8</v>
      </c>
      <c r="AB8" s="512">
        <v>5</v>
      </c>
      <c r="AC8" s="512">
        <v>3</v>
      </c>
      <c r="AD8" s="512">
        <v>6</v>
      </c>
      <c r="AE8" s="462">
        <v>156.51190476190476</v>
      </c>
      <c r="AF8" s="463">
        <v>7.4529478458049887</v>
      </c>
      <c r="AG8" s="463">
        <v>1.9523809523809523</v>
      </c>
      <c r="AH8" s="827">
        <v>27.980402768054343</v>
      </c>
      <c r="AI8" s="512">
        <v>23</v>
      </c>
      <c r="AJ8" s="512">
        <v>12</v>
      </c>
      <c r="AK8" s="512">
        <v>4</v>
      </c>
      <c r="AL8" s="512">
        <v>2</v>
      </c>
      <c r="AN8" s="512">
        <v>22</v>
      </c>
      <c r="AO8" s="512">
        <v>12</v>
      </c>
      <c r="AP8" s="512">
        <v>3</v>
      </c>
      <c r="AQ8" s="512">
        <v>1</v>
      </c>
      <c r="AR8" s="512">
        <v>1</v>
      </c>
      <c r="AS8" s="512">
        <v>1</v>
      </c>
      <c r="AT8" s="512">
        <v>1</v>
      </c>
      <c r="AU8" s="512">
        <v>1</v>
      </c>
      <c r="AV8" s="512">
        <v>1</v>
      </c>
      <c r="AX8" s="33">
        <v>0.89152155295461033</v>
      </c>
      <c r="AY8" s="33">
        <v>0.78994556516170356</v>
      </c>
      <c r="AZ8" s="463">
        <v>7.6097560975609753</v>
      </c>
      <c r="BA8" s="463">
        <v>8.1951219512195124</v>
      </c>
      <c r="BB8" s="463">
        <v>199.40243902439025</v>
      </c>
      <c r="BC8" s="34">
        <v>6.5734777399876183</v>
      </c>
      <c r="BD8" s="460">
        <v>16.50623616597224</v>
      </c>
      <c r="BE8" s="458">
        <v>0.30175524432756407</v>
      </c>
      <c r="BF8" s="464">
        <v>271.76190476190476</v>
      </c>
      <c r="BG8" s="460">
        <v>12.941043083900226</v>
      </c>
    </row>
    <row r="9" spans="1:59" x14ac:dyDescent="0.25">
      <c r="A9" s="457">
        <v>43952</v>
      </c>
      <c r="B9" s="843">
        <v>23.151250000000001</v>
      </c>
      <c r="C9" s="461">
        <v>61.375</v>
      </c>
      <c r="D9" s="842">
        <v>2.6510447600021596</v>
      </c>
      <c r="E9" s="836">
        <v>3.2341666216726956</v>
      </c>
      <c r="F9" s="837">
        <v>3.6823065709194966</v>
      </c>
      <c r="G9" s="459">
        <v>15</v>
      </c>
      <c r="H9" s="459">
        <v>8</v>
      </c>
      <c r="I9" s="512">
        <v>3</v>
      </c>
      <c r="J9" s="512">
        <v>1</v>
      </c>
      <c r="L9" s="512">
        <v>1</v>
      </c>
      <c r="M9" s="512">
        <v>3</v>
      </c>
      <c r="S9" s="462">
        <v>43.5</v>
      </c>
      <c r="T9" s="463">
        <v>2.9</v>
      </c>
      <c r="U9" s="512">
        <v>4</v>
      </c>
      <c r="V9" s="512">
        <v>1</v>
      </c>
      <c r="W9" s="512">
        <v>3</v>
      </c>
      <c r="X9" s="512">
        <v>1</v>
      </c>
      <c r="Y9" s="512">
        <v>2</v>
      </c>
      <c r="Z9" s="512">
        <v>3</v>
      </c>
      <c r="AA9" s="512">
        <v>3</v>
      </c>
      <c r="AC9" s="512">
        <v>1</v>
      </c>
      <c r="AE9" s="462">
        <v>71.896825396825406</v>
      </c>
      <c r="AF9" s="463">
        <v>4.7931216931216936</v>
      </c>
      <c r="AG9" s="463">
        <v>0.53333333333333333</v>
      </c>
      <c r="AH9" s="823">
        <v>45.182845296297302</v>
      </c>
      <c r="AI9" s="512">
        <v>7</v>
      </c>
      <c r="AJ9" s="512">
        <v>4</v>
      </c>
      <c r="AK9" s="512">
        <v>2</v>
      </c>
      <c r="AL9" s="512">
        <v>1</v>
      </c>
      <c r="AN9" s="512">
        <v>7</v>
      </c>
      <c r="AO9" s="512">
        <v>6</v>
      </c>
      <c r="AP9" s="512">
        <v>2</v>
      </c>
      <c r="AQ9" s="512">
        <v>1</v>
      </c>
      <c r="AS9" s="512">
        <v>1</v>
      </c>
      <c r="AT9" s="512">
        <v>1</v>
      </c>
      <c r="AX9" s="33">
        <v>0.8782991202346041</v>
      </c>
      <c r="AY9" s="33">
        <v>0.81969949916527551</v>
      </c>
      <c r="AZ9" s="463">
        <v>7</v>
      </c>
      <c r="BA9" s="463">
        <v>7.125</v>
      </c>
      <c r="BB9" s="463">
        <v>210.6171875</v>
      </c>
      <c r="BC9" s="34">
        <v>9.0974434425786939</v>
      </c>
      <c r="BD9" s="460">
        <v>29.422647924543153</v>
      </c>
      <c r="BE9" s="458">
        <v>0.2914054675618532</v>
      </c>
      <c r="BF9" s="464">
        <v>115.39682539682541</v>
      </c>
      <c r="BG9" s="460">
        <v>7.693121693121693</v>
      </c>
    </row>
    <row r="10" spans="1:59" x14ac:dyDescent="0.25">
      <c r="A10" s="457">
        <v>43983</v>
      </c>
      <c r="B10" s="838">
        <v>24.204999999999998</v>
      </c>
      <c r="C10" s="461">
        <v>57.625</v>
      </c>
      <c r="D10" s="835">
        <v>2.3807064656062797</v>
      </c>
      <c r="E10" s="836">
        <v>3.2328031398471393</v>
      </c>
      <c r="F10" s="844">
        <v>3.7905391448047925</v>
      </c>
      <c r="G10" s="459">
        <v>15</v>
      </c>
      <c r="H10" s="459">
        <v>8</v>
      </c>
      <c r="I10" s="512">
        <v>1</v>
      </c>
      <c r="K10" s="512">
        <v>1</v>
      </c>
      <c r="L10" s="512">
        <v>1</v>
      </c>
      <c r="M10" s="512">
        <v>2</v>
      </c>
      <c r="N10" s="512">
        <v>1</v>
      </c>
      <c r="S10" s="462">
        <v>21.500000000000004</v>
      </c>
      <c r="T10" s="463">
        <v>1.4333333333333336</v>
      </c>
      <c r="V10" s="512">
        <v>3</v>
      </c>
      <c r="W10" s="512">
        <v>1</v>
      </c>
      <c r="Y10" s="512">
        <v>1</v>
      </c>
      <c r="Z10" s="512">
        <v>2</v>
      </c>
      <c r="AC10" s="512">
        <v>1</v>
      </c>
      <c r="AE10" s="462">
        <v>24.777777777777775</v>
      </c>
      <c r="AF10" s="463">
        <v>1.6518518518518517</v>
      </c>
      <c r="AG10" s="463">
        <v>0.53333333333333333</v>
      </c>
      <c r="AH10" s="823">
        <v>39.330631331477157</v>
      </c>
      <c r="AI10" s="512">
        <v>3</v>
      </c>
      <c r="AJ10" s="512">
        <v>1</v>
      </c>
      <c r="AK10" s="512">
        <v>1</v>
      </c>
      <c r="AN10" s="512">
        <v>4</v>
      </c>
      <c r="AO10" s="512">
        <v>1</v>
      </c>
      <c r="AX10" s="33">
        <v>0.85286103542234337</v>
      </c>
      <c r="AY10" s="33">
        <v>0.73642172523961658</v>
      </c>
      <c r="AZ10" s="463">
        <v>8</v>
      </c>
      <c r="BA10" s="463">
        <v>9.25</v>
      </c>
      <c r="BB10" s="463">
        <v>207.15625</v>
      </c>
      <c r="BC10" s="34">
        <v>8.5584073538525107</v>
      </c>
      <c r="BD10" s="460">
        <v>27.667646165625243</v>
      </c>
      <c r="BE10" s="458">
        <v>0.27817166993513348</v>
      </c>
      <c r="BF10" s="464">
        <v>46.277777777777779</v>
      </c>
      <c r="BG10" s="460">
        <v>3.0851851851851855</v>
      </c>
    </row>
    <row r="13" spans="1:59" x14ac:dyDescent="0.25">
      <c r="A13" s="457">
        <v>44075</v>
      </c>
      <c r="B13" s="843">
        <v>23.154</v>
      </c>
      <c r="C13" s="461">
        <v>59.7</v>
      </c>
      <c r="D13" s="842">
        <v>2.5783881834672195</v>
      </c>
      <c r="E13" s="841">
        <v>3.338516023149348</v>
      </c>
      <c r="F13" s="844">
        <v>3.8654228211108235</v>
      </c>
      <c r="G13" s="459">
        <v>16</v>
      </c>
      <c r="H13" s="459">
        <v>10</v>
      </c>
      <c r="I13" s="512">
        <v>3</v>
      </c>
      <c r="J13" s="512">
        <v>3</v>
      </c>
      <c r="K13" s="512">
        <v>1</v>
      </c>
      <c r="O13" s="512">
        <v>3</v>
      </c>
      <c r="S13" s="462">
        <v>52.61904761904762</v>
      </c>
      <c r="T13" s="463">
        <v>3.2886904761904763</v>
      </c>
      <c r="U13" s="512">
        <v>5</v>
      </c>
      <c r="V13" s="512">
        <v>3</v>
      </c>
      <c r="W13" s="512">
        <v>3</v>
      </c>
      <c r="X13" s="512">
        <v>2</v>
      </c>
      <c r="Y13" s="512">
        <v>4</v>
      </c>
      <c r="Z13" s="512">
        <v>1</v>
      </c>
      <c r="AB13" s="512">
        <v>1</v>
      </c>
      <c r="AC13" s="512">
        <v>2</v>
      </c>
      <c r="AE13" s="462">
        <v>93.1388888888889</v>
      </c>
      <c r="AF13" s="463">
        <v>5.8211805555555562</v>
      </c>
      <c r="AG13" s="463">
        <v>0.625</v>
      </c>
      <c r="AH13" s="823">
        <v>43.940875835510489</v>
      </c>
      <c r="AI13" s="512">
        <v>8</v>
      </c>
      <c r="AJ13" s="512">
        <v>6</v>
      </c>
      <c r="AK13" s="512">
        <v>3</v>
      </c>
      <c r="AN13" s="512">
        <v>8</v>
      </c>
      <c r="AO13" s="512">
        <v>6</v>
      </c>
      <c r="AP13" s="512">
        <v>4</v>
      </c>
      <c r="AQ13" s="512">
        <v>1</v>
      </c>
      <c r="AS13" s="512">
        <v>1</v>
      </c>
      <c r="AX13" s="33">
        <v>0.86368715083798886</v>
      </c>
      <c r="AY13" s="33">
        <v>0.77231565329883567</v>
      </c>
      <c r="AZ13" s="463">
        <v>7.3</v>
      </c>
      <c r="BA13" s="463">
        <v>8.4</v>
      </c>
      <c r="BB13" s="463">
        <v>208.75624999999999</v>
      </c>
      <c r="BC13" s="34">
        <v>9.0159907575364944</v>
      </c>
      <c r="BD13" s="460">
        <v>30.100029608602014</v>
      </c>
      <c r="BE13" s="458">
        <v>0.28597946169276373</v>
      </c>
      <c r="BF13" s="464">
        <v>145.75793650793651</v>
      </c>
      <c r="BG13" s="460">
        <v>9.1098710317460316</v>
      </c>
    </row>
    <row r="14" spans="1:59" x14ac:dyDescent="0.25">
      <c r="A14" s="457">
        <v>44105</v>
      </c>
      <c r="B14" s="838">
        <v>24.967333333333336</v>
      </c>
      <c r="C14" s="461">
        <v>61.283333333333331</v>
      </c>
      <c r="D14" s="835">
        <v>2.4545405997169634</v>
      </c>
      <c r="E14" s="840">
        <v>2.9665429494539528</v>
      </c>
      <c r="F14" s="841">
        <v>3.4404955808923656</v>
      </c>
      <c r="G14" s="459">
        <v>12</v>
      </c>
      <c r="H14" s="459">
        <v>60</v>
      </c>
      <c r="I14" s="512">
        <v>8</v>
      </c>
      <c r="J14" s="512">
        <v>9</v>
      </c>
      <c r="K14" s="512">
        <v>5</v>
      </c>
      <c r="L14" s="512">
        <v>3</v>
      </c>
      <c r="M14" s="512">
        <v>4</v>
      </c>
      <c r="N14" s="512">
        <v>6</v>
      </c>
      <c r="O14" s="512">
        <v>2</v>
      </c>
      <c r="P14" s="512">
        <v>2</v>
      </c>
      <c r="R14" s="512">
        <v>8</v>
      </c>
      <c r="S14" s="462">
        <v>180.52380952380952</v>
      </c>
      <c r="T14" s="463">
        <v>15.043650793650793</v>
      </c>
      <c r="U14" s="512">
        <v>8</v>
      </c>
      <c r="V14" s="512">
        <v>7</v>
      </c>
      <c r="W14" s="512">
        <v>9</v>
      </c>
      <c r="X14" s="512">
        <v>9</v>
      </c>
      <c r="Y14" s="512">
        <v>8</v>
      </c>
      <c r="Z14" s="512">
        <v>4</v>
      </c>
      <c r="AA14" s="512">
        <v>8</v>
      </c>
      <c r="AB14" s="512">
        <v>7</v>
      </c>
      <c r="AC14" s="512">
        <v>5</v>
      </c>
      <c r="AD14" s="512">
        <v>11</v>
      </c>
      <c r="AE14" s="462">
        <v>226.90079365079362</v>
      </c>
      <c r="AF14" s="463">
        <v>18.908399470899468</v>
      </c>
      <c r="AG14" s="463">
        <v>5</v>
      </c>
      <c r="AH14" s="823">
        <v>39.67969594050583</v>
      </c>
      <c r="AI14" s="512">
        <v>33</v>
      </c>
      <c r="AJ14" s="512">
        <v>15</v>
      </c>
      <c r="AK14" s="512">
        <v>8</v>
      </c>
      <c r="AL14" s="512">
        <v>2</v>
      </c>
      <c r="AM14" s="512">
        <v>1</v>
      </c>
      <c r="AN14" s="512">
        <v>25</v>
      </c>
      <c r="AO14" s="512">
        <v>16</v>
      </c>
      <c r="AP14" s="512">
        <v>5</v>
      </c>
      <c r="AQ14" s="512">
        <v>1</v>
      </c>
      <c r="AS14" s="512">
        <v>1</v>
      </c>
      <c r="AX14" s="33">
        <v>0.86224291812184706</v>
      </c>
      <c r="AY14" s="33">
        <v>0.82740774077407742</v>
      </c>
      <c r="AZ14" s="463">
        <v>7.6166666666666663</v>
      </c>
      <c r="BA14" s="463">
        <v>9.0666666666666664</v>
      </c>
      <c r="BB14" s="463">
        <v>193.58750000000001</v>
      </c>
      <c r="BC14" s="34">
        <v>7.7536314117113019</v>
      </c>
      <c r="BD14" s="460">
        <v>23.00148059707686</v>
      </c>
      <c r="BE14" s="458">
        <v>0.31656658272529647</v>
      </c>
      <c r="BF14" s="464">
        <v>407.42460317460313</v>
      </c>
      <c r="BG14" s="460">
        <v>33.952050264550259</v>
      </c>
    </row>
    <row r="16" spans="1:59" x14ac:dyDescent="0.25">
      <c r="A16" s="457">
        <v>44166</v>
      </c>
      <c r="B16" s="838">
        <v>24.908125000000005</v>
      </c>
      <c r="C16" s="461">
        <v>66.875</v>
      </c>
      <c r="D16" s="842">
        <v>2.6848668858053339</v>
      </c>
      <c r="E16" s="836">
        <v>3.0487039871527859</v>
      </c>
      <c r="F16" s="841">
        <v>3.402504202945825</v>
      </c>
      <c r="G16" s="459">
        <v>3</v>
      </c>
      <c r="H16" s="459">
        <v>16</v>
      </c>
      <c r="I16" s="512">
        <v>3</v>
      </c>
      <c r="J16" s="512">
        <v>2</v>
      </c>
      <c r="K16" s="512">
        <v>3</v>
      </c>
      <c r="M16" s="512">
        <v>2</v>
      </c>
      <c r="O16" s="512">
        <v>3</v>
      </c>
      <c r="P16" s="512">
        <v>2</v>
      </c>
      <c r="S16" s="462">
        <v>60.785714285714285</v>
      </c>
      <c r="T16" s="463">
        <v>20.261904761904763</v>
      </c>
      <c r="U16" s="512">
        <v>3</v>
      </c>
      <c r="V16" s="512">
        <v>4</v>
      </c>
      <c r="W16" s="512">
        <v>3</v>
      </c>
      <c r="X16" s="512">
        <v>5</v>
      </c>
      <c r="Y16" s="512">
        <v>4</v>
      </c>
      <c r="Z16" s="512">
        <v>1</v>
      </c>
      <c r="AA16" s="512">
        <v>4</v>
      </c>
      <c r="AB16" s="512">
        <v>2</v>
      </c>
      <c r="AC16" s="512">
        <v>2</v>
      </c>
      <c r="AD16" s="512">
        <v>1</v>
      </c>
      <c r="AE16" s="462">
        <v>93.603174603174608</v>
      </c>
      <c r="AF16" s="463">
        <v>31.201058201058203</v>
      </c>
      <c r="AG16" s="463">
        <v>5.333333333333333</v>
      </c>
      <c r="AH16" s="823">
        <v>43.475307265380735</v>
      </c>
      <c r="AI16" s="512">
        <v>13</v>
      </c>
      <c r="AJ16" s="512">
        <v>11</v>
      </c>
      <c r="AK16" s="512">
        <v>6</v>
      </c>
      <c r="AL16" s="512">
        <v>1</v>
      </c>
      <c r="AN16" s="512">
        <v>11</v>
      </c>
      <c r="AO16" s="512">
        <v>8</v>
      </c>
      <c r="AP16" s="512">
        <v>3</v>
      </c>
      <c r="AQ16" s="512">
        <v>1</v>
      </c>
      <c r="AS16" s="512">
        <v>1</v>
      </c>
      <c r="AT16" s="512">
        <v>1</v>
      </c>
      <c r="AU16" s="512">
        <v>1</v>
      </c>
      <c r="AV16" s="512">
        <v>1</v>
      </c>
      <c r="AW16" s="512">
        <v>1</v>
      </c>
      <c r="AX16" s="33">
        <v>0.89601769911504436</v>
      </c>
      <c r="AY16" s="33">
        <v>0.88065843621399176</v>
      </c>
      <c r="AZ16" s="463">
        <v>7.125</v>
      </c>
      <c r="BA16" s="463">
        <v>7.3125</v>
      </c>
      <c r="BB16" s="463">
        <v>194.44140625</v>
      </c>
      <c r="BC16" s="34">
        <v>7.8063445662810809</v>
      </c>
      <c r="BD16" s="460">
        <v>23.799233804309615</v>
      </c>
      <c r="BE16" s="458">
        <v>0.34393394539646827</v>
      </c>
      <c r="BF16" s="464">
        <v>154.38888888888889</v>
      </c>
      <c r="BG16" s="460">
        <v>51.462962962962962</v>
      </c>
    </row>
  </sheetData>
  <phoneticPr fontId="1" type="noConversion"/>
  <conditionalFormatting sqref="S1:S104857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{B7E082B2-5CB6-4552-BFF5-406AA55319AA}</x14:id>
        </ext>
      </extLst>
    </cfRule>
  </conditionalFormatting>
  <conditionalFormatting sqref="T1:T104857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{26688C96-F5BA-4C19-8AB5-F84CBD1EBE16}</x14:id>
        </ext>
      </extLst>
    </cfRule>
  </conditionalFormatting>
  <conditionalFormatting sqref="AE1:AE10485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{77D4438F-219D-4AC4-B1F2-B4A602F982D6}</x14:id>
        </ext>
      </extLst>
    </cfRule>
  </conditionalFormatting>
  <conditionalFormatting sqref="AF1:AF10485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{E109B7A1-0106-4F5C-8152-A32783413FF3}</x14:id>
        </ext>
      </extLst>
    </cfRule>
  </conditionalFormatting>
  <conditionalFormatting sqref="AG1:AG104857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{84E5864B-047F-427A-9D2E-8E8C9DA4360C}</x14:id>
        </ext>
      </extLst>
    </cfRule>
  </conditionalFormatting>
  <conditionalFormatting sqref="AX1:AY1048576">
    <cfRule type="expression" dxfId="309" priority="54">
      <formula>AX1&gt;=31/32</formula>
    </cfRule>
    <cfRule type="expression" dxfId="308" priority="55">
      <formula>AX1&gt;=30/32</formula>
    </cfRule>
    <cfRule type="expression" dxfId="307" priority="56">
      <formula>AX1&gt;=29/32</formula>
    </cfRule>
    <cfRule type="expression" dxfId="306" priority="57">
      <formula>AX1&gt;=28/32</formula>
    </cfRule>
    <cfRule type="expression" dxfId="305" priority="58">
      <formula>AX1&gt;=27/32</formula>
    </cfRule>
    <cfRule type="expression" dxfId="304" priority="59">
      <formula>AX1&gt;=26/32</formula>
    </cfRule>
    <cfRule type="expression" dxfId="303" priority="60">
      <formula>AX1&gt;=25/32</formula>
    </cfRule>
    <cfRule type="expression" dxfId="302" priority="61">
      <formula>AX1&gt;=24/32</formula>
    </cfRule>
    <cfRule type="expression" dxfId="301" priority="62">
      <formula>AX1&gt;=23/32</formula>
    </cfRule>
    <cfRule type="expression" dxfId="300" priority="63">
      <formula>AX1&gt;=22/32</formula>
    </cfRule>
    <cfRule type="expression" dxfId="299" priority="64">
      <formula>AX1&gt;=21/32</formula>
    </cfRule>
    <cfRule type="expression" dxfId="298" priority="65">
      <formula>AX1&gt;=20/32</formula>
    </cfRule>
    <cfRule type="expression" dxfId="297" priority="66">
      <formula>AX1&gt;=19/32</formula>
    </cfRule>
    <cfRule type="expression" dxfId="296" priority="67">
      <formula>AX1&gt;=0</formula>
    </cfRule>
  </conditionalFormatting>
  <conditionalFormatting sqref="H1:H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{6BE235BC-EB18-43AD-8997-6E26D14CC5DC}</x14:id>
        </ext>
      </extLst>
    </cfRule>
  </conditionalFormatting>
  <conditionalFormatting sqref="BC1:BC1048576">
    <cfRule type="expression" dxfId="295" priority="29">
      <formula>BC1&gt;=7.5*3</formula>
    </cfRule>
    <cfRule type="expression" dxfId="294" priority="30">
      <formula>BC1&gt;=7*3</formula>
    </cfRule>
    <cfRule type="expression" dxfId="293" priority="31">
      <formula>BC1&gt;=6.5*3</formula>
    </cfRule>
    <cfRule type="expression" dxfId="292" priority="32">
      <formula>BC1&gt;=6*3</formula>
    </cfRule>
    <cfRule type="expression" dxfId="291" priority="33">
      <formula>BC1&gt;=5.5*3</formula>
    </cfRule>
    <cfRule type="expression" dxfId="290" priority="34">
      <formula>BC1&gt;=5*3</formula>
    </cfRule>
    <cfRule type="expression" dxfId="289" priority="35">
      <formula>BC1&gt;=4.5*3</formula>
    </cfRule>
    <cfRule type="expression" dxfId="288" priority="36">
      <formula>BC1&gt;=4*3</formula>
    </cfRule>
    <cfRule type="expression" dxfId="287" priority="37">
      <formula>BC1&gt;=3.5*3</formula>
    </cfRule>
    <cfRule type="expression" dxfId="286" priority="38">
      <formula>BC1&gt;=3*3</formula>
    </cfRule>
    <cfRule type="expression" dxfId="285" priority="39">
      <formula>BC1&gt;=2.5*3</formula>
    </cfRule>
    <cfRule type="expression" dxfId="284" priority="40">
      <formula>BC1&gt;=2*3</formula>
    </cfRule>
    <cfRule type="expression" dxfId="283" priority="41">
      <formula>BC1&gt;=1.5*3</formula>
    </cfRule>
    <cfRule type="expression" dxfId="282" priority="42">
      <formula>BC1&gt;=0</formula>
    </cfRule>
  </conditionalFormatting>
  <conditionalFormatting sqref="BF1:BF104857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{C7BC47BE-30DC-4FFF-9520-65FBD6FDA733}</x14:id>
        </ext>
      </extLst>
    </cfRule>
  </conditionalFormatting>
  <conditionalFormatting sqref="BG1:BG104857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{DDB96186-5293-4AE4-B834-C2F6B4ADBBD5}</x14:id>
        </ext>
      </extLst>
    </cfRule>
  </conditionalFormatting>
  <conditionalFormatting sqref="I1:R1048576">
    <cfRule type="cellIs" dxfId="281" priority="13" operator="greaterThan">
      <formula>5</formula>
    </cfRule>
    <cfRule type="cellIs" dxfId="280" priority="14" operator="equal">
      <formula>5</formula>
    </cfRule>
    <cfRule type="cellIs" dxfId="279" priority="15" operator="equal">
      <formula>4</formula>
    </cfRule>
    <cfRule type="cellIs" dxfId="278" priority="16" operator="equal">
      <formula>3</formula>
    </cfRule>
    <cfRule type="cellIs" dxfId="277" priority="17" operator="equal">
      <formula>2</formula>
    </cfRule>
    <cfRule type="cellIs" dxfId="276" priority="18" operator="equal">
      <formula>1</formula>
    </cfRule>
  </conditionalFormatting>
  <conditionalFormatting sqref="U1:AD1048576">
    <cfRule type="cellIs" dxfId="275" priority="7" operator="greaterThan">
      <formula>5</formula>
    </cfRule>
    <cfRule type="cellIs" dxfId="274" priority="8" operator="equal">
      <formula>5</formula>
    </cfRule>
    <cfRule type="cellIs" dxfId="273" priority="9" operator="equal">
      <formula>4</formula>
    </cfRule>
    <cfRule type="cellIs" dxfId="272" priority="10" operator="equal">
      <formula>3</formula>
    </cfRule>
    <cfRule type="cellIs" dxfId="271" priority="11" operator="equal">
      <formula>2</formula>
    </cfRule>
    <cfRule type="cellIs" dxfId="270" priority="12" operator="equal">
      <formula>1</formula>
    </cfRule>
  </conditionalFormatting>
  <conditionalFormatting sqref="AI1:AW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E082B2-5CB6-4552-BFF5-406AA55319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26688C96-F5BA-4C19-8AB5-F84CBD1EBE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77D4438F-219D-4AC4-B1F2-B4A602F982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E109B7A1-0106-4F5C-8152-A32783413F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84E5864B-047F-427A-9D2E-8E8C9DA436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6BE235BC-EB18-43AD-8997-6E26D14CC5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C7BC47BE-30DC-4FFF-9520-65FBD6FDA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BF1:BF1048576</xm:sqref>
        </x14:conditionalFormatting>
        <x14:conditionalFormatting xmlns:xm="http://schemas.microsoft.com/office/excel/2006/main">
          <x14:cfRule type="dataBar" id="{DDB96186-5293-4AE4-B834-C2F6B4ADBB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BG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.109375" defaultRowHeight="13.2" x14ac:dyDescent="0.25"/>
  <cols>
    <col min="1" max="1" width="6.88671875" style="457" bestFit="1" customWidth="1"/>
    <col min="2" max="2" width="7.5546875" style="461" bestFit="1" customWidth="1"/>
    <col min="3" max="3" width="7.5546875" style="463" bestFit="1" customWidth="1"/>
    <col min="4" max="6" width="6.5546875" style="461" bestFit="1" customWidth="1"/>
    <col min="7" max="7" width="5.33203125" style="459" bestFit="1" customWidth="1"/>
    <col min="8" max="8" width="6.21875" style="459" bestFit="1" customWidth="1"/>
    <col min="9" max="18" width="4.33203125" style="512" bestFit="1" customWidth="1"/>
    <col min="19" max="19" width="11.44140625" style="462" bestFit="1" customWidth="1"/>
    <col min="20" max="20" width="8" style="463" bestFit="1" customWidth="1"/>
    <col min="21" max="30" width="5" style="512" bestFit="1" customWidth="1"/>
    <col min="31" max="31" width="9.33203125" style="462" bestFit="1" customWidth="1"/>
    <col min="32" max="32" width="7.33203125" style="463" bestFit="1" customWidth="1"/>
    <col min="33" max="33" width="9.88671875" style="463" bestFit="1" customWidth="1"/>
    <col min="34" max="34" width="6.5546875" style="460" bestFit="1" customWidth="1"/>
    <col min="35" max="39" width="7" style="512" bestFit="1" customWidth="1"/>
    <col min="40" max="44" width="4.88671875" style="512" bestFit="1" customWidth="1"/>
    <col min="45" max="49" width="4.6640625" style="512" customWidth="1"/>
    <col min="50" max="51" width="6.6640625" style="33" bestFit="1" customWidth="1"/>
    <col min="52" max="53" width="6.5546875" style="463" bestFit="1" customWidth="1"/>
    <col min="54" max="54" width="7.5546875" style="463" bestFit="1" customWidth="1"/>
    <col min="55" max="55" width="5.77734375" style="34" bestFit="1" customWidth="1"/>
    <col min="56" max="56" width="6.5546875" style="460" bestFit="1" customWidth="1"/>
    <col min="57" max="57" width="6.5546875" style="458" bestFit="1" customWidth="1"/>
    <col min="58" max="58" width="21.33203125" style="464" bestFit="1" customWidth="1"/>
    <col min="59" max="59" width="15.44140625" style="460" bestFit="1" customWidth="1"/>
    <col min="60" max="16384" width="9.109375" style="456"/>
  </cols>
  <sheetData>
    <row r="1" spans="1:59" x14ac:dyDescent="0.25">
      <c r="A1" s="457" t="s">
        <v>50</v>
      </c>
      <c r="B1" s="461" t="s">
        <v>6</v>
      </c>
      <c r="C1" s="463" t="s">
        <v>54</v>
      </c>
      <c r="D1" s="461" t="s">
        <v>2</v>
      </c>
      <c r="E1" s="461" t="s">
        <v>509</v>
      </c>
      <c r="F1" s="461" t="s">
        <v>510</v>
      </c>
      <c r="G1" s="459" t="s">
        <v>511</v>
      </c>
      <c r="H1" s="459" t="s">
        <v>539</v>
      </c>
      <c r="I1" s="513" t="s">
        <v>513</v>
      </c>
      <c r="J1" s="513" t="s">
        <v>522</v>
      </c>
      <c r="K1" s="513" t="s">
        <v>523</v>
      </c>
      <c r="L1" s="513" t="s">
        <v>524</v>
      </c>
      <c r="M1" s="513" t="s">
        <v>525</v>
      </c>
      <c r="N1" s="513" t="s">
        <v>526</v>
      </c>
      <c r="O1" s="513" t="s">
        <v>527</v>
      </c>
      <c r="P1" s="513" t="s">
        <v>528</v>
      </c>
      <c r="Q1" s="513" t="s">
        <v>529</v>
      </c>
      <c r="R1" s="513" t="s">
        <v>517</v>
      </c>
      <c r="S1" s="462" t="s">
        <v>515</v>
      </c>
      <c r="T1" s="463" t="s">
        <v>537</v>
      </c>
      <c r="U1" s="513" t="s">
        <v>518</v>
      </c>
      <c r="V1" s="513" t="s">
        <v>519</v>
      </c>
      <c r="W1" s="513" t="s">
        <v>520</v>
      </c>
      <c r="X1" s="513" t="s">
        <v>521</v>
      </c>
      <c r="Y1" s="513" t="s">
        <v>530</v>
      </c>
      <c r="Z1" s="513" t="s">
        <v>531</v>
      </c>
      <c r="AA1" s="513" t="s">
        <v>532</v>
      </c>
      <c r="AB1" s="513" t="s">
        <v>533</v>
      </c>
      <c r="AC1" s="513" t="s">
        <v>534</v>
      </c>
      <c r="AD1" s="513" t="s">
        <v>535</v>
      </c>
      <c r="AE1" s="464" t="s">
        <v>516</v>
      </c>
      <c r="AF1" s="463" t="s">
        <v>538</v>
      </c>
      <c r="AG1" s="463" t="s">
        <v>514</v>
      </c>
      <c r="AH1" s="460" t="s">
        <v>37</v>
      </c>
      <c r="AI1" s="513" t="s">
        <v>670</v>
      </c>
      <c r="AJ1" s="513" t="s">
        <v>667</v>
      </c>
      <c r="AK1" s="513" t="s">
        <v>685</v>
      </c>
      <c r="AL1" s="513" t="s">
        <v>675</v>
      </c>
      <c r="AM1" s="513" t="s">
        <v>701</v>
      </c>
      <c r="AN1" s="513" t="s">
        <v>665</v>
      </c>
      <c r="AO1" s="513" t="s">
        <v>678</v>
      </c>
      <c r="AP1" s="513" t="s">
        <v>686</v>
      </c>
      <c r="AQ1" s="513" t="s">
        <v>694</v>
      </c>
      <c r="AR1" s="513" t="s">
        <v>702</v>
      </c>
      <c r="AS1" s="513" t="s">
        <v>671</v>
      </c>
      <c r="AT1" s="513" t="s">
        <v>679</v>
      </c>
      <c r="AU1" s="513" t="s">
        <v>687</v>
      </c>
      <c r="AV1" s="513" t="s">
        <v>695</v>
      </c>
      <c r="AW1" s="513" t="s">
        <v>703</v>
      </c>
      <c r="AX1" s="27" t="s">
        <v>544</v>
      </c>
      <c r="AY1" s="27" t="s">
        <v>545</v>
      </c>
      <c r="AZ1" s="463" t="s">
        <v>540</v>
      </c>
      <c r="BA1" s="463" t="s">
        <v>541</v>
      </c>
      <c r="BB1" s="463" t="s">
        <v>542</v>
      </c>
      <c r="BC1" s="23" t="s">
        <v>543</v>
      </c>
      <c r="BD1" s="460" t="s">
        <v>570</v>
      </c>
      <c r="BE1" s="458" t="s">
        <v>571</v>
      </c>
      <c r="BF1" s="464" t="s">
        <v>573</v>
      </c>
      <c r="BG1" s="460" t="s">
        <v>572</v>
      </c>
    </row>
    <row r="2" spans="1:59" x14ac:dyDescent="0.25">
      <c r="A2" s="457">
        <v>43739</v>
      </c>
      <c r="B2" s="838">
        <v>78.760000000000005</v>
      </c>
      <c r="C2" s="463">
        <v>168.83333333333334</v>
      </c>
      <c r="D2" s="845">
        <v>2.1436431352632468</v>
      </c>
      <c r="E2" s="842">
        <v>2.6102505501946838</v>
      </c>
      <c r="F2" s="840">
        <v>2.9424834941594713</v>
      </c>
      <c r="G2" s="459">
        <v>5</v>
      </c>
      <c r="H2" s="459">
        <v>12</v>
      </c>
      <c r="L2" s="512">
        <v>1</v>
      </c>
      <c r="M2" s="512">
        <v>2</v>
      </c>
      <c r="N2" s="512">
        <v>1</v>
      </c>
      <c r="P2" s="512">
        <v>1</v>
      </c>
      <c r="Q2" s="512">
        <v>1</v>
      </c>
      <c r="S2" s="462">
        <v>10.527777777777777</v>
      </c>
      <c r="T2" s="463">
        <v>2.1055555555555552</v>
      </c>
      <c r="Z2" s="512">
        <v>1</v>
      </c>
      <c r="AC2" s="512">
        <v>1</v>
      </c>
      <c r="AE2" s="462">
        <v>2.7777777777777777</v>
      </c>
      <c r="AF2" s="463">
        <v>0.55555555555555558</v>
      </c>
      <c r="AG2" s="463">
        <v>2.4</v>
      </c>
      <c r="AH2" s="823">
        <v>43.876173749198067</v>
      </c>
      <c r="AI2" s="512">
        <v>2</v>
      </c>
      <c r="AJ2" s="512">
        <v>1</v>
      </c>
      <c r="AN2" s="512">
        <v>1</v>
      </c>
      <c r="AS2" s="512">
        <v>1</v>
      </c>
      <c r="AT2" s="512">
        <v>1</v>
      </c>
      <c r="AX2" s="33">
        <v>0.88709097446961527</v>
      </c>
      <c r="AY2" s="33">
        <v>0.82124037292257812</v>
      </c>
      <c r="AZ2" s="463">
        <v>13.833333333333334</v>
      </c>
      <c r="BA2" s="463">
        <v>10.833333333333334</v>
      </c>
      <c r="BB2" s="463">
        <v>540.8125</v>
      </c>
      <c r="BC2" s="34">
        <v>6.8665883697308265</v>
      </c>
      <c r="BD2" s="460">
        <v>17.923516070050308</v>
      </c>
      <c r="BE2" s="458">
        <v>0.31218459879040028</v>
      </c>
      <c r="BF2" s="464">
        <v>13.305555555555554</v>
      </c>
      <c r="BG2" s="460">
        <v>2.6611111111111105</v>
      </c>
    </row>
    <row r="3" spans="1:59" x14ac:dyDescent="0.25">
      <c r="A3" s="457">
        <v>43770</v>
      </c>
      <c r="B3" s="839">
        <v>82.69966216216217</v>
      </c>
      <c r="C3" s="463">
        <v>171.58108108108109</v>
      </c>
      <c r="D3" s="845">
        <v>2.0747494801687969</v>
      </c>
      <c r="E3" s="842">
        <v>2.5092425783627665</v>
      </c>
      <c r="F3" s="840">
        <v>2.8036978483686079</v>
      </c>
      <c r="G3" s="459">
        <v>29</v>
      </c>
      <c r="H3" s="459">
        <v>148</v>
      </c>
      <c r="I3" s="512">
        <v>3</v>
      </c>
      <c r="J3" s="512">
        <v>4</v>
      </c>
      <c r="K3" s="512">
        <v>1</v>
      </c>
      <c r="L3" s="512">
        <v>5</v>
      </c>
      <c r="M3" s="512">
        <v>3</v>
      </c>
      <c r="N3" s="512">
        <v>5</v>
      </c>
      <c r="O3" s="512">
        <v>10</v>
      </c>
      <c r="P3" s="512">
        <v>8</v>
      </c>
      <c r="Q3" s="512">
        <v>7</v>
      </c>
      <c r="R3" s="512">
        <v>6</v>
      </c>
      <c r="S3" s="462">
        <v>118.23015873015873</v>
      </c>
      <c r="T3" s="463">
        <v>4.0769020251778878</v>
      </c>
      <c r="X3" s="512">
        <v>1</v>
      </c>
      <c r="Y3" s="512">
        <v>2</v>
      </c>
      <c r="Z3" s="512">
        <v>1</v>
      </c>
      <c r="AA3" s="512">
        <v>2</v>
      </c>
      <c r="AD3" s="512">
        <v>4</v>
      </c>
      <c r="AE3" s="462">
        <v>15.023809523809524</v>
      </c>
      <c r="AF3" s="463">
        <v>0.51806239737274218</v>
      </c>
      <c r="AG3" s="463">
        <v>5.1034482758620694</v>
      </c>
      <c r="AH3" s="823">
        <v>41.039617557200103</v>
      </c>
      <c r="AI3" s="512">
        <v>20</v>
      </c>
      <c r="AJ3" s="512">
        <v>5</v>
      </c>
      <c r="AK3" s="512">
        <v>2</v>
      </c>
      <c r="AN3" s="512">
        <v>15</v>
      </c>
      <c r="AO3" s="512">
        <v>6</v>
      </c>
      <c r="AP3" s="512">
        <v>2</v>
      </c>
      <c r="AS3" s="512">
        <v>6</v>
      </c>
      <c r="AT3" s="512">
        <v>1</v>
      </c>
      <c r="AX3" s="33">
        <v>0.89497610444107711</v>
      </c>
      <c r="AY3" s="33">
        <v>0.82684292784579316</v>
      </c>
      <c r="AZ3" s="463">
        <v>13.77027027027027</v>
      </c>
      <c r="BA3" s="463">
        <v>10.621621621621621</v>
      </c>
      <c r="BB3" s="463">
        <v>548.49873310810813</v>
      </c>
      <c r="BC3" s="34">
        <v>6.6324180627555744</v>
      </c>
      <c r="BD3" s="460">
        <v>16.642345800568584</v>
      </c>
      <c r="BE3" s="458">
        <v>0.31281946652602893</v>
      </c>
      <c r="BF3" s="464">
        <v>133.25396825396825</v>
      </c>
      <c r="BG3" s="460">
        <v>4.5949644225506301</v>
      </c>
    </row>
    <row r="4" spans="1:59" x14ac:dyDescent="0.25">
      <c r="A4" s="457">
        <v>43800</v>
      </c>
      <c r="B4" s="839">
        <v>80.125233644859776</v>
      </c>
      <c r="C4" s="463">
        <v>173.01869158878506</v>
      </c>
      <c r="D4" s="845">
        <v>2.1593533487297933</v>
      </c>
      <c r="E4" s="842">
        <v>2.6041010567569471</v>
      </c>
      <c r="F4" s="840">
        <v>2.9289430097744198</v>
      </c>
      <c r="G4" s="459">
        <v>25</v>
      </c>
      <c r="H4" s="459">
        <v>107</v>
      </c>
      <c r="I4" s="512">
        <v>5</v>
      </c>
      <c r="J4" s="512">
        <v>4</v>
      </c>
      <c r="K4" s="512">
        <v>7</v>
      </c>
      <c r="L4" s="512">
        <v>9</v>
      </c>
      <c r="M4" s="512">
        <v>5</v>
      </c>
      <c r="N4" s="512">
        <v>6</v>
      </c>
      <c r="O4" s="512">
        <v>10</v>
      </c>
      <c r="P4" s="512">
        <v>7</v>
      </c>
      <c r="Q4" s="512">
        <v>6</v>
      </c>
      <c r="R4" s="512">
        <v>7</v>
      </c>
      <c r="S4" s="462">
        <v>172.53571428571425</v>
      </c>
      <c r="T4" s="463">
        <v>6.9014285714285704</v>
      </c>
      <c r="W4" s="512">
        <v>1</v>
      </c>
      <c r="Y4" s="512">
        <v>1</v>
      </c>
      <c r="AA4" s="512">
        <v>3</v>
      </c>
      <c r="AB4" s="512">
        <v>3</v>
      </c>
      <c r="AC4" s="512">
        <v>3</v>
      </c>
      <c r="AD4" s="512">
        <v>3</v>
      </c>
      <c r="AE4" s="462">
        <v>19.702380952380953</v>
      </c>
      <c r="AF4" s="463">
        <v>0.78809523809523807</v>
      </c>
      <c r="AG4" s="463">
        <v>4.28</v>
      </c>
      <c r="AH4" s="823">
        <v>43.669221888609719</v>
      </c>
      <c r="AI4" s="512">
        <v>30</v>
      </c>
      <c r="AJ4" s="512">
        <v>11</v>
      </c>
      <c r="AN4" s="512">
        <v>26</v>
      </c>
      <c r="AO4" s="512">
        <v>7</v>
      </c>
      <c r="AS4" s="512">
        <v>11</v>
      </c>
      <c r="AT4" s="512">
        <v>6</v>
      </c>
      <c r="AU4" s="512">
        <v>1</v>
      </c>
      <c r="AX4" s="33">
        <v>0.88909242961252044</v>
      </c>
      <c r="AY4" s="33">
        <v>0.82921257726417641</v>
      </c>
      <c r="AZ4" s="463">
        <v>13.308411214953271</v>
      </c>
      <c r="BA4" s="463">
        <v>10.420560747663551</v>
      </c>
      <c r="BB4" s="463">
        <v>546.83469626168221</v>
      </c>
      <c r="BC4" s="34">
        <v>6.8247500991438663</v>
      </c>
      <c r="BD4" s="460">
        <v>17.772338945282623</v>
      </c>
      <c r="BE4" s="458">
        <v>0.31640035420500956</v>
      </c>
      <c r="BF4" s="464">
        <v>192.23809523809521</v>
      </c>
      <c r="BG4" s="460">
        <v>7.6895238095238083</v>
      </c>
    </row>
    <row r="5" spans="1:59" x14ac:dyDescent="0.25">
      <c r="A5" s="457">
        <v>43831</v>
      </c>
      <c r="B5" s="838">
        <v>78.246222222222201</v>
      </c>
      <c r="C5" s="463">
        <v>167.93333333333334</v>
      </c>
      <c r="D5" s="845">
        <v>2.146216501755144</v>
      </c>
      <c r="E5" s="842">
        <v>2.6258988719370202</v>
      </c>
      <c r="F5" s="840">
        <v>2.9496631715269186</v>
      </c>
      <c r="G5" s="459">
        <v>20</v>
      </c>
      <c r="H5" s="459">
        <v>45</v>
      </c>
      <c r="I5" s="512">
        <v>1</v>
      </c>
      <c r="J5" s="512">
        <v>2</v>
      </c>
      <c r="K5" s="512">
        <v>3</v>
      </c>
      <c r="L5" s="512">
        <v>2</v>
      </c>
      <c r="M5" s="512">
        <v>1</v>
      </c>
      <c r="N5" s="512">
        <v>3</v>
      </c>
      <c r="O5" s="512">
        <v>1</v>
      </c>
      <c r="P5" s="512">
        <v>4</v>
      </c>
      <c r="Q5" s="512">
        <v>4</v>
      </c>
      <c r="R5" s="512">
        <v>3</v>
      </c>
      <c r="S5" s="462">
        <v>55.873015873015873</v>
      </c>
      <c r="T5" s="463">
        <v>2.7936507936507935</v>
      </c>
      <c r="X5" s="512">
        <v>2</v>
      </c>
      <c r="Z5" s="512">
        <v>2</v>
      </c>
      <c r="AB5" s="512">
        <v>3</v>
      </c>
      <c r="AC5" s="512">
        <v>2</v>
      </c>
      <c r="AD5" s="512">
        <v>1</v>
      </c>
      <c r="AE5" s="462">
        <v>15.305555555555557</v>
      </c>
      <c r="AF5" s="463">
        <v>0.76527777777777783</v>
      </c>
      <c r="AG5" s="463">
        <v>2.25</v>
      </c>
      <c r="AH5" s="823">
        <v>44.130558115630201</v>
      </c>
      <c r="AI5" s="512">
        <v>7</v>
      </c>
      <c r="AJ5" s="512">
        <v>4</v>
      </c>
      <c r="AK5" s="512">
        <v>1</v>
      </c>
      <c r="AN5" s="512">
        <v>11</v>
      </c>
      <c r="AO5" s="512">
        <v>1</v>
      </c>
      <c r="AS5" s="512">
        <v>7</v>
      </c>
      <c r="AT5" s="512">
        <v>6</v>
      </c>
      <c r="AU5" s="512">
        <v>1</v>
      </c>
      <c r="AX5" s="33">
        <v>0.89023685730791458</v>
      </c>
      <c r="AY5" s="33">
        <v>0.81732641142115503</v>
      </c>
      <c r="AZ5" s="463">
        <v>14.044444444444444</v>
      </c>
      <c r="BA5" s="463">
        <v>11.733333333333333</v>
      </c>
      <c r="BB5" s="463">
        <v>535.23749999999995</v>
      </c>
      <c r="BC5" s="34">
        <v>6.8404260908584886</v>
      </c>
      <c r="BD5" s="460">
        <v>17.962267155553867</v>
      </c>
      <c r="BE5" s="458">
        <v>0.31375479732517497</v>
      </c>
      <c r="BF5" s="464">
        <v>71.178571428571431</v>
      </c>
      <c r="BG5" s="460">
        <v>3.5589285714285714</v>
      </c>
    </row>
    <row r="6" spans="1:59" x14ac:dyDescent="0.25">
      <c r="A6" s="457">
        <v>43862</v>
      </c>
      <c r="B6" s="839">
        <v>79.415789473684214</v>
      </c>
      <c r="C6" s="463">
        <v>168.03508771929825</v>
      </c>
      <c r="D6" s="845">
        <v>2.1158901628117612</v>
      </c>
      <c r="E6" s="842">
        <v>2.5941635186780658</v>
      </c>
      <c r="F6" s="840">
        <v>2.9189033954094596</v>
      </c>
      <c r="G6" s="459">
        <v>15</v>
      </c>
      <c r="H6" s="459">
        <v>57</v>
      </c>
      <c r="I6" s="512">
        <v>1</v>
      </c>
      <c r="K6" s="512">
        <v>2</v>
      </c>
      <c r="L6" s="512">
        <v>1</v>
      </c>
      <c r="M6" s="512">
        <v>5</v>
      </c>
      <c r="N6" s="512">
        <v>6</v>
      </c>
      <c r="O6" s="512">
        <v>3</v>
      </c>
      <c r="P6" s="512">
        <v>3</v>
      </c>
      <c r="Q6" s="512">
        <v>3</v>
      </c>
      <c r="R6" s="512">
        <v>2</v>
      </c>
      <c r="S6" s="462">
        <v>52.535714285714292</v>
      </c>
      <c r="T6" s="463">
        <v>3.5023809523809528</v>
      </c>
      <c r="W6" s="512">
        <v>1</v>
      </c>
      <c r="Y6" s="512">
        <v>1</v>
      </c>
      <c r="Z6" s="512">
        <v>1</v>
      </c>
      <c r="AA6" s="512">
        <v>2</v>
      </c>
      <c r="AB6" s="512">
        <v>1</v>
      </c>
      <c r="AD6" s="512">
        <v>3</v>
      </c>
      <c r="AE6" s="462">
        <v>14.107142857142858</v>
      </c>
      <c r="AF6" s="463">
        <v>0.94047619047619047</v>
      </c>
      <c r="AG6" s="463">
        <v>3.8</v>
      </c>
      <c r="AH6" s="823">
        <v>43.057476623076695</v>
      </c>
      <c r="AI6" s="512">
        <v>8</v>
      </c>
      <c r="AJ6" s="512">
        <v>2</v>
      </c>
      <c r="AN6" s="512">
        <v>11</v>
      </c>
      <c r="AO6" s="512">
        <v>4</v>
      </c>
      <c r="AP6" s="512">
        <v>1</v>
      </c>
      <c r="AS6" s="512">
        <v>7</v>
      </c>
      <c r="AT6" s="512">
        <v>5</v>
      </c>
      <c r="AU6" s="512">
        <v>1</v>
      </c>
      <c r="AX6" s="33">
        <v>0.88874593203663055</v>
      </c>
      <c r="AY6" s="33">
        <v>0.81563484629140759</v>
      </c>
      <c r="AZ6" s="463">
        <v>14.508771929824562</v>
      </c>
      <c r="BA6" s="463">
        <v>11.280701754385966</v>
      </c>
      <c r="BB6" s="463">
        <v>537.23464912280701</v>
      </c>
      <c r="BC6" s="34">
        <v>6.764834205933683</v>
      </c>
      <c r="BD6" s="460">
        <v>17.549086106938663</v>
      </c>
      <c r="BE6" s="458">
        <v>0.31277782993644354</v>
      </c>
      <c r="BF6" s="464">
        <v>66.642857142857153</v>
      </c>
      <c r="BG6" s="460">
        <v>4.4428571428571431</v>
      </c>
    </row>
    <row r="7" spans="1:59" x14ac:dyDescent="0.25">
      <c r="A7" s="457">
        <v>43891</v>
      </c>
      <c r="B7" s="838">
        <v>76.053693693693731</v>
      </c>
      <c r="C7" s="463">
        <v>172.38738738738738</v>
      </c>
      <c r="D7" s="835">
        <v>2.2666537154878714</v>
      </c>
      <c r="E7" s="842">
        <v>2.7241304152116319</v>
      </c>
      <c r="F7" s="836">
        <v>3.0336556913323429</v>
      </c>
      <c r="G7" s="459">
        <v>26</v>
      </c>
      <c r="H7" s="459">
        <v>111</v>
      </c>
      <c r="I7" s="512">
        <v>12</v>
      </c>
      <c r="J7" s="512">
        <v>7</v>
      </c>
      <c r="K7" s="512">
        <v>9</v>
      </c>
      <c r="L7" s="512">
        <v>8</v>
      </c>
      <c r="M7" s="512">
        <v>6</v>
      </c>
      <c r="N7" s="512">
        <v>6</v>
      </c>
      <c r="O7" s="512">
        <v>10</v>
      </c>
      <c r="P7" s="512">
        <v>5</v>
      </c>
      <c r="Q7" s="512">
        <v>5</v>
      </c>
      <c r="R7" s="512">
        <v>11</v>
      </c>
      <c r="S7" s="462">
        <v>264.09126984126982</v>
      </c>
      <c r="T7" s="463">
        <v>10.157356532356532</v>
      </c>
      <c r="U7" s="512">
        <v>4</v>
      </c>
      <c r="V7" s="512">
        <v>5</v>
      </c>
      <c r="W7" s="512">
        <v>6</v>
      </c>
      <c r="X7" s="512">
        <v>4</v>
      </c>
      <c r="Y7" s="512">
        <v>5</v>
      </c>
      <c r="Z7" s="512">
        <v>6</v>
      </c>
      <c r="AA7" s="512">
        <v>3</v>
      </c>
      <c r="AB7" s="512">
        <v>10</v>
      </c>
      <c r="AC7" s="512">
        <v>4</v>
      </c>
      <c r="AD7" s="512">
        <v>5</v>
      </c>
      <c r="AE7" s="462">
        <v>141.23015873015873</v>
      </c>
      <c r="AF7" s="463">
        <v>5.4319291819291822</v>
      </c>
      <c r="AG7" s="463">
        <v>4.2692307692307692</v>
      </c>
      <c r="AH7" s="823">
        <v>47.543507011731116</v>
      </c>
      <c r="AI7" s="512">
        <v>51</v>
      </c>
      <c r="AJ7" s="512">
        <v>26</v>
      </c>
      <c r="AK7" s="512">
        <v>12</v>
      </c>
      <c r="AL7" s="512">
        <v>7</v>
      </c>
      <c r="AM7" s="512">
        <v>3</v>
      </c>
      <c r="AN7" s="512">
        <v>54</v>
      </c>
      <c r="AO7" s="512">
        <v>29</v>
      </c>
      <c r="AP7" s="512">
        <v>7</v>
      </c>
      <c r="AQ7" s="512">
        <v>4</v>
      </c>
      <c r="AS7" s="512">
        <v>31</v>
      </c>
      <c r="AT7" s="512">
        <v>16</v>
      </c>
      <c r="AU7" s="512">
        <v>5</v>
      </c>
      <c r="AV7" s="512">
        <v>1</v>
      </c>
      <c r="AX7" s="33">
        <v>0.89796954314720812</v>
      </c>
      <c r="AY7" s="33">
        <v>0.83206505196329961</v>
      </c>
      <c r="AZ7" s="463">
        <v>13.432432432432432</v>
      </c>
      <c r="BA7" s="463">
        <v>10.45045045045045</v>
      </c>
      <c r="BB7" s="463">
        <v>532.27477477477476</v>
      </c>
      <c r="BC7" s="34">
        <v>6.9986709247615444</v>
      </c>
      <c r="BD7" s="460">
        <v>19.06529233220024</v>
      </c>
      <c r="BE7" s="458">
        <v>0.32386916599669952</v>
      </c>
      <c r="BF7" s="464">
        <v>405.32142857142856</v>
      </c>
      <c r="BG7" s="460">
        <v>15.589285714285715</v>
      </c>
    </row>
    <row r="8" spans="1:59" x14ac:dyDescent="0.25">
      <c r="A8" s="457">
        <v>43922</v>
      </c>
      <c r="B8" s="838">
        <v>77.666197183098589</v>
      </c>
      <c r="C8" s="463">
        <v>175.57746478873239</v>
      </c>
      <c r="D8" s="835">
        <v>2.2606677184774133</v>
      </c>
      <c r="E8" s="842">
        <v>2.7307183142012583</v>
      </c>
      <c r="F8" s="836">
        <v>3.0468055782238905</v>
      </c>
      <c r="G8" s="459">
        <v>21</v>
      </c>
      <c r="H8" s="459">
        <v>71</v>
      </c>
      <c r="I8" s="512">
        <v>8</v>
      </c>
      <c r="J8" s="512">
        <v>5</v>
      </c>
      <c r="K8" s="512">
        <v>8</v>
      </c>
      <c r="L8" s="512">
        <v>6</v>
      </c>
      <c r="M8" s="512">
        <v>5</v>
      </c>
      <c r="N8" s="512">
        <v>5</v>
      </c>
      <c r="O8" s="512">
        <v>4</v>
      </c>
      <c r="P8" s="512">
        <v>2</v>
      </c>
      <c r="Q8" s="512">
        <v>2</v>
      </c>
      <c r="R8" s="512">
        <v>1</v>
      </c>
      <c r="S8" s="462">
        <v>176.43650793650795</v>
      </c>
      <c r="T8" s="463">
        <v>8.401738473167045</v>
      </c>
      <c r="U8" s="512">
        <v>2</v>
      </c>
      <c r="V8" s="512">
        <v>3</v>
      </c>
      <c r="W8" s="512">
        <v>6</v>
      </c>
      <c r="X8" s="512">
        <v>4</v>
      </c>
      <c r="Y8" s="512">
        <v>3</v>
      </c>
      <c r="Z8" s="512">
        <v>10</v>
      </c>
      <c r="AA8" s="512">
        <v>3</v>
      </c>
      <c r="AB8" s="512">
        <v>3</v>
      </c>
      <c r="AC8" s="512">
        <v>6</v>
      </c>
      <c r="AD8" s="512">
        <v>6</v>
      </c>
      <c r="AE8" s="462">
        <v>108.36904761904763</v>
      </c>
      <c r="AF8" s="463">
        <v>5.1604308390022684</v>
      </c>
      <c r="AG8" s="463">
        <v>3.3809523809523809</v>
      </c>
      <c r="AH8" s="823">
        <v>46.726640678000749</v>
      </c>
      <c r="AI8" s="512">
        <v>30</v>
      </c>
      <c r="AJ8" s="512">
        <v>19</v>
      </c>
      <c r="AK8" s="512">
        <v>10</v>
      </c>
      <c r="AL8" s="512">
        <v>4</v>
      </c>
      <c r="AM8" s="512">
        <v>2</v>
      </c>
      <c r="AN8" s="512">
        <v>33</v>
      </c>
      <c r="AO8" s="512">
        <v>18</v>
      </c>
      <c r="AP8" s="512">
        <v>10</v>
      </c>
      <c r="AQ8" s="512">
        <v>3</v>
      </c>
      <c r="AS8" s="512">
        <v>19</v>
      </c>
      <c r="AT8" s="512">
        <v>10</v>
      </c>
      <c r="AU8" s="512">
        <v>4</v>
      </c>
      <c r="AX8" s="33">
        <v>0.89625617522766499</v>
      </c>
      <c r="AY8" s="33">
        <v>0.82786558639925634</v>
      </c>
      <c r="AZ8" s="463">
        <v>13.816901408450704</v>
      </c>
      <c r="BA8" s="463">
        <v>10.830985915492958</v>
      </c>
      <c r="BB8" s="463">
        <v>541.70774647887322</v>
      </c>
      <c r="BC8" s="34">
        <v>6.9748200134196541</v>
      </c>
      <c r="BD8" s="460">
        <v>19.046268748902516</v>
      </c>
      <c r="BE8" s="458">
        <v>0.32411843088823167</v>
      </c>
      <c r="BF8" s="464">
        <v>284.8055555555556</v>
      </c>
      <c r="BG8" s="460">
        <v>13.562169312169313</v>
      </c>
    </row>
    <row r="9" spans="1:59" x14ac:dyDescent="0.25">
      <c r="A9" s="457">
        <v>43952</v>
      </c>
      <c r="B9" s="838">
        <v>74.66467391304343</v>
      </c>
      <c r="C9" s="463">
        <v>169.34782608695653</v>
      </c>
      <c r="D9" s="835">
        <v>2.2681117751104591</v>
      </c>
      <c r="E9" s="840">
        <v>2.7501219219262953</v>
      </c>
      <c r="F9" s="836">
        <v>3.071559072083156</v>
      </c>
      <c r="G9" s="459">
        <v>15</v>
      </c>
      <c r="H9" s="459">
        <v>92</v>
      </c>
      <c r="I9" s="512">
        <v>8</v>
      </c>
      <c r="J9" s="512">
        <v>11</v>
      </c>
      <c r="K9" s="512">
        <v>7</v>
      </c>
      <c r="L9" s="512">
        <v>8</v>
      </c>
      <c r="M9" s="512">
        <v>8</v>
      </c>
      <c r="N9" s="512">
        <v>8</v>
      </c>
      <c r="O9" s="512">
        <v>5</v>
      </c>
      <c r="P9" s="512">
        <v>6</v>
      </c>
      <c r="Q9" s="512">
        <v>4</v>
      </c>
      <c r="R9" s="512">
        <v>4</v>
      </c>
      <c r="S9" s="462">
        <v>230.75396825396828</v>
      </c>
      <c r="T9" s="463">
        <v>15.383597883597885</v>
      </c>
      <c r="U9" s="512">
        <v>3</v>
      </c>
      <c r="V9" s="512">
        <v>7</v>
      </c>
      <c r="W9" s="512">
        <v>6</v>
      </c>
      <c r="X9" s="512">
        <v>5</v>
      </c>
      <c r="Y9" s="512">
        <v>8</v>
      </c>
      <c r="Z9" s="512">
        <v>9</v>
      </c>
      <c r="AA9" s="512">
        <v>6</v>
      </c>
      <c r="AB9" s="512">
        <v>6</v>
      </c>
      <c r="AC9" s="512">
        <v>7</v>
      </c>
      <c r="AD9" s="512">
        <v>5</v>
      </c>
      <c r="AE9" s="462">
        <v>157.34920634920636</v>
      </c>
      <c r="AF9" s="463">
        <v>10.489947089947091</v>
      </c>
      <c r="AG9" s="463">
        <v>6.1333333333333337</v>
      </c>
      <c r="AH9" s="823">
        <v>48.191904293307019</v>
      </c>
      <c r="AI9" s="512">
        <v>42</v>
      </c>
      <c r="AJ9" s="512">
        <v>23</v>
      </c>
      <c r="AK9" s="512">
        <v>11</v>
      </c>
      <c r="AL9" s="512">
        <v>2</v>
      </c>
      <c r="AM9" s="512">
        <v>1</v>
      </c>
      <c r="AN9" s="512">
        <v>51</v>
      </c>
      <c r="AO9" s="512">
        <v>28</v>
      </c>
      <c r="AP9" s="512">
        <v>15</v>
      </c>
      <c r="AQ9" s="512">
        <v>6</v>
      </c>
      <c r="AR9" s="512">
        <v>2</v>
      </c>
      <c r="AS9" s="512">
        <v>34</v>
      </c>
      <c r="AT9" s="512">
        <v>19</v>
      </c>
      <c r="AU9" s="512">
        <v>8</v>
      </c>
      <c r="AV9" s="512">
        <v>2</v>
      </c>
      <c r="AX9" s="33">
        <v>0.89535049054457561</v>
      </c>
      <c r="AY9" s="33">
        <v>0.82473135355460281</v>
      </c>
      <c r="AZ9" s="463">
        <v>13.717391304347826</v>
      </c>
      <c r="BA9" s="463">
        <v>10.728260869565217</v>
      </c>
      <c r="BB9" s="463">
        <v>518.569972826087</v>
      </c>
      <c r="BC9" s="34">
        <v>6.9453189259224253</v>
      </c>
      <c r="BD9" s="460">
        <v>19.100473832948854</v>
      </c>
      <c r="BE9" s="458">
        <v>0.32656697256119527</v>
      </c>
      <c r="BF9" s="464">
        <v>388.10317460317464</v>
      </c>
      <c r="BG9" s="460">
        <v>25.873544973544973</v>
      </c>
    </row>
    <row r="10" spans="1:59" x14ac:dyDescent="0.25">
      <c r="A10" s="457">
        <v>43983</v>
      </c>
      <c r="B10" s="838">
        <v>75.473870967741945</v>
      </c>
      <c r="C10" s="463">
        <v>171.30645161290323</v>
      </c>
      <c r="D10" s="835">
        <v>2.269745137176292</v>
      </c>
      <c r="E10" s="840">
        <v>2.7606221337014727</v>
      </c>
      <c r="F10" s="836">
        <v>3.0728429834721687</v>
      </c>
      <c r="G10" s="459">
        <v>15</v>
      </c>
      <c r="H10" s="459">
        <v>62</v>
      </c>
      <c r="I10" s="512">
        <v>6</v>
      </c>
      <c r="J10" s="512">
        <v>8</v>
      </c>
      <c r="K10" s="512">
        <v>4</v>
      </c>
      <c r="L10" s="512">
        <v>5</v>
      </c>
      <c r="M10" s="512">
        <v>7</v>
      </c>
      <c r="N10" s="512">
        <v>3</v>
      </c>
      <c r="O10" s="512">
        <v>3</v>
      </c>
      <c r="P10" s="512">
        <v>7</v>
      </c>
      <c r="Q10" s="512">
        <v>2</v>
      </c>
      <c r="R10" s="512">
        <v>2</v>
      </c>
      <c r="S10" s="462">
        <v>162.09126984126982</v>
      </c>
      <c r="T10" s="463">
        <v>10.806084656084655</v>
      </c>
      <c r="U10" s="512">
        <v>1</v>
      </c>
      <c r="V10" s="512">
        <v>4</v>
      </c>
      <c r="W10" s="512">
        <v>6</v>
      </c>
      <c r="X10" s="512">
        <v>5</v>
      </c>
      <c r="Y10" s="512">
        <v>5</v>
      </c>
      <c r="Z10" s="512">
        <v>1</v>
      </c>
      <c r="AA10" s="512">
        <v>6</v>
      </c>
      <c r="AB10" s="512">
        <v>3</v>
      </c>
      <c r="AC10" s="512">
        <v>6</v>
      </c>
      <c r="AD10" s="512">
        <v>7</v>
      </c>
      <c r="AE10" s="462">
        <v>100.15476190476191</v>
      </c>
      <c r="AF10" s="463">
        <v>6.6769841269841272</v>
      </c>
      <c r="AG10" s="463">
        <v>4.1333333333333337</v>
      </c>
      <c r="AH10" s="823">
        <v>47.864079604917144</v>
      </c>
      <c r="AI10" s="512">
        <v>29</v>
      </c>
      <c r="AJ10" s="512">
        <v>16</v>
      </c>
      <c r="AK10" s="512">
        <v>9</v>
      </c>
      <c r="AL10" s="512">
        <v>3</v>
      </c>
      <c r="AN10" s="512">
        <v>34</v>
      </c>
      <c r="AO10" s="512">
        <v>21</v>
      </c>
      <c r="AP10" s="512">
        <v>9</v>
      </c>
      <c r="AQ10" s="512">
        <v>3</v>
      </c>
      <c r="AS10" s="512">
        <v>20</v>
      </c>
      <c r="AT10" s="512">
        <v>9</v>
      </c>
      <c r="AU10" s="512">
        <v>5</v>
      </c>
      <c r="AV10" s="512">
        <v>2</v>
      </c>
      <c r="AX10" s="33">
        <v>0.89839349050698936</v>
      </c>
      <c r="AY10" s="33">
        <v>0.82218609691902766</v>
      </c>
      <c r="AZ10" s="463">
        <v>14.016129032258064</v>
      </c>
      <c r="BA10" s="463">
        <v>11.064516129032258</v>
      </c>
      <c r="BB10" s="463">
        <v>530.57056451612902</v>
      </c>
      <c r="BC10" s="34">
        <v>7.0298575879710548</v>
      </c>
      <c r="BD10" s="460">
        <v>19.406780454122142</v>
      </c>
      <c r="BE10" s="458">
        <v>0.32287213628055617</v>
      </c>
      <c r="BF10" s="464">
        <v>262.24603174603175</v>
      </c>
      <c r="BG10" s="460">
        <v>17.483068783068781</v>
      </c>
    </row>
    <row r="11" spans="1:59" x14ac:dyDescent="0.25">
      <c r="A11" s="457">
        <v>44013</v>
      </c>
      <c r="B11" s="838">
        <v>74.689655172413808</v>
      </c>
      <c r="C11" s="463">
        <v>170.70689655172413</v>
      </c>
      <c r="D11" s="835">
        <v>2.2855493998153271</v>
      </c>
      <c r="E11" s="840">
        <v>2.7841643582640807</v>
      </c>
      <c r="F11" s="836">
        <v>3.1038781163434899</v>
      </c>
      <c r="G11" s="459">
        <v>18</v>
      </c>
      <c r="H11" s="459">
        <v>58</v>
      </c>
      <c r="I11" s="512">
        <v>5</v>
      </c>
      <c r="J11" s="512">
        <v>4</v>
      </c>
      <c r="K11" s="512">
        <v>6</v>
      </c>
      <c r="L11" s="512">
        <v>7</v>
      </c>
      <c r="M11" s="512">
        <v>7</v>
      </c>
      <c r="N11" s="512">
        <v>5</v>
      </c>
      <c r="O11" s="512">
        <v>2</v>
      </c>
      <c r="P11" s="512">
        <v>4</v>
      </c>
      <c r="Q11" s="512">
        <v>2</v>
      </c>
      <c r="R11" s="512">
        <v>4</v>
      </c>
      <c r="S11" s="462">
        <v>143.91269841269843</v>
      </c>
      <c r="T11" s="463">
        <v>7.9951499118165792</v>
      </c>
      <c r="U11" s="512">
        <v>1</v>
      </c>
      <c r="V11" s="512">
        <v>1</v>
      </c>
      <c r="W11" s="512">
        <v>6</v>
      </c>
      <c r="X11" s="512">
        <v>4</v>
      </c>
      <c r="Y11" s="512">
        <v>1</v>
      </c>
      <c r="Z11" s="512">
        <v>3</v>
      </c>
      <c r="AA11" s="512">
        <v>4</v>
      </c>
      <c r="AB11" s="512">
        <v>6</v>
      </c>
      <c r="AC11" s="512">
        <v>3</v>
      </c>
      <c r="AD11" s="512">
        <v>6</v>
      </c>
      <c r="AE11" s="462">
        <v>74.547619047619051</v>
      </c>
      <c r="AF11" s="463">
        <v>4.1415343915343916</v>
      </c>
      <c r="AG11" s="463">
        <v>3.2222222222222223</v>
      </c>
      <c r="AH11" s="823">
        <v>48.551041403755342</v>
      </c>
      <c r="AI11" s="512">
        <v>24</v>
      </c>
      <c r="AJ11" s="512">
        <v>16</v>
      </c>
      <c r="AK11" s="512">
        <v>5</v>
      </c>
      <c r="AL11" s="512">
        <v>2</v>
      </c>
      <c r="AN11" s="512">
        <v>32</v>
      </c>
      <c r="AO11" s="512">
        <v>18</v>
      </c>
      <c r="AP11" s="512">
        <v>6</v>
      </c>
      <c r="AQ11" s="512">
        <v>2</v>
      </c>
      <c r="AR11" s="512">
        <v>1</v>
      </c>
      <c r="AS11" s="512">
        <v>19</v>
      </c>
      <c r="AT11" s="512">
        <v>9</v>
      </c>
      <c r="AU11" s="512">
        <v>4</v>
      </c>
      <c r="AX11" s="33">
        <v>0.89699538896326036</v>
      </c>
      <c r="AY11" s="33">
        <v>0.82091037227427233</v>
      </c>
      <c r="AZ11" s="463">
        <v>13.931034482758621</v>
      </c>
      <c r="BA11" s="463">
        <v>11.327586206896552</v>
      </c>
      <c r="BB11" s="463">
        <v>516.25538793103453</v>
      </c>
      <c r="BC11" s="34">
        <v>6.9120065789473673</v>
      </c>
      <c r="BD11" s="460">
        <v>19.2441623611921</v>
      </c>
      <c r="BE11" s="458">
        <v>0.33066366093699445</v>
      </c>
      <c r="BF11" s="464">
        <v>218.46031746031747</v>
      </c>
      <c r="BG11" s="460">
        <v>12.136684303350972</v>
      </c>
    </row>
    <row r="12" spans="1:59" x14ac:dyDescent="0.25">
      <c r="A12" s="457">
        <v>44044</v>
      </c>
      <c r="B12" s="843">
        <v>71.911958762886641</v>
      </c>
      <c r="C12" s="463">
        <v>171.32989690721649</v>
      </c>
      <c r="D12" s="835">
        <v>2.3824952046173284</v>
      </c>
      <c r="E12" s="840">
        <v>2.8749358465248154</v>
      </c>
      <c r="F12" s="836">
        <v>3.1980686578376178</v>
      </c>
      <c r="G12" s="459">
        <v>21</v>
      </c>
      <c r="H12" s="459">
        <v>97</v>
      </c>
      <c r="I12" s="512">
        <v>27</v>
      </c>
      <c r="J12" s="512">
        <v>15</v>
      </c>
      <c r="K12" s="512">
        <v>9</v>
      </c>
      <c r="L12" s="512">
        <v>7</v>
      </c>
      <c r="M12" s="512">
        <v>6</v>
      </c>
      <c r="N12" s="512">
        <v>6</v>
      </c>
      <c r="O12" s="512">
        <v>3</v>
      </c>
      <c r="P12" s="512">
        <v>7</v>
      </c>
      <c r="Q12" s="512">
        <v>1</v>
      </c>
      <c r="R12" s="512">
        <v>4</v>
      </c>
      <c r="S12" s="462">
        <v>432.64682539682536</v>
      </c>
      <c r="T12" s="463">
        <v>20.602229780801206</v>
      </c>
      <c r="U12" s="512">
        <v>24</v>
      </c>
      <c r="V12" s="512">
        <v>17</v>
      </c>
      <c r="W12" s="512">
        <v>14</v>
      </c>
      <c r="X12" s="512">
        <v>6</v>
      </c>
      <c r="Y12" s="512">
        <v>16</v>
      </c>
      <c r="Z12" s="512">
        <v>11</v>
      </c>
      <c r="AA12" s="512">
        <v>11</v>
      </c>
      <c r="AB12" s="512">
        <v>12</v>
      </c>
      <c r="AC12" s="512">
        <v>7</v>
      </c>
      <c r="AD12" s="512">
        <v>8</v>
      </c>
      <c r="AE12" s="462">
        <v>483.49206349206349</v>
      </c>
      <c r="AF12" s="463">
        <v>23.023431594860167</v>
      </c>
      <c r="AG12" s="463">
        <v>4.6190476190476186</v>
      </c>
      <c r="AH12" s="846">
        <v>51.971051967916821</v>
      </c>
      <c r="AI12" s="512">
        <v>65</v>
      </c>
      <c r="AJ12" s="512">
        <v>48</v>
      </c>
      <c r="AK12" s="512">
        <v>29</v>
      </c>
      <c r="AL12" s="512">
        <v>13</v>
      </c>
      <c r="AM12" s="512">
        <v>5</v>
      </c>
      <c r="AN12" s="512">
        <v>78</v>
      </c>
      <c r="AO12" s="512">
        <v>58</v>
      </c>
      <c r="AP12" s="512">
        <v>36</v>
      </c>
      <c r="AQ12" s="512">
        <v>21</v>
      </c>
      <c r="AR12" s="512">
        <v>10</v>
      </c>
      <c r="AS12" s="512">
        <v>51</v>
      </c>
      <c r="AT12" s="512">
        <v>31</v>
      </c>
      <c r="AU12" s="512">
        <v>20</v>
      </c>
      <c r="AV12" s="512">
        <v>11</v>
      </c>
      <c r="AW12" s="512">
        <v>1</v>
      </c>
      <c r="AX12" s="33">
        <v>0.89896001434462969</v>
      </c>
      <c r="AY12" s="33">
        <v>0.82871247631395228</v>
      </c>
      <c r="AZ12" s="463">
        <v>13.391752577319588</v>
      </c>
      <c r="BA12" s="463">
        <v>10.082474226804123</v>
      </c>
      <c r="BB12" s="463">
        <v>516.98711340206182</v>
      </c>
      <c r="BC12" s="34">
        <v>7.1891674527558003</v>
      </c>
      <c r="BD12" s="460">
        <v>20.668395216597148</v>
      </c>
      <c r="BE12" s="458">
        <v>0.33140071089929263</v>
      </c>
      <c r="BF12" s="464">
        <v>916.13888888888891</v>
      </c>
      <c r="BG12" s="460">
        <v>43.625661375661373</v>
      </c>
    </row>
    <row r="13" spans="1:59" x14ac:dyDescent="0.25">
      <c r="A13" s="457">
        <v>44075</v>
      </c>
      <c r="B13" s="843">
        <v>71.861333333333349</v>
      </c>
      <c r="C13" s="463">
        <v>169.96666666666667</v>
      </c>
      <c r="D13" s="835">
        <v>2.3652033546088758</v>
      </c>
      <c r="E13" s="840">
        <v>2.8646219880263217</v>
      </c>
      <c r="F13" s="836">
        <v>3.2010724358022853</v>
      </c>
      <c r="G13" s="459">
        <v>16</v>
      </c>
      <c r="H13" s="459">
        <v>90</v>
      </c>
      <c r="I13" s="512">
        <v>18</v>
      </c>
      <c r="J13" s="512">
        <v>16</v>
      </c>
      <c r="K13" s="512">
        <v>10</v>
      </c>
      <c r="L13" s="512">
        <v>9</v>
      </c>
      <c r="M13" s="512">
        <v>6</v>
      </c>
      <c r="N13" s="512">
        <v>7</v>
      </c>
      <c r="O13" s="512">
        <v>7</v>
      </c>
      <c r="P13" s="512">
        <v>1</v>
      </c>
      <c r="Q13" s="512">
        <v>4</v>
      </c>
      <c r="R13" s="512">
        <v>1</v>
      </c>
      <c r="S13" s="462">
        <v>356.19444444444446</v>
      </c>
      <c r="T13" s="463">
        <v>22.262152777777779</v>
      </c>
      <c r="U13" s="512">
        <v>18</v>
      </c>
      <c r="V13" s="512">
        <v>16</v>
      </c>
      <c r="W13" s="512">
        <v>12</v>
      </c>
      <c r="X13" s="512">
        <v>21</v>
      </c>
      <c r="Y13" s="512">
        <v>8</v>
      </c>
      <c r="Z13" s="512">
        <v>11</v>
      </c>
      <c r="AA13" s="512">
        <v>13</v>
      </c>
      <c r="AB13" s="512">
        <v>7</v>
      </c>
      <c r="AC13" s="512">
        <v>9</v>
      </c>
      <c r="AD13" s="512">
        <v>9</v>
      </c>
      <c r="AE13" s="462">
        <v>433.15476190476187</v>
      </c>
      <c r="AF13" s="463">
        <v>27.072172619047617</v>
      </c>
      <c r="AG13" s="463">
        <v>5.625</v>
      </c>
      <c r="AH13" s="846">
        <v>51.619292999353334</v>
      </c>
      <c r="AI13" s="512">
        <v>58</v>
      </c>
      <c r="AJ13" s="512">
        <v>43</v>
      </c>
      <c r="AK13" s="512">
        <v>31</v>
      </c>
      <c r="AL13" s="512">
        <v>15</v>
      </c>
      <c r="AM13" s="512">
        <v>4</v>
      </c>
      <c r="AN13" s="512">
        <v>69</v>
      </c>
      <c r="AO13" s="512">
        <v>53</v>
      </c>
      <c r="AP13" s="512">
        <v>37</v>
      </c>
      <c r="AQ13" s="512">
        <v>21</v>
      </c>
      <c r="AR13" s="512">
        <v>8</v>
      </c>
      <c r="AS13" s="512">
        <v>50</v>
      </c>
      <c r="AT13" s="512">
        <v>34</v>
      </c>
      <c r="AU13" s="512">
        <v>12</v>
      </c>
      <c r="AV13" s="512">
        <v>5</v>
      </c>
      <c r="AW13" s="512">
        <v>2</v>
      </c>
      <c r="AX13" s="33">
        <v>0.89489445974013426</v>
      </c>
      <c r="AY13" s="33">
        <v>0.82565984778971224</v>
      </c>
      <c r="AZ13" s="463">
        <v>13.833333333333334</v>
      </c>
      <c r="BA13" s="463">
        <v>10.722222222222221</v>
      </c>
      <c r="BB13" s="463">
        <v>536.59375</v>
      </c>
      <c r="BC13" s="34">
        <v>7.4670719997773478</v>
      </c>
      <c r="BD13" s="460">
        <v>21.390338636737869</v>
      </c>
      <c r="BE13" s="458">
        <v>0.31675111136994544</v>
      </c>
      <c r="BF13" s="464">
        <v>789.34920634920627</v>
      </c>
      <c r="BG13" s="460">
        <v>49.334325396825392</v>
      </c>
    </row>
    <row r="14" spans="1:59" x14ac:dyDescent="0.25">
      <c r="A14" s="457">
        <v>44105</v>
      </c>
      <c r="B14" s="838">
        <v>78.012380952380951</v>
      </c>
      <c r="C14" s="463">
        <v>169.38095238095238</v>
      </c>
      <c r="D14" s="845">
        <v>2.1712060356719936</v>
      </c>
      <c r="E14" s="835">
        <v>2.4464981138525022</v>
      </c>
      <c r="F14" s="840">
        <v>2.8786639483354293</v>
      </c>
      <c r="G14" s="459">
        <v>12</v>
      </c>
      <c r="H14" s="459">
        <v>21</v>
      </c>
      <c r="J14" s="512">
        <v>3</v>
      </c>
      <c r="K14" s="512">
        <v>2</v>
      </c>
      <c r="L14" s="512">
        <v>2</v>
      </c>
      <c r="M14" s="512">
        <v>2</v>
      </c>
      <c r="N14" s="512">
        <v>1</v>
      </c>
      <c r="O14" s="512">
        <v>1</v>
      </c>
      <c r="P14" s="512">
        <v>2</v>
      </c>
      <c r="Q14" s="512">
        <v>3</v>
      </c>
      <c r="R14" s="512">
        <v>1</v>
      </c>
      <c r="S14" s="462">
        <v>40.595238095238102</v>
      </c>
      <c r="T14" s="463">
        <v>3.3829365079365084</v>
      </c>
      <c r="X14" s="512">
        <v>3</v>
      </c>
      <c r="Y14" s="512">
        <v>1</v>
      </c>
      <c r="AA14" s="512">
        <v>1</v>
      </c>
      <c r="AB14" s="512">
        <v>2</v>
      </c>
      <c r="AC14" s="512">
        <v>5</v>
      </c>
      <c r="AE14" s="462">
        <v>18.984126984126984</v>
      </c>
      <c r="AF14" s="463">
        <v>1.5820105820105821</v>
      </c>
      <c r="AG14" s="463">
        <v>1.75</v>
      </c>
      <c r="AH14" s="823">
        <v>44.738026243197211</v>
      </c>
      <c r="AI14" s="512">
        <v>8</v>
      </c>
      <c r="AJ14" s="512">
        <v>4</v>
      </c>
      <c r="AK14" s="512">
        <v>1</v>
      </c>
      <c r="AN14" s="512">
        <v>10</v>
      </c>
      <c r="AO14" s="512">
        <v>6</v>
      </c>
      <c r="AS14" s="512">
        <v>8</v>
      </c>
      <c r="AT14" s="512">
        <v>4</v>
      </c>
      <c r="AU14" s="512">
        <v>1</v>
      </c>
      <c r="AX14" s="33">
        <v>0.84987277353689561</v>
      </c>
      <c r="AY14" s="33">
        <v>0.88747504990019965</v>
      </c>
      <c r="AZ14" s="463">
        <v>13.952380952380953</v>
      </c>
      <c r="BA14" s="463">
        <v>11.666666666666666</v>
      </c>
      <c r="BB14" s="463">
        <v>534.69345238095241</v>
      </c>
      <c r="BC14" s="34">
        <v>6.8539563317177983</v>
      </c>
      <c r="BD14" s="460">
        <v>16.768191237975007</v>
      </c>
      <c r="BE14" s="458">
        <v>0.31678142237708523</v>
      </c>
      <c r="BF14" s="464">
        <v>59.57936507936509</v>
      </c>
      <c r="BG14" s="460">
        <v>4.9649470899470902</v>
      </c>
    </row>
    <row r="15" spans="1:59" x14ac:dyDescent="0.25">
      <c r="A15" s="457">
        <v>44136</v>
      </c>
      <c r="B15" s="838">
        <v>75.309599999999989</v>
      </c>
      <c r="C15" s="463">
        <v>172.16</v>
      </c>
      <c r="D15" s="835">
        <v>2.2860299350945965</v>
      </c>
      <c r="E15" s="842">
        <v>2.5306202662077615</v>
      </c>
      <c r="F15" s="840">
        <v>2.8376196394616362</v>
      </c>
      <c r="G15" s="459">
        <v>13</v>
      </c>
      <c r="H15" s="459">
        <v>50</v>
      </c>
      <c r="I15" s="512">
        <v>4</v>
      </c>
      <c r="J15" s="512">
        <v>5</v>
      </c>
      <c r="K15" s="512">
        <v>10</v>
      </c>
      <c r="L15" s="512">
        <v>2</v>
      </c>
      <c r="M15" s="512">
        <v>4</v>
      </c>
      <c r="N15" s="512">
        <v>1</v>
      </c>
      <c r="O15" s="512">
        <v>1</v>
      </c>
      <c r="Q15" s="512">
        <v>5</v>
      </c>
      <c r="R15" s="512">
        <v>2</v>
      </c>
      <c r="S15" s="462">
        <v>121.984126984127</v>
      </c>
      <c r="T15" s="463">
        <v>9.3833943833943856</v>
      </c>
      <c r="U15" s="512">
        <v>3</v>
      </c>
      <c r="V15" s="512">
        <v>4</v>
      </c>
      <c r="W15" s="512">
        <v>1</v>
      </c>
      <c r="X15" s="512">
        <v>3</v>
      </c>
      <c r="Y15" s="512">
        <v>6</v>
      </c>
      <c r="Z15" s="512">
        <v>3</v>
      </c>
      <c r="AA15" s="512">
        <v>5</v>
      </c>
      <c r="AB15" s="512">
        <v>2</v>
      </c>
      <c r="AC15" s="512">
        <v>5</v>
      </c>
      <c r="AD15" s="512">
        <v>2</v>
      </c>
      <c r="AE15" s="462">
        <v>95.031746031746039</v>
      </c>
      <c r="AF15" s="463">
        <v>7.3101343101343108</v>
      </c>
      <c r="AG15" s="463">
        <v>3.8461538461538463</v>
      </c>
      <c r="AH15" s="823">
        <v>48.281074833756875</v>
      </c>
      <c r="AI15" s="512">
        <v>20</v>
      </c>
      <c r="AJ15" s="512">
        <v>12</v>
      </c>
      <c r="AK15" s="512">
        <v>7</v>
      </c>
      <c r="AL15" s="512">
        <v>4</v>
      </c>
      <c r="AM15" s="512">
        <v>2</v>
      </c>
      <c r="AN15" s="512">
        <v>27</v>
      </c>
      <c r="AO15" s="512">
        <v>15</v>
      </c>
      <c r="AP15" s="512">
        <v>9</v>
      </c>
      <c r="AQ15" s="512">
        <v>2</v>
      </c>
      <c r="AR15" s="512">
        <v>1</v>
      </c>
      <c r="AS15" s="512">
        <v>17</v>
      </c>
      <c r="AT15" s="512">
        <v>11</v>
      </c>
      <c r="AU15" s="512">
        <v>2</v>
      </c>
      <c r="AX15" s="33">
        <v>0.89181094992980814</v>
      </c>
      <c r="AY15" s="33">
        <v>0.90334767551684325</v>
      </c>
      <c r="AZ15" s="463">
        <v>13.54</v>
      </c>
      <c r="BA15" s="463">
        <v>10.78</v>
      </c>
      <c r="BB15" s="463">
        <v>528.72874999999999</v>
      </c>
      <c r="BC15" s="34">
        <v>7.0207350722882618</v>
      </c>
      <c r="BD15" s="460">
        <v>17.766814457608287</v>
      </c>
      <c r="BE15" s="458">
        <v>0.32561119477614942</v>
      </c>
      <c r="BF15" s="464">
        <v>217.01587301587304</v>
      </c>
      <c r="BG15" s="460">
        <v>16.693528693528698</v>
      </c>
    </row>
    <row r="16" spans="1:59" x14ac:dyDescent="0.25">
      <c r="A16" s="457">
        <v>44166</v>
      </c>
      <c r="B16" s="843">
        <v>73.295624999999987</v>
      </c>
      <c r="C16" s="463">
        <v>173.0625</v>
      </c>
      <c r="D16" s="835">
        <v>2.3611572996341872</v>
      </c>
      <c r="E16" s="842">
        <v>2.6203815029887534</v>
      </c>
      <c r="F16" s="840">
        <v>2.9375900676199982</v>
      </c>
      <c r="G16" s="459">
        <v>3</v>
      </c>
      <c r="H16" s="459">
        <v>16</v>
      </c>
      <c r="I16" s="512">
        <v>3</v>
      </c>
      <c r="J16" s="512">
        <v>3</v>
      </c>
      <c r="K16" s="512">
        <v>1</v>
      </c>
      <c r="M16" s="512">
        <v>2</v>
      </c>
      <c r="N16" s="512">
        <v>2</v>
      </c>
      <c r="O16" s="512">
        <v>1</v>
      </c>
      <c r="Q16" s="512">
        <v>1</v>
      </c>
      <c r="S16" s="462">
        <v>58.206349206349216</v>
      </c>
      <c r="T16" s="463">
        <v>19.402116402116405</v>
      </c>
      <c r="U16" s="512">
        <v>4</v>
      </c>
      <c r="V16" s="512">
        <v>3</v>
      </c>
      <c r="W16" s="512">
        <v>1</v>
      </c>
      <c r="X16" s="512">
        <v>2</v>
      </c>
      <c r="Y16" s="512">
        <v>3</v>
      </c>
      <c r="Z16" s="512">
        <v>1</v>
      </c>
      <c r="AA16" s="512">
        <v>1</v>
      </c>
      <c r="AB16" s="512">
        <v>2</v>
      </c>
      <c r="AC16" s="512">
        <v>2</v>
      </c>
      <c r="AD16" s="512">
        <v>1</v>
      </c>
      <c r="AE16" s="462">
        <v>78.150793650793673</v>
      </c>
      <c r="AF16" s="463">
        <v>26.050264550264558</v>
      </c>
      <c r="AG16" s="463">
        <v>5.333333333333333</v>
      </c>
      <c r="AH16" s="846">
        <v>50.823028325056491</v>
      </c>
      <c r="AI16" s="512">
        <v>10</v>
      </c>
      <c r="AJ16" s="512">
        <v>7</v>
      </c>
      <c r="AK16" s="512">
        <v>5</v>
      </c>
      <c r="AL16" s="512">
        <v>2</v>
      </c>
      <c r="AM16" s="512">
        <v>1</v>
      </c>
      <c r="AN16" s="512">
        <v>10</v>
      </c>
      <c r="AO16" s="512">
        <v>8</v>
      </c>
      <c r="AP16" s="512">
        <v>5</v>
      </c>
      <c r="AQ16" s="512">
        <v>3</v>
      </c>
      <c r="AR16" s="512">
        <v>1</v>
      </c>
      <c r="AS16" s="512">
        <v>6</v>
      </c>
      <c r="AT16" s="512">
        <v>5</v>
      </c>
      <c r="AU16" s="512">
        <v>3</v>
      </c>
      <c r="AV16" s="512">
        <v>2</v>
      </c>
      <c r="AW16" s="512">
        <v>2</v>
      </c>
      <c r="AX16" s="33">
        <v>0.89201741654571853</v>
      </c>
      <c r="AY16" s="33">
        <v>0.90107386918320853</v>
      </c>
      <c r="AZ16" s="463">
        <v>13.75</v>
      </c>
      <c r="BA16" s="463">
        <v>9.125</v>
      </c>
      <c r="BB16" s="463">
        <v>517.59765625</v>
      </c>
      <c r="BC16" s="34">
        <v>7.0617810578735103</v>
      </c>
      <c r="BD16" s="460">
        <v>18.504560462208097</v>
      </c>
      <c r="BE16" s="458">
        <v>0.33435719406814834</v>
      </c>
      <c r="BF16" s="464">
        <v>136.35714285714289</v>
      </c>
      <c r="BG16" s="460">
        <v>45.452380952380963</v>
      </c>
    </row>
  </sheetData>
  <phoneticPr fontId="1" type="noConversion"/>
  <conditionalFormatting sqref="S1:S1048576">
    <cfRule type="dataBar" priority="10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{67DA4398-7D77-4BD1-A019-6406E4D3E916}</x14:id>
        </ext>
      </extLst>
    </cfRule>
  </conditionalFormatting>
  <conditionalFormatting sqref="T1:T1048576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{6FB47A29-1CCA-4FE7-8BC3-2C1E570730D7}</x14:id>
        </ext>
      </extLst>
    </cfRule>
  </conditionalFormatting>
  <conditionalFormatting sqref="AE1:AE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{EE4983B4-50E9-4154-98EC-C278E713AA13}</x14:id>
        </ext>
      </extLst>
    </cfRule>
  </conditionalFormatting>
  <conditionalFormatting sqref="AF1:AF1048576">
    <cfRule type="dataBar" priority="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{629F1729-7D96-4AE0-8647-3B250392A599}</x14:id>
        </ext>
      </extLst>
    </cfRule>
  </conditionalFormatting>
  <conditionalFormatting sqref="AG1:AG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{0EC87A8C-5D41-4F2D-B94B-FF3CEF0B911F}</x14:id>
        </ext>
      </extLst>
    </cfRule>
  </conditionalFormatting>
  <conditionalFormatting sqref="AX1:AY1048576">
    <cfRule type="expression" dxfId="269" priority="54">
      <formula>AX1&gt;=31/32</formula>
    </cfRule>
    <cfRule type="expression" dxfId="268" priority="55">
      <formula>AX1&gt;=30/32</formula>
    </cfRule>
    <cfRule type="expression" dxfId="267" priority="56">
      <formula>AX1&gt;=29/32</formula>
    </cfRule>
    <cfRule type="expression" dxfId="266" priority="57">
      <formula>AX1&gt;=28/32</formula>
    </cfRule>
    <cfRule type="expression" dxfId="265" priority="58">
      <formula>AX1&gt;=27/32</formula>
    </cfRule>
    <cfRule type="expression" dxfId="264" priority="59">
      <formula>AX1&gt;=26/32</formula>
    </cfRule>
    <cfRule type="expression" dxfId="263" priority="60">
      <formula>AX1&gt;=25/32</formula>
    </cfRule>
    <cfRule type="expression" dxfId="262" priority="61">
      <formula>AX1&gt;=24/32</formula>
    </cfRule>
    <cfRule type="expression" dxfId="261" priority="62">
      <formula>AX1&gt;=23/32</formula>
    </cfRule>
    <cfRule type="expression" dxfId="260" priority="63">
      <formula>AX1&gt;=22/32</formula>
    </cfRule>
    <cfRule type="expression" dxfId="259" priority="64">
      <formula>AX1&gt;=21/32</formula>
    </cfRule>
    <cfRule type="expression" dxfId="258" priority="65">
      <formula>AX1&gt;=20/32</formula>
    </cfRule>
    <cfRule type="expression" dxfId="257" priority="66">
      <formula>AX1&gt;=19/32</formula>
    </cfRule>
    <cfRule type="expression" dxfId="256" priority="67">
      <formula>AX1&gt;=0</formula>
    </cfRule>
  </conditionalFormatting>
  <conditionalFormatting sqref="H1:H1048576">
    <cfRule type="dataBar" priority="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{8AECF45B-EC98-4A3A-B290-E2A3FC97BDC0}</x14:id>
        </ext>
      </extLst>
    </cfRule>
  </conditionalFormatting>
  <conditionalFormatting sqref="BC1:BC1048576">
    <cfRule type="expression" dxfId="255" priority="29">
      <formula>BC1&gt;=7.5*3</formula>
    </cfRule>
    <cfRule type="expression" dxfId="254" priority="30">
      <formula>BC1&gt;=7*3</formula>
    </cfRule>
    <cfRule type="expression" dxfId="253" priority="31">
      <formula>BC1&gt;=6.5*3</formula>
    </cfRule>
    <cfRule type="expression" dxfId="252" priority="32">
      <formula>BC1&gt;=6*3</formula>
    </cfRule>
    <cfRule type="expression" dxfId="251" priority="33">
      <formula>BC1&gt;=5.5*3</formula>
    </cfRule>
    <cfRule type="expression" dxfId="250" priority="34">
      <formula>BC1&gt;=5*3</formula>
    </cfRule>
    <cfRule type="expression" dxfId="249" priority="35">
      <formula>BC1&gt;=4.5*3</formula>
    </cfRule>
    <cfRule type="expression" dxfId="248" priority="36">
      <formula>BC1&gt;=4*3</formula>
    </cfRule>
    <cfRule type="expression" dxfId="247" priority="37">
      <formula>BC1&gt;=3.5*3</formula>
    </cfRule>
    <cfRule type="expression" dxfId="246" priority="38">
      <formula>BC1&gt;=3*3</formula>
    </cfRule>
    <cfRule type="expression" dxfId="245" priority="39">
      <formula>BC1&gt;=2.5*3</formula>
    </cfRule>
    <cfRule type="expression" dxfId="244" priority="40">
      <formula>BC1&gt;=2*3</formula>
    </cfRule>
    <cfRule type="expression" dxfId="243" priority="41">
      <formula>BC1&gt;=1.5*3</formula>
    </cfRule>
    <cfRule type="expression" dxfId="242" priority="42">
      <formula>BC1&gt;=0</formula>
    </cfRule>
  </conditionalFormatting>
  <conditionalFormatting sqref="BF1:BF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{004A703D-C195-4B60-9DB3-9A4AB1617254}</x14:id>
        </ext>
      </extLst>
    </cfRule>
  </conditionalFormatting>
  <conditionalFormatting sqref="BG1:BG1048576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{80521849-1382-4B83-A155-C3EAAA84248C}</x14:id>
        </ext>
      </extLst>
    </cfRule>
  </conditionalFormatting>
  <conditionalFormatting sqref="I1:R1048576">
    <cfRule type="cellIs" dxfId="241" priority="13" operator="greaterThan">
      <formula>5</formula>
    </cfRule>
    <cfRule type="cellIs" dxfId="240" priority="14" operator="equal">
      <formula>5</formula>
    </cfRule>
    <cfRule type="cellIs" dxfId="239" priority="15" operator="equal">
      <formula>4</formula>
    </cfRule>
    <cfRule type="cellIs" dxfId="238" priority="16" operator="equal">
      <formula>3</formula>
    </cfRule>
    <cfRule type="cellIs" dxfId="237" priority="17" operator="equal">
      <formula>2</formula>
    </cfRule>
    <cfRule type="cellIs" dxfId="236" priority="18" operator="equal">
      <formula>1</formula>
    </cfRule>
  </conditionalFormatting>
  <conditionalFormatting sqref="U1:AD1048576">
    <cfRule type="cellIs" dxfId="235" priority="7" operator="greaterThan">
      <formula>5</formula>
    </cfRule>
    <cfRule type="cellIs" dxfId="234" priority="8" operator="equal">
      <formula>5</formula>
    </cfRule>
    <cfRule type="cellIs" dxfId="233" priority="9" operator="equal">
      <formula>4</formula>
    </cfRule>
    <cfRule type="cellIs" dxfId="232" priority="10" operator="equal">
      <formula>3</formula>
    </cfRule>
    <cfRule type="cellIs" dxfId="231" priority="11" operator="equal">
      <formula>2</formula>
    </cfRule>
    <cfRule type="cellIs" dxfId="230" priority="12" operator="equal">
      <formula>1</formula>
    </cfRule>
  </conditionalFormatting>
  <conditionalFormatting sqref="AI1:AW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DA4398-7D77-4BD1-A019-6406E4D3E9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6FB47A29-1CCA-4FE7-8BC3-2C1E570730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EE4983B4-50E9-4154-98EC-C278E713AA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629F1729-7D96-4AE0-8647-3B250392A5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0EC87A8C-5D41-4F2D-B94B-FF3CEF0B911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8AECF45B-EC98-4A3A-B290-E2A3FC97B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004A703D-C195-4B60-9DB3-9A4AB16172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BF1:BF1048576</xm:sqref>
        </x14:conditionalFormatting>
        <x14:conditionalFormatting xmlns:xm="http://schemas.microsoft.com/office/excel/2006/main">
          <x14:cfRule type="dataBar" id="{80521849-1382-4B83-A155-C3EAAA8424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B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3.2" x14ac:dyDescent="0.25"/>
  <cols>
    <col min="1" max="1" width="5.5546875" style="477" bestFit="1" customWidth="1"/>
    <col min="2" max="2" width="7.5546875" style="461" bestFit="1" customWidth="1"/>
    <col min="3" max="3" width="8.5546875" style="461" bestFit="1" customWidth="1"/>
    <col min="4" max="6" width="6.5546875" style="461" bestFit="1" customWidth="1"/>
    <col min="7" max="7" width="5.33203125" style="459" bestFit="1" customWidth="1"/>
    <col min="8" max="8" width="6.21875" style="459" bestFit="1" customWidth="1"/>
    <col min="9" max="18" width="4.33203125" style="478" bestFit="1" customWidth="1"/>
    <col min="19" max="19" width="11.44140625" style="462" bestFit="1" customWidth="1"/>
    <col min="20" max="20" width="8" style="463" bestFit="1" customWidth="1"/>
    <col min="21" max="30" width="5" style="512" bestFit="1" customWidth="1"/>
    <col min="31" max="31" width="9.33203125" style="462" bestFit="1" customWidth="1"/>
    <col min="32" max="32" width="7.33203125" style="463" bestFit="1" customWidth="1"/>
    <col min="33" max="33" width="9.88671875" style="463" bestFit="1" customWidth="1"/>
    <col min="34" max="34" width="6.5546875" style="463" bestFit="1" customWidth="1"/>
    <col min="35" max="39" width="7" style="498" bestFit="1" customWidth="1"/>
    <col min="40" max="44" width="4.88671875" style="498" bestFit="1" customWidth="1"/>
    <col min="45" max="45" width="5.21875" style="498" bestFit="1" customWidth="1"/>
    <col min="46" max="46" width="4.6640625" style="498" customWidth="1"/>
    <col min="47" max="47" width="5.21875" style="498" bestFit="1" customWidth="1"/>
    <col min="48" max="48" width="4.6640625" style="498" customWidth="1"/>
    <col min="49" max="49" width="5.21875" style="498" bestFit="1" customWidth="1"/>
    <col min="50" max="51" width="6.6640625" style="33" bestFit="1" customWidth="1"/>
    <col min="52" max="53" width="6.5546875" style="463" bestFit="1" customWidth="1"/>
    <col min="54" max="54" width="7.5546875" style="463" bestFit="1" customWidth="1"/>
    <col min="55" max="55" width="5.77734375" style="34" bestFit="1" customWidth="1"/>
    <col min="56" max="56" width="6.5546875" style="460" bestFit="1" customWidth="1"/>
    <col min="57" max="57" width="6.5546875" style="458" bestFit="1" customWidth="1"/>
    <col min="58" max="58" width="21.33203125" style="464" bestFit="1" customWidth="1"/>
    <col min="59" max="59" width="15.44140625" style="460" bestFit="1" customWidth="1"/>
    <col min="60" max="16384" width="9" style="456"/>
  </cols>
  <sheetData>
    <row r="1" spans="1:59" x14ac:dyDescent="0.25">
      <c r="A1" s="477" t="s">
        <v>36</v>
      </c>
      <c r="B1" s="461" t="s">
        <v>6</v>
      </c>
      <c r="C1" s="461" t="s">
        <v>54</v>
      </c>
      <c r="D1" s="461" t="s">
        <v>2</v>
      </c>
      <c r="E1" s="461" t="s">
        <v>509</v>
      </c>
      <c r="F1" s="461" t="s">
        <v>510</v>
      </c>
      <c r="G1" s="459" t="s">
        <v>511</v>
      </c>
      <c r="H1" s="459" t="s">
        <v>539</v>
      </c>
      <c r="I1" s="479" t="s">
        <v>513</v>
      </c>
      <c r="J1" s="479" t="s">
        <v>522</v>
      </c>
      <c r="K1" s="479" t="s">
        <v>523</v>
      </c>
      <c r="L1" s="479" t="s">
        <v>524</v>
      </c>
      <c r="M1" s="479" t="s">
        <v>525</v>
      </c>
      <c r="N1" s="479" t="s">
        <v>526</v>
      </c>
      <c r="O1" s="479" t="s">
        <v>527</v>
      </c>
      <c r="P1" s="479" t="s">
        <v>528</v>
      </c>
      <c r="Q1" s="479" t="s">
        <v>529</v>
      </c>
      <c r="R1" s="479" t="s">
        <v>517</v>
      </c>
      <c r="S1" s="462" t="s">
        <v>515</v>
      </c>
      <c r="T1" s="463" t="s">
        <v>537</v>
      </c>
      <c r="U1" s="513" t="s">
        <v>518</v>
      </c>
      <c r="V1" s="513" t="s">
        <v>519</v>
      </c>
      <c r="W1" s="513" t="s">
        <v>520</v>
      </c>
      <c r="X1" s="513" t="s">
        <v>521</v>
      </c>
      <c r="Y1" s="513" t="s">
        <v>530</v>
      </c>
      <c r="Z1" s="513" t="s">
        <v>531</v>
      </c>
      <c r="AA1" s="513" t="s">
        <v>532</v>
      </c>
      <c r="AB1" s="513" t="s">
        <v>533</v>
      </c>
      <c r="AC1" s="513" t="s">
        <v>534</v>
      </c>
      <c r="AD1" s="513" t="s">
        <v>535</v>
      </c>
      <c r="AE1" s="462" t="s">
        <v>516</v>
      </c>
      <c r="AF1" s="463" t="s">
        <v>538</v>
      </c>
      <c r="AG1" s="463" t="s">
        <v>514</v>
      </c>
      <c r="AH1" s="463" t="s">
        <v>37</v>
      </c>
      <c r="AI1" s="497" t="s">
        <v>664</v>
      </c>
      <c r="AJ1" s="497" t="s">
        <v>672</v>
      </c>
      <c r="AK1" s="497" t="s">
        <v>680</v>
      </c>
      <c r="AL1" s="497" t="s">
        <v>688</v>
      </c>
      <c r="AM1" s="497" t="s">
        <v>696</v>
      </c>
      <c r="AN1" s="497" t="s">
        <v>665</v>
      </c>
      <c r="AO1" s="497" t="s">
        <v>673</v>
      </c>
      <c r="AP1" s="497" t="s">
        <v>681</v>
      </c>
      <c r="AQ1" s="497" t="s">
        <v>689</v>
      </c>
      <c r="AR1" s="497" t="s">
        <v>697</v>
      </c>
      <c r="AS1" s="497" t="s">
        <v>666</v>
      </c>
      <c r="AT1" s="497" t="s">
        <v>674</v>
      </c>
      <c r="AU1" s="497" t="s">
        <v>682</v>
      </c>
      <c r="AV1" s="497" t="s">
        <v>690</v>
      </c>
      <c r="AW1" s="497" t="s">
        <v>698</v>
      </c>
      <c r="AX1" s="27" t="s">
        <v>544</v>
      </c>
      <c r="AY1" s="27" t="s">
        <v>545</v>
      </c>
      <c r="AZ1" s="463" t="s">
        <v>540</v>
      </c>
      <c r="BA1" s="463" t="s">
        <v>541</v>
      </c>
      <c r="BB1" s="463" t="s">
        <v>542</v>
      </c>
      <c r="BC1" s="23" t="s">
        <v>543</v>
      </c>
      <c r="BD1" s="460" t="s">
        <v>570</v>
      </c>
      <c r="BE1" s="458" t="s">
        <v>571</v>
      </c>
      <c r="BF1" s="464" t="s">
        <v>573</v>
      </c>
      <c r="BG1" s="460" t="s">
        <v>572</v>
      </c>
    </row>
    <row r="2" spans="1:59" x14ac:dyDescent="0.25">
      <c r="A2" s="477">
        <v>43466</v>
      </c>
      <c r="B2" s="461">
        <v>6.2490342052313892</v>
      </c>
      <c r="C2" s="461">
        <v>16.469818913480886</v>
      </c>
      <c r="D2" s="842">
        <v>2.635578294593611</v>
      </c>
      <c r="E2" s="841">
        <v>3.3564945247072382</v>
      </c>
      <c r="F2" s="847">
        <v>4.1516274547052738</v>
      </c>
      <c r="G2" s="459">
        <v>59</v>
      </c>
      <c r="H2" s="459">
        <v>994</v>
      </c>
      <c r="I2" s="478">
        <v>15</v>
      </c>
      <c r="J2" s="478">
        <v>15</v>
      </c>
      <c r="K2" s="478">
        <v>10</v>
      </c>
      <c r="L2" s="478">
        <v>11</v>
      </c>
      <c r="M2" s="478">
        <v>12</v>
      </c>
      <c r="N2" s="478">
        <v>14</v>
      </c>
      <c r="O2" s="478">
        <v>14</v>
      </c>
      <c r="P2" s="478">
        <v>11</v>
      </c>
      <c r="Q2" s="478">
        <v>12</v>
      </c>
      <c r="R2" s="478">
        <v>10</v>
      </c>
      <c r="S2" s="462">
        <v>390.25</v>
      </c>
      <c r="T2" s="463">
        <v>6.6144067796610173</v>
      </c>
      <c r="U2" s="512">
        <v>14</v>
      </c>
      <c r="V2" s="512">
        <v>28</v>
      </c>
      <c r="W2" s="512">
        <v>24</v>
      </c>
      <c r="X2" s="512">
        <v>28</v>
      </c>
      <c r="Y2" s="512">
        <v>28</v>
      </c>
      <c r="Z2" s="512">
        <v>25</v>
      </c>
      <c r="AA2" s="512">
        <v>26</v>
      </c>
      <c r="AB2" s="512">
        <v>29</v>
      </c>
      <c r="AC2" s="512">
        <v>24</v>
      </c>
      <c r="AD2" s="512">
        <v>26</v>
      </c>
      <c r="AE2" s="462">
        <v>653.72619047619037</v>
      </c>
      <c r="AF2" s="463">
        <v>11.08010492332526</v>
      </c>
      <c r="AG2" s="463">
        <v>16.847457627118644</v>
      </c>
      <c r="AH2" s="848">
        <v>34.566773974197432</v>
      </c>
      <c r="AI2" s="498">
        <v>21</v>
      </c>
      <c r="AJ2" s="498">
        <v>10</v>
      </c>
      <c r="AK2" s="498">
        <v>5</v>
      </c>
      <c r="AL2" s="498">
        <v>0</v>
      </c>
      <c r="AM2" s="498">
        <v>0</v>
      </c>
      <c r="AN2" s="498">
        <v>135</v>
      </c>
      <c r="AO2" s="498">
        <v>54</v>
      </c>
      <c r="AP2" s="498">
        <v>14</v>
      </c>
      <c r="AQ2" s="498">
        <v>1</v>
      </c>
      <c r="AR2" s="498">
        <v>0</v>
      </c>
      <c r="AS2" s="498">
        <v>313</v>
      </c>
      <c r="AT2" s="498">
        <v>194</v>
      </c>
      <c r="AU2" s="498">
        <v>107</v>
      </c>
      <c r="AV2" s="498">
        <v>45</v>
      </c>
      <c r="AW2" s="498">
        <v>9</v>
      </c>
      <c r="AX2" s="33">
        <v>0.80847681091980772</v>
      </c>
      <c r="AY2" s="33">
        <v>0.78521751642764637</v>
      </c>
      <c r="AZ2" s="463">
        <v>2.7122736418511066</v>
      </c>
      <c r="BA2" s="463">
        <v>3.0533199195171026</v>
      </c>
      <c r="BB2" s="463">
        <v>53.321554325955738</v>
      </c>
      <c r="BC2" s="34">
        <v>8.5327672364663183</v>
      </c>
      <c r="BD2" s="460">
        <v>28.640186509800511</v>
      </c>
      <c r="BE2" s="458">
        <v>0.30887732215757535</v>
      </c>
      <c r="BF2" s="464">
        <v>1043.9761904761904</v>
      </c>
      <c r="BG2" s="460">
        <v>17.694511702986276</v>
      </c>
    </row>
    <row r="3" spans="1:59" x14ac:dyDescent="0.25">
      <c r="A3" s="477">
        <v>43831</v>
      </c>
      <c r="B3" s="461">
        <v>6.447835400225479</v>
      </c>
      <c r="C3" s="461">
        <v>16.410372040586246</v>
      </c>
      <c r="D3" s="842">
        <v>2.5450978540817562</v>
      </c>
      <c r="E3" s="836">
        <v>3.2497381640535528</v>
      </c>
      <c r="F3" s="844">
        <v>3.8351316523378149</v>
      </c>
      <c r="G3" s="459">
        <v>195</v>
      </c>
      <c r="H3" s="459">
        <v>887</v>
      </c>
      <c r="I3" s="478">
        <v>22</v>
      </c>
      <c r="J3" s="478">
        <v>20</v>
      </c>
      <c r="K3" s="478">
        <v>21</v>
      </c>
      <c r="L3" s="478">
        <v>18</v>
      </c>
      <c r="M3" s="478">
        <v>16</v>
      </c>
      <c r="N3" s="478">
        <v>13</v>
      </c>
      <c r="O3" s="478">
        <v>13</v>
      </c>
      <c r="P3" s="478">
        <v>14</v>
      </c>
      <c r="Q3" s="478">
        <v>13</v>
      </c>
      <c r="R3" s="478">
        <v>14</v>
      </c>
      <c r="S3" s="462">
        <v>553.18253968253975</v>
      </c>
      <c r="T3" s="463">
        <v>2.8368335368335371</v>
      </c>
      <c r="U3" s="512">
        <v>46</v>
      </c>
      <c r="V3" s="512">
        <v>32</v>
      </c>
      <c r="W3" s="512">
        <v>36</v>
      </c>
      <c r="X3" s="512">
        <v>32</v>
      </c>
      <c r="Y3" s="512">
        <v>32</v>
      </c>
      <c r="Z3" s="512">
        <v>35</v>
      </c>
      <c r="AA3" s="512">
        <v>34</v>
      </c>
      <c r="AB3" s="512">
        <v>31</v>
      </c>
      <c r="AC3" s="512">
        <v>36</v>
      </c>
      <c r="AD3" s="512">
        <v>34</v>
      </c>
      <c r="AE3" s="462">
        <v>1103.6547619047617</v>
      </c>
      <c r="AF3" s="463">
        <v>5.6597680097680083</v>
      </c>
      <c r="AG3" s="463">
        <v>4.5487179487179485</v>
      </c>
      <c r="AH3" s="848">
        <v>32.656277970015751</v>
      </c>
      <c r="AI3" s="498">
        <v>45</v>
      </c>
      <c r="AJ3" s="498">
        <v>18</v>
      </c>
      <c r="AK3" s="498">
        <v>11</v>
      </c>
      <c r="AL3" s="498">
        <v>7</v>
      </c>
      <c r="AM3" s="498">
        <v>2</v>
      </c>
      <c r="AN3" s="498">
        <v>192</v>
      </c>
      <c r="AO3" s="498">
        <v>82</v>
      </c>
      <c r="AP3" s="498">
        <v>32</v>
      </c>
      <c r="AQ3" s="498">
        <v>17</v>
      </c>
      <c r="AR3" s="498">
        <v>7</v>
      </c>
      <c r="AS3" s="498">
        <v>337</v>
      </c>
      <c r="AT3" s="498">
        <v>221</v>
      </c>
      <c r="AU3" s="498">
        <v>128</v>
      </c>
      <c r="AV3" s="498">
        <v>56</v>
      </c>
      <c r="AW3" s="498">
        <v>17</v>
      </c>
      <c r="AX3" s="33">
        <v>0.84736026260599984</v>
      </c>
      <c r="AY3" s="33">
        <v>0.7831701280533736</v>
      </c>
      <c r="AZ3" s="463">
        <v>2.6775648252536639</v>
      </c>
      <c r="BA3" s="463">
        <v>3.1319052987598646</v>
      </c>
      <c r="BB3" s="463">
        <v>52.995772266065387</v>
      </c>
      <c r="BC3" s="34">
        <v>8.2191571242982011</v>
      </c>
      <c r="BD3" s="460">
        <v>26.710108583184514</v>
      </c>
      <c r="BE3" s="458">
        <v>0.30965436182716499</v>
      </c>
      <c r="BF3" s="464">
        <v>1656.8373015873015</v>
      </c>
      <c r="BG3" s="460">
        <v>8.4966015466015463</v>
      </c>
    </row>
    <row r="4" spans="1:59" x14ac:dyDescent="0.25">
      <c r="AI4" s="498" t="s">
        <v>667</v>
      </c>
      <c r="AJ4" s="498" t="s">
        <v>675</v>
      </c>
      <c r="AK4" s="498" t="s">
        <v>683</v>
      </c>
      <c r="AL4" s="498" t="s">
        <v>691</v>
      </c>
      <c r="AM4" s="498" t="s">
        <v>699</v>
      </c>
      <c r="AN4" s="498" t="s">
        <v>668</v>
      </c>
      <c r="AO4" s="498" t="s">
        <v>676</v>
      </c>
      <c r="AP4" s="498" t="s">
        <v>665</v>
      </c>
      <c r="AQ4" s="498" t="s">
        <v>692</v>
      </c>
      <c r="AR4" s="498" t="s">
        <v>673</v>
      </c>
      <c r="AS4" s="498" t="s">
        <v>669</v>
      </c>
      <c r="AT4" s="498" t="s">
        <v>677</v>
      </c>
      <c r="AU4" s="498" t="s">
        <v>684</v>
      </c>
      <c r="AV4" s="498" t="s">
        <v>693</v>
      </c>
      <c r="AW4" s="498" t="s">
        <v>700</v>
      </c>
    </row>
    <row r="5" spans="1:59" x14ac:dyDescent="0.25">
      <c r="A5" s="477">
        <v>43466</v>
      </c>
      <c r="B5" s="461">
        <v>26.524330985915487</v>
      </c>
      <c r="C5" s="461">
        <v>64.644366197183103</v>
      </c>
      <c r="D5" s="835">
        <v>2.4371723543756669</v>
      </c>
      <c r="E5" s="836">
        <v>3.0771640707243293</v>
      </c>
      <c r="F5" s="837">
        <v>3.553341271832533</v>
      </c>
      <c r="G5" s="459">
        <v>59</v>
      </c>
      <c r="H5" s="459">
        <v>284</v>
      </c>
      <c r="I5" s="478">
        <v>27</v>
      </c>
      <c r="J5" s="478">
        <v>23</v>
      </c>
      <c r="K5" s="478">
        <v>22</v>
      </c>
      <c r="L5" s="478">
        <v>24</v>
      </c>
      <c r="M5" s="478">
        <v>19</v>
      </c>
      <c r="N5" s="478">
        <v>17</v>
      </c>
      <c r="O5" s="478">
        <v>18</v>
      </c>
      <c r="P5" s="478">
        <v>21</v>
      </c>
      <c r="Q5" s="478">
        <v>21</v>
      </c>
      <c r="R5" s="478">
        <v>15</v>
      </c>
      <c r="S5" s="462">
        <v>674.96428571428567</v>
      </c>
      <c r="T5" s="463">
        <v>11.44007263922518</v>
      </c>
      <c r="U5" s="512">
        <v>28</v>
      </c>
      <c r="V5" s="512">
        <v>23</v>
      </c>
      <c r="W5" s="512">
        <v>24</v>
      </c>
      <c r="X5" s="512">
        <v>20</v>
      </c>
      <c r="Y5" s="512">
        <v>20</v>
      </c>
      <c r="Z5" s="512">
        <v>28</v>
      </c>
      <c r="AA5" s="512">
        <v>25</v>
      </c>
      <c r="AB5" s="512">
        <v>33</v>
      </c>
      <c r="AC5" s="512">
        <v>32</v>
      </c>
      <c r="AD5" s="512">
        <v>32</v>
      </c>
      <c r="AE5" s="462">
        <v>756.18650793650795</v>
      </c>
      <c r="AF5" s="463">
        <v>12.816720473500135</v>
      </c>
      <c r="AG5" s="463">
        <v>4.8135593220338979</v>
      </c>
      <c r="AH5" s="849">
        <v>37.765371676764389</v>
      </c>
      <c r="AI5" s="498">
        <v>159</v>
      </c>
      <c r="AJ5" s="498">
        <v>73</v>
      </c>
      <c r="AK5" s="498">
        <v>30</v>
      </c>
      <c r="AL5" s="498">
        <v>9</v>
      </c>
      <c r="AM5" s="498">
        <v>1</v>
      </c>
      <c r="AN5" s="498">
        <v>94</v>
      </c>
      <c r="AO5" s="498">
        <v>44</v>
      </c>
      <c r="AP5" s="498">
        <v>17</v>
      </c>
      <c r="AQ5" s="498">
        <v>7</v>
      </c>
      <c r="AR5" s="498">
        <v>2</v>
      </c>
      <c r="AS5" s="498">
        <v>4</v>
      </c>
      <c r="AT5" s="498">
        <v>1</v>
      </c>
      <c r="AU5" s="498">
        <v>0</v>
      </c>
      <c r="AV5" s="498">
        <v>0</v>
      </c>
      <c r="AW5" s="498">
        <v>0</v>
      </c>
      <c r="AX5" s="33">
        <v>0.86599170620540222</v>
      </c>
      <c r="AY5" s="33">
        <v>0.79201898188093178</v>
      </c>
      <c r="AZ5" s="463">
        <v>7.345070422535211</v>
      </c>
      <c r="BA5" s="463">
        <v>7.887323943661972</v>
      </c>
      <c r="BB5" s="463">
        <v>211.2044454225352</v>
      </c>
      <c r="BC5" s="34">
        <v>7.9626681455108335</v>
      </c>
      <c r="BD5" s="460">
        <v>24.502436324467062</v>
      </c>
      <c r="BE5" s="458">
        <v>0.30607483695646515</v>
      </c>
      <c r="BF5" s="464">
        <v>1431.1507936507937</v>
      </c>
      <c r="BG5" s="460">
        <v>24.256793112725315</v>
      </c>
    </row>
    <row r="6" spans="1:59" x14ac:dyDescent="0.25">
      <c r="A6" s="477">
        <v>43831</v>
      </c>
      <c r="B6" s="461">
        <v>25.775951417004048</v>
      </c>
      <c r="C6" s="461">
        <v>61.153846153846153</v>
      </c>
      <c r="D6" s="835">
        <v>2.3725155733147365</v>
      </c>
      <c r="E6" s="840">
        <v>2.9550816283577261</v>
      </c>
      <c r="F6" s="841">
        <v>3.3788517056038803</v>
      </c>
      <c r="G6" s="459">
        <v>143</v>
      </c>
      <c r="H6" s="459">
        <v>247</v>
      </c>
      <c r="I6" s="478">
        <v>36</v>
      </c>
      <c r="J6" s="478">
        <v>33</v>
      </c>
      <c r="K6" s="478">
        <v>25</v>
      </c>
      <c r="L6" s="478">
        <v>20</v>
      </c>
      <c r="M6" s="478">
        <v>19</v>
      </c>
      <c r="N6" s="478">
        <v>19</v>
      </c>
      <c r="O6" s="478">
        <v>16</v>
      </c>
      <c r="P6" s="478">
        <v>10</v>
      </c>
      <c r="Q6" s="478">
        <v>7</v>
      </c>
      <c r="R6" s="478">
        <v>11</v>
      </c>
      <c r="S6" s="462">
        <v>782.13492063492072</v>
      </c>
      <c r="T6" s="463">
        <v>5.4694749694749705</v>
      </c>
      <c r="U6" s="512">
        <v>32</v>
      </c>
      <c r="V6" s="512">
        <v>37</v>
      </c>
      <c r="W6" s="512">
        <v>36</v>
      </c>
      <c r="X6" s="512">
        <v>40</v>
      </c>
      <c r="Y6" s="512">
        <v>40</v>
      </c>
      <c r="Z6" s="512">
        <v>32</v>
      </c>
      <c r="AA6" s="512">
        <v>35</v>
      </c>
      <c r="AB6" s="512">
        <v>27</v>
      </c>
      <c r="AC6" s="512">
        <v>28</v>
      </c>
      <c r="AD6" s="512">
        <v>28</v>
      </c>
      <c r="AE6" s="462">
        <v>1001.1944444444445</v>
      </c>
      <c r="AF6" s="463">
        <v>7.0013597513597512</v>
      </c>
      <c r="AG6" s="463">
        <v>1.7272727272727273</v>
      </c>
      <c r="AH6" s="849">
        <v>37.507438502312233</v>
      </c>
      <c r="AI6" s="498">
        <v>139</v>
      </c>
      <c r="AJ6" s="498">
        <v>80</v>
      </c>
      <c r="AK6" s="498">
        <v>38</v>
      </c>
      <c r="AL6" s="498">
        <v>8</v>
      </c>
      <c r="AM6" s="498">
        <v>2</v>
      </c>
      <c r="AN6" s="498">
        <v>125</v>
      </c>
      <c r="AO6" s="498">
        <v>69</v>
      </c>
      <c r="AP6" s="498">
        <v>25</v>
      </c>
      <c r="AQ6" s="498">
        <v>6</v>
      </c>
      <c r="AR6" s="498">
        <v>1</v>
      </c>
      <c r="AS6" s="498">
        <v>6</v>
      </c>
      <c r="AT6" s="498">
        <v>4</v>
      </c>
      <c r="AU6" s="498">
        <v>2</v>
      </c>
      <c r="AV6" s="498">
        <v>2</v>
      </c>
      <c r="AW6" s="498">
        <v>1</v>
      </c>
      <c r="AX6" s="33">
        <v>0.8745816288583117</v>
      </c>
      <c r="AY6" s="33">
        <v>0.80285957265865848</v>
      </c>
      <c r="AZ6" s="463">
        <v>7.3643724696356276</v>
      </c>
      <c r="BA6" s="463">
        <v>8.4493927125506065</v>
      </c>
      <c r="BB6" s="463">
        <v>200.79352226720647</v>
      </c>
      <c r="BC6" s="34">
        <v>7.789955801000839</v>
      </c>
      <c r="BD6" s="460">
        <v>23.019955273256276</v>
      </c>
      <c r="BE6" s="458">
        <v>0.30456085168158725</v>
      </c>
      <c r="BF6" s="464">
        <v>1783.3293650793653</v>
      </c>
      <c r="BG6" s="460">
        <v>12.470834720834722</v>
      </c>
    </row>
    <row r="7" spans="1:59" x14ac:dyDescent="0.25">
      <c r="AI7" s="498" t="s">
        <v>670</v>
      </c>
      <c r="AJ7" s="498" t="s">
        <v>667</v>
      </c>
      <c r="AK7" s="498" t="s">
        <v>685</v>
      </c>
      <c r="AL7" s="498" t="s">
        <v>675</v>
      </c>
      <c r="AM7" s="498" t="s">
        <v>701</v>
      </c>
      <c r="AN7" s="498" t="s">
        <v>665</v>
      </c>
      <c r="AO7" s="498" t="s">
        <v>678</v>
      </c>
      <c r="AP7" s="498" t="s">
        <v>686</v>
      </c>
      <c r="AQ7" s="498" t="s">
        <v>694</v>
      </c>
      <c r="AR7" s="498" t="s">
        <v>702</v>
      </c>
      <c r="AS7" s="498" t="s">
        <v>671</v>
      </c>
      <c r="AT7" s="498" t="s">
        <v>679</v>
      </c>
      <c r="AU7" s="498" t="s">
        <v>687</v>
      </c>
      <c r="AV7" s="498" t="s">
        <v>695</v>
      </c>
      <c r="AW7" s="498" t="s">
        <v>703</v>
      </c>
    </row>
    <row r="8" spans="1:59" x14ac:dyDescent="0.25">
      <c r="A8" s="477">
        <v>43466</v>
      </c>
      <c r="B8" s="461">
        <v>81.490898876404486</v>
      </c>
      <c r="C8" s="461">
        <v>172.03370786516854</v>
      </c>
      <c r="D8" s="845">
        <v>2.1110787859401134</v>
      </c>
      <c r="E8" s="842">
        <v>2.5510075112360608</v>
      </c>
      <c r="F8" s="840">
        <v>2.8590771148360128</v>
      </c>
      <c r="G8" s="459">
        <v>59</v>
      </c>
      <c r="H8" s="459">
        <v>267</v>
      </c>
      <c r="I8" s="478">
        <v>8</v>
      </c>
      <c r="J8" s="478">
        <v>8</v>
      </c>
      <c r="K8" s="478">
        <v>8</v>
      </c>
      <c r="L8" s="478">
        <v>15</v>
      </c>
      <c r="M8" s="478">
        <v>10</v>
      </c>
      <c r="N8" s="478">
        <v>12</v>
      </c>
      <c r="O8" s="478">
        <v>20</v>
      </c>
      <c r="P8" s="478">
        <v>16</v>
      </c>
      <c r="Q8" s="478">
        <v>14</v>
      </c>
      <c r="R8" s="478">
        <v>13</v>
      </c>
      <c r="S8" s="462">
        <v>301.29365079365073</v>
      </c>
      <c r="T8" s="463">
        <v>5.1066720473500125</v>
      </c>
      <c r="U8" s="512">
        <v>0</v>
      </c>
      <c r="V8" s="512">
        <v>0</v>
      </c>
      <c r="W8" s="512">
        <v>1</v>
      </c>
      <c r="X8" s="512">
        <v>1</v>
      </c>
      <c r="Y8" s="512">
        <v>3</v>
      </c>
      <c r="Z8" s="512">
        <v>2</v>
      </c>
      <c r="AA8" s="512">
        <v>5</v>
      </c>
      <c r="AB8" s="512">
        <v>3</v>
      </c>
      <c r="AC8" s="512">
        <v>4</v>
      </c>
      <c r="AD8" s="512">
        <v>7</v>
      </c>
      <c r="AE8" s="462">
        <v>37.503968253968253</v>
      </c>
      <c r="AF8" s="463">
        <v>0.63566047888081789</v>
      </c>
      <c r="AG8" s="463">
        <v>4.5254237288135597</v>
      </c>
      <c r="AH8" s="849">
        <v>42.190854480280493</v>
      </c>
      <c r="AI8" s="498">
        <v>52</v>
      </c>
      <c r="AJ8" s="498">
        <v>17</v>
      </c>
      <c r="AK8" s="498">
        <v>2</v>
      </c>
      <c r="AL8" s="498">
        <v>0</v>
      </c>
      <c r="AM8" s="498">
        <v>0</v>
      </c>
      <c r="AN8" s="498">
        <v>42</v>
      </c>
      <c r="AO8" s="498">
        <v>13</v>
      </c>
      <c r="AP8" s="498">
        <v>2</v>
      </c>
      <c r="AQ8" s="498">
        <v>0</v>
      </c>
      <c r="AR8" s="498">
        <v>0</v>
      </c>
      <c r="AS8" s="498">
        <v>18</v>
      </c>
      <c r="AT8" s="498">
        <v>8</v>
      </c>
      <c r="AU8" s="498">
        <v>1</v>
      </c>
      <c r="AV8" s="498">
        <v>0</v>
      </c>
      <c r="AW8" s="498">
        <v>0</v>
      </c>
      <c r="AX8" s="33">
        <v>0.89224858539094642</v>
      </c>
      <c r="AY8" s="33">
        <v>0.82754706783172693</v>
      </c>
      <c r="AZ8" s="463">
        <v>13.588014981273409</v>
      </c>
      <c r="BA8" s="463">
        <v>10.55056179775281</v>
      </c>
      <c r="BB8" s="463">
        <v>547.48642322097373</v>
      </c>
      <c r="BC8" s="34">
        <v>6.7183750672738896</v>
      </c>
      <c r="BD8" s="460">
        <v>17.138625259916768</v>
      </c>
      <c r="BE8" s="458">
        <v>0.314224610088154</v>
      </c>
      <c r="BF8" s="464">
        <v>338.79761904761898</v>
      </c>
      <c r="BG8" s="460">
        <v>5.7423325262308307</v>
      </c>
    </row>
    <row r="9" spans="1:59" x14ac:dyDescent="0.25">
      <c r="A9" s="477">
        <v>43831</v>
      </c>
      <c r="B9" s="461">
        <v>75.200025974026005</v>
      </c>
      <c r="C9" s="461">
        <v>171.02337662337663</v>
      </c>
      <c r="D9" s="835">
        <v>2.2742462440431588</v>
      </c>
      <c r="E9" s="842">
        <v>2.7304667275259979</v>
      </c>
      <c r="F9" s="836">
        <v>3.0531731648338045</v>
      </c>
      <c r="G9" s="459">
        <v>195</v>
      </c>
      <c r="H9" s="459">
        <v>770</v>
      </c>
      <c r="I9" s="478">
        <v>93</v>
      </c>
      <c r="J9" s="478">
        <v>79</v>
      </c>
      <c r="K9" s="478">
        <v>71</v>
      </c>
      <c r="L9" s="478">
        <v>57</v>
      </c>
      <c r="M9" s="478">
        <v>59</v>
      </c>
      <c r="N9" s="478">
        <v>53</v>
      </c>
      <c r="O9" s="478">
        <v>41</v>
      </c>
      <c r="P9" s="478">
        <v>41</v>
      </c>
      <c r="Q9" s="478">
        <v>36</v>
      </c>
      <c r="R9" s="478">
        <v>35</v>
      </c>
      <c r="S9" s="462">
        <v>2095.3214285714284</v>
      </c>
      <c r="T9" s="463">
        <v>10.745238095238095</v>
      </c>
      <c r="U9" s="512">
        <v>60</v>
      </c>
      <c r="V9" s="512">
        <v>60</v>
      </c>
      <c r="W9" s="512">
        <v>59</v>
      </c>
      <c r="X9" s="512">
        <v>59</v>
      </c>
      <c r="Y9" s="512">
        <v>57</v>
      </c>
      <c r="Z9" s="512">
        <v>58</v>
      </c>
      <c r="AA9" s="512">
        <v>55</v>
      </c>
      <c r="AB9" s="512">
        <v>57</v>
      </c>
      <c r="AC9" s="512">
        <v>56</v>
      </c>
      <c r="AD9" s="512">
        <v>53</v>
      </c>
      <c r="AE9" s="462">
        <v>1719.8769841269843</v>
      </c>
      <c r="AF9" s="463">
        <v>8.8198819698819708</v>
      </c>
      <c r="AG9" s="463">
        <v>3.9487179487179489</v>
      </c>
      <c r="AH9" s="849">
        <v>48.081183381895883</v>
      </c>
      <c r="AI9" s="498">
        <v>352</v>
      </c>
      <c r="AJ9" s="498">
        <v>220</v>
      </c>
      <c r="AK9" s="498">
        <v>121</v>
      </c>
      <c r="AL9" s="498">
        <v>52</v>
      </c>
      <c r="AM9" s="498">
        <v>18</v>
      </c>
      <c r="AN9" s="498">
        <v>420</v>
      </c>
      <c r="AO9" s="498">
        <v>259</v>
      </c>
      <c r="AP9" s="498">
        <v>135</v>
      </c>
      <c r="AQ9" s="498">
        <v>65</v>
      </c>
      <c r="AR9" s="498">
        <v>23</v>
      </c>
      <c r="AS9" s="498">
        <v>269</v>
      </c>
      <c r="AT9" s="498">
        <v>159</v>
      </c>
      <c r="AU9" s="498">
        <v>66</v>
      </c>
      <c r="AV9" s="498">
        <v>23</v>
      </c>
      <c r="AW9" s="498">
        <v>5</v>
      </c>
      <c r="AX9" s="33">
        <v>0.8943045743278788</v>
      </c>
      <c r="AY9" s="33">
        <v>0.8329148350779545</v>
      </c>
      <c r="AZ9" s="463">
        <v>13.771428571428572</v>
      </c>
      <c r="BA9" s="463">
        <v>10.783116883116882</v>
      </c>
      <c r="BB9" s="463">
        <v>528.8132305194805</v>
      </c>
      <c r="BC9" s="34">
        <v>7.0320884024977852</v>
      </c>
      <c r="BD9" s="460">
        <v>19.200883408041651</v>
      </c>
      <c r="BE9" s="458">
        <v>0.32340979149740934</v>
      </c>
      <c r="BF9" s="464">
        <v>3815.1984126984125</v>
      </c>
      <c r="BG9" s="460">
        <v>19.565120065120066</v>
      </c>
    </row>
  </sheetData>
  <phoneticPr fontId="1" type="noConversion"/>
  <conditionalFormatting sqref="AX1:AY1048576">
    <cfRule type="expression" dxfId="229" priority="66">
      <formula>AX1&gt;=31/32</formula>
    </cfRule>
    <cfRule type="expression" dxfId="228" priority="67">
      <formula>AX1&gt;=30/32</formula>
    </cfRule>
    <cfRule type="expression" dxfId="227" priority="68">
      <formula>AX1&gt;=29/32</formula>
    </cfRule>
    <cfRule type="expression" dxfId="226" priority="69">
      <formula>AX1&gt;=28/32</formula>
    </cfRule>
    <cfRule type="expression" dxfId="225" priority="70">
      <formula>AX1&gt;=27/32</formula>
    </cfRule>
    <cfRule type="expression" dxfId="224" priority="71">
      <formula>AX1&gt;=26/32</formula>
    </cfRule>
    <cfRule type="expression" dxfId="223" priority="72">
      <formula>AX1&gt;=25/32</formula>
    </cfRule>
    <cfRule type="expression" dxfId="222" priority="73">
      <formula>AX1&gt;=24/32</formula>
    </cfRule>
    <cfRule type="expression" dxfId="221" priority="74">
      <formula>AX1&gt;=23/32</formula>
    </cfRule>
    <cfRule type="expression" dxfId="220" priority="75">
      <formula>AX1&gt;=22/32</formula>
    </cfRule>
    <cfRule type="expression" dxfId="219" priority="76">
      <formula>AX1&gt;=21/32</formula>
    </cfRule>
    <cfRule type="expression" dxfId="218" priority="77">
      <formula>AX1&gt;=20/32</formula>
    </cfRule>
    <cfRule type="expression" dxfId="217" priority="78">
      <formula>AX1&gt;=19/32</formula>
    </cfRule>
    <cfRule type="expression" dxfId="216" priority="79">
      <formula>AX1&gt;=0</formula>
    </cfRule>
  </conditionalFormatting>
  <conditionalFormatting sqref="I1:R1048576">
    <cfRule type="cellIs" dxfId="215" priority="7" operator="greaterThan">
      <formula>30</formula>
    </cfRule>
    <cfRule type="cellIs" dxfId="214" priority="61" operator="greaterThan">
      <formula>24</formula>
    </cfRule>
    <cfRule type="cellIs" dxfId="213" priority="62" operator="greaterThan">
      <formula>18</formula>
    </cfRule>
    <cfRule type="cellIs" dxfId="212" priority="63" operator="greaterThan">
      <formula>12</formula>
    </cfRule>
    <cfRule type="cellIs" dxfId="211" priority="64" operator="greaterThan">
      <formula>6</formula>
    </cfRule>
    <cfRule type="cellIs" dxfId="210" priority="65" operator="greaterThan">
      <formula>0</formula>
    </cfRule>
  </conditionalFormatting>
  <conditionalFormatting sqref="BC1:BC1048576">
    <cfRule type="expression" dxfId="209" priority="27">
      <formula>BC1&gt;=7.5*3</formula>
    </cfRule>
    <cfRule type="expression" dxfId="208" priority="28">
      <formula>BC1&gt;=7*3</formula>
    </cfRule>
    <cfRule type="expression" dxfId="207" priority="29">
      <formula>BC1&gt;=6.5*3</formula>
    </cfRule>
    <cfRule type="expression" dxfId="206" priority="30">
      <formula>BC1&gt;=6*3</formula>
    </cfRule>
    <cfRule type="expression" dxfId="205" priority="31">
      <formula>BC1&gt;=5.5*3</formula>
    </cfRule>
    <cfRule type="expression" dxfId="204" priority="32">
      <formula>BC1&gt;=5*3</formula>
    </cfRule>
    <cfRule type="expression" dxfId="203" priority="33">
      <formula>BC1&gt;=4.5*3</formula>
    </cfRule>
    <cfRule type="expression" dxfId="202" priority="34">
      <formula>BC1&gt;=4*3</formula>
    </cfRule>
    <cfRule type="expression" dxfId="201" priority="35">
      <formula>BC1&gt;=3.5*3</formula>
    </cfRule>
    <cfRule type="expression" dxfId="200" priority="36">
      <formula>BC1&gt;=3*3</formula>
    </cfRule>
    <cfRule type="expression" dxfId="199" priority="37">
      <formula>BC1&gt;=2.5*3</formula>
    </cfRule>
    <cfRule type="expression" dxfId="198" priority="38">
      <formula>BC1&gt;=2*3</formula>
    </cfRule>
    <cfRule type="expression" dxfId="197" priority="39">
      <formula>BC1&gt;=1.5*3</formula>
    </cfRule>
    <cfRule type="expression" dxfId="196" priority="40">
      <formula>BC1&gt;=0</formula>
    </cfRule>
  </conditionalFormatting>
  <conditionalFormatting sqref="S1:S1048576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{3FBC439D-79C1-4B2A-9978-AEA65139921C}</x14:id>
        </ext>
      </extLst>
    </cfRule>
  </conditionalFormatting>
  <conditionalFormatting sqref="T1:T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{1D7A5305-1281-4B73-88F2-8090D7FC41B2}</x14:id>
        </ext>
      </extLst>
    </cfRule>
  </conditionalFormatting>
  <conditionalFormatting sqref="AE1:AE1048576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{6428B108-8A6F-4A5E-AF70-628FEC734D8A}</x14:id>
        </ext>
      </extLst>
    </cfRule>
  </conditionalFormatting>
  <conditionalFormatting sqref="AF1:AF1048576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{CE29E86F-E4F9-4A69-81D3-B95D6D88D80E}</x14:id>
        </ext>
      </extLst>
    </cfRule>
  </conditionalFormatting>
  <conditionalFormatting sqref="AI1:AW1048576">
    <cfRule type="cellIs" dxfId="195" priority="14" operator="greaterThan">
      <formula>9999</formula>
    </cfRule>
    <cfRule type="cellIs" dxfId="194" priority="15" operator="greaterThan">
      <formula>999</formula>
    </cfRule>
    <cfRule type="cellIs" dxfId="193" priority="16" operator="greaterThan">
      <formula>99</formula>
    </cfRule>
    <cfRule type="cellIs" dxfId="192" priority="17" operator="greaterThan">
      <formula>9</formula>
    </cfRule>
    <cfRule type="cellIs" dxfId="191" priority="18" operator="greaterThan">
      <formula>0</formula>
    </cfRule>
  </conditionalFormatting>
  <conditionalFormatting sqref="BF1:BF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{666226FC-FB7A-446B-84F2-757EA0184594}</x14:id>
        </ext>
      </extLst>
    </cfRule>
  </conditionalFormatting>
  <conditionalFormatting sqref="BG1:BG1048576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{F219A328-7DAA-4519-97F4-361CF22DF5E4}</x14:id>
        </ext>
      </extLst>
    </cfRule>
  </conditionalFormatting>
  <conditionalFormatting sqref="U1:AD1048576">
    <cfRule type="cellIs" dxfId="190" priority="1" operator="greaterThan">
      <formula>30</formula>
    </cfRule>
    <cfRule type="cellIs" dxfId="189" priority="2" operator="greaterThan">
      <formula>24</formula>
    </cfRule>
    <cfRule type="cellIs" dxfId="188" priority="3" operator="greaterThan">
      <formula>18</formula>
    </cfRule>
    <cfRule type="cellIs" dxfId="187" priority="4" operator="greaterThan">
      <formula>12</formula>
    </cfRule>
    <cfRule type="cellIs" dxfId="186" priority="5" operator="greaterThan">
      <formula>6</formula>
    </cfRule>
    <cfRule type="cellIs" dxfId="185" priority="6" operator="greater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BC439D-79C1-4B2A-9978-AEA6513992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1D7A5305-1281-4B73-88F2-8090D7FC41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6428B108-8A6F-4A5E-AF70-628FEC734D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CE29E86F-E4F9-4A69-81D3-B95D6D88D8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666226FC-FB7A-446B-84F2-757EA01845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BF1:BF1048576</xm:sqref>
        </x14:conditionalFormatting>
        <x14:conditionalFormatting xmlns:xm="http://schemas.microsoft.com/office/excel/2006/main">
          <x14:cfRule type="dataBar" id="{F219A328-7DAA-4519-97F4-361CF22DF5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rgb="FFFFC000"/>
  </sheetPr>
  <dimension ref="A1:AD4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0" sqref="C10"/>
    </sheetView>
  </sheetViews>
  <sheetFormatPr defaultColWidth="9" defaultRowHeight="13.2" x14ac:dyDescent="0.25"/>
  <cols>
    <col min="1" max="1" width="5.44140625" style="11" bestFit="1" customWidth="1"/>
    <col min="2" max="2" width="5" style="34" bestFit="1" customWidth="1"/>
    <col min="3" max="3" width="6.109375" style="11" bestFit="1" customWidth="1"/>
    <col min="4" max="4" width="5.21875" style="11" bestFit="1" customWidth="1"/>
    <col min="5" max="5" width="4.88671875" style="11" bestFit="1" customWidth="1"/>
    <col min="6" max="6" width="4.77734375" style="11" hidden="1" customWidth="1"/>
    <col min="7" max="7" width="6.44140625" style="11" hidden="1" customWidth="1"/>
    <col min="8" max="8" width="6.33203125" style="11" hidden="1" customWidth="1"/>
    <col min="9" max="9" width="3.88671875" style="11" hidden="1" customWidth="1"/>
    <col min="10" max="10" width="4.109375" style="11" hidden="1" customWidth="1"/>
    <col min="11" max="11" width="5" style="11" hidden="1" customWidth="1"/>
    <col min="12" max="12" width="5.109375" style="11" hidden="1" customWidth="1"/>
    <col min="13" max="13" width="4.21875" style="11" hidden="1" customWidth="1"/>
    <col min="14" max="14" width="4.44140625" style="11" hidden="1" customWidth="1"/>
    <col min="15" max="15" width="3.21875" style="21" bestFit="1" customWidth="1"/>
    <col min="16" max="16" width="5" style="12" bestFit="1" customWidth="1"/>
    <col min="17" max="19" width="5" style="33" bestFit="1" customWidth="1"/>
    <col min="20" max="20" width="4" style="33" bestFit="1" customWidth="1"/>
    <col min="21" max="21" width="4.33203125" style="34" bestFit="1" customWidth="1"/>
    <col min="22" max="22" width="3.77734375" style="34" bestFit="1" customWidth="1"/>
    <col min="23" max="23" width="2.88671875" style="34" bestFit="1" customWidth="1"/>
    <col min="24" max="26" width="4.33203125" style="33" bestFit="1" customWidth="1"/>
    <col min="27" max="27" width="4.88671875" style="35" bestFit="1" customWidth="1"/>
    <col min="28" max="28" width="4.77734375" style="34" bestFit="1" customWidth="1"/>
    <col min="29" max="29" width="5.6640625" style="33" bestFit="1" customWidth="1"/>
    <col min="30" max="30" width="4.77734375" style="21" bestFit="1" customWidth="1"/>
    <col min="31" max="16384" width="9" style="40"/>
  </cols>
  <sheetData>
    <row r="1" spans="1:30" x14ac:dyDescent="0.25">
      <c r="A1" s="22"/>
      <c r="B1" s="23"/>
      <c r="C1" s="22"/>
      <c r="D1" s="22"/>
      <c r="E1" s="24"/>
      <c r="F1" s="24"/>
      <c r="G1" s="24"/>
      <c r="H1" s="24"/>
      <c r="I1" s="24"/>
      <c r="J1" s="24"/>
      <c r="K1" s="24"/>
      <c r="L1" s="24"/>
      <c r="M1" s="24"/>
      <c r="N1" s="22"/>
      <c r="O1" s="25"/>
      <c r="P1" s="26"/>
      <c r="Q1" s="27"/>
      <c r="R1" s="27"/>
      <c r="S1" s="27"/>
      <c r="T1" s="27"/>
      <c r="U1" s="23"/>
      <c r="V1" s="38"/>
      <c r="W1" s="38"/>
      <c r="X1" s="27"/>
      <c r="Y1" s="27"/>
      <c r="Z1" s="27"/>
      <c r="AA1" s="29"/>
      <c r="AB1" s="23"/>
      <c r="AC1" s="23"/>
      <c r="AD1" s="25"/>
    </row>
    <row r="2" spans="1:30" x14ac:dyDescent="0.25">
      <c r="A2" s="496"/>
      <c r="B2" s="493"/>
      <c r="C2" s="490"/>
      <c r="D2" s="490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9"/>
      <c r="AA2" s="491"/>
    </row>
    <row r="3" spans="1:30" x14ac:dyDescent="0.25">
      <c r="A3" s="496"/>
      <c r="B3" s="493"/>
      <c r="C3" s="490"/>
      <c r="D3" s="490"/>
      <c r="E3" s="488"/>
      <c r="F3" s="488"/>
      <c r="G3" s="488"/>
      <c r="H3" s="488"/>
      <c r="I3" s="488"/>
      <c r="J3" s="488"/>
      <c r="K3" s="488"/>
      <c r="L3" s="488"/>
      <c r="M3" s="488"/>
      <c r="N3" s="488"/>
      <c r="O3" s="489"/>
      <c r="AA3" s="491"/>
    </row>
    <row r="4" spans="1:30" x14ac:dyDescent="0.25">
      <c r="A4" s="496"/>
      <c r="B4" s="493"/>
      <c r="C4" s="490"/>
      <c r="D4" s="490"/>
      <c r="E4" s="488"/>
      <c r="F4" s="488"/>
      <c r="G4" s="488"/>
      <c r="H4" s="488"/>
      <c r="I4" s="488"/>
      <c r="J4" s="488"/>
      <c r="K4" s="488"/>
      <c r="L4" s="488"/>
      <c r="M4" s="488"/>
      <c r="N4" s="488"/>
      <c r="O4" s="489"/>
      <c r="AA4" s="491"/>
    </row>
    <row r="5" spans="1:30" x14ac:dyDescent="0.25">
      <c r="A5" s="496"/>
      <c r="B5" s="493"/>
      <c r="C5" s="490"/>
      <c r="D5" s="490"/>
      <c r="E5" s="488"/>
      <c r="F5" s="488"/>
      <c r="G5" s="488"/>
      <c r="H5" s="488"/>
      <c r="I5" s="488"/>
      <c r="J5" s="488"/>
      <c r="K5" s="488"/>
      <c r="L5" s="488"/>
      <c r="M5" s="488"/>
      <c r="N5" s="488"/>
      <c r="O5" s="489"/>
      <c r="AA5" s="491"/>
    </row>
    <row r="6" spans="1:30" x14ac:dyDescent="0.25">
      <c r="A6" s="496"/>
      <c r="B6" s="494"/>
      <c r="C6" s="492"/>
      <c r="D6" s="492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9"/>
      <c r="AA6" s="491"/>
    </row>
    <row r="7" spans="1:30" x14ac:dyDescent="0.25">
      <c r="A7" s="496"/>
      <c r="B7" s="494"/>
      <c r="C7" s="492"/>
      <c r="D7" s="492"/>
      <c r="E7" s="488"/>
      <c r="F7" s="488"/>
      <c r="G7" s="488"/>
      <c r="H7" s="488"/>
      <c r="I7" s="488"/>
      <c r="J7" s="488"/>
      <c r="K7" s="488"/>
      <c r="L7" s="488"/>
      <c r="M7" s="488"/>
      <c r="N7" s="488"/>
      <c r="O7" s="489"/>
      <c r="AA7" s="491"/>
    </row>
    <row r="8" spans="1:30" x14ac:dyDescent="0.25">
      <c r="A8" s="496"/>
      <c r="B8" s="494"/>
      <c r="C8" s="492"/>
      <c r="D8" s="492"/>
      <c r="E8" s="488"/>
      <c r="F8" s="488"/>
      <c r="G8" s="488"/>
      <c r="H8" s="488"/>
      <c r="I8" s="488"/>
      <c r="J8" s="488"/>
      <c r="K8" s="488"/>
      <c r="L8" s="488"/>
      <c r="M8" s="488"/>
      <c r="N8" s="488"/>
      <c r="O8" s="489"/>
      <c r="AA8" s="491"/>
    </row>
    <row r="9" spans="1:30" x14ac:dyDescent="0.25">
      <c r="A9" s="496"/>
      <c r="B9" s="494"/>
      <c r="C9" s="492"/>
      <c r="D9" s="492"/>
      <c r="E9" s="488"/>
      <c r="F9" s="488"/>
      <c r="G9" s="488"/>
      <c r="H9" s="488"/>
      <c r="I9" s="488"/>
      <c r="J9" s="488"/>
      <c r="K9" s="488"/>
      <c r="L9" s="488"/>
      <c r="M9" s="488"/>
      <c r="N9" s="488"/>
      <c r="O9" s="489"/>
      <c r="AA9" s="491"/>
    </row>
    <row r="10" spans="1:30" x14ac:dyDescent="0.25">
      <c r="A10" s="496"/>
      <c r="B10" s="494"/>
      <c r="C10" s="492"/>
      <c r="D10" s="492"/>
      <c r="E10" s="488"/>
      <c r="F10" s="488"/>
      <c r="G10" s="488"/>
      <c r="H10" s="488"/>
      <c r="I10" s="488"/>
      <c r="J10" s="488"/>
      <c r="K10" s="488"/>
      <c r="L10" s="488"/>
      <c r="M10" s="488"/>
      <c r="N10" s="488"/>
      <c r="O10" s="489"/>
      <c r="AA10" s="491"/>
    </row>
    <row r="11" spans="1:30" x14ac:dyDescent="0.25">
      <c r="A11" s="496"/>
      <c r="B11" s="494"/>
      <c r="C11" s="492"/>
      <c r="D11" s="492"/>
      <c r="E11" s="488"/>
      <c r="F11" s="488"/>
      <c r="G11" s="488"/>
      <c r="H11" s="488"/>
      <c r="I11" s="488"/>
      <c r="J11" s="488"/>
      <c r="K11" s="488"/>
      <c r="L11" s="488"/>
      <c r="M11" s="488"/>
      <c r="N11" s="488"/>
      <c r="O11" s="489"/>
      <c r="AA11" s="491"/>
    </row>
    <row r="12" spans="1:30" x14ac:dyDescent="0.25">
      <c r="A12" s="496"/>
      <c r="B12" s="494"/>
      <c r="C12" s="492"/>
      <c r="D12" s="492"/>
      <c r="E12" s="488"/>
      <c r="F12" s="488"/>
      <c r="G12" s="488"/>
      <c r="H12" s="488"/>
      <c r="I12" s="488"/>
      <c r="J12" s="488"/>
      <c r="K12" s="488"/>
      <c r="L12" s="488"/>
      <c r="M12" s="488"/>
      <c r="N12" s="488"/>
      <c r="O12" s="489"/>
      <c r="AA12" s="491"/>
    </row>
    <row r="13" spans="1:30" x14ac:dyDescent="0.25">
      <c r="A13" s="496"/>
      <c r="B13" s="494"/>
      <c r="C13" s="492"/>
      <c r="D13" s="492"/>
      <c r="E13" s="488"/>
      <c r="F13" s="488"/>
      <c r="G13" s="488"/>
      <c r="H13" s="488"/>
      <c r="I13" s="488"/>
      <c r="J13" s="488"/>
      <c r="K13" s="488"/>
      <c r="L13" s="488"/>
      <c r="M13" s="488"/>
      <c r="N13" s="488"/>
      <c r="O13" s="489"/>
      <c r="AA13" s="491"/>
    </row>
    <row r="14" spans="1:30" x14ac:dyDescent="0.25">
      <c r="A14" s="496"/>
      <c r="B14" s="495"/>
      <c r="C14" s="496"/>
      <c r="D14" s="496"/>
      <c r="E14" s="488"/>
      <c r="F14" s="488"/>
      <c r="G14" s="488"/>
      <c r="H14" s="488"/>
      <c r="I14" s="488"/>
      <c r="J14" s="488"/>
      <c r="K14" s="488"/>
      <c r="L14" s="488"/>
      <c r="M14" s="488"/>
      <c r="N14" s="488"/>
      <c r="O14" s="489"/>
      <c r="AA14" s="491"/>
    </row>
    <row r="15" spans="1:30" x14ac:dyDescent="0.25">
      <c r="A15" s="496"/>
      <c r="B15" s="495"/>
      <c r="C15" s="496"/>
      <c r="D15" s="496"/>
      <c r="E15" s="488"/>
      <c r="F15" s="488"/>
      <c r="G15" s="488"/>
      <c r="H15" s="488"/>
      <c r="I15" s="488"/>
      <c r="J15" s="488"/>
      <c r="K15" s="488"/>
      <c r="L15" s="488"/>
      <c r="M15" s="488"/>
      <c r="N15" s="488"/>
      <c r="O15" s="489"/>
      <c r="AA15" s="491"/>
    </row>
    <row r="16" spans="1:30" x14ac:dyDescent="0.25">
      <c r="A16" s="496"/>
      <c r="B16" s="495"/>
      <c r="C16" s="496"/>
      <c r="D16" s="496"/>
      <c r="E16" s="488"/>
      <c r="F16" s="488"/>
      <c r="G16" s="488"/>
      <c r="H16" s="488"/>
      <c r="I16" s="488"/>
      <c r="J16" s="488"/>
      <c r="K16" s="488"/>
      <c r="L16" s="488"/>
      <c r="M16" s="488"/>
      <c r="N16" s="488"/>
      <c r="O16" s="489"/>
      <c r="AA16" s="491"/>
    </row>
    <row r="17" spans="1:30" x14ac:dyDescent="0.25">
      <c r="A17" s="496"/>
      <c r="B17" s="495"/>
      <c r="C17" s="496"/>
      <c r="D17" s="496"/>
      <c r="E17" s="488"/>
      <c r="F17" s="488"/>
      <c r="G17" s="488"/>
      <c r="H17" s="488"/>
      <c r="I17" s="488"/>
      <c r="J17" s="488"/>
      <c r="K17" s="488"/>
      <c r="L17" s="488"/>
      <c r="M17" s="488"/>
      <c r="N17" s="488"/>
      <c r="O17" s="489"/>
      <c r="AA17" s="491"/>
    </row>
    <row r="18" spans="1:30" x14ac:dyDescent="0.25">
      <c r="A18" s="496"/>
      <c r="B18" s="495"/>
      <c r="C18" s="496"/>
      <c r="D18" s="496"/>
      <c r="E18" s="488"/>
      <c r="F18" s="488"/>
      <c r="G18" s="488"/>
      <c r="H18" s="488"/>
      <c r="I18" s="488"/>
      <c r="J18" s="488"/>
      <c r="K18" s="488"/>
      <c r="L18" s="488"/>
      <c r="M18" s="488"/>
      <c r="N18" s="488"/>
      <c r="O18" s="489"/>
      <c r="AA18" s="491"/>
    </row>
    <row r="19" spans="1:30" x14ac:dyDescent="0.25">
      <c r="A19" s="496"/>
      <c r="B19" s="495"/>
      <c r="C19" s="496"/>
      <c r="D19" s="496"/>
      <c r="E19" s="488"/>
      <c r="F19" s="488"/>
      <c r="G19" s="488"/>
      <c r="H19" s="488"/>
      <c r="I19" s="488"/>
      <c r="J19" s="488"/>
      <c r="K19" s="488"/>
      <c r="L19" s="488"/>
      <c r="M19" s="488"/>
      <c r="N19" s="488"/>
      <c r="O19" s="489"/>
      <c r="AA19" s="491"/>
    </row>
    <row r="20" spans="1:30" x14ac:dyDescent="0.25">
      <c r="A20" s="496"/>
      <c r="B20" s="495"/>
      <c r="C20" s="496"/>
      <c r="D20" s="496"/>
      <c r="E20" s="488"/>
      <c r="F20" s="488"/>
      <c r="G20" s="488"/>
      <c r="H20" s="488"/>
      <c r="I20" s="488"/>
      <c r="J20" s="488"/>
      <c r="K20" s="488"/>
      <c r="L20" s="488"/>
      <c r="M20" s="488"/>
      <c r="N20" s="488"/>
      <c r="O20" s="489"/>
      <c r="AA20" s="491"/>
    </row>
    <row r="21" spans="1:30" x14ac:dyDescent="0.25">
      <c r="A21" s="24"/>
      <c r="B21" s="38"/>
      <c r="C21" s="24"/>
      <c r="D21" s="24"/>
      <c r="E21" s="1"/>
      <c r="F21" s="1"/>
      <c r="G21" s="1"/>
      <c r="H21" s="1"/>
      <c r="I21" s="1"/>
      <c r="J21" s="1"/>
      <c r="K21" s="1"/>
      <c r="L21" s="1"/>
      <c r="M21" s="1"/>
      <c r="N21" s="1"/>
      <c r="O21" s="39"/>
      <c r="AA21" s="17"/>
    </row>
    <row r="22" spans="1:30" x14ac:dyDescent="0.25">
      <c r="A22" s="24"/>
      <c r="B22" s="38"/>
      <c r="C22" s="24"/>
      <c r="D22" s="24"/>
      <c r="E22" s="1"/>
      <c r="F22" s="1"/>
      <c r="G22" s="1"/>
      <c r="H22" s="1"/>
      <c r="I22" s="1"/>
      <c r="J22" s="1"/>
      <c r="K22" s="1"/>
      <c r="L22" s="1"/>
      <c r="M22" s="1"/>
      <c r="N22" s="1"/>
      <c r="O22" s="39"/>
      <c r="AA22" s="17"/>
    </row>
    <row r="23" spans="1:30" x14ac:dyDescent="0.25">
      <c r="A23" s="24"/>
      <c r="B23" s="38"/>
      <c r="C23" s="24"/>
      <c r="D23" s="24"/>
      <c r="E23" s="1"/>
      <c r="F23" s="1"/>
      <c r="G23" s="1"/>
      <c r="H23" s="1"/>
      <c r="I23" s="1"/>
      <c r="J23" s="1"/>
      <c r="K23" s="1"/>
      <c r="L23" s="1"/>
      <c r="M23" s="1"/>
      <c r="N23" s="1"/>
      <c r="O23" s="39"/>
      <c r="AA23" s="17"/>
    </row>
    <row r="24" spans="1:30" x14ac:dyDescent="0.25">
      <c r="A24" s="386"/>
      <c r="B24" s="387"/>
      <c r="C24" s="386"/>
      <c r="D24" s="38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388"/>
      <c r="P24" s="364"/>
      <c r="Q24" s="96"/>
      <c r="R24" s="96"/>
      <c r="S24" s="96"/>
      <c r="T24" s="96"/>
      <c r="U24" s="95"/>
      <c r="V24" s="95"/>
      <c r="W24" s="95"/>
      <c r="X24" s="96"/>
      <c r="Y24" s="96"/>
      <c r="Z24" s="96"/>
      <c r="AA24" s="147"/>
      <c r="AB24" s="95"/>
      <c r="AC24" s="96"/>
      <c r="AD24" s="129"/>
    </row>
    <row r="25" spans="1:30" x14ac:dyDescent="0.25">
      <c r="A25" s="496"/>
      <c r="B25" s="493"/>
      <c r="C25" s="490"/>
      <c r="D25" s="490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9"/>
      <c r="AA25" s="491"/>
    </row>
    <row r="26" spans="1:30" x14ac:dyDescent="0.25">
      <c r="A26" s="496"/>
      <c r="B26" s="493"/>
      <c r="C26" s="490"/>
      <c r="D26" s="490"/>
      <c r="E26" s="488"/>
      <c r="F26" s="488"/>
      <c r="G26" s="488"/>
      <c r="H26" s="488"/>
      <c r="I26" s="488"/>
      <c r="J26" s="488"/>
      <c r="K26" s="488"/>
      <c r="L26" s="488"/>
      <c r="M26" s="488"/>
      <c r="N26" s="488"/>
      <c r="O26" s="489"/>
      <c r="AA26" s="491"/>
    </row>
    <row r="27" spans="1:30" x14ac:dyDescent="0.25">
      <c r="A27" s="496"/>
      <c r="B27" s="494"/>
      <c r="C27" s="492"/>
      <c r="D27" s="492"/>
      <c r="E27" s="488"/>
      <c r="F27" s="488"/>
      <c r="G27" s="488"/>
      <c r="H27" s="488"/>
      <c r="I27" s="488"/>
      <c r="J27" s="488"/>
      <c r="K27" s="488"/>
      <c r="L27" s="488"/>
      <c r="M27" s="488"/>
      <c r="N27" s="488"/>
      <c r="O27" s="489"/>
      <c r="AA27" s="491"/>
    </row>
    <row r="28" spans="1:30" x14ac:dyDescent="0.25">
      <c r="A28" s="496"/>
      <c r="B28" s="494"/>
      <c r="C28" s="492"/>
      <c r="D28" s="492"/>
      <c r="E28" s="488"/>
      <c r="F28" s="488"/>
      <c r="G28" s="488"/>
      <c r="H28" s="488"/>
      <c r="I28" s="488"/>
      <c r="J28" s="488"/>
      <c r="K28" s="488"/>
      <c r="L28" s="488"/>
      <c r="M28" s="488"/>
      <c r="N28" s="488"/>
      <c r="O28" s="489"/>
      <c r="AA28" s="491"/>
    </row>
    <row r="29" spans="1:30" x14ac:dyDescent="0.25">
      <c r="A29" s="496"/>
      <c r="B29" s="494"/>
      <c r="C29" s="492"/>
      <c r="D29" s="492"/>
      <c r="E29" s="488"/>
      <c r="F29" s="488"/>
      <c r="G29" s="488"/>
      <c r="H29" s="488"/>
      <c r="I29" s="488"/>
      <c r="J29" s="488"/>
      <c r="K29" s="488"/>
      <c r="L29" s="488"/>
      <c r="M29" s="488"/>
      <c r="N29" s="488"/>
      <c r="O29" s="489"/>
      <c r="AA29" s="491"/>
    </row>
    <row r="30" spans="1:30" x14ac:dyDescent="0.25">
      <c r="A30" s="496"/>
      <c r="B30" s="494"/>
      <c r="C30" s="492"/>
      <c r="D30" s="492"/>
      <c r="E30" s="488"/>
      <c r="F30" s="488"/>
      <c r="G30" s="488"/>
      <c r="H30" s="488"/>
      <c r="I30" s="488"/>
      <c r="J30" s="488"/>
      <c r="K30" s="488"/>
      <c r="L30" s="488"/>
      <c r="M30" s="488"/>
      <c r="N30" s="488"/>
      <c r="O30" s="489"/>
      <c r="AA30" s="491"/>
    </row>
    <row r="31" spans="1:30" x14ac:dyDescent="0.25">
      <c r="A31" s="496"/>
      <c r="B31" s="494"/>
      <c r="C31" s="492"/>
      <c r="D31" s="492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9"/>
      <c r="AA31" s="491"/>
    </row>
    <row r="32" spans="1:30" x14ac:dyDescent="0.25">
      <c r="A32" s="496"/>
      <c r="B32" s="495"/>
      <c r="C32" s="496"/>
      <c r="D32" s="496"/>
      <c r="E32" s="488"/>
      <c r="F32" s="488"/>
      <c r="G32" s="488"/>
      <c r="H32" s="488"/>
      <c r="I32" s="488"/>
      <c r="J32" s="488"/>
      <c r="K32" s="488"/>
      <c r="L32" s="488"/>
      <c r="M32" s="488"/>
      <c r="N32" s="488"/>
      <c r="O32" s="489"/>
      <c r="AA32" s="491"/>
    </row>
    <row r="33" spans="1:27" x14ac:dyDescent="0.25">
      <c r="A33" s="496"/>
      <c r="B33" s="495"/>
      <c r="C33" s="496"/>
      <c r="D33" s="496"/>
      <c r="E33" s="488"/>
      <c r="F33" s="488"/>
      <c r="G33" s="488"/>
      <c r="H33" s="488"/>
      <c r="I33" s="488"/>
      <c r="J33" s="488"/>
      <c r="K33" s="488"/>
      <c r="L33" s="488"/>
      <c r="M33" s="488"/>
      <c r="N33" s="488"/>
      <c r="O33" s="489"/>
      <c r="AA33" s="491"/>
    </row>
    <row r="34" spans="1:27" x14ac:dyDescent="0.25">
      <c r="A34" s="496"/>
      <c r="B34" s="495"/>
      <c r="C34" s="496"/>
      <c r="D34" s="496"/>
      <c r="E34" s="488"/>
      <c r="F34" s="488"/>
      <c r="G34" s="488"/>
      <c r="H34" s="488"/>
      <c r="I34" s="488"/>
      <c r="J34" s="488"/>
      <c r="K34" s="488"/>
      <c r="L34" s="488"/>
      <c r="M34" s="488"/>
      <c r="N34" s="488"/>
      <c r="O34" s="489"/>
      <c r="AA34" s="491"/>
    </row>
    <row r="35" spans="1:27" x14ac:dyDescent="0.25">
      <c r="A35" s="496"/>
      <c r="B35" s="495"/>
      <c r="C35" s="496"/>
      <c r="D35" s="496"/>
      <c r="E35" s="488"/>
      <c r="F35" s="488"/>
      <c r="G35" s="488"/>
      <c r="H35" s="488"/>
      <c r="I35" s="488"/>
      <c r="J35" s="488"/>
      <c r="K35" s="488"/>
      <c r="L35" s="488"/>
      <c r="M35" s="488"/>
      <c r="N35" s="488"/>
      <c r="O35" s="489"/>
      <c r="AA35" s="491"/>
    </row>
    <row r="36" spans="1:27" x14ac:dyDescent="0.25">
      <c r="A36" s="496"/>
      <c r="B36" s="495"/>
      <c r="C36" s="496"/>
      <c r="D36" s="496"/>
      <c r="E36" s="488"/>
      <c r="F36" s="488"/>
      <c r="G36" s="488"/>
      <c r="H36" s="488"/>
      <c r="I36" s="488"/>
      <c r="J36" s="488"/>
      <c r="K36" s="488"/>
      <c r="L36" s="488"/>
      <c r="M36" s="488"/>
      <c r="N36" s="488"/>
      <c r="O36" s="489"/>
      <c r="AA36" s="491"/>
    </row>
    <row r="37" spans="1:27" x14ac:dyDescent="0.25">
      <c r="A37" s="496"/>
      <c r="B37" s="495"/>
      <c r="C37" s="496"/>
      <c r="D37" s="496"/>
      <c r="E37" s="488"/>
      <c r="F37" s="488"/>
      <c r="G37" s="488"/>
      <c r="H37" s="488"/>
      <c r="I37" s="488"/>
      <c r="J37" s="488"/>
      <c r="K37" s="488"/>
      <c r="L37" s="488"/>
      <c r="M37" s="488"/>
      <c r="N37" s="488"/>
      <c r="O37" s="489"/>
      <c r="AA37" s="491"/>
    </row>
    <row r="38" spans="1:27" x14ac:dyDescent="0.25">
      <c r="A38" s="496"/>
      <c r="B38" s="493"/>
      <c r="C38" s="490"/>
      <c r="D38" s="490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9"/>
      <c r="AA38" s="491"/>
    </row>
    <row r="39" spans="1:27" x14ac:dyDescent="0.25">
      <c r="A39" s="496"/>
      <c r="B39" s="493"/>
      <c r="C39" s="490"/>
      <c r="D39" s="490"/>
      <c r="E39" s="488"/>
      <c r="F39" s="488"/>
      <c r="G39" s="488"/>
      <c r="H39" s="488"/>
      <c r="I39" s="488"/>
      <c r="J39" s="488"/>
      <c r="K39" s="488"/>
      <c r="L39" s="488"/>
      <c r="M39" s="488"/>
      <c r="N39" s="488"/>
      <c r="O39" s="489"/>
      <c r="AA39" s="491"/>
    </row>
    <row r="40" spans="1:27" x14ac:dyDescent="0.25">
      <c r="A40" s="496"/>
      <c r="B40" s="494"/>
      <c r="C40" s="492"/>
      <c r="D40" s="492"/>
      <c r="E40" s="488"/>
      <c r="F40" s="488"/>
      <c r="G40" s="488"/>
      <c r="H40" s="488"/>
      <c r="I40" s="488"/>
      <c r="J40" s="488"/>
      <c r="K40" s="488"/>
      <c r="L40" s="488"/>
      <c r="M40" s="488"/>
      <c r="N40" s="488"/>
      <c r="O40" s="489"/>
      <c r="AA40" s="491"/>
    </row>
    <row r="41" spans="1:27" x14ac:dyDescent="0.25">
      <c r="A41" s="496"/>
      <c r="B41" s="494"/>
      <c r="C41" s="492"/>
      <c r="D41" s="492"/>
      <c r="E41" s="488"/>
      <c r="F41" s="488"/>
      <c r="G41" s="488"/>
      <c r="H41" s="488"/>
      <c r="I41" s="488"/>
      <c r="J41" s="488"/>
      <c r="K41" s="488"/>
      <c r="L41" s="488"/>
      <c r="M41" s="488"/>
      <c r="N41" s="488"/>
      <c r="O41" s="489"/>
      <c r="AA41" s="491"/>
    </row>
    <row r="42" spans="1:27" x14ac:dyDescent="0.25">
      <c r="A42" s="496"/>
      <c r="B42" s="495"/>
      <c r="C42" s="496"/>
      <c r="D42" s="496"/>
      <c r="E42" s="488"/>
      <c r="F42" s="488"/>
      <c r="G42" s="488"/>
      <c r="H42" s="488"/>
      <c r="I42" s="488"/>
      <c r="J42" s="488"/>
      <c r="K42" s="488"/>
      <c r="L42" s="488"/>
      <c r="M42" s="488"/>
      <c r="N42" s="488"/>
      <c r="O42" s="489"/>
      <c r="AA42" s="491"/>
    </row>
    <row r="43" spans="1:27" x14ac:dyDescent="0.25">
      <c r="A43" s="496"/>
      <c r="B43" s="495"/>
      <c r="C43" s="496"/>
      <c r="D43" s="496"/>
      <c r="E43" s="488"/>
      <c r="F43" s="488"/>
      <c r="G43" s="488"/>
      <c r="H43" s="488"/>
      <c r="I43" s="488"/>
      <c r="J43" s="488"/>
      <c r="K43" s="488"/>
      <c r="L43" s="488"/>
      <c r="M43" s="488"/>
      <c r="N43" s="488"/>
      <c r="O43" s="489"/>
      <c r="AA43" s="491"/>
    </row>
  </sheetData>
  <phoneticPr fontId="1" type="noConversion"/>
  <conditionalFormatting sqref="Q1:S1048576">
    <cfRule type="expression" dxfId="184" priority="43">
      <formula>Q1&gt;=7.5</formula>
    </cfRule>
    <cfRule type="expression" dxfId="183" priority="44">
      <formula>Q1&gt;=7</formula>
    </cfRule>
    <cfRule type="expression" dxfId="182" priority="45">
      <formula>Q1&gt;=6.5</formula>
    </cfRule>
    <cfRule type="expression" dxfId="181" priority="46">
      <formula>Q1&gt;=6</formula>
    </cfRule>
    <cfRule type="expression" dxfId="180" priority="47">
      <formula>Q1&gt;=5.5</formula>
    </cfRule>
    <cfRule type="expression" dxfId="179" priority="48">
      <formula>Q1&gt;=5</formula>
    </cfRule>
    <cfRule type="expression" dxfId="178" priority="49">
      <formula>Q1&gt;=4.5</formula>
    </cfRule>
    <cfRule type="expression" dxfId="177" priority="50">
      <formula>Q1&gt;=4</formula>
    </cfRule>
    <cfRule type="expression" dxfId="176" priority="51">
      <formula>Q1&gt;=3.5</formula>
    </cfRule>
    <cfRule type="expression" dxfId="175" priority="52">
      <formula>Q1&gt;=3</formula>
    </cfRule>
    <cfRule type="expression" dxfId="174" priority="53">
      <formula>Q1&gt;=2.5</formula>
    </cfRule>
    <cfRule type="expression" dxfId="173" priority="54">
      <formula>Q1&gt;=2</formula>
    </cfRule>
    <cfRule type="expression" dxfId="172" priority="55">
      <formula>Q1&gt;=1.5</formula>
    </cfRule>
    <cfRule type="expression" dxfId="171" priority="56">
      <formula>Q1&gt;=0</formula>
    </cfRule>
  </conditionalFormatting>
  <conditionalFormatting sqref="X1:Z1048576">
    <cfRule type="expression" dxfId="170" priority="15">
      <formula>X1&gt;=31/32</formula>
    </cfRule>
    <cfRule type="expression" dxfId="169" priority="16">
      <formula>X1&gt;=30/32</formula>
    </cfRule>
    <cfRule type="expression" dxfId="168" priority="17">
      <formula>X1&gt;=29/32</formula>
    </cfRule>
    <cfRule type="expression" dxfId="167" priority="18">
      <formula>X1&gt;=28/32</formula>
    </cfRule>
    <cfRule type="expression" dxfId="166" priority="19">
      <formula>X1&gt;=27/32</formula>
    </cfRule>
    <cfRule type="expression" dxfId="165" priority="20">
      <formula>X1&gt;=26/32</formula>
    </cfRule>
    <cfRule type="expression" dxfId="164" priority="21">
      <formula>X1&gt;=25/32</formula>
    </cfRule>
    <cfRule type="expression" dxfId="163" priority="22">
      <formula>X1&gt;=24/32</formula>
    </cfRule>
    <cfRule type="expression" dxfId="162" priority="23">
      <formula>X1&gt;=23/32</formula>
    </cfRule>
    <cfRule type="expression" dxfId="161" priority="24">
      <formula>X1&gt;=22/32</formula>
    </cfRule>
    <cfRule type="expression" dxfId="160" priority="25">
      <formula>X1&gt;=21/32</formula>
    </cfRule>
    <cfRule type="expression" dxfId="159" priority="26">
      <formula>X1&gt;=20/32</formula>
    </cfRule>
    <cfRule type="expression" dxfId="158" priority="27">
      <formula>X1&gt;=19/32</formula>
    </cfRule>
    <cfRule type="expression" dxfId="157" priority="28">
      <formula>X1&gt;=0</formula>
    </cfRule>
  </conditionalFormatting>
  <conditionalFormatting sqref="U1:U1048576">
    <cfRule type="expression" dxfId="156" priority="1">
      <formula>U1&gt;=187.5</formula>
    </cfRule>
    <cfRule type="expression" dxfId="155" priority="2">
      <formula>U1&gt;=175</formula>
    </cfRule>
    <cfRule type="expression" dxfId="154" priority="3">
      <formula>U1&gt;=162.5</formula>
    </cfRule>
    <cfRule type="expression" dxfId="153" priority="4">
      <formula>U1&gt;=150</formula>
    </cfRule>
    <cfRule type="expression" dxfId="152" priority="5">
      <formula>U1&gt;=137.5</formula>
    </cfRule>
    <cfRule type="expression" dxfId="151" priority="6">
      <formula>U1&gt;=125</formula>
    </cfRule>
    <cfRule type="expression" dxfId="150" priority="7">
      <formula>U1&gt;=112.5</formula>
    </cfRule>
    <cfRule type="expression" dxfId="149" priority="8">
      <formula>U1&gt;=100</formula>
    </cfRule>
    <cfRule type="expression" dxfId="148" priority="9">
      <formula>U1&gt;=87.5</formula>
    </cfRule>
    <cfRule type="expression" dxfId="147" priority="10">
      <formula>U1&gt;=75</formula>
    </cfRule>
    <cfRule type="expression" dxfId="146" priority="11">
      <formula>U1&gt;=62.5</formula>
    </cfRule>
    <cfRule type="expression" dxfId="145" priority="12">
      <formula>U1&gt;=50</formula>
    </cfRule>
    <cfRule type="expression" dxfId="144" priority="13">
      <formula>U1&gt;=37.5</formula>
    </cfRule>
    <cfRule type="expression" dxfId="143" priority="14">
      <formula>U1&gt;=0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rgb="FF92D050"/>
  </sheetPr>
  <dimension ref="A1:AZ1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9" sqref="I9"/>
    </sheetView>
  </sheetViews>
  <sheetFormatPr defaultColWidth="9" defaultRowHeight="13.2" x14ac:dyDescent="0.25"/>
  <cols>
    <col min="1" max="1" width="9.21875" style="42" bestFit="1" customWidth="1"/>
    <col min="2" max="52" width="5.77734375" style="42" customWidth="1"/>
    <col min="53" max="16384" width="9" style="43"/>
  </cols>
  <sheetData>
    <row r="1" spans="1:28" x14ac:dyDescent="0.25">
      <c r="A1" s="41" t="str">
        <f>IF(Arb!$AJ$28=1,"YearlyRank","年度排名")</f>
        <v>年度排名</v>
      </c>
      <c r="B1" s="6">
        <v>2020</v>
      </c>
      <c r="C1" s="6">
        <v>2019</v>
      </c>
      <c r="D1" s="6">
        <v>2018</v>
      </c>
      <c r="E1" s="6">
        <v>2017</v>
      </c>
      <c r="F1" s="6">
        <v>2016</v>
      </c>
      <c r="G1" s="6"/>
      <c r="H1" s="6">
        <v>2020</v>
      </c>
      <c r="I1" s="6">
        <v>2019</v>
      </c>
      <c r="J1" s="6">
        <v>2018</v>
      </c>
      <c r="K1" s="6">
        <v>2017</v>
      </c>
      <c r="L1" s="6">
        <v>2016</v>
      </c>
      <c r="M1" s="6"/>
      <c r="N1" s="6">
        <v>2020</v>
      </c>
      <c r="O1" s="6">
        <v>2019</v>
      </c>
      <c r="P1" s="6">
        <v>2018</v>
      </c>
      <c r="Q1" s="6">
        <v>2017</v>
      </c>
      <c r="R1" s="6">
        <v>2016</v>
      </c>
      <c r="S1" s="6"/>
      <c r="T1" s="6"/>
      <c r="U1" s="6"/>
      <c r="V1" s="6"/>
      <c r="W1" s="6"/>
      <c r="X1" s="6"/>
      <c r="Y1" s="6"/>
      <c r="Z1" s="6"/>
      <c r="AA1" s="6"/>
      <c r="AB1" s="6"/>
    </row>
    <row r="2" spans="1:28" x14ac:dyDescent="0.25">
      <c r="A2" s="42" t="str">
        <f>IF(Arb!$AJ$28=1,"Beg---","初级第")&amp;(ROW()-1)</f>
        <v>初级第1</v>
      </c>
      <c r="B2" s="800">
        <v>3</v>
      </c>
      <c r="C2" s="800">
        <v>3.14</v>
      </c>
      <c r="D2" s="707">
        <v>10</v>
      </c>
      <c r="E2" s="707">
        <v>10</v>
      </c>
      <c r="F2" s="707">
        <v>10</v>
      </c>
      <c r="H2" s="809">
        <v>4.8780487804878048</v>
      </c>
      <c r="I2" s="800">
        <v>4.3809523809523814</v>
      </c>
      <c r="J2" s="42">
        <v>0</v>
      </c>
      <c r="K2" s="42">
        <v>0</v>
      </c>
      <c r="L2" s="42">
        <v>0</v>
      </c>
      <c r="N2" s="535">
        <v>92.50807452144511</v>
      </c>
      <c r="O2" s="700">
        <v>74.381381849126385</v>
      </c>
      <c r="P2" s="42">
        <v>0</v>
      </c>
      <c r="Q2" s="42">
        <v>0</v>
      </c>
      <c r="R2" s="42">
        <v>0</v>
      </c>
    </row>
    <row r="3" spans="1:28" x14ac:dyDescent="0.25">
      <c r="A3" s="42" t="str">
        <f>IF(Arb!$AJ$28=1,"Beg---","初级第")&amp;(ROW()-1)</f>
        <v>初级第2</v>
      </c>
      <c r="B3" s="800">
        <v>3.13</v>
      </c>
      <c r="C3" s="800">
        <v>3.19</v>
      </c>
      <c r="D3" s="707">
        <v>10</v>
      </c>
      <c r="E3" s="707">
        <v>10</v>
      </c>
      <c r="F3" s="707">
        <v>10</v>
      </c>
      <c r="H3" s="809">
        <v>4.8013245033112586</v>
      </c>
      <c r="I3" s="800">
        <v>4.2553191489361701</v>
      </c>
      <c r="J3" s="42">
        <v>0</v>
      </c>
      <c r="K3" s="42">
        <v>0</v>
      </c>
      <c r="L3" s="42">
        <v>0</v>
      </c>
      <c r="N3" s="535">
        <v>90.226831533127054</v>
      </c>
      <c r="O3" s="700">
        <v>70.786976549297876</v>
      </c>
      <c r="P3" s="42">
        <v>0</v>
      </c>
      <c r="Q3" s="42">
        <v>0</v>
      </c>
      <c r="R3" s="42">
        <v>0</v>
      </c>
    </row>
    <row r="4" spans="1:28" x14ac:dyDescent="0.25">
      <c r="A4" s="42" t="str">
        <f>IF(Arb!$AJ$28=1,"Beg---","初级第")&amp;(ROW()-1)</f>
        <v>初级第3</v>
      </c>
      <c r="B4" s="800">
        <v>3.13</v>
      </c>
      <c r="C4" s="800">
        <v>3.21</v>
      </c>
      <c r="D4" s="707">
        <v>10</v>
      </c>
      <c r="E4" s="707">
        <v>10</v>
      </c>
      <c r="F4" s="707">
        <v>10</v>
      </c>
      <c r="H4" s="536">
        <v>4.545454545454545</v>
      </c>
      <c r="I4" s="520">
        <v>4.2483660130718954</v>
      </c>
      <c r="J4" s="42">
        <v>0</v>
      </c>
      <c r="K4" s="42">
        <v>0</v>
      </c>
      <c r="L4" s="42">
        <v>0</v>
      </c>
      <c r="N4" s="699">
        <v>83.525984670035925</v>
      </c>
      <c r="O4" s="700">
        <v>70.004642079405428</v>
      </c>
      <c r="P4" s="42">
        <v>0</v>
      </c>
      <c r="Q4" s="42">
        <v>0</v>
      </c>
      <c r="R4" s="42">
        <v>0</v>
      </c>
    </row>
    <row r="5" spans="1:28" x14ac:dyDescent="0.25">
      <c r="A5" s="42" t="str">
        <f>IF(Arb!$AJ$28=1,"Beg---","初级第")&amp;(ROW()-1)</f>
        <v>初级第4</v>
      </c>
      <c r="B5" s="800">
        <v>3.16</v>
      </c>
      <c r="C5" s="800">
        <v>3.3</v>
      </c>
      <c r="D5" s="707">
        <v>10</v>
      </c>
      <c r="E5" s="707">
        <v>10</v>
      </c>
      <c r="F5" s="707">
        <v>10</v>
      </c>
      <c r="H5" s="800">
        <v>4.4701986754966887</v>
      </c>
      <c r="I5" s="520">
        <v>4.2372881355932197</v>
      </c>
      <c r="J5" s="42">
        <v>0</v>
      </c>
      <c r="K5" s="42">
        <v>0</v>
      </c>
      <c r="L5" s="42">
        <v>0</v>
      </c>
      <c r="N5" s="699">
        <v>81.646542607684509</v>
      </c>
      <c r="O5" s="700">
        <v>69.141809842443564</v>
      </c>
      <c r="P5" s="42">
        <v>0</v>
      </c>
      <c r="Q5" s="42">
        <v>0</v>
      </c>
      <c r="R5" s="42">
        <v>0</v>
      </c>
    </row>
    <row r="6" spans="1:28" x14ac:dyDescent="0.25">
      <c r="A6" s="42" t="str">
        <f>IF(Arb!$AJ$28=1,"Beg---","初级第")&amp;(ROW()-1)</f>
        <v>初级第5</v>
      </c>
      <c r="B6" s="800">
        <v>3.19</v>
      </c>
      <c r="C6" s="800">
        <v>3.31</v>
      </c>
      <c r="D6" s="707">
        <v>10</v>
      </c>
      <c r="E6" s="707">
        <v>10</v>
      </c>
      <c r="F6" s="707">
        <v>10</v>
      </c>
      <c r="H6" s="800">
        <v>4.4642857142857135</v>
      </c>
      <c r="I6" s="520">
        <v>4.2084168336673349</v>
      </c>
      <c r="J6" s="42">
        <v>0</v>
      </c>
      <c r="K6" s="42">
        <v>0</v>
      </c>
      <c r="L6" s="42">
        <v>0</v>
      </c>
      <c r="N6" s="699">
        <v>81.584532856381315</v>
      </c>
      <c r="O6" s="701">
        <v>68.445969649945908</v>
      </c>
      <c r="P6" s="42">
        <v>0</v>
      </c>
      <c r="Q6" s="42">
        <v>0</v>
      </c>
      <c r="R6" s="42">
        <v>0</v>
      </c>
    </row>
    <row r="7" spans="1:28" x14ac:dyDescent="0.25">
      <c r="A7" s="42" t="str">
        <f>IF(Arb!$AJ$28=1,"Beg---","初级第")&amp;(ROW()-1)</f>
        <v>初级第6</v>
      </c>
      <c r="B7" s="800">
        <v>3.21</v>
      </c>
      <c r="C7" s="800">
        <v>3.33</v>
      </c>
      <c r="D7" s="707">
        <v>10</v>
      </c>
      <c r="E7" s="707">
        <v>10</v>
      </c>
      <c r="F7" s="707">
        <v>10</v>
      </c>
      <c r="H7" s="800">
        <v>4.434589800443459</v>
      </c>
      <c r="I7" s="520">
        <v>4.1782729805013927</v>
      </c>
      <c r="J7" s="42">
        <v>0</v>
      </c>
      <c r="K7" s="42">
        <v>0</v>
      </c>
      <c r="L7" s="42">
        <v>0</v>
      </c>
      <c r="N7" s="518">
        <v>81.105245608896425</v>
      </c>
      <c r="O7" s="701">
        <v>68.324877536258754</v>
      </c>
      <c r="P7" s="42">
        <v>0</v>
      </c>
      <c r="Q7" s="42">
        <v>0</v>
      </c>
      <c r="R7" s="42">
        <v>0</v>
      </c>
    </row>
    <row r="8" spans="1:28" x14ac:dyDescent="0.25">
      <c r="A8" s="42" t="str">
        <f>IF(Arb!$AJ$28=1,"Beg---","初级第")&amp;(ROW()-1)</f>
        <v>初级第7</v>
      </c>
      <c r="B8" s="800">
        <v>3.23</v>
      </c>
      <c r="C8" s="800">
        <v>3.44</v>
      </c>
      <c r="D8" s="707">
        <v>10</v>
      </c>
      <c r="E8" s="707">
        <v>10</v>
      </c>
      <c r="F8" s="707">
        <v>10</v>
      </c>
      <c r="H8" s="800">
        <v>4.4270833333333339</v>
      </c>
      <c r="I8" s="520">
        <v>4.1109969167523124</v>
      </c>
      <c r="J8" s="42">
        <v>0</v>
      </c>
      <c r="K8" s="42">
        <v>0</v>
      </c>
      <c r="L8" s="42">
        <v>0</v>
      </c>
      <c r="N8" s="518">
        <v>80.016762321254035</v>
      </c>
      <c r="O8" s="701">
        <v>67.067679383881014</v>
      </c>
      <c r="P8" s="42">
        <v>0</v>
      </c>
      <c r="Q8" s="42">
        <v>0</v>
      </c>
      <c r="R8" s="42">
        <v>0</v>
      </c>
    </row>
    <row r="9" spans="1:28" x14ac:dyDescent="0.25">
      <c r="A9" s="42" t="str">
        <f>IF(Arb!$AJ$28=1,"Beg---","初级第")&amp;(ROW()-1)</f>
        <v>初级第8</v>
      </c>
      <c r="B9" s="800">
        <v>3.26</v>
      </c>
      <c r="C9" s="800">
        <v>3.45</v>
      </c>
      <c r="D9" s="707">
        <v>10</v>
      </c>
      <c r="E9" s="707">
        <v>10</v>
      </c>
      <c r="F9" s="707">
        <v>10</v>
      </c>
      <c r="H9" s="800">
        <v>4.3560606060606055</v>
      </c>
      <c r="I9" s="520">
        <v>4.0816326530612246</v>
      </c>
      <c r="J9" s="42">
        <v>0</v>
      </c>
      <c r="K9" s="42">
        <v>0</v>
      </c>
      <c r="L9" s="42">
        <v>0</v>
      </c>
      <c r="N9" s="518">
        <v>78.993079302113401</v>
      </c>
      <c r="O9" s="701">
        <v>66.831084814974375</v>
      </c>
      <c r="P9" s="42">
        <v>0</v>
      </c>
      <c r="Q9" s="42">
        <v>0</v>
      </c>
      <c r="R9" s="42">
        <v>0</v>
      </c>
    </row>
    <row r="10" spans="1:28" x14ac:dyDescent="0.25">
      <c r="A10" s="42" t="str">
        <f>IF(Arb!$AJ$28=1,"Beg---","初级第")&amp;(ROW()-1)</f>
        <v>初级第9</v>
      </c>
      <c r="B10" s="800">
        <v>3.26</v>
      </c>
      <c r="C10" s="800">
        <v>3.49</v>
      </c>
      <c r="D10" s="707">
        <v>10</v>
      </c>
      <c r="E10" s="707">
        <v>10</v>
      </c>
      <c r="F10" s="707">
        <v>10</v>
      </c>
      <c r="H10" s="800">
        <v>4.3343653250773997</v>
      </c>
      <c r="I10" s="520">
        <v>4.066073697585769</v>
      </c>
      <c r="J10" s="42">
        <v>0</v>
      </c>
      <c r="K10" s="42">
        <v>0</v>
      </c>
      <c r="L10" s="42">
        <v>0</v>
      </c>
      <c r="N10" s="518">
        <v>76.131306855110637</v>
      </c>
      <c r="O10" s="701">
        <v>65.827566085094503</v>
      </c>
      <c r="P10" s="42">
        <v>0</v>
      </c>
      <c r="Q10" s="42">
        <v>0</v>
      </c>
      <c r="R10" s="42">
        <v>0</v>
      </c>
    </row>
    <row r="11" spans="1:28" x14ac:dyDescent="0.25">
      <c r="A11" s="42" t="str">
        <f>IF(Arb!$AJ$28=1,"Beg---","初级第")&amp;(ROW()-1)</f>
        <v>初级第10</v>
      </c>
      <c r="B11" s="800">
        <v>3.3</v>
      </c>
      <c r="C11" s="520">
        <v>3.5</v>
      </c>
      <c r="D11" s="707">
        <v>10</v>
      </c>
      <c r="E11" s="707">
        <v>10</v>
      </c>
      <c r="F11" s="707">
        <v>10</v>
      </c>
      <c r="H11" s="800">
        <v>4.301075268817204</v>
      </c>
      <c r="I11" s="520">
        <v>4.037267080745341</v>
      </c>
      <c r="J11" s="42">
        <v>0</v>
      </c>
      <c r="K11" s="42">
        <v>0</v>
      </c>
      <c r="L11" s="42">
        <v>0</v>
      </c>
      <c r="N11" s="518">
        <v>76.036167758340397</v>
      </c>
      <c r="O11" s="701">
        <v>65.237489144362726</v>
      </c>
      <c r="P11" s="42">
        <v>0</v>
      </c>
      <c r="Q11" s="42">
        <v>0</v>
      </c>
      <c r="R11" s="42">
        <v>0</v>
      </c>
    </row>
    <row r="12" spans="1:28" x14ac:dyDescent="0.25">
      <c r="A12" s="42" t="str">
        <f>IF(Arb!$AJ$28=1,"Beg---","初级第")&amp;(ROW()-1)</f>
        <v>初级第11</v>
      </c>
      <c r="B12" s="800">
        <v>3.31</v>
      </c>
      <c r="C12" s="520">
        <v>3.5</v>
      </c>
      <c r="D12" s="707">
        <v>10</v>
      </c>
      <c r="E12" s="707">
        <v>10</v>
      </c>
      <c r="F12" s="707">
        <v>10</v>
      </c>
      <c r="H12" s="800">
        <v>4.2553191489361701</v>
      </c>
      <c r="I12" s="698">
        <v>3.9702233250620345</v>
      </c>
      <c r="J12" s="42">
        <v>0</v>
      </c>
      <c r="K12" s="42">
        <v>0</v>
      </c>
      <c r="L12" s="42">
        <v>0</v>
      </c>
      <c r="N12" s="700">
        <v>74.785821785016211</v>
      </c>
      <c r="O12" s="701">
        <v>65.131848475538135</v>
      </c>
      <c r="P12" s="42">
        <v>0</v>
      </c>
      <c r="Q12" s="42">
        <v>0</v>
      </c>
      <c r="R12" s="42">
        <v>0</v>
      </c>
    </row>
    <row r="13" spans="1:28" x14ac:dyDescent="0.25">
      <c r="A13" s="42" t="str">
        <f>IF(Arb!$AJ$28=1,"Beg---","初级第")&amp;(ROW()-1)</f>
        <v>初级第12</v>
      </c>
      <c r="B13" s="800">
        <v>3.35</v>
      </c>
      <c r="C13" s="520">
        <v>3.52</v>
      </c>
      <c r="D13" s="707">
        <v>10</v>
      </c>
      <c r="E13" s="707">
        <v>10</v>
      </c>
      <c r="F13" s="707">
        <v>10</v>
      </c>
      <c r="H13" s="520">
        <v>4.1990668740279942</v>
      </c>
      <c r="I13" s="698">
        <v>3.9473684210526319</v>
      </c>
      <c r="J13" s="42">
        <v>0</v>
      </c>
      <c r="K13" s="42">
        <v>0</v>
      </c>
      <c r="L13" s="42">
        <v>0</v>
      </c>
      <c r="N13" s="700">
        <v>73.911042985133065</v>
      </c>
      <c r="O13" s="701">
        <v>64.909606924607402</v>
      </c>
      <c r="P13" s="42">
        <v>0</v>
      </c>
      <c r="Q13" s="42">
        <v>0</v>
      </c>
      <c r="R13" s="42">
        <v>0</v>
      </c>
    </row>
    <row r="14" spans="1:28" x14ac:dyDescent="0.25">
      <c r="A14" s="42" t="str">
        <f>IF(Arb!$AJ$28=1,"Beg---","初级第")&amp;(ROW()-1)</f>
        <v>初级第13</v>
      </c>
      <c r="B14" s="800">
        <v>3.37</v>
      </c>
      <c r="C14" s="520">
        <v>3.52</v>
      </c>
      <c r="D14" s="707">
        <v>10</v>
      </c>
      <c r="E14" s="707">
        <v>10</v>
      </c>
      <c r="F14" s="707">
        <v>10</v>
      </c>
      <c r="H14" s="520">
        <v>4.1551246537396125</v>
      </c>
      <c r="I14" s="698">
        <v>3.937823834196891</v>
      </c>
      <c r="J14" s="42">
        <v>0</v>
      </c>
      <c r="K14" s="42">
        <v>0</v>
      </c>
      <c r="L14" s="42">
        <v>0</v>
      </c>
      <c r="N14" s="700">
        <v>73.876209797313464</v>
      </c>
      <c r="O14" s="701">
        <v>64.716287306767285</v>
      </c>
      <c r="P14" s="42">
        <v>0</v>
      </c>
      <c r="Q14" s="42">
        <v>0</v>
      </c>
      <c r="R14" s="42">
        <v>0</v>
      </c>
    </row>
    <row r="15" spans="1:28" x14ac:dyDescent="0.25">
      <c r="A15" s="42" t="str">
        <f>IF(Arb!$AJ$28=1,"Beg---","初级第")&amp;(ROW()-1)</f>
        <v>初级第14</v>
      </c>
      <c r="B15" s="800">
        <v>3.38</v>
      </c>
      <c r="C15" s="520">
        <v>3.53</v>
      </c>
      <c r="D15" s="707">
        <v>10</v>
      </c>
      <c r="E15" s="707">
        <v>10</v>
      </c>
      <c r="F15" s="707">
        <v>10</v>
      </c>
      <c r="H15" s="520">
        <v>4.1420118343195265</v>
      </c>
      <c r="I15" s="698">
        <v>3.9351851851851851</v>
      </c>
      <c r="J15" s="42">
        <v>0</v>
      </c>
      <c r="K15" s="42">
        <v>0</v>
      </c>
      <c r="L15" s="42">
        <v>0</v>
      </c>
      <c r="N15" s="700">
        <v>73.241440784615975</v>
      </c>
      <c r="O15" s="701">
        <v>64.610087041414857</v>
      </c>
      <c r="P15" s="42">
        <v>0</v>
      </c>
      <c r="Q15" s="42">
        <v>0</v>
      </c>
      <c r="R15" s="42">
        <v>0</v>
      </c>
    </row>
    <row r="16" spans="1:28" x14ac:dyDescent="0.25">
      <c r="A16" s="42" t="str">
        <f>IF(Arb!$AJ$28=1,"Beg---","初级第")&amp;(ROW()-1)</f>
        <v>初级第15</v>
      </c>
      <c r="B16" s="800">
        <v>3.4</v>
      </c>
      <c r="C16" s="520">
        <v>3.54</v>
      </c>
      <c r="D16" s="707">
        <v>10</v>
      </c>
      <c r="E16" s="707">
        <v>10</v>
      </c>
      <c r="F16" s="707">
        <v>10</v>
      </c>
      <c r="H16" s="520">
        <v>4.1202672605790642</v>
      </c>
      <c r="I16" s="698">
        <v>3.9018952062430321</v>
      </c>
      <c r="J16" s="42">
        <v>0</v>
      </c>
      <c r="K16" s="42">
        <v>0</v>
      </c>
      <c r="L16" s="42">
        <v>0</v>
      </c>
      <c r="N16" s="700">
        <v>73.077189009554615</v>
      </c>
      <c r="O16" s="701">
        <v>63.917230761470421</v>
      </c>
      <c r="P16" s="42">
        <v>0</v>
      </c>
      <c r="Q16" s="42">
        <v>0</v>
      </c>
      <c r="R16" s="42">
        <v>0</v>
      </c>
    </row>
    <row r="17" spans="1:18" x14ac:dyDescent="0.25">
      <c r="A17" s="42" t="str">
        <f>IF(Arb!$AJ$28=1,"Beg---","初级第")&amp;(ROW()-1)</f>
        <v>初级第16</v>
      </c>
      <c r="B17" s="800">
        <v>3.44</v>
      </c>
      <c r="C17" s="520">
        <v>3.55</v>
      </c>
      <c r="D17" s="707">
        <v>10</v>
      </c>
      <c r="E17" s="707">
        <v>10</v>
      </c>
      <c r="F17" s="707">
        <v>10</v>
      </c>
      <c r="H17" s="520">
        <v>4.0712468193384224</v>
      </c>
      <c r="I17" s="698">
        <v>3.8904899135446684</v>
      </c>
      <c r="J17" s="42">
        <v>0</v>
      </c>
      <c r="K17" s="42">
        <v>0</v>
      </c>
      <c r="L17" s="42">
        <v>0</v>
      </c>
      <c r="N17" s="700">
        <v>73.071130407524663</v>
      </c>
      <c r="O17" s="701">
        <v>63.693526019655266</v>
      </c>
      <c r="P17" s="42">
        <v>0</v>
      </c>
      <c r="Q17" s="42">
        <v>0</v>
      </c>
      <c r="R17" s="42">
        <v>0</v>
      </c>
    </row>
    <row r="18" spans="1:18" x14ac:dyDescent="0.25">
      <c r="A18" s="42" t="str">
        <f>IF(Arb!$AJ$28=1,"Beg---","初级第")&amp;(ROW()-1)</f>
        <v>初级第17</v>
      </c>
      <c r="B18" s="800">
        <v>3.45</v>
      </c>
      <c r="C18" s="520">
        <v>3.57</v>
      </c>
      <c r="D18" s="707">
        <v>10</v>
      </c>
      <c r="E18" s="707">
        <v>10</v>
      </c>
      <c r="F18" s="707">
        <v>10</v>
      </c>
      <c r="H18" s="520">
        <v>4.0506329113924044</v>
      </c>
      <c r="I18" s="698">
        <v>3.8805970149253732</v>
      </c>
      <c r="J18" s="42">
        <v>0</v>
      </c>
      <c r="K18" s="42">
        <v>0</v>
      </c>
      <c r="L18" s="42">
        <v>0</v>
      </c>
      <c r="N18" s="700">
        <v>72.687048263972656</v>
      </c>
      <c r="O18" s="701">
        <v>63.273644861433496</v>
      </c>
      <c r="P18" s="42">
        <v>0</v>
      </c>
      <c r="Q18" s="42">
        <v>0</v>
      </c>
      <c r="R18" s="42">
        <v>0</v>
      </c>
    </row>
    <row r="19" spans="1:18" x14ac:dyDescent="0.25">
      <c r="A19" s="42" t="str">
        <f>IF(Arb!$AJ$28=1,"Beg---","初级第")&amp;(ROW()-1)</f>
        <v>初级第18</v>
      </c>
      <c r="B19" s="520">
        <v>3.5</v>
      </c>
      <c r="C19" s="520">
        <v>3.57</v>
      </c>
      <c r="D19" s="707">
        <v>10</v>
      </c>
      <c r="E19" s="707">
        <v>10</v>
      </c>
      <c r="F19" s="707">
        <v>10</v>
      </c>
      <c r="H19" s="520">
        <v>4.032258064516129</v>
      </c>
      <c r="I19" s="698">
        <v>3.8563829787234045</v>
      </c>
      <c r="J19" s="42">
        <v>0</v>
      </c>
      <c r="K19" s="42">
        <v>0</v>
      </c>
      <c r="L19" s="42">
        <v>0</v>
      </c>
      <c r="N19" s="700">
        <v>70.879238990966243</v>
      </c>
      <c r="O19" s="702">
        <v>62.464685996442995</v>
      </c>
      <c r="P19" s="42">
        <v>0</v>
      </c>
      <c r="Q19" s="42">
        <v>0</v>
      </c>
      <c r="R19" s="42">
        <v>0</v>
      </c>
    </row>
    <row r="20" spans="1:18" x14ac:dyDescent="0.25">
      <c r="A20" s="42" t="str">
        <f>IF(Arb!$AJ$28=1,"Beg---","初级第")&amp;(ROW()-1)</f>
        <v>初级第19</v>
      </c>
      <c r="B20" s="520">
        <v>3.51</v>
      </c>
      <c r="C20" s="520">
        <v>3.59</v>
      </c>
      <c r="D20" s="707">
        <v>10</v>
      </c>
      <c r="E20" s="707">
        <v>10</v>
      </c>
      <c r="F20" s="707">
        <v>10</v>
      </c>
      <c r="H20" s="698">
        <v>3.9933444259567388</v>
      </c>
      <c r="I20" s="698">
        <v>3.8461538461538458</v>
      </c>
      <c r="J20" s="42">
        <v>0</v>
      </c>
      <c r="K20" s="42">
        <v>0</v>
      </c>
      <c r="L20" s="42">
        <v>0</v>
      </c>
      <c r="N20" s="700">
        <v>69.78703128385142</v>
      </c>
      <c r="O20" s="702">
        <v>62.435591405876394</v>
      </c>
      <c r="P20" s="42">
        <v>0</v>
      </c>
      <c r="Q20" s="42">
        <v>0</v>
      </c>
      <c r="R20" s="42">
        <v>0</v>
      </c>
    </row>
    <row r="21" spans="1:18" x14ac:dyDescent="0.25">
      <c r="A21" s="42" t="str">
        <f>IF(Arb!$AJ$28=1,"Beg---","初级第")&amp;(ROW()-1)</f>
        <v>初级第20</v>
      </c>
      <c r="B21" s="520">
        <v>3.52</v>
      </c>
      <c r="C21" s="520">
        <v>3.63</v>
      </c>
      <c r="D21" s="707">
        <v>10</v>
      </c>
      <c r="E21" s="707">
        <v>10</v>
      </c>
      <c r="F21" s="707">
        <v>10</v>
      </c>
      <c r="H21" s="698">
        <v>3.9832285115303985</v>
      </c>
      <c r="I21" s="698">
        <v>3.8412291933418694</v>
      </c>
      <c r="J21" s="42">
        <v>0</v>
      </c>
      <c r="K21" s="42">
        <v>0</v>
      </c>
      <c r="L21" s="42">
        <v>0</v>
      </c>
      <c r="N21" s="700">
        <v>69.675654978273343</v>
      </c>
      <c r="O21" s="702">
        <v>62.141003336159336</v>
      </c>
      <c r="P21" s="42">
        <v>0</v>
      </c>
      <c r="Q21" s="42">
        <v>0</v>
      </c>
      <c r="R21" s="42">
        <v>0</v>
      </c>
    </row>
    <row r="22" spans="1:18" x14ac:dyDescent="0.25">
      <c r="A22" s="42" t="str">
        <f>IF(Arb!$AJ$28=1,"Beg---","初级第")&amp;(ROW()-1)</f>
        <v>初级第21</v>
      </c>
      <c r="B22" s="520">
        <v>3.53</v>
      </c>
      <c r="C22" s="520">
        <v>3.64</v>
      </c>
      <c r="D22" s="707">
        <v>10</v>
      </c>
      <c r="E22" s="707">
        <v>10</v>
      </c>
      <c r="F22" s="707">
        <v>10</v>
      </c>
      <c r="H22" s="698">
        <v>3.9622641509433962</v>
      </c>
      <c r="I22" s="698">
        <v>3.8297872340425529</v>
      </c>
      <c r="J22" s="42">
        <v>0</v>
      </c>
      <c r="K22" s="42">
        <v>0</v>
      </c>
      <c r="L22" s="42">
        <v>0</v>
      </c>
      <c r="N22" s="701">
        <v>68.663850735577483</v>
      </c>
      <c r="O22" s="702">
        <v>61.93860448063564</v>
      </c>
      <c r="P22" s="42">
        <v>0</v>
      </c>
      <c r="Q22" s="42">
        <v>0</v>
      </c>
      <c r="R22" s="42">
        <v>0</v>
      </c>
    </row>
    <row r="23" spans="1:18" x14ac:dyDescent="0.25">
      <c r="A23" s="42" t="str">
        <f>IF(Arb!$AJ$28=1,"Beg---","初级第")&amp;(ROW()-1)</f>
        <v>初级第22</v>
      </c>
      <c r="B23" s="520">
        <v>3.55</v>
      </c>
      <c r="C23" s="520">
        <v>3.75</v>
      </c>
      <c r="D23" s="707">
        <v>10</v>
      </c>
      <c r="E23" s="707">
        <v>10</v>
      </c>
      <c r="F23" s="707">
        <v>10</v>
      </c>
      <c r="H23" s="698">
        <v>3.944773175542406</v>
      </c>
      <c r="I23" s="698">
        <v>3.7993920972644375</v>
      </c>
      <c r="J23" s="42">
        <v>0</v>
      </c>
      <c r="K23" s="42">
        <v>0</v>
      </c>
      <c r="L23" s="42">
        <v>0</v>
      </c>
      <c r="N23" s="701">
        <v>68.355103669775275</v>
      </c>
      <c r="O23" s="702">
        <v>61.848471157596364</v>
      </c>
      <c r="P23" s="42">
        <v>0</v>
      </c>
      <c r="Q23" s="42">
        <v>0</v>
      </c>
      <c r="R23" s="42">
        <v>0</v>
      </c>
    </row>
    <row r="24" spans="1:18" x14ac:dyDescent="0.25">
      <c r="A24" s="42" t="str">
        <f>IF(Arb!$AJ$28=1,"Beg---","初级第")&amp;(ROW()-1)</f>
        <v>初级第23</v>
      </c>
      <c r="B24" s="520">
        <v>3.56</v>
      </c>
      <c r="C24" s="520">
        <v>3.78</v>
      </c>
      <c r="D24" s="707">
        <v>10</v>
      </c>
      <c r="E24" s="707">
        <v>10</v>
      </c>
      <c r="F24" s="707">
        <v>10</v>
      </c>
      <c r="H24" s="698">
        <v>3.9419087136929458</v>
      </c>
      <c r="I24" s="698">
        <v>3.7906137184115525</v>
      </c>
      <c r="J24" s="42">
        <v>0</v>
      </c>
      <c r="K24" s="42">
        <v>0</v>
      </c>
      <c r="L24" s="42">
        <v>0</v>
      </c>
      <c r="N24" s="701">
        <v>67.471059444650578</v>
      </c>
      <c r="O24" s="702">
        <v>61.848471157596364</v>
      </c>
      <c r="P24" s="42">
        <v>0</v>
      </c>
      <c r="Q24" s="42">
        <v>0</v>
      </c>
      <c r="R24" s="42">
        <v>0</v>
      </c>
    </row>
    <row r="25" spans="1:18" x14ac:dyDescent="0.25">
      <c r="A25" s="42" t="str">
        <f>IF(Arb!$AJ$28=1,"Beg---","初级第")&amp;(ROW()-1)</f>
        <v>初级第24</v>
      </c>
      <c r="B25" s="520">
        <v>3.59</v>
      </c>
      <c r="C25" s="520">
        <v>3.79</v>
      </c>
      <c r="D25" s="707">
        <v>10</v>
      </c>
      <c r="E25" s="707">
        <v>10</v>
      </c>
      <c r="F25" s="707">
        <v>10</v>
      </c>
      <c r="H25" s="698">
        <v>3.9249146757679179</v>
      </c>
      <c r="I25" s="698">
        <v>3.7807183364839321</v>
      </c>
      <c r="J25" s="42">
        <v>0</v>
      </c>
      <c r="K25" s="42">
        <v>0</v>
      </c>
      <c r="L25" s="42">
        <v>0</v>
      </c>
      <c r="N25" s="701">
        <v>67.078838244657845</v>
      </c>
      <c r="O25" s="702">
        <v>61.822187722036361</v>
      </c>
      <c r="P25" s="42">
        <v>0</v>
      </c>
      <c r="Q25" s="42">
        <v>0</v>
      </c>
      <c r="R25" s="42">
        <v>0</v>
      </c>
    </row>
    <row r="26" spans="1:18" x14ac:dyDescent="0.25">
      <c r="A26" s="42" t="str">
        <f>IF(Arb!$AJ$28=1,"Beg---","初级第")&amp;(ROW()-1)</f>
        <v>初级第25</v>
      </c>
      <c r="B26" s="520">
        <v>3.59</v>
      </c>
      <c r="C26" s="520">
        <v>3.8</v>
      </c>
      <c r="D26" s="707">
        <v>10</v>
      </c>
      <c r="E26" s="707">
        <v>10</v>
      </c>
      <c r="F26" s="707">
        <v>10</v>
      </c>
      <c r="H26" s="698">
        <v>3.9215686274509807</v>
      </c>
      <c r="I26" s="698">
        <v>3.7793667007150158</v>
      </c>
      <c r="J26" s="42">
        <v>0</v>
      </c>
      <c r="K26" s="42">
        <v>0</v>
      </c>
      <c r="L26" s="42">
        <v>0</v>
      </c>
      <c r="N26" s="701">
        <v>66.941702663845675</v>
      </c>
      <c r="O26" s="702">
        <v>61.442086265365042</v>
      </c>
      <c r="P26" s="42">
        <v>0</v>
      </c>
      <c r="Q26" s="42">
        <v>0</v>
      </c>
      <c r="R26" s="42">
        <v>0</v>
      </c>
    </row>
    <row r="27" spans="1:18" x14ac:dyDescent="0.25">
      <c r="A27" s="42" t="str">
        <f>IF(Arb!$AJ$28=1,"Beg---","初级第")&amp;(ROW()-1)</f>
        <v>初级第26</v>
      </c>
      <c r="B27" s="520">
        <v>3.6</v>
      </c>
      <c r="C27" s="520">
        <v>3.81</v>
      </c>
      <c r="D27" s="707">
        <v>10</v>
      </c>
      <c r="E27" s="707">
        <v>10</v>
      </c>
      <c r="F27" s="707">
        <v>10</v>
      </c>
      <c r="H27" s="698">
        <v>3.9184952978056429</v>
      </c>
      <c r="I27" s="698">
        <v>3.7735849056603779</v>
      </c>
      <c r="J27" s="42">
        <v>0</v>
      </c>
      <c r="K27" s="42">
        <v>0</v>
      </c>
      <c r="L27" s="42">
        <v>0</v>
      </c>
      <c r="N27" s="701">
        <v>66.893499814555199</v>
      </c>
      <c r="O27" s="702">
        <v>61.363772527974476</v>
      </c>
      <c r="P27" s="42">
        <v>0</v>
      </c>
      <c r="Q27" s="42">
        <v>0</v>
      </c>
      <c r="R27" s="42">
        <v>0</v>
      </c>
    </row>
    <row r="28" spans="1:18" x14ac:dyDescent="0.25">
      <c r="A28" s="42" t="str">
        <f>IF(Arb!$AJ$28=1,"Beg---","初级第")&amp;(ROW()-1)</f>
        <v>初级第27</v>
      </c>
      <c r="B28" s="520">
        <v>3.61</v>
      </c>
      <c r="C28" s="520">
        <v>3.81</v>
      </c>
      <c r="D28" s="707">
        <v>10</v>
      </c>
      <c r="E28" s="707">
        <v>10</v>
      </c>
      <c r="F28" s="707">
        <v>10</v>
      </c>
      <c r="H28" s="698">
        <v>3.9151712887438825</v>
      </c>
      <c r="I28" s="698">
        <v>3.757828810020877</v>
      </c>
      <c r="J28" s="42">
        <v>0</v>
      </c>
      <c r="K28" s="42">
        <v>0</v>
      </c>
      <c r="L28" s="42">
        <v>0</v>
      </c>
      <c r="N28" s="701">
        <v>66.362790514966761</v>
      </c>
      <c r="O28" s="702">
        <v>61.313782019685334</v>
      </c>
      <c r="P28" s="42">
        <v>0</v>
      </c>
      <c r="Q28" s="42">
        <v>0</v>
      </c>
      <c r="R28" s="42">
        <v>0</v>
      </c>
    </row>
    <row r="29" spans="1:18" x14ac:dyDescent="0.25">
      <c r="A29" s="42" t="str">
        <f>IF(Arb!$AJ$28=1,"Beg---","初级第")&amp;(ROW()-1)</f>
        <v>初级第28</v>
      </c>
      <c r="B29" s="520">
        <v>3.65</v>
      </c>
      <c r="C29" s="520">
        <v>3.81</v>
      </c>
      <c r="D29" s="707">
        <v>10</v>
      </c>
      <c r="E29" s="707">
        <v>10</v>
      </c>
      <c r="F29" s="707">
        <v>10</v>
      </c>
      <c r="H29" s="698">
        <v>3.9024390243902438</v>
      </c>
      <c r="I29" s="698">
        <v>3.7572254335260116</v>
      </c>
      <c r="J29" s="42">
        <v>0</v>
      </c>
      <c r="K29" s="42">
        <v>0</v>
      </c>
      <c r="L29" s="42">
        <v>0</v>
      </c>
      <c r="N29" s="701">
        <v>65.958962016296908</v>
      </c>
      <c r="O29" s="702">
        <v>61.252259839727614</v>
      </c>
      <c r="P29" s="42">
        <v>0</v>
      </c>
      <c r="Q29" s="42">
        <v>0</v>
      </c>
      <c r="R29" s="42">
        <v>0</v>
      </c>
    </row>
    <row r="30" spans="1:18" x14ac:dyDescent="0.25">
      <c r="A30" s="42" t="str">
        <f>IF(Arb!$AJ$28=1,"Beg---","初级第")&amp;(ROW()-1)</f>
        <v>初级第29</v>
      </c>
      <c r="B30" s="520">
        <v>3.66</v>
      </c>
      <c r="C30" s="520">
        <v>3.82</v>
      </c>
      <c r="D30" s="707">
        <v>10</v>
      </c>
      <c r="E30" s="707">
        <v>10</v>
      </c>
      <c r="F30" s="707">
        <v>10</v>
      </c>
      <c r="H30" s="698">
        <v>3.8934426229508197</v>
      </c>
      <c r="I30" s="698">
        <v>3.7567084078711988</v>
      </c>
      <c r="J30" s="42">
        <v>0</v>
      </c>
      <c r="K30" s="42">
        <v>0</v>
      </c>
      <c r="L30" s="42">
        <v>0</v>
      </c>
      <c r="N30" s="701">
        <v>65.131848475538135</v>
      </c>
      <c r="O30" s="702">
        <v>61.252259839727614</v>
      </c>
      <c r="P30" s="42">
        <v>0</v>
      </c>
      <c r="Q30" s="42">
        <v>0</v>
      </c>
      <c r="R30" s="42">
        <v>0</v>
      </c>
    </row>
    <row r="31" spans="1:18" x14ac:dyDescent="0.25">
      <c r="A31" s="42" t="str">
        <f>IF(Arb!$AJ$28=1,"Beg---","初级第")&amp;(ROW()-1)</f>
        <v>初级第30</v>
      </c>
      <c r="B31" s="520">
        <v>3.66</v>
      </c>
      <c r="C31" s="520">
        <v>3.84</v>
      </c>
      <c r="D31" s="707">
        <v>10</v>
      </c>
      <c r="E31" s="707">
        <v>10</v>
      </c>
      <c r="F31" s="707">
        <v>10</v>
      </c>
      <c r="H31" s="698">
        <v>3.8888888888888888</v>
      </c>
      <c r="I31" s="698">
        <v>3.755868544600939</v>
      </c>
      <c r="J31" s="42">
        <v>0</v>
      </c>
      <c r="K31" s="42">
        <v>0</v>
      </c>
      <c r="L31" s="42">
        <v>0</v>
      </c>
      <c r="N31" s="701">
        <v>64.489225497815013</v>
      </c>
      <c r="O31" s="702">
        <v>61.192297871927842</v>
      </c>
      <c r="P31" s="42">
        <v>0</v>
      </c>
      <c r="Q31" s="42">
        <v>0</v>
      </c>
      <c r="R31" s="42">
        <v>0</v>
      </c>
    </row>
    <row r="32" spans="1:18" x14ac:dyDescent="0.25">
      <c r="A32" s="42" t="str">
        <f>IF(Arb!$AJ$28=1,"Beg---","初级第")&amp;(ROW()-1)</f>
        <v>初级第31</v>
      </c>
      <c r="B32" s="520">
        <v>3.67</v>
      </c>
      <c r="C32" s="520">
        <v>3.85</v>
      </c>
      <c r="D32" s="707">
        <v>10</v>
      </c>
      <c r="E32" s="707">
        <v>10</v>
      </c>
      <c r="F32" s="707">
        <v>10</v>
      </c>
      <c r="H32" s="698">
        <v>3.8854805725971371</v>
      </c>
      <c r="I32" s="535">
        <v>3.7433155080213902</v>
      </c>
      <c r="J32" s="42">
        <v>0</v>
      </c>
      <c r="K32" s="42">
        <v>0</v>
      </c>
      <c r="L32" s="42">
        <v>0</v>
      </c>
      <c r="N32" s="701">
        <v>64.28388665113043</v>
      </c>
      <c r="O32" s="702">
        <v>60.957569843809928</v>
      </c>
      <c r="P32" s="42">
        <v>0</v>
      </c>
      <c r="Q32" s="42">
        <v>0</v>
      </c>
      <c r="R32" s="42">
        <v>0</v>
      </c>
    </row>
    <row r="33" spans="1:52" x14ac:dyDescent="0.25">
      <c r="A33" s="42" t="str">
        <f>IF(Arb!$AJ$28=1,"Beg---","初级第")&amp;(ROW()-1)</f>
        <v>初级第32</v>
      </c>
      <c r="B33" s="520">
        <v>3.67</v>
      </c>
      <c r="C33" s="520">
        <v>3.86</v>
      </c>
      <c r="D33" s="707">
        <v>10</v>
      </c>
      <c r="E33" s="707">
        <v>10</v>
      </c>
      <c r="F33" s="707">
        <v>10</v>
      </c>
      <c r="H33" s="698">
        <v>3.883495145631068</v>
      </c>
      <c r="I33" s="535">
        <v>3.7333333333333334</v>
      </c>
      <c r="J33" s="42">
        <v>0</v>
      </c>
      <c r="K33" s="42">
        <v>0</v>
      </c>
      <c r="L33" s="42">
        <v>0</v>
      </c>
      <c r="N33" s="701">
        <v>64.281058922725933</v>
      </c>
      <c r="O33" s="702">
        <v>60.872517300901031</v>
      </c>
      <c r="P33" s="42">
        <v>0</v>
      </c>
      <c r="Q33" s="42">
        <v>0</v>
      </c>
      <c r="R33" s="42">
        <v>0</v>
      </c>
    </row>
    <row r="34" spans="1:52" x14ac:dyDescent="0.25">
      <c r="A34" s="42" t="str">
        <f>IF(Arb!$AJ$28=1,"Beg---","初级第")&amp;(ROW()-1)</f>
        <v>初级第33</v>
      </c>
      <c r="B34" s="520">
        <v>3.68</v>
      </c>
      <c r="C34" s="520">
        <v>3.86</v>
      </c>
      <c r="D34" s="707">
        <v>10</v>
      </c>
      <c r="E34" s="707">
        <v>10</v>
      </c>
      <c r="F34" s="707">
        <v>10</v>
      </c>
      <c r="H34" s="698">
        <v>3.8793103448275863</v>
      </c>
      <c r="I34" s="535">
        <v>3.7151702786377707</v>
      </c>
      <c r="J34" s="42">
        <v>0</v>
      </c>
      <c r="K34" s="42">
        <v>0</v>
      </c>
      <c r="L34" s="42">
        <v>0</v>
      </c>
      <c r="N34" s="701">
        <v>62.712973847981445</v>
      </c>
      <c r="O34" s="702">
        <v>60.665125259536268</v>
      </c>
      <c r="P34" s="42">
        <v>0</v>
      </c>
      <c r="Q34" s="42">
        <v>0</v>
      </c>
      <c r="R34" s="42">
        <v>0</v>
      </c>
    </row>
    <row r="35" spans="1:52" x14ac:dyDescent="0.25">
      <c r="A35" s="42" t="str">
        <f>IF(Arb!$AJ$28=1,"Beg---","初级第")&amp;(ROW()-1)</f>
        <v>初级第34</v>
      </c>
      <c r="B35" s="520">
        <v>3.68</v>
      </c>
      <c r="C35" s="520">
        <v>3.89</v>
      </c>
      <c r="D35" s="707">
        <v>10</v>
      </c>
      <c r="E35" s="707">
        <v>10</v>
      </c>
      <c r="F35" s="707">
        <v>10</v>
      </c>
      <c r="H35" s="698">
        <v>3.8772213247172855</v>
      </c>
      <c r="I35" s="535">
        <v>3.7109375</v>
      </c>
      <c r="J35" s="42">
        <v>0</v>
      </c>
      <c r="K35" s="42">
        <v>0</v>
      </c>
      <c r="L35" s="42">
        <v>0</v>
      </c>
      <c r="N35" s="701">
        <v>62.667720400159759</v>
      </c>
      <c r="O35" s="702">
        <v>60.374902707126331</v>
      </c>
      <c r="P35" s="42">
        <v>0</v>
      </c>
      <c r="Q35" s="42">
        <v>0</v>
      </c>
      <c r="R35" s="42">
        <v>0</v>
      </c>
    </row>
    <row r="36" spans="1:52" x14ac:dyDescent="0.25">
      <c r="A36" s="42" t="str">
        <f>IF(Arb!$AJ$28=1,"Beg---","初级第")&amp;(ROW()-1)</f>
        <v>初级第35</v>
      </c>
      <c r="B36" s="520">
        <v>3.69</v>
      </c>
      <c r="C36" s="520">
        <v>3.9</v>
      </c>
      <c r="D36" s="707">
        <v>10</v>
      </c>
      <c r="E36" s="707">
        <v>10</v>
      </c>
      <c r="F36" s="707">
        <v>10</v>
      </c>
      <c r="H36" s="698">
        <v>3.8768529076396807</v>
      </c>
      <c r="I36" s="535">
        <v>3.7037037037037037</v>
      </c>
      <c r="J36" s="42">
        <v>0</v>
      </c>
      <c r="K36" s="42">
        <v>0</v>
      </c>
      <c r="L36" s="42">
        <v>0</v>
      </c>
      <c r="N36" s="702">
        <v>62.004840531454725</v>
      </c>
      <c r="O36" s="702">
        <v>59.792019160227674</v>
      </c>
      <c r="P36" s="42">
        <v>0</v>
      </c>
      <c r="Q36" s="42">
        <v>0</v>
      </c>
      <c r="R36" s="42">
        <v>0</v>
      </c>
    </row>
    <row r="37" spans="1:52" x14ac:dyDescent="0.25">
      <c r="A37" s="42" t="str">
        <f>IF(Arb!$AJ$28=1,"Beg---","初级第")&amp;(ROW()-1)</f>
        <v>初级第36</v>
      </c>
      <c r="B37" s="520">
        <v>3.72</v>
      </c>
      <c r="C37" s="520">
        <v>3.9</v>
      </c>
      <c r="D37" s="707">
        <v>10</v>
      </c>
      <c r="E37" s="707">
        <v>10</v>
      </c>
      <c r="F37" s="707">
        <v>10</v>
      </c>
      <c r="H37" s="698">
        <v>3.8461538461538463</v>
      </c>
      <c r="I37" s="535">
        <v>3.7037037037037037</v>
      </c>
      <c r="J37" s="42">
        <v>0</v>
      </c>
      <c r="K37" s="42">
        <v>0</v>
      </c>
      <c r="L37" s="42">
        <v>0</v>
      </c>
      <c r="N37" s="702">
        <v>61.957218625813169</v>
      </c>
      <c r="O37" s="702">
        <v>59.435626311843862</v>
      </c>
      <c r="P37" s="42">
        <v>0</v>
      </c>
      <c r="Q37" s="42">
        <v>0</v>
      </c>
      <c r="R37" s="42">
        <v>0</v>
      </c>
    </row>
    <row r="38" spans="1:52" x14ac:dyDescent="0.25">
      <c r="A38" s="42" t="str">
        <f>IF(Arb!$AJ$28=1,"Beg---","初级第")&amp;(ROW()-1)</f>
        <v>初级第37</v>
      </c>
      <c r="B38" s="520">
        <v>3.72</v>
      </c>
      <c r="C38" s="520">
        <v>3.91</v>
      </c>
      <c r="D38" s="707">
        <v>10</v>
      </c>
      <c r="E38" s="707">
        <v>10</v>
      </c>
      <c r="F38" s="707">
        <v>10</v>
      </c>
      <c r="H38" s="698">
        <v>3.8406827880512089</v>
      </c>
      <c r="I38" s="535">
        <v>3.6866359447004609</v>
      </c>
      <c r="J38" s="42">
        <v>0</v>
      </c>
      <c r="K38" s="42">
        <v>0</v>
      </c>
      <c r="L38" s="42">
        <v>0</v>
      </c>
      <c r="N38" s="702">
        <v>61.86135440728485</v>
      </c>
      <c r="O38" s="702">
        <v>59.368228652426431</v>
      </c>
      <c r="P38" s="42">
        <v>0</v>
      </c>
      <c r="Q38" s="42">
        <v>0</v>
      </c>
      <c r="R38" s="42">
        <v>0</v>
      </c>
    </row>
    <row r="39" spans="1:52" x14ac:dyDescent="0.25">
      <c r="A39" s="42" t="str">
        <f>IF(Arb!$AJ$28=1,"Beg---","初级第")&amp;(ROW()-1)</f>
        <v>初级第38</v>
      </c>
      <c r="B39" s="520">
        <v>3.73</v>
      </c>
      <c r="C39" s="520">
        <v>3.92</v>
      </c>
      <c r="D39" s="707">
        <v>10</v>
      </c>
      <c r="E39" s="707">
        <v>10</v>
      </c>
      <c r="F39" s="707">
        <v>10</v>
      </c>
      <c r="H39" s="698">
        <v>3.8338658146964857</v>
      </c>
      <c r="I39" s="535">
        <v>3.6855036855036851</v>
      </c>
      <c r="J39" s="42">
        <v>0</v>
      </c>
      <c r="K39" s="42">
        <v>0</v>
      </c>
      <c r="L39" s="42">
        <v>0</v>
      </c>
      <c r="N39" s="702">
        <v>61.822187722036361</v>
      </c>
      <c r="O39" s="702">
        <v>59.196652047543338</v>
      </c>
      <c r="P39" s="42">
        <v>0</v>
      </c>
      <c r="Q39" s="42">
        <v>0</v>
      </c>
      <c r="R39" s="42">
        <v>0</v>
      </c>
    </row>
    <row r="40" spans="1:52" x14ac:dyDescent="0.25">
      <c r="A40" s="42" t="str">
        <f>IF(Arb!$AJ$28=1,"Beg---","初级第")&amp;(ROW()-1)</f>
        <v>初级第39</v>
      </c>
      <c r="B40" s="520">
        <v>3.76</v>
      </c>
      <c r="C40" s="520">
        <v>3.92</v>
      </c>
      <c r="D40" s="707">
        <v>10</v>
      </c>
      <c r="E40" s="707">
        <v>10</v>
      </c>
      <c r="F40" s="707">
        <v>10</v>
      </c>
      <c r="H40" s="698">
        <v>3.8216560509554141</v>
      </c>
      <c r="I40" s="535">
        <v>3.6842105263157898</v>
      </c>
      <c r="J40" s="42">
        <v>0</v>
      </c>
      <c r="K40" s="42">
        <v>0</v>
      </c>
      <c r="L40" s="42">
        <v>0</v>
      </c>
      <c r="N40" s="702">
        <v>61.092644106441497</v>
      </c>
      <c r="O40" s="702">
        <v>58.93137144099731</v>
      </c>
      <c r="P40" s="42">
        <v>0</v>
      </c>
      <c r="Q40" s="42">
        <v>0</v>
      </c>
      <c r="R40" s="42">
        <v>0</v>
      </c>
    </row>
    <row r="41" spans="1:52" ht="13.8" thickBot="1" x14ac:dyDescent="0.3">
      <c r="A41" s="396" t="str">
        <f>IF(Arb!$AJ$28=1,"Beg---","初级第")&amp;(ROW()-1)</f>
        <v>初级第40</v>
      </c>
      <c r="B41" s="801">
        <v>3.79</v>
      </c>
      <c r="C41" s="801">
        <v>3.93</v>
      </c>
      <c r="D41" s="802">
        <v>10</v>
      </c>
      <c r="E41" s="802">
        <v>10</v>
      </c>
      <c r="F41" s="802">
        <v>10</v>
      </c>
      <c r="G41" s="396"/>
      <c r="H41" s="810">
        <v>3.8190954773869348</v>
      </c>
      <c r="I41" s="811">
        <v>3.6775106082036775</v>
      </c>
      <c r="J41" s="396">
        <v>0</v>
      </c>
      <c r="K41" s="396">
        <v>0</v>
      </c>
      <c r="L41" s="396">
        <v>0</v>
      </c>
      <c r="M41" s="396"/>
      <c r="N41" s="815">
        <v>60.714421662957854</v>
      </c>
      <c r="O41" s="815">
        <v>58.461751207643687</v>
      </c>
      <c r="P41" s="396">
        <v>0</v>
      </c>
      <c r="Q41" s="396">
        <v>0</v>
      </c>
      <c r="R41" s="396">
        <v>0</v>
      </c>
      <c r="S41" s="396"/>
      <c r="T41" s="396"/>
      <c r="U41" s="396"/>
      <c r="V41" s="396"/>
      <c r="W41" s="396"/>
      <c r="X41" s="396"/>
      <c r="Y41" s="396"/>
      <c r="Z41" s="396"/>
      <c r="AA41" s="396"/>
      <c r="AB41" s="396"/>
      <c r="AC41" s="396"/>
      <c r="AD41" s="396"/>
      <c r="AE41" s="396"/>
      <c r="AF41" s="396"/>
      <c r="AG41" s="396"/>
      <c r="AH41" s="396"/>
      <c r="AI41" s="396"/>
      <c r="AJ41" s="396"/>
      <c r="AK41" s="396"/>
      <c r="AL41" s="396"/>
      <c r="AM41" s="396"/>
      <c r="AN41" s="396"/>
      <c r="AO41" s="396"/>
      <c r="AP41" s="396"/>
      <c r="AQ41" s="396"/>
      <c r="AR41" s="396"/>
      <c r="AS41" s="396"/>
      <c r="AT41" s="396"/>
      <c r="AU41" s="396"/>
      <c r="AV41" s="396"/>
      <c r="AW41" s="396"/>
      <c r="AX41" s="396"/>
      <c r="AY41" s="396"/>
      <c r="AZ41" s="396"/>
    </row>
    <row r="42" spans="1:52" x14ac:dyDescent="0.25">
      <c r="A42" s="398" t="str">
        <f>IF(Arb!$AJ$28=1,"Int---","中级第")&amp;(ROW()-41)</f>
        <v>中级第1</v>
      </c>
      <c r="B42" s="803">
        <v>13.41</v>
      </c>
      <c r="C42" s="804">
        <v>16.829999999999998</v>
      </c>
      <c r="D42" s="399">
        <v>60</v>
      </c>
      <c r="E42" s="399">
        <v>60</v>
      </c>
      <c r="F42" s="399">
        <v>60</v>
      </c>
      <c r="G42" s="399"/>
      <c r="H42" s="804">
        <v>3.4680014301036826</v>
      </c>
      <c r="I42" s="804">
        <v>3.2520325203252036</v>
      </c>
      <c r="J42" s="399">
        <v>0</v>
      </c>
      <c r="K42" s="399">
        <v>0</v>
      </c>
      <c r="L42" s="399">
        <v>0</v>
      </c>
      <c r="M42" s="399"/>
      <c r="N42" s="816">
        <v>63.130810763502097</v>
      </c>
      <c r="O42" s="817">
        <v>58.209059934160187</v>
      </c>
      <c r="P42" s="399">
        <v>0</v>
      </c>
      <c r="Q42" s="399">
        <v>0</v>
      </c>
      <c r="R42" s="399">
        <v>0</v>
      </c>
      <c r="S42" s="399"/>
      <c r="T42" s="399"/>
      <c r="U42" s="399"/>
      <c r="V42" s="399"/>
      <c r="W42" s="399"/>
      <c r="X42" s="399"/>
      <c r="Y42" s="399"/>
      <c r="Z42" s="399"/>
      <c r="AA42" s="399"/>
      <c r="AB42" s="399"/>
      <c r="AC42" s="399"/>
      <c r="AD42" s="399"/>
      <c r="AE42" s="399"/>
      <c r="AF42" s="399"/>
      <c r="AG42" s="399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  <c r="AR42" s="399"/>
      <c r="AS42" s="399"/>
      <c r="AT42" s="399"/>
      <c r="AU42" s="399"/>
      <c r="AV42" s="399"/>
      <c r="AW42" s="399"/>
      <c r="AX42" s="399"/>
      <c r="AY42" s="399"/>
      <c r="AZ42" s="400"/>
    </row>
    <row r="43" spans="1:52" x14ac:dyDescent="0.25">
      <c r="A43" s="401" t="str">
        <f>IF(Arb!$AJ$28=1,"Int---","中级第")&amp;(ROW()-41)</f>
        <v>中级第2</v>
      </c>
      <c r="B43" s="698">
        <v>14.12</v>
      </c>
      <c r="C43" s="518">
        <v>17.37</v>
      </c>
      <c r="D43" s="42">
        <v>60</v>
      </c>
      <c r="E43" s="42">
        <v>60</v>
      </c>
      <c r="F43" s="42">
        <v>60</v>
      </c>
      <c r="H43" s="518">
        <v>3.2119914346895073</v>
      </c>
      <c r="I43" s="518">
        <v>3.1223628691983123</v>
      </c>
      <c r="J43" s="42">
        <v>0</v>
      </c>
      <c r="K43" s="42">
        <v>0</v>
      </c>
      <c r="L43" s="42">
        <v>0</v>
      </c>
      <c r="N43" s="708">
        <v>55.879300319657602</v>
      </c>
      <c r="O43" s="702">
        <v>58.062140471532409</v>
      </c>
      <c r="P43" s="42">
        <v>0</v>
      </c>
      <c r="Q43" s="42">
        <v>0</v>
      </c>
      <c r="R43" s="42">
        <v>0</v>
      </c>
      <c r="AZ43" s="402"/>
    </row>
    <row r="44" spans="1:52" x14ac:dyDescent="0.25">
      <c r="A44" s="401" t="str">
        <f>IF(Arb!$AJ$28=1,"Int---","中级第")&amp;(ROW()-41)</f>
        <v>中级第3</v>
      </c>
      <c r="B44" s="699">
        <v>16.059999999999999</v>
      </c>
      <c r="C44" s="518">
        <v>17.809999999999999</v>
      </c>
      <c r="D44" s="42">
        <v>60</v>
      </c>
      <c r="E44" s="42">
        <v>60</v>
      </c>
      <c r="F44" s="42">
        <v>60</v>
      </c>
      <c r="H44" s="518">
        <v>3.1566167543504653</v>
      </c>
      <c r="I44" s="518">
        <v>3.1072210065645511</v>
      </c>
      <c r="J44" s="42">
        <v>0</v>
      </c>
      <c r="K44" s="42">
        <v>0</v>
      </c>
      <c r="L44" s="42">
        <v>0</v>
      </c>
      <c r="N44" s="708">
        <v>54.51320530862445</v>
      </c>
      <c r="O44" s="708">
        <v>55.086170395319371</v>
      </c>
      <c r="P44" s="42">
        <v>0</v>
      </c>
      <c r="Q44" s="42">
        <v>0</v>
      </c>
      <c r="R44" s="42">
        <v>0</v>
      </c>
      <c r="AZ44" s="402"/>
    </row>
    <row r="45" spans="1:52" x14ac:dyDescent="0.25">
      <c r="A45" s="401" t="str">
        <f>IF(Arb!$AJ$28=1,"Int---","中级第")&amp;(ROW()-41)</f>
        <v>中级第4</v>
      </c>
      <c r="B45" s="699">
        <v>16.77</v>
      </c>
      <c r="C45" s="518">
        <v>17.829999999999998</v>
      </c>
      <c r="D45" s="42">
        <v>60</v>
      </c>
      <c r="E45" s="42">
        <v>60</v>
      </c>
      <c r="F45" s="42">
        <v>60</v>
      </c>
      <c r="H45" s="518">
        <v>3.0845771144278609</v>
      </c>
      <c r="I45" s="518">
        <v>3.0832803560076285</v>
      </c>
      <c r="J45" s="42">
        <v>0</v>
      </c>
      <c r="K45" s="42">
        <v>0</v>
      </c>
      <c r="L45" s="42">
        <v>0</v>
      </c>
      <c r="N45" s="708">
        <v>54.416698118260058</v>
      </c>
      <c r="O45" s="708">
        <v>53.989766549607864</v>
      </c>
      <c r="P45" s="42">
        <v>0</v>
      </c>
      <c r="Q45" s="42">
        <v>0</v>
      </c>
      <c r="R45" s="42">
        <v>0</v>
      </c>
      <c r="AZ45" s="402"/>
    </row>
    <row r="46" spans="1:52" x14ac:dyDescent="0.25">
      <c r="A46" s="401" t="str">
        <f>IF(Arb!$AJ$28=1,"Int---","中级第")&amp;(ROW()-41)</f>
        <v>中级第5</v>
      </c>
      <c r="B46" s="518">
        <v>17.57</v>
      </c>
      <c r="C46" s="700">
        <v>18.059999999999999</v>
      </c>
      <c r="D46" s="42">
        <v>60</v>
      </c>
      <c r="E46" s="42">
        <v>60</v>
      </c>
      <c r="F46" s="42">
        <v>60</v>
      </c>
      <c r="H46" s="518">
        <v>3.0802292263610314</v>
      </c>
      <c r="I46" s="518">
        <v>3.0693069306930694</v>
      </c>
      <c r="J46" s="42">
        <v>0</v>
      </c>
      <c r="K46" s="42">
        <v>0</v>
      </c>
      <c r="L46" s="42">
        <v>0</v>
      </c>
      <c r="N46" s="708">
        <v>52.811730387177427</v>
      </c>
      <c r="O46" s="708">
        <v>53.445411889458263</v>
      </c>
      <c r="P46" s="42">
        <v>0</v>
      </c>
      <c r="Q46" s="42">
        <v>0</v>
      </c>
      <c r="R46" s="42">
        <v>0</v>
      </c>
      <c r="AZ46" s="402"/>
    </row>
    <row r="47" spans="1:52" x14ac:dyDescent="0.25">
      <c r="A47" s="401" t="str">
        <f>IF(Arb!$AJ$28=1,"Int---","中级第")&amp;(ROW()-41)</f>
        <v>中级第6</v>
      </c>
      <c r="B47" s="518">
        <v>17.940000000000001</v>
      </c>
      <c r="C47" s="700">
        <v>18.12</v>
      </c>
      <c r="D47" s="42">
        <v>60</v>
      </c>
      <c r="E47" s="42">
        <v>60</v>
      </c>
      <c r="F47" s="42">
        <v>60</v>
      </c>
      <c r="H47" s="518">
        <v>3.0324652158401713</v>
      </c>
      <c r="I47" s="518">
        <v>3.0358449158741769</v>
      </c>
      <c r="J47" s="42">
        <v>0</v>
      </c>
      <c r="K47" s="42">
        <v>0</v>
      </c>
      <c r="L47" s="42">
        <v>0</v>
      </c>
      <c r="N47" s="708">
        <v>52.133691539881802</v>
      </c>
      <c r="O47" s="708">
        <v>52.5927284178048</v>
      </c>
      <c r="P47" s="42">
        <v>0</v>
      </c>
      <c r="Q47" s="42">
        <v>0</v>
      </c>
      <c r="R47" s="42">
        <v>0</v>
      </c>
      <c r="AZ47" s="402"/>
    </row>
    <row r="48" spans="1:52" x14ac:dyDescent="0.25">
      <c r="A48" s="401" t="str">
        <f>IF(Arb!$AJ$28=1,"Int---","中级第")&amp;(ROW()-41)</f>
        <v>中级第7</v>
      </c>
      <c r="B48" s="700">
        <v>18.12</v>
      </c>
      <c r="C48" s="700">
        <v>18.37</v>
      </c>
      <c r="D48" s="42">
        <v>60</v>
      </c>
      <c r="E48" s="42">
        <v>60</v>
      </c>
      <c r="F48" s="42">
        <v>60</v>
      </c>
      <c r="H48" s="518">
        <v>3.0263157894736841</v>
      </c>
      <c r="I48" s="518">
        <v>3.0272108843537415</v>
      </c>
      <c r="J48" s="42">
        <v>0</v>
      </c>
      <c r="K48" s="42">
        <v>0</v>
      </c>
      <c r="L48" s="42">
        <v>0</v>
      </c>
      <c r="N48" s="708">
        <v>51.984174392926015</v>
      </c>
      <c r="O48" s="708">
        <v>52.350177517700189</v>
      </c>
      <c r="P48" s="42">
        <v>0</v>
      </c>
      <c r="Q48" s="42">
        <v>0</v>
      </c>
      <c r="R48" s="42">
        <v>0</v>
      </c>
      <c r="AZ48" s="402"/>
    </row>
    <row r="49" spans="1:52" x14ac:dyDescent="0.25">
      <c r="A49" s="401" t="str">
        <f>IF(Arb!$AJ$28=1,"Int---","中级第")&amp;(ROW()-41)</f>
        <v>中级第8</v>
      </c>
      <c r="B49" s="700">
        <v>18.68</v>
      </c>
      <c r="C49" s="700">
        <v>18.57</v>
      </c>
      <c r="D49" s="42">
        <v>60</v>
      </c>
      <c r="E49" s="42">
        <v>60</v>
      </c>
      <c r="F49" s="42">
        <v>60</v>
      </c>
      <c r="H49" s="518">
        <v>3.021685033771774</v>
      </c>
      <c r="I49" s="518">
        <v>3.0255402750491158</v>
      </c>
      <c r="J49" s="42">
        <v>0</v>
      </c>
      <c r="K49" s="42">
        <v>0</v>
      </c>
      <c r="L49" s="42">
        <v>0</v>
      </c>
      <c r="N49" s="708">
        <v>51.966553246325496</v>
      </c>
      <c r="O49" s="708">
        <v>51.90383967871842</v>
      </c>
      <c r="P49" s="42">
        <v>0</v>
      </c>
      <c r="Q49" s="42">
        <v>0</v>
      </c>
      <c r="R49" s="42">
        <v>0</v>
      </c>
      <c r="AZ49" s="402"/>
    </row>
    <row r="50" spans="1:52" x14ac:dyDescent="0.25">
      <c r="A50" s="401" t="str">
        <f>IF(Arb!$AJ$28=1,"Int---","中级第")&amp;(ROW()-41)</f>
        <v>中级第9</v>
      </c>
      <c r="B50" s="701">
        <v>19.03</v>
      </c>
      <c r="C50" s="700">
        <v>18.7</v>
      </c>
      <c r="D50" s="42">
        <v>60</v>
      </c>
      <c r="E50" s="42">
        <v>60</v>
      </c>
      <c r="F50" s="42">
        <v>60</v>
      </c>
      <c r="H50" s="700">
        <v>2.9856533540131833</v>
      </c>
      <c r="I50" s="518">
        <v>3.0045523520485582</v>
      </c>
      <c r="J50" s="42">
        <v>0</v>
      </c>
      <c r="K50" s="42">
        <v>0</v>
      </c>
      <c r="L50" s="42">
        <v>0</v>
      </c>
      <c r="N50" s="708">
        <v>51.778941567600832</v>
      </c>
      <c r="O50" s="708">
        <v>51.336519689096043</v>
      </c>
      <c r="P50" s="42">
        <v>0</v>
      </c>
      <c r="Q50" s="42">
        <v>0</v>
      </c>
      <c r="R50" s="42">
        <v>0</v>
      </c>
      <c r="AZ50" s="402"/>
    </row>
    <row r="51" spans="1:52" x14ac:dyDescent="0.25">
      <c r="A51" s="401" t="str">
        <f>IF(Arb!$AJ$28=1,"Int---","中级第")&amp;(ROW()-41)</f>
        <v>中级第10</v>
      </c>
      <c r="B51" s="701">
        <v>19.12</v>
      </c>
      <c r="C51" s="700">
        <v>18.940000000000001</v>
      </c>
      <c r="D51" s="42">
        <v>60</v>
      </c>
      <c r="E51" s="42">
        <v>60</v>
      </c>
      <c r="F51" s="42">
        <v>60</v>
      </c>
      <c r="H51" s="700">
        <v>2.9850746268656714</v>
      </c>
      <c r="I51" s="700">
        <v>2.9421945309795778</v>
      </c>
      <c r="J51" s="42">
        <v>0</v>
      </c>
      <c r="K51" s="42">
        <v>0</v>
      </c>
      <c r="L51" s="42">
        <v>0</v>
      </c>
      <c r="N51" s="708">
        <v>51.40076263527552</v>
      </c>
      <c r="O51" s="708">
        <v>51.023545926696421</v>
      </c>
      <c r="P51" s="42">
        <v>0</v>
      </c>
      <c r="Q51" s="42">
        <v>0</v>
      </c>
      <c r="R51" s="42">
        <v>0</v>
      </c>
      <c r="AZ51" s="402"/>
    </row>
    <row r="52" spans="1:52" x14ac:dyDescent="0.25">
      <c r="A52" s="401" t="str">
        <f>IF(Arb!$AJ$28=1,"Int---","中级第")&amp;(ROW()-41)</f>
        <v>中级第11</v>
      </c>
      <c r="B52" s="701">
        <v>19.59</v>
      </c>
      <c r="C52" s="701">
        <v>19.739999999999998</v>
      </c>
      <c r="D52" s="42">
        <v>60</v>
      </c>
      <c r="E52" s="42">
        <v>60</v>
      </c>
      <c r="F52" s="42">
        <v>60</v>
      </c>
      <c r="H52" s="700">
        <v>2.9782359679266892</v>
      </c>
      <c r="I52" s="700">
        <v>2.9411764705882355</v>
      </c>
      <c r="J52" s="42">
        <v>0</v>
      </c>
      <c r="K52" s="42">
        <v>0</v>
      </c>
      <c r="L52" s="42">
        <v>0</v>
      </c>
      <c r="N52" s="708">
        <v>51.386505323293378</v>
      </c>
      <c r="O52" s="708">
        <v>50.354116285953189</v>
      </c>
      <c r="P52" s="42">
        <v>0</v>
      </c>
      <c r="Q52" s="42">
        <v>0</v>
      </c>
      <c r="R52" s="42">
        <v>0</v>
      </c>
      <c r="AZ52" s="402"/>
    </row>
    <row r="53" spans="1:52" x14ac:dyDescent="0.25">
      <c r="A53" s="401" t="str">
        <f>IF(Arb!$AJ$28=1,"Int---","中级第")&amp;(ROW()-41)</f>
        <v>中级第12</v>
      </c>
      <c r="B53" s="701">
        <v>19.670000000000002</v>
      </c>
      <c r="C53" s="701">
        <v>19.989999999999998</v>
      </c>
      <c r="D53" s="42">
        <v>60</v>
      </c>
      <c r="E53" s="42">
        <v>60</v>
      </c>
      <c r="F53" s="42">
        <v>60</v>
      </c>
      <c r="H53" s="700">
        <v>2.9646017699115044</v>
      </c>
      <c r="I53" s="700">
        <v>2.9281989570798235</v>
      </c>
      <c r="J53" s="42">
        <v>0</v>
      </c>
      <c r="K53" s="42">
        <v>0</v>
      </c>
      <c r="L53" s="42">
        <v>0</v>
      </c>
      <c r="N53" s="708">
        <v>51.312151412312971</v>
      </c>
      <c r="O53" s="704">
        <v>49.806785853878317</v>
      </c>
      <c r="P53" s="42">
        <v>0</v>
      </c>
      <c r="Q53" s="42">
        <v>0</v>
      </c>
      <c r="R53" s="42">
        <v>0</v>
      </c>
      <c r="AZ53" s="402"/>
    </row>
    <row r="54" spans="1:52" x14ac:dyDescent="0.25">
      <c r="A54" s="401" t="str">
        <f>IF(Arb!$AJ$28=1,"Int---","中级第")&amp;(ROW()-41)</f>
        <v>中级第13</v>
      </c>
      <c r="B54" s="701">
        <v>19.75</v>
      </c>
      <c r="C54" s="702">
        <v>20.07</v>
      </c>
      <c r="D54" s="42">
        <v>60</v>
      </c>
      <c r="E54" s="42">
        <v>60</v>
      </c>
      <c r="F54" s="42">
        <v>60</v>
      </c>
      <c r="H54" s="700">
        <v>2.9506871463217466</v>
      </c>
      <c r="I54" s="700">
        <v>2.9232643118148602</v>
      </c>
      <c r="J54" s="42">
        <v>0</v>
      </c>
      <c r="K54" s="42">
        <v>0</v>
      </c>
      <c r="L54" s="42">
        <v>0</v>
      </c>
      <c r="N54" s="708">
        <v>51.015990125434755</v>
      </c>
      <c r="O54" s="704">
        <v>49.089157128937103</v>
      </c>
      <c r="P54" s="42">
        <v>0</v>
      </c>
      <c r="Q54" s="42">
        <v>0</v>
      </c>
      <c r="R54" s="42">
        <v>0</v>
      </c>
      <c r="AZ54" s="402"/>
    </row>
    <row r="55" spans="1:52" x14ac:dyDescent="0.25">
      <c r="A55" s="401" t="str">
        <f>IF(Arb!$AJ$28=1,"Int---","中级第")&amp;(ROW()-41)</f>
        <v>中级第14</v>
      </c>
      <c r="B55" s="701">
        <v>19.940000000000001</v>
      </c>
      <c r="C55" s="702">
        <v>20.09</v>
      </c>
      <c r="D55" s="42">
        <v>60</v>
      </c>
      <c r="E55" s="42">
        <v>60</v>
      </c>
      <c r="F55" s="42">
        <v>60</v>
      </c>
      <c r="H55" s="700">
        <v>2.9411764705882351</v>
      </c>
      <c r="I55" s="700">
        <v>2.911336568151742</v>
      </c>
      <c r="J55" s="42">
        <v>0</v>
      </c>
      <c r="K55" s="42">
        <v>0</v>
      </c>
      <c r="L55" s="42">
        <v>0</v>
      </c>
      <c r="N55" s="708">
        <v>50.851460366122517</v>
      </c>
      <c r="O55" s="704">
        <v>48.801305216047844</v>
      </c>
      <c r="P55" s="42">
        <v>0</v>
      </c>
      <c r="Q55" s="42">
        <v>0</v>
      </c>
      <c r="R55" s="42">
        <v>0</v>
      </c>
      <c r="AZ55" s="402"/>
    </row>
    <row r="56" spans="1:52" x14ac:dyDescent="0.25">
      <c r="A56" s="401" t="str">
        <f>IF(Arb!$AJ$28=1,"Int---","中级第")&amp;(ROW()-41)</f>
        <v>中级第15</v>
      </c>
      <c r="B56" s="702">
        <v>20.010000000000002</v>
      </c>
      <c r="C56" s="702">
        <v>20.2</v>
      </c>
      <c r="D56" s="42">
        <v>60</v>
      </c>
      <c r="E56" s="42">
        <v>60</v>
      </c>
      <c r="F56" s="42">
        <v>60</v>
      </c>
      <c r="H56" s="700">
        <v>2.9401219074937255</v>
      </c>
      <c r="I56" s="700">
        <v>2.9071934401789044</v>
      </c>
      <c r="J56" s="42">
        <v>0</v>
      </c>
      <c r="K56" s="42">
        <v>0</v>
      </c>
      <c r="L56" s="42">
        <v>0</v>
      </c>
      <c r="N56" s="708">
        <v>50.753917860335378</v>
      </c>
      <c r="O56" s="704">
        <v>48.556460231352318</v>
      </c>
      <c r="P56" s="42">
        <v>0</v>
      </c>
      <c r="Q56" s="42">
        <v>0</v>
      </c>
      <c r="R56" s="42">
        <v>0</v>
      </c>
      <c r="AZ56" s="402"/>
    </row>
    <row r="57" spans="1:52" x14ac:dyDescent="0.25">
      <c r="A57" s="401" t="str">
        <f>IF(Arb!$AJ$28=1,"Int---","中级第")&amp;(ROW()-41)</f>
        <v>中级第16</v>
      </c>
      <c r="B57" s="702">
        <v>20.09</v>
      </c>
      <c r="C57" s="702">
        <v>20.46</v>
      </c>
      <c r="D57" s="42">
        <v>60</v>
      </c>
      <c r="E57" s="42">
        <v>60</v>
      </c>
      <c r="F57" s="42">
        <v>60</v>
      </c>
      <c r="H57" s="700">
        <v>2.9309679907443118</v>
      </c>
      <c r="I57" s="700">
        <v>2.8950542822677923</v>
      </c>
      <c r="J57" s="42">
        <v>0</v>
      </c>
      <c r="K57" s="42">
        <v>0</v>
      </c>
      <c r="L57" s="42">
        <v>0</v>
      </c>
      <c r="N57" s="708">
        <v>50.595872351232586</v>
      </c>
      <c r="O57" s="704">
        <v>48.292451741178951</v>
      </c>
      <c r="P57" s="42">
        <v>0</v>
      </c>
      <c r="Q57" s="42">
        <v>0</v>
      </c>
      <c r="R57" s="42">
        <v>0</v>
      </c>
      <c r="AZ57" s="402"/>
    </row>
    <row r="58" spans="1:52" x14ac:dyDescent="0.25">
      <c r="A58" s="401" t="str">
        <f>IF(Arb!$AJ$28=1,"Int---","中级第")&amp;(ROW()-41)</f>
        <v>中级第17</v>
      </c>
      <c r="B58" s="702">
        <v>20.12</v>
      </c>
      <c r="C58" s="702">
        <v>20.48</v>
      </c>
      <c r="D58" s="42">
        <v>60</v>
      </c>
      <c r="E58" s="42">
        <v>60</v>
      </c>
      <c r="F58" s="42">
        <v>60</v>
      </c>
      <c r="H58" s="700">
        <v>2.9290617848970251</v>
      </c>
      <c r="I58" s="700">
        <v>2.8899445764053837</v>
      </c>
      <c r="J58" s="42">
        <v>0</v>
      </c>
      <c r="K58" s="42">
        <v>0</v>
      </c>
      <c r="L58" s="42">
        <v>0</v>
      </c>
      <c r="N58" s="708">
        <v>50.592541259185708</v>
      </c>
      <c r="O58" s="704">
        <v>48.259199638049211</v>
      </c>
      <c r="P58" s="42">
        <v>0</v>
      </c>
      <c r="Q58" s="42">
        <v>0</v>
      </c>
      <c r="R58" s="42">
        <v>0</v>
      </c>
      <c r="AZ58" s="402"/>
    </row>
    <row r="59" spans="1:52" x14ac:dyDescent="0.25">
      <c r="A59" s="401" t="str">
        <f>IF(Arb!$AJ$28=1,"Int---","中级第")&amp;(ROW()-41)</f>
        <v>中级第18</v>
      </c>
      <c r="B59" s="702">
        <v>20.14</v>
      </c>
      <c r="C59" s="702">
        <v>20.58</v>
      </c>
      <c r="D59" s="42">
        <v>60</v>
      </c>
      <c r="E59" s="42">
        <v>60</v>
      </c>
      <c r="F59" s="42">
        <v>60</v>
      </c>
      <c r="H59" s="700">
        <v>2.924731182795699</v>
      </c>
      <c r="I59" s="700">
        <v>2.8766630708378282</v>
      </c>
      <c r="J59" s="42">
        <v>0</v>
      </c>
      <c r="K59" s="42">
        <v>0</v>
      </c>
      <c r="L59" s="42">
        <v>0</v>
      </c>
      <c r="N59" s="704">
        <v>49.699098675876137</v>
      </c>
      <c r="O59" s="704">
        <v>47.984016190745429</v>
      </c>
      <c r="P59" s="42">
        <v>0</v>
      </c>
      <c r="Q59" s="42">
        <v>0</v>
      </c>
      <c r="R59" s="42">
        <v>0</v>
      </c>
      <c r="AZ59" s="402"/>
    </row>
    <row r="60" spans="1:52" x14ac:dyDescent="0.25">
      <c r="A60" s="401" t="str">
        <f>IF(Arb!$AJ$28=1,"Int---","中级第")&amp;(ROW()-41)</f>
        <v>中级第19</v>
      </c>
      <c r="B60" s="702">
        <v>20.149999999999999</v>
      </c>
      <c r="C60" s="702">
        <v>20.81</v>
      </c>
      <c r="D60" s="42">
        <v>60</v>
      </c>
      <c r="E60" s="42">
        <v>60</v>
      </c>
      <c r="F60" s="42">
        <v>60</v>
      </c>
      <c r="H60" s="700">
        <v>2.8908794788273617</v>
      </c>
      <c r="I60" s="700">
        <v>2.869757174392936</v>
      </c>
      <c r="J60" s="42">
        <v>0</v>
      </c>
      <c r="K60" s="42">
        <v>0</v>
      </c>
      <c r="L60" s="42">
        <v>0</v>
      </c>
      <c r="N60" s="704">
        <v>49.662167632082337</v>
      </c>
      <c r="O60" s="704">
        <v>47.709143889297458</v>
      </c>
      <c r="P60" s="42">
        <v>0</v>
      </c>
      <c r="Q60" s="42">
        <v>0</v>
      </c>
      <c r="R60" s="42">
        <v>0</v>
      </c>
      <c r="AZ60" s="402"/>
    </row>
    <row r="61" spans="1:52" x14ac:dyDescent="0.25">
      <c r="A61" s="401" t="str">
        <f>IF(Arb!$AJ$28=1,"Int---","中级第")&amp;(ROW()-41)</f>
        <v>中级第20</v>
      </c>
      <c r="B61" s="702">
        <v>20.39</v>
      </c>
      <c r="C61" s="702">
        <v>20.98</v>
      </c>
      <c r="D61" s="42">
        <v>60</v>
      </c>
      <c r="E61" s="42">
        <v>60</v>
      </c>
      <c r="F61" s="42">
        <v>60</v>
      </c>
      <c r="H61" s="700">
        <v>2.8904428904428907</v>
      </c>
      <c r="I61" s="700">
        <v>2.8582770940849542</v>
      </c>
      <c r="J61" s="42">
        <v>0</v>
      </c>
      <c r="K61" s="42">
        <v>0</v>
      </c>
      <c r="L61" s="42">
        <v>0</v>
      </c>
      <c r="N61" s="704">
        <v>49.382417249943913</v>
      </c>
      <c r="O61" s="704">
        <v>47.386388843450071</v>
      </c>
      <c r="P61" s="42">
        <v>0</v>
      </c>
      <c r="Q61" s="42">
        <v>0</v>
      </c>
      <c r="R61" s="42">
        <v>0</v>
      </c>
      <c r="AZ61" s="402"/>
    </row>
    <row r="62" spans="1:52" x14ac:dyDescent="0.25">
      <c r="A62" s="401" t="str">
        <f>IF(Arb!$AJ$28=1,"Int---","中级第")&amp;(ROW()-41)</f>
        <v>中级第21</v>
      </c>
      <c r="B62" s="702">
        <v>20.43</v>
      </c>
      <c r="C62" s="708">
        <v>21.08</v>
      </c>
      <c r="D62" s="42">
        <v>60</v>
      </c>
      <c r="E62" s="42">
        <v>60</v>
      </c>
      <c r="F62" s="42">
        <v>60</v>
      </c>
      <c r="H62" s="700">
        <v>2.88153681963714</v>
      </c>
      <c r="I62" s="700">
        <v>2.855128657032076</v>
      </c>
      <c r="J62" s="42">
        <v>0</v>
      </c>
      <c r="K62" s="42">
        <v>0</v>
      </c>
      <c r="L62" s="42">
        <v>0</v>
      </c>
      <c r="N62" s="704">
        <v>48.965321970813235</v>
      </c>
      <c r="O62" s="704">
        <v>47.161515178823834</v>
      </c>
      <c r="P62" s="42">
        <v>0</v>
      </c>
      <c r="Q62" s="42">
        <v>0</v>
      </c>
      <c r="R62" s="42">
        <v>0</v>
      </c>
      <c r="AZ62" s="402"/>
    </row>
    <row r="63" spans="1:52" x14ac:dyDescent="0.25">
      <c r="A63" s="401" t="str">
        <f>IF(Arb!$AJ$28=1,"Int---","中级第")&amp;(ROW()-41)</f>
        <v>中级第22</v>
      </c>
      <c r="B63" s="702">
        <v>20.7</v>
      </c>
      <c r="C63" s="708">
        <v>21.21</v>
      </c>
      <c r="D63" s="42">
        <v>60</v>
      </c>
      <c r="E63" s="42">
        <v>60</v>
      </c>
      <c r="F63" s="42">
        <v>60</v>
      </c>
      <c r="H63" s="700">
        <v>2.88</v>
      </c>
      <c r="I63" s="700">
        <v>2.849740932642487</v>
      </c>
      <c r="J63" s="42">
        <v>0</v>
      </c>
      <c r="K63" s="42">
        <v>0</v>
      </c>
      <c r="L63" s="42">
        <v>0</v>
      </c>
      <c r="N63" s="704">
        <v>48.792825327430208</v>
      </c>
      <c r="O63" s="704">
        <v>46.929106829615741</v>
      </c>
      <c r="P63" s="42">
        <v>0</v>
      </c>
      <c r="Q63" s="42">
        <v>0</v>
      </c>
      <c r="R63" s="42">
        <v>0</v>
      </c>
      <c r="AZ63" s="402"/>
    </row>
    <row r="64" spans="1:52" x14ac:dyDescent="0.25">
      <c r="A64" s="401" t="str">
        <f>IF(Arb!$AJ$28=1,"Int---","中级第")&amp;(ROW()-41)</f>
        <v>中级第23</v>
      </c>
      <c r="B64" s="702">
        <v>20.7</v>
      </c>
      <c r="C64" s="708">
        <v>21.23</v>
      </c>
      <c r="D64" s="42">
        <v>60</v>
      </c>
      <c r="E64" s="42">
        <v>60</v>
      </c>
      <c r="F64" s="42">
        <v>60</v>
      </c>
      <c r="H64" s="700">
        <v>2.8796708947548848</v>
      </c>
      <c r="I64" s="700">
        <v>2.8461538461538463</v>
      </c>
      <c r="J64" s="42">
        <v>0</v>
      </c>
      <c r="K64" s="42">
        <v>0</v>
      </c>
      <c r="L64" s="42">
        <v>0</v>
      </c>
      <c r="N64" s="704">
        <v>48.601591359750998</v>
      </c>
      <c r="O64" s="704">
        <v>46.788815795536699</v>
      </c>
      <c r="P64" s="42">
        <v>0</v>
      </c>
      <c r="Q64" s="42">
        <v>0</v>
      </c>
      <c r="R64" s="42">
        <v>0</v>
      </c>
      <c r="AZ64" s="402"/>
    </row>
    <row r="65" spans="1:52" ht="13.8" thickBot="1" x14ac:dyDescent="0.3">
      <c r="A65" s="403" t="str">
        <f>IF(Arb!$AJ$28=1,"Int---","中级第")&amp;(ROW()-41)</f>
        <v>中级第24</v>
      </c>
      <c r="B65" s="805">
        <v>20.72</v>
      </c>
      <c r="C65" s="806">
        <v>21.26</v>
      </c>
      <c r="D65" s="404">
        <v>60</v>
      </c>
      <c r="E65" s="404">
        <v>60</v>
      </c>
      <c r="F65" s="404">
        <v>60</v>
      </c>
      <c r="G65" s="404"/>
      <c r="H65" s="812">
        <v>2.8764805414551606</v>
      </c>
      <c r="I65" s="812">
        <v>2.8456767603064574</v>
      </c>
      <c r="J65" s="404">
        <v>0</v>
      </c>
      <c r="K65" s="404">
        <v>0</v>
      </c>
      <c r="L65" s="404">
        <v>0</v>
      </c>
      <c r="M65" s="404"/>
      <c r="N65" s="818">
        <v>48.567014901888946</v>
      </c>
      <c r="O65" s="818">
        <v>46.338801677027824</v>
      </c>
      <c r="P65" s="404">
        <v>0</v>
      </c>
      <c r="Q65" s="404">
        <v>0</v>
      </c>
      <c r="R65" s="404">
        <v>0</v>
      </c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4"/>
      <c r="AE65" s="404"/>
      <c r="AF65" s="404"/>
      <c r="AG65" s="404"/>
      <c r="AH65" s="404"/>
      <c r="AI65" s="404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5"/>
    </row>
    <row r="66" spans="1:52" x14ac:dyDescent="0.25">
      <c r="A66" s="397" t="str">
        <f>IF(Arb!$AJ$28=1,"Exp---","高级第")&amp;(ROW()-65)</f>
        <v>高级第1</v>
      </c>
      <c r="B66" s="807">
        <v>57.36</v>
      </c>
      <c r="C66" s="808">
        <v>65.28</v>
      </c>
      <c r="D66" s="397">
        <v>240</v>
      </c>
      <c r="E66" s="397">
        <v>240</v>
      </c>
      <c r="F66" s="397">
        <v>240</v>
      </c>
      <c r="G66" s="397"/>
      <c r="H66" s="813">
        <v>2.8399518652226234</v>
      </c>
      <c r="I66" s="814">
        <v>2.5675136357589463</v>
      </c>
      <c r="J66" s="397">
        <v>0</v>
      </c>
      <c r="K66" s="397">
        <v>0</v>
      </c>
      <c r="L66" s="397">
        <v>0</v>
      </c>
      <c r="M66" s="397"/>
      <c r="N66" s="814">
        <v>67.046806836187514</v>
      </c>
      <c r="O66" s="819">
        <v>56.097202138470081</v>
      </c>
      <c r="P66" s="397">
        <v>0</v>
      </c>
      <c r="Q66" s="397">
        <v>0</v>
      </c>
      <c r="R66" s="397">
        <v>0</v>
      </c>
      <c r="S66" s="397"/>
      <c r="T66" s="397"/>
      <c r="U66" s="397"/>
      <c r="V66" s="397"/>
      <c r="W66" s="397"/>
      <c r="X66" s="397"/>
      <c r="Y66" s="397"/>
      <c r="Z66" s="397"/>
      <c r="AA66" s="397"/>
      <c r="AB66" s="397"/>
      <c r="AC66" s="397"/>
      <c r="AD66" s="397"/>
      <c r="AE66" s="397"/>
      <c r="AF66" s="397"/>
      <c r="AG66" s="397"/>
      <c r="AH66" s="397"/>
      <c r="AI66" s="397"/>
      <c r="AJ66" s="397"/>
      <c r="AK66" s="397"/>
      <c r="AL66" s="397"/>
      <c r="AM66" s="397"/>
      <c r="AN66" s="397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7"/>
      <c r="AZ66" s="397"/>
    </row>
    <row r="67" spans="1:52" x14ac:dyDescent="0.25">
      <c r="A67" s="42" t="str">
        <f>IF(Arb!$AJ$28=1,"Exp---","高级第")&amp;(ROW()-65)</f>
        <v>高级第2</v>
      </c>
      <c r="B67" s="518">
        <v>58.3</v>
      </c>
      <c r="C67" s="708">
        <v>66.72</v>
      </c>
      <c r="D67" s="42">
        <v>240</v>
      </c>
      <c r="E67" s="42">
        <v>240</v>
      </c>
      <c r="F67" s="42">
        <v>240</v>
      </c>
      <c r="H67" s="700">
        <v>2.8244155029028715</v>
      </c>
      <c r="I67" s="701">
        <v>2.5079273565869129</v>
      </c>
      <c r="J67" s="42">
        <v>0</v>
      </c>
      <c r="K67" s="42">
        <v>0</v>
      </c>
      <c r="L67" s="42">
        <v>0</v>
      </c>
      <c r="N67" s="701">
        <v>64.028976873970009</v>
      </c>
      <c r="O67" s="708">
        <v>54.296499178983154</v>
      </c>
      <c r="P67" s="42">
        <v>0</v>
      </c>
      <c r="Q67" s="42">
        <v>0</v>
      </c>
      <c r="R67" s="42">
        <v>0</v>
      </c>
    </row>
    <row r="68" spans="1:52" x14ac:dyDescent="0.25">
      <c r="A68" s="42" t="str">
        <f>IF(Arb!$AJ$28=1,"Exp---","高级第")&amp;(ROW()-65)</f>
        <v>高级第3</v>
      </c>
      <c r="B68" s="700">
        <v>59.01</v>
      </c>
      <c r="C68" s="708">
        <v>67.12</v>
      </c>
      <c r="D68" s="42">
        <v>240</v>
      </c>
      <c r="E68" s="42">
        <v>240</v>
      </c>
      <c r="F68" s="42">
        <v>240</v>
      </c>
      <c r="H68" s="700">
        <v>2.8129602356406478</v>
      </c>
      <c r="I68" s="702">
        <v>2.4916275954454119</v>
      </c>
      <c r="J68" s="42">
        <v>0</v>
      </c>
      <c r="K68" s="42">
        <v>0</v>
      </c>
      <c r="L68" s="42">
        <v>0</v>
      </c>
      <c r="N68" s="701">
        <v>63.87707282206086</v>
      </c>
      <c r="O68" s="708">
        <v>53.150201167764834</v>
      </c>
      <c r="P68" s="42">
        <v>0</v>
      </c>
      <c r="Q68" s="42">
        <v>0</v>
      </c>
      <c r="R68" s="42">
        <v>0</v>
      </c>
    </row>
    <row r="69" spans="1:52" x14ac:dyDescent="0.25">
      <c r="A69" s="42" t="str">
        <f>IF(Arb!$AJ$28=1,"Exp---","高级第")&amp;(ROW()-65)</f>
        <v>高级第4</v>
      </c>
      <c r="B69" s="700">
        <v>59.06</v>
      </c>
      <c r="C69" s="708">
        <v>67.569999999999993</v>
      </c>
      <c r="D69" s="42">
        <v>240</v>
      </c>
      <c r="E69" s="42">
        <v>240</v>
      </c>
      <c r="F69" s="42">
        <v>240</v>
      </c>
      <c r="H69" s="700">
        <v>2.7971035070282548</v>
      </c>
      <c r="I69" s="702">
        <v>2.4790236460717012</v>
      </c>
      <c r="J69" s="42">
        <v>0</v>
      </c>
      <c r="K69" s="42">
        <v>0</v>
      </c>
      <c r="L69" s="42">
        <v>0</v>
      </c>
      <c r="N69" s="701">
        <v>63.606818048754512</v>
      </c>
      <c r="O69" s="708">
        <v>52.948360737194712</v>
      </c>
      <c r="P69" s="42">
        <v>0</v>
      </c>
      <c r="Q69" s="42">
        <v>0</v>
      </c>
      <c r="R69" s="42">
        <v>0</v>
      </c>
    </row>
    <row r="70" spans="1:52" x14ac:dyDescent="0.25">
      <c r="A70" s="42" t="str">
        <f>IF(Arb!$AJ$28=1,"Exp---","高级第")&amp;(ROW()-65)</f>
        <v>高级第5</v>
      </c>
      <c r="B70" s="700">
        <v>59.17</v>
      </c>
      <c r="C70" s="708">
        <v>68.09</v>
      </c>
      <c r="D70" s="42">
        <v>240</v>
      </c>
      <c r="E70" s="42">
        <v>240</v>
      </c>
      <c r="F70" s="42">
        <v>240</v>
      </c>
      <c r="H70" s="700">
        <v>2.7800053461641276</v>
      </c>
      <c r="I70" s="702">
        <v>2.4599059447726996</v>
      </c>
      <c r="J70" s="42">
        <v>0</v>
      </c>
      <c r="K70" s="42">
        <v>0</v>
      </c>
      <c r="L70" s="42">
        <v>0</v>
      </c>
      <c r="N70" s="701">
        <v>63.589097601777198</v>
      </c>
      <c r="O70" s="708">
        <v>52.643823656090319</v>
      </c>
      <c r="P70" s="42">
        <v>0</v>
      </c>
      <c r="Q70" s="42">
        <v>0</v>
      </c>
      <c r="R70" s="42">
        <v>0</v>
      </c>
    </row>
    <row r="71" spans="1:52" x14ac:dyDescent="0.25">
      <c r="A71" s="42" t="str">
        <f>IF(Arb!$AJ$28=1,"Exp---","高级第")&amp;(ROW()-65)</f>
        <v>高级第6</v>
      </c>
      <c r="B71" s="700">
        <v>60.28</v>
      </c>
      <c r="C71" s="708">
        <v>68.31</v>
      </c>
      <c r="D71" s="42">
        <v>240</v>
      </c>
      <c r="E71" s="42">
        <v>240</v>
      </c>
      <c r="F71" s="42">
        <v>240</v>
      </c>
      <c r="H71" s="700">
        <v>2.7756160830090795</v>
      </c>
      <c r="I71" s="702">
        <v>2.4555364314400459</v>
      </c>
      <c r="J71" s="42">
        <v>0</v>
      </c>
      <c r="K71" s="42">
        <v>0</v>
      </c>
      <c r="L71" s="42">
        <v>0</v>
      </c>
      <c r="N71" s="702">
        <v>62.477700574593065</v>
      </c>
      <c r="O71" s="708">
        <v>52.536406529969511</v>
      </c>
      <c r="P71" s="42">
        <v>0</v>
      </c>
      <c r="Q71" s="42">
        <v>0</v>
      </c>
      <c r="R71" s="42">
        <v>0</v>
      </c>
    </row>
    <row r="72" spans="1:52" x14ac:dyDescent="0.25">
      <c r="A72" s="42" t="str">
        <f>IF(Arb!$AJ$28=1,"Exp---","高级第")&amp;(ROW()-65)</f>
        <v>高级第7</v>
      </c>
      <c r="B72" s="700">
        <v>60.46</v>
      </c>
      <c r="C72" s="708">
        <v>68.42</v>
      </c>
      <c r="D72" s="42">
        <v>240</v>
      </c>
      <c r="E72" s="42">
        <v>240</v>
      </c>
      <c r="F72" s="42">
        <v>240</v>
      </c>
      <c r="H72" s="700">
        <v>2.7663088356729975</v>
      </c>
      <c r="I72" s="702">
        <v>2.4399894486942761</v>
      </c>
      <c r="J72" s="42">
        <v>0</v>
      </c>
      <c r="K72" s="42">
        <v>0</v>
      </c>
      <c r="L72" s="42">
        <v>0</v>
      </c>
      <c r="N72" s="702">
        <v>62.227491807794621</v>
      </c>
      <c r="O72" s="708">
        <v>52.205572576508914</v>
      </c>
      <c r="P72" s="42">
        <v>0</v>
      </c>
      <c r="Q72" s="42">
        <v>0</v>
      </c>
      <c r="R72" s="42">
        <v>0</v>
      </c>
    </row>
    <row r="73" spans="1:52" x14ac:dyDescent="0.25">
      <c r="A73" s="42" t="str">
        <f>IF(Arb!$AJ$28=1,"Exp---","高级第")&amp;(ROW()-65)</f>
        <v>高级第8</v>
      </c>
      <c r="B73" s="700">
        <v>60.62</v>
      </c>
      <c r="C73" s="708">
        <v>68.83</v>
      </c>
      <c r="D73" s="42">
        <v>240</v>
      </c>
      <c r="E73" s="42">
        <v>240</v>
      </c>
      <c r="F73" s="42">
        <v>240</v>
      </c>
      <c r="H73" s="700">
        <v>2.7633378932968538</v>
      </c>
      <c r="I73" s="702">
        <v>2.4356559949780285</v>
      </c>
      <c r="J73" s="42">
        <v>0</v>
      </c>
      <c r="K73" s="42">
        <v>0</v>
      </c>
      <c r="L73" s="42">
        <v>0</v>
      </c>
      <c r="N73" s="702">
        <v>61.965588854670706</v>
      </c>
      <c r="O73" s="708">
        <v>52.011978743977991</v>
      </c>
      <c r="P73" s="42">
        <v>0</v>
      </c>
      <c r="Q73" s="42">
        <v>0</v>
      </c>
      <c r="R73" s="42">
        <v>0</v>
      </c>
    </row>
    <row r="74" spans="1:52" x14ac:dyDescent="0.25">
      <c r="A74" s="42" t="str">
        <f>IF(Arb!$AJ$28=1,"Exp---","高级第")&amp;(ROW()-65)</f>
        <v>高级第9</v>
      </c>
      <c r="B74" s="700">
        <v>60.75</v>
      </c>
      <c r="C74" s="704">
        <v>69.239999999999995</v>
      </c>
      <c r="D74" s="42">
        <v>240</v>
      </c>
      <c r="E74" s="42">
        <v>240</v>
      </c>
      <c r="F74" s="42">
        <v>240</v>
      </c>
      <c r="H74" s="700">
        <v>2.7506025804622145</v>
      </c>
      <c r="I74" s="702">
        <v>2.4329896907216493</v>
      </c>
      <c r="J74" s="42">
        <v>0</v>
      </c>
      <c r="K74" s="42">
        <v>0</v>
      </c>
      <c r="L74" s="42">
        <v>0</v>
      </c>
      <c r="N74" s="702">
        <v>61.921005564456472</v>
      </c>
      <c r="O74" s="708">
        <v>51.562853653386917</v>
      </c>
      <c r="P74" s="42">
        <v>0</v>
      </c>
      <c r="Q74" s="42">
        <v>0</v>
      </c>
      <c r="R74" s="42">
        <v>0</v>
      </c>
    </row>
    <row r="75" spans="1:52" x14ac:dyDescent="0.25">
      <c r="A75" s="42" t="str">
        <f>IF(Arb!$AJ$28=1,"Exp---","高级第")&amp;(ROW()-65)</f>
        <v>高级第10</v>
      </c>
      <c r="B75" s="700">
        <v>61.27</v>
      </c>
      <c r="C75" s="704">
        <v>69.239999999999995</v>
      </c>
      <c r="D75" s="42">
        <v>240</v>
      </c>
      <c r="E75" s="42">
        <v>240</v>
      </c>
      <c r="F75" s="42">
        <v>240</v>
      </c>
      <c r="H75" s="701">
        <v>2.7445034116755118</v>
      </c>
      <c r="I75" s="702">
        <v>2.431204915842907</v>
      </c>
      <c r="J75" s="42">
        <v>0</v>
      </c>
      <c r="K75" s="42">
        <v>0</v>
      </c>
      <c r="L75" s="42">
        <v>0</v>
      </c>
      <c r="N75" s="702">
        <v>61.911084440907963</v>
      </c>
      <c r="O75" s="708">
        <v>51.462823050426621</v>
      </c>
      <c r="P75" s="42">
        <v>0</v>
      </c>
      <c r="Q75" s="42">
        <v>0</v>
      </c>
      <c r="R75" s="42">
        <v>0</v>
      </c>
    </row>
    <row r="76" spans="1:52" x14ac:dyDescent="0.25">
      <c r="A76" s="42" t="str">
        <f>IF(Arb!$AJ$28=1,"Exp---","高级第")&amp;(ROW()-65)</f>
        <v>高级第11</v>
      </c>
      <c r="B76" s="701">
        <v>61.85</v>
      </c>
      <c r="C76" s="704">
        <v>69.38</v>
      </c>
      <c r="D76" s="42">
        <v>240</v>
      </c>
      <c r="E76" s="42">
        <v>240</v>
      </c>
      <c r="F76" s="42">
        <v>240</v>
      </c>
      <c r="H76" s="701">
        <v>2.7376231290776514</v>
      </c>
      <c r="I76" s="702">
        <v>2.4196504949285105</v>
      </c>
      <c r="J76" s="42">
        <v>0</v>
      </c>
      <c r="K76" s="42">
        <v>0</v>
      </c>
      <c r="L76" s="42">
        <v>0</v>
      </c>
      <c r="N76" s="702">
        <v>61.697908674639855</v>
      </c>
      <c r="O76" s="708">
        <v>51.289628993272387</v>
      </c>
      <c r="P76" s="42">
        <v>0</v>
      </c>
      <c r="Q76" s="42">
        <v>0</v>
      </c>
      <c r="R76" s="42">
        <v>0</v>
      </c>
    </row>
    <row r="77" spans="1:52" x14ac:dyDescent="0.25">
      <c r="A77" s="42" t="str">
        <f>IF(Arb!$AJ$28=1,"Exp---","高级第")&amp;(ROW()-65)</f>
        <v>高级第12</v>
      </c>
      <c r="B77" s="701">
        <v>61.93</v>
      </c>
      <c r="C77" s="704">
        <v>70.209999999999994</v>
      </c>
      <c r="D77" s="42">
        <v>240</v>
      </c>
      <c r="E77" s="42">
        <v>240</v>
      </c>
      <c r="F77" s="42">
        <v>240</v>
      </c>
      <c r="H77" s="701">
        <v>2.7219258651347285</v>
      </c>
      <c r="I77" s="702">
        <v>2.4190636659044409</v>
      </c>
      <c r="J77" s="42">
        <v>0</v>
      </c>
      <c r="K77" s="42">
        <v>0</v>
      </c>
      <c r="L77" s="42">
        <v>0</v>
      </c>
      <c r="N77" s="702">
        <v>61.500549229527792</v>
      </c>
      <c r="O77" s="708">
        <v>51.271395930020809</v>
      </c>
      <c r="P77" s="42">
        <v>0</v>
      </c>
      <c r="Q77" s="42">
        <v>0</v>
      </c>
      <c r="R77" s="42">
        <v>0</v>
      </c>
    </row>
    <row r="78" spans="1:52" x14ac:dyDescent="0.25">
      <c r="A78" s="42" t="str">
        <f>IF(Arb!$AJ$28=1,"Exp---","高级第")&amp;(ROW()-65)</f>
        <v>高级第13</v>
      </c>
      <c r="B78" s="701">
        <v>61.94</v>
      </c>
      <c r="C78" s="704">
        <v>70.44</v>
      </c>
      <c r="D78" s="42">
        <v>240</v>
      </c>
      <c r="E78" s="42">
        <v>240</v>
      </c>
      <c r="F78" s="42">
        <v>240</v>
      </c>
      <c r="H78" s="701">
        <v>2.7215631542219119</v>
      </c>
      <c r="I78" s="702">
        <v>2.4174053182917006</v>
      </c>
      <c r="J78" s="42">
        <v>0</v>
      </c>
      <c r="K78" s="42">
        <v>0</v>
      </c>
      <c r="L78" s="42">
        <v>0</v>
      </c>
      <c r="N78" s="702">
        <v>61.387526991576109</v>
      </c>
      <c r="O78" s="708">
        <v>51.152461158252294</v>
      </c>
      <c r="P78" s="42">
        <v>0</v>
      </c>
      <c r="Q78" s="42">
        <v>0</v>
      </c>
      <c r="R78" s="42">
        <v>0</v>
      </c>
    </row>
    <row r="79" spans="1:52" x14ac:dyDescent="0.25">
      <c r="A79" s="42" t="str">
        <f>IF(Arb!$AJ$28=1,"Exp---","高级第")&amp;(ROW()-65)</f>
        <v>高级第14</v>
      </c>
      <c r="B79" s="701">
        <v>62.08</v>
      </c>
      <c r="C79" s="704">
        <v>70.7</v>
      </c>
      <c r="D79" s="42">
        <v>240</v>
      </c>
      <c r="E79" s="42">
        <v>240</v>
      </c>
      <c r="F79" s="42">
        <v>240</v>
      </c>
      <c r="H79" s="701">
        <v>2.7131782945736433</v>
      </c>
      <c r="I79" s="702">
        <v>2.4110517398670663</v>
      </c>
      <c r="J79" s="42">
        <v>0</v>
      </c>
      <c r="K79" s="42">
        <v>0</v>
      </c>
      <c r="L79" s="42">
        <v>0</v>
      </c>
      <c r="N79" s="702">
        <v>61.104447962744679</v>
      </c>
      <c r="O79" s="708">
        <v>50.785901401257206</v>
      </c>
      <c r="P79" s="42">
        <v>0</v>
      </c>
      <c r="Q79" s="42">
        <v>0</v>
      </c>
      <c r="R79" s="42">
        <v>0</v>
      </c>
    </row>
    <row r="80" spans="1:52" x14ac:dyDescent="0.25">
      <c r="A80" s="42" t="str">
        <f>IF(Arb!$AJ$28=1,"Exp---","高级第")&amp;(ROW()-65)</f>
        <v>高级第15</v>
      </c>
      <c r="B80" s="701">
        <v>62.14</v>
      </c>
      <c r="C80" s="704">
        <v>71.209999999999994</v>
      </c>
      <c r="D80" s="42">
        <v>240</v>
      </c>
      <c r="E80" s="42">
        <v>240</v>
      </c>
      <c r="F80" s="42">
        <v>240</v>
      </c>
      <c r="H80" s="701">
        <v>2.7113237639553427</v>
      </c>
      <c r="I80" s="702">
        <v>2.4069737184491284</v>
      </c>
      <c r="J80" s="42">
        <v>0</v>
      </c>
      <c r="K80" s="42">
        <v>0</v>
      </c>
      <c r="L80" s="42">
        <v>0</v>
      </c>
      <c r="N80" s="702">
        <v>61.025499635611688</v>
      </c>
      <c r="O80" s="708">
        <v>50.294559676198112</v>
      </c>
      <c r="P80" s="42">
        <v>0</v>
      </c>
      <c r="Q80" s="42">
        <v>0</v>
      </c>
      <c r="R80" s="42">
        <v>0</v>
      </c>
    </row>
    <row r="81" spans="1:18" x14ac:dyDescent="0.25">
      <c r="A81" s="42" t="str">
        <f>IF(Arb!$AJ$28=1,"Exp---","高级第")&amp;(ROW()-65)</f>
        <v>高级第16</v>
      </c>
      <c r="B81" s="701">
        <v>62.18</v>
      </c>
      <c r="C81" s="704">
        <v>71.599999999999994</v>
      </c>
      <c r="D81" s="42">
        <v>240</v>
      </c>
      <c r="E81" s="42">
        <v>240</v>
      </c>
      <c r="F81" s="42">
        <v>240</v>
      </c>
      <c r="H81" s="701">
        <v>2.7090259820219189</v>
      </c>
      <c r="I81" s="702">
        <v>2.4015638089919014</v>
      </c>
      <c r="J81" s="42">
        <v>0</v>
      </c>
      <c r="K81" s="42">
        <v>0</v>
      </c>
      <c r="L81" s="42">
        <v>0</v>
      </c>
      <c r="N81" s="702">
        <v>60.941801676190238</v>
      </c>
      <c r="O81" s="708">
        <v>50.259845218397395</v>
      </c>
      <c r="P81" s="42">
        <v>0</v>
      </c>
      <c r="Q81" s="42">
        <v>0</v>
      </c>
      <c r="R81" s="42">
        <v>0</v>
      </c>
    </row>
    <row r="82" spans="1:18" x14ac:dyDescent="0.25">
      <c r="A82" s="42" t="str">
        <f>IF(Arb!$AJ$28=1,"Exp---","高级第")&amp;(ROW()-65)</f>
        <v>高级第17</v>
      </c>
      <c r="B82" s="701">
        <v>62.44</v>
      </c>
      <c r="C82" s="704">
        <v>71.62</v>
      </c>
      <c r="D82" s="42">
        <v>240</v>
      </c>
      <c r="E82" s="42">
        <v>240</v>
      </c>
      <c r="F82" s="42">
        <v>240</v>
      </c>
      <c r="H82" s="701">
        <v>2.7043926840706582</v>
      </c>
      <c r="I82" s="702">
        <v>2.4012596772077157</v>
      </c>
      <c r="J82" s="42">
        <v>0</v>
      </c>
      <c r="K82" s="42">
        <v>0</v>
      </c>
      <c r="L82" s="42">
        <v>0</v>
      </c>
      <c r="N82" s="702">
        <v>60.821395815346094</v>
      </c>
      <c r="O82" s="708">
        <v>50.254914267553161</v>
      </c>
      <c r="P82" s="42">
        <v>0</v>
      </c>
      <c r="Q82" s="42">
        <v>0</v>
      </c>
      <c r="R82" s="42">
        <v>0</v>
      </c>
    </row>
    <row r="83" spans="1:18" x14ac:dyDescent="0.25">
      <c r="A83" s="42" t="str">
        <f>IF(Arb!$AJ$28=1,"Exp---","高级第")&amp;(ROW()-65)</f>
        <v>高级第18</v>
      </c>
      <c r="B83" s="701">
        <v>62.53</v>
      </c>
      <c r="C83" s="704">
        <v>71.7</v>
      </c>
      <c r="D83" s="42">
        <v>240</v>
      </c>
      <c r="E83" s="42">
        <v>240</v>
      </c>
      <c r="F83" s="42">
        <v>240</v>
      </c>
      <c r="H83" s="701">
        <v>2.7019258407588387</v>
      </c>
      <c r="I83" s="702">
        <v>2.3947368421052633</v>
      </c>
      <c r="J83" s="42">
        <v>0</v>
      </c>
      <c r="K83" s="42">
        <v>0</v>
      </c>
      <c r="L83" s="42">
        <v>0</v>
      </c>
      <c r="N83" s="702">
        <v>60.636640916130858</v>
      </c>
      <c r="O83" s="708">
        <v>50.177324570135667</v>
      </c>
      <c r="P83" s="42">
        <v>0</v>
      </c>
      <c r="Q83" s="42">
        <v>0</v>
      </c>
      <c r="R83" s="42">
        <v>0</v>
      </c>
    </row>
    <row r="84" spans="1:18" x14ac:dyDescent="0.25">
      <c r="A84" s="42" t="str">
        <f>IF(Arb!$AJ$28=1,"Exp---","高级第")&amp;(ROW()-65)</f>
        <v>高级第19</v>
      </c>
      <c r="B84" s="701">
        <v>62.62</v>
      </c>
      <c r="C84" s="704">
        <v>72.09</v>
      </c>
      <c r="D84" s="42">
        <v>240</v>
      </c>
      <c r="E84" s="42">
        <v>240</v>
      </c>
      <c r="F84" s="42">
        <v>240</v>
      </c>
      <c r="H84" s="701">
        <v>2.6913143944542615</v>
      </c>
      <c r="I84" s="702">
        <v>2.3931387467146212</v>
      </c>
      <c r="J84" s="42">
        <v>0</v>
      </c>
      <c r="K84" s="42">
        <v>0</v>
      </c>
      <c r="L84" s="42">
        <v>0</v>
      </c>
      <c r="N84" s="702">
        <v>60.560203241948678</v>
      </c>
      <c r="O84" s="708">
        <v>50.115415746028404</v>
      </c>
      <c r="P84" s="42">
        <v>0</v>
      </c>
      <c r="Q84" s="42">
        <v>0</v>
      </c>
      <c r="R84" s="42">
        <v>0</v>
      </c>
    </row>
    <row r="85" spans="1:18" x14ac:dyDescent="0.25">
      <c r="A85" s="42" t="str">
        <f>IF(Arb!$AJ$28=1,"Exp---","高级第")&amp;(ROW()-65)</f>
        <v>高级第20</v>
      </c>
      <c r="B85" s="701">
        <v>62.63</v>
      </c>
      <c r="C85" s="704">
        <v>72.290000000000006</v>
      </c>
      <c r="D85" s="42">
        <v>240</v>
      </c>
      <c r="E85" s="42">
        <v>240</v>
      </c>
      <c r="F85" s="42">
        <v>240</v>
      </c>
      <c r="H85" s="701">
        <v>2.6795895096921325</v>
      </c>
      <c r="I85" s="702">
        <v>2.3883567607911433</v>
      </c>
      <c r="J85" s="42">
        <v>0</v>
      </c>
      <c r="K85" s="42">
        <v>0</v>
      </c>
      <c r="L85" s="42">
        <v>0</v>
      </c>
      <c r="N85" s="702">
        <v>60.314895969909564</v>
      </c>
      <c r="O85" s="704">
        <v>49.884624866939305</v>
      </c>
      <c r="P85" s="42">
        <v>0</v>
      </c>
      <c r="Q85" s="42">
        <v>0</v>
      </c>
      <c r="R85" s="42">
        <v>0</v>
      </c>
    </row>
    <row r="86" spans="1:18" x14ac:dyDescent="0.25">
      <c r="A86" s="42" t="str">
        <f>IF(Arb!$AJ$28=1,"Exp---","高级第")&amp;(ROW()-65)</f>
        <v>高级第21</v>
      </c>
      <c r="B86" s="701">
        <v>62.75</v>
      </c>
      <c r="C86" s="704">
        <v>72.47</v>
      </c>
      <c r="D86" s="42">
        <v>240</v>
      </c>
      <c r="E86" s="42">
        <v>240</v>
      </c>
      <c r="F86" s="42">
        <v>240</v>
      </c>
      <c r="H86" s="701">
        <v>2.6767821356999715</v>
      </c>
      <c r="I86" s="702">
        <v>2.3843278773037762</v>
      </c>
      <c r="J86" s="42">
        <v>0</v>
      </c>
      <c r="K86" s="42">
        <v>0</v>
      </c>
      <c r="L86" s="42">
        <v>0</v>
      </c>
      <c r="N86" s="702">
        <v>60.284415548871472</v>
      </c>
      <c r="O86" s="704">
        <v>49.800423966661995</v>
      </c>
      <c r="P86" s="42">
        <v>0</v>
      </c>
      <c r="Q86" s="42">
        <v>0</v>
      </c>
      <c r="R86" s="42">
        <v>0</v>
      </c>
    </row>
    <row r="87" spans="1:18" x14ac:dyDescent="0.25">
      <c r="A87" s="42" t="str">
        <f>IF(Arb!$AJ$28=1,"Exp---","高级第")&amp;(ROW()-65)</f>
        <v>高级第22</v>
      </c>
      <c r="B87" s="701">
        <v>62.85</v>
      </c>
      <c r="C87" s="704">
        <v>72.5</v>
      </c>
      <c r="D87" s="42">
        <v>240</v>
      </c>
      <c r="E87" s="42">
        <v>240</v>
      </c>
      <c r="F87" s="42">
        <v>240</v>
      </c>
      <c r="H87" s="701">
        <v>2.6723276723276723</v>
      </c>
      <c r="I87" s="702">
        <v>2.3786739576213258</v>
      </c>
      <c r="J87" s="42">
        <v>0</v>
      </c>
      <c r="K87" s="42">
        <v>0</v>
      </c>
      <c r="L87" s="42">
        <v>0</v>
      </c>
      <c r="N87" s="702">
        <v>60.190989790077587</v>
      </c>
      <c r="O87" s="704">
        <v>49.713782138404461</v>
      </c>
      <c r="P87" s="42">
        <v>0</v>
      </c>
      <c r="Q87" s="42">
        <v>0</v>
      </c>
      <c r="R87" s="42">
        <v>0</v>
      </c>
    </row>
    <row r="88" spans="1:18" x14ac:dyDescent="0.25">
      <c r="A88" s="42" t="str">
        <f>IF(Arb!$AJ$28=1,"Exp---","高级第")&amp;(ROW()-65)</f>
        <v>高级第23</v>
      </c>
      <c r="B88" s="701">
        <v>62.97</v>
      </c>
      <c r="C88" s="704">
        <v>72.540000000000006</v>
      </c>
      <c r="D88" s="42">
        <v>240</v>
      </c>
      <c r="E88" s="42">
        <v>240</v>
      </c>
      <c r="F88" s="42">
        <v>240</v>
      </c>
      <c r="H88" s="701">
        <v>2.6722925457102673</v>
      </c>
      <c r="I88" s="702">
        <v>2.3786524993962814</v>
      </c>
      <c r="J88" s="42">
        <v>0</v>
      </c>
      <c r="K88" s="42">
        <v>0</v>
      </c>
      <c r="L88" s="42">
        <v>0</v>
      </c>
      <c r="N88" s="702">
        <v>60.188438436846866</v>
      </c>
      <c r="O88" s="704">
        <v>49.693009029285498</v>
      </c>
      <c r="P88" s="42">
        <v>0</v>
      </c>
      <c r="Q88" s="42">
        <v>0</v>
      </c>
      <c r="R88" s="42">
        <v>0</v>
      </c>
    </row>
    <row r="89" spans="1:18" x14ac:dyDescent="0.25">
      <c r="A89" s="42" t="str">
        <f>IF(Arb!$AJ$28=1,"Exp---","高级第")&amp;(ROW()-65)</f>
        <v>高级第24</v>
      </c>
      <c r="B89" s="701">
        <v>63.13</v>
      </c>
      <c r="C89" s="704">
        <v>72.709999999999994</v>
      </c>
      <c r="D89" s="42">
        <v>240</v>
      </c>
      <c r="E89" s="42">
        <v>240</v>
      </c>
      <c r="F89" s="42">
        <v>240</v>
      </c>
      <c r="H89" s="701">
        <v>2.671990171990172</v>
      </c>
      <c r="I89" s="702">
        <v>2.3765756302521011</v>
      </c>
      <c r="J89" s="42">
        <v>0</v>
      </c>
      <c r="K89" s="42">
        <v>0</v>
      </c>
      <c r="L89" s="42">
        <v>0</v>
      </c>
      <c r="N89" s="702">
        <v>59.907906562604566</v>
      </c>
      <c r="O89" s="704">
        <v>49.658164087486405</v>
      </c>
      <c r="P89" s="42">
        <v>0</v>
      </c>
      <c r="Q89" s="42">
        <v>0</v>
      </c>
      <c r="R89" s="42">
        <v>0</v>
      </c>
    </row>
    <row r="91" spans="1:18" x14ac:dyDescent="0.25">
      <c r="A91" s="42" t="str">
        <f>IF(Arb!$AJ$28=1,"Beg---","初级")&amp;40</f>
        <v>初级40</v>
      </c>
      <c r="B91" s="42">
        <v>139.20999999999998</v>
      </c>
      <c r="C91" s="42">
        <v>145.66999999999999</v>
      </c>
      <c r="D91" s="42">
        <v>400</v>
      </c>
      <c r="E91" s="42">
        <v>400</v>
      </c>
      <c r="F91" s="42">
        <v>400</v>
      </c>
      <c r="H91" s="42">
        <v>163.7926677959382</v>
      </c>
      <c r="I91" s="42">
        <v>155.63705374001637</v>
      </c>
      <c r="J91" s="42">
        <v>0</v>
      </c>
      <c r="K91" s="42">
        <v>0</v>
      </c>
      <c r="L91" s="42">
        <v>0</v>
      </c>
      <c r="N91" s="42">
        <v>2837.5115242762758</v>
      </c>
      <c r="O91" s="42">
        <v>2536.6729458784848</v>
      </c>
      <c r="P91" s="42">
        <v>0</v>
      </c>
      <c r="Q91" s="42">
        <v>0</v>
      </c>
      <c r="R91" s="42">
        <v>0</v>
      </c>
    </row>
    <row r="92" spans="1:18" x14ac:dyDescent="0.25">
      <c r="A92" s="42" t="str">
        <f>IF(Arb!$AJ$28=1,"Int---","中级")&amp;24</f>
        <v>中级24</v>
      </c>
      <c r="B92" s="42">
        <v>453.21999999999991</v>
      </c>
      <c r="C92" s="42">
        <v>468.78</v>
      </c>
      <c r="D92" s="42">
        <v>1440</v>
      </c>
      <c r="E92" s="42">
        <v>1440</v>
      </c>
      <c r="F92" s="42">
        <v>1440</v>
      </c>
      <c r="H92" s="42">
        <v>71.911204825693403</v>
      </c>
      <c r="I92" s="42">
        <v>71.067112783031263</v>
      </c>
      <c r="J92" s="42">
        <v>0</v>
      </c>
      <c r="K92" s="42">
        <v>0</v>
      </c>
      <c r="L92" s="42">
        <v>0</v>
      </c>
      <c r="N92" s="42">
        <v>1240.1947440949343</v>
      </c>
      <c r="O92" s="42">
        <v>1211.4566249699878</v>
      </c>
      <c r="P92" s="42">
        <v>0</v>
      </c>
      <c r="Q92" s="42">
        <v>0</v>
      </c>
      <c r="R92" s="42">
        <v>0</v>
      </c>
    </row>
    <row r="93" spans="1:18" x14ac:dyDescent="0.25">
      <c r="A93" s="42" t="str">
        <f>IF(Arb!$AJ$28=1,"Exp---","高级")&amp;10</f>
        <v>高级10</v>
      </c>
      <c r="B93" s="42">
        <v>596.28</v>
      </c>
      <c r="C93" s="42">
        <v>678.82</v>
      </c>
      <c r="D93" s="42">
        <v>2400</v>
      </c>
      <c r="E93" s="42">
        <v>2400</v>
      </c>
      <c r="F93" s="42">
        <v>2400</v>
      </c>
      <c r="H93" s="42">
        <v>27.854805261075182</v>
      </c>
      <c r="I93" s="42">
        <v>24.701374660312577</v>
      </c>
      <c r="J93" s="42">
        <v>0</v>
      </c>
      <c r="K93" s="42">
        <v>0</v>
      </c>
      <c r="L93" s="42">
        <v>0</v>
      </c>
      <c r="N93" s="42">
        <v>632.65164342517289</v>
      </c>
      <c r="O93" s="42">
        <v>528.91572143277301</v>
      </c>
      <c r="P93" s="42">
        <v>0</v>
      </c>
      <c r="Q93" s="42">
        <v>0</v>
      </c>
      <c r="R93" s="42">
        <v>0</v>
      </c>
    </row>
    <row r="94" spans="1:18" x14ac:dyDescent="0.25">
      <c r="A94" s="42" t="str">
        <f>IF(Arb!$AJ$28=1,"Year---","年度")&amp;74</f>
        <v>年度74</v>
      </c>
      <c r="B94" s="42">
        <v>1188.7099999999998</v>
      </c>
      <c r="C94" s="42">
        <v>1293.27</v>
      </c>
      <c r="D94" s="42">
        <v>4240</v>
      </c>
      <c r="E94" s="42">
        <v>4240</v>
      </c>
      <c r="F94" s="42">
        <v>4240</v>
      </c>
      <c r="H94" s="42">
        <v>263.55867788270677</v>
      </c>
      <c r="I94" s="42">
        <v>251.40554118336021</v>
      </c>
      <c r="J94" s="42">
        <v>0</v>
      </c>
      <c r="K94" s="42">
        <v>0</v>
      </c>
      <c r="L94" s="42">
        <v>0</v>
      </c>
      <c r="N94" s="42">
        <v>4710.3579117963827</v>
      </c>
      <c r="O94" s="42">
        <v>4277.0452922812456</v>
      </c>
      <c r="P94" s="42">
        <v>0</v>
      </c>
      <c r="Q94" s="42">
        <v>0</v>
      </c>
      <c r="R94" s="42">
        <v>0</v>
      </c>
    </row>
    <row r="95" spans="1:18" x14ac:dyDescent="0.25">
      <c r="A95" s="42" t="str">
        <f>IF(Arb!$AJ$28=1,"Beg---","初级")&amp;"A40"</f>
        <v>初级A40</v>
      </c>
      <c r="B95" s="42">
        <v>3.4802499999999994</v>
      </c>
      <c r="C95" s="42">
        <v>3.6417499999999996</v>
      </c>
      <c r="D95" s="42">
        <v>10</v>
      </c>
      <c r="E95" s="42">
        <v>10</v>
      </c>
      <c r="F95" s="42">
        <v>10</v>
      </c>
      <c r="H95" s="520">
        <v>4.094816694898455</v>
      </c>
      <c r="I95" s="698">
        <v>3.8909263435004093</v>
      </c>
      <c r="J95" s="42">
        <v>0</v>
      </c>
      <c r="K95" s="42">
        <v>0</v>
      </c>
      <c r="L95" s="42">
        <v>0</v>
      </c>
      <c r="N95" s="700">
        <v>70.937788106906893</v>
      </c>
      <c r="O95" s="701">
        <v>63.416823646962122</v>
      </c>
      <c r="P95" s="42">
        <v>0</v>
      </c>
      <c r="Q95" s="42">
        <v>0</v>
      </c>
      <c r="R95" s="42">
        <v>0</v>
      </c>
    </row>
    <row r="96" spans="1:18" x14ac:dyDescent="0.25">
      <c r="A96" s="42" t="str">
        <f>IF(Arb!$AJ$28=1,"Int---","中级")&amp;"A24"</f>
        <v>中级A24</v>
      </c>
      <c r="B96" s="42">
        <v>18.884166666666662</v>
      </c>
      <c r="C96" s="42">
        <v>19.532499999999999</v>
      </c>
      <c r="D96" s="42">
        <v>60</v>
      </c>
      <c r="E96" s="42">
        <v>60</v>
      </c>
      <c r="F96" s="42">
        <v>60</v>
      </c>
      <c r="H96" s="700">
        <v>2.9963002010705586</v>
      </c>
      <c r="I96" s="700">
        <v>2.9611296992929694</v>
      </c>
      <c r="J96" s="42">
        <v>0</v>
      </c>
      <c r="K96" s="42">
        <v>0</v>
      </c>
      <c r="L96" s="42">
        <v>0</v>
      </c>
      <c r="N96" s="708">
        <v>51.674781003955594</v>
      </c>
      <c r="O96" s="708">
        <v>50.477359373749493</v>
      </c>
      <c r="P96" s="42">
        <v>0</v>
      </c>
      <c r="Q96" s="42">
        <v>0</v>
      </c>
      <c r="R96" s="42">
        <v>0</v>
      </c>
    </row>
    <row r="97" spans="1:18" x14ac:dyDescent="0.25">
      <c r="A97" s="42" t="str">
        <f>IF(Arb!$AJ$28=1,"Exp---","高级")&amp;"A10"</f>
        <v>高级A10</v>
      </c>
      <c r="B97" s="42">
        <v>59.628</v>
      </c>
      <c r="C97" s="42">
        <v>67.882000000000005</v>
      </c>
      <c r="D97" s="42">
        <v>240</v>
      </c>
      <c r="E97" s="42">
        <v>240</v>
      </c>
      <c r="F97" s="42">
        <v>240</v>
      </c>
      <c r="H97" s="700">
        <v>2.7854805261075182</v>
      </c>
      <c r="I97" s="702">
        <v>2.4701374660312578</v>
      </c>
      <c r="J97" s="42">
        <v>0</v>
      </c>
      <c r="K97" s="42">
        <v>0</v>
      </c>
      <c r="L97" s="42">
        <v>0</v>
      </c>
      <c r="N97" s="701">
        <v>63.265164342517288</v>
      </c>
      <c r="O97" s="708">
        <v>52.891572143277301</v>
      </c>
      <c r="P97" s="42">
        <v>0</v>
      </c>
      <c r="Q97" s="42">
        <v>0</v>
      </c>
      <c r="R97" s="42">
        <v>0</v>
      </c>
    </row>
    <row r="98" spans="1:18" x14ac:dyDescent="0.25">
      <c r="A98" s="42" t="str">
        <f>IF(Arb!$AJ$28=1,"Year---","年度")&amp;"A74"</f>
        <v>年度A74</v>
      </c>
      <c r="B98" s="42">
        <v>81.992416666666657</v>
      </c>
      <c r="C98" s="42">
        <v>91.056250000000006</v>
      </c>
      <c r="D98" s="42">
        <v>310</v>
      </c>
      <c r="E98" s="42">
        <v>310</v>
      </c>
      <c r="F98" s="42">
        <v>310</v>
      </c>
      <c r="H98" s="42">
        <v>9.8765974220765322</v>
      </c>
      <c r="I98" s="42">
        <v>9.3221935088246362</v>
      </c>
      <c r="J98" s="42">
        <v>0</v>
      </c>
      <c r="K98" s="42">
        <v>0</v>
      </c>
      <c r="L98" s="42">
        <v>0</v>
      </c>
      <c r="N98" s="42">
        <v>185.87773345337979</v>
      </c>
      <c r="O98" s="42">
        <v>166.78575516398891</v>
      </c>
      <c r="P98" s="42">
        <v>0</v>
      </c>
      <c r="Q98" s="42">
        <v>0</v>
      </c>
      <c r="R98" s="42">
        <v>0</v>
      </c>
    </row>
    <row r="99" spans="1:18" x14ac:dyDescent="0.25">
      <c r="A99" s="42" t="str">
        <f>IF(Arb!$AJ$28=1,"Year---","年度")&amp;"BPP"</f>
        <v>年度BPP</v>
      </c>
      <c r="B99" s="707">
        <v>1.0714310009907602</v>
      </c>
      <c r="C99" s="717">
        <v>0.86978098455460373</v>
      </c>
      <c r="D99" s="42">
        <v>0</v>
      </c>
      <c r="E99" s="42">
        <v>0</v>
      </c>
      <c r="F99" s="42">
        <v>0</v>
      </c>
    </row>
    <row r="100" spans="1:18" x14ac:dyDescent="0.25">
      <c r="A100" s="42" t="str">
        <f>IF(Arb!$AJ$28=1,"Year---","年度")&amp;"IPP"</f>
        <v>年度IPP</v>
      </c>
      <c r="B100" s="707">
        <v>1.6631032957044456</v>
      </c>
      <c r="C100" s="707">
        <v>1.5522058127336429</v>
      </c>
      <c r="D100" s="42">
        <v>0</v>
      </c>
      <c r="E100" s="42">
        <v>0</v>
      </c>
      <c r="F100" s="42">
        <v>0</v>
      </c>
    </row>
    <row r="101" spans="1:18" x14ac:dyDescent="0.25">
      <c r="A101" s="42" t="str">
        <f>IF(Arb!$AJ$28=1,"Year---","年度")&amp;"EPP"</f>
        <v>年度EPP</v>
      </c>
      <c r="B101" s="705">
        <v>2.9553881273407403</v>
      </c>
      <c r="C101" s="707">
        <v>1.9246553429245519</v>
      </c>
      <c r="D101" s="42">
        <v>0</v>
      </c>
      <c r="E101" s="42">
        <v>0</v>
      </c>
      <c r="F101" s="42">
        <v>0</v>
      </c>
    </row>
    <row r="102" spans="1:18" x14ac:dyDescent="0.25">
      <c r="A102" s="42" t="str">
        <f>IF(Arb!$AJ$28=1,"Year---","年度")&amp;"PPP"</f>
        <v>年度PPP</v>
      </c>
      <c r="B102" s="707">
        <v>1.7397999694723072</v>
      </c>
      <c r="C102" s="707">
        <v>1.3747932609493696</v>
      </c>
      <c r="D102" s="42">
        <v>0</v>
      </c>
      <c r="E102" s="42">
        <v>0</v>
      </c>
      <c r="F102" s="4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AM102"/>
  <sheetViews>
    <sheetView workbookViewId="0">
      <pane xSplit="6" ySplit="1" topLeftCell="G65" activePane="bottomRight" state="frozen"/>
      <selection pane="topRight" activeCell="F1" sqref="F1"/>
      <selection pane="bottomLeft" activeCell="A2" sqref="A2"/>
      <selection pane="bottomRight"/>
    </sheetView>
  </sheetViews>
  <sheetFormatPr defaultColWidth="9" defaultRowHeight="13.2" x14ac:dyDescent="0.25"/>
  <cols>
    <col min="1" max="1" width="5.44140625" style="11" bestFit="1" customWidth="1"/>
    <col min="2" max="2" width="4.5546875" style="11" bestFit="1" customWidth="1"/>
    <col min="3" max="3" width="7.6640625" style="11" hidden="1" customWidth="1"/>
    <col min="4" max="4" width="6.77734375" style="68" bestFit="1" customWidth="1"/>
    <col min="5" max="5" width="5.5546875" style="12" hidden="1" customWidth="1"/>
    <col min="6" max="6" width="5.21875" style="11" hidden="1" customWidth="1"/>
    <col min="7" max="7" width="5.33203125" style="11" hidden="1" customWidth="1"/>
    <col min="8" max="8" width="5.5546875" style="1" bestFit="1" customWidth="1"/>
    <col min="9" max="9" width="5.5546875" style="11" bestFit="1" customWidth="1"/>
    <col min="10" max="10" width="7.77734375" style="56" bestFit="1" customWidth="1"/>
    <col min="11" max="11" width="5.33203125" style="11" bestFit="1" customWidth="1"/>
    <col min="12" max="12" width="5.5546875" style="1" bestFit="1" customWidth="1"/>
    <col min="13" max="13" width="5.33203125" style="11" bestFit="1" customWidth="1"/>
    <col min="14" max="14" width="7.77734375" style="56" bestFit="1" customWidth="1"/>
    <col min="15" max="15" width="5.33203125" style="11" bestFit="1" customWidth="1"/>
    <col min="16" max="16" width="5.5546875" style="1" bestFit="1" customWidth="1"/>
    <col min="17" max="17" width="5.33203125" style="11" bestFit="1" customWidth="1"/>
    <col min="18" max="18" width="7.77734375" style="56" bestFit="1" customWidth="1"/>
    <col min="19" max="19" width="5.33203125" style="11" bestFit="1" customWidth="1"/>
    <col min="20" max="20" width="5.5546875" style="1" bestFit="1" customWidth="1"/>
    <col min="21" max="21" width="5.33203125" style="11" bestFit="1" customWidth="1"/>
    <col min="22" max="22" width="5.33203125" style="56" bestFit="1" customWidth="1"/>
    <col min="23" max="23" width="5.33203125" style="11" bestFit="1" customWidth="1"/>
    <col min="24" max="24" width="5.5546875" style="11" bestFit="1" customWidth="1"/>
    <col min="25" max="25" width="5.33203125" style="11" bestFit="1" customWidth="1"/>
    <col min="26" max="26" width="5.33203125" style="56" bestFit="1" customWidth="1"/>
    <col min="27" max="27" width="5.33203125" style="11" bestFit="1" customWidth="1"/>
    <col min="28" max="28" width="5.5546875" style="11" bestFit="1" customWidth="1"/>
    <col min="29" max="29" width="5.33203125" style="11" bestFit="1" customWidth="1"/>
    <col min="30" max="30" width="5.33203125" style="56" bestFit="1" customWidth="1"/>
    <col min="31" max="31" width="5.33203125" style="11" bestFit="1" customWidth="1"/>
    <col min="32" max="32" width="5.44140625" style="11" bestFit="1" customWidth="1"/>
    <col min="33" max="33" width="4.77734375" style="11" bestFit="1" customWidth="1"/>
    <col min="34" max="34" width="4.77734375" style="56" bestFit="1" customWidth="1"/>
    <col min="35" max="35" width="4.77734375" style="11" bestFit="1" customWidth="1"/>
    <col min="36" max="36" width="5.44140625" style="1" bestFit="1" customWidth="1"/>
    <col min="37" max="37" width="4.77734375" style="11" bestFit="1" customWidth="1"/>
    <col min="38" max="38" width="4.77734375" style="56" bestFit="1" customWidth="1"/>
    <col min="39" max="39" width="4.77734375" style="11" bestFit="1" customWidth="1"/>
    <col min="40" max="16384" width="9" style="19"/>
  </cols>
  <sheetData>
    <row r="1" spans="1:39" x14ac:dyDescent="0.25">
      <c r="A1" s="4" t="s">
        <v>6</v>
      </c>
      <c r="B1" s="4" t="s">
        <v>69</v>
      </c>
      <c r="C1" s="4" t="s">
        <v>0</v>
      </c>
      <c r="D1" s="44" t="s">
        <v>289</v>
      </c>
      <c r="E1" s="4" t="s">
        <v>1</v>
      </c>
      <c r="F1" s="4" t="s">
        <v>288</v>
      </c>
      <c r="G1" s="45" t="s">
        <v>384</v>
      </c>
      <c r="H1" s="46" t="str">
        <f>IF(Arb!$AJ$28=1,"Total","达成")</f>
        <v>达成</v>
      </c>
      <c r="I1" s="47" t="str">
        <f>IF(Arb!$AJ$28=1,"Games","局数")</f>
        <v>局数</v>
      </c>
      <c r="J1" s="47" t="str">
        <f>IF(Arb!$AJ$28=1,"Rate","达成")</f>
        <v>达成</v>
      </c>
      <c r="K1" s="48" t="str">
        <f>IF(Arb!$AJ$28=1,"Difficulty","难度")</f>
        <v>难度</v>
      </c>
      <c r="L1" s="49">
        <f>Arb!AS30</f>
        <v>2020</v>
      </c>
      <c r="M1" s="4" t="str">
        <f>I1</f>
        <v>局数</v>
      </c>
      <c r="N1" s="4" t="str">
        <f>J1</f>
        <v>达成</v>
      </c>
      <c r="O1" s="4" t="str">
        <f>K1</f>
        <v>难度</v>
      </c>
      <c r="P1" s="4">
        <f>L1-1</f>
        <v>2019</v>
      </c>
      <c r="Q1" s="4" t="str">
        <f>M1</f>
        <v>局数</v>
      </c>
      <c r="R1" s="4" t="str">
        <f>N1</f>
        <v>达成</v>
      </c>
      <c r="S1" s="4" t="str">
        <f>O1</f>
        <v>难度</v>
      </c>
      <c r="T1" s="4">
        <f>P1-1</f>
        <v>2018</v>
      </c>
      <c r="U1" s="4" t="str">
        <f>Q1</f>
        <v>局数</v>
      </c>
      <c r="V1" s="4" t="str">
        <f>R1</f>
        <v>达成</v>
      </c>
      <c r="W1" s="4" t="str">
        <f>S1</f>
        <v>难度</v>
      </c>
      <c r="X1" s="4">
        <f>T1-1</f>
        <v>2017</v>
      </c>
      <c r="Y1" s="4" t="str">
        <f>U1</f>
        <v>局数</v>
      </c>
      <c r="Z1" s="4" t="str">
        <f>V1</f>
        <v>达成</v>
      </c>
      <c r="AA1" s="4" t="str">
        <f>W1</f>
        <v>难度</v>
      </c>
      <c r="AB1" s="4">
        <f>X1-1</f>
        <v>2016</v>
      </c>
      <c r="AC1" s="4" t="str">
        <f>Y1</f>
        <v>局数</v>
      </c>
      <c r="AD1" s="4" t="str">
        <f>Z1</f>
        <v>达成</v>
      </c>
      <c r="AE1" s="4" t="str">
        <f>AA1</f>
        <v>难度</v>
      </c>
      <c r="AF1" s="4"/>
      <c r="AG1" s="4"/>
      <c r="AH1" s="4"/>
      <c r="AI1" s="4"/>
      <c r="AJ1" s="4"/>
      <c r="AK1" s="4"/>
      <c r="AL1" s="4"/>
      <c r="AM1" s="4"/>
    </row>
    <row r="2" spans="1:39" x14ac:dyDescent="0.25">
      <c r="A2" s="50">
        <f ca="1">0.1*ROUNDUP(OFFSET(Time!D1,Arb!AJ16*2,)/0.1+0.0001,0)</f>
        <v>3.3000000000000003</v>
      </c>
      <c r="B2" s="1">
        <v>0</v>
      </c>
      <c r="C2" s="1">
        <v>100</v>
      </c>
      <c r="D2" s="51">
        <f>47.299/C2</f>
        <v>0.47299000000000002</v>
      </c>
      <c r="E2" s="52" t="s">
        <v>44</v>
      </c>
      <c r="F2" s="53">
        <v>10</v>
      </c>
      <c r="G2" s="54" t="s">
        <v>385</v>
      </c>
      <c r="H2" s="780">
        <f ca="1">COUNTIFS(OFFSET(Arb!$H$2,,,Arb!$AJ$36,),"&lt;"&amp;$A2,OFFSET(Arb!$I$2,,,Arb!$AJ$36,),"&gt;="&amp;$F2,OFFSET(Arb!$AI$2,,,Arb!$AJ$36,),TRUE)</f>
        <v>12</v>
      </c>
      <c r="I2" s="659">
        <f ca="1">COUNTIFS(OFFSET(Arb!$I$2,,,Arb!$AJ$36,),"&gt;="&amp;$F2,OFFSET(Arb!$AI$2,,,Arb!$AJ$36,),TRUE)</f>
        <v>1717</v>
      </c>
      <c r="J2" s="781">
        <f ca="1">IFERROR(H2/I2,"")</f>
        <v>6.9889341875364009E-3</v>
      </c>
      <c r="K2" s="782" t="s">
        <v>759</v>
      </c>
      <c r="L2" s="712">
        <f ca="1">COUNTIFS(OFFSET(Arb!$H$2,,,Arb!$AJ$36,),"&lt;"&amp;$A2,OFFSET(Arb!$I$2,,,Arb!$AJ$36,),"&gt;="&amp;$F2,OFFSET(Arb!$AI$2,,,Arb!$AJ$36,),TRUE,OFFSET(Arb!$C$2,,,Arb!$AJ$36,),L$1)</f>
        <v>9</v>
      </c>
      <c r="M2" s="659">
        <f ca="1">COUNTIFS(OFFSET(Arb!$C$2,,,Arb!$AJ$36,),L$1,OFFSET(Arb!$I$2,,,Arb!$AJ$36,),"&gt;="&amp;$F2,OFFSET(Arb!$AI$2,,,Arb!$AJ$36,),TRUE)</f>
        <v>809</v>
      </c>
      <c r="N2" s="781">
        <f ca="1">IFERROR(L2/M2,"")</f>
        <v>1.1124845488257108E-2</v>
      </c>
      <c r="O2" s="783" t="s">
        <v>759</v>
      </c>
      <c r="P2" s="659">
        <f ca="1">COUNTIFS(OFFSET(Arb!$H$2,,,Arb!$AJ$36,),"&lt;"&amp;$A2,OFFSET(Arb!$I$2,,,Arb!$AJ$36,),"&gt;="&amp;$F2,OFFSET(Arb!$AI$2,,,Arb!$AJ$36,),TRUE,OFFSET(Arb!$C$2,,,Arb!$AJ$36,),P$1)</f>
        <v>3</v>
      </c>
      <c r="Q2" s="659">
        <f ca="1">COUNTIFS(OFFSET(Arb!$C$2,,,Arb!$AJ$36,),P$1,OFFSET(Arb!$I$2,,,Arb!$AJ$36,),"&gt;="&amp;$F2,OFFSET(Arb!$AI$2,,,Arb!$AJ$36,),TRUE)</f>
        <v>908</v>
      </c>
      <c r="R2" s="781">
        <f ca="1">IFERROR(P2/Q2,"")</f>
        <v>3.3039647577092512E-3</v>
      </c>
      <c r="S2" s="783" t="s">
        <v>759</v>
      </c>
      <c r="T2" s="1">
        <f ca="1">COUNTIFS(OFFSET(Arb!$H$2,,,Arb!$AJ$36,),"&lt;"&amp;$A2,OFFSET(Arb!$I$2,,,Arb!$AJ$36,),"&gt;="&amp;$F2,OFFSET(Arb!$AI$2,,,Arb!$AJ$36,),TRUE,OFFSET(Arb!$C$2,,,Arb!$AJ$36,),T$1)</f>
        <v>0</v>
      </c>
      <c r="U2" s="11">
        <f ca="1">COUNTIFS(OFFSET(Arb!$C$2,,,Arb!$AJ$36,),T$1,OFFSET(Arb!$I$2,,,Arb!$AJ$36,),"&gt;="&amp;$F2,OFFSET(Arb!$AI$2,,,Arb!$AJ$36,),TRUE)</f>
        <v>0</v>
      </c>
      <c r="V2" s="56" t="str">
        <f ca="1">IFERROR(T2/U2,"")</f>
        <v/>
      </c>
      <c r="W2" s="59" t="str">
        <f>ASB!$AL$67</f>
        <v>发财</v>
      </c>
      <c r="X2" s="1">
        <f ca="1">COUNTIFS(OFFSET(Arb!$H$2,,,Arb!$AJ$36,),"&lt;"&amp;$A2,OFFSET(Arb!$I$2,,,Arb!$AJ$36,),"&gt;="&amp;$F2,OFFSET(Arb!$AI$2,,,Arb!$AJ$36,),TRUE,OFFSET(Arb!$C$2,,,Arb!$AJ$36,),X$1)</f>
        <v>0</v>
      </c>
      <c r="Y2" s="11">
        <f ca="1">COUNTIFS(OFFSET(Arb!$C$2,,,Arb!$AJ$36,),X$1,OFFSET(Arb!$I$2,,,Arb!$AJ$36,),"&gt;="&amp;$F2,OFFSET(Arb!$AI$2,,,Arb!$AJ$36,),TRUE)</f>
        <v>0</v>
      </c>
      <c r="Z2" s="56" t="str">
        <f ca="1">IFERROR(X2/Y2,"")</f>
        <v/>
      </c>
      <c r="AA2" s="59" t="str">
        <f>ASB!$AL$67</f>
        <v>发财</v>
      </c>
      <c r="AB2" s="1">
        <f ca="1">COUNTIFS(OFFSET(Arb!$H$2,,,Arb!$AJ$36,),"&lt;"&amp;$A2,OFFSET(Arb!$I$2,,,Arb!$AJ$36,),"&gt;="&amp;$F2,OFFSET(Arb!$AI$2,,,Arb!$AJ$36,),TRUE,OFFSET(Arb!$C$2,,,Arb!$AJ$36,),AB$1)</f>
        <v>0</v>
      </c>
      <c r="AC2" s="11">
        <f ca="1">COUNTIFS(OFFSET(Arb!$C$2,,,Arb!$AJ$36,),AB$1,OFFSET(Arb!$I$2,,,Arb!$AJ$36,),"&gt;="&amp;$F2,OFFSET(Arb!$AI$2,,,Arb!$AJ$36,),TRUE)</f>
        <v>0</v>
      </c>
      <c r="AD2" s="56" t="str">
        <f ca="1">IFERROR(AB2/AC2,"")</f>
        <v/>
      </c>
      <c r="AE2" s="59" t="str">
        <f>ASB!$AL$67</f>
        <v>发财</v>
      </c>
      <c r="AF2" s="1"/>
      <c r="AI2" s="59"/>
      <c r="AM2" s="59"/>
    </row>
    <row r="3" spans="1:39" x14ac:dyDescent="0.25">
      <c r="A3" s="50">
        <f ca="1">ROUND(A2+0.1,1)</f>
        <v>3.4</v>
      </c>
      <c r="B3" s="1">
        <v>0</v>
      </c>
      <c r="C3" s="1">
        <v>100</v>
      </c>
      <c r="D3" s="51">
        <f t="shared" ref="D3:D30" si="0">47.299/C3</f>
        <v>0.47299000000000002</v>
      </c>
      <c r="E3" s="52" t="s">
        <v>44</v>
      </c>
      <c r="F3" s="53">
        <v>10</v>
      </c>
      <c r="G3" s="54" t="s">
        <v>385</v>
      </c>
      <c r="H3" s="780">
        <f ca="1">COUNTIFS(OFFSET(Arb!$H$2,,,Arb!$AJ$36,),"&lt;"&amp;$A3,OFFSET(Arb!$I$2,,,Arb!$AJ$36,),"&gt;="&amp;$F3,OFFSET(Arb!$AI$2,,,Arb!$AJ$36,),TRUE)</f>
        <v>20</v>
      </c>
      <c r="I3" s="659">
        <f t="shared" ref="I3:I27" ca="1" si="1">I$2</f>
        <v>1717</v>
      </c>
      <c r="J3" s="781">
        <f t="shared" ref="J3:J37" ca="1" si="2">IFERROR(H3/I3,"")</f>
        <v>1.1648223645894001E-2</v>
      </c>
      <c r="K3" s="782" t="s">
        <v>759</v>
      </c>
      <c r="L3" s="715">
        <f ca="1">COUNTIFS(OFFSET(Arb!$H$2,,,Arb!$AJ$36,),"&lt;"&amp;$A3,OFFSET(Arb!$I$2,,,Arb!$AJ$36,),"&gt;="&amp;$F3,OFFSET(Arb!$AI$2,,,Arb!$AJ$36,),TRUE,OFFSET(Arb!$C$2,,,Arb!$AJ$36,),L$1)</f>
        <v>14</v>
      </c>
      <c r="M3" s="300">
        <f ca="1">M$2</f>
        <v>809</v>
      </c>
      <c r="N3" s="784">
        <f t="shared" ref="N3:N37" ca="1" si="3">IFERROR(L3/M3,"")</f>
        <v>1.73053152039555E-2</v>
      </c>
      <c r="O3" s="785" t="s">
        <v>760</v>
      </c>
      <c r="P3" s="659">
        <f ca="1">COUNTIFS(OFFSET(Arb!$H$2,,,Arb!$AJ$36,),"&lt;"&amp;$A3,OFFSET(Arb!$I$2,,,Arb!$AJ$36,),"&gt;="&amp;$F3,OFFSET(Arb!$AI$2,,,Arb!$AJ$36,),TRUE,OFFSET(Arb!$C$2,,,Arb!$AJ$36,),P$1)</f>
        <v>6</v>
      </c>
      <c r="Q3" s="659">
        <f ca="1">Q$2</f>
        <v>908</v>
      </c>
      <c r="R3" s="781">
        <f t="shared" ref="R3:R37" ca="1" si="4">IFERROR(P3/Q3,"")</f>
        <v>6.6079295154185024E-3</v>
      </c>
      <c r="S3" s="783" t="s">
        <v>759</v>
      </c>
      <c r="T3" s="1">
        <f ca="1">COUNTIFS(OFFSET(Arb!$H$2,,,Arb!$AJ$36,),"&lt;"&amp;$A3,OFFSET(Arb!$I$2,,,Arb!$AJ$36,),"&gt;="&amp;$F3,OFFSET(Arb!$AI$2,,,Arb!$AJ$36,),TRUE,OFFSET(Arb!$C$2,,,Arb!$AJ$36,),T$1)</f>
        <v>0</v>
      </c>
      <c r="U3" s="11">
        <f ca="1">U$2</f>
        <v>0</v>
      </c>
      <c r="V3" s="56" t="str">
        <f t="shared" ref="V3:V37" ca="1" si="5">IFERROR(T3/U3,"")</f>
        <v/>
      </c>
      <c r="W3" s="59" t="str">
        <f>ASB!$AL$67</f>
        <v>发财</v>
      </c>
      <c r="X3" s="1">
        <f ca="1">COUNTIFS(OFFSET(Arb!$H$2,,,Arb!$AJ$36,),"&lt;"&amp;$A3,OFFSET(Arb!$I$2,,,Arb!$AJ$36,),"&gt;="&amp;$F3,OFFSET(Arb!$AI$2,,,Arb!$AJ$36,),TRUE,OFFSET(Arb!$C$2,,,Arb!$AJ$36,),X$1)</f>
        <v>0</v>
      </c>
      <c r="Y3" s="11">
        <f ca="1">Y$2</f>
        <v>0</v>
      </c>
      <c r="Z3" s="56" t="str">
        <f t="shared" ref="Z3:Z37" ca="1" si="6">IFERROR(X3/Y3,"")</f>
        <v/>
      </c>
      <c r="AA3" s="59" t="str">
        <f>ASB!$AL$67</f>
        <v>发财</v>
      </c>
      <c r="AB3" s="1">
        <f ca="1">COUNTIFS(OFFSET(Arb!$H$2,,,Arb!$AJ$36,),"&lt;"&amp;$A3,OFFSET(Arb!$I$2,,,Arb!$AJ$36,),"&gt;="&amp;$F3,OFFSET(Arb!$AI$2,,,Arb!$AJ$36,),TRUE,OFFSET(Arb!$C$2,,,Arb!$AJ$36,),AB$1)</f>
        <v>0</v>
      </c>
      <c r="AC3" s="11">
        <f ca="1">AC$2</f>
        <v>0</v>
      </c>
      <c r="AD3" s="56" t="str">
        <f t="shared" ref="AD3:AD37" ca="1" si="7">IFERROR(AB3/AC3,"")</f>
        <v/>
      </c>
      <c r="AE3" s="59" t="str">
        <f>ASB!$AL$67</f>
        <v>发财</v>
      </c>
      <c r="AF3" s="1"/>
      <c r="AI3" s="59"/>
      <c r="AM3" s="59"/>
    </row>
    <row r="4" spans="1:39" x14ac:dyDescent="0.25">
      <c r="A4" s="50">
        <f t="shared" ref="A4:A11" ca="1" si="8">ROUND(A3+0.1,1)</f>
        <v>3.5</v>
      </c>
      <c r="B4" s="1">
        <v>0</v>
      </c>
      <c r="C4" s="1">
        <v>100</v>
      </c>
      <c r="D4" s="51">
        <f t="shared" si="0"/>
        <v>0.47299000000000002</v>
      </c>
      <c r="E4" s="52" t="s">
        <v>44</v>
      </c>
      <c r="F4" s="53">
        <v>10</v>
      </c>
      <c r="G4" s="54" t="s">
        <v>385</v>
      </c>
      <c r="H4" s="786">
        <f ca="1">COUNTIFS(OFFSET(Arb!$H$2,,,Arb!$AJ$36,),"&lt;"&amp;$A4,OFFSET(Arb!$I$2,,,Arb!$AJ$36,),"&gt;="&amp;$F4,OFFSET(Arb!$AI$2,,,Arb!$AJ$36,),TRUE)</f>
        <v>26</v>
      </c>
      <c r="I4" s="300">
        <f t="shared" ca="1" si="1"/>
        <v>1717</v>
      </c>
      <c r="J4" s="784">
        <f t="shared" ca="1" si="2"/>
        <v>1.5142690739662202E-2</v>
      </c>
      <c r="K4" s="787" t="s">
        <v>760</v>
      </c>
      <c r="L4" s="715">
        <f ca="1">COUNTIFS(OFFSET(Arb!$H$2,,,Arb!$AJ$36,),"&lt;"&amp;$A4,OFFSET(Arb!$I$2,,,Arb!$AJ$36,),"&gt;="&amp;$F4,OFFSET(Arb!$AI$2,,,Arb!$AJ$36,),TRUE,OFFSET(Arb!$C$2,,,Arb!$AJ$36,),L$1)</f>
        <v>17</v>
      </c>
      <c r="M4" s="300">
        <f t="shared" ref="M4:M38" ca="1" si="9">M$2</f>
        <v>809</v>
      </c>
      <c r="N4" s="784">
        <f t="shared" ca="1" si="3"/>
        <v>2.1013597033374538E-2</v>
      </c>
      <c r="O4" s="785" t="s">
        <v>760</v>
      </c>
      <c r="P4" s="659">
        <f ca="1">COUNTIFS(OFFSET(Arb!$H$2,,,Arb!$AJ$36,),"&lt;"&amp;$A4,OFFSET(Arb!$I$2,,,Arb!$AJ$36,),"&gt;="&amp;$F4,OFFSET(Arb!$AI$2,,,Arb!$AJ$36,),TRUE,OFFSET(Arb!$C$2,,,Arb!$AJ$36,),P$1)</f>
        <v>9</v>
      </c>
      <c r="Q4" s="659">
        <f t="shared" ref="Q4:Q38" ca="1" si="10">Q$2</f>
        <v>908</v>
      </c>
      <c r="R4" s="781">
        <f t="shared" ca="1" si="4"/>
        <v>9.911894273127754E-3</v>
      </c>
      <c r="S4" s="783" t="s">
        <v>759</v>
      </c>
      <c r="T4" s="1">
        <f ca="1">COUNTIFS(OFFSET(Arb!$H$2,,,Arb!$AJ$36,),"&lt;"&amp;$A4,OFFSET(Arb!$I$2,,,Arb!$AJ$36,),"&gt;="&amp;$F4,OFFSET(Arb!$AI$2,,,Arb!$AJ$36,),TRUE,OFFSET(Arb!$C$2,,,Arb!$AJ$36,),T$1)</f>
        <v>0</v>
      </c>
      <c r="U4" s="11">
        <f t="shared" ref="U4:U38" ca="1" si="11">U$2</f>
        <v>0</v>
      </c>
      <c r="V4" s="56" t="str">
        <f t="shared" ca="1" si="5"/>
        <v/>
      </c>
      <c r="W4" s="59" t="str">
        <f>ASB!$AL$67</f>
        <v>发财</v>
      </c>
      <c r="X4" s="1">
        <f ca="1">COUNTIFS(OFFSET(Arb!$H$2,,,Arb!$AJ$36,),"&lt;"&amp;$A4,OFFSET(Arb!$I$2,,,Arb!$AJ$36,),"&gt;="&amp;$F4,OFFSET(Arb!$AI$2,,,Arb!$AJ$36,),TRUE,OFFSET(Arb!$C$2,,,Arb!$AJ$36,),X$1)</f>
        <v>0</v>
      </c>
      <c r="Y4" s="11">
        <f t="shared" ref="Y4:Y38" ca="1" si="12">Y$2</f>
        <v>0</v>
      </c>
      <c r="Z4" s="56" t="str">
        <f t="shared" ca="1" si="6"/>
        <v/>
      </c>
      <c r="AA4" s="59" t="str">
        <f>ASB!$AL$67</f>
        <v>发财</v>
      </c>
      <c r="AB4" s="1">
        <f ca="1">COUNTIFS(OFFSET(Arb!$H$2,,,Arb!$AJ$36,),"&lt;"&amp;$A4,OFFSET(Arb!$I$2,,,Arb!$AJ$36,),"&gt;="&amp;$F4,OFFSET(Arb!$AI$2,,,Arb!$AJ$36,),TRUE,OFFSET(Arb!$C$2,,,Arb!$AJ$36,),AB$1)</f>
        <v>0</v>
      </c>
      <c r="AC4" s="11">
        <f t="shared" ref="AC4:AC38" ca="1" si="13">AC$2</f>
        <v>0</v>
      </c>
      <c r="AD4" s="56" t="str">
        <f t="shared" ca="1" si="7"/>
        <v/>
      </c>
      <c r="AE4" s="59" t="str">
        <f>ASB!$AL$67</f>
        <v>发财</v>
      </c>
      <c r="AF4" s="1"/>
      <c r="AI4" s="59"/>
      <c r="AM4" s="59"/>
    </row>
    <row r="5" spans="1:39" x14ac:dyDescent="0.25">
      <c r="A5" s="50">
        <f t="shared" ca="1" si="8"/>
        <v>3.6</v>
      </c>
      <c r="B5" s="1">
        <v>0</v>
      </c>
      <c r="C5" s="1">
        <v>100</v>
      </c>
      <c r="D5" s="51">
        <f t="shared" si="0"/>
        <v>0.47299000000000002</v>
      </c>
      <c r="E5" s="52" t="s">
        <v>44</v>
      </c>
      <c r="F5" s="53">
        <v>10</v>
      </c>
      <c r="G5" s="54" t="s">
        <v>385</v>
      </c>
      <c r="H5" s="786">
        <f ca="1">COUNTIFS(OFFSET(Arb!$H$2,,,Arb!$AJ$36,),"&lt;"&amp;$A5,OFFSET(Arb!$I$2,,,Arb!$AJ$36,),"&gt;="&amp;$F5,OFFSET(Arb!$AI$2,,,Arb!$AJ$36,),TRUE)</f>
        <v>44</v>
      </c>
      <c r="I5" s="300">
        <f t="shared" ca="1" si="1"/>
        <v>1717</v>
      </c>
      <c r="J5" s="784">
        <f t="shared" ca="1" si="2"/>
        <v>2.5626092020966801E-2</v>
      </c>
      <c r="K5" s="787" t="s">
        <v>760</v>
      </c>
      <c r="L5" s="715">
        <f ca="1">COUNTIFS(OFFSET(Arb!$H$2,,,Arb!$AJ$36,),"&lt;"&amp;$A5,OFFSET(Arb!$I$2,,,Arb!$AJ$36,),"&gt;="&amp;$F5,OFFSET(Arb!$AI$2,,,Arb!$AJ$36,),TRUE,OFFSET(Arb!$C$2,,,Arb!$AJ$36,),L$1)</f>
        <v>25</v>
      </c>
      <c r="M5" s="300">
        <f t="shared" ca="1" si="9"/>
        <v>809</v>
      </c>
      <c r="N5" s="784">
        <f t="shared" ca="1" si="3"/>
        <v>3.0902348578491966E-2</v>
      </c>
      <c r="O5" s="785" t="s">
        <v>760</v>
      </c>
      <c r="P5" s="300">
        <f ca="1">COUNTIFS(OFFSET(Arb!$H$2,,,Arb!$AJ$36,),"&lt;"&amp;$A5,OFFSET(Arb!$I$2,,,Arb!$AJ$36,),"&gt;="&amp;$F5,OFFSET(Arb!$AI$2,,,Arb!$AJ$36,),TRUE,OFFSET(Arb!$C$2,,,Arb!$AJ$36,),P$1)</f>
        <v>19</v>
      </c>
      <c r="Q5" s="300">
        <f t="shared" ca="1" si="10"/>
        <v>908</v>
      </c>
      <c r="R5" s="784">
        <f t="shared" ca="1" si="4"/>
        <v>2.092511013215859E-2</v>
      </c>
      <c r="S5" s="785" t="s">
        <v>760</v>
      </c>
      <c r="T5" s="1">
        <f ca="1">COUNTIFS(OFFSET(Arb!$H$2,,,Arb!$AJ$36,),"&lt;"&amp;$A5,OFFSET(Arb!$I$2,,,Arb!$AJ$36,),"&gt;="&amp;$F5,OFFSET(Arb!$AI$2,,,Arb!$AJ$36,),TRUE,OFFSET(Arb!$C$2,,,Arb!$AJ$36,),T$1)</f>
        <v>0</v>
      </c>
      <c r="U5" s="11">
        <f t="shared" ca="1" si="11"/>
        <v>0</v>
      </c>
      <c r="V5" s="56" t="str">
        <f t="shared" ca="1" si="5"/>
        <v/>
      </c>
      <c r="W5" s="59" t="str">
        <f>ASB!$AL$67</f>
        <v>发财</v>
      </c>
      <c r="X5" s="1">
        <f ca="1">COUNTIFS(OFFSET(Arb!$H$2,,,Arb!$AJ$36,),"&lt;"&amp;$A5,OFFSET(Arb!$I$2,,,Arb!$AJ$36,),"&gt;="&amp;$F5,OFFSET(Arb!$AI$2,,,Arb!$AJ$36,),TRUE,OFFSET(Arb!$C$2,,,Arb!$AJ$36,),X$1)</f>
        <v>0</v>
      </c>
      <c r="Y5" s="11">
        <f t="shared" ca="1" si="12"/>
        <v>0</v>
      </c>
      <c r="Z5" s="56" t="str">
        <f t="shared" ca="1" si="6"/>
        <v/>
      </c>
      <c r="AA5" s="59" t="str">
        <f>ASB!$AL$67</f>
        <v>发财</v>
      </c>
      <c r="AB5" s="1">
        <f ca="1">COUNTIFS(OFFSET(Arb!$H$2,,,Arb!$AJ$36,),"&lt;"&amp;$A5,OFFSET(Arb!$I$2,,,Arb!$AJ$36,),"&gt;="&amp;$F5,OFFSET(Arb!$AI$2,,,Arb!$AJ$36,),TRUE,OFFSET(Arb!$C$2,,,Arb!$AJ$36,),AB$1)</f>
        <v>0</v>
      </c>
      <c r="AC5" s="11">
        <f t="shared" ca="1" si="13"/>
        <v>0</v>
      </c>
      <c r="AD5" s="56" t="str">
        <f t="shared" ca="1" si="7"/>
        <v/>
      </c>
      <c r="AE5" s="59" t="str">
        <f>ASB!$AL$67</f>
        <v>发财</v>
      </c>
      <c r="AF5" s="1"/>
      <c r="AI5" s="59"/>
      <c r="AM5" s="59"/>
    </row>
    <row r="6" spans="1:39" x14ac:dyDescent="0.25">
      <c r="A6" s="50">
        <f t="shared" ca="1" si="8"/>
        <v>3.7</v>
      </c>
      <c r="B6" s="1">
        <v>0</v>
      </c>
      <c r="C6" s="1">
        <v>100</v>
      </c>
      <c r="D6" s="51">
        <f t="shared" si="0"/>
        <v>0.47299000000000002</v>
      </c>
      <c r="E6" s="52" t="s">
        <v>44</v>
      </c>
      <c r="F6" s="53">
        <v>10</v>
      </c>
      <c r="G6" s="54" t="s">
        <v>385</v>
      </c>
      <c r="H6" s="786">
        <f ca="1">COUNTIFS(OFFSET(Arb!$H$2,,,Arb!$AJ$36,),"&lt;"&amp;$A6,OFFSET(Arb!$I$2,,,Arb!$AJ$36,),"&gt;="&amp;$F6,OFFSET(Arb!$AI$2,,,Arb!$AJ$36,),TRUE)</f>
        <v>56</v>
      </c>
      <c r="I6" s="300">
        <f t="shared" ca="1" si="1"/>
        <v>1717</v>
      </c>
      <c r="J6" s="784">
        <f t="shared" ca="1" si="2"/>
        <v>3.2615026208503206E-2</v>
      </c>
      <c r="K6" s="787" t="s">
        <v>760</v>
      </c>
      <c r="L6" s="545">
        <f ca="1">COUNTIFS(OFFSET(Arb!$H$2,,,Arb!$AJ$36,),"&lt;"&amp;$A6,OFFSET(Arb!$I$2,,,Arb!$AJ$36,),"&gt;="&amp;$F6,OFFSET(Arb!$AI$2,,,Arb!$AJ$36,),TRUE,OFFSET(Arb!$C$2,,,Arb!$AJ$36,),L$1)</f>
        <v>35</v>
      </c>
      <c r="M6" s="552">
        <f t="shared" ca="1" si="9"/>
        <v>809</v>
      </c>
      <c r="N6" s="268">
        <f t="shared" ca="1" si="3"/>
        <v>4.3263288009888753E-2</v>
      </c>
      <c r="O6" s="788" t="s">
        <v>761</v>
      </c>
      <c r="P6" s="300">
        <f ca="1">COUNTIFS(OFFSET(Arb!$H$2,,,Arb!$AJ$36,),"&lt;"&amp;$A6,OFFSET(Arb!$I$2,,,Arb!$AJ$36,),"&gt;="&amp;$F6,OFFSET(Arb!$AI$2,,,Arb!$AJ$36,),TRUE,OFFSET(Arb!$C$2,,,Arb!$AJ$36,),P$1)</f>
        <v>21</v>
      </c>
      <c r="Q6" s="300">
        <f t="shared" ca="1" si="10"/>
        <v>908</v>
      </c>
      <c r="R6" s="784">
        <f t="shared" ca="1" si="4"/>
        <v>2.3127753303964757E-2</v>
      </c>
      <c r="S6" s="785" t="s">
        <v>760</v>
      </c>
      <c r="T6" s="1">
        <f ca="1">COUNTIFS(OFFSET(Arb!$H$2,,,Arb!$AJ$36,),"&lt;"&amp;$A6,OFFSET(Arb!$I$2,,,Arb!$AJ$36,),"&gt;="&amp;$F6,OFFSET(Arb!$AI$2,,,Arb!$AJ$36,),TRUE,OFFSET(Arb!$C$2,,,Arb!$AJ$36,),T$1)</f>
        <v>0</v>
      </c>
      <c r="U6" s="11">
        <f t="shared" ca="1" si="11"/>
        <v>0</v>
      </c>
      <c r="V6" s="56" t="str">
        <f t="shared" ca="1" si="5"/>
        <v/>
      </c>
      <c r="W6" s="59" t="str">
        <f>ASB!$AL$67</f>
        <v>发财</v>
      </c>
      <c r="X6" s="1">
        <f ca="1">COUNTIFS(OFFSET(Arb!$H$2,,,Arb!$AJ$36,),"&lt;"&amp;$A6,OFFSET(Arb!$I$2,,,Arb!$AJ$36,),"&gt;="&amp;$F6,OFFSET(Arb!$AI$2,,,Arb!$AJ$36,),TRUE,OFFSET(Arb!$C$2,,,Arb!$AJ$36,),X$1)</f>
        <v>0</v>
      </c>
      <c r="Y6" s="11">
        <f t="shared" ca="1" si="12"/>
        <v>0</v>
      </c>
      <c r="Z6" s="56" t="str">
        <f t="shared" ca="1" si="6"/>
        <v/>
      </c>
      <c r="AA6" s="59" t="str">
        <f>ASB!$AL$67</f>
        <v>发财</v>
      </c>
      <c r="AB6" s="1">
        <f ca="1">COUNTIFS(OFFSET(Arb!$H$2,,,Arb!$AJ$36,),"&lt;"&amp;$A6,OFFSET(Arb!$I$2,,,Arb!$AJ$36,),"&gt;="&amp;$F6,OFFSET(Arb!$AI$2,,,Arb!$AJ$36,),TRUE,OFFSET(Arb!$C$2,,,Arb!$AJ$36,),AB$1)</f>
        <v>0</v>
      </c>
      <c r="AC6" s="11">
        <f t="shared" ca="1" si="13"/>
        <v>0</v>
      </c>
      <c r="AD6" s="56" t="str">
        <f t="shared" ca="1" si="7"/>
        <v/>
      </c>
      <c r="AE6" s="59" t="str">
        <f>ASB!$AL$67</f>
        <v>发财</v>
      </c>
      <c r="AF6" s="1"/>
      <c r="AI6" s="59"/>
      <c r="AM6" s="59"/>
    </row>
    <row r="7" spans="1:39" x14ac:dyDescent="0.25">
      <c r="A7" s="50">
        <f t="shared" ca="1" si="8"/>
        <v>3.8</v>
      </c>
      <c r="B7" s="1">
        <v>0</v>
      </c>
      <c r="C7" s="1">
        <v>100</v>
      </c>
      <c r="D7" s="51">
        <f t="shared" si="0"/>
        <v>0.47299000000000002</v>
      </c>
      <c r="E7" s="52" t="s">
        <v>44</v>
      </c>
      <c r="F7" s="53">
        <v>10</v>
      </c>
      <c r="G7" s="54" t="s">
        <v>385</v>
      </c>
      <c r="H7" s="377">
        <f ca="1">COUNTIFS(OFFSET(Arb!$H$2,,,Arb!$AJ$36,),"&lt;"&amp;$A7,OFFSET(Arb!$I$2,,,Arb!$AJ$36,),"&gt;="&amp;$F7,OFFSET(Arb!$AI$2,,,Arb!$AJ$36,),TRUE)</f>
        <v>64</v>
      </c>
      <c r="I7" s="552">
        <f t="shared" ca="1" si="1"/>
        <v>1717</v>
      </c>
      <c r="J7" s="268">
        <f t="shared" ca="1" si="2"/>
        <v>3.7274315666860805E-2</v>
      </c>
      <c r="K7" s="789" t="s">
        <v>761</v>
      </c>
      <c r="L7" s="545">
        <f ca="1">COUNTIFS(OFFSET(Arb!$H$2,,,Arb!$AJ$36,),"&lt;"&amp;$A7,OFFSET(Arb!$I$2,,,Arb!$AJ$36,),"&gt;="&amp;$F7,OFFSET(Arb!$AI$2,,,Arb!$AJ$36,),TRUE,OFFSET(Arb!$C$2,,,Arb!$AJ$36,),L$1)</f>
        <v>40</v>
      </c>
      <c r="M7" s="552">
        <f t="shared" ca="1" si="9"/>
        <v>809</v>
      </c>
      <c r="N7" s="268">
        <f t="shared" ca="1" si="3"/>
        <v>4.9443757725587144E-2</v>
      </c>
      <c r="O7" s="788" t="s">
        <v>761</v>
      </c>
      <c r="P7" s="300">
        <f ca="1">COUNTIFS(OFFSET(Arb!$H$2,,,Arb!$AJ$36,),"&lt;"&amp;$A7,OFFSET(Arb!$I$2,,,Arb!$AJ$36,),"&gt;="&amp;$F7,OFFSET(Arb!$AI$2,,,Arb!$AJ$36,),TRUE,OFFSET(Arb!$C$2,,,Arb!$AJ$36,),P$1)</f>
        <v>24</v>
      </c>
      <c r="Q7" s="300">
        <f t="shared" ca="1" si="10"/>
        <v>908</v>
      </c>
      <c r="R7" s="784">
        <f t="shared" ca="1" si="4"/>
        <v>2.643171806167401E-2</v>
      </c>
      <c r="S7" s="785" t="s">
        <v>760</v>
      </c>
      <c r="T7" s="1">
        <f ca="1">COUNTIFS(OFFSET(Arb!$H$2,,,Arb!$AJ$36,),"&lt;"&amp;$A7,OFFSET(Arb!$I$2,,,Arb!$AJ$36,),"&gt;="&amp;$F7,OFFSET(Arb!$AI$2,,,Arb!$AJ$36,),TRUE,OFFSET(Arb!$C$2,,,Arb!$AJ$36,),T$1)</f>
        <v>0</v>
      </c>
      <c r="U7" s="11">
        <f t="shared" ca="1" si="11"/>
        <v>0</v>
      </c>
      <c r="V7" s="56" t="str">
        <f t="shared" ca="1" si="5"/>
        <v/>
      </c>
      <c r="W7" s="59" t="str">
        <f>ASB!$AL$67</f>
        <v>发财</v>
      </c>
      <c r="X7" s="1">
        <f ca="1">COUNTIFS(OFFSET(Arb!$H$2,,,Arb!$AJ$36,),"&lt;"&amp;$A7,OFFSET(Arb!$I$2,,,Arb!$AJ$36,),"&gt;="&amp;$F7,OFFSET(Arb!$AI$2,,,Arb!$AJ$36,),TRUE,OFFSET(Arb!$C$2,,,Arb!$AJ$36,),X$1)</f>
        <v>0</v>
      </c>
      <c r="Y7" s="11">
        <f t="shared" ca="1" si="12"/>
        <v>0</v>
      </c>
      <c r="Z7" s="56" t="str">
        <f t="shared" ca="1" si="6"/>
        <v/>
      </c>
      <c r="AA7" s="59" t="str">
        <f>ASB!$AL$67</f>
        <v>发财</v>
      </c>
      <c r="AB7" s="1">
        <f ca="1">COUNTIFS(OFFSET(Arb!$H$2,,,Arb!$AJ$36,),"&lt;"&amp;$A7,OFFSET(Arb!$I$2,,,Arb!$AJ$36,),"&gt;="&amp;$F7,OFFSET(Arb!$AI$2,,,Arb!$AJ$36,),TRUE,OFFSET(Arb!$C$2,,,Arb!$AJ$36,),AB$1)</f>
        <v>0</v>
      </c>
      <c r="AC7" s="11">
        <f t="shared" ca="1" si="13"/>
        <v>0</v>
      </c>
      <c r="AD7" s="56" t="str">
        <f t="shared" ca="1" si="7"/>
        <v/>
      </c>
      <c r="AE7" s="59" t="str">
        <f>ASB!$AL$67</f>
        <v>发财</v>
      </c>
      <c r="AF7" s="1"/>
      <c r="AI7" s="59"/>
      <c r="AM7" s="59"/>
    </row>
    <row r="8" spans="1:39" x14ac:dyDescent="0.25">
      <c r="A8" s="50">
        <f t="shared" ca="1" si="8"/>
        <v>3.9</v>
      </c>
      <c r="B8" s="1">
        <v>0</v>
      </c>
      <c r="C8" s="1">
        <v>100</v>
      </c>
      <c r="D8" s="51">
        <f t="shared" si="0"/>
        <v>0.47299000000000002</v>
      </c>
      <c r="E8" s="52" t="s">
        <v>44</v>
      </c>
      <c r="F8" s="53">
        <v>10</v>
      </c>
      <c r="G8" s="54" t="s">
        <v>385</v>
      </c>
      <c r="H8" s="377">
        <f ca="1">COUNTIFS(OFFSET(Arb!$H$2,,,Arb!$AJ$36,),"&lt;"&amp;$A8,OFFSET(Arb!$I$2,,,Arb!$AJ$36,),"&gt;="&amp;$F8,OFFSET(Arb!$AI$2,,,Arb!$AJ$36,),TRUE)</f>
        <v>81</v>
      </c>
      <c r="I8" s="552">
        <f t="shared" ca="1" si="1"/>
        <v>1717</v>
      </c>
      <c r="J8" s="268">
        <f t="shared" ca="1" si="2"/>
        <v>4.7175305765870708E-2</v>
      </c>
      <c r="K8" s="789" t="s">
        <v>761</v>
      </c>
      <c r="L8" s="545">
        <f ca="1">COUNTIFS(OFFSET(Arb!$H$2,,,Arb!$AJ$36,),"&lt;"&amp;$A8,OFFSET(Arb!$I$2,,,Arb!$AJ$36,),"&gt;="&amp;$F8,OFFSET(Arb!$AI$2,,,Arb!$AJ$36,),TRUE,OFFSET(Arb!$C$2,,,Arb!$AJ$36,),L$1)</f>
        <v>47</v>
      </c>
      <c r="M8" s="552">
        <f t="shared" ca="1" si="9"/>
        <v>809</v>
      </c>
      <c r="N8" s="268">
        <f t="shared" ca="1" si="3"/>
        <v>5.8096415327564897E-2</v>
      </c>
      <c r="O8" s="788" t="s">
        <v>761</v>
      </c>
      <c r="P8" s="552">
        <f ca="1">COUNTIFS(OFFSET(Arb!$H$2,,,Arb!$AJ$36,),"&lt;"&amp;$A8,OFFSET(Arb!$I$2,,,Arb!$AJ$36,),"&gt;="&amp;$F8,OFFSET(Arb!$AI$2,,,Arb!$AJ$36,),TRUE,OFFSET(Arb!$C$2,,,Arb!$AJ$36,),P$1)</f>
        <v>34</v>
      </c>
      <c r="Q8" s="552">
        <f t="shared" ca="1" si="10"/>
        <v>908</v>
      </c>
      <c r="R8" s="268">
        <f t="shared" ca="1" si="4"/>
        <v>3.7444933920704845E-2</v>
      </c>
      <c r="S8" s="788" t="s">
        <v>761</v>
      </c>
      <c r="T8" s="1">
        <f ca="1">COUNTIFS(OFFSET(Arb!$H$2,,,Arb!$AJ$36,),"&lt;"&amp;$A8,OFFSET(Arb!$I$2,,,Arb!$AJ$36,),"&gt;="&amp;$F8,OFFSET(Arb!$AI$2,,,Arb!$AJ$36,),TRUE,OFFSET(Arb!$C$2,,,Arb!$AJ$36,),T$1)</f>
        <v>0</v>
      </c>
      <c r="U8" s="11">
        <f t="shared" ca="1" si="11"/>
        <v>0</v>
      </c>
      <c r="V8" s="56" t="str">
        <f t="shared" ca="1" si="5"/>
        <v/>
      </c>
      <c r="W8" s="59" t="str">
        <f>ASB!$AL$67</f>
        <v>发财</v>
      </c>
      <c r="X8" s="1">
        <f ca="1">COUNTIFS(OFFSET(Arb!$H$2,,,Arb!$AJ$36,),"&lt;"&amp;$A8,OFFSET(Arb!$I$2,,,Arb!$AJ$36,),"&gt;="&amp;$F8,OFFSET(Arb!$AI$2,,,Arb!$AJ$36,),TRUE,OFFSET(Arb!$C$2,,,Arb!$AJ$36,),X$1)</f>
        <v>0</v>
      </c>
      <c r="Y8" s="11">
        <f t="shared" ca="1" si="12"/>
        <v>0</v>
      </c>
      <c r="Z8" s="56" t="str">
        <f t="shared" ca="1" si="6"/>
        <v/>
      </c>
      <c r="AA8" s="59" t="str">
        <f>ASB!$AL$67</f>
        <v>发财</v>
      </c>
      <c r="AB8" s="1">
        <f ca="1">COUNTIFS(OFFSET(Arb!$H$2,,,Arb!$AJ$36,),"&lt;"&amp;$A8,OFFSET(Arb!$I$2,,,Arb!$AJ$36,),"&gt;="&amp;$F8,OFFSET(Arb!$AI$2,,,Arb!$AJ$36,),TRUE,OFFSET(Arb!$C$2,,,Arb!$AJ$36,),AB$1)</f>
        <v>0</v>
      </c>
      <c r="AC8" s="11">
        <f t="shared" ca="1" si="13"/>
        <v>0</v>
      </c>
      <c r="AD8" s="56" t="str">
        <f t="shared" ca="1" si="7"/>
        <v/>
      </c>
      <c r="AE8" s="59" t="str">
        <f>ASB!$AL$67</f>
        <v>发财</v>
      </c>
      <c r="AF8" s="1"/>
      <c r="AI8" s="59"/>
      <c r="AM8" s="59"/>
    </row>
    <row r="9" spans="1:39" x14ac:dyDescent="0.25">
      <c r="A9" s="50">
        <f t="shared" ca="1" si="8"/>
        <v>4</v>
      </c>
      <c r="B9" s="1">
        <v>0</v>
      </c>
      <c r="C9" s="1">
        <v>100</v>
      </c>
      <c r="D9" s="51">
        <f t="shared" si="0"/>
        <v>0.47299000000000002</v>
      </c>
      <c r="E9" s="52" t="s">
        <v>44</v>
      </c>
      <c r="F9" s="53">
        <v>10</v>
      </c>
      <c r="G9" s="54" t="s">
        <v>385</v>
      </c>
      <c r="H9" s="377">
        <f ca="1">COUNTIFS(OFFSET(Arb!$H$2,,,Arb!$AJ$36,),"&lt;"&amp;$A9,OFFSET(Arb!$I$2,,,Arb!$AJ$36,),"&gt;="&amp;$F9,OFFSET(Arb!$AI$2,,,Arb!$AJ$36,),TRUE)</f>
        <v>101</v>
      </c>
      <c r="I9" s="552">
        <f t="shared" ca="1" si="1"/>
        <v>1717</v>
      </c>
      <c r="J9" s="268">
        <f t="shared" ca="1" si="2"/>
        <v>5.8823529411764705E-2</v>
      </c>
      <c r="K9" s="789" t="s">
        <v>761</v>
      </c>
      <c r="L9" s="545">
        <f ca="1">COUNTIFS(OFFSET(Arb!$H$2,,,Arb!$AJ$36,),"&lt;"&amp;$A9,OFFSET(Arb!$I$2,,,Arb!$AJ$36,),"&gt;="&amp;$F9,OFFSET(Arb!$AI$2,,,Arb!$AJ$36,),TRUE,OFFSET(Arb!$C$2,,,Arb!$AJ$36,),L$1)</f>
        <v>56</v>
      </c>
      <c r="M9" s="552">
        <f t="shared" ca="1" si="9"/>
        <v>809</v>
      </c>
      <c r="N9" s="268">
        <f t="shared" ca="1" si="3"/>
        <v>6.9221260815822E-2</v>
      </c>
      <c r="O9" s="788" t="s">
        <v>761</v>
      </c>
      <c r="P9" s="552">
        <f ca="1">COUNTIFS(OFFSET(Arb!$H$2,,,Arb!$AJ$36,),"&lt;"&amp;$A9,OFFSET(Arb!$I$2,,,Arb!$AJ$36,),"&gt;="&amp;$F9,OFFSET(Arb!$AI$2,,,Arb!$AJ$36,),TRUE,OFFSET(Arb!$C$2,,,Arb!$AJ$36,),P$1)</f>
        <v>45</v>
      </c>
      <c r="Q9" s="552">
        <f t="shared" ca="1" si="10"/>
        <v>908</v>
      </c>
      <c r="R9" s="268">
        <f t="shared" ca="1" si="4"/>
        <v>4.9559471365638763E-2</v>
      </c>
      <c r="S9" s="788" t="s">
        <v>761</v>
      </c>
      <c r="T9" s="1">
        <f ca="1">COUNTIFS(OFFSET(Arb!$H$2,,,Arb!$AJ$36,),"&lt;"&amp;$A9,OFFSET(Arb!$I$2,,,Arb!$AJ$36,),"&gt;="&amp;$F9,OFFSET(Arb!$AI$2,,,Arb!$AJ$36,),TRUE,OFFSET(Arb!$C$2,,,Arb!$AJ$36,),T$1)</f>
        <v>0</v>
      </c>
      <c r="U9" s="11">
        <f t="shared" ca="1" si="11"/>
        <v>0</v>
      </c>
      <c r="V9" s="56" t="str">
        <f t="shared" ca="1" si="5"/>
        <v/>
      </c>
      <c r="W9" s="59" t="str">
        <f>ASB!$AL$67</f>
        <v>发财</v>
      </c>
      <c r="X9" s="1">
        <f ca="1">COUNTIFS(OFFSET(Arb!$H$2,,,Arb!$AJ$36,),"&lt;"&amp;$A9,OFFSET(Arb!$I$2,,,Arb!$AJ$36,),"&gt;="&amp;$F9,OFFSET(Arb!$AI$2,,,Arb!$AJ$36,),TRUE,OFFSET(Arb!$C$2,,,Arb!$AJ$36,),X$1)</f>
        <v>0</v>
      </c>
      <c r="Y9" s="11">
        <f t="shared" ca="1" si="12"/>
        <v>0</v>
      </c>
      <c r="Z9" s="56" t="str">
        <f t="shared" ca="1" si="6"/>
        <v/>
      </c>
      <c r="AA9" s="59" t="str">
        <f>ASB!$AL$67</f>
        <v>发财</v>
      </c>
      <c r="AB9" s="1">
        <f ca="1">COUNTIFS(OFFSET(Arb!$H$2,,,Arb!$AJ$36,),"&lt;"&amp;$A9,OFFSET(Arb!$I$2,,,Arb!$AJ$36,),"&gt;="&amp;$F9,OFFSET(Arb!$AI$2,,,Arb!$AJ$36,),TRUE,OFFSET(Arb!$C$2,,,Arb!$AJ$36,),AB$1)</f>
        <v>0</v>
      </c>
      <c r="AC9" s="11">
        <f t="shared" ca="1" si="13"/>
        <v>0</v>
      </c>
      <c r="AD9" s="56" t="str">
        <f t="shared" ca="1" si="7"/>
        <v/>
      </c>
      <c r="AE9" s="59" t="str">
        <f>ASB!$AL$67</f>
        <v>发财</v>
      </c>
      <c r="AF9" s="1"/>
      <c r="AI9" s="59"/>
      <c r="AM9" s="59"/>
    </row>
    <row r="10" spans="1:39" x14ac:dyDescent="0.25">
      <c r="A10" s="50">
        <f t="shared" ca="1" si="8"/>
        <v>4.0999999999999996</v>
      </c>
      <c r="B10" s="1">
        <v>0</v>
      </c>
      <c r="C10" s="1">
        <v>100</v>
      </c>
      <c r="D10" s="51">
        <f t="shared" si="0"/>
        <v>0.47299000000000002</v>
      </c>
      <c r="E10" s="52" t="s">
        <v>44</v>
      </c>
      <c r="F10" s="53">
        <v>10</v>
      </c>
      <c r="G10" s="54" t="s">
        <v>385</v>
      </c>
      <c r="H10" s="377">
        <f ca="1">COUNTIFS(OFFSET(Arb!$H$2,,,Arb!$AJ$36,),"&lt;"&amp;$A10,OFFSET(Arb!$I$2,,,Arb!$AJ$36,),"&gt;="&amp;$F10,OFFSET(Arb!$AI$2,,,Arb!$AJ$36,),TRUE)</f>
        <v>121</v>
      </c>
      <c r="I10" s="552">
        <f t="shared" ca="1" si="1"/>
        <v>1717</v>
      </c>
      <c r="J10" s="268">
        <f t="shared" ca="1" si="2"/>
        <v>7.0471753057658709E-2</v>
      </c>
      <c r="K10" s="789" t="s">
        <v>761</v>
      </c>
      <c r="L10" s="545">
        <f ca="1">COUNTIFS(OFFSET(Arb!$H$2,,,Arb!$AJ$36,),"&lt;"&amp;$A10,OFFSET(Arb!$I$2,,,Arb!$AJ$36,),"&gt;="&amp;$F10,OFFSET(Arb!$AI$2,,,Arb!$AJ$36,),TRUE,OFFSET(Arb!$C$2,,,Arb!$AJ$36,),L$1)</f>
        <v>66</v>
      </c>
      <c r="M10" s="552">
        <f t="shared" ca="1" si="9"/>
        <v>809</v>
      </c>
      <c r="N10" s="268">
        <f t="shared" ca="1" si="3"/>
        <v>8.1582200247218795E-2</v>
      </c>
      <c r="O10" s="788" t="s">
        <v>761</v>
      </c>
      <c r="P10" s="552">
        <f ca="1">COUNTIFS(OFFSET(Arb!$H$2,,,Arb!$AJ$36,),"&lt;"&amp;$A10,OFFSET(Arb!$I$2,,,Arb!$AJ$36,),"&gt;="&amp;$F10,OFFSET(Arb!$AI$2,,,Arb!$AJ$36,),TRUE,OFFSET(Arb!$C$2,,,Arb!$AJ$36,),P$1)</f>
        <v>55</v>
      </c>
      <c r="Q10" s="552">
        <f t="shared" ca="1" si="10"/>
        <v>908</v>
      </c>
      <c r="R10" s="268">
        <f t="shared" ca="1" si="4"/>
        <v>6.0572687224669602E-2</v>
      </c>
      <c r="S10" s="788" t="s">
        <v>761</v>
      </c>
      <c r="T10" s="1">
        <f ca="1">COUNTIFS(OFFSET(Arb!$H$2,,,Arb!$AJ$36,),"&lt;"&amp;$A10,OFFSET(Arb!$I$2,,,Arb!$AJ$36,),"&gt;="&amp;$F10,OFFSET(Arb!$AI$2,,,Arb!$AJ$36,),TRUE,OFFSET(Arb!$C$2,,,Arb!$AJ$36,),T$1)</f>
        <v>0</v>
      </c>
      <c r="U10" s="11">
        <f t="shared" ca="1" si="11"/>
        <v>0</v>
      </c>
      <c r="V10" s="56" t="str">
        <f t="shared" ca="1" si="5"/>
        <v/>
      </c>
      <c r="W10" s="59" t="str">
        <f>ASB!$AL$67</f>
        <v>发财</v>
      </c>
      <c r="X10" s="1">
        <f ca="1">COUNTIFS(OFFSET(Arb!$H$2,,,Arb!$AJ$36,),"&lt;"&amp;$A10,OFFSET(Arb!$I$2,,,Arb!$AJ$36,),"&gt;="&amp;$F10,OFFSET(Arb!$AI$2,,,Arb!$AJ$36,),TRUE,OFFSET(Arb!$C$2,,,Arb!$AJ$36,),X$1)</f>
        <v>0</v>
      </c>
      <c r="Y10" s="11">
        <f t="shared" ca="1" si="12"/>
        <v>0</v>
      </c>
      <c r="Z10" s="56" t="str">
        <f t="shared" ca="1" si="6"/>
        <v/>
      </c>
      <c r="AA10" s="59" t="str">
        <f>ASB!$AL$67</f>
        <v>发财</v>
      </c>
      <c r="AB10" s="1">
        <f ca="1">COUNTIFS(OFFSET(Arb!$H$2,,,Arb!$AJ$36,),"&lt;"&amp;$A10,OFFSET(Arb!$I$2,,,Arb!$AJ$36,),"&gt;="&amp;$F10,OFFSET(Arb!$AI$2,,,Arb!$AJ$36,),TRUE,OFFSET(Arb!$C$2,,,Arb!$AJ$36,),AB$1)</f>
        <v>0</v>
      </c>
      <c r="AC10" s="11">
        <f t="shared" ca="1" si="13"/>
        <v>0</v>
      </c>
      <c r="AD10" s="56" t="str">
        <f t="shared" ca="1" si="7"/>
        <v/>
      </c>
      <c r="AE10" s="59" t="str">
        <f>ASB!$AL$67</f>
        <v>发财</v>
      </c>
      <c r="AF10" s="1"/>
      <c r="AI10" s="59"/>
      <c r="AM10" s="59"/>
    </row>
    <row r="11" spans="1:39" x14ac:dyDescent="0.25">
      <c r="A11" s="50">
        <f t="shared" ca="1" si="8"/>
        <v>4.2</v>
      </c>
      <c r="B11" s="1">
        <v>0</v>
      </c>
      <c r="C11" s="1">
        <v>100</v>
      </c>
      <c r="D11" s="51">
        <f t="shared" si="0"/>
        <v>0.47299000000000002</v>
      </c>
      <c r="E11" s="52" t="s">
        <v>38</v>
      </c>
      <c r="F11" s="53">
        <v>10</v>
      </c>
      <c r="G11" s="54" t="s">
        <v>385</v>
      </c>
      <c r="H11" s="377">
        <f ca="1">COUNTIFS(OFFSET(Arb!$H$2,,,Arb!$AJ$36,),"&lt;"&amp;$A11,OFFSET(Arb!$I$2,,,Arb!$AJ$36,),"&gt;="&amp;$F11,OFFSET(Arb!$AI$2,,,Arb!$AJ$36,),TRUE)</f>
        <v>144</v>
      </c>
      <c r="I11" s="552">
        <f t="shared" ca="1" si="1"/>
        <v>1717</v>
      </c>
      <c r="J11" s="268">
        <f t="shared" ca="1" si="2"/>
        <v>8.3867210250436808E-2</v>
      </c>
      <c r="K11" s="789" t="s">
        <v>761</v>
      </c>
      <c r="L11" s="545">
        <f ca="1">COUNTIFS(OFFSET(Arb!$H$2,,,Arb!$AJ$36,),"&lt;"&amp;$A11,OFFSET(Arb!$I$2,,,Arb!$AJ$36,),"&gt;="&amp;$F11,OFFSET(Arb!$AI$2,,,Arb!$AJ$36,),TRUE,OFFSET(Arb!$C$2,,,Arb!$AJ$36,),L$1)</f>
        <v>76</v>
      </c>
      <c r="M11" s="552">
        <f t="shared" ca="1" si="9"/>
        <v>809</v>
      </c>
      <c r="N11" s="268">
        <f t="shared" ca="1" si="3"/>
        <v>9.3943139678615575E-2</v>
      </c>
      <c r="O11" s="788" t="s">
        <v>761</v>
      </c>
      <c r="P11" s="552">
        <f ca="1">COUNTIFS(OFFSET(Arb!$H$2,,,Arb!$AJ$36,),"&lt;"&amp;$A11,OFFSET(Arb!$I$2,,,Arb!$AJ$36,),"&gt;="&amp;$F11,OFFSET(Arb!$AI$2,,,Arb!$AJ$36,),TRUE,OFFSET(Arb!$C$2,,,Arb!$AJ$36,),P$1)</f>
        <v>68</v>
      </c>
      <c r="Q11" s="552">
        <f t="shared" ca="1" si="10"/>
        <v>908</v>
      </c>
      <c r="R11" s="268">
        <f t="shared" ca="1" si="4"/>
        <v>7.4889867841409691E-2</v>
      </c>
      <c r="S11" s="788" t="s">
        <v>761</v>
      </c>
      <c r="T11" s="1">
        <f ca="1">COUNTIFS(OFFSET(Arb!$H$2,,,Arb!$AJ$36,),"&lt;"&amp;$A11,OFFSET(Arb!$I$2,,,Arb!$AJ$36,),"&gt;="&amp;$F11,OFFSET(Arb!$AI$2,,,Arb!$AJ$36,),TRUE,OFFSET(Arb!$C$2,,,Arb!$AJ$36,),T$1)</f>
        <v>0</v>
      </c>
      <c r="U11" s="11">
        <f t="shared" ca="1" si="11"/>
        <v>0</v>
      </c>
      <c r="V11" s="56" t="str">
        <f t="shared" ca="1" si="5"/>
        <v/>
      </c>
      <c r="W11" s="59" t="str">
        <f>ASB!$AL$67</f>
        <v>发财</v>
      </c>
      <c r="X11" s="1">
        <f ca="1">COUNTIFS(OFFSET(Arb!$H$2,,,Arb!$AJ$36,),"&lt;"&amp;$A11,OFFSET(Arb!$I$2,,,Arb!$AJ$36,),"&gt;="&amp;$F11,OFFSET(Arb!$AI$2,,,Arb!$AJ$36,),TRUE,OFFSET(Arb!$C$2,,,Arb!$AJ$36,),X$1)</f>
        <v>0</v>
      </c>
      <c r="Y11" s="11">
        <f t="shared" ca="1" si="12"/>
        <v>0</v>
      </c>
      <c r="Z11" s="56" t="str">
        <f t="shared" ca="1" si="6"/>
        <v/>
      </c>
      <c r="AA11" s="59" t="str">
        <f>ASB!$AL$67</f>
        <v>发财</v>
      </c>
      <c r="AB11" s="1">
        <f ca="1">COUNTIFS(OFFSET(Arb!$H$2,,,Arb!$AJ$36,),"&lt;"&amp;$A11,OFFSET(Arb!$I$2,,,Arb!$AJ$36,),"&gt;="&amp;$F11,OFFSET(Arb!$AI$2,,,Arb!$AJ$36,),TRUE,OFFSET(Arb!$C$2,,,Arb!$AJ$36,),AB$1)</f>
        <v>0</v>
      </c>
      <c r="AC11" s="11">
        <f t="shared" ca="1" si="13"/>
        <v>0</v>
      </c>
      <c r="AD11" s="56" t="str">
        <f t="shared" ca="1" si="7"/>
        <v/>
      </c>
      <c r="AE11" s="59" t="str">
        <f>ASB!$AL$67</f>
        <v>发财</v>
      </c>
      <c r="AF11" s="1"/>
      <c r="AI11" s="59"/>
      <c r="AM11" s="59"/>
    </row>
    <row r="12" spans="1:39" x14ac:dyDescent="0.25">
      <c r="A12" s="1">
        <v>500</v>
      </c>
      <c r="B12" s="50">
        <f ca="1">0.1*MAX(INT(OFFSET(Bvs!E1,Arb!AJ16*2,)/0.1),24)</f>
        <v>4.3</v>
      </c>
      <c r="C12" s="1">
        <v>100</v>
      </c>
      <c r="D12" s="51">
        <f t="shared" si="0"/>
        <v>0.47299000000000002</v>
      </c>
      <c r="E12" s="52" t="s">
        <v>44</v>
      </c>
      <c r="F12" s="53">
        <v>10</v>
      </c>
      <c r="G12" s="54" t="s">
        <v>386</v>
      </c>
      <c r="H12" s="780">
        <f ca="1">COUNTIFS(OFFSET(Arb!$AF$2,,,Arb!$AJ$36,),"&gt;="&amp;$B12,OFFSET(Arb!$I$2,,,Arb!$AJ$36,),"&gt;="&amp;$F12,OFFSET(Arb!$AI$2,,,Arb!$AJ$36,),TRUE)</f>
        <v>11</v>
      </c>
      <c r="I12" s="659">
        <f t="shared" ca="1" si="1"/>
        <v>1717</v>
      </c>
      <c r="J12" s="781">
        <f t="shared" ca="1" si="2"/>
        <v>6.4065230052417002E-3</v>
      </c>
      <c r="K12" s="782" t="s">
        <v>759</v>
      </c>
      <c r="L12" s="715">
        <f ca="1">COUNTIFS(OFFSET(Arb!$AF$2,,,Arb!$AJ$36,),"&gt;="&amp;$B12,OFFSET(Arb!$I$2,,,Arb!$AJ$36,),"&gt;="&amp;$F12,OFFSET(Arb!$AI$2,,,Arb!$AJ$36,),TRUE,OFFSET(Arb!$C$2,,,Arb!$AJ$36,),L$1)</f>
        <v>10</v>
      </c>
      <c r="M12" s="300">
        <f t="shared" ca="1" si="9"/>
        <v>809</v>
      </c>
      <c r="N12" s="784">
        <f t="shared" ca="1" si="3"/>
        <v>1.2360939431396786E-2</v>
      </c>
      <c r="O12" s="785" t="s">
        <v>760</v>
      </c>
      <c r="P12" s="300">
        <f ca="1">COUNTIFS(OFFSET(Arb!$AF$2,,,Arb!$AJ$36,),"&gt;="&amp;$B12,OFFSET(Arb!$I$2,,,Arb!$AJ$36,),"&gt;="&amp;$F12,OFFSET(Arb!$AI$2,,,Arb!$AJ$36,),TRUE,OFFSET(Arb!$C$2,,,Arb!$AJ$36,),P$1)</f>
        <v>1</v>
      </c>
      <c r="Q12" s="300">
        <f t="shared" ca="1" si="10"/>
        <v>908</v>
      </c>
      <c r="R12" s="784">
        <f t="shared" ca="1" si="4"/>
        <v>1.1013215859030838E-3</v>
      </c>
      <c r="S12" s="785" t="s">
        <v>644</v>
      </c>
      <c r="T12" s="1">
        <f ca="1">COUNTIFS(OFFSET(Arb!$AF$2,,,Arb!$AJ$36,),"&gt;="&amp;$B12,OFFSET(Arb!$I$2,,,Arb!$AJ$36,),"&gt;="&amp;$F12,OFFSET(Arb!$AI$2,,,Arb!$AJ$36,),TRUE,OFFSET(Arb!$C$2,,,Arb!$AJ$36,),T$1)</f>
        <v>0</v>
      </c>
      <c r="U12" s="11">
        <f t="shared" ca="1" si="11"/>
        <v>0</v>
      </c>
      <c r="V12" s="56" t="str">
        <f t="shared" ca="1" si="5"/>
        <v/>
      </c>
      <c r="W12" s="59" t="str">
        <f>ASB!$AL$67</f>
        <v>发财</v>
      </c>
      <c r="X12" s="1">
        <f ca="1">COUNTIFS(OFFSET(Arb!$AF$2,,,Arb!$AJ$36,),"&gt;="&amp;$B12,OFFSET(Arb!$I$2,,,Arb!$AJ$36,),"&gt;="&amp;$F12,OFFSET(Arb!$AI$2,,,Arb!$AJ$36,),TRUE,OFFSET(Arb!$C$2,,,Arb!$AJ$36,),X$1)</f>
        <v>0</v>
      </c>
      <c r="Y12" s="11">
        <f t="shared" ca="1" si="12"/>
        <v>0</v>
      </c>
      <c r="Z12" s="56" t="str">
        <f t="shared" ca="1" si="6"/>
        <v/>
      </c>
      <c r="AA12" s="59" t="str">
        <f>ASB!$AL$67</f>
        <v>发财</v>
      </c>
      <c r="AB12" s="1">
        <f ca="1">COUNTIFS(OFFSET(Arb!$AF$2,,,Arb!$AJ$36,),"&gt;="&amp;$B12,OFFSET(Arb!$I$2,,,Arb!$AJ$36,),"&gt;="&amp;$F12,OFFSET(Arb!$AI$2,,,Arb!$AJ$36,),TRUE,OFFSET(Arb!$C$2,,,Arb!$AJ$36,),AB$1)</f>
        <v>0</v>
      </c>
      <c r="AC12" s="11">
        <f t="shared" ca="1" si="13"/>
        <v>0</v>
      </c>
      <c r="AD12" s="56" t="str">
        <f t="shared" ca="1" si="7"/>
        <v/>
      </c>
      <c r="AE12" s="59" t="str">
        <f>ASB!$AL$67</f>
        <v>发财</v>
      </c>
      <c r="AF12" s="1"/>
      <c r="AI12" s="59"/>
      <c r="AM12" s="59"/>
    </row>
    <row r="13" spans="1:39" x14ac:dyDescent="0.25">
      <c r="A13" s="1">
        <v>500</v>
      </c>
      <c r="B13" s="50">
        <f ca="1">ROUND(B12-0.1,1)</f>
        <v>4.2</v>
      </c>
      <c r="C13" s="1">
        <v>100</v>
      </c>
      <c r="D13" s="51">
        <f t="shared" si="0"/>
        <v>0.47299000000000002</v>
      </c>
      <c r="E13" s="52" t="s">
        <v>44</v>
      </c>
      <c r="F13" s="53">
        <v>10</v>
      </c>
      <c r="G13" s="54" t="s">
        <v>386</v>
      </c>
      <c r="H13" s="780">
        <f ca="1">COUNTIFS(OFFSET(Arb!$AF$2,,,Arb!$AJ$36,),"&gt;="&amp;$B13,OFFSET(Arb!$I$2,,,Arb!$AJ$36,),"&gt;="&amp;$F13,OFFSET(Arb!$AI$2,,,Arb!$AJ$36,),TRUE)</f>
        <v>16</v>
      </c>
      <c r="I13" s="659">
        <f t="shared" ca="1" si="1"/>
        <v>1717</v>
      </c>
      <c r="J13" s="781">
        <f t="shared" ca="1" si="2"/>
        <v>9.3185789167152012E-3</v>
      </c>
      <c r="K13" s="782" t="s">
        <v>759</v>
      </c>
      <c r="L13" s="715">
        <f ca="1">COUNTIFS(OFFSET(Arb!$AF$2,,,Arb!$AJ$36,),"&gt;="&amp;$B13,OFFSET(Arb!$I$2,,,Arb!$AJ$36,),"&gt;="&amp;$F13,OFFSET(Arb!$AI$2,,,Arb!$AJ$36,),TRUE,OFFSET(Arb!$C$2,,,Arb!$AJ$36,),L$1)</f>
        <v>11</v>
      </c>
      <c r="M13" s="300">
        <f t="shared" ca="1" si="9"/>
        <v>809</v>
      </c>
      <c r="N13" s="784">
        <f t="shared" ca="1" si="3"/>
        <v>1.3597033374536464E-2</v>
      </c>
      <c r="O13" s="785" t="s">
        <v>760</v>
      </c>
      <c r="P13" s="659">
        <f ca="1">COUNTIFS(OFFSET(Arb!$AF$2,,,Arb!$AJ$36,),"&gt;="&amp;$B13,OFFSET(Arb!$I$2,,,Arb!$AJ$36,),"&gt;="&amp;$F13,OFFSET(Arb!$AI$2,,,Arb!$AJ$36,),TRUE,OFFSET(Arb!$C$2,,,Arb!$AJ$36,),P$1)</f>
        <v>5</v>
      </c>
      <c r="Q13" s="659">
        <f t="shared" ca="1" si="10"/>
        <v>908</v>
      </c>
      <c r="R13" s="781">
        <f t="shared" ca="1" si="4"/>
        <v>5.5066079295154188E-3</v>
      </c>
      <c r="S13" s="783" t="s">
        <v>759</v>
      </c>
      <c r="T13" s="1">
        <f ca="1">COUNTIFS(OFFSET(Arb!$AF$2,,,Arb!$AJ$36,),"&gt;="&amp;$B13,OFFSET(Arb!$I$2,,,Arb!$AJ$36,),"&gt;="&amp;$F13,OFFSET(Arb!$AI$2,,,Arb!$AJ$36,),TRUE,OFFSET(Arb!$C$2,,,Arb!$AJ$36,),T$1)</f>
        <v>0</v>
      </c>
      <c r="U13" s="11">
        <f t="shared" ca="1" si="11"/>
        <v>0</v>
      </c>
      <c r="V13" s="56" t="str">
        <f t="shared" ca="1" si="5"/>
        <v/>
      </c>
      <c r="W13" s="59" t="str">
        <f>ASB!$AL$67</f>
        <v>发财</v>
      </c>
      <c r="X13" s="1">
        <f ca="1">COUNTIFS(OFFSET(Arb!$AF$2,,,Arb!$AJ$36,),"&gt;="&amp;$B13,OFFSET(Arb!$I$2,,,Arb!$AJ$36,),"&gt;="&amp;$F13,OFFSET(Arb!$AI$2,,,Arb!$AJ$36,),TRUE,OFFSET(Arb!$C$2,,,Arb!$AJ$36,),X$1)</f>
        <v>0</v>
      </c>
      <c r="Y13" s="11">
        <f t="shared" ca="1" si="12"/>
        <v>0</v>
      </c>
      <c r="Z13" s="56" t="str">
        <f t="shared" ca="1" si="6"/>
        <v/>
      </c>
      <c r="AA13" s="59" t="str">
        <f>ASB!$AL$67</f>
        <v>发财</v>
      </c>
      <c r="AB13" s="1">
        <f ca="1">COUNTIFS(OFFSET(Arb!$AF$2,,,Arb!$AJ$36,),"&gt;="&amp;$B13,OFFSET(Arb!$I$2,,,Arb!$AJ$36,),"&gt;="&amp;$F13,OFFSET(Arb!$AI$2,,,Arb!$AJ$36,),TRUE,OFFSET(Arb!$C$2,,,Arb!$AJ$36,),AB$1)</f>
        <v>0</v>
      </c>
      <c r="AC13" s="11">
        <f t="shared" ca="1" si="13"/>
        <v>0</v>
      </c>
      <c r="AD13" s="56" t="str">
        <f t="shared" ca="1" si="7"/>
        <v/>
      </c>
      <c r="AE13" s="59" t="str">
        <f>ASB!$AL$67</f>
        <v>发财</v>
      </c>
      <c r="AF13" s="1"/>
      <c r="AI13" s="59"/>
      <c r="AM13" s="59"/>
    </row>
    <row r="14" spans="1:39" x14ac:dyDescent="0.25">
      <c r="A14" s="1">
        <v>500</v>
      </c>
      <c r="B14" s="50">
        <f t="shared" ref="B14:B30" ca="1" si="14">ROUND(B13-0.1,1)</f>
        <v>4.0999999999999996</v>
      </c>
      <c r="C14" s="1">
        <v>100</v>
      </c>
      <c r="D14" s="51">
        <f t="shared" si="0"/>
        <v>0.47299000000000002</v>
      </c>
      <c r="E14" s="52" t="s">
        <v>44</v>
      </c>
      <c r="F14" s="53">
        <v>10</v>
      </c>
      <c r="G14" s="54" t="s">
        <v>386</v>
      </c>
      <c r="H14" s="786">
        <f ca="1">COUNTIFS(OFFSET(Arb!$AF$2,,,Arb!$AJ$36,),"&gt;="&amp;$B14,OFFSET(Arb!$I$2,,,Arb!$AJ$36,),"&gt;="&amp;$F14,OFFSET(Arb!$AI$2,,,Arb!$AJ$36,),TRUE)</f>
        <v>22</v>
      </c>
      <c r="I14" s="300">
        <f t="shared" ca="1" si="1"/>
        <v>1717</v>
      </c>
      <c r="J14" s="784">
        <f t="shared" ca="1" si="2"/>
        <v>1.28130460104834E-2</v>
      </c>
      <c r="K14" s="787" t="s">
        <v>760</v>
      </c>
      <c r="L14" s="715">
        <f ca="1">COUNTIFS(OFFSET(Arb!$AF$2,,,Arb!$AJ$36,),"&gt;="&amp;$B14,OFFSET(Arb!$I$2,,,Arb!$AJ$36,),"&gt;="&amp;$F14,OFFSET(Arb!$AI$2,,,Arb!$AJ$36,),TRUE,OFFSET(Arb!$C$2,,,Arb!$AJ$36,),L$1)</f>
        <v>15</v>
      </c>
      <c r="M14" s="300">
        <f t="shared" ca="1" si="9"/>
        <v>809</v>
      </c>
      <c r="N14" s="784">
        <f t="shared" ca="1" si="3"/>
        <v>1.8541409147095178E-2</v>
      </c>
      <c r="O14" s="785" t="s">
        <v>760</v>
      </c>
      <c r="P14" s="659">
        <f ca="1">COUNTIFS(OFFSET(Arb!$AF$2,,,Arb!$AJ$36,),"&gt;="&amp;$B14,OFFSET(Arb!$I$2,,,Arb!$AJ$36,),"&gt;="&amp;$F14,OFFSET(Arb!$AI$2,,,Arb!$AJ$36,),TRUE,OFFSET(Arb!$C$2,,,Arb!$AJ$36,),P$1)</f>
        <v>7</v>
      </c>
      <c r="Q14" s="659">
        <f t="shared" ca="1" si="10"/>
        <v>908</v>
      </c>
      <c r="R14" s="781">
        <f t="shared" ca="1" si="4"/>
        <v>7.709251101321586E-3</v>
      </c>
      <c r="S14" s="783" t="s">
        <v>759</v>
      </c>
      <c r="T14" s="1">
        <f ca="1">COUNTIFS(OFFSET(Arb!$AF$2,,,Arb!$AJ$36,),"&gt;="&amp;$B14,OFFSET(Arb!$I$2,,,Arb!$AJ$36,),"&gt;="&amp;$F14,OFFSET(Arb!$AI$2,,,Arb!$AJ$36,),TRUE,OFFSET(Arb!$C$2,,,Arb!$AJ$36,),T$1)</f>
        <v>0</v>
      </c>
      <c r="U14" s="11">
        <f t="shared" ca="1" si="11"/>
        <v>0</v>
      </c>
      <c r="V14" s="56" t="str">
        <f t="shared" ca="1" si="5"/>
        <v/>
      </c>
      <c r="W14" s="59" t="str">
        <f>ASB!$AL$67</f>
        <v>发财</v>
      </c>
      <c r="X14" s="1">
        <f ca="1">COUNTIFS(OFFSET(Arb!$AF$2,,,Arb!$AJ$36,),"&gt;="&amp;$B14,OFFSET(Arb!$I$2,,,Arb!$AJ$36,),"&gt;="&amp;$F14,OFFSET(Arb!$AI$2,,,Arb!$AJ$36,),TRUE,OFFSET(Arb!$C$2,,,Arb!$AJ$36,),X$1)</f>
        <v>0</v>
      </c>
      <c r="Y14" s="11">
        <f t="shared" ca="1" si="12"/>
        <v>0</v>
      </c>
      <c r="Z14" s="56" t="str">
        <f t="shared" ca="1" si="6"/>
        <v/>
      </c>
      <c r="AA14" s="59" t="str">
        <f>ASB!$AL$67</f>
        <v>发财</v>
      </c>
      <c r="AB14" s="1">
        <f ca="1">COUNTIFS(OFFSET(Arb!$AF$2,,,Arb!$AJ$36,),"&gt;="&amp;$B14,OFFSET(Arb!$I$2,,,Arb!$AJ$36,),"&gt;="&amp;$F14,OFFSET(Arb!$AI$2,,,Arb!$AJ$36,),TRUE,OFFSET(Arb!$C$2,,,Arb!$AJ$36,),AB$1)</f>
        <v>0</v>
      </c>
      <c r="AC14" s="11">
        <f t="shared" ca="1" si="13"/>
        <v>0</v>
      </c>
      <c r="AD14" s="56" t="str">
        <f t="shared" ca="1" si="7"/>
        <v/>
      </c>
      <c r="AE14" s="59" t="str">
        <f>ASB!$AL$67</f>
        <v>发财</v>
      </c>
      <c r="AF14" s="1"/>
      <c r="AI14" s="59"/>
      <c r="AM14" s="59"/>
    </row>
    <row r="15" spans="1:39" x14ac:dyDescent="0.25">
      <c r="A15" s="1">
        <v>500</v>
      </c>
      <c r="B15" s="50">
        <f t="shared" ca="1" si="14"/>
        <v>4</v>
      </c>
      <c r="C15" s="1">
        <v>100</v>
      </c>
      <c r="D15" s="51">
        <f t="shared" si="0"/>
        <v>0.47299000000000002</v>
      </c>
      <c r="E15" s="52" t="s">
        <v>44</v>
      </c>
      <c r="F15" s="53">
        <v>10</v>
      </c>
      <c r="G15" s="54" t="s">
        <v>386</v>
      </c>
      <c r="H15" s="786">
        <f ca="1">COUNTIFS(OFFSET(Arb!$AF$2,,,Arb!$AJ$36,),"&gt;="&amp;$B15,OFFSET(Arb!$I$2,,,Arb!$AJ$36,),"&gt;="&amp;$F15,OFFSET(Arb!$AI$2,,,Arb!$AJ$36,),TRUE)</f>
        <v>28</v>
      </c>
      <c r="I15" s="300">
        <f t="shared" ca="1" si="1"/>
        <v>1717</v>
      </c>
      <c r="J15" s="784">
        <f t="shared" ca="1" si="2"/>
        <v>1.6307513104251603E-2</v>
      </c>
      <c r="K15" s="787" t="s">
        <v>760</v>
      </c>
      <c r="L15" s="715">
        <f ca="1">COUNTIFS(OFFSET(Arb!$AF$2,,,Arb!$AJ$36,),"&gt;="&amp;$B15,OFFSET(Arb!$I$2,,,Arb!$AJ$36,),"&gt;="&amp;$F15,OFFSET(Arb!$AI$2,,,Arb!$AJ$36,),TRUE,OFFSET(Arb!$C$2,,,Arb!$AJ$36,),L$1)</f>
        <v>18</v>
      </c>
      <c r="M15" s="300">
        <f t="shared" ca="1" si="9"/>
        <v>809</v>
      </c>
      <c r="N15" s="784">
        <f t="shared" ca="1" si="3"/>
        <v>2.2249690976514216E-2</v>
      </c>
      <c r="O15" s="785" t="s">
        <v>760</v>
      </c>
      <c r="P15" s="659">
        <f ca="1">COUNTIFS(OFFSET(Arb!$AF$2,,,Arb!$AJ$36,),"&gt;="&amp;$B15,OFFSET(Arb!$I$2,,,Arb!$AJ$36,),"&gt;="&amp;$F15,OFFSET(Arb!$AI$2,,,Arb!$AJ$36,),TRUE,OFFSET(Arb!$C$2,,,Arb!$AJ$36,),P$1)</f>
        <v>10</v>
      </c>
      <c r="Q15" s="659">
        <f t="shared" ca="1" si="10"/>
        <v>908</v>
      </c>
      <c r="R15" s="781">
        <f t="shared" ca="1" si="4"/>
        <v>1.1013215859030838E-2</v>
      </c>
      <c r="S15" s="783" t="s">
        <v>759</v>
      </c>
      <c r="T15" s="1">
        <f ca="1">COUNTIFS(OFFSET(Arb!$AF$2,,,Arb!$AJ$36,),"&gt;="&amp;$B15,OFFSET(Arb!$I$2,,,Arb!$AJ$36,),"&gt;="&amp;$F15,OFFSET(Arb!$AI$2,,,Arb!$AJ$36,),TRUE,OFFSET(Arb!$C$2,,,Arb!$AJ$36,),T$1)</f>
        <v>0</v>
      </c>
      <c r="U15" s="11">
        <f t="shared" ca="1" si="11"/>
        <v>0</v>
      </c>
      <c r="V15" s="56" t="str">
        <f t="shared" ca="1" si="5"/>
        <v/>
      </c>
      <c r="W15" s="59" t="str">
        <f>ASB!$AL$67</f>
        <v>发财</v>
      </c>
      <c r="X15" s="1">
        <f ca="1">COUNTIFS(OFFSET(Arb!$AF$2,,,Arb!$AJ$36,),"&gt;="&amp;$B15,OFFSET(Arb!$I$2,,,Arb!$AJ$36,),"&gt;="&amp;$F15,OFFSET(Arb!$AI$2,,,Arb!$AJ$36,),TRUE,OFFSET(Arb!$C$2,,,Arb!$AJ$36,),X$1)</f>
        <v>0</v>
      </c>
      <c r="Y15" s="11">
        <f t="shared" ca="1" si="12"/>
        <v>0</v>
      </c>
      <c r="Z15" s="56" t="str">
        <f t="shared" ca="1" si="6"/>
        <v/>
      </c>
      <c r="AA15" s="59" t="str">
        <f>ASB!$AL$67</f>
        <v>发财</v>
      </c>
      <c r="AB15" s="1">
        <f ca="1">COUNTIFS(OFFSET(Arb!$AF$2,,,Arb!$AJ$36,),"&gt;="&amp;$B15,OFFSET(Arb!$I$2,,,Arb!$AJ$36,),"&gt;="&amp;$F15,OFFSET(Arb!$AI$2,,,Arb!$AJ$36,),TRUE,OFFSET(Arb!$C$2,,,Arb!$AJ$36,),AB$1)</f>
        <v>0</v>
      </c>
      <c r="AC15" s="11">
        <f t="shared" ca="1" si="13"/>
        <v>0</v>
      </c>
      <c r="AD15" s="56" t="str">
        <f t="shared" ca="1" si="7"/>
        <v/>
      </c>
      <c r="AE15" s="59" t="str">
        <f>ASB!$AL$67</f>
        <v>发财</v>
      </c>
      <c r="AF15" s="1"/>
      <c r="AI15" s="59"/>
      <c r="AM15" s="59"/>
    </row>
    <row r="16" spans="1:39" x14ac:dyDescent="0.25">
      <c r="A16" s="1">
        <v>500</v>
      </c>
      <c r="B16" s="50">
        <f t="shared" ca="1" si="14"/>
        <v>3.9</v>
      </c>
      <c r="C16" s="1">
        <v>100</v>
      </c>
      <c r="D16" s="51">
        <f t="shared" si="0"/>
        <v>0.47299000000000002</v>
      </c>
      <c r="E16" s="52" t="s">
        <v>44</v>
      </c>
      <c r="F16" s="53">
        <v>10</v>
      </c>
      <c r="G16" s="54" t="s">
        <v>386</v>
      </c>
      <c r="H16" s="786">
        <f ca="1">COUNTIFS(OFFSET(Arb!$AF$2,,,Arb!$AJ$36,),"&gt;="&amp;$B16,OFFSET(Arb!$I$2,,,Arb!$AJ$36,),"&gt;="&amp;$F16,OFFSET(Arb!$AI$2,,,Arb!$AJ$36,),TRUE)</f>
        <v>43</v>
      </c>
      <c r="I16" s="300">
        <f t="shared" ca="1" si="1"/>
        <v>1717</v>
      </c>
      <c r="J16" s="784">
        <f t="shared" ca="1" si="2"/>
        <v>2.5043680838672103E-2</v>
      </c>
      <c r="K16" s="787" t="s">
        <v>760</v>
      </c>
      <c r="L16" s="715">
        <f ca="1">COUNTIFS(OFFSET(Arb!$AF$2,,,Arb!$AJ$36,),"&gt;="&amp;$B16,OFFSET(Arb!$I$2,,,Arb!$AJ$36,),"&gt;="&amp;$F16,OFFSET(Arb!$AI$2,,,Arb!$AJ$36,),TRUE,OFFSET(Arb!$C$2,,,Arb!$AJ$36,),L$1)</f>
        <v>28</v>
      </c>
      <c r="M16" s="300">
        <f t="shared" ca="1" si="9"/>
        <v>809</v>
      </c>
      <c r="N16" s="784">
        <f t="shared" ca="1" si="3"/>
        <v>3.4610630407911E-2</v>
      </c>
      <c r="O16" s="785" t="s">
        <v>760</v>
      </c>
      <c r="P16" s="300">
        <f ca="1">COUNTIFS(OFFSET(Arb!$AF$2,,,Arb!$AJ$36,),"&gt;="&amp;$B16,OFFSET(Arb!$I$2,,,Arb!$AJ$36,),"&gt;="&amp;$F16,OFFSET(Arb!$AI$2,,,Arb!$AJ$36,),TRUE,OFFSET(Arb!$C$2,,,Arb!$AJ$36,),P$1)</f>
        <v>15</v>
      </c>
      <c r="Q16" s="300">
        <f t="shared" ca="1" si="10"/>
        <v>908</v>
      </c>
      <c r="R16" s="784">
        <f t="shared" ca="1" si="4"/>
        <v>1.6519823788546256E-2</v>
      </c>
      <c r="S16" s="785" t="s">
        <v>760</v>
      </c>
      <c r="T16" s="1">
        <f ca="1">COUNTIFS(OFFSET(Arb!$AF$2,,,Arb!$AJ$36,),"&gt;="&amp;$B16,OFFSET(Arb!$I$2,,,Arb!$AJ$36,),"&gt;="&amp;$F16,OFFSET(Arb!$AI$2,,,Arb!$AJ$36,),TRUE,OFFSET(Arb!$C$2,,,Arb!$AJ$36,),T$1)</f>
        <v>0</v>
      </c>
      <c r="U16" s="11">
        <f t="shared" ca="1" si="11"/>
        <v>0</v>
      </c>
      <c r="V16" s="56" t="str">
        <f t="shared" ca="1" si="5"/>
        <v/>
      </c>
      <c r="W16" s="59" t="str">
        <f>ASB!$AL$67</f>
        <v>发财</v>
      </c>
      <c r="X16" s="1">
        <f ca="1">COUNTIFS(OFFSET(Arb!$AF$2,,,Arb!$AJ$36,),"&gt;="&amp;$B16,OFFSET(Arb!$I$2,,,Arb!$AJ$36,),"&gt;="&amp;$F16,OFFSET(Arb!$AI$2,,,Arb!$AJ$36,),TRUE,OFFSET(Arb!$C$2,,,Arb!$AJ$36,),X$1)</f>
        <v>0</v>
      </c>
      <c r="Y16" s="11">
        <f t="shared" ca="1" si="12"/>
        <v>0</v>
      </c>
      <c r="Z16" s="56" t="str">
        <f t="shared" ca="1" si="6"/>
        <v/>
      </c>
      <c r="AA16" s="59" t="str">
        <f>ASB!$AL$67</f>
        <v>发财</v>
      </c>
      <c r="AB16" s="1">
        <f ca="1">COUNTIFS(OFFSET(Arb!$AF$2,,,Arb!$AJ$36,),"&gt;="&amp;$B16,OFFSET(Arb!$I$2,,,Arb!$AJ$36,),"&gt;="&amp;$F16,OFFSET(Arb!$AI$2,,,Arb!$AJ$36,),TRUE,OFFSET(Arb!$C$2,,,Arb!$AJ$36,),AB$1)</f>
        <v>0</v>
      </c>
      <c r="AC16" s="11">
        <f t="shared" ca="1" si="13"/>
        <v>0</v>
      </c>
      <c r="AD16" s="56" t="str">
        <f t="shared" ca="1" si="7"/>
        <v/>
      </c>
      <c r="AE16" s="59" t="str">
        <f>ASB!$AL$67</f>
        <v>发财</v>
      </c>
      <c r="AF16" s="1"/>
      <c r="AI16" s="59"/>
      <c r="AM16" s="59"/>
    </row>
    <row r="17" spans="1:39" x14ac:dyDescent="0.25">
      <c r="A17" s="1">
        <v>500</v>
      </c>
      <c r="B17" s="50">
        <f t="shared" ca="1" si="14"/>
        <v>3.8</v>
      </c>
      <c r="C17" s="1">
        <v>100</v>
      </c>
      <c r="D17" s="51">
        <f t="shared" si="0"/>
        <v>0.47299000000000002</v>
      </c>
      <c r="E17" s="52" t="s">
        <v>44</v>
      </c>
      <c r="F17" s="53">
        <v>10</v>
      </c>
      <c r="G17" s="54" t="s">
        <v>386</v>
      </c>
      <c r="H17" s="377">
        <f ca="1">COUNTIFS(OFFSET(Arb!$AF$2,,,Arb!$AJ$36,),"&gt;="&amp;$B17,OFFSET(Arb!$I$2,,,Arb!$AJ$36,),"&gt;="&amp;$F17,OFFSET(Arb!$AI$2,,,Arb!$AJ$36,),TRUE)</f>
        <v>66</v>
      </c>
      <c r="I17" s="552">
        <f t="shared" ca="1" si="1"/>
        <v>1717</v>
      </c>
      <c r="J17" s="268">
        <f t="shared" ca="1" si="2"/>
        <v>3.8439138031450201E-2</v>
      </c>
      <c r="K17" s="789" t="s">
        <v>761</v>
      </c>
      <c r="L17" s="545">
        <f ca="1">COUNTIFS(OFFSET(Arb!$AF$2,,,Arb!$AJ$36,),"&gt;="&amp;$B17,OFFSET(Arb!$I$2,,,Arb!$AJ$36,),"&gt;="&amp;$F17,OFFSET(Arb!$AI$2,,,Arb!$AJ$36,),TRUE,OFFSET(Arb!$C$2,,,Arb!$AJ$36,),L$1)</f>
        <v>45</v>
      </c>
      <c r="M17" s="552">
        <f t="shared" ca="1" si="9"/>
        <v>809</v>
      </c>
      <c r="N17" s="268">
        <f t="shared" ca="1" si="3"/>
        <v>5.5624227441285541E-2</v>
      </c>
      <c r="O17" s="788" t="s">
        <v>761</v>
      </c>
      <c r="P17" s="300">
        <f ca="1">COUNTIFS(OFFSET(Arb!$AF$2,,,Arb!$AJ$36,),"&gt;="&amp;$B17,OFFSET(Arb!$I$2,,,Arb!$AJ$36,),"&gt;="&amp;$F17,OFFSET(Arb!$AI$2,,,Arb!$AJ$36,),TRUE,OFFSET(Arb!$C$2,,,Arb!$AJ$36,),P$1)</f>
        <v>21</v>
      </c>
      <c r="Q17" s="300">
        <f t="shared" ca="1" si="10"/>
        <v>908</v>
      </c>
      <c r="R17" s="784">
        <f t="shared" ca="1" si="4"/>
        <v>2.3127753303964757E-2</v>
      </c>
      <c r="S17" s="785" t="s">
        <v>760</v>
      </c>
      <c r="T17" s="1">
        <f ca="1">COUNTIFS(OFFSET(Arb!$AF$2,,,Arb!$AJ$36,),"&gt;="&amp;$B17,OFFSET(Arb!$I$2,,,Arb!$AJ$36,),"&gt;="&amp;$F17,OFFSET(Arb!$AI$2,,,Arb!$AJ$36,),TRUE,OFFSET(Arb!$C$2,,,Arb!$AJ$36,),T$1)</f>
        <v>0</v>
      </c>
      <c r="U17" s="11">
        <f t="shared" ca="1" si="11"/>
        <v>0</v>
      </c>
      <c r="V17" s="56" t="str">
        <f t="shared" ca="1" si="5"/>
        <v/>
      </c>
      <c r="W17" s="59" t="str">
        <f>ASB!$AL$67</f>
        <v>发财</v>
      </c>
      <c r="X17" s="1">
        <f ca="1">COUNTIFS(OFFSET(Arb!$AF$2,,,Arb!$AJ$36,),"&gt;="&amp;$B17,OFFSET(Arb!$I$2,,,Arb!$AJ$36,),"&gt;="&amp;$F17,OFFSET(Arb!$AI$2,,,Arb!$AJ$36,),TRUE,OFFSET(Arb!$C$2,,,Arb!$AJ$36,),X$1)</f>
        <v>0</v>
      </c>
      <c r="Y17" s="11">
        <f t="shared" ca="1" si="12"/>
        <v>0</v>
      </c>
      <c r="Z17" s="56" t="str">
        <f t="shared" ca="1" si="6"/>
        <v/>
      </c>
      <c r="AA17" s="59" t="str">
        <f>ASB!$AL$67</f>
        <v>发财</v>
      </c>
      <c r="AB17" s="1">
        <f ca="1">COUNTIFS(OFFSET(Arb!$AF$2,,,Arb!$AJ$36,),"&gt;="&amp;$B17,OFFSET(Arb!$I$2,,,Arb!$AJ$36,),"&gt;="&amp;$F17,OFFSET(Arb!$AI$2,,,Arb!$AJ$36,),TRUE,OFFSET(Arb!$C$2,,,Arb!$AJ$36,),AB$1)</f>
        <v>0</v>
      </c>
      <c r="AC17" s="11">
        <f t="shared" ca="1" si="13"/>
        <v>0</v>
      </c>
      <c r="AD17" s="56" t="str">
        <f t="shared" ca="1" si="7"/>
        <v/>
      </c>
      <c r="AE17" s="59" t="str">
        <f>ASB!$AL$67</f>
        <v>发财</v>
      </c>
      <c r="AF17" s="1"/>
      <c r="AI17" s="59"/>
      <c r="AM17" s="59"/>
    </row>
    <row r="18" spans="1:39" x14ac:dyDescent="0.25">
      <c r="A18" s="1">
        <v>500</v>
      </c>
      <c r="B18" s="50">
        <f t="shared" ca="1" si="14"/>
        <v>3.7</v>
      </c>
      <c r="C18" s="1">
        <v>100</v>
      </c>
      <c r="D18" s="51">
        <f t="shared" si="0"/>
        <v>0.47299000000000002</v>
      </c>
      <c r="E18" s="52" t="s">
        <v>44</v>
      </c>
      <c r="F18" s="53">
        <v>10</v>
      </c>
      <c r="G18" s="54" t="s">
        <v>386</v>
      </c>
      <c r="H18" s="377">
        <f ca="1">COUNTIFS(OFFSET(Arb!$AF$2,,,Arb!$AJ$36,),"&gt;="&amp;$B18,OFFSET(Arb!$I$2,,,Arb!$AJ$36,),"&gt;="&amp;$F18,OFFSET(Arb!$AI$2,,,Arb!$AJ$36,),TRUE)</f>
        <v>99</v>
      </c>
      <c r="I18" s="552">
        <f t="shared" ca="1" si="1"/>
        <v>1717</v>
      </c>
      <c r="J18" s="268">
        <f t="shared" ca="1" si="2"/>
        <v>5.7658707047175309E-2</v>
      </c>
      <c r="K18" s="789" t="s">
        <v>761</v>
      </c>
      <c r="L18" s="545">
        <f ca="1">COUNTIFS(OFFSET(Arb!$AF$2,,,Arb!$AJ$36,),"&gt;="&amp;$B18,OFFSET(Arb!$I$2,,,Arb!$AJ$36,),"&gt;="&amp;$F18,OFFSET(Arb!$AI$2,,,Arb!$AJ$36,),TRUE,OFFSET(Arb!$C$2,,,Arb!$AJ$36,),L$1)</f>
        <v>63</v>
      </c>
      <c r="M18" s="552">
        <f t="shared" ca="1" si="9"/>
        <v>809</v>
      </c>
      <c r="N18" s="268">
        <f t="shared" ca="1" si="3"/>
        <v>7.7873918417799753E-2</v>
      </c>
      <c r="O18" s="788" t="s">
        <v>761</v>
      </c>
      <c r="P18" s="552">
        <f ca="1">COUNTIFS(OFFSET(Arb!$AF$2,,,Arb!$AJ$36,),"&gt;="&amp;$B18,OFFSET(Arb!$I$2,,,Arb!$AJ$36,),"&gt;="&amp;$F18,OFFSET(Arb!$AI$2,,,Arb!$AJ$36,),TRUE,OFFSET(Arb!$C$2,,,Arb!$AJ$36,),P$1)</f>
        <v>36</v>
      </c>
      <c r="Q18" s="552">
        <f t="shared" ca="1" si="10"/>
        <v>908</v>
      </c>
      <c r="R18" s="268">
        <f t="shared" ca="1" si="4"/>
        <v>3.9647577092511016E-2</v>
      </c>
      <c r="S18" s="788" t="s">
        <v>761</v>
      </c>
      <c r="T18" s="1">
        <f ca="1">COUNTIFS(OFFSET(Arb!$AF$2,,,Arb!$AJ$36,),"&gt;="&amp;$B18,OFFSET(Arb!$I$2,,,Arb!$AJ$36,),"&gt;="&amp;$F18,OFFSET(Arb!$AI$2,,,Arb!$AJ$36,),TRUE,OFFSET(Arb!$C$2,,,Arb!$AJ$36,),T$1)</f>
        <v>0</v>
      </c>
      <c r="U18" s="11">
        <f t="shared" ca="1" si="11"/>
        <v>0</v>
      </c>
      <c r="V18" s="56" t="str">
        <f t="shared" ca="1" si="5"/>
        <v/>
      </c>
      <c r="W18" s="59" t="str">
        <f>ASB!$AL$67</f>
        <v>发财</v>
      </c>
      <c r="X18" s="1">
        <f ca="1">COUNTIFS(OFFSET(Arb!$AF$2,,,Arb!$AJ$36,),"&gt;="&amp;$B18,OFFSET(Arb!$I$2,,,Arb!$AJ$36,),"&gt;="&amp;$F18,OFFSET(Arb!$AI$2,,,Arb!$AJ$36,),TRUE,OFFSET(Arb!$C$2,,,Arb!$AJ$36,),X$1)</f>
        <v>0</v>
      </c>
      <c r="Y18" s="11">
        <f t="shared" ca="1" si="12"/>
        <v>0</v>
      </c>
      <c r="Z18" s="56" t="str">
        <f t="shared" ca="1" si="6"/>
        <v/>
      </c>
      <c r="AA18" s="59" t="str">
        <f>ASB!$AL$67</f>
        <v>发财</v>
      </c>
      <c r="AB18" s="1">
        <f ca="1">COUNTIFS(OFFSET(Arb!$AF$2,,,Arb!$AJ$36,),"&gt;="&amp;$B18,OFFSET(Arb!$I$2,,,Arb!$AJ$36,),"&gt;="&amp;$F18,OFFSET(Arb!$AI$2,,,Arb!$AJ$36,),TRUE,OFFSET(Arb!$C$2,,,Arb!$AJ$36,),AB$1)</f>
        <v>0</v>
      </c>
      <c r="AC18" s="11">
        <f t="shared" ca="1" si="13"/>
        <v>0</v>
      </c>
      <c r="AD18" s="56" t="str">
        <f t="shared" ca="1" si="7"/>
        <v/>
      </c>
      <c r="AE18" s="59" t="str">
        <f>ASB!$AL$67</f>
        <v>发财</v>
      </c>
      <c r="AF18" s="1"/>
      <c r="AI18" s="59"/>
      <c r="AM18" s="59"/>
    </row>
    <row r="19" spans="1:39" x14ac:dyDescent="0.25">
      <c r="A19" s="1">
        <v>500</v>
      </c>
      <c r="B19" s="50">
        <f t="shared" ca="1" si="14"/>
        <v>3.6</v>
      </c>
      <c r="C19" s="11">
        <v>100</v>
      </c>
      <c r="D19" s="51">
        <f t="shared" si="0"/>
        <v>0.47299000000000002</v>
      </c>
      <c r="E19" s="52" t="s">
        <v>44</v>
      </c>
      <c r="F19" s="53">
        <v>10</v>
      </c>
      <c r="G19" s="54" t="s">
        <v>386</v>
      </c>
      <c r="H19" s="377">
        <f ca="1">COUNTIFS(OFFSET(Arb!$AF$2,,,Arb!$AJ$36,),"&gt;="&amp;$B19,OFFSET(Arb!$I$2,,,Arb!$AJ$36,),"&gt;="&amp;$F19,OFFSET(Arb!$AI$2,,,Arb!$AJ$36,),TRUE)</f>
        <v>142</v>
      </c>
      <c r="I19" s="552">
        <f t="shared" ca="1" si="1"/>
        <v>1717</v>
      </c>
      <c r="J19" s="268">
        <f t="shared" ca="1" si="2"/>
        <v>8.2702387885847412E-2</v>
      </c>
      <c r="K19" s="789" t="s">
        <v>761</v>
      </c>
      <c r="L19" s="548">
        <f ca="1">COUNTIFS(OFFSET(Arb!$AF$2,,,Arb!$AJ$36,),"&gt;="&amp;$B19,OFFSET(Arb!$I$2,,,Arb!$AJ$36,),"&gt;="&amp;$F19,OFFSET(Arb!$AI$2,,,Arb!$AJ$36,),TRUE,OFFSET(Arb!$C$2,,,Arb!$AJ$36,),L$1)</f>
        <v>90</v>
      </c>
      <c r="M19" s="551">
        <f t="shared" ca="1" si="9"/>
        <v>809</v>
      </c>
      <c r="N19" s="341">
        <f t="shared" ca="1" si="3"/>
        <v>0.11124845488257108</v>
      </c>
      <c r="O19" s="790" t="s">
        <v>762</v>
      </c>
      <c r="P19" s="552">
        <f ca="1">COUNTIFS(OFFSET(Arb!$AF$2,,,Arb!$AJ$36,),"&gt;="&amp;$B19,OFFSET(Arb!$I$2,,,Arb!$AJ$36,),"&gt;="&amp;$F19,OFFSET(Arb!$AI$2,,,Arb!$AJ$36,),TRUE,OFFSET(Arb!$C$2,,,Arb!$AJ$36,),P$1)</f>
        <v>52</v>
      </c>
      <c r="Q19" s="552">
        <f t="shared" ca="1" si="10"/>
        <v>908</v>
      </c>
      <c r="R19" s="268">
        <f t="shared" ca="1" si="4"/>
        <v>5.7268722466960353E-2</v>
      </c>
      <c r="S19" s="788" t="s">
        <v>761</v>
      </c>
      <c r="T19" s="1">
        <f ca="1">COUNTIFS(OFFSET(Arb!$AF$2,,,Arb!$AJ$36,),"&gt;="&amp;$B19,OFFSET(Arb!$I$2,,,Arb!$AJ$36,),"&gt;="&amp;$F19,OFFSET(Arb!$AI$2,,,Arb!$AJ$36,),TRUE,OFFSET(Arb!$C$2,,,Arb!$AJ$36,),T$1)</f>
        <v>0</v>
      </c>
      <c r="U19" s="11">
        <f t="shared" ca="1" si="11"/>
        <v>0</v>
      </c>
      <c r="V19" s="56" t="str">
        <f t="shared" ca="1" si="5"/>
        <v/>
      </c>
      <c r="W19" s="59" t="str">
        <f>ASB!$AL$67</f>
        <v>发财</v>
      </c>
      <c r="X19" s="1">
        <f ca="1">COUNTIFS(OFFSET(Arb!$AF$2,,,Arb!$AJ$36,),"&gt;="&amp;$B19,OFFSET(Arb!$I$2,,,Arb!$AJ$36,),"&gt;="&amp;$F19,OFFSET(Arb!$AI$2,,,Arb!$AJ$36,),TRUE,OFFSET(Arb!$C$2,,,Arb!$AJ$36,),X$1)</f>
        <v>0</v>
      </c>
      <c r="Y19" s="11">
        <f t="shared" ca="1" si="12"/>
        <v>0</v>
      </c>
      <c r="Z19" s="56" t="str">
        <f t="shared" ca="1" si="6"/>
        <v/>
      </c>
      <c r="AA19" s="59" t="str">
        <f>ASB!$AL$67</f>
        <v>发财</v>
      </c>
      <c r="AB19" s="1">
        <f ca="1">COUNTIFS(OFFSET(Arb!$AF$2,,,Arb!$AJ$36,),"&gt;="&amp;$B19,OFFSET(Arb!$I$2,,,Arb!$AJ$36,),"&gt;="&amp;$F19,OFFSET(Arb!$AI$2,,,Arb!$AJ$36,),TRUE,OFFSET(Arb!$C$2,,,Arb!$AJ$36,),AB$1)</f>
        <v>0</v>
      </c>
      <c r="AC19" s="11">
        <f t="shared" ca="1" si="13"/>
        <v>0</v>
      </c>
      <c r="AD19" s="56" t="str">
        <f t="shared" ca="1" si="7"/>
        <v/>
      </c>
      <c r="AE19" s="59" t="str">
        <f>ASB!$AL$67</f>
        <v>发财</v>
      </c>
      <c r="AF19" s="1"/>
      <c r="AI19" s="59"/>
      <c r="AM19" s="59"/>
    </row>
    <row r="20" spans="1:39" x14ac:dyDescent="0.25">
      <c r="A20" s="1">
        <v>500</v>
      </c>
      <c r="B20" s="50">
        <f t="shared" ca="1" si="14"/>
        <v>3.5</v>
      </c>
      <c r="C20" s="11">
        <v>100</v>
      </c>
      <c r="D20" s="51">
        <f t="shared" si="0"/>
        <v>0.47299000000000002</v>
      </c>
      <c r="E20" s="52" t="s">
        <v>44</v>
      </c>
      <c r="F20" s="53">
        <v>10</v>
      </c>
      <c r="G20" s="54" t="s">
        <v>386</v>
      </c>
      <c r="H20" s="377">
        <f ca="1">COUNTIFS(OFFSET(Arb!$AF$2,,,Arb!$AJ$36,),"&gt;="&amp;$B20,OFFSET(Arb!$I$2,,,Arb!$AJ$36,),"&gt;="&amp;$F20,OFFSET(Arb!$AI$2,,,Arb!$AJ$36,),TRUE)</f>
        <v>189</v>
      </c>
      <c r="I20" s="552">
        <f t="shared" ca="1" si="1"/>
        <v>1717</v>
      </c>
      <c r="J20" s="268">
        <f t="shared" ca="1" si="2"/>
        <v>0.11007571345369831</v>
      </c>
      <c r="K20" s="789" t="s">
        <v>761</v>
      </c>
      <c r="L20" s="548">
        <f ca="1">COUNTIFS(OFFSET(Arb!$AF$2,,,Arb!$AJ$36,),"&gt;="&amp;$B20,OFFSET(Arb!$I$2,,,Arb!$AJ$36,),"&gt;="&amp;$F20,OFFSET(Arb!$AI$2,,,Arb!$AJ$36,),TRUE,OFFSET(Arb!$C$2,,,Arb!$AJ$36,),L$1)</f>
        <v>113</v>
      </c>
      <c r="M20" s="551">
        <f t="shared" ca="1" si="9"/>
        <v>809</v>
      </c>
      <c r="N20" s="341">
        <f t="shared" ca="1" si="3"/>
        <v>0.13967861557478367</v>
      </c>
      <c r="O20" s="790" t="s">
        <v>762</v>
      </c>
      <c r="P20" s="552">
        <f ca="1">COUNTIFS(OFFSET(Arb!$AF$2,,,Arb!$AJ$36,),"&gt;="&amp;$B20,OFFSET(Arb!$I$2,,,Arb!$AJ$36,),"&gt;="&amp;$F20,OFFSET(Arb!$AI$2,,,Arb!$AJ$36,),TRUE,OFFSET(Arb!$C$2,,,Arb!$AJ$36,),P$1)</f>
        <v>76</v>
      </c>
      <c r="Q20" s="552">
        <f t="shared" ca="1" si="10"/>
        <v>908</v>
      </c>
      <c r="R20" s="268">
        <f t="shared" ca="1" si="4"/>
        <v>8.3700440528634359E-2</v>
      </c>
      <c r="S20" s="788" t="s">
        <v>761</v>
      </c>
      <c r="T20" s="1">
        <f ca="1">COUNTIFS(OFFSET(Arb!$AF$2,,,Arb!$AJ$36,),"&gt;="&amp;$B20,OFFSET(Arb!$I$2,,,Arb!$AJ$36,),"&gt;="&amp;$F20,OFFSET(Arb!$AI$2,,,Arb!$AJ$36,),TRUE,OFFSET(Arb!$C$2,,,Arb!$AJ$36,),T$1)</f>
        <v>0</v>
      </c>
      <c r="U20" s="11">
        <f t="shared" ca="1" si="11"/>
        <v>0</v>
      </c>
      <c r="V20" s="56" t="str">
        <f t="shared" ca="1" si="5"/>
        <v/>
      </c>
      <c r="W20" s="59" t="str">
        <f>ASB!$AL$67</f>
        <v>发财</v>
      </c>
      <c r="X20" s="1">
        <f ca="1">COUNTIFS(OFFSET(Arb!$AF$2,,,Arb!$AJ$36,),"&gt;="&amp;$B20,OFFSET(Arb!$I$2,,,Arb!$AJ$36,),"&gt;="&amp;$F20,OFFSET(Arb!$AI$2,,,Arb!$AJ$36,),TRUE,OFFSET(Arb!$C$2,,,Arb!$AJ$36,),X$1)</f>
        <v>0</v>
      </c>
      <c r="Y20" s="11">
        <f t="shared" ca="1" si="12"/>
        <v>0</v>
      </c>
      <c r="Z20" s="56" t="str">
        <f t="shared" ca="1" si="6"/>
        <v/>
      </c>
      <c r="AA20" s="59" t="str">
        <f>ASB!$AL$67</f>
        <v>发财</v>
      </c>
      <c r="AB20" s="1">
        <f ca="1">COUNTIFS(OFFSET(Arb!$AF$2,,,Arb!$AJ$36,),"&gt;="&amp;$B20,OFFSET(Arb!$I$2,,,Arb!$AJ$36,),"&gt;="&amp;$F20,OFFSET(Arb!$AI$2,,,Arb!$AJ$36,),TRUE,OFFSET(Arb!$C$2,,,Arb!$AJ$36,),AB$1)</f>
        <v>0</v>
      </c>
      <c r="AC20" s="11">
        <f t="shared" ca="1" si="13"/>
        <v>0</v>
      </c>
      <c r="AD20" s="56" t="str">
        <f t="shared" ca="1" si="7"/>
        <v/>
      </c>
      <c r="AE20" s="59" t="str">
        <f>ASB!$AL$67</f>
        <v>发财</v>
      </c>
      <c r="AF20" s="1"/>
      <c r="AI20" s="59"/>
      <c r="AM20" s="59"/>
    </row>
    <row r="21" spans="1:39" x14ac:dyDescent="0.25">
      <c r="A21" s="1">
        <v>500</v>
      </c>
      <c r="B21" s="50">
        <f t="shared" ca="1" si="14"/>
        <v>3.4</v>
      </c>
      <c r="C21" s="11">
        <v>100</v>
      </c>
      <c r="D21" s="51">
        <f t="shared" si="0"/>
        <v>0.47299000000000002</v>
      </c>
      <c r="E21" s="52" t="s">
        <v>44</v>
      </c>
      <c r="F21" s="53">
        <v>10</v>
      </c>
      <c r="G21" s="54" t="s">
        <v>386</v>
      </c>
      <c r="H21" s="226">
        <f ca="1">COUNTIFS(OFFSET(Arb!$AF$2,,,Arb!$AJ$36,),"&gt;="&amp;$B21,OFFSET(Arb!$I$2,,,Arb!$AJ$36,),"&gt;="&amp;$F21,OFFSET(Arb!$AI$2,,,Arb!$AJ$36,),TRUE)</f>
        <v>259</v>
      </c>
      <c r="I21" s="551">
        <f t="shared" ca="1" si="1"/>
        <v>1717</v>
      </c>
      <c r="J21" s="341">
        <f t="shared" ca="1" si="2"/>
        <v>0.15084449621432733</v>
      </c>
      <c r="K21" s="791" t="s">
        <v>762</v>
      </c>
      <c r="L21" s="548">
        <f ca="1">COUNTIFS(OFFSET(Arb!$AF$2,,,Arb!$AJ$36,),"&gt;="&amp;$B21,OFFSET(Arb!$I$2,,,Arb!$AJ$36,),"&gt;="&amp;$F21,OFFSET(Arb!$AI$2,,,Arb!$AJ$36,),TRUE,OFFSET(Arb!$C$2,,,Arb!$AJ$36,),L$1)</f>
        <v>148</v>
      </c>
      <c r="M21" s="551">
        <f t="shared" ca="1" si="9"/>
        <v>809</v>
      </c>
      <c r="N21" s="341">
        <f t="shared" ca="1" si="3"/>
        <v>0.18294190358467244</v>
      </c>
      <c r="O21" s="790" t="s">
        <v>762</v>
      </c>
      <c r="P21" s="551">
        <f ca="1">COUNTIFS(OFFSET(Arb!$AF$2,,,Arb!$AJ$36,),"&gt;="&amp;$B21,OFFSET(Arb!$I$2,,,Arb!$AJ$36,),"&gt;="&amp;$F21,OFFSET(Arb!$AI$2,,,Arb!$AJ$36,),TRUE,OFFSET(Arb!$C$2,,,Arb!$AJ$36,),P$1)</f>
        <v>111</v>
      </c>
      <c r="Q21" s="551">
        <f t="shared" ca="1" si="10"/>
        <v>908</v>
      </c>
      <c r="R21" s="341">
        <f t="shared" ca="1" si="4"/>
        <v>0.1222466960352423</v>
      </c>
      <c r="S21" s="790" t="s">
        <v>762</v>
      </c>
      <c r="T21" s="1">
        <f ca="1">COUNTIFS(OFFSET(Arb!$AF$2,,,Arb!$AJ$36,),"&gt;="&amp;$B21,OFFSET(Arb!$I$2,,,Arb!$AJ$36,),"&gt;="&amp;$F21,OFFSET(Arb!$AI$2,,,Arb!$AJ$36,),TRUE,OFFSET(Arb!$C$2,,,Arb!$AJ$36,),T$1)</f>
        <v>0</v>
      </c>
      <c r="U21" s="11">
        <f t="shared" ca="1" si="11"/>
        <v>0</v>
      </c>
      <c r="V21" s="56" t="str">
        <f t="shared" ca="1" si="5"/>
        <v/>
      </c>
      <c r="W21" s="59" t="str">
        <f>ASB!$AL$67</f>
        <v>发财</v>
      </c>
      <c r="X21" s="1">
        <f ca="1">COUNTIFS(OFFSET(Arb!$AF$2,,,Arb!$AJ$36,),"&gt;="&amp;$B21,OFFSET(Arb!$I$2,,,Arb!$AJ$36,),"&gt;="&amp;$F21,OFFSET(Arb!$AI$2,,,Arb!$AJ$36,),TRUE,OFFSET(Arb!$C$2,,,Arb!$AJ$36,),X$1)</f>
        <v>0</v>
      </c>
      <c r="Y21" s="11">
        <f t="shared" ca="1" si="12"/>
        <v>0</v>
      </c>
      <c r="Z21" s="56" t="str">
        <f t="shared" ca="1" si="6"/>
        <v/>
      </c>
      <c r="AA21" s="59" t="str">
        <f>ASB!$AL$67</f>
        <v>发财</v>
      </c>
      <c r="AB21" s="1">
        <f ca="1">COUNTIFS(OFFSET(Arb!$AF$2,,,Arb!$AJ$36,),"&gt;="&amp;$B21,OFFSET(Arb!$I$2,,,Arb!$AJ$36,),"&gt;="&amp;$F21,OFFSET(Arb!$AI$2,,,Arb!$AJ$36,),TRUE,OFFSET(Arb!$C$2,,,Arb!$AJ$36,),AB$1)</f>
        <v>0</v>
      </c>
      <c r="AC21" s="11">
        <f t="shared" ca="1" si="13"/>
        <v>0</v>
      </c>
      <c r="AD21" s="56" t="str">
        <f t="shared" ca="1" si="7"/>
        <v/>
      </c>
      <c r="AE21" s="59" t="str">
        <f>ASB!$AL$67</f>
        <v>发财</v>
      </c>
      <c r="AF21" s="1"/>
      <c r="AI21" s="59"/>
      <c r="AM21" s="59"/>
    </row>
    <row r="22" spans="1:39" x14ac:dyDescent="0.25">
      <c r="A22" s="1">
        <v>500</v>
      </c>
      <c r="B22" s="50">
        <f t="shared" ca="1" si="14"/>
        <v>3.3</v>
      </c>
      <c r="C22" s="11">
        <v>100</v>
      </c>
      <c r="D22" s="51">
        <f t="shared" si="0"/>
        <v>0.47299000000000002</v>
      </c>
      <c r="E22" s="52" t="s">
        <v>44</v>
      </c>
      <c r="F22" s="53">
        <v>10</v>
      </c>
      <c r="G22" s="54" t="s">
        <v>386</v>
      </c>
      <c r="H22" s="226">
        <f ca="1">COUNTIFS(OFFSET(Arb!$AF$2,,,Arb!$AJ$36,),"&gt;="&amp;$B22,OFFSET(Arb!$I$2,,,Arb!$AJ$36,),"&gt;="&amp;$F22,OFFSET(Arb!$AI$2,,,Arb!$AJ$36,),TRUE)</f>
        <v>330</v>
      </c>
      <c r="I22" s="551">
        <f t="shared" ca="1" si="1"/>
        <v>1717</v>
      </c>
      <c r="J22" s="341">
        <f t="shared" ca="1" si="2"/>
        <v>0.19219569015725102</v>
      </c>
      <c r="K22" s="791" t="s">
        <v>762</v>
      </c>
      <c r="L22" s="548">
        <f ca="1">COUNTIFS(OFFSET(Arb!$AF$2,,,Arb!$AJ$36,),"&gt;="&amp;$B22,OFFSET(Arb!$I$2,,,Arb!$AJ$36,),"&gt;="&amp;$F22,OFFSET(Arb!$AI$2,,,Arb!$AJ$36,),TRUE,OFFSET(Arb!$C$2,,,Arb!$AJ$36,),L$1)</f>
        <v>189</v>
      </c>
      <c r="M22" s="551">
        <f t="shared" ca="1" si="9"/>
        <v>809</v>
      </c>
      <c r="N22" s="341">
        <f t="shared" ca="1" si="3"/>
        <v>0.23362175525339926</v>
      </c>
      <c r="O22" s="790" t="s">
        <v>762</v>
      </c>
      <c r="P22" s="551">
        <f ca="1">COUNTIFS(OFFSET(Arb!$AF$2,,,Arb!$AJ$36,),"&gt;="&amp;$B22,OFFSET(Arb!$I$2,,,Arb!$AJ$36,),"&gt;="&amp;$F22,OFFSET(Arb!$AI$2,,,Arb!$AJ$36,),TRUE,OFFSET(Arb!$C$2,,,Arb!$AJ$36,),P$1)</f>
        <v>141</v>
      </c>
      <c r="Q22" s="551">
        <f t="shared" ca="1" si="10"/>
        <v>908</v>
      </c>
      <c r="R22" s="341">
        <f t="shared" ca="1" si="4"/>
        <v>0.15528634361233482</v>
      </c>
      <c r="S22" s="790" t="s">
        <v>762</v>
      </c>
      <c r="T22" s="1">
        <f ca="1">COUNTIFS(OFFSET(Arb!$AF$2,,,Arb!$AJ$36,),"&gt;="&amp;$B22,OFFSET(Arb!$I$2,,,Arb!$AJ$36,),"&gt;="&amp;$F22,OFFSET(Arb!$AI$2,,,Arb!$AJ$36,),TRUE,OFFSET(Arb!$C$2,,,Arb!$AJ$36,),T$1)</f>
        <v>0</v>
      </c>
      <c r="U22" s="11">
        <f t="shared" ca="1" si="11"/>
        <v>0</v>
      </c>
      <c r="V22" s="56" t="str">
        <f t="shared" ca="1" si="5"/>
        <v/>
      </c>
      <c r="W22" s="59" t="str">
        <f>ASB!$AL$67</f>
        <v>发财</v>
      </c>
      <c r="X22" s="1">
        <f ca="1">COUNTIFS(OFFSET(Arb!$AF$2,,,Arb!$AJ$36,),"&gt;="&amp;$B22,OFFSET(Arb!$I$2,,,Arb!$AJ$36,),"&gt;="&amp;$F22,OFFSET(Arb!$AI$2,,,Arb!$AJ$36,),TRUE,OFFSET(Arb!$C$2,,,Arb!$AJ$36,),X$1)</f>
        <v>0</v>
      </c>
      <c r="Y22" s="11">
        <f t="shared" ca="1" si="12"/>
        <v>0</v>
      </c>
      <c r="Z22" s="56" t="str">
        <f t="shared" ca="1" si="6"/>
        <v/>
      </c>
      <c r="AA22" s="59" t="str">
        <f>ASB!$AL$67</f>
        <v>发财</v>
      </c>
      <c r="AB22" s="1">
        <f ca="1">COUNTIFS(OFFSET(Arb!$AF$2,,,Arb!$AJ$36,),"&gt;="&amp;$B22,OFFSET(Arb!$I$2,,,Arb!$AJ$36,),"&gt;="&amp;$F22,OFFSET(Arb!$AI$2,,,Arb!$AJ$36,),TRUE,OFFSET(Arb!$C$2,,,Arb!$AJ$36,),AB$1)</f>
        <v>0</v>
      </c>
      <c r="AC22" s="11">
        <f t="shared" ca="1" si="13"/>
        <v>0</v>
      </c>
      <c r="AD22" s="56" t="str">
        <f t="shared" ca="1" si="7"/>
        <v/>
      </c>
      <c r="AE22" s="59" t="str">
        <f>ASB!$AL$67</f>
        <v>发财</v>
      </c>
      <c r="AF22" s="1"/>
      <c r="AI22" s="59"/>
      <c r="AM22" s="59"/>
    </row>
    <row r="23" spans="1:39" x14ac:dyDescent="0.25">
      <c r="A23" s="1">
        <v>500</v>
      </c>
      <c r="B23" s="50">
        <f t="shared" ca="1" si="14"/>
        <v>3.2</v>
      </c>
      <c r="C23" s="11">
        <v>100</v>
      </c>
      <c r="D23" s="51">
        <f t="shared" si="0"/>
        <v>0.47299000000000002</v>
      </c>
      <c r="E23" s="52" t="s">
        <v>44</v>
      </c>
      <c r="F23" s="53">
        <v>10</v>
      </c>
      <c r="G23" s="54" t="s">
        <v>386</v>
      </c>
      <c r="H23" s="226">
        <f ca="1">COUNTIFS(OFFSET(Arb!$AF$2,,,Arb!$AJ$36,),"&gt;="&amp;$B23,OFFSET(Arb!$I$2,,,Arb!$AJ$36,),"&gt;="&amp;$F23,OFFSET(Arb!$AI$2,,,Arb!$AJ$36,),TRUE)</f>
        <v>409</v>
      </c>
      <c r="I23" s="551">
        <f t="shared" ca="1" si="1"/>
        <v>1717</v>
      </c>
      <c r="J23" s="341">
        <f t="shared" ca="1" si="2"/>
        <v>0.23820617355853232</v>
      </c>
      <c r="K23" s="791" t="s">
        <v>762</v>
      </c>
      <c r="L23" s="548">
        <f ca="1">COUNTIFS(OFFSET(Arb!$AF$2,,,Arb!$AJ$36,),"&gt;="&amp;$B23,OFFSET(Arb!$I$2,,,Arb!$AJ$36,),"&gt;="&amp;$F23,OFFSET(Arb!$AI$2,,,Arb!$AJ$36,),TRUE,OFFSET(Arb!$C$2,,,Arb!$AJ$36,),L$1)</f>
        <v>232</v>
      </c>
      <c r="M23" s="551">
        <f t="shared" ca="1" si="9"/>
        <v>809</v>
      </c>
      <c r="N23" s="341">
        <f t="shared" ca="1" si="3"/>
        <v>0.28677379480840542</v>
      </c>
      <c r="O23" s="790" t="s">
        <v>762</v>
      </c>
      <c r="P23" s="551">
        <f ca="1">COUNTIFS(OFFSET(Arb!$AF$2,,,Arb!$AJ$36,),"&gt;="&amp;$B23,OFFSET(Arb!$I$2,,,Arb!$AJ$36,),"&gt;="&amp;$F23,OFFSET(Arb!$AI$2,,,Arb!$AJ$36,),TRUE,OFFSET(Arb!$C$2,,,Arb!$AJ$36,),P$1)</f>
        <v>177</v>
      </c>
      <c r="Q23" s="551">
        <f t="shared" ca="1" si="10"/>
        <v>908</v>
      </c>
      <c r="R23" s="341">
        <f t="shared" ca="1" si="4"/>
        <v>0.1949339207048458</v>
      </c>
      <c r="S23" s="790" t="s">
        <v>762</v>
      </c>
      <c r="T23" s="1">
        <f ca="1">COUNTIFS(OFFSET(Arb!$AF$2,,,Arb!$AJ$36,),"&gt;="&amp;$B23,OFFSET(Arb!$I$2,,,Arb!$AJ$36,),"&gt;="&amp;$F23,OFFSET(Arb!$AI$2,,,Arb!$AJ$36,),TRUE,OFFSET(Arb!$C$2,,,Arb!$AJ$36,),T$1)</f>
        <v>0</v>
      </c>
      <c r="U23" s="11">
        <f t="shared" ca="1" si="11"/>
        <v>0</v>
      </c>
      <c r="V23" s="56" t="str">
        <f t="shared" ca="1" si="5"/>
        <v/>
      </c>
      <c r="W23" s="59" t="str">
        <f>ASB!$AL$67</f>
        <v>发财</v>
      </c>
      <c r="X23" s="1">
        <f ca="1">COUNTIFS(OFFSET(Arb!$AF$2,,,Arb!$AJ$36,),"&gt;="&amp;$B23,OFFSET(Arb!$I$2,,,Arb!$AJ$36,),"&gt;="&amp;$F23,OFFSET(Arb!$AI$2,,,Arb!$AJ$36,),TRUE,OFFSET(Arb!$C$2,,,Arb!$AJ$36,),X$1)</f>
        <v>0</v>
      </c>
      <c r="Y23" s="11">
        <f t="shared" ca="1" si="12"/>
        <v>0</v>
      </c>
      <c r="Z23" s="56" t="str">
        <f t="shared" ca="1" si="6"/>
        <v/>
      </c>
      <c r="AA23" s="59" t="str">
        <f>ASB!$AL$67</f>
        <v>发财</v>
      </c>
      <c r="AB23" s="1">
        <f ca="1">COUNTIFS(OFFSET(Arb!$AF$2,,,Arb!$AJ$36,),"&gt;="&amp;$B23,OFFSET(Arb!$I$2,,,Arb!$AJ$36,),"&gt;="&amp;$F23,OFFSET(Arb!$AI$2,,,Arb!$AJ$36,),TRUE,OFFSET(Arb!$C$2,,,Arb!$AJ$36,),AB$1)</f>
        <v>0</v>
      </c>
      <c r="AC23" s="11">
        <f t="shared" ca="1" si="13"/>
        <v>0</v>
      </c>
      <c r="AD23" s="56" t="str">
        <f t="shared" ca="1" si="7"/>
        <v/>
      </c>
      <c r="AE23" s="59" t="str">
        <f>ASB!$AL$67</f>
        <v>发财</v>
      </c>
      <c r="AF23" s="1"/>
      <c r="AI23" s="59"/>
      <c r="AM23" s="59"/>
    </row>
    <row r="24" spans="1:39" x14ac:dyDescent="0.25">
      <c r="A24" s="1">
        <v>500</v>
      </c>
      <c r="B24" s="50">
        <f t="shared" ca="1" si="14"/>
        <v>3.1</v>
      </c>
      <c r="C24" s="11">
        <v>100</v>
      </c>
      <c r="D24" s="51">
        <f t="shared" si="0"/>
        <v>0.47299000000000002</v>
      </c>
      <c r="E24" s="52" t="s">
        <v>44</v>
      </c>
      <c r="F24" s="53">
        <v>10</v>
      </c>
      <c r="G24" s="54" t="s">
        <v>386</v>
      </c>
      <c r="H24" s="226">
        <f ca="1">COUNTIFS(OFFSET(Arb!$AF$2,,,Arb!$AJ$36,),"&gt;="&amp;$B24,OFFSET(Arb!$I$2,,,Arb!$AJ$36,),"&gt;="&amp;$F24,OFFSET(Arb!$AI$2,,,Arb!$AJ$36,),TRUE)</f>
        <v>502</v>
      </c>
      <c r="I24" s="551">
        <f t="shared" ca="1" si="1"/>
        <v>1717</v>
      </c>
      <c r="J24" s="341">
        <f t="shared" ca="1" si="2"/>
        <v>0.29237041351193943</v>
      </c>
      <c r="K24" s="791" t="s">
        <v>762</v>
      </c>
      <c r="L24" s="543">
        <f ca="1">COUNTIFS(OFFSET(Arb!$AF$2,,,Arb!$AJ$36,),"&gt;="&amp;$B24,OFFSET(Arb!$I$2,,,Arb!$AJ$36,),"&gt;="&amp;$F24,OFFSET(Arb!$AI$2,,,Arb!$AJ$36,),TRUE,OFFSET(Arb!$C$2,,,Arb!$AJ$36,),L$1)</f>
        <v>275</v>
      </c>
      <c r="M24" s="554">
        <f t="shared" ca="1" si="9"/>
        <v>809</v>
      </c>
      <c r="N24" s="792">
        <f t="shared" ca="1" si="3"/>
        <v>0.33992583436341162</v>
      </c>
      <c r="O24" s="793" t="s">
        <v>763</v>
      </c>
      <c r="P24" s="551">
        <f ca="1">COUNTIFS(OFFSET(Arb!$AF$2,,,Arb!$AJ$36,),"&gt;="&amp;$B24,OFFSET(Arb!$I$2,,,Arb!$AJ$36,),"&gt;="&amp;$F24,OFFSET(Arb!$AI$2,,,Arb!$AJ$36,),TRUE,OFFSET(Arb!$C$2,,,Arb!$AJ$36,),P$1)</f>
        <v>227</v>
      </c>
      <c r="Q24" s="551">
        <f t="shared" ca="1" si="10"/>
        <v>908</v>
      </c>
      <c r="R24" s="341">
        <f t="shared" ca="1" si="4"/>
        <v>0.25</v>
      </c>
      <c r="S24" s="790" t="s">
        <v>762</v>
      </c>
      <c r="T24" s="1">
        <f ca="1">COUNTIFS(OFFSET(Arb!$AF$2,,,Arb!$AJ$36,),"&gt;="&amp;$B24,OFFSET(Arb!$I$2,,,Arb!$AJ$36,),"&gt;="&amp;$F24,OFFSET(Arb!$AI$2,,,Arb!$AJ$36,),TRUE,OFFSET(Arb!$C$2,,,Arb!$AJ$36,),T$1)</f>
        <v>0</v>
      </c>
      <c r="U24" s="11">
        <f t="shared" ca="1" si="11"/>
        <v>0</v>
      </c>
      <c r="V24" s="56" t="str">
        <f t="shared" ca="1" si="5"/>
        <v/>
      </c>
      <c r="W24" s="59" t="str">
        <f>ASB!$AL$67</f>
        <v>发财</v>
      </c>
      <c r="X24" s="1">
        <f ca="1">COUNTIFS(OFFSET(Arb!$AF$2,,,Arb!$AJ$36,),"&gt;="&amp;$B24,OFFSET(Arb!$I$2,,,Arb!$AJ$36,),"&gt;="&amp;$F24,OFFSET(Arb!$AI$2,,,Arb!$AJ$36,),TRUE,OFFSET(Arb!$C$2,,,Arb!$AJ$36,),X$1)</f>
        <v>0</v>
      </c>
      <c r="Y24" s="11">
        <f t="shared" ca="1" si="12"/>
        <v>0</v>
      </c>
      <c r="Z24" s="56" t="str">
        <f t="shared" ca="1" si="6"/>
        <v/>
      </c>
      <c r="AA24" s="59" t="str">
        <f>ASB!$AL$67</f>
        <v>发财</v>
      </c>
      <c r="AB24" s="1">
        <f ca="1">COUNTIFS(OFFSET(Arb!$AF$2,,,Arb!$AJ$36,),"&gt;="&amp;$B24,OFFSET(Arb!$I$2,,,Arb!$AJ$36,),"&gt;="&amp;$F24,OFFSET(Arb!$AI$2,,,Arb!$AJ$36,),TRUE,OFFSET(Arb!$C$2,,,Arb!$AJ$36,),AB$1)</f>
        <v>0</v>
      </c>
      <c r="AC24" s="11">
        <f t="shared" ca="1" si="13"/>
        <v>0</v>
      </c>
      <c r="AD24" s="56" t="str">
        <f t="shared" ca="1" si="7"/>
        <v/>
      </c>
      <c r="AE24" s="59" t="str">
        <f>ASB!$AL$67</f>
        <v>发财</v>
      </c>
      <c r="AF24" s="1"/>
      <c r="AI24" s="59"/>
      <c r="AM24" s="59"/>
    </row>
    <row r="25" spans="1:39" x14ac:dyDescent="0.25">
      <c r="A25" s="1">
        <v>500</v>
      </c>
      <c r="B25" s="50">
        <f t="shared" ca="1" si="14"/>
        <v>3</v>
      </c>
      <c r="C25" s="11">
        <v>100</v>
      </c>
      <c r="D25" s="51">
        <f t="shared" si="0"/>
        <v>0.47299000000000002</v>
      </c>
      <c r="E25" s="52" t="s">
        <v>38</v>
      </c>
      <c r="F25" s="53">
        <v>10</v>
      </c>
      <c r="G25" s="54" t="s">
        <v>386</v>
      </c>
      <c r="H25" s="794">
        <f ca="1">COUNTIFS(OFFSET(Arb!$AF$2,,,Arb!$AJ$36,),"&gt;="&amp;$B25,OFFSET(Arb!$I$2,,,Arb!$AJ$36,),"&gt;="&amp;$F25,OFFSET(Arb!$AI$2,,,Arb!$AJ$36,),TRUE)</f>
        <v>612</v>
      </c>
      <c r="I25" s="554">
        <f t="shared" ca="1" si="1"/>
        <v>1717</v>
      </c>
      <c r="J25" s="792">
        <f t="shared" ca="1" si="2"/>
        <v>0.35643564356435642</v>
      </c>
      <c r="K25" s="795" t="s">
        <v>763</v>
      </c>
      <c r="L25" s="543">
        <f ca="1">COUNTIFS(OFFSET(Arb!$AF$2,,,Arb!$AJ$36,),"&gt;="&amp;$B25,OFFSET(Arb!$I$2,,,Arb!$AJ$36,),"&gt;="&amp;$F25,OFFSET(Arb!$AI$2,,,Arb!$AJ$36,),TRUE,OFFSET(Arb!$C$2,,,Arb!$AJ$36,),L$1)</f>
        <v>319</v>
      </c>
      <c r="M25" s="554">
        <f t="shared" ca="1" si="9"/>
        <v>809</v>
      </c>
      <c r="N25" s="792">
        <f t="shared" ca="1" si="3"/>
        <v>0.39431396786155748</v>
      </c>
      <c r="O25" s="793" t="s">
        <v>763</v>
      </c>
      <c r="P25" s="551">
        <f ca="1">COUNTIFS(OFFSET(Arb!$AF$2,,,Arb!$AJ$36,),"&gt;="&amp;$B25,OFFSET(Arb!$I$2,,,Arb!$AJ$36,),"&gt;="&amp;$F25,OFFSET(Arb!$AI$2,,,Arb!$AJ$36,),TRUE,OFFSET(Arb!$C$2,,,Arb!$AJ$36,),P$1)</f>
        <v>293</v>
      </c>
      <c r="Q25" s="551">
        <f t="shared" ca="1" si="10"/>
        <v>908</v>
      </c>
      <c r="R25" s="341">
        <f t="shared" ca="1" si="4"/>
        <v>0.32268722466960353</v>
      </c>
      <c r="S25" s="790" t="s">
        <v>762</v>
      </c>
      <c r="T25" s="1">
        <f ca="1">COUNTIFS(OFFSET(Arb!$AF$2,,,Arb!$AJ$36,),"&gt;="&amp;$B25,OFFSET(Arb!$I$2,,,Arb!$AJ$36,),"&gt;="&amp;$F25,OFFSET(Arb!$AI$2,,,Arb!$AJ$36,),TRUE,OFFSET(Arb!$C$2,,,Arb!$AJ$36,),T$1)</f>
        <v>0</v>
      </c>
      <c r="U25" s="11">
        <f t="shared" ca="1" si="11"/>
        <v>0</v>
      </c>
      <c r="V25" s="56" t="str">
        <f t="shared" ca="1" si="5"/>
        <v/>
      </c>
      <c r="W25" s="59" t="str">
        <f>ASB!$AL$67</f>
        <v>发财</v>
      </c>
      <c r="X25" s="1">
        <f ca="1">COUNTIFS(OFFSET(Arb!$AF$2,,,Arb!$AJ$36,),"&gt;="&amp;$B25,OFFSET(Arb!$I$2,,,Arb!$AJ$36,),"&gt;="&amp;$F25,OFFSET(Arb!$AI$2,,,Arb!$AJ$36,),TRUE,OFFSET(Arb!$C$2,,,Arb!$AJ$36,),X$1)</f>
        <v>0</v>
      </c>
      <c r="Y25" s="11">
        <f t="shared" ca="1" si="12"/>
        <v>0</v>
      </c>
      <c r="Z25" s="56" t="str">
        <f t="shared" ca="1" si="6"/>
        <v/>
      </c>
      <c r="AA25" s="59" t="str">
        <f>ASB!$AL$67</f>
        <v>发财</v>
      </c>
      <c r="AB25" s="1">
        <f ca="1">COUNTIFS(OFFSET(Arb!$AF$2,,,Arb!$AJ$36,),"&gt;="&amp;$B25,OFFSET(Arb!$I$2,,,Arb!$AJ$36,),"&gt;="&amp;$F25,OFFSET(Arb!$AI$2,,,Arb!$AJ$36,),TRUE,OFFSET(Arb!$C$2,,,Arb!$AJ$36,),AB$1)</f>
        <v>0</v>
      </c>
      <c r="AC25" s="11">
        <f t="shared" ca="1" si="13"/>
        <v>0</v>
      </c>
      <c r="AD25" s="56" t="str">
        <f t="shared" ca="1" si="7"/>
        <v/>
      </c>
      <c r="AE25" s="59" t="str">
        <f>ASB!$AL$67</f>
        <v>发财</v>
      </c>
      <c r="AF25" s="1"/>
      <c r="AI25" s="59"/>
      <c r="AM25" s="59"/>
    </row>
    <row r="26" spans="1:39" x14ac:dyDescent="0.25">
      <c r="A26" s="1">
        <v>500</v>
      </c>
      <c r="B26" s="50">
        <f t="shared" ca="1" si="14"/>
        <v>2.9</v>
      </c>
      <c r="C26" s="11">
        <v>100</v>
      </c>
      <c r="D26" s="51">
        <f t="shared" si="0"/>
        <v>0.47299000000000002</v>
      </c>
      <c r="E26" s="52" t="s">
        <v>38</v>
      </c>
      <c r="F26" s="53">
        <v>10</v>
      </c>
      <c r="G26" s="54" t="s">
        <v>386</v>
      </c>
      <c r="H26" s="794">
        <f ca="1">COUNTIFS(OFFSET(Arb!$AF$2,,,Arb!$AJ$36,),"&gt;="&amp;$B26,OFFSET(Arb!$I$2,,,Arb!$AJ$36,),"&gt;="&amp;$F26,OFFSET(Arb!$AI$2,,,Arb!$AJ$36,),TRUE)</f>
        <v>730</v>
      </c>
      <c r="I26" s="554">
        <f t="shared" ca="1" si="1"/>
        <v>1717</v>
      </c>
      <c r="J26" s="792">
        <f t="shared" ca="1" si="2"/>
        <v>0.42516016307513105</v>
      </c>
      <c r="K26" s="795" t="s">
        <v>763</v>
      </c>
      <c r="L26" s="543">
        <f ca="1">COUNTIFS(OFFSET(Arb!$AF$2,,,Arb!$AJ$36,),"&gt;="&amp;$B26,OFFSET(Arb!$I$2,,,Arb!$AJ$36,),"&gt;="&amp;$F26,OFFSET(Arb!$AI$2,,,Arb!$AJ$36,),TRUE,OFFSET(Arb!$C$2,,,Arb!$AJ$36,),L$1)</f>
        <v>387</v>
      </c>
      <c r="M26" s="554">
        <f t="shared" ca="1" si="9"/>
        <v>809</v>
      </c>
      <c r="N26" s="792">
        <f t="shared" ca="1" si="3"/>
        <v>0.47836835599505562</v>
      </c>
      <c r="O26" s="793" t="s">
        <v>763</v>
      </c>
      <c r="P26" s="554">
        <f ca="1">COUNTIFS(OFFSET(Arb!$AF$2,,,Arb!$AJ$36,),"&gt;="&amp;$B26,OFFSET(Arb!$I$2,,,Arb!$AJ$36,),"&gt;="&amp;$F26,OFFSET(Arb!$AI$2,,,Arb!$AJ$36,),TRUE,OFFSET(Arb!$C$2,,,Arb!$AJ$36,),P$1)</f>
        <v>343</v>
      </c>
      <c r="Q26" s="554">
        <f t="shared" ca="1" si="10"/>
        <v>908</v>
      </c>
      <c r="R26" s="792">
        <f t="shared" ca="1" si="4"/>
        <v>0.3777533039647577</v>
      </c>
      <c r="S26" s="793" t="s">
        <v>763</v>
      </c>
      <c r="T26" s="1">
        <f ca="1">COUNTIFS(OFFSET(Arb!$AF$2,,,Arb!$AJ$36,),"&gt;="&amp;$B26,OFFSET(Arb!$I$2,,,Arb!$AJ$36,),"&gt;="&amp;$F26,OFFSET(Arb!$AI$2,,,Arb!$AJ$36,),TRUE,OFFSET(Arb!$C$2,,,Arb!$AJ$36,),T$1)</f>
        <v>0</v>
      </c>
      <c r="U26" s="11">
        <f t="shared" ca="1" si="11"/>
        <v>0</v>
      </c>
      <c r="V26" s="56" t="str">
        <f t="shared" ca="1" si="5"/>
        <v/>
      </c>
      <c r="W26" s="59" t="str">
        <f>ASB!$AL$67</f>
        <v>发财</v>
      </c>
      <c r="X26" s="1">
        <f ca="1">COUNTIFS(OFFSET(Arb!$AF$2,,,Arb!$AJ$36,),"&gt;="&amp;$B26,OFFSET(Arb!$I$2,,,Arb!$AJ$36,),"&gt;="&amp;$F26,OFFSET(Arb!$AI$2,,,Arb!$AJ$36,),TRUE,OFFSET(Arb!$C$2,,,Arb!$AJ$36,),X$1)</f>
        <v>0</v>
      </c>
      <c r="Y26" s="11">
        <f t="shared" ca="1" si="12"/>
        <v>0</v>
      </c>
      <c r="Z26" s="56" t="str">
        <f t="shared" ca="1" si="6"/>
        <v/>
      </c>
      <c r="AA26" s="59" t="str">
        <f>ASB!$AL$67</f>
        <v>发财</v>
      </c>
      <c r="AB26" s="1">
        <f ca="1">COUNTIFS(OFFSET(Arb!$AF$2,,,Arb!$AJ$36,),"&gt;="&amp;$B26,OFFSET(Arb!$I$2,,,Arb!$AJ$36,),"&gt;="&amp;$F26,OFFSET(Arb!$AI$2,,,Arb!$AJ$36,),TRUE,OFFSET(Arb!$C$2,,,Arb!$AJ$36,),AB$1)</f>
        <v>0</v>
      </c>
      <c r="AC26" s="11">
        <f t="shared" ca="1" si="13"/>
        <v>0</v>
      </c>
      <c r="AD26" s="56" t="str">
        <f t="shared" ca="1" si="7"/>
        <v/>
      </c>
      <c r="AE26" s="59" t="str">
        <f>ASB!$AL$67</f>
        <v>发财</v>
      </c>
      <c r="AF26" s="1"/>
      <c r="AI26" s="59"/>
      <c r="AM26" s="59"/>
    </row>
    <row r="27" spans="1:39" x14ac:dyDescent="0.25">
      <c r="A27" s="1">
        <v>500</v>
      </c>
      <c r="B27" s="50">
        <f t="shared" ca="1" si="14"/>
        <v>2.8</v>
      </c>
      <c r="C27" s="11">
        <v>100</v>
      </c>
      <c r="D27" s="51">
        <f t="shared" si="0"/>
        <v>0.47299000000000002</v>
      </c>
      <c r="E27" s="52" t="s">
        <v>38</v>
      </c>
      <c r="F27" s="53">
        <v>10</v>
      </c>
      <c r="G27" s="54" t="s">
        <v>386</v>
      </c>
      <c r="H27" s="794">
        <f ca="1">COUNTIFS(OFFSET(Arb!$AF$2,,,Arb!$AJ$36,),"&gt;="&amp;$B27,OFFSET(Arb!$I$2,,,Arb!$AJ$36,),"&gt;="&amp;$F27,OFFSET(Arb!$AI$2,,,Arb!$AJ$36,),TRUE)</f>
        <v>856</v>
      </c>
      <c r="I27" s="554">
        <f t="shared" ca="1" si="1"/>
        <v>1717</v>
      </c>
      <c r="J27" s="792">
        <f t="shared" ca="1" si="2"/>
        <v>0.49854397204426326</v>
      </c>
      <c r="K27" s="795" t="s">
        <v>763</v>
      </c>
      <c r="L27" s="543">
        <f ca="1">COUNTIFS(OFFSET(Arb!$AF$2,,,Arb!$AJ$36,),"&gt;="&amp;$B27,OFFSET(Arb!$I$2,,,Arb!$AJ$36,),"&gt;="&amp;$F27,OFFSET(Arb!$AI$2,,,Arb!$AJ$36,),TRUE,OFFSET(Arb!$C$2,,,Arb!$AJ$36,),L$1)</f>
        <v>454</v>
      </c>
      <c r="M27" s="554">
        <f t="shared" ca="1" si="9"/>
        <v>809</v>
      </c>
      <c r="N27" s="792">
        <f t="shared" ca="1" si="3"/>
        <v>0.56118665018541414</v>
      </c>
      <c r="O27" s="793" t="s">
        <v>763</v>
      </c>
      <c r="P27" s="554">
        <f ca="1">COUNTIFS(OFFSET(Arb!$AF$2,,,Arb!$AJ$36,),"&gt;="&amp;$B27,OFFSET(Arb!$I$2,,,Arb!$AJ$36,),"&gt;="&amp;$F27,OFFSET(Arb!$AI$2,,,Arb!$AJ$36,),TRUE,OFFSET(Arb!$C$2,,,Arb!$AJ$36,),P$1)</f>
        <v>402</v>
      </c>
      <c r="Q27" s="554">
        <f t="shared" ca="1" si="10"/>
        <v>908</v>
      </c>
      <c r="R27" s="792">
        <f t="shared" ca="1" si="4"/>
        <v>0.44273127753303965</v>
      </c>
      <c r="S27" s="793" t="s">
        <v>763</v>
      </c>
      <c r="T27" s="1">
        <f ca="1">COUNTIFS(OFFSET(Arb!$AF$2,,,Arb!$AJ$36,),"&gt;="&amp;$B27,OFFSET(Arb!$I$2,,,Arb!$AJ$36,),"&gt;="&amp;$F27,OFFSET(Arb!$AI$2,,,Arb!$AJ$36,),TRUE,OFFSET(Arb!$C$2,,,Arb!$AJ$36,),T$1)</f>
        <v>0</v>
      </c>
      <c r="U27" s="11">
        <f t="shared" ca="1" si="11"/>
        <v>0</v>
      </c>
      <c r="V27" s="56" t="str">
        <f t="shared" ca="1" si="5"/>
        <v/>
      </c>
      <c r="W27" s="59" t="str">
        <f>ASB!$AL$67</f>
        <v>发财</v>
      </c>
      <c r="X27" s="1">
        <f ca="1">COUNTIFS(OFFSET(Arb!$AF$2,,,Arb!$AJ$36,),"&gt;="&amp;$B27,OFFSET(Arb!$I$2,,,Arb!$AJ$36,),"&gt;="&amp;$F27,OFFSET(Arb!$AI$2,,,Arb!$AJ$36,),TRUE,OFFSET(Arb!$C$2,,,Arb!$AJ$36,),X$1)</f>
        <v>0</v>
      </c>
      <c r="Y27" s="11">
        <f t="shared" ca="1" si="12"/>
        <v>0</v>
      </c>
      <c r="Z27" s="56" t="str">
        <f t="shared" ca="1" si="6"/>
        <v/>
      </c>
      <c r="AA27" s="59" t="str">
        <f>ASB!$AL$67</f>
        <v>发财</v>
      </c>
      <c r="AB27" s="1">
        <f ca="1">COUNTIFS(OFFSET(Arb!$AF$2,,,Arb!$AJ$36,),"&gt;="&amp;$B27,OFFSET(Arb!$I$2,,,Arb!$AJ$36,),"&gt;="&amp;$F27,OFFSET(Arb!$AI$2,,,Arb!$AJ$36,),TRUE,OFFSET(Arb!$C$2,,,Arb!$AJ$36,),AB$1)</f>
        <v>0</v>
      </c>
      <c r="AC27" s="11">
        <f t="shared" ca="1" si="13"/>
        <v>0</v>
      </c>
      <c r="AD27" s="56" t="str">
        <f t="shared" ca="1" si="7"/>
        <v/>
      </c>
      <c r="AE27" s="59" t="str">
        <f>ASB!$AL$67</f>
        <v>发财</v>
      </c>
      <c r="AF27" s="1"/>
      <c r="AI27" s="59"/>
      <c r="AM27" s="59"/>
    </row>
    <row r="28" spans="1:39" x14ac:dyDescent="0.25">
      <c r="A28" s="1">
        <v>500</v>
      </c>
      <c r="B28" s="50">
        <f t="shared" ca="1" si="14"/>
        <v>2.7</v>
      </c>
      <c r="C28" s="11">
        <v>100</v>
      </c>
      <c r="D28" s="51">
        <f t="shared" si="0"/>
        <v>0.47299000000000002</v>
      </c>
      <c r="E28" s="52" t="s">
        <v>38</v>
      </c>
      <c r="F28" s="53">
        <v>10</v>
      </c>
      <c r="G28" s="54" t="s">
        <v>386</v>
      </c>
      <c r="H28" s="794">
        <f ca="1">COUNTIFS(OFFSET(Arb!$AF$2,,,Arb!$AJ$36,),"&gt;="&amp;$B28,OFFSET(Arb!$I$2,,,Arb!$AJ$36,),"&gt;="&amp;$F28,OFFSET(Arb!$AI$2,,,Arb!$AJ$36,),TRUE)</f>
        <v>990</v>
      </c>
      <c r="I28" s="554">
        <f t="shared" ref="I28:I38" ca="1" si="15">I$2</f>
        <v>1717</v>
      </c>
      <c r="J28" s="792">
        <f t="shared" ca="1" si="2"/>
        <v>0.57658707047175306</v>
      </c>
      <c r="K28" s="795" t="s">
        <v>763</v>
      </c>
      <c r="L28" s="543">
        <f ca="1">COUNTIFS(OFFSET(Arb!$AF$2,,,Arb!$AJ$36,),"&gt;="&amp;$B28,OFFSET(Arb!$I$2,,,Arb!$AJ$36,),"&gt;="&amp;$F28,OFFSET(Arb!$AI$2,,,Arb!$AJ$36,),TRUE,OFFSET(Arb!$C$2,,,Arb!$AJ$36,),L$1)</f>
        <v>517</v>
      </c>
      <c r="M28" s="554">
        <f t="shared" ca="1" si="9"/>
        <v>809</v>
      </c>
      <c r="N28" s="792">
        <f t="shared" ca="1" si="3"/>
        <v>0.63906056860321381</v>
      </c>
      <c r="O28" s="793" t="s">
        <v>763</v>
      </c>
      <c r="P28" s="554">
        <f ca="1">COUNTIFS(OFFSET(Arb!$AF$2,,,Arb!$AJ$36,),"&gt;="&amp;$B28,OFFSET(Arb!$I$2,,,Arb!$AJ$36,),"&gt;="&amp;$F28,OFFSET(Arb!$AI$2,,,Arb!$AJ$36,),TRUE,OFFSET(Arb!$C$2,,,Arb!$AJ$36,),P$1)</f>
        <v>473</v>
      </c>
      <c r="Q28" s="554">
        <f t="shared" ca="1" si="10"/>
        <v>908</v>
      </c>
      <c r="R28" s="792">
        <f t="shared" ca="1" si="4"/>
        <v>0.52092511013215859</v>
      </c>
      <c r="S28" s="793" t="s">
        <v>763</v>
      </c>
      <c r="T28" s="1">
        <f ca="1">COUNTIFS(OFFSET(Arb!$AF$2,,,Arb!$AJ$36,),"&gt;="&amp;$B28,OFFSET(Arb!$I$2,,,Arb!$AJ$36,),"&gt;="&amp;$F28,OFFSET(Arb!$AI$2,,,Arb!$AJ$36,),TRUE,OFFSET(Arb!$C$2,,,Arb!$AJ$36,),T$1)</f>
        <v>0</v>
      </c>
      <c r="U28" s="11">
        <f t="shared" ca="1" si="11"/>
        <v>0</v>
      </c>
      <c r="V28" s="56" t="str">
        <f t="shared" ca="1" si="5"/>
        <v/>
      </c>
      <c r="W28" s="59" t="str">
        <f>ASB!$AL$67</f>
        <v>发财</v>
      </c>
      <c r="X28" s="1">
        <f ca="1">COUNTIFS(OFFSET(Arb!$AF$2,,,Arb!$AJ$36,),"&gt;="&amp;$B28,OFFSET(Arb!$I$2,,,Arb!$AJ$36,),"&gt;="&amp;$F28,OFFSET(Arb!$AI$2,,,Arb!$AJ$36,),TRUE,OFFSET(Arb!$C$2,,,Arb!$AJ$36,),X$1)</f>
        <v>0</v>
      </c>
      <c r="Y28" s="11">
        <f t="shared" ca="1" si="12"/>
        <v>0</v>
      </c>
      <c r="Z28" s="56" t="str">
        <f t="shared" ca="1" si="6"/>
        <v/>
      </c>
      <c r="AA28" s="59" t="str">
        <f>ASB!$AL$67</f>
        <v>发财</v>
      </c>
      <c r="AB28" s="1">
        <f ca="1">COUNTIFS(OFFSET(Arb!$AF$2,,,Arb!$AJ$36,),"&gt;="&amp;$B28,OFFSET(Arb!$I$2,,,Arb!$AJ$36,),"&gt;="&amp;$F28,OFFSET(Arb!$AI$2,,,Arb!$AJ$36,),TRUE,OFFSET(Arb!$C$2,,,Arb!$AJ$36,),AB$1)</f>
        <v>0</v>
      </c>
      <c r="AC28" s="11">
        <f t="shared" ca="1" si="13"/>
        <v>0</v>
      </c>
      <c r="AD28" s="56" t="str">
        <f t="shared" ca="1" si="7"/>
        <v/>
      </c>
      <c r="AE28" s="59" t="str">
        <f>ASB!$AL$67</f>
        <v>发财</v>
      </c>
      <c r="AF28" s="1"/>
      <c r="AI28" s="59"/>
      <c r="AM28" s="59"/>
    </row>
    <row r="29" spans="1:39" x14ac:dyDescent="0.25">
      <c r="A29" s="1">
        <v>500</v>
      </c>
      <c r="B29" s="50">
        <f t="shared" ca="1" si="14"/>
        <v>2.6</v>
      </c>
      <c r="C29" s="11">
        <v>100</v>
      </c>
      <c r="D29" s="51">
        <f t="shared" si="0"/>
        <v>0.47299000000000002</v>
      </c>
      <c r="E29" s="52" t="s">
        <v>38</v>
      </c>
      <c r="F29" s="53">
        <v>10</v>
      </c>
      <c r="G29" s="54" t="s">
        <v>386</v>
      </c>
      <c r="H29" s="794">
        <f ca="1">COUNTIFS(OFFSET(Arb!$AF$2,,,Arb!$AJ$36,),"&gt;="&amp;$B29,OFFSET(Arb!$I$2,,,Arb!$AJ$36,),"&gt;="&amp;$F29,OFFSET(Arb!$AI$2,,,Arb!$AJ$36,),TRUE)</f>
        <v>1109</v>
      </c>
      <c r="I29" s="554">
        <f t="shared" ca="1" si="15"/>
        <v>1717</v>
      </c>
      <c r="J29" s="792">
        <f t="shared" ca="1" si="2"/>
        <v>0.64589400116482232</v>
      </c>
      <c r="K29" s="795" t="s">
        <v>763</v>
      </c>
      <c r="L29" s="543">
        <f ca="1">COUNTIFS(OFFSET(Arb!$AF$2,,,Arb!$AJ$36,),"&gt;="&amp;$B29,OFFSET(Arb!$I$2,,,Arb!$AJ$36,),"&gt;="&amp;$F29,OFFSET(Arb!$AI$2,,,Arb!$AJ$36,),TRUE,OFFSET(Arb!$C$2,,,Arb!$AJ$36,),L$1)</f>
        <v>569</v>
      </c>
      <c r="M29" s="554">
        <f t="shared" ca="1" si="9"/>
        <v>809</v>
      </c>
      <c r="N29" s="792">
        <f t="shared" ca="1" si="3"/>
        <v>0.70333745364647715</v>
      </c>
      <c r="O29" s="793" t="s">
        <v>763</v>
      </c>
      <c r="P29" s="554">
        <f ca="1">COUNTIFS(OFFSET(Arb!$AF$2,,,Arb!$AJ$36,),"&gt;="&amp;$B29,OFFSET(Arb!$I$2,,,Arb!$AJ$36,),"&gt;="&amp;$F29,OFFSET(Arb!$AI$2,,,Arb!$AJ$36,),TRUE,OFFSET(Arb!$C$2,,,Arb!$AJ$36,),P$1)</f>
        <v>540</v>
      </c>
      <c r="Q29" s="554">
        <f t="shared" ca="1" si="10"/>
        <v>908</v>
      </c>
      <c r="R29" s="792">
        <f t="shared" ca="1" si="4"/>
        <v>0.59471365638766516</v>
      </c>
      <c r="S29" s="793" t="s">
        <v>763</v>
      </c>
      <c r="T29" s="1">
        <f ca="1">COUNTIFS(OFFSET(Arb!$AF$2,,,Arb!$AJ$36,),"&gt;="&amp;$B29,OFFSET(Arb!$I$2,,,Arb!$AJ$36,),"&gt;="&amp;$F29,OFFSET(Arb!$AI$2,,,Arb!$AJ$36,),TRUE,OFFSET(Arb!$C$2,,,Arb!$AJ$36,),T$1)</f>
        <v>0</v>
      </c>
      <c r="U29" s="11">
        <f t="shared" ca="1" si="11"/>
        <v>0</v>
      </c>
      <c r="V29" s="56" t="str">
        <f t="shared" ca="1" si="5"/>
        <v/>
      </c>
      <c r="W29" s="59" t="str">
        <f>ASB!$AL$67</f>
        <v>发财</v>
      </c>
      <c r="X29" s="1">
        <f ca="1">COUNTIFS(OFFSET(Arb!$AF$2,,,Arb!$AJ$36,),"&gt;="&amp;$B29,OFFSET(Arb!$I$2,,,Arb!$AJ$36,),"&gt;="&amp;$F29,OFFSET(Arb!$AI$2,,,Arb!$AJ$36,),TRUE,OFFSET(Arb!$C$2,,,Arb!$AJ$36,),X$1)</f>
        <v>0</v>
      </c>
      <c r="Y29" s="11">
        <f t="shared" ca="1" si="12"/>
        <v>0</v>
      </c>
      <c r="Z29" s="56" t="str">
        <f t="shared" ca="1" si="6"/>
        <v/>
      </c>
      <c r="AA29" s="59" t="str">
        <f>ASB!$AL$67</f>
        <v>发财</v>
      </c>
      <c r="AB29" s="1">
        <f ca="1">COUNTIFS(OFFSET(Arb!$AF$2,,,Arb!$AJ$36,),"&gt;="&amp;$B29,OFFSET(Arb!$I$2,,,Arb!$AJ$36,),"&gt;="&amp;$F29,OFFSET(Arb!$AI$2,,,Arb!$AJ$36,),TRUE,OFFSET(Arb!$C$2,,,Arb!$AJ$36,),AB$1)</f>
        <v>0</v>
      </c>
      <c r="AC29" s="11">
        <f t="shared" ca="1" si="13"/>
        <v>0</v>
      </c>
      <c r="AD29" s="56" t="str">
        <f t="shared" ca="1" si="7"/>
        <v/>
      </c>
      <c r="AE29" s="59" t="str">
        <f>ASB!$AL$67</f>
        <v>发财</v>
      </c>
      <c r="AF29" s="1"/>
      <c r="AI29" s="59"/>
      <c r="AM29" s="59"/>
    </row>
    <row r="30" spans="1:39" x14ac:dyDescent="0.25">
      <c r="A30" s="1">
        <v>500</v>
      </c>
      <c r="B30" s="50">
        <f t="shared" ca="1" si="14"/>
        <v>2.5</v>
      </c>
      <c r="C30" s="11">
        <v>100</v>
      </c>
      <c r="D30" s="51">
        <f t="shared" si="0"/>
        <v>0.47299000000000002</v>
      </c>
      <c r="E30" s="52" t="s">
        <v>38</v>
      </c>
      <c r="F30" s="53">
        <v>10</v>
      </c>
      <c r="G30" s="54" t="s">
        <v>386</v>
      </c>
      <c r="H30" s="794">
        <f ca="1">COUNTIFS(OFFSET(Arb!$AF$2,,,Arb!$AJ$36,),"&gt;="&amp;$B30,OFFSET(Arb!$I$2,,,Arb!$AJ$36,),"&gt;="&amp;$F30,OFFSET(Arb!$AI$2,,,Arb!$AJ$36,),TRUE)</f>
        <v>1227</v>
      </c>
      <c r="I30" s="554">
        <f t="shared" ca="1" si="15"/>
        <v>1717</v>
      </c>
      <c r="J30" s="792">
        <f t="shared" ca="1" si="2"/>
        <v>0.71461852067559695</v>
      </c>
      <c r="K30" s="795" t="s">
        <v>763</v>
      </c>
      <c r="L30" s="543">
        <f ca="1">COUNTIFS(OFFSET(Arb!$AF$2,,,Arb!$AJ$36,),"&gt;="&amp;$B30,OFFSET(Arb!$I$2,,,Arb!$AJ$36,),"&gt;="&amp;$F30,OFFSET(Arb!$AI$2,,,Arb!$AJ$36,),TRUE,OFFSET(Arb!$C$2,,,Arb!$AJ$36,),L$1)</f>
        <v>618</v>
      </c>
      <c r="M30" s="554">
        <f t="shared" ca="1" si="9"/>
        <v>809</v>
      </c>
      <c r="N30" s="792">
        <f t="shared" ca="1" si="3"/>
        <v>0.76390605686032143</v>
      </c>
      <c r="O30" s="793" t="s">
        <v>763</v>
      </c>
      <c r="P30" s="554">
        <f ca="1">COUNTIFS(OFFSET(Arb!$AF$2,,,Arb!$AJ$36,),"&gt;="&amp;$B30,OFFSET(Arb!$I$2,,,Arb!$AJ$36,),"&gt;="&amp;$F30,OFFSET(Arb!$AI$2,,,Arb!$AJ$36,),TRUE,OFFSET(Arb!$C$2,,,Arb!$AJ$36,),P$1)</f>
        <v>609</v>
      </c>
      <c r="Q30" s="554">
        <f t="shared" ca="1" si="10"/>
        <v>908</v>
      </c>
      <c r="R30" s="792">
        <f t="shared" ca="1" si="4"/>
        <v>0.67070484581497802</v>
      </c>
      <c r="S30" s="793" t="s">
        <v>763</v>
      </c>
      <c r="T30" s="1">
        <f ca="1">COUNTIFS(OFFSET(Arb!$AF$2,,,Arb!$AJ$36,),"&gt;="&amp;$B30,OFFSET(Arb!$I$2,,,Arb!$AJ$36,),"&gt;="&amp;$F30,OFFSET(Arb!$AI$2,,,Arb!$AJ$36,),TRUE,OFFSET(Arb!$C$2,,,Arb!$AJ$36,),T$1)</f>
        <v>0</v>
      </c>
      <c r="U30" s="11">
        <f t="shared" ca="1" si="11"/>
        <v>0</v>
      </c>
      <c r="V30" s="56" t="str">
        <f t="shared" ca="1" si="5"/>
        <v/>
      </c>
      <c r="W30" s="59" t="str">
        <f>ASB!$AL$67</f>
        <v>发财</v>
      </c>
      <c r="X30" s="1">
        <f ca="1">COUNTIFS(OFFSET(Arb!$AF$2,,,Arb!$AJ$36,),"&gt;="&amp;$B30,OFFSET(Arb!$I$2,,,Arb!$AJ$36,),"&gt;="&amp;$F30,OFFSET(Arb!$AI$2,,,Arb!$AJ$36,),TRUE,OFFSET(Arb!$C$2,,,Arb!$AJ$36,),X$1)</f>
        <v>0</v>
      </c>
      <c r="Y30" s="11">
        <f t="shared" ca="1" si="12"/>
        <v>0</v>
      </c>
      <c r="Z30" s="56" t="str">
        <f t="shared" ca="1" si="6"/>
        <v/>
      </c>
      <c r="AA30" s="59" t="str">
        <f>ASB!$AL$67</f>
        <v>发财</v>
      </c>
      <c r="AB30" s="1">
        <f ca="1">COUNTIFS(OFFSET(Arb!$AF$2,,,Arb!$AJ$36,),"&gt;="&amp;$B30,OFFSET(Arb!$I$2,,,Arb!$AJ$36,),"&gt;="&amp;$F30,OFFSET(Arb!$AI$2,,,Arb!$AJ$36,),TRUE,OFFSET(Arb!$C$2,,,Arb!$AJ$36,),AB$1)</f>
        <v>0</v>
      </c>
      <c r="AC30" s="11">
        <f t="shared" ca="1" si="13"/>
        <v>0</v>
      </c>
      <c r="AD30" s="56" t="str">
        <f t="shared" ca="1" si="7"/>
        <v/>
      </c>
      <c r="AE30" s="59" t="str">
        <f>ASB!$AL$67</f>
        <v>发财</v>
      </c>
      <c r="AF30" s="1"/>
      <c r="AI30" s="59"/>
      <c r="AM30" s="59"/>
    </row>
    <row r="31" spans="1:39" x14ac:dyDescent="0.25">
      <c r="A31" s="11">
        <v>500</v>
      </c>
      <c r="B31" s="11">
        <v>0</v>
      </c>
      <c r="C31" s="60">
        <f ca="1">47.299/D31</f>
        <v>0.37839200000000001</v>
      </c>
      <c r="D31" s="61">
        <f ca="1">MAX(INT(OFFSET(QG!I1,Arb!AJ16*2,)/12.5),10)*12.5</f>
        <v>125</v>
      </c>
      <c r="E31" s="52" t="s">
        <v>44</v>
      </c>
      <c r="F31" s="53">
        <v>10</v>
      </c>
      <c r="G31" s="54" t="s">
        <v>387</v>
      </c>
      <c r="H31" s="55">
        <f ca="1">COUNTIFS(OFFSET(Arb!$AG$2,,,Arb!$AJ$36,),"&lt;"&amp;$C31,OFFSET(Arb!$I$2,,,Arb!$AJ$36,),"&gt;="&amp;$F31,OFFSET(Arb!$AI$2,,,Arb!$AJ$36,),TRUE)</f>
        <v>0</v>
      </c>
      <c r="I31" s="11">
        <f t="shared" ca="1" si="15"/>
        <v>1717</v>
      </c>
      <c r="J31" s="56">
        <f t="shared" ca="1" si="2"/>
        <v>0</v>
      </c>
      <c r="K31" s="57" t="str">
        <f>ASB!$AL$67</f>
        <v>发财</v>
      </c>
      <c r="L31" s="58">
        <f ca="1">COUNTIFS(OFFSET(Arb!$AG$2,,,Arb!$AJ$36,),"&lt;"&amp;$C31,OFFSET(Arb!$I$2,,,Arb!$AJ$36,),"&gt;="&amp;$F31,OFFSET(Arb!$AI$2,,,Arb!$AJ$36,),TRUE,OFFSET(Arb!$C$2,,,Arb!$AJ$36,),L$1)</f>
        <v>0</v>
      </c>
      <c r="M31" s="11">
        <f t="shared" ca="1" si="9"/>
        <v>809</v>
      </c>
      <c r="N31" s="56">
        <f t="shared" ca="1" si="3"/>
        <v>0</v>
      </c>
      <c r="O31" s="59" t="str">
        <f>ASB!$AL$67</f>
        <v>发财</v>
      </c>
      <c r="P31" s="1">
        <f ca="1">COUNTIFS(OFFSET(Arb!$AG$2,,,Arb!$AJ$36,),"&lt;"&amp;$C31,OFFSET(Arb!$I$2,,,Arb!$AJ$36,),"&gt;="&amp;$F31,OFFSET(Arb!$AI$2,,,Arb!$AJ$36,),TRUE,OFFSET(Arb!$C$2,,,Arb!$AJ$36,),P$1)</f>
        <v>0</v>
      </c>
      <c r="Q31" s="11">
        <f t="shared" ca="1" si="10"/>
        <v>908</v>
      </c>
      <c r="R31" s="56">
        <f t="shared" ca="1" si="4"/>
        <v>0</v>
      </c>
      <c r="S31" s="59" t="str">
        <f>ASB!$AL$67</f>
        <v>发财</v>
      </c>
      <c r="T31" s="1">
        <f ca="1">COUNTIFS(OFFSET(Arb!$AG$2,,,Arb!$AJ$36,),"&lt;"&amp;$C31,OFFSET(Arb!$I$2,,,Arb!$AJ$36,),"&gt;="&amp;$F31,OFFSET(Arb!$AI$2,,,Arb!$AJ$36,),TRUE,OFFSET(Arb!$C$2,,,Arb!$AJ$36,),T$1)</f>
        <v>0</v>
      </c>
      <c r="U31" s="11">
        <f t="shared" ca="1" si="11"/>
        <v>0</v>
      </c>
      <c r="V31" s="56" t="str">
        <f t="shared" ca="1" si="5"/>
        <v/>
      </c>
      <c r="W31" s="59" t="str">
        <f>ASB!$AL$67</f>
        <v>发财</v>
      </c>
      <c r="X31" s="1">
        <f ca="1">COUNTIFS(OFFSET(Arb!$AG$2,,,Arb!$AJ$36,),"&lt;"&amp;$C31,OFFSET(Arb!$I$2,,,Arb!$AJ$36,),"&gt;="&amp;$F31,OFFSET(Arb!$AI$2,,,Arb!$AJ$36,),TRUE,OFFSET(Arb!$C$2,,,Arb!$AJ$36,),X$1)</f>
        <v>0</v>
      </c>
      <c r="Y31" s="11">
        <f t="shared" ca="1" si="12"/>
        <v>0</v>
      </c>
      <c r="Z31" s="56" t="str">
        <f t="shared" ca="1" si="6"/>
        <v/>
      </c>
      <c r="AA31" s="59" t="str">
        <f>ASB!$AL$67</f>
        <v>发财</v>
      </c>
      <c r="AB31" s="1">
        <f ca="1">COUNTIFS(OFFSET(Arb!$AG$2,,,Arb!$AJ$36,),"&lt;"&amp;$C31,OFFSET(Arb!$I$2,,,Arb!$AJ$36,),"&gt;="&amp;$F31,OFFSET(Arb!$AI$2,,,Arb!$AJ$36,),TRUE,OFFSET(Arb!$C$2,,,Arb!$AJ$36,),AB$1)</f>
        <v>0</v>
      </c>
      <c r="AC31" s="11">
        <f t="shared" ca="1" si="13"/>
        <v>0</v>
      </c>
      <c r="AD31" s="56" t="str">
        <f t="shared" ca="1" si="7"/>
        <v/>
      </c>
      <c r="AE31" s="59" t="str">
        <f>ASB!$AL$67</f>
        <v>发财</v>
      </c>
      <c r="AF31" s="1"/>
      <c r="AI31" s="59"/>
      <c r="AM31" s="59"/>
    </row>
    <row r="32" spans="1:39" x14ac:dyDescent="0.25">
      <c r="A32" s="11">
        <v>500</v>
      </c>
      <c r="B32" s="11">
        <v>0</v>
      </c>
      <c r="C32" s="60">
        <f t="shared" ref="C32:C37" ca="1" si="16">47.299/D32</f>
        <v>0.42043555555555556</v>
      </c>
      <c r="D32" s="61">
        <f ca="1">D31-12.5</f>
        <v>112.5</v>
      </c>
      <c r="E32" s="52" t="s">
        <v>44</v>
      </c>
      <c r="F32" s="53">
        <v>10</v>
      </c>
      <c r="G32" s="54" t="s">
        <v>387</v>
      </c>
      <c r="H32" s="55">
        <f ca="1">COUNTIFS(OFFSET(Arb!$AG$2,,,Arb!$AJ$36,),"&lt;"&amp;$C32,OFFSET(Arb!$I$2,,,Arb!$AJ$36,),"&gt;="&amp;$F32,OFFSET(Arb!$AI$2,,,Arb!$AJ$36,),TRUE)</f>
        <v>0</v>
      </c>
      <c r="I32" s="11">
        <f t="shared" ca="1" si="15"/>
        <v>1717</v>
      </c>
      <c r="J32" s="56">
        <f t="shared" ca="1" si="2"/>
        <v>0</v>
      </c>
      <c r="K32" s="57" t="str">
        <f>ASB!$AL$67</f>
        <v>发财</v>
      </c>
      <c r="L32" s="58">
        <f ca="1">COUNTIFS(OFFSET(Arb!$AG$2,,,Arb!$AJ$36,),"&lt;"&amp;$C32,OFFSET(Arb!$I$2,,,Arb!$AJ$36,),"&gt;="&amp;$F32,OFFSET(Arb!$AI$2,,,Arb!$AJ$36,),TRUE,OFFSET(Arb!$C$2,,,Arb!$AJ$36,),L$1)</f>
        <v>0</v>
      </c>
      <c r="M32" s="11">
        <f t="shared" ca="1" si="9"/>
        <v>809</v>
      </c>
      <c r="N32" s="56">
        <f t="shared" ca="1" si="3"/>
        <v>0</v>
      </c>
      <c r="O32" s="59" t="str">
        <f>ASB!$AL$67</f>
        <v>发财</v>
      </c>
      <c r="P32" s="1">
        <f ca="1">COUNTIFS(OFFSET(Arb!$AG$2,,,Arb!$AJ$36,),"&lt;"&amp;$C32,OFFSET(Arb!$I$2,,,Arb!$AJ$36,),"&gt;="&amp;$F32,OFFSET(Arb!$AI$2,,,Arb!$AJ$36,),TRUE,OFFSET(Arb!$C$2,,,Arb!$AJ$36,),P$1)</f>
        <v>0</v>
      </c>
      <c r="Q32" s="11">
        <f t="shared" ca="1" si="10"/>
        <v>908</v>
      </c>
      <c r="R32" s="56">
        <f t="shared" ca="1" si="4"/>
        <v>0</v>
      </c>
      <c r="S32" s="59" t="str">
        <f>ASB!$AL$67</f>
        <v>发财</v>
      </c>
      <c r="T32" s="1">
        <f ca="1">COUNTIFS(OFFSET(Arb!$AG$2,,,Arb!$AJ$36,),"&lt;"&amp;$C32,OFFSET(Arb!$I$2,,,Arb!$AJ$36,),"&gt;="&amp;$F32,OFFSET(Arb!$AI$2,,,Arb!$AJ$36,),TRUE,OFFSET(Arb!$C$2,,,Arb!$AJ$36,),T$1)</f>
        <v>0</v>
      </c>
      <c r="U32" s="11">
        <f t="shared" ca="1" si="11"/>
        <v>0</v>
      </c>
      <c r="V32" s="56" t="str">
        <f t="shared" ca="1" si="5"/>
        <v/>
      </c>
      <c r="W32" s="59" t="str">
        <f>ASB!$AL$67</f>
        <v>发财</v>
      </c>
      <c r="X32" s="1">
        <f ca="1">COUNTIFS(OFFSET(Arb!$AG$2,,,Arb!$AJ$36,),"&lt;"&amp;$C32,OFFSET(Arb!$I$2,,,Arb!$AJ$36,),"&gt;="&amp;$F32,OFFSET(Arb!$AI$2,,,Arb!$AJ$36,),TRUE,OFFSET(Arb!$C$2,,,Arb!$AJ$36,),X$1)</f>
        <v>0</v>
      </c>
      <c r="Y32" s="11">
        <f t="shared" ca="1" si="12"/>
        <v>0</v>
      </c>
      <c r="Z32" s="56" t="str">
        <f t="shared" ca="1" si="6"/>
        <v/>
      </c>
      <c r="AA32" s="59" t="str">
        <f>ASB!$AL$67</f>
        <v>发财</v>
      </c>
      <c r="AB32" s="1">
        <f ca="1">COUNTIFS(OFFSET(Arb!$AG$2,,,Arb!$AJ$36,),"&lt;"&amp;$C32,OFFSET(Arb!$I$2,,,Arb!$AJ$36,),"&gt;="&amp;$F32,OFFSET(Arb!$AI$2,,,Arb!$AJ$36,),TRUE,OFFSET(Arb!$C$2,,,Arb!$AJ$36,),AB$1)</f>
        <v>0</v>
      </c>
      <c r="AC32" s="11">
        <f t="shared" ca="1" si="13"/>
        <v>0</v>
      </c>
      <c r="AD32" s="56" t="str">
        <f t="shared" ca="1" si="7"/>
        <v/>
      </c>
      <c r="AE32" s="59" t="str">
        <f>ASB!$AL$67</f>
        <v>发财</v>
      </c>
      <c r="AF32" s="1"/>
      <c r="AI32" s="59"/>
      <c r="AM32" s="59"/>
    </row>
    <row r="33" spans="1:39" x14ac:dyDescent="0.25">
      <c r="A33" s="11">
        <v>500</v>
      </c>
      <c r="B33" s="11">
        <v>0</v>
      </c>
      <c r="C33" s="60">
        <f t="shared" ca="1" si="16"/>
        <v>0.47299000000000002</v>
      </c>
      <c r="D33" s="61">
        <f t="shared" ref="D33:D37" ca="1" si="17">D32-12.5</f>
        <v>100</v>
      </c>
      <c r="E33" s="52" t="s">
        <v>44</v>
      </c>
      <c r="F33" s="53">
        <v>10</v>
      </c>
      <c r="G33" s="54" t="s">
        <v>387</v>
      </c>
      <c r="H33" s="55">
        <f ca="1">COUNTIFS(OFFSET(Arb!$AG$2,,,Arb!$AJ$36,),"&lt;"&amp;$C33,OFFSET(Arb!$I$2,,,Arb!$AJ$36,),"&gt;="&amp;$F33,OFFSET(Arb!$AI$2,,,Arb!$AJ$36,),TRUE)</f>
        <v>0</v>
      </c>
      <c r="I33" s="11">
        <f t="shared" ca="1" si="15"/>
        <v>1717</v>
      </c>
      <c r="J33" s="56">
        <f t="shared" ca="1" si="2"/>
        <v>0</v>
      </c>
      <c r="K33" s="57" t="str">
        <f>ASB!$AL$67</f>
        <v>发财</v>
      </c>
      <c r="L33" s="58">
        <f ca="1">COUNTIFS(OFFSET(Arb!$AG$2,,,Arb!$AJ$36,),"&lt;"&amp;$C33,OFFSET(Arb!$I$2,,,Arb!$AJ$36,),"&gt;="&amp;$F33,OFFSET(Arb!$AI$2,,,Arb!$AJ$36,),TRUE,OFFSET(Arb!$C$2,,,Arb!$AJ$36,),L$1)</f>
        <v>0</v>
      </c>
      <c r="M33" s="11">
        <f t="shared" ca="1" si="9"/>
        <v>809</v>
      </c>
      <c r="N33" s="56">
        <f t="shared" ca="1" si="3"/>
        <v>0</v>
      </c>
      <c r="O33" s="59" t="str">
        <f>ASB!$AL$67</f>
        <v>发财</v>
      </c>
      <c r="P33" s="1">
        <f ca="1">COUNTIFS(OFFSET(Arb!$AG$2,,,Arb!$AJ$36,),"&lt;"&amp;$C33,OFFSET(Arb!$I$2,,,Arb!$AJ$36,),"&gt;="&amp;$F33,OFFSET(Arb!$AI$2,,,Arb!$AJ$36,),TRUE,OFFSET(Arb!$C$2,,,Arb!$AJ$36,),P$1)</f>
        <v>0</v>
      </c>
      <c r="Q33" s="11">
        <f t="shared" ca="1" si="10"/>
        <v>908</v>
      </c>
      <c r="R33" s="56">
        <f t="shared" ca="1" si="4"/>
        <v>0</v>
      </c>
      <c r="S33" s="59" t="str">
        <f>ASB!$AL$67</f>
        <v>发财</v>
      </c>
      <c r="T33" s="1">
        <f ca="1">COUNTIFS(OFFSET(Arb!$AG$2,,,Arb!$AJ$36,),"&lt;"&amp;$C33,OFFSET(Arb!$I$2,,,Arb!$AJ$36,),"&gt;="&amp;$F33,OFFSET(Arb!$AI$2,,,Arb!$AJ$36,),TRUE,OFFSET(Arb!$C$2,,,Arb!$AJ$36,),T$1)</f>
        <v>0</v>
      </c>
      <c r="U33" s="11">
        <f t="shared" ca="1" si="11"/>
        <v>0</v>
      </c>
      <c r="V33" s="56" t="str">
        <f t="shared" ca="1" si="5"/>
        <v/>
      </c>
      <c r="W33" s="59" t="str">
        <f>ASB!$AL$67</f>
        <v>发财</v>
      </c>
      <c r="X33" s="1">
        <f ca="1">COUNTIFS(OFFSET(Arb!$AG$2,,,Arb!$AJ$36,),"&lt;"&amp;$C33,OFFSET(Arb!$I$2,,,Arb!$AJ$36,),"&gt;="&amp;$F33,OFFSET(Arb!$AI$2,,,Arb!$AJ$36,),TRUE,OFFSET(Arb!$C$2,,,Arb!$AJ$36,),X$1)</f>
        <v>0</v>
      </c>
      <c r="Y33" s="11">
        <f t="shared" ca="1" si="12"/>
        <v>0</v>
      </c>
      <c r="Z33" s="56" t="str">
        <f t="shared" ca="1" si="6"/>
        <v/>
      </c>
      <c r="AA33" s="59" t="str">
        <f>ASB!$AL$67</f>
        <v>发财</v>
      </c>
      <c r="AB33" s="1">
        <f ca="1">COUNTIFS(OFFSET(Arb!$AG$2,,,Arb!$AJ$36,),"&lt;"&amp;$C33,OFFSET(Arb!$I$2,,,Arb!$AJ$36,),"&gt;="&amp;$F33,OFFSET(Arb!$AI$2,,,Arb!$AJ$36,),TRUE,OFFSET(Arb!$C$2,,,Arb!$AJ$36,),AB$1)</f>
        <v>0</v>
      </c>
      <c r="AC33" s="11">
        <f t="shared" ca="1" si="13"/>
        <v>0</v>
      </c>
      <c r="AD33" s="56" t="str">
        <f t="shared" ca="1" si="7"/>
        <v/>
      </c>
      <c r="AE33" s="59" t="str">
        <f>ASB!$AL$67</f>
        <v>发财</v>
      </c>
      <c r="AF33" s="1"/>
      <c r="AI33" s="59"/>
      <c r="AM33" s="59"/>
    </row>
    <row r="34" spans="1:39" x14ac:dyDescent="0.25">
      <c r="A34" s="11">
        <v>500</v>
      </c>
      <c r="B34" s="11">
        <v>0</v>
      </c>
      <c r="C34" s="60">
        <f t="shared" ca="1" si="16"/>
        <v>0.54056000000000004</v>
      </c>
      <c r="D34" s="61">
        <f t="shared" ca="1" si="17"/>
        <v>87.5</v>
      </c>
      <c r="E34" s="52" t="s">
        <v>38</v>
      </c>
      <c r="F34" s="53">
        <v>10</v>
      </c>
      <c r="G34" s="54" t="s">
        <v>387</v>
      </c>
      <c r="H34" s="55">
        <f ca="1">COUNTIFS(OFFSET(Arb!$AG$2,,,Arb!$AJ$36,),"&lt;"&amp;$C34,OFFSET(Arb!$I$2,,,Arb!$AJ$36,),"&gt;="&amp;$F34,OFFSET(Arb!$AI$2,,,Arb!$AJ$36,),TRUE)</f>
        <v>2</v>
      </c>
      <c r="I34" s="11">
        <f t="shared" ca="1" si="15"/>
        <v>1717</v>
      </c>
      <c r="J34" s="56">
        <f t="shared" ca="1" si="2"/>
        <v>1.1648223645894002E-3</v>
      </c>
      <c r="K34" s="57" t="str">
        <f>ASB!$AL$67</f>
        <v>发财</v>
      </c>
      <c r="L34" s="58">
        <f ca="1">COUNTIFS(OFFSET(Arb!$AG$2,,,Arb!$AJ$36,),"&lt;"&amp;$C34,OFFSET(Arb!$I$2,,,Arb!$AJ$36,),"&gt;="&amp;$F34,OFFSET(Arb!$AI$2,,,Arb!$AJ$36,),TRUE,OFFSET(Arb!$C$2,,,Arb!$AJ$36,),L$1)</f>
        <v>2</v>
      </c>
      <c r="M34" s="11">
        <f t="shared" ca="1" si="9"/>
        <v>809</v>
      </c>
      <c r="N34" s="56">
        <f t="shared" ca="1" si="3"/>
        <v>2.472187886279357E-3</v>
      </c>
      <c r="O34" s="59" t="str">
        <f>ASB!$AL$67</f>
        <v>发财</v>
      </c>
      <c r="P34" s="1">
        <f ca="1">COUNTIFS(OFFSET(Arb!$AG$2,,,Arb!$AJ$36,),"&lt;"&amp;$C34,OFFSET(Arb!$I$2,,,Arb!$AJ$36,),"&gt;="&amp;$F34,OFFSET(Arb!$AI$2,,,Arb!$AJ$36,),TRUE,OFFSET(Arb!$C$2,,,Arb!$AJ$36,),P$1)</f>
        <v>0</v>
      </c>
      <c r="Q34" s="11">
        <f t="shared" ca="1" si="10"/>
        <v>908</v>
      </c>
      <c r="R34" s="56">
        <f t="shared" ca="1" si="4"/>
        <v>0</v>
      </c>
      <c r="S34" s="59" t="str">
        <f>ASB!$AL$67</f>
        <v>发财</v>
      </c>
      <c r="T34" s="1">
        <f ca="1">COUNTIFS(OFFSET(Arb!$AG$2,,,Arb!$AJ$36,),"&lt;"&amp;$C34,OFFSET(Arb!$I$2,,,Arb!$AJ$36,),"&gt;="&amp;$F34,OFFSET(Arb!$AI$2,,,Arb!$AJ$36,),TRUE,OFFSET(Arb!$C$2,,,Arb!$AJ$36,),T$1)</f>
        <v>0</v>
      </c>
      <c r="U34" s="11">
        <f t="shared" ca="1" si="11"/>
        <v>0</v>
      </c>
      <c r="V34" s="56" t="str">
        <f t="shared" ca="1" si="5"/>
        <v/>
      </c>
      <c r="W34" s="59" t="str">
        <f>ASB!$AL$67</f>
        <v>发财</v>
      </c>
      <c r="X34" s="1">
        <f ca="1">COUNTIFS(OFFSET(Arb!$AG$2,,,Arb!$AJ$36,),"&lt;"&amp;$C34,OFFSET(Arb!$I$2,,,Arb!$AJ$36,),"&gt;="&amp;$F34,OFFSET(Arb!$AI$2,,,Arb!$AJ$36,),TRUE,OFFSET(Arb!$C$2,,,Arb!$AJ$36,),X$1)</f>
        <v>0</v>
      </c>
      <c r="Y34" s="11">
        <f t="shared" ca="1" si="12"/>
        <v>0</v>
      </c>
      <c r="Z34" s="56" t="str">
        <f t="shared" ca="1" si="6"/>
        <v/>
      </c>
      <c r="AA34" s="59" t="str">
        <f>ASB!$AL$67</f>
        <v>发财</v>
      </c>
      <c r="AB34" s="1">
        <f ca="1">COUNTIFS(OFFSET(Arb!$AG$2,,,Arb!$AJ$36,),"&lt;"&amp;$C34,OFFSET(Arb!$I$2,,,Arb!$AJ$36,),"&gt;="&amp;$F34,OFFSET(Arb!$AI$2,,,Arb!$AJ$36,),TRUE,OFFSET(Arb!$C$2,,,Arb!$AJ$36,),AB$1)</f>
        <v>0</v>
      </c>
      <c r="AC34" s="11">
        <f t="shared" ca="1" si="13"/>
        <v>0</v>
      </c>
      <c r="AD34" s="56" t="str">
        <f t="shared" ca="1" si="7"/>
        <v/>
      </c>
      <c r="AE34" s="59" t="str">
        <f>ASB!$AL$67</f>
        <v>发财</v>
      </c>
      <c r="AF34" s="1"/>
      <c r="AI34" s="59"/>
      <c r="AM34" s="59"/>
    </row>
    <row r="35" spans="1:39" x14ac:dyDescent="0.25">
      <c r="A35" s="11">
        <v>500</v>
      </c>
      <c r="B35" s="11">
        <v>0</v>
      </c>
      <c r="C35" s="60">
        <f t="shared" ca="1" si="16"/>
        <v>0.63065333333333329</v>
      </c>
      <c r="D35" s="61">
        <f t="shared" ca="1" si="17"/>
        <v>75</v>
      </c>
      <c r="E35" s="52" t="s">
        <v>38</v>
      </c>
      <c r="F35" s="53">
        <v>10</v>
      </c>
      <c r="G35" s="54" t="s">
        <v>387</v>
      </c>
      <c r="H35" s="780">
        <f ca="1">COUNTIFS(OFFSET(Arb!$AG$2,,,Arb!$AJ$36,),"&lt;"&amp;$C35,OFFSET(Arb!$I$2,,,Arb!$AJ$36,),"&gt;="&amp;$F35,OFFSET(Arb!$AI$2,,,Arb!$AJ$36,),TRUE)</f>
        <v>10</v>
      </c>
      <c r="I35" s="659">
        <f t="shared" ca="1" si="15"/>
        <v>1717</v>
      </c>
      <c r="J35" s="781">
        <f t="shared" ca="1" si="2"/>
        <v>5.8241118229470003E-3</v>
      </c>
      <c r="K35" s="782" t="s">
        <v>759</v>
      </c>
      <c r="L35" s="715">
        <f ca="1">COUNTIFS(OFFSET(Arb!$AG$2,,,Arb!$AJ$36,),"&lt;"&amp;$C35,OFFSET(Arb!$I$2,,,Arb!$AJ$36,),"&gt;="&amp;$F35,OFFSET(Arb!$AI$2,,,Arb!$AJ$36,),TRUE,OFFSET(Arb!$C$2,,,Arb!$AJ$36,),L$1)</f>
        <v>10</v>
      </c>
      <c r="M35" s="300">
        <f t="shared" ca="1" si="9"/>
        <v>809</v>
      </c>
      <c r="N35" s="784">
        <f t="shared" ca="1" si="3"/>
        <v>1.2360939431396786E-2</v>
      </c>
      <c r="O35" s="785" t="s">
        <v>760</v>
      </c>
      <c r="P35" s="1">
        <f ca="1">COUNTIFS(OFFSET(Arb!$AG$2,,,Arb!$AJ$36,),"&lt;"&amp;$C35,OFFSET(Arb!$I$2,,,Arb!$AJ$36,),"&gt;="&amp;$F35,OFFSET(Arb!$AI$2,,,Arb!$AJ$36,),TRUE,OFFSET(Arb!$C$2,,,Arb!$AJ$36,),P$1)</f>
        <v>0</v>
      </c>
      <c r="Q35" s="11">
        <f t="shared" ca="1" si="10"/>
        <v>908</v>
      </c>
      <c r="R35" s="56">
        <f t="shared" ca="1" si="4"/>
        <v>0</v>
      </c>
      <c r="S35" s="59" t="str">
        <f>ASB!$AL$67</f>
        <v>发财</v>
      </c>
      <c r="T35" s="1">
        <f ca="1">COUNTIFS(OFFSET(Arb!$AG$2,,,Arb!$AJ$36,),"&lt;"&amp;$C35,OFFSET(Arb!$I$2,,,Arb!$AJ$36,),"&gt;="&amp;$F35,OFFSET(Arb!$AI$2,,,Arb!$AJ$36,),TRUE,OFFSET(Arb!$C$2,,,Arb!$AJ$36,),T$1)</f>
        <v>0</v>
      </c>
      <c r="U35" s="11">
        <f t="shared" ca="1" si="11"/>
        <v>0</v>
      </c>
      <c r="V35" s="56" t="str">
        <f t="shared" ca="1" si="5"/>
        <v/>
      </c>
      <c r="W35" s="59" t="str">
        <f>ASB!$AL$67</f>
        <v>发财</v>
      </c>
      <c r="X35" s="1">
        <f ca="1">COUNTIFS(OFFSET(Arb!$AG$2,,,Arb!$AJ$36,),"&lt;"&amp;$C35,OFFSET(Arb!$I$2,,,Arb!$AJ$36,),"&gt;="&amp;$F35,OFFSET(Arb!$AI$2,,,Arb!$AJ$36,),TRUE,OFFSET(Arb!$C$2,,,Arb!$AJ$36,),X$1)</f>
        <v>0</v>
      </c>
      <c r="Y35" s="11">
        <f t="shared" ca="1" si="12"/>
        <v>0</v>
      </c>
      <c r="Z35" s="56" t="str">
        <f t="shared" ca="1" si="6"/>
        <v/>
      </c>
      <c r="AA35" s="59" t="str">
        <f>ASB!$AL$67</f>
        <v>发财</v>
      </c>
      <c r="AB35" s="1">
        <f ca="1">COUNTIFS(OFFSET(Arb!$AG$2,,,Arb!$AJ$36,),"&lt;"&amp;$C35,OFFSET(Arb!$I$2,,,Arb!$AJ$36,),"&gt;="&amp;$F35,OFFSET(Arb!$AI$2,,,Arb!$AJ$36,),TRUE,OFFSET(Arb!$C$2,,,Arb!$AJ$36,),AB$1)</f>
        <v>0</v>
      </c>
      <c r="AC35" s="11">
        <f t="shared" ca="1" si="13"/>
        <v>0</v>
      </c>
      <c r="AD35" s="56" t="str">
        <f t="shared" ca="1" si="7"/>
        <v/>
      </c>
      <c r="AE35" s="59" t="str">
        <f>ASB!$AL$67</f>
        <v>发财</v>
      </c>
      <c r="AF35" s="1"/>
      <c r="AI35" s="59"/>
      <c r="AM35" s="59"/>
    </row>
    <row r="36" spans="1:39" x14ac:dyDescent="0.25">
      <c r="A36" s="11">
        <v>500</v>
      </c>
      <c r="B36" s="11">
        <v>0</v>
      </c>
      <c r="C36" s="60">
        <f t="shared" ca="1" si="16"/>
        <v>0.75678400000000001</v>
      </c>
      <c r="D36" s="61">
        <f t="shared" ca="1" si="17"/>
        <v>62.5</v>
      </c>
      <c r="E36" s="52" t="s">
        <v>38</v>
      </c>
      <c r="F36" s="53">
        <v>10</v>
      </c>
      <c r="G36" s="54" t="s">
        <v>387</v>
      </c>
      <c r="H36" s="786">
        <f ca="1">COUNTIFS(OFFSET(Arb!$AG$2,,,Arb!$AJ$36,),"&lt;"&amp;$C36,OFFSET(Arb!$I$2,,,Arb!$AJ$36,),"&gt;="&amp;$F36,OFFSET(Arb!$AI$2,,,Arb!$AJ$36,),TRUE)</f>
        <v>51</v>
      </c>
      <c r="I36" s="300">
        <f t="shared" ca="1" si="15"/>
        <v>1717</v>
      </c>
      <c r="J36" s="784">
        <f t="shared" ca="1" si="2"/>
        <v>2.9702970297029702E-2</v>
      </c>
      <c r="K36" s="787" t="s">
        <v>760</v>
      </c>
      <c r="L36" s="545">
        <f ca="1">COUNTIFS(OFFSET(Arb!$AG$2,,,Arb!$AJ$36,),"&lt;"&amp;$C36,OFFSET(Arb!$I$2,,,Arb!$AJ$36,),"&gt;="&amp;$F36,OFFSET(Arb!$AI$2,,,Arb!$AJ$36,),TRUE,OFFSET(Arb!$C$2,,,Arb!$AJ$36,),L$1)</f>
        <v>34</v>
      </c>
      <c r="M36" s="552">
        <f t="shared" ca="1" si="9"/>
        <v>809</v>
      </c>
      <c r="N36" s="268">
        <f t="shared" ca="1" si="3"/>
        <v>4.2027194066749075E-2</v>
      </c>
      <c r="O36" s="788" t="s">
        <v>761</v>
      </c>
      <c r="P36" s="300">
        <f ca="1">COUNTIFS(OFFSET(Arb!$AG$2,,,Arb!$AJ$36,),"&lt;"&amp;$C36,OFFSET(Arb!$I$2,,,Arb!$AJ$36,),"&gt;="&amp;$F36,OFFSET(Arb!$AI$2,,,Arb!$AJ$36,),TRUE,OFFSET(Arb!$C$2,,,Arb!$AJ$36,),P$1)</f>
        <v>17</v>
      </c>
      <c r="Q36" s="300">
        <f t="shared" ca="1" si="10"/>
        <v>908</v>
      </c>
      <c r="R36" s="784">
        <f t="shared" ca="1" si="4"/>
        <v>1.8722466960352423E-2</v>
      </c>
      <c r="S36" s="785" t="s">
        <v>760</v>
      </c>
      <c r="T36" s="1">
        <f ca="1">COUNTIFS(OFFSET(Arb!$AG$2,,,Arb!$AJ$36,),"&lt;"&amp;$C36,OFFSET(Arb!$I$2,,,Arb!$AJ$36,),"&gt;="&amp;$F36,OFFSET(Arb!$AI$2,,,Arb!$AJ$36,),TRUE,OFFSET(Arb!$C$2,,,Arb!$AJ$36,),T$1)</f>
        <v>0</v>
      </c>
      <c r="U36" s="11">
        <f t="shared" ca="1" si="11"/>
        <v>0</v>
      </c>
      <c r="V36" s="56" t="str">
        <f t="shared" ca="1" si="5"/>
        <v/>
      </c>
      <c r="W36" s="59" t="str">
        <f>ASB!$AL$67</f>
        <v>发财</v>
      </c>
      <c r="X36" s="1">
        <f ca="1">COUNTIFS(OFFSET(Arb!$AG$2,,,Arb!$AJ$36,),"&lt;"&amp;$C36,OFFSET(Arb!$I$2,,,Arb!$AJ$36,),"&gt;="&amp;$F36,OFFSET(Arb!$AI$2,,,Arb!$AJ$36,),TRUE,OFFSET(Arb!$C$2,,,Arb!$AJ$36,),X$1)</f>
        <v>0</v>
      </c>
      <c r="Y36" s="11">
        <f t="shared" ca="1" si="12"/>
        <v>0</v>
      </c>
      <c r="Z36" s="56" t="str">
        <f t="shared" ca="1" si="6"/>
        <v/>
      </c>
      <c r="AA36" s="59" t="str">
        <f>ASB!$AL$67</f>
        <v>发财</v>
      </c>
      <c r="AB36" s="1">
        <f ca="1">COUNTIFS(OFFSET(Arb!$AG$2,,,Arb!$AJ$36,),"&lt;"&amp;$C36,OFFSET(Arb!$I$2,,,Arb!$AJ$36,),"&gt;="&amp;$F36,OFFSET(Arb!$AI$2,,,Arb!$AJ$36,),TRUE,OFFSET(Arb!$C$2,,,Arb!$AJ$36,),AB$1)</f>
        <v>0</v>
      </c>
      <c r="AC36" s="11">
        <f t="shared" ca="1" si="13"/>
        <v>0</v>
      </c>
      <c r="AD36" s="56" t="str">
        <f t="shared" ca="1" si="7"/>
        <v/>
      </c>
      <c r="AE36" s="59" t="str">
        <f>ASB!$AL$67</f>
        <v>发财</v>
      </c>
      <c r="AF36" s="1"/>
      <c r="AI36" s="59"/>
      <c r="AM36" s="59"/>
    </row>
    <row r="37" spans="1:39" x14ac:dyDescent="0.25">
      <c r="A37" s="11">
        <v>500</v>
      </c>
      <c r="B37" s="11">
        <v>0</v>
      </c>
      <c r="C37" s="60">
        <f t="shared" ca="1" si="16"/>
        <v>0.94598000000000004</v>
      </c>
      <c r="D37" s="61">
        <f t="shared" ca="1" si="17"/>
        <v>50</v>
      </c>
      <c r="E37" s="52" t="s">
        <v>38</v>
      </c>
      <c r="F37" s="53">
        <v>10</v>
      </c>
      <c r="G37" s="54" t="s">
        <v>387</v>
      </c>
      <c r="H37" s="226">
        <f ca="1">COUNTIFS(OFFSET(Arb!$AG$2,,,Arb!$AJ$36,),"&lt;"&amp;$C37,OFFSET(Arb!$I$2,,,Arb!$AJ$36,),"&gt;="&amp;$F37,OFFSET(Arb!$AI$2,,,Arb!$AJ$36,),TRUE)</f>
        <v>261</v>
      </c>
      <c r="I37" s="551">
        <f t="shared" ca="1" si="15"/>
        <v>1717</v>
      </c>
      <c r="J37" s="341">
        <f t="shared" ca="1" si="2"/>
        <v>0.15200931857891672</v>
      </c>
      <c r="K37" s="791" t="s">
        <v>762</v>
      </c>
      <c r="L37" s="548">
        <f ca="1">COUNTIFS(OFFSET(Arb!$AG$2,,,Arb!$AJ$36,),"&lt;"&amp;$C37,OFFSET(Arb!$I$2,,,Arb!$AJ$36,),"&gt;="&amp;$F37,OFFSET(Arb!$AI$2,,,Arb!$AJ$36,),TRUE,OFFSET(Arb!$C$2,,,Arb!$AJ$36,),L$1)</f>
        <v>157</v>
      </c>
      <c r="M37" s="551">
        <f t="shared" ca="1" si="9"/>
        <v>809</v>
      </c>
      <c r="N37" s="341">
        <f t="shared" ca="1" si="3"/>
        <v>0.19406674907292953</v>
      </c>
      <c r="O37" s="790" t="s">
        <v>762</v>
      </c>
      <c r="P37" s="551">
        <f ca="1">COUNTIFS(OFFSET(Arb!$AG$2,,,Arb!$AJ$36,),"&lt;"&amp;$C37,OFFSET(Arb!$I$2,,,Arb!$AJ$36,),"&gt;="&amp;$F37,OFFSET(Arb!$AI$2,,,Arb!$AJ$36,),TRUE,OFFSET(Arb!$C$2,,,Arb!$AJ$36,),P$1)</f>
        <v>104</v>
      </c>
      <c r="Q37" s="551">
        <f t="shared" ca="1" si="10"/>
        <v>908</v>
      </c>
      <c r="R37" s="341">
        <f t="shared" ca="1" si="4"/>
        <v>0.11453744493392071</v>
      </c>
      <c r="S37" s="790" t="s">
        <v>762</v>
      </c>
      <c r="T37" s="1">
        <f ca="1">COUNTIFS(OFFSET(Arb!$AG$2,,,Arb!$AJ$36,),"&lt;"&amp;$C37,OFFSET(Arb!$I$2,,,Arb!$AJ$36,),"&gt;="&amp;$F37,OFFSET(Arb!$AI$2,,,Arb!$AJ$36,),TRUE,OFFSET(Arb!$C$2,,,Arb!$AJ$36,),T$1)</f>
        <v>0</v>
      </c>
      <c r="U37" s="11">
        <f t="shared" ca="1" si="11"/>
        <v>0</v>
      </c>
      <c r="V37" s="56" t="str">
        <f t="shared" ca="1" si="5"/>
        <v/>
      </c>
      <c r="W37" s="59" t="str">
        <f>ASB!$AL$67</f>
        <v>发财</v>
      </c>
      <c r="X37" s="1">
        <f ca="1">COUNTIFS(OFFSET(Arb!$AG$2,,,Arb!$AJ$36,),"&lt;"&amp;$C37,OFFSET(Arb!$I$2,,,Arb!$AJ$36,),"&gt;="&amp;$F37,OFFSET(Arb!$AI$2,,,Arb!$AJ$36,),TRUE,OFFSET(Arb!$C$2,,,Arb!$AJ$36,),X$1)</f>
        <v>0</v>
      </c>
      <c r="Y37" s="11">
        <f t="shared" ca="1" si="12"/>
        <v>0</v>
      </c>
      <c r="Z37" s="56" t="str">
        <f t="shared" ca="1" si="6"/>
        <v/>
      </c>
      <c r="AA37" s="59" t="str">
        <f>ASB!$AL$67</f>
        <v>发财</v>
      </c>
      <c r="AB37" s="1">
        <f ca="1">COUNTIFS(OFFSET(Arb!$AG$2,,,Arb!$AJ$36,),"&lt;"&amp;$C37,OFFSET(Arb!$I$2,,,Arb!$AJ$36,),"&gt;="&amp;$F37,OFFSET(Arb!$AI$2,,,Arb!$AJ$36,),TRUE,OFFSET(Arb!$C$2,,,Arb!$AJ$36,),AB$1)</f>
        <v>0</v>
      </c>
      <c r="AC37" s="11">
        <f t="shared" ca="1" si="13"/>
        <v>0</v>
      </c>
      <c r="AD37" s="56" t="str">
        <f t="shared" ca="1" si="7"/>
        <v/>
      </c>
      <c r="AE37" s="59" t="str">
        <f>ASB!$AL$67</f>
        <v>发财</v>
      </c>
      <c r="AF37" s="1"/>
      <c r="AI37" s="59"/>
      <c r="AM37" s="59"/>
    </row>
    <row r="38" spans="1:39" x14ac:dyDescent="0.25">
      <c r="A38" s="11">
        <v>500</v>
      </c>
      <c r="B38" s="11">
        <v>0</v>
      </c>
      <c r="C38" s="60">
        <f t="shared" ref="C38" ca="1" si="18">47.299/D38</f>
        <v>1.2613066666666666</v>
      </c>
      <c r="D38" s="61">
        <f ca="1">D37-12.5</f>
        <v>37.5</v>
      </c>
      <c r="E38" s="52" t="s">
        <v>38</v>
      </c>
      <c r="F38" s="53">
        <v>10</v>
      </c>
      <c r="G38" s="54" t="s">
        <v>387</v>
      </c>
      <c r="H38" s="794">
        <f ca="1">COUNTIFS(OFFSET(Arb!$AG$2,,,Arb!$AJ$36,),"&lt;"&amp;$C38,OFFSET(Arb!$I$2,,,Arb!$AJ$36,),"&gt;="&amp;$F38,OFFSET(Arb!$AI$2,,,Arb!$AJ$36,),TRUE)</f>
        <v>892</v>
      </c>
      <c r="I38" s="554">
        <f t="shared" ca="1" si="15"/>
        <v>1717</v>
      </c>
      <c r="J38" s="792">
        <f t="shared" ref="J38" ca="1" si="19">IFERROR(H38/I38,"")</f>
        <v>0.51951077460687245</v>
      </c>
      <c r="K38" s="795" t="s">
        <v>763</v>
      </c>
      <c r="L38" s="543">
        <f ca="1">COUNTIFS(OFFSET(Arb!$AG$2,,,Arb!$AJ$36,),"&lt;"&amp;$C38,OFFSET(Arb!$I$2,,,Arb!$AJ$36,),"&gt;="&amp;$F38,OFFSET(Arb!$AI$2,,,Arb!$AJ$36,),TRUE,OFFSET(Arb!$C$2,,,Arb!$AJ$36,),L$1)</f>
        <v>478</v>
      </c>
      <c r="M38" s="554">
        <f t="shared" ca="1" si="9"/>
        <v>809</v>
      </c>
      <c r="N38" s="792">
        <f t="shared" ref="N38" ca="1" si="20">IFERROR(L38/M38,"")</f>
        <v>0.59085290482076636</v>
      </c>
      <c r="O38" s="793" t="s">
        <v>763</v>
      </c>
      <c r="P38" s="554">
        <f ca="1">COUNTIFS(OFFSET(Arb!$AG$2,,,Arb!$AJ$36,),"&lt;"&amp;$C38,OFFSET(Arb!$I$2,,,Arb!$AJ$36,),"&gt;="&amp;$F38,OFFSET(Arb!$AI$2,,,Arb!$AJ$36,),TRUE,OFFSET(Arb!$C$2,,,Arb!$AJ$36,),P$1)</f>
        <v>414</v>
      </c>
      <c r="Q38" s="554">
        <f t="shared" ca="1" si="10"/>
        <v>908</v>
      </c>
      <c r="R38" s="792">
        <f t="shared" ref="R38" ca="1" si="21">IFERROR(P38/Q38,"")</f>
        <v>0.45594713656387664</v>
      </c>
      <c r="S38" s="793" t="s">
        <v>763</v>
      </c>
      <c r="T38" s="1">
        <f ca="1">COUNTIFS(OFFSET(Arb!$AG$2,,,Arb!$AJ$36,),"&lt;"&amp;$C38,OFFSET(Arb!$I$2,,,Arb!$AJ$36,),"&gt;="&amp;$F38,OFFSET(Arb!$AI$2,,,Arb!$AJ$36,),TRUE,OFFSET(Arb!$C$2,,,Arb!$AJ$36,),T$1)</f>
        <v>0</v>
      </c>
      <c r="U38" s="11">
        <f t="shared" ca="1" si="11"/>
        <v>0</v>
      </c>
      <c r="V38" s="56" t="str">
        <f t="shared" ref="V38" ca="1" si="22">IFERROR(T38/U38,"")</f>
        <v/>
      </c>
      <c r="W38" s="59" t="str">
        <f>ASB!$AL$67</f>
        <v>发财</v>
      </c>
      <c r="X38" s="1">
        <f ca="1">COUNTIFS(OFFSET(Arb!$AG$2,,,Arb!$AJ$36,),"&lt;"&amp;$C38,OFFSET(Arb!$I$2,,,Arb!$AJ$36,),"&gt;="&amp;$F38,OFFSET(Arb!$AI$2,,,Arb!$AJ$36,),TRUE,OFFSET(Arb!$C$2,,,Arb!$AJ$36,),X$1)</f>
        <v>0</v>
      </c>
      <c r="Y38" s="11">
        <f t="shared" ca="1" si="12"/>
        <v>0</v>
      </c>
      <c r="Z38" s="56" t="str">
        <f t="shared" ref="Z38" ca="1" si="23">IFERROR(X38/Y38,"")</f>
        <v/>
      </c>
      <c r="AA38" s="59" t="str">
        <f>ASB!$AL$67</f>
        <v>发财</v>
      </c>
      <c r="AB38" s="1">
        <f ca="1">COUNTIFS(OFFSET(Arb!$AG$2,,,Arb!$AJ$36,),"&lt;"&amp;$C38,OFFSET(Arb!$I$2,,,Arb!$AJ$36,),"&gt;="&amp;$F38,OFFSET(Arb!$AI$2,,,Arb!$AJ$36,),TRUE,OFFSET(Arb!$C$2,,,Arb!$AJ$36,),AB$1)</f>
        <v>0</v>
      </c>
      <c r="AC38" s="11">
        <f t="shared" ca="1" si="13"/>
        <v>0</v>
      </c>
      <c r="AD38" s="56" t="str">
        <f t="shared" ref="AD38" ca="1" si="24">IFERROR(AB38/AC38,"")</f>
        <v/>
      </c>
      <c r="AE38" s="59" t="str">
        <f>ASB!$AL$67</f>
        <v>发财</v>
      </c>
      <c r="AF38" s="1"/>
      <c r="AI38" s="59"/>
      <c r="AM38" s="59"/>
    </row>
    <row r="39" spans="1:39" x14ac:dyDescent="0.25">
      <c r="A39" s="4">
        <f ca="1">0.2*MAX(4,ROUNDUP(OFFSET(Time!D1,Arb!AJ16*2,)/3/0.2+0.0001,0))</f>
        <v>1.2000000000000002</v>
      </c>
      <c r="B39" s="11">
        <v>0</v>
      </c>
      <c r="C39" s="11">
        <v>100</v>
      </c>
      <c r="D39" s="51">
        <f t="shared" ref="D39:D45" si="25">47.299/C39</f>
        <v>0.47299000000000002</v>
      </c>
      <c r="E39" s="52" t="s">
        <v>44</v>
      </c>
      <c r="F39" s="53">
        <v>2</v>
      </c>
      <c r="G39" s="54">
        <v>0</v>
      </c>
      <c r="H39" s="55">
        <f ca="1">COUNTIFS(OFFSET(Arb!$H$2,,,Arb!$AJ$36,),"&lt;"&amp;$A39,OFFSET(Arb!$I$2,,,Arb!$AJ$36,),"&gt;="&amp;$F39,OFFSET(Arb!$AI$2,,,Arb!$AJ$36,),TRUE)</f>
        <v>0</v>
      </c>
      <c r="I39" s="11">
        <f ca="1">COUNTIFS(OFFSET(Arb!$I$2,,,Arb!$AJ$36,),"&gt;="&amp;$F39,OFFSET(Arb!$AI$2,,,Arb!$AJ$36,),TRUE)</f>
        <v>1881</v>
      </c>
      <c r="J39" s="56">
        <f t="shared" ref="J39:J62" ca="1" si="26">IFERROR(H39/I39,"")</f>
        <v>0</v>
      </c>
      <c r="K39" s="57" t="str">
        <f>ASB!$AL$67</f>
        <v>发财</v>
      </c>
      <c r="L39" s="58">
        <f ca="1">COUNTIFS(OFFSET(Arb!$H$2,,,Arb!$AJ$36,),"&lt;"&amp;$A39,OFFSET(Arb!$I$2,,,Arb!$AJ$36,),"&gt;="&amp;$F39,OFFSET(Arb!$AI$2,,,Arb!$AJ$36,),TRUE,OFFSET(Arb!$C$2,,,Arb!$AJ$36,),L$1)</f>
        <v>0</v>
      </c>
      <c r="M39" s="11">
        <f ca="1">COUNTIFS(OFFSET(Arb!$C$2,,,Arb!$AJ$36,),L$1,OFFSET(Arb!$I$2,,,Arb!$AJ$36,),"&gt;="&amp;$F39,OFFSET(Arb!$AI$2,,,Arb!$AJ$36,),TRUE)</f>
        <v>887</v>
      </c>
      <c r="N39" s="56">
        <f t="shared" ref="N39:N62" ca="1" si="27">IFERROR(L39/M39,"")</f>
        <v>0</v>
      </c>
      <c r="O39" s="59" t="str">
        <f>ASB!$AL$67</f>
        <v>发财</v>
      </c>
      <c r="P39" s="1">
        <f ca="1">COUNTIFS(OFFSET(Arb!$H$2,,,Arb!$AJ$36,),"&lt;"&amp;$A39,OFFSET(Arb!$I$2,,,Arb!$AJ$36,),"&gt;="&amp;$F39,OFFSET(Arb!$AI$2,,,Arb!$AJ$36,),TRUE,OFFSET(Arb!$C$2,,,Arb!$AJ$36,),P$1)</f>
        <v>0</v>
      </c>
      <c r="Q39" s="11">
        <f ca="1">COUNTIFS(OFFSET(Arb!$C$2,,,Arb!$AJ$36,),P$1,OFFSET(Arb!$I$2,,,Arb!$AJ$36,),"&gt;="&amp;$F39,OFFSET(Arb!$AI$2,,,Arb!$AJ$36,),TRUE)</f>
        <v>994</v>
      </c>
      <c r="R39" s="56">
        <f t="shared" ref="R39:R62" ca="1" si="28">IFERROR(P39/Q39,"")</f>
        <v>0</v>
      </c>
      <c r="S39" s="59" t="str">
        <f>ASB!$AL$67</f>
        <v>发财</v>
      </c>
      <c r="T39" s="1">
        <f ca="1">COUNTIFS(OFFSET(Arb!$H$2,,,Arb!$AJ$36,),"&lt;"&amp;$A39,OFFSET(Arb!$I$2,,,Arb!$AJ$36,),"&gt;="&amp;$F39,OFFSET(Arb!$AI$2,,,Arb!$AJ$36,),TRUE,OFFSET(Arb!$C$2,,,Arb!$AJ$36,),T$1)</f>
        <v>0</v>
      </c>
      <c r="U39" s="11">
        <f ca="1">COUNTIFS(OFFSET(Arb!$C$2,,,Arb!$AJ$36,),T$1,OFFSET(Arb!$I$2,,,Arb!$AJ$36,),"&gt;="&amp;$F39,OFFSET(Arb!$AI$2,,,Arb!$AJ$36,),TRUE)</f>
        <v>0</v>
      </c>
      <c r="V39" s="56" t="str">
        <f t="shared" ref="V39:V62" ca="1" si="29">IFERROR(T39/U39,"")</f>
        <v/>
      </c>
      <c r="W39" s="59" t="str">
        <f>ASB!$AL$67</f>
        <v>发财</v>
      </c>
      <c r="X39" s="1">
        <f ca="1">COUNTIFS(OFFSET(Arb!$H$2,,,Arb!$AJ$36,),"&lt;"&amp;$A39,OFFSET(Arb!$I$2,,,Arb!$AJ$36,),"&gt;="&amp;$F39,OFFSET(Arb!$AI$2,,,Arb!$AJ$36,),TRUE,OFFSET(Arb!$C$2,,,Arb!$AJ$36,),X$1)</f>
        <v>0</v>
      </c>
      <c r="Y39" s="11">
        <f ca="1">COUNTIFS(OFFSET(Arb!$C$2,,,Arb!$AJ$36,),X$1,OFFSET(Arb!$I$2,,,Arb!$AJ$36,),"&gt;="&amp;$F39,OFFSET(Arb!$AI$2,,,Arb!$AJ$36,),TRUE)</f>
        <v>0</v>
      </c>
      <c r="Z39" s="56" t="str">
        <f t="shared" ref="Z39:Z62" ca="1" si="30">IFERROR(X39/Y39,"")</f>
        <v/>
      </c>
      <c r="AA39" s="59" t="str">
        <f>ASB!$AL$67</f>
        <v>发财</v>
      </c>
      <c r="AB39" s="1">
        <f ca="1">COUNTIFS(OFFSET(Arb!$H$2,,,Arb!$AJ$36,),"&lt;"&amp;$A39,OFFSET(Arb!$I$2,,,Arb!$AJ$36,),"&gt;="&amp;$F39,OFFSET(Arb!$AI$2,,,Arb!$AJ$36,),TRUE,OFFSET(Arb!$C$2,,,Arb!$AJ$36,),AB$1)</f>
        <v>0</v>
      </c>
      <c r="AC39" s="11">
        <f ca="1">COUNTIFS(OFFSET(Arb!$C$2,,,Arb!$AJ$36,),AB$1,OFFSET(Arb!$I$2,,,Arb!$AJ$36,),"&gt;="&amp;$F39,OFFSET(Arb!$AI$2,,,Arb!$AJ$36,),TRUE)</f>
        <v>0</v>
      </c>
      <c r="AD39" s="56" t="str">
        <f t="shared" ref="AD39:AD62" ca="1" si="31">IFERROR(AB39/AC39,"")</f>
        <v/>
      </c>
      <c r="AE39" s="59" t="str">
        <f>ASB!$AL$67</f>
        <v>发财</v>
      </c>
      <c r="AF39" s="1"/>
      <c r="AI39" s="59"/>
      <c r="AM39" s="59"/>
    </row>
    <row r="40" spans="1:39" x14ac:dyDescent="0.25">
      <c r="A40" s="4">
        <f ca="1">A39+0.2</f>
        <v>1.4000000000000001</v>
      </c>
      <c r="B40" s="11">
        <v>0</v>
      </c>
      <c r="C40" s="11">
        <v>100</v>
      </c>
      <c r="D40" s="51">
        <f t="shared" si="25"/>
        <v>0.47299000000000002</v>
      </c>
      <c r="E40" s="52" t="s">
        <v>44</v>
      </c>
      <c r="F40" s="53">
        <v>2</v>
      </c>
      <c r="G40" s="54">
        <v>0</v>
      </c>
      <c r="H40" s="55">
        <f ca="1">COUNTIFS(OFFSET(Arb!$H$2,,,Arb!$AJ$36,),"&lt;"&amp;$A40,OFFSET(Arb!$I$2,,,Arb!$AJ$36,),"&gt;="&amp;$F40,OFFSET(Arb!$AI$2,,,Arb!$AJ$36,),TRUE)</f>
        <v>0</v>
      </c>
      <c r="I40" s="11">
        <f t="shared" ref="I40:I45" ca="1" si="32">I$39</f>
        <v>1881</v>
      </c>
      <c r="J40" s="56">
        <f t="shared" ca="1" si="26"/>
        <v>0</v>
      </c>
      <c r="K40" s="57" t="str">
        <f>ASB!$AL$67</f>
        <v>发财</v>
      </c>
      <c r="L40" s="58">
        <f ca="1">COUNTIFS(OFFSET(Arb!$H$2,,,Arb!$AJ$36,),"&lt;"&amp;$A40,OFFSET(Arb!$I$2,,,Arb!$AJ$36,),"&gt;="&amp;$F40,OFFSET(Arb!$AI$2,,,Arb!$AJ$36,),TRUE,OFFSET(Arb!$C$2,,,Arb!$AJ$36,),L$1)</f>
        <v>0</v>
      </c>
      <c r="M40" s="11">
        <f t="shared" ref="M40:M45" ca="1" si="33">M$39</f>
        <v>887</v>
      </c>
      <c r="N40" s="56">
        <f t="shared" ca="1" si="27"/>
        <v>0</v>
      </c>
      <c r="O40" s="59" t="str">
        <f>ASB!$AL$67</f>
        <v>发财</v>
      </c>
      <c r="P40" s="1">
        <f ca="1">COUNTIFS(OFFSET(Arb!$H$2,,,Arb!$AJ$36,),"&lt;"&amp;$A40,OFFSET(Arb!$I$2,,,Arb!$AJ$36,),"&gt;="&amp;$F40,OFFSET(Arb!$AI$2,,,Arb!$AJ$36,),TRUE,OFFSET(Arb!$C$2,,,Arb!$AJ$36,),P$1)</f>
        <v>0</v>
      </c>
      <c r="Q40" s="11">
        <f t="shared" ref="Q40:Q45" ca="1" si="34">Q$39</f>
        <v>994</v>
      </c>
      <c r="R40" s="56">
        <f t="shared" ca="1" si="28"/>
        <v>0</v>
      </c>
      <c r="S40" s="59" t="str">
        <f>ASB!$AL$67</f>
        <v>发财</v>
      </c>
      <c r="T40" s="1">
        <f ca="1">COUNTIFS(OFFSET(Arb!$H$2,,,Arb!$AJ$36,),"&lt;"&amp;$A40,OFFSET(Arb!$I$2,,,Arb!$AJ$36,),"&gt;="&amp;$F40,OFFSET(Arb!$AI$2,,,Arb!$AJ$36,),TRUE,OFFSET(Arb!$C$2,,,Arb!$AJ$36,),T$1)</f>
        <v>0</v>
      </c>
      <c r="U40" s="11">
        <f t="shared" ref="U40:U45" ca="1" si="35">U$39</f>
        <v>0</v>
      </c>
      <c r="V40" s="56" t="str">
        <f t="shared" ca="1" si="29"/>
        <v/>
      </c>
      <c r="W40" s="59" t="str">
        <f>ASB!$AL$67</f>
        <v>发财</v>
      </c>
      <c r="X40" s="1">
        <f ca="1">COUNTIFS(OFFSET(Arb!$H$2,,,Arb!$AJ$36,),"&lt;"&amp;$A40,OFFSET(Arb!$I$2,,,Arb!$AJ$36,),"&gt;="&amp;$F40,OFFSET(Arb!$AI$2,,,Arb!$AJ$36,),TRUE,OFFSET(Arb!$C$2,,,Arb!$AJ$36,),X$1)</f>
        <v>0</v>
      </c>
      <c r="Y40" s="11">
        <f t="shared" ref="Y40:Y45" ca="1" si="36">Y$39</f>
        <v>0</v>
      </c>
      <c r="Z40" s="56" t="str">
        <f t="shared" ca="1" si="30"/>
        <v/>
      </c>
      <c r="AA40" s="59" t="str">
        <f>ASB!$AL$67</f>
        <v>发财</v>
      </c>
      <c r="AB40" s="1">
        <f ca="1">COUNTIFS(OFFSET(Arb!$H$2,,,Arb!$AJ$36,),"&lt;"&amp;$A40,OFFSET(Arb!$I$2,,,Arb!$AJ$36,),"&gt;="&amp;$F40,OFFSET(Arb!$AI$2,,,Arb!$AJ$36,),TRUE,OFFSET(Arb!$C$2,,,Arb!$AJ$36,),AB$1)</f>
        <v>0</v>
      </c>
      <c r="AC40" s="11">
        <f t="shared" ref="AC40:AC45" ca="1" si="37">AC$39</f>
        <v>0</v>
      </c>
      <c r="AD40" s="56" t="str">
        <f t="shared" ca="1" si="31"/>
        <v/>
      </c>
      <c r="AE40" s="59" t="str">
        <f>ASB!$AL$67</f>
        <v>发财</v>
      </c>
      <c r="AF40" s="1"/>
      <c r="AI40" s="59"/>
      <c r="AM40" s="59"/>
    </row>
    <row r="41" spans="1:39" x14ac:dyDescent="0.25">
      <c r="A41" s="4">
        <f t="shared" ref="A41:A45" ca="1" si="38">A40+0.2</f>
        <v>1.6</v>
      </c>
      <c r="B41" s="11">
        <v>0</v>
      </c>
      <c r="C41" s="11">
        <v>100</v>
      </c>
      <c r="D41" s="51">
        <f t="shared" si="25"/>
        <v>0.47299000000000002</v>
      </c>
      <c r="E41" s="52" t="s">
        <v>44</v>
      </c>
      <c r="F41" s="53">
        <v>2</v>
      </c>
      <c r="G41" s="54">
        <v>0</v>
      </c>
      <c r="H41" s="55">
        <f ca="1">COUNTIFS(OFFSET(Arb!$H$2,,,Arb!$AJ$36,),"&lt;"&amp;$A41,OFFSET(Arb!$I$2,,,Arb!$AJ$36,),"&gt;="&amp;$F41,OFFSET(Arb!$AI$2,,,Arb!$AJ$36,),TRUE)</f>
        <v>0</v>
      </c>
      <c r="I41" s="11">
        <f t="shared" ca="1" si="32"/>
        <v>1881</v>
      </c>
      <c r="J41" s="56">
        <f t="shared" ca="1" si="26"/>
        <v>0</v>
      </c>
      <c r="K41" s="57" t="str">
        <f>ASB!$AL$67</f>
        <v>发财</v>
      </c>
      <c r="L41" s="58">
        <f ca="1">COUNTIFS(OFFSET(Arb!$H$2,,,Arb!$AJ$36,),"&lt;"&amp;$A41,OFFSET(Arb!$I$2,,,Arb!$AJ$36,),"&gt;="&amp;$F41,OFFSET(Arb!$AI$2,,,Arb!$AJ$36,),TRUE,OFFSET(Arb!$C$2,,,Arb!$AJ$36,),L$1)</f>
        <v>0</v>
      </c>
      <c r="M41" s="11">
        <f t="shared" ca="1" si="33"/>
        <v>887</v>
      </c>
      <c r="N41" s="56">
        <f t="shared" ca="1" si="27"/>
        <v>0</v>
      </c>
      <c r="O41" s="59" t="str">
        <f>ASB!$AL$67</f>
        <v>发财</v>
      </c>
      <c r="P41" s="1">
        <f ca="1">COUNTIFS(OFFSET(Arb!$H$2,,,Arb!$AJ$36,),"&lt;"&amp;$A41,OFFSET(Arb!$I$2,,,Arb!$AJ$36,),"&gt;="&amp;$F41,OFFSET(Arb!$AI$2,,,Arb!$AJ$36,),TRUE,OFFSET(Arb!$C$2,,,Arb!$AJ$36,),P$1)</f>
        <v>0</v>
      </c>
      <c r="Q41" s="11">
        <f t="shared" ca="1" si="34"/>
        <v>994</v>
      </c>
      <c r="R41" s="56">
        <f t="shared" ca="1" si="28"/>
        <v>0</v>
      </c>
      <c r="S41" s="59" t="str">
        <f>ASB!$AL$67</f>
        <v>发财</v>
      </c>
      <c r="T41" s="1">
        <f ca="1">COUNTIFS(OFFSET(Arb!$H$2,,,Arb!$AJ$36,),"&lt;"&amp;$A41,OFFSET(Arb!$I$2,,,Arb!$AJ$36,),"&gt;="&amp;$F41,OFFSET(Arb!$AI$2,,,Arb!$AJ$36,),TRUE,OFFSET(Arb!$C$2,,,Arb!$AJ$36,),T$1)</f>
        <v>0</v>
      </c>
      <c r="U41" s="11">
        <f t="shared" ca="1" si="35"/>
        <v>0</v>
      </c>
      <c r="V41" s="56" t="str">
        <f t="shared" ca="1" si="29"/>
        <v/>
      </c>
      <c r="W41" s="59" t="str">
        <f>ASB!$AL$67</f>
        <v>发财</v>
      </c>
      <c r="X41" s="1">
        <f ca="1">COUNTIFS(OFFSET(Arb!$H$2,,,Arb!$AJ$36,),"&lt;"&amp;$A41,OFFSET(Arb!$I$2,,,Arb!$AJ$36,),"&gt;="&amp;$F41,OFFSET(Arb!$AI$2,,,Arb!$AJ$36,),TRUE,OFFSET(Arb!$C$2,,,Arb!$AJ$36,),X$1)</f>
        <v>0</v>
      </c>
      <c r="Y41" s="11">
        <f t="shared" ca="1" si="36"/>
        <v>0</v>
      </c>
      <c r="Z41" s="56" t="str">
        <f t="shared" ca="1" si="30"/>
        <v/>
      </c>
      <c r="AA41" s="59" t="str">
        <f>ASB!$AL$67</f>
        <v>发财</v>
      </c>
      <c r="AB41" s="1">
        <f ca="1">COUNTIFS(OFFSET(Arb!$H$2,,,Arb!$AJ$36,),"&lt;"&amp;$A41,OFFSET(Arb!$I$2,,,Arb!$AJ$36,),"&gt;="&amp;$F41,OFFSET(Arb!$AI$2,,,Arb!$AJ$36,),TRUE,OFFSET(Arb!$C$2,,,Arb!$AJ$36,),AB$1)</f>
        <v>0</v>
      </c>
      <c r="AC41" s="11">
        <f t="shared" ca="1" si="37"/>
        <v>0</v>
      </c>
      <c r="AD41" s="56" t="str">
        <f t="shared" ca="1" si="31"/>
        <v/>
      </c>
      <c r="AE41" s="59" t="str">
        <f>ASB!$AL$67</f>
        <v>发财</v>
      </c>
      <c r="AF41" s="1"/>
      <c r="AI41" s="59"/>
      <c r="AM41" s="59"/>
    </row>
    <row r="42" spans="1:39" x14ac:dyDescent="0.25">
      <c r="A42" s="4">
        <f t="shared" ca="1" si="38"/>
        <v>1.8</v>
      </c>
      <c r="B42" s="11">
        <v>0</v>
      </c>
      <c r="C42" s="11">
        <v>100</v>
      </c>
      <c r="D42" s="51">
        <f t="shared" si="25"/>
        <v>0.47299000000000002</v>
      </c>
      <c r="E42" s="52" t="s">
        <v>38</v>
      </c>
      <c r="F42" s="53">
        <v>2</v>
      </c>
      <c r="G42" s="54">
        <v>0</v>
      </c>
      <c r="H42" s="55">
        <f ca="1">COUNTIFS(OFFSET(Arb!$H$2,,,Arb!$AJ$36,),"&lt;"&amp;$A42,OFFSET(Arb!$I$2,,,Arb!$AJ$36,),"&gt;="&amp;$F42,OFFSET(Arb!$AI$2,,,Arb!$AJ$36,),TRUE)</f>
        <v>0</v>
      </c>
      <c r="I42" s="11">
        <f t="shared" ca="1" si="32"/>
        <v>1881</v>
      </c>
      <c r="J42" s="56">
        <f t="shared" ca="1" si="26"/>
        <v>0</v>
      </c>
      <c r="K42" s="57" t="str">
        <f>ASB!$AL$67</f>
        <v>发财</v>
      </c>
      <c r="L42" s="58">
        <f ca="1">COUNTIFS(OFFSET(Arb!$H$2,,,Arb!$AJ$36,),"&lt;"&amp;$A42,OFFSET(Arb!$I$2,,,Arb!$AJ$36,),"&gt;="&amp;$F42,OFFSET(Arb!$AI$2,,,Arb!$AJ$36,),TRUE,OFFSET(Arb!$C$2,,,Arb!$AJ$36,),L$1)</f>
        <v>0</v>
      </c>
      <c r="M42" s="11">
        <f t="shared" ca="1" si="33"/>
        <v>887</v>
      </c>
      <c r="N42" s="56">
        <f t="shared" ca="1" si="27"/>
        <v>0</v>
      </c>
      <c r="O42" s="59" t="str">
        <f>ASB!$AL$67</f>
        <v>发财</v>
      </c>
      <c r="P42" s="1">
        <f ca="1">COUNTIFS(OFFSET(Arb!$H$2,,,Arb!$AJ$36,),"&lt;"&amp;$A42,OFFSET(Arb!$I$2,,,Arb!$AJ$36,),"&gt;="&amp;$F42,OFFSET(Arb!$AI$2,,,Arb!$AJ$36,),TRUE,OFFSET(Arb!$C$2,,,Arb!$AJ$36,),P$1)</f>
        <v>0</v>
      </c>
      <c r="Q42" s="11">
        <f t="shared" ca="1" si="34"/>
        <v>994</v>
      </c>
      <c r="R42" s="56">
        <f t="shared" ca="1" si="28"/>
        <v>0</v>
      </c>
      <c r="S42" s="59" t="str">
        <f>ASB!$AL$67</f>
        <v>发财</v>
      </c>
      <c r="T42" s="1">
        <f ca="1">COUNTIFS(OFFSET(Arb!$H$2,,,Arb!$AJ$36,),"&lt;"&amp;$A42,OFFSET(Arb!$I$2,,,Arb!$AJ$36,),"&gt;="&amp;$F42,OFFSET(Arb!$AI$2,,,Arb!$AJ$36,),TRUE,OFFSET(Arb!$C$2,,,Arb!$AJ$36,),T$1)</f>
        <v>0</v>
      </c>
      <c r="U42" s="11">
        <f t="shared" ca="1" si="35"/>
        <v>0</v>
      </c>
      <c r="V42" s="56" t="str">
        <f t="shared" ca="1" si="29"/>
        <v/>
      </c>
      <c r="W42" s="59" t="str">
        <f>ASB!$AL$67</f>
        <v>发财</v>
      </c>
      <c r="X42" s="1">
        <f ca="1">COUNTIFS(OFFSET(Arb!$H$2,,,Arb!$AJ$36,),"&lt;"&amp;$A42,OFFSET(Arb!$I$2,,,Arb!$AJ$36,),"&gt;="&amp;$F42,OFFSET(Arb!$AI$2,,,Arb!$AJ$36,),TRUE,OFFSET(Arb!$C$2,,,Arb!$AJ$36,),X$1)</f>
        <v>0</v>
      </c>
      <c r="Y42" s="11">
        <f t="shared" ca="1" si="36"/>
        <v>0</v>
      </c>
      <c r="Z42" s="56" t="str">
        <f t="shared" ca="1" si="30"/>
        <v/>
      </c>
      <c r="AA42" s="59" t="str">
        <f>ASB!$AL$67</f>
        <v>发财</v>
      </c>
      <c r="AB42" s="1">
        <f ca="1">COUNTIFS(OFFSET(Arb!$H$2,,,Arb!$AJ$36,),"&lt;"&amp;$A42,OFFSET(Arb!$I$2,,,Arb!$AJ$36,),"&gt;="&amp;$F42,OFFSET(Arb!$AI$2,,,Arb!$AJ$36,),TRUE,OFFSET(Arb!$C$2,,,Arb!$AJ$36,),AB$1)</f>
        <v>0</v>
      </c>
      <c r="AC42" s="11">
        <f t="shared" ca="1" si="37"/>
        <v>0</v>
      </c>
      <c r="AD42" s="56" t="str">
        <f t="shared" ca="1" si="31"/>
        <v/>
      </c>
      <c r="AE42" s="59" t="str">
        <f>ASB!$AL$67</f>
        <v>发财</v>
      </c>
      <c r="AF42" s="1"/>
      <c r="AI42" s="59"/>
      <c r="AM42" s="59"/>
    </row>
    <row r="43" spans="1:39" x14ac:dyDescent="0.25">
      <c r="A43" s="4">
        <f t="shared" ca="1" si="38"/>
        <v>2</v>
      </c>
      <c r="B43" s="11">
        <v>0</v>
      </c>
      <c r="C43" s="11">
        <v>100</v>
      </c>
      <c r="D43" s="51">
        <f t="shared" si="25"/>
        <v>0.47299000000000002</v>
      </c>
      <c r="E43" s="52" t="s">
        <v>38</v>
      </c>
      <c r="F43" s="53">
        <v>2</v>
      </c>
      <c r="G43" s="54">
        <v>0</v>
      </c>
      <c r="H43" s="55">
        <f ca="1">COUNTIFS(OFFSET(Arb!$H$2,,,Arb!$AJ$36,),"&lt;"&amp;$A43,OFFSET(Arb!$I$2,,,Arb!$AJ$36,),"&gt;="&amp;$F43,OFFSET(Arb!$AI$2,,,Arb!$AJ$36,),TRUE)</f>
        <v>2</v>
      </c>
      <c r="I43" s="11">
        <f t="shared" ca="1" si="32"/>
        <v>1881</v>
      </c>
      <c r="J43" s="56">
        <f t="shared" ca="1" si="26"/>
        <v>1.0632642211589581E-3</v>
      </c>
      <c r="K43" s="57" t="str">
        <f>ASB!$AL$67</f>
        <v>发财</v>
      </c>
      <c r="L43" s="58">
        <f ca="1">COUNTIFS(OFFSET(Arb!$H$2,,,Arb!$AJ$36,),"&lt;"&amp;$A43,OFFSET(Arb!$I$2,,,Arb!$AJ$36,),"&gt;="&amp;$F43,OFFSET(Arb!$AI$2,,,Arb!$AJ$36,),TRUE,OFFSET(Arb!$C$2,,,Arb!$AJ$36,),L$1)</f>
        <v>1</v>
      </c>
      <c r="M43" s="11">
        <f t="shared" ca="1" si="33"/>
        <v>887</v>
      </c>
      <c r="N43" s="56">
        <f t="shared" ca="1" si="27"/>
        <v>1.1273957158962795E-3</v>
      </c>
      <c r="O43" s="59" t="str">
        <f>ASB!$AL$67</f>
        <v>发财</v>
      </c>
      <c r="P43" s="1">
        <f ca="1">COUNTIFS(OFFSET(Arb!$H$2,,,Arb!$AJ$36,),"&lt;"&amp;$A43,OFFSET(Arb!$I$2,,,Arb!$AJ$36,),"&gt;="&amp;$F43,OFFSET(Arb!$AI$2,,,Arb!$AJ$36,),TRUE,OFFSET(Arb!$C$2,,,Arb!$AJ$36,),P$1)</f>
        <v>1</v>
      </c>
      <c r="Q43" s="11">
        <f t="shared" ca="1" si="34"/>
        <v>994</v>
      </c>
      <c r="R43" s="56">
        <f t="shared" ca="1" si="28"/>
        <v>1.006036217303823E-3</v>
      </c>
      <c r="S43" s="59" t="str">
        <f>ASB!$AL$67</f>
        <v>发财</v>
      </c>
      <c r="T43" s="1">
        <f ca="1">COUNTIFS(OFFSET(Arb!$H$2,,,Arb!$AJ$36,),"&lt;"&amp;$A43,OFFSET(Arb!$I$2,,,Arb!$AJ$36,),"&gt;="&amp;$F43,OFFSET(Arb!$AI$2,,,Arb!$AJ$36,),TRUE,OFFSET(Arb!$C$2,,,Arb!$AJ$36,),T$1)</f>
        <v>0</v>
      </c>
      <c r="U43" s="11">
        <f t="shared" ca="1" si="35"/>
        <v>0</v>
      </c>
      <c r="V43" s="56" t="str">
        <f t="shared" ca="1" si="29"/>
        <v/>
      </c>
      <c r="W43" s="59" t="str">
        <f>ASB!$AL$67</f>
        <v>发财</v>
      </c>
      <c r="X43" s="1">
        <f ca="1">COUNTIFS(OFFSET(Arb!$H$2,,,Arb!$AJ$36,),"&lt;"&amp;$A43,OFFSET(Arb!$I$2,,,Arb!$AJ$36,),"&gt;="&amp;$F43,OFFSET(Arb!$AI$2,,,Arb!$AJ$36,),TRUE,OFFSET(Arb!$C$2,,,Arb!$AJ$36,),X$1)</f>
        <v>0</v>
      </c>
      <c r="Y43" s="11">
        <f t="shared" ca="1" si="36"/>
        <v>0</v>
      </c>
      <c r="Z43" s="56" t="str">
        <f t="shared" ca="1" si="30"/>
        <v/>
      </c>
      <c r="AA43" s="59" t="str">
        <f>ASB!$AL$67</f>
        <v>发财</v>
      </c>
      <c r="AB43" s="1">
        <f ca="1">COUNTIFS(OFFSET(Arb!$H$2,,,Arb!$AJ$36,),"&lt;"&amp;$A43,OFFSET(Arb!$I$2,,,Arb!$AJ$36,),"&gt;="&amp;$F43,OFFSET(Arb!$AI$2,,,Arb!$AJ$36,),TRUE,OFFSET(Arb!$C$2,,,Arb!$AJ$36,),AB$1)</f>
        <v>0</v>
      </c>
      <c r="AC43" s="11">
        <f t="shared" ca="1" si="37"/>
        <v>0</v>
      </c>
      <c r="AD43" s="56" t="str">
        <f t="shared" ca="1" si="31"/>
        <v/>
      </c>
      <c r="AE43" s="59" t="str">
        <f>ASB!$AL$67</f>
        <v>发财</v>
      </c>
      <c r="AF43" s="1"/>
      <c r="AI43" s="59"/>
      <c r="AM43" s="59"/>
    </row>
    <row r="44" spans="1:39" x14ac:dyDescent="0.25">
      <c r="A44" s="4">
        <f t="shared" ca="1" si="38"/>
        <v>2.2000000000000002</v>
      </c>
      <c r="B44" s="11">
        <v>0</v>
      </c>
      <c r="C44" s="11">
        <v>100</v>
      </c>
      <c r="D44" s="51">
        <f t="shared" si="25"/>
        <v>0.47299000000000002</v>
      </c>
      <c r="E44" s="52" t="s">
        <v>38</v>
      </c>
      <c r="F44" s="53">
        <v>2</v>
      </c>
      <c r="G44" s="54">
        <v>0</v>
      </c>
      <c r="H44" s="55">
        <f ca="1">COUNTIFS(OFFSET(Arb!$H$2,,,Arb!$AJ$36,),"&lt;"&amp;$A44,OFFSET(Arb!$I$2,,,Arb!$AJ$36,),"&gt;="&amp;$F44,OFFSET(Arb!$AI$2,,,Arb!$AJ$36,),TRUE)</f>
        <v>5</v>
      </c>
      <c r="I44" s="11">
        <f t="shared" ca="1" si="32"/>
        <v>1881</v>
      </c>
      <c r="J44" s="56">
        <f t="shared" ca="1" si="26"/>
        <v>2.6581605528973951E-3</v>
      </c>
      <c r="K44" s="57" t="str">
        <f>ASB!$AL$67</f>
        <v>发财</v>
      </c>
      <c r="L44" s="58">
        <f ca="1">COUNTIFS(OFFSET(Arb!$H$2,,,Arb!$AJ$36,),"&lt;"&amp;$A44,OFFSET(Arb!$I$2,,,Arb!$AJ$36,),"&gt;="&amp;$F44,OFFSET(Arb!$AI$2,,,Arb!$AJ$36,),TRUE,OFFSET(Arb!$C$2,,,Arb!$AJ$36,),L$1)</f>
        <v>1</v>
      </c>
      <c r="M44" s="11">
        <f t="shared" ca="1" si="33"/>
        <v>887</v>
      </c>
      <c r="N44" s="56">
        <f t="shared" ca="1" si="27"/>
        <v>1.1273957158962795E-3</v>
      </c>
      <c r="O44" s="59" t="str">
        <f>ASB!$AL$67</f>
        <v>发财</v>
      </c>
      <c r="P44" s="659">
        <f ca="1">COUNTIFS(OFFSET(Arb!$H$2,,,Arb!$AJ$36,),"&lt;"&amp;$A44,OFFSET(Arb!$I$2,,,Arb!$AJ$36,),"&gt;="&amp;$F44,OFFSET(Arb!$AI$2,,,Arb!$AJ$36,),TRUE,OFFSET(Arb!$C$2,,,Arb!$AJ$36,),P$1)</f>
        <v>4</v>
      </c>
      <c r="Q44" s="659">
        <f t="shared" ca="1" si="34"/>
        <v>994</v>
      </c>
      <c r="R44" s="781">
        <f t="shared" ca="1" si="28"/>
        <v>4.0241448692152921E-3</v>
      </c>
      <c r="S44" s="783" t="s">
        <v>759</v>
      </c>
      <c r="T44" s="1">
        <f ca="1">COUNTIFS(OFFSET(Arb!$H$2,,,Arb!$AJ$36,),"&lt;"&amp;$A44,OFFSET(Arb!$I$2,,,Arb!$AJ$36,),"&gt;="&amp;$F44,OFFSET(Arb!$AI$2,,,Arb!$AJ$36,),TRUE,OFFSET(Arb!$C$2,,,Arb!$AJ$36,),T$1)</f>
        <v>0</v>
      </c>
      <c r="U44" s="11">
        <f t="shared" ca="1" si="35"/>
        <v>0</v>
      </c>
      <c r="V44" s="56" t="str">
        <f t="shared" ca="1" si="29"/>
        <v/>
      </c>
      <c r="W44" s="59" t="str">
        <f>ASB!$AL$67</f>
        <v>发财</v>
      </c>
      <c r="X44" s="1">
        <f ca="1">COUNTIFS(OFFSET(Arb!$H$2,,,Arb!$AJ$36,),"&lt;"&amp;$A44,OFFSET(Arb!$I$2,,,Arb!$AJ$36,),"&gt;="&amp;$F44,OFFSET(Arb!$AI$2,,,Arb!$AJ$36,),TRUE,OFFSET(Arb!$C$2,,,Arb!$AJ$36,),X$1)</f>
        <v>0</v>
      </c>
      <c r="Y44" s="11">
        <f t="shared" ca="1" si="36"/>
        <v>0</v>
      </c>
      <c r="Z44" s="56" t="str">
        <f t="shared" ca="1" si="30"/>
        <v/>
      </c>
      <c r="AA44" s="59" t="str">
        <f>ASB!$AL$67</f>
        <v>发财</v>
      </c>
      <c r="AB44" s="1">
        <f ca="1">COUNTIFS(OFFSET(Arb!$H$2,,,Arb!$AJ$36,),"&lt;"&amp;$A44,OFFSET(Arb!$I$2,,,Arb!$AJ$36,),"&gt;="&amp;$F44,OFFSET(Arb!$AI$2,,,Arb!$AJ$36,),TRUE,OFFSET(Arb!$C$2,,,Arb!$AJ$36,),AB$1)</f>
        <v>0</v>
      </c>
      <c r="AC44" s="11">
        <f t="shared" ca="1" si="37"/>
        <v>0</v>
      </c>
      <c r="AD44" s="56" t="str">
        <f t="shared" ca="1" si="31"/>
        <v/>
      </c>
      <c r="AE44" s="59" t="str">
        <f>ASB!$AL$67</f>
        <v>发财</v>
      </c>
      <c r="AF44" s="1"/>
      <c r="AI44" s="59"/>
      <c r="AM44" s="59"/>
    </row>
    <row r="45" spans="1:39" x14ac:dyDescent="0.25">
      <c r="A45" s="4">
        <f t="shared" ca="1" si="38"/>
        <v>2.4000000000000004</v>
      </c>
      <c r="B45" s="11">
        <v>0</v>
      </c>
      <c r="C45" s="11">
        <v>100</v>
      </c>
      <c r="D45" s="51">
        <f t="shared" si="25"/>
        <v>0.47299000000000002</v>
      </c>
      <c r="E45" s="52" t="s">
        <v>38</v>
      </c>
      <c r="F45" s="53">
        <v>2</v>
      </c>
      <c r="G45" s="54">
        <v>0</v>
      </c>
      <c r="H45" s="780">
        <f ca="1">COUNTIFS(OFFSET(Arb!$H$2,,,Arb!$AJ$36,),"&lt;"&amp;$A45,OFFSET(Arb!$I$2,,,Arb!$AJ$36,),"&gt;="&amp;$F45,OFFSET(Arb!$AI$2,,,Arb!$AJ$36,),TRUE)</f>
        <v>9</v>
      </c>
      <c r="I45" s="659">
        <f t="shared" ca="1" si="32"/>
        <v>1881</v>
      </c>
      <c r="J45" s="781">
        <f t="shared" ca="1" si="26"/>
        <v>4.7846889952153108E-3</v>
      </c>
      <c r="K45" s="782" t="s">
        <v>759</v>
      </c>
      <c r="L45" s="58">
        <f ca="1">COUNTIFS(OFFSET(Arb!$H$2,,,Arb!$AJ$36,),"&lt;"&amp;$A45,OFFSET(Arb!$I$2,,,Arb!$AJ$36,),"&gt;="&amp;$F45,OFFSET(Arb!$AI$2,,,Arb!$AJ$36,),TRUE,OFFSET(Arb!$C$2,,,Arb!$AJ$36,),L$1)</f>
        <v>2</v>
      </c>
      <c r="M45" s="11">
        <f t="shared" ca="1" si="33"/>
        <v>887</v>
      </c>
      <c r="N45" s="56">
        <f t="shared" ca="1" si="27"/>
        <v>2.2547914317925591E-3</v>
      </c>
      <c r="O45" s="59" t="str">
        <f>ASB!$AL$67</f>
        <v>发财</v>
      </c>
      <c r="P45" s="659">
        <f ca="1">COUNTIFS(OFFSET(Arb!$H$2,,,Arb!$AJ$36,),"&lt;"&amp;$A45,OFFSET(Arb!$I$2,,,Arb!$AJ$36,),"&gt;="&amp;$F45,OFFSET(Arb!$AI$2,,,Arb!$AJ$36,),TRUE,OFFSET(Arb!$C$2,,,Arb!$AJ$36,),P$1)</f>
        <v>7</v>
      </c>
      <c r="Q45" s="659">
        <f t="shared" ca="1" si="34"/>
        <v>994</v>
      </c>
      <c r="R45" s="781">
        <f t="shared" ca="1" si="28"/>
        <v>7.0422535211267607E-3</v>
      </c>
      <c r="S45" s="783" t="s">
        <v>759</v>
      </c>
      <c r="T45" s="1">
        <f ca="1">COUNTIFS(OFFSET(Arb!$H$2,,,Arb!$AJ$36,),"&lt;"&amp;$A45,OFFSET(Arb!$I$2,,,Arb!$AJ$36,),"&gt;="&amp;$F45,OFFSET(Arb!$AI$2,,,Arb!$AJ$36,),TRUE,OFFSET(Arb!$C$2,,,Arb!$AJ$36,),T$1)</f>
        <v>0</v>
      </c>
      <c r="U45" s="11">
        <f t="shared" ca="1" si="35"/>
        <v>0</v>
      </c>
      <c r="V45" s="56" t="str">
        <f t="shared" ca="1" si="29"/>
        <v/>
      </c>
      <c r="W45" s="59" t="str">
        <f>ASB!$AL$67</f>
        <v>发财</v>
      </c>
      <c r="X45" s="1">
        <f ca="1">COUNTIFS(OFFSET(Arb!$H$2,,,Arb!$AJ$36,),"&lt;"&amp;$A45,OFFSET(Arb!$I$2,,,Arb!$AJ$36,),"&gt;="&amp;$F45,OFFSET(Arb!$AI$2,,,Arb!$AJ$36,),TRUE,OFFSET(Arb!$C$2,,,Arb!$AJ$36,),X$1)</f>
        <v>0</v>
      </c>
      <c r="Y45" s="11">
        <f t="shared" ca="1" si="36"/>
        <v>0</v>
      </c>
      <c r="Z45" s="56" t="str">
        <f t="shared" ca="1" si="30"/>
        <v/>
      </c>
      <c r="AA45" s="59" t="str">
        <f>ASB!$AL$67</f>
        <v>发财</v>
      </c>
      <c r="AB45" s="1">
        <f ca="1">COUNTIFS(OFFSET(Arb!$H$2,,,Arb!$AJ$36,),"&lt;"&amp;$A45,OFFSET(Arb!$I$2,,,Arb!$AJ$36,),"&gt;="&amp;$F45,OFFSET(Arb!$AI$2,,,Arb!$AJ$36,),TRUE,OFFSET(Arb!$C$2,,,Arb!$AJ$36,),AB$1)</f>
        <v>0</v>
      </c>
      <c r="AC45" s="11">
        <f t="shared" ca="1" si="37"/>
        <v>0</v>
      </c>
      <c r="AD45" s="56" t="str">
        <f t="shared" ca="1" si="31"/>
        <v/>
      </c>
      <c r="AE45" s="59" t="str">
        <f>ASB!$AL$67</f>
        <v>发财</v>
      </c>
      <c r="AF45" s="1"/>
      <c r="AI45" s="59"/>
      <c r="AM45" s="59"/>
    </row>
    <row r="46" spans="1:39" x14ac:dyDescent="0.25">
      <c r="A46" s="36">
        <f ca="1">1*ROUNDUP(OFFSET(Time!N1,Arb!AJ16,)/1+0.0001,0)</f>
        <v>17</v>
      </c>
      <c r="B46" s="1">
        <v>0</v>
      </c>
      <c r="C46" s="1">
        <v>100</v>
      </c>
      <c r="D46" s="51">
        <f>153.73/C46</f>
        <v>1.5372999999999999</v>
      </c>
      <c r="E46" s="52" t="s">
        <v>45</v>
      </c>
      <c r="F46" s="53">
        <v>30</v>
      </c>
      <c r="G46" s="54" t="s">
        <v>388</v>
      </c>
      <c r="H46" s="780">
        <f ca="1">COUNTIFS(OFFSET(Arb!$H$2,Arb!$AJ$36,,Arb!$AJ$37,),"&lt;"&amp;$A46,OFFSET(Arb!$I$2,Arb!$AJ$36,,Arb!$AJ$37,),"&gt;="&amp;$F46,OFFSET(Arb!$AI$2,Arb!$AJ$36,,Arb!$AJ$37,),TRUE)</f>
        <v>5</v>
      </c>
      <c r="I46" s="659">
        <f ca="1">COUNTIFS(OFFSET(Arb!$I$2,Arb!$AJ$36,,Arb!$AJ$37,),"&gt;="&amp;$F46,OFFSET(Arb!$AI$2,Arb!$AJ$36,,Arb!$AJ$37,),TRUE)</f>
        <v>531</v>
      </c>
      <c r="J46" s="781">
        <f t="shared" ca="1" si="26"/>
        <v>9.4161958568738224E-3</v>
      </c>
      <c r="K46" s="782" t="s">
        <v>759</v>
      </c>
      <c r="L46" s="715">
        <f ca="1">COUNTIFS(OFFSET(Arb!$C$2,Arb!$AJ$36,,Arb!$AJ$37,),L$1,OFFSET(Arb!$H$2,Arb!$AJ$36,,Arb!$AJ$37,),"&lt;"&amp;$A46,OFFSET(Arb!$I$2,Arb!$AJ$36,,Arb!$AJ$37,),"&gt;="&amp;$F46,OFFSET(Arb!$AI$2,Arb!$AJ$36,,Arb!$AJ$37,),TRUE)</f>
        <v>4</v>
      </c>
      <c r="M46" s="300">
        <f ca="1">COUNTIFS(OFFSET(Arb!$C$2,Arb!$AJ$36,,Arb!$AJ$37,),L$1,OFFSET(Arb!$I$2,Arb!$AJ$36,,Arb!$AJ$37,),"&gt;="&amp;$F46,OFFSET(Arb!$AI$2,Arb!$AJ$36,,Arb!$AJ$37,),TRUE)</f>
        <v>247</v>
      </c>
      <c r="N46" s="784">
        <f t="shared" ca="1" si="27"/>
        <v>1.6194331983805668E-2</v>
      </c>
      <c r="O46" s="785" t="s">
        <v>760</v>
      </c>
      <c r="P46" s="1">
        <f ca="1">COUNTIFS(OFFSET(Arb!$C$2,Arb!$AJ$36,,Arb!$AJ$37,),P$1,OFFSET(Arb!$H$2,Arb!$AJ$36,,Arb!$AJ$37,),"&lt;"&amp;$A46,OFFSET(Arb!$I$2,Arb!$AJ$36,,Arb!$AJ$37,),"&gt;="&amp;$F46,OFFSET(Arb!$AI$2,Arb!$AJ$36,,Arb!$AJ$37,),TRUE)</f>
        <v>1</v>
      </c>
      <c r="Q46" s="11">
        <f ca="1">COUNTIFS(OFFSET(Arb!$C$2,Arb!$AJ$36,,Arb!$AJ$37,),P$1,OFFSET(Arb!$I$2,Arb!$AJ$36,,Arb!$AJ$37,),"&gt;="&amp;$F46,OFFSET(Arb!$AI$2,Arb!$AJ$36,,Arb!$AJ$37,),TRUE)</f>
        <v>284</v>
      </c>
      <c r="R46" s="56">
        <f t="shared" ca="1" si="28"/>
        <v>3.5211267605633804E-3</v>
      </c>
      <c r="S46" s="59" t="str">
        <f>ASB!$AL$67</f>
        <v>发财</v>
      </c>
      <c r="T46" s="1">
        <f ca="1">COUNTIFS(OFFSET(Arb!$C$2,Arb!$AJ$36,,Arb!$AJ$37,),T$1,OFFSET(Arb!$H$2,Arb!$AJ$36,,Arb!$AJ$37,),"&lt;"&amp;$A46,OFFSET(Arb!$I$2,Arb!$AJ$36,,Arb!$AJ$37,),"&gt;="&amp;$F46,OFFSET(Arb!$AI$2,Arb!$AJ$36,,Arb!$AJ$37,),TRUE)</f>
        <v>0</v>
      </c>
      <c r="U46" s="11">
        <f ca="1">COUNTIFS(OFFSET(Arb!$C$2,Arb!$AJ$36,,Arb!$AJ$37,),T$1,OFFSET(Arb!$I$2,Arb!$AJ$36,,Arb!$AJ$37,),"&gt;="&amp;$F46,OFFSET(Arb!$AI$2,Arb!$AJ$36,,Arb!$AJ$37,),TRUE)</f>
        <v>0</v>
      </c>
      <c r="V46" s="56" t="str">
        <f t="shared" ca="1" si="29"/>
        <v/>
      </c>
      <c r="W46" s="59" t="str">
        <f>ASB!$AL$67</f>
        <v>发财</v>
      </c>
      <c r="X46" s="1">
        <f ca="1">COUNTIFS(OFFSET(Arb!$C$2,Arb!$AJ$36,,Arb!$AJ$37,),X$1,OFFSET(Arb!$H$2,Arb!$AJ$36,,Arb!$AJ$37,),"&lt;"&amp;$A46,OFFSET(Arb!$I$2,Arb!$AJ$36,,Arb!$AJ$37,),"&gt;="&amp;$F46,OFFSET(Arb!$AI$2,Arb!$AJ$36,,Arb!$AJ$37,),TRUE)</f>
        <v>0</v>
      </c>
      <c r="Y46" s="11">
        <f ca="1">COUNTIFS(OFFSET(Arb!$C$2,Arb!$AJ$36,,Arb!$AJ$37,),X$1,OFFSET(Arb!$I$2,Arb!$AJ$36,,Arb!$AJ$37,),"&gt;="&amp;$F46,OFFSET(Arb!$AI$2,Arb!$AJ$36,,Arb!$AJ$37,),TRUE)</f>
        <v>0</v>
      </c>
      <c r="Z46" s="56" t="str">
        <f t="shared" ca="1" si="30"/>
        <v/>
      </c>
      <c r="AA46" s="59" t="str">
        <f>ASB!$AL$67</f>
        <v>发财</v>
      </c>
      <c r="AB46" s="1">
        <f ca="1">COUNTIFS(OFFSET(Arb!$C$2,Arb!$AJ$36,,Arb!$AJ$37,),AB$1,OFFSET(Arb!$H$2,Arb!$AJ$36,,Arb!$AJ$37,),"&lt;"&amp;$A46,OFFSET(Arb!$I$2,Arb!$AJ$36,,Arb!$AJ$37,),"&gt;="&amp;$F46,OFFSET(Arb!$AI$2,Arb!$AJ$36,,Arb!$AJ$37,),TRUE)</f>
        <v>0</v>
      </c>
      <c r="AC46" s="11">
        <f ca="1">COUNTIFS(OFFSET(Arb!$C$2,Arb!$AJ$36,,Arb!$AJ$37,),AB$1,OFFSET(Arb!$I$2,Arb!$AJ$36,,Arb!$AJ$37,),"&gt;="&amp;$F46,OFFSET(Arb!$AI$2,Arb!$AJ$36,,Arb!$AJ$37,),TRUE)</f>
        <v>0</v>
      </c>
      <c r="AD46" s="56" t="str">
        <f t="shared" ca="1" si="31"/>
        <v/>
      </c>
      <c r="AE46" s="59" t="str">
        <f>ASB!$AL$67</f>
        <v>发财</v>
      </c>
      <c r="AF46" s="1"/>
      <c r="AI46" s="59"/>
      <c r="AM46" s="59"/>
    </row>
    <row r="47" spans="1:39" x14ac:dyDescent="0.25">
      <c r="A47" s="36">
        <f ca="1">A46+1</f>
        <v>18</v>
      </c>
      <c r="B47" s="1">
        <v>0</v>
      </c>
      <c r="C47" s="1">
        <v>100</v>
      </c>
      <c r="D47" s="51">
        <f t="shared" ref="D47:D62" si="39">153.73/C47</f>
        <v>1.5372999999999999</v>
      </c>
      <c r="E47" s="52" t="s">
        <v>45</v>
      </c>
      <c r="F47" s="53">
        <v>30</v>
      </c>
      <c r="G47" s="54" t="s">
        <v>388</v>
      </c>
      <c r="H47" s="786">
        <f ca="1">COUNTIFS(OFFSET(Arb!$H$2,Arb!$AJ$36,,Arb!$AJ$37,),"&lt;"&amp;$A47,OFFSET(Arb!$I$2,Arb!$AJ$36,,Arb!$AJ$37,),"&gt;="&amp;$F47,OFFSET(Arb!$AI$2,Arb!$AJ$36,,Arb!$AJ$37,),TRUE)</f>
        <v>10</v>
      </c>
      <c r="I47" s="300">
        <f t="shared" ref="I47:I70" ca="1" si="40">I$46</f>
        <v>531</v>
      </c>
      <c r="J47" s="784">
        <f t="shared" ca="1" si="26"/>
        <v>1.8832391713747645E-2</v>
      </c>
      <c r="K47" s="787" t="s">
        <v>760</v>
      </c>
      <c r="L47" s="715">
        <f ca="1">COUNTIFS(OFFSET(Arb!$C$2,Arb!$AJ$36,,Arb!$AJ$37,),L$1,OFFSET(Arb!$H$2,Arb!$AJ$36,,Arb!$AJ$37,),"&lt;"&amp;$A47,OFFSET(Arb!$I$2,Arb!$AJ$36,,Arb!$AJ$37,),"&gt;="&amp;$F47,OFFSET(Arb!$AI$2,Arb!$AJ$36,,Arb!$AJ$37,),TRUE)</f>
        <v>6</v>
      </c>
      <c r="M47" s="300">
        <f t="shared" ref="M47:M70" ca="1" si="41">M$46</f>
        <v>247</v>
      </c>
      <c r="N47" s="784">
        <f t="shared" ca="1" si="27"/>
        <v>2.4291497975708502E-2</v>
      </c>
      <c r="O47" s="785" t="s">
        <v>760</v>
      </c>
      <c r="P47" s="300">
        <f ca="1">COUNTIFS(OFFSET(Arb!$C$2,Arb!$AJ$36,,Arb!$AJ$37,),P$1,OFFSET(Arb!$H$2,Arb!$AJ$36,,Arb!$AJ$37,),"&lt;"&amp;$A47,OFFSET(Arb!$I$2,Arb!$AJ$36,,Arb!$AJ$37,),"&gt;="&amp;$F47,OFFSET(Arb!$AI$2,Arb!$AJ$36,,Arb!$AJ$37,),TRUE)</f>
        <v>4</v>
      </c>
      <c r="Q47" s="300">
        <f t="shared" ref="Q47:Q70" ca="1" si="42">Q$46</f>
        <v>284</v>
      </c>
      <c r="R47" s="784">
        <f t="shared" ca="1" si="28"/>
        <v>1.4084507042253521E-2</v>
      </c>
      <c r="S47" s="785" t="s">
        <v>760</v>
      </c>
      <c r="T47" s="1">
        <f ca="1">COUNTIFS(OFFSET(Arb!$C$2,Arb!$AJ$36,,Arb!$AJ$37,),T$1,OFFSET(Arb!$H$2,Arb!$AJ$36,,Arb!$AJ$37,),"&lt;"&amp;$A47,OFFSET(Arb!$I$2,Arb!$AJ$36,,Arb!$AJ$37,),"&gt;="&amp;$F47,OFFSET(Arb!$AI$2,Arb!$AJ$36,,Arb!$AJ$37,),TRUE)</f>
        <v>0</v>
      </c>
      <c r="U47" s="11">
        <f t="shared" ref="U47:U70" ca="1" si="43">U$46</f>
        <v>0</v>
      </c>
      <c r="V47" s="56" t="str">
        <f t="shared" ca="1" si="29"/>
        <v/>
      </c>
      <c r="W47" s="59" t="str">
        <f>ASB!$AL$67</f>
        <v>发财</v>
      </c>
      <c r="X47" s="1">
        <f ca="1">COUNTIFS(OFFSET(Arb!$C$2,Arb!$AJ$36,,Arb!$AJ$37,),X$1,OFFSET(Arb!$H$2,Arb!$AJ$36,,Arb!$AJ$37,),"&lt;"&amp;$A47,OFFSET(Arb!$I$2,Arb!$AJ$36,,Arb!$AJ$37,),"&gt;="&amp;$F47,OFFSET(Arb!$AI$2,Arb!$AJ$36,,Arb!$AJ$37,),TRUE)</f>
        <v>0</v>
      </c>
      <c r="Y47" s="11">
        <f t="shared" ref="Y47:Y70" ca="1" si="44">Y$46</f>
        <v>0</v>
      </c>
      <c r="Z47" s="56" t="str">
        <f t="shared" ca="1" si="30"/>
        <v/>
      </c>
      <c r="AA47" s="59" t="str">
        <f>ASB!$AL$67</f>
        <v>发财</v>
      </c>
      <c r="AB47" s="1">
        <f ca="1">COUNTIFS(OFFSET(Arb!$C$2,Arb!$AJ$36,,Arb!$AJ$37,),AB$1,OFFSET(Arb!$H$2,Arb!$AJ$36,,Arb!$AJ$37,),"&lt;"&amp;$A47,OFFSET(Arb!$I$2,Arb!$AJ$36,,Arb!$AJ$37,),"&gt;="&amp;$F47,OFFSET(Arb!$AI$2,Arb!$AJ$36,,Arb!$AJ$37,),TRUE)</f>
        <v>0</v>
      </c>
      <c r="AC47" s="11">
        <f t="shared" ref="AC47:AC70" ca="1" si="45">AC$46</f>
        <v>0</v>
      </c>
      <c r="AD47" s="56" t="str">
        <f t="shared" ca="1" si="31"/>
        <v/>
      </c>
      <c r="AE47" s="59" t="str">
        <f>ASB!$AL$67</f>
        <v>发财</v>
      </c>
      <c r="AF47" s="1"/>
      <c r="AI47" s="59"/>
      <c r="AM47" s="59"/>
    </row>
    <row r="48" spans="1:39" x14ac:dyDescent="0.25">
      <c r="A48" s="36">
        <f t="shared" ref="A48:A51" ca="1" si="46">A47+1</f>
        <v>19</v>
      </c>
      <c r="B48" s="1">
        <v>0</v>
      </c>
      <c r="C48" s="1">
        <v>100</v>
      </c>
      <c r="D48" s="51">
        <f t="shared" si="39"/>
        <v>1.5372999999999999</v>
      </c>
      <c r="E48" s="52" t="s">
        <v>45</v>
      </c>
      <c r="F48" s="53">
        <v>30</v>
      </c>
      <c r="G48" s="54" t="s">
        <v>388</v>
      </c>
      <c r="H48" s="786">
        <f ca="1">COUNTIFS(OFFSET(Arb!$H$2,Arb!$AJ$36,,Arb!$AJ$37,),"&lt;"&amp;$A48,OFFSET(Arb!$I$2,Arb!$AJ$36,,Arb!$AJ$37,),"&gt;="&amp;$F48,OFFSET(Arb!$AI$2,Arb!$AJ$36,,Arb!$AJ$37,),TRUE)</f>
        <v>18</v>
      </c>
      <c r="I48" s="300">
        <f t="shared" ca="1" si="40"/>
        <v>531</v>
      </c>
      <c r="J48" s="784">
        <f t="shared" ca="1" si="26"/>
        <v>3.3898305084745763E-2</v>
      </c>
      <c r="K48" s="787" t="s">
        <v>760</v>
      </c>
      <c r="L48" s="715">
        <f ca="1">COUNTIFS(OFFSET(Arb!$C$2,Arb!$AJ$36,,Arb!$AJ$37,),L$1,OFFSET(Arb!$H$2,Arb!$AJ$36,,Arb!$AJ$37,),"&lt;"&amp;$A48,OFFSET(Arb!$I$2,Arb!$AJ$36,,Arb!$AJ$37,),"&gt;="&amp;$F48,OFFSET(Arb!$AI$2,Arb!$AJ$36,,Arb!$AJ$37,),TRUE)</f>
        <v>8</v>
      </c>
      <c r="M48" s="300">
        <f t="shared" ca="1" si="41"/>
        <v>247</v>
      </c>
      <c r="N48" s="784">
        <f t="shared" ca="1" si="27"/>
        <v>3.2388663967611336E-2</v>
      </c>
      <c r="O48" s="785" t="s">
        <v>760</v>
      </c>
      <c r="P48" s="300">
        <f ca="1">COUNTIFS(OFFSET(Arb!$C$2,Arb!$AJ$36,,Arb!$AJ$37,),P$1,OFFSET(Arb!$H$2,Arb!$AJ$36,,Arb!$AJ$37,),"&lt;"&amp;$A48,OFFSET(Arb!$I$2,Arb!$AJ$36,,Arb!$AJ$37,),"&gt;="&amp;$F48,OFFSET(Arb!$AI$2,Arb!$AJ$36,,Arb!$AJ$37,),TRUE)</f>
        <v>10</v>
      </c>
      <c r="Q48" s="300">
        <f t="shared" ca="1" si="42"/>
        <v>284</v>
      </c>
      <c r="R48" s="784">
        <f t="shared" ca="1" si="28"/>
        <v>3.5211267605633804E-2</v>
      </c>
      <c r="S48" s="785" t="s">
        <v>760</v>
      </c>
      <c r="T48" s="1">
        <f ca="1">COUNTIFS(OFFSET(Arb!$C$2,Arb!$AJ$36,,Arb!$AJ$37,),T$1,OFFSET(Arb!$H$2,Arb!$AJ$36,,Arb!$AJ$37,),"&lt;"&amp;$A48,OFFSET(Arb!$I$2,Arb!$AJ$36,,Arb!$AJ$37,),"&gt;="&amp;$F48,OFFSET(Arb!$AI$2,Arb!$AJ$36,,Arb!$AJ$37,),TRUE)</f>
        <v>0</v>
      </c>
      <c r="U48" s="11">
        <f t="shared" ca="1" si="43"/>
        <v>0</v>
      </c>
      <c r="V48" s="56" t="str">
        <f t="shared" ca="1" si="29"/>
        <v/>
      </c>
      <c r="W48" s="59" t="str">
        <f>ASB!$AL$67</f>
        <v>发财</v>
      </c>
      <c r="X48" s="1">
        <f ca="1">COUNTIFS(OFFSET(Arb!$C$2,Arb!$AJ$36,,Arb!$AJ$37,),X$1,OFFSET(Arb!$H$2,Arb!$AJ$36,,Arb!$AJ$37,),"&lt;"&amp;$A48,OFFSET(Arb!$I$2,Arb!$AJ$36,,Arb!$AJ$37,),"&gt;="&amp;$F48,OFFSET(Arb!$AI$2,Arb!$AJ$36,,Arb!$AJ$37,),TRUE)</f>
        <v>0</v>
      </c>
      <c r="Y48" s="11">
        <f t="shared" ca="1" si="44"/>
        <v>0</v>
      </c>
      <c r="Z48" s="56" t="str">
        <f t="shared" ca="1" si="30"/>
        <v/>
      </c>
      <c r="AA48" s="59" t="str">
        <f>ASB!$AL$67</f>
        <v>发财</v>
      </c>
      <c r="AB48" s="1">
        <f ca="1">COUNTIFS(OFFSET(Arb!$C$2,Arb!$AJ$36,,Arb!$AJ$37,),AB$1,OFFSET(Arb!$H$2,Arb!$AJ$36,,Arb!$AJ$37,),"&lt;"&amp;$A48,OFFSET(Arb!$I$2,Arb!$AJ$36,,Arb!$AJ$37,),"&gt;="&amp;$F48,OFFSET(Arb!$AI$2,Arb!$AJ$36,,Arb!$AJ$37,),TRUE)</f>
        <v>0</v>
      </c>
      <c r="AC48" s="11">
        <f t="shared" ca="1" si="45"/>
        <v>0</v>
      </c>
      <c r="AD48" s="56" t="str">
        <f t="shared" ca="1" si="31"/>
        <v/>
      </c>
      <c r="AE48" s="59" t="str">
        <f>ASB!$AL$67</f>
        <v>发财</v>
      </c>
      <c r="AF48" s="1"/>
      <c r="AI48" s="59"/>
      <c r="AM48" s="59"/>
    </row>
    <row r="49" spans="1:39" x14ac:dyDescent="0.25">
      <c r="A49" s="36">
        <f t="shared" ca="1" si="46"/>
        <v>20</v>
      </c>
      <c r="B49" s="1">
        <v>0</v>
      </c>
      <c r="C49" s="1">
        <v>100</v>
      </c>
      <c r="D49" s="51">
        <f t="shared" si="39"/>
        <v>1.5372999999999999</v>
      </c>
      <c r="E49" s="52" t="s">
        <v>45</v>
      </c>
      <c r="F49" s="53">
        <v>30</v>
      </c>
      <c r="G49" s="54" t="s">
        <v>388</v>
      </c>
      <c r="H49" s="377">
        <f ca="1">COUNTIFS(OFFSET(Arb!$H$2,Arb!$AJ$36,,Arb!$AJ$37,),"&lt;"&amp;$A49,OFFSET(Arb!$I$2,Arb!$AJ$36,,Arb!$AJ$37,),"&gt;="&amp;$F49,OFFSET(Arb!$AI$2,Arb!$AJ$36,,Arb!$AJ$37,),TRUE)</f>
        <v>26</v>
      </c>
      <c r="I49" s="552">
        <f t="shared" ca="1" si="40"/>
        <v>531</v>
      </c>
      <c r="J49" s="268">
        <f t="shared" ca="1" si="26"/>
        <v>4.8964218455743877E-2</v>
      </c>
      <c r="K49" s="789" t="s">
        <v>761</v>
      </c>
      <c r="L49" s="545">
        <f ca="1">COUNTIFS(OFFSET(Arb!$C$2,Arb!$AJ$36,,Arb!$AJ$37,),L$1,OFFSET(Arb!$H$2,Arb!$AJ$36,,Arb!$AJ$37,),"&lt;"&amp;$A49,OFFSET(Arb!$I$2,Arb!$AJ$36,,Arb!$AJ$37,),"&gt;="&amp;$F49,OFFSET(Arb!$AI$2,Arb!$AJ$36,,Arb!$AJ$37,),TRUE)</f>
        <v>14</v>
      </c>
      <c r="M49" s="552">
        <f t="shared" ca="1" si="41"/>
        <v>247</v>
      </c>
      <c r="N49" s="268">
        <f t="shared" ca="1" si="27"/>
        <v>5.6680161943319839E-2</v>
      </c>
      <c r="O49" s="788" t="s">
        <v>761</v>
      </c>
      <c r="P49" s="552">
        <f ca="1">COUNTIFS(OFFSET(Arb!$C$2,Arb!$AJ$36,,Arb!$AJ$37,),P$1,OFFSET(Arb!$H$2,Arb!$AJ$36,,Arb!$AJ$37,),"&lt;"&amp;$A49,OFFSET(Arb!$I$2,Arb!$AJ$36,,Arb!$AJ$37,),"&gt;="&amp;$F49,OFFSET(Arb!$AI$2,Arb!$AJ$36,,Arb!$AJ$37,),TRUE)</f>
        <v>12</v>
      </c>
      <c r="Q49" s="552">
        <f t="shared" ca="1" si="42"/>
        <v>284</v>
      </c>
      <c r="R49" s="268">
        <f t="shared" ca="1" si="28"/>
        <v>4.2253521126760563E-2</v>
      </c>
      <c r="S49" s="788" t="s">
        <v>761</v>
      </c>
      <c r="T49" s="1">
        <f ca="1">COUNTIFS(OFFSET(Arb!$C$2,Arb!$AJ$36,,Arb!$AJ$37,),T$1,OFFSET(Arb!$H$2,Arb!$AJ$36,,Arb!$AJ$37,),"&lt;"&amp;$A49,OFFSET(Arb!$I$2,Arb!$AJ$36,,Arb!$AJ$37,),"&gt;="&amp;$F49,OFFSET(Arb!$AI$2,Arb!$AJ$36,,Arb!$AJ$37,),TRUE)</f>
        <v>0</v>
      </c>
      <c r="U49" s="11">
        <f t="shared" ca="1" si="43"/>
        <v>0</v>
      </c>
      <c r="V49" s="56" t="str">
        <f t="shared" ca="1" si="29"/>
        <v/>
      </c>
      <c r="W49" s="59" t="str">
        <f>ASB!$AL$67</f>
        <v>发财</v>
      </c>
      <c r="X49" s="1">
        <f ca="1">COUNTIFS(OFFSET(Arb!$C$2,Arb!$AJ$36,,Arb!$AJ$37,),X$1,OFFSET(Arb!$H$2,Arb!$AJ$36,,Arb!$AJ$37,),"&lt;"&amp;$A49,OFFSET(Arb!$I$2,Arb!$AJ$36,,Arb!$AJ$37,),"&gt;="&amp;$F49,OFFSET(Arb!$AI$2,Arb!$AJ$36,,Arb!$AJ$37,),TRUE)</f>
        <v>0</v>
      </c>
      <c r="Y49" s="11">
        <f t="shared" ca="1" si="44"/>
        <v>0</v>
      </c>
      <c r="Z49" s="56" t="str">
        <f t="shared" ca="1" si="30"/>
        <v/>
      </c>
      <c r="AA49" s="59" t="str">
        <f>ASB!$AL$67</f>
        <v>发财</v>
      </c>
      <c r="AB49" s="1">
        <f ca="1">COUNTIFS(OFFSET(Arb!$C$2,Arb!$AJ$36,,Arb!$AJ$37,),AB$1,OFFSET(Arb!$H$2,Arb!$AJ$36,,Arb!$AJ$37,),"&lt;"&amp;$A49,OFFSET(Arb!$I$2,Arb!$AJ$36,,Arb!$AJ$37,),"&gt;="&amp;$F49,OFFSET(Arb!$AI$2,Arb!$AJ$36,,Arb!$AJ$37,),TRUE)</f>
        <v>0</v>
      </c>
      <c r="AC49" s="11">
        <f t="shared" ca="1" si="45"/>
        <v>0</v>
      </c>
      <c r="AD49" s="56" t="str">
        <f t="shared" ca="1" si="31"/>
        <v/>
      </c>
      <c r="AE49" s="59" t="str">
        <f>ASB!$AL$67</f>
        <v>发财</v>
      </c>
      <c r="AF49" s="1"/>
      <c r="AI49" s="59"/>
      <c r="AM49" s="59"/>
    </row>
    <row r="50" spans="1:39" x14ac:dyDescent="0.25">
      <c r="A50" s="36">
        <f t="shared" ca="1" si="46"/>
        <v>21</v>
      </c>
      <c r="B50" s="1">
        <v>0</v>
      </c>
      <c r="C50" s="1">
        <v>100</v>
      </c>
      <c r="D50" s="51">
        <f t="shared" si="39"/>
        <v>1.5372999999999999</v>
      </c>
      <c r="E50" s="52" t="s">
        <v>45</v>
      </c>
      <c r="F50" s="53">
        <v>30</v>
      </c>
      <c r="G50" s="54" t="s">
        <v>388</v>
      </c>
      <c r="H50" s="377">
        <f ca="1">COUNTIFS(OFFSET(Arb!$H$2,Arb!$AJ$36,,Arb!$AJ$37,),"&lt;"&amp;$A50,OFFSET(Arb!$I$2,Arb!$AJ$36,,Arb!$AJ$37,),"&gt;="&amp;$F50,OFFSET(Arb!$AI$2,Arb!$AJ$36,,Arb!$AJ$37,),TRUE)</f>
        <v>49</v>
      </c>
      <c r="I50" s="552">
        <f t="shared" ca="1" si="40"/>
        <v>531</v>
      </c>
      <c r="J50" s="268">
        <f t="shared" ca="1" si="26"/>
        <v>9.2278719397363471E-2</v>
      </c>
      <c r="K50" s="789" t="s">
        <v>761</v>
      </c>
      <c r="L50" s="548">
        <f ca="1">COUNTIFS(OFFSET(Arb!$C$2,Arb!$AJ$36,,Arb!$AJ$37,),L$1,OFFSET(Arb!$H$2,Arb!$AJ$36,,Arb!$AJ$37,),"&lt;"&amp;$A50,OFFSET(Arb!$I$2,Arb!$AJ$36,,Arb!$AJ$37,),"&gt;="&amp;$F50,OFFSET(Arb!$AI$2,Arb!$AJ$36,,Arb!$AJ$37,),TRUE)</f>
        <v>29</v>
      </c>
      <c r="M50" s="551">
        <f t="shared" ca="1" si="41"/>
        <v>247</v>
      </c>
      <c r="N50" s="341">
        <f t="shared" ca="1" si="27"/>
        <v>0.11740890688259109</v>
      </c>
      <c r="O50" s="790" t="s">
        <v>762</v>
      </c>
      <c r="P50" s="552">
        <f ca="1">COUNTIFS(OFFSET(Arb!$C$2,Arb!$AJ$36,,Arb!$AJ$37,),P$1,OFFSET(Arb!$H$2,Arb!$AJ$36,,Arb!$AJ$37,),"&lt;"&amp;$A50,OFFSET(Arb!$I$2,Arb!$AJ$36,,Arb!$AJ$37,),"&gt;="&amp;$F50,OFFSET(Arb!$AI$2,Arb!$AJ$36,,Arb!$AJ$37,),TRUE)</f>
        <v>20</v>
      </c>
      <c r="Q50" s="552">
        <f t="shared" ca="1" si="42"/>
        <v>284</v>
      </c>
      <c r="R50" s="268">
        <f t="shared" ca="1" si="28"/>
        <v>7.0422535211267609E-2</v>
      </c>
      <c r="S50" s="788" t="s">
        <v>761</v>
      </c>
      <c r="T50" s="1">
        <f ca="1">COUNTIFS(OFFSET(Arb!$C$2,Arb!$AJ$36,,Arb!$AJ$37,),T$1,OFFSET(Arb!$H$2,Arb!$AJ$36,,Arb!$AJ$37,),"&lt;"&amp;$A50,OFFSET(Arb!$I$2,Arb!$AJ$36,,Arb!$AJ$37,),"&gt;="&amp;$F50,OFFSET(Arb!$AI$2,Arb!$AJ$36,,Arb!$AJ$37,),TRUE)</f>
        <v>0</v>
      </c>
      <c r="U50" s="11">
        <f t="shared" ca="1" si="43"/>
        <v>0</v>
      </c>
      <c r="V50" s="56" t="str">
        <f t="shared" ca="1" si="29"/>
        <v/>
      </c>
      <c r="W50" s="59" t="str">
        <f>ASB!$AL$67</f>
        <v>发财</v>
      </c>
      <c r="X50" s="1">
        <f ca="1">COUNTIFS(OFFSET(Arb!$C$2,Arb!$AJ$36,,Arb!$AJ$37,),X$1,OFFSET(Arb!$H$2,Arb!$AJ$36,,Arb!$AJ$37,),"&lt;"&amp;$A50,OFFSET(Arb!$I$2,Arb!$AJ$36,,Arb!$AJ$37,),"&gt;="&amp;$F50,OFFSET(Arb!$AI$2,Arb!$AJ$36,,Arb!$AJ$37,),TRUE)</f>
        <v>0</v>
      </c>
      <c r="Y50" s="11">
        <f t="shared" ca="1" si="44"/>
        <v>0</v>
      </c>
      <c r="Z50" s="56" t="str">
        <f t="shared" ca="1" si="30"/>
        <v/>
      </c>
      <c r="AA50" s="59" t="str">
        <f>ASB!$AL$67</f>
        <v>发财</v>
      </c>
      <c r="AB50" s="1">
        <f ca="1">COUNTIFS(OFFSET(Arb!$C$2,Arb!$AJ$36,,Arb!$AJ$37,),AB$1,OFFSET(Arb!$H$2,Arb!$AJ$36,,Arb!$AJ$37,),"&lt;"&amp;$A50,OFFSET(Arb!$I$2,Arb!$AJ$36,,Arb!$AJ$37,),"&gt;="&amp;$F50,OFFSET(Arb!$AI$2,Arb!$AJ$36,,Arb!$AJ$37,),TRUE)</f>
        <v>0</v>
      </c>
      <c r="AC50" s="11">
        <f t="shared" ca="1" si="45"/>
        <v>0</v>
      </c>
      <c r="AD50" s="56" t="str">
        <f t="shared" ca="1" si="31"/>
        <v/>
      </c>
      <c r="AE50" s="59" t="str">
        <f>ASB!$AL$67</f>
        <v>发财</v>
      </c>
      <c r="AF50" s="1"/>
      <c r="AI50" s="59"/>
      <c r="AM50" s="59"/>
    </row>
    <row r="51" spans="1:39" x14ac:dyDescent="0.25">
      <c r="A51" s="36">
        <f t="shared" ca="1" si="46"/>
        <v>22</v>
      </c>
      <c r="B51" s="1">
        <v>0</v>
      </c>
      <c r="C51" s="1">
        <v>100</v>
      </c>
      <c r="D51" s="51">
        <f t="shared" si="39"/>
        <v>1.5372999999999999</v>
      </c>
      <c r="E51" s="52" t="s">
        <v>45</v>
      </c>
      <c r="F51" s="53">
        <v>30</v>
      </c>
      <c r="G51" s="54" t="s">
        <v>388</v>
      </c>
      <c r="H51" s="226">
        <f ca="1">COUNTIFS(OFFSET(Arb!$H$2,Arb!$AJ$36,,Arb!$AJ$37,),"&lt;"&amp;$A51,OFFSET(Arb!$I$2,Arb!$AJ$36,,Arb!$AJ$37,),"&gt;="&amp;$F51,OFFSET(Arb!$AI$2,Arb!$AJ$36,,Arb!$AJ$37,),TRUE)</f>
        <v>90</v>
      </c>
      <c r="I51" s="551">
        <f t="shared" ca="1" si="40"/>
        <v>531</v>
      </c>
      <c r="J51" s="341">
        <f t="shared" ca="1" si="26"/>
        <v>0.16949152542372881</v>
      </c>
      <c r="K51" s="791" t="s">
        <v>762</v>
      </c>
      <c r="L51" s="548">
        <f ca="1">COUNTIFS(OFFSET(Arb!$C$2,Arb!$AJ$36,,Arb!$AJ$37,),L$1,OFFSET(Arb!$H$2,Arb!$AJ$36,,Arb!$AJ$37,),"&lt;"&amp;$A51,OFFSET(Arb!$I$2,Arb!$AJ$36,,Arb!$AJ$37,),"&gt;="&amp;$F51,OFFSET(Arb!$AI$2,Arb!$AJ$36,,Arb!$AJ$37,),TRUE)</f>
        <v>57</v>
      </c>
      <c r="M51" s="551">
        <f t="shared" ca="1" si="41"/>
        <v>247</v>
      </c>
      <c r="N51" s="341">
        <f t="shared" ca="1" si="27"/>
        <v>0.23076923076923078</v>
      </c>
      <c r="O51" s="790" t="s">
        <v>762</v>
      </c>
      <c r="P51" s="551">
        <f ca="1">COUNTIFS(OFFSET(Arb!$C$2,Arb!$AJ$36,,Arb!$AJ$37,),P$1,OFFSET(Arb!$H$2,Arb!$AJ$36,,Arb!$AJ$37,),"&lt;"&amp;$A51,OFFSET(Arb!$I$2,Arb!$AJ$36,,Arb!$AJ$37,),"&gt;="&amp;$F51,OFFSET(Arb!$AI$2,Arb!$AJ$36,,Arb!$AJ$37,),TRUE)</f>
        <v>33</v>
      </c>
      <c r="Q51" s="551">
        <f t="shared" ca="1" si="42"/>
        <v>284</v>
      </c>
      <c r="R51" s="341">
        <f t="shared" ca="1" si="28"/>
        <v>0.11619718309859155</v>
      </c>
      <c r="S51" s="790" t="s">
        <v>762</v>
      </c>
      <c r="T51" s="1">
        <f ca="1">COUNTIFS(OFFSET(Arb!$C$2,Arb!$AJ$36,,Arb!$AJ$37,),T$1,OFFSET(Arb!$H$2,Arb!$AJ$36,,Arb!$AJ$37,),"&lt;"&amp;$A51,OFFSET(Arb!$I$2,Arb!$AJ$36,,Arb!$AJ$37,),"&gt;="&amp;$F51,OFFSET(Arb!$AI$2,Arb!$AJ$36,,Arb!$AJ$37,),TRUE)</f>
        <v>0</v>
      </c>
      <c r="U51" s="11">
        <f t="shared" ca="1" si="43"/>
        <v>0</v>
      </c>
      <c r="V51" s="56" t="str">
        <f t="shared" ca="1" si="29"/>
        <v/>
      </c>
      <c r="W51" s="59" t="str">
        <f>ASB!$AL$67</f>
        <v>发财</v>
      </c>
      <c r="X51" s="1">
        <f ca="1">COUNTIFS(OFFSET(Arb!$C$2,Arb!$AJ$36,,Arb!$AJ$37,),X$1,OFFSET(Arb!$H$2,Arb!$AJ$36,,Arb!$AJ$37,),"&lt;"&amp;$A51,OFFSET(Arb!$I$2,Arb!$AJ$36,,Arb!$AJ$37,),"&gt;="&amp;$F51,OFFSET(Arb!$AI$2,Arb!$AJ$36,,Arb!$AJ$37,),TRUE)</f>
        <v>0</v>
      </c>
      <c r="Y51" s="11">
        <f t="shared" ca="1" si="44"/>
        <v>0</v>
      </c>
      <c r="Z51" s="56" t="str">
        <f t="shared" ca="1" si="30"/>
        <v/>
      </c>
      <c r="AA51" s="59" t="str">
        <f>ASB!$AL$67</f>
        <v>发财</v>
      </c>
      <c r="AB51" s="1">
        <f ca="1">COUNTIFS(OFFSET(Arb!$C$2,Arb!$AJ$36,,Arb!$AJ$37,),AB$1,OFFSET(Arb!$H$2,Arb!$AJ$36,,Arb!$AJ$37,),"&lt;"&amp;$A51,OFFSET(Arb!$I$2,Arb!$AJ$36,,Arb!$AJ$37,),"&gt;="&amp;$F51,OFFSET(Arb!$AI$2,Arb!$AJ$36,,Arb!$AJ$37,),TRUE)</f>
        <v>0</v>
      </c>
      <c r="AC51" s="11">
        <f t="shared" ca="1" si="45"/>
        <v>0</v>
      </c>
      <c r="AD51" s="56" t="str">
        <f t="shared" ca="1" si="31"/>
        <v/>
      </c>
      <c r="AE51" s="59" t="str">
        <f>ASB!$AL$67</f>
        <v>发财</v>
      </c>
      <c r="AF51" s="1"/>
      <c r="AI51" s="59"/>
      <c r="AM51" s="59"/>
    </row>
    <row r="52" spans="1:39" x14ac:dyDescent="0.25">
      <c r="A52" s="1">
        <v>500</v>
      </c>
      <c r="B52" s="36">
        <f ca="1">0.1*MAX(ROUNDDOWN(OFFSET(Bvs!O1,Arb!AJ16,)/0.1,0),14)</f>
        <v>3.1</v>
      </c>
      <c r="C52" s="1">
        <v>100</v>
      </c>
      <c r="D52" s="51">
        <f t="shared" si="39"/>
        <v>1.5372999999999999</v>
      </c>
      <c r="E52" s="52" t="s">
        <v>39</v>
      </c>
      <c r="F52" s="53">
        <v>30</v>
      </c>
      <c r="G52" s="54" t="s">
        <v>389</v>
      </c>
      <c r="H52" s="780">
        <f ca="1">COUNTIFS(OFFSET(Arb!$AF$2,Arb!$AJ$36,,Arb!$AJ$37,),"&gt;="&amp;$B52,OFFSET(Arb!$I$2,Arb!$AJ$36,,Arb!$AJ$37,),"&gt;="&amp;$F52,OFFSET(Arb!$AI$2,Arb!$AJ$36,,Arb!$AJ$37,),TRUE)</f>
        <v>6</v>
      </c>
      <c r="I52" s="659">
        <f t="shared" ca="1" si="40"/>
        <v>531</v>
      </c>
      <c r="J52" s="781">
        <f t="shared" ca="1" si="26"/>
        <v>1.1299435028248588E-2</v>
      </c>
      <c r="K52" s="782" t="s">
        <v>759</v>
      </c>
      <c r="L52" s="712">
        <f ca="1">COUNTIFS(OFFSET(Arb!$C$2,Arb!$AJ$36,,Arb!$AJ$37,),L$1,OFFSET(Arb!$AF$2,Arb!$AJ$36,,Arb!$AJ$37,),"&gt;="&amp;$B52,OFFSET(Arb!$I$2,Arb!$AJ$36,,Arb!$AJ$37,),"&gt;="&amp;$F52,OFFSET(Arb!$AI$2,Arb!$AJ$36,,Arb!$AJ$37,),TRUE)</f>
        <v>3</v>
      </c>
      <c r="M52" s="659">
        <f t="shared" ca="1" si="41"/>
        <v>247</v>
      </c>
      <c r="N52" s="781">
        <f t="shared" ca="1" si="27"/>
        <v>1.2145748987854251E-2</v>
      </c>
      <c r="O52" s="783" t="s">
        <v>759</v>
      </c>
      <c r="P52" s="659">
        <f ca="1">COUNTIFS(OFFSET(Arb!$C$2,Arb!$AJ$36,,Arb!$AJ$37,),P$1,OFFSET(Arb!$AF$2,Arb!$AJ$36,,Arb!$AJ$37,),"&gt;="&amp;$B52,OFFSET(Arb!$I$2,Arb!$AJ$36,,Arb!$AJ$37,),"&gt;="&amp;$F52,OFFSET(Arb!$AI$2,Arb!$AJ$36,,Arb!$AJ$37,),TRUE)</f>
        <v>3</v>
      </c>
      <c r="Q52" s="659">
        <f t="shared" ca="1" si="42"/>
        <v>284</v>
      </c>
      <c r="R52" s="781">
        <f t="shared" ca="1" si="28"/>
        <v>1.0563380281690141E-2</v>
      </c>
      <c r="S52" s="783" t="s">
        <v>759</v>
      </c>
      <c r="T52" s="1">
        <f ca="1">COUNTIFS(OFFSET(Arb!$C$2,Arb!$AJ$36,,Arb!$AJ$37,),T$1,OFFSET(Arb!$AF$2,Arb!$AJ$36,,Arb!$AJ$37,),"&gt;="&amp;$B52,OFFSET(Arb!$I$2,Arb!$AJ$36,,Arb!$AJ$37,),"&gt;="&amp;$F52,OFFSET(Arb!$AI$2,Arb!$AJ$36,,Arb!$AJ$37,),TRUE)</f>
        <v>0</v>
      </c>
      <c r="U52" s="11">
        <f t="shared" ca="1" si="43"/>
        <v>0</v>
      </c>
      <c r="V52" s="56" t="str">
        <f t="shared" ca="1" si="29"/>
        <v/>
      </c>
      <c r="W52" s="59" t="str">
        <f>ASB!$AL$67</f>
        <v>发财</v>
      </c>
      <c r="X52" s="1">
        <f ca="1">COUNTIFS(OFFSET(Arb!$C$2,Arb!$AJ$36,,Arb!$AJ$37,),X$1,OFFSET(Arb!$AF$2,Arb!$AJ$36,,Arb!$AJ$37,),"&gt;="&amp;$B52,OFFSET(Arb!$I$2,Arb!$AJ$36,,Arb!$AJ$37,),"&gt;="&amp;$F52,OFFSET(Arb!$AI$2,Arb!$AJ$36,,Arb!$AJ$37,),TRUE)</f>
        <v>0</v>
      </c>
      <c r="Y52" s="11">
        <f t="shared" ca="1" si="44"/>
        <v>0</v>
      </c>
      <c r="Z52" s="56" t="str">
        <f t="shared" ca="1" si="30"/>
        <v/>
      </c>
      <c r="AA52" s="59" t="str">
        <f>ASB!$AL$67</f>
        <v>发财</v>
      </c>
      <c r="AB52" s="1">
        <f ca="1">COUNTIFS(OFFSET(Arb!$C$2,Arb!$AJ$36,,Arb!$AJ$37,),AB$1,OFFSET(Arb!$AF$2,Arb!$AJ$36,,Arb!$AJ$37,),"&gt;="&amp;$B52,OFFSET(Arb!$I$2,Arb!$AJ$36,,Arb!$AJ$37,),"&gt;="&amp;$F52,OFFSET(Arb!$AI$2,Arb!$AJ$36,,Arb!$AJ$37,),TRUE)</f>
        <v>0</v>
      </c>
      <c r="AC52" s="11">
        <f t="shared" ca="1" si="45"/>
        <v>0</v>
      </c>
      <c r="AD52" s="56" t="str">
        <f t="shared" ca="1" si="31"/>
        <v/>
      </c>
      <c r="AE52" s="59" t="str">
        <f>ASB!$AL$67</f>
        <v>发财</v>
      </c>
      <c r="AF52" s="1"/>
      <c r="AI52" s="59"/>
      <c r="AM52" s="59"/>
    </row>
    <row r="53" spans="1:39" x14ac:dyDescent="0.25">
      <c r="A53" s="1">
        <v>500</v>
      </c>
      <c r="B53" s="36">
        <f ca="1">ROUND(B52-0.1,1)</f>
        <v>3</v>
      </c>
      <c r="C53" s="1">
        <v>100</v>
      </c>
      <c r="D53" s="51">
        <f t="shared" si="39"/>
        <v>1.5372999999999999</v>
      </c>
      <c r="E53" s="52" t="s">
        <v>45</v>
      </c>
      <c r="F53" s="53">
        <v>30</v>
      </c>
      <c r="G53" s="54" t="s">
        <v>389</v>
      </c>
      <c r="H53" s="786">
        <f ca="1">COUNTIFS(OFFSET(Arb!$AF$2,Arb!$AJ$36,,Arb!$AJ$37,),"&gt;="&amp;$B53,OFFSET(Arb!$I$2,Arb!$AJ$36,,Arb!$AJ$37,),"&gt;="&amp;$F53,OFFSET(Arb!$AI$2,Arb!$AJ$36,,Arb!$AJ$37,),TRUE)</f>
        <v>17</v>
      </c>
      <c r="I53" s="300">
        <f t="shared" ca="1" si="40"/>
        <v>531</v>
      </c>
      <c r="J53" s="784">
        <f t="shared" ca="1" si="26"/>
        <v>3.2015065913370999E-2</v>
      </c>
      <c r="K53" s="787" t="s">
        <v>760</v>
      </c>
      <c r="L53" s="715">
        <f ca="1">COUNTIFS(OFFSET(Arb!$C$2,Arb!$AJ$36,,Arb!$AJ$37,),L$1,OFFSET(Arb!$AF$2,Arb!$AJ$36,,Arb!$AJ$37,),"&gt;="&amp;$B53,OFFSET(Arb!$I$2,Arb!$AJ$36,,Arb!$AJ$37,),"&gt;="&amp;$F53,OFFSET(Arb!$AI$2,Arb!$AJ$36,,Arb!$AJ$37,),TRUE)</f>
        <v>8</v>
      </c>
      <c r="M53" s="300">
        <f t="shared" ca="1" si="41"/>
        <v>247</v>
      </c>
      <c r="N53" s="784">
        <f t="shared" ca="1" si="27"/>
        <v>3.2388663967611336E-2</v>
      </c>
      <c r="O53" s="785" t="s">
        <v>760</v>
      </c>
      <c r="P53" s="300">
        <f ca="1">COUNTIFS(OFFSET(Arb!$C$2,Arb!$AJ$36,,Arb!$AJ$37,),P$1,OFFSET(Arb!$AF$2,Arb!$AJ$36,,Arb!$AJ$37,),"&gt;="&amp;$B53,OFFSET(Arb!$I$2,Arb!$AJ$36,,Arb!$AJ$37,),"&gt;="&amp;$F53,OFFSET(Arb!$AI$2,Arb!$AJ$36,,Arb!$AJ$37,),TRUE)</f>
        <v>9</v>
      </c>
      <c r="Q53" s="300">
        <f t="shared" ca="1" si="42"/>
        <v>284</v>
      </c>
      <c r="R53" s="784">
        <f t="shared" ca="1" si="28"/>
        <v>3.1690140845070422E-2</v>
      </c>
      <c r="S53" s="785" t="s">
        <v>760</v>
      </c>
      <c r="T53" s="1">
        <f ca="1">COUNTIFS(OFFSET(Arb!$C$2,Arb!$AJ$36,,Arb!$AJ$37,),T$1,OFFSET(Arb!$AF$2,Arb!$AJ$36,,Arb!$AJ$37,),"&gt;="&amp;$B53,OFFSET(Arb!$I$2,Arb!$AJ$36,,Arb!$AJ$37,),"&gt;="&amp;$F53,OFFSET(Arb!$AI$2,Arb!$AJ$36,,Arb!$AJ$37,),TRUE)</f>
        <v>0</v>
      </c>
      <c r="U53" s="11">
        <f t="shared" ca="1" si="43"/>
        <v>0</v>
      </c>
      <c r="V53" s="56" t="str">
        <f t="shared" ca="1" si="29"/>
        <v/>
      </c>
      <c r="W53" s="59" t="str">
        <f>ASB!$AL$67</f>
        <v>发财</v>
      </c>
      <c r="X53" s="1">
        <f ca="1">COUNTIFS(OFFSET(Arb!$C$2,Arb!$AJ$36,,Arb!$AJ$37,),X$1,OFFSET(Arb!$AF$2,Arb!$AJ$36,,Arb!$AJ$37,),"&gt;="&amp;$B53,OFFSET(Arb!$I$2,Arb!$AJ$36,,Arb!$AJ$37,),"&gt;="&amp;$F53,OFFSET(Arb!$AI$2,Arb!$AJ$36,,Arb!$AJ$37,),TRUE)</f>
        <v>0</v>
      </c>
      <c r="Y53" s="11">
        <f t="shared" ca="1" si="44"/>
        <v>0</v>
      </c>
      <c r="Z53" s="56" t="str">
        <f t="shared" ca="1" si="30"/>
        <v/>
      </c>
      <c r="AA53" s="59" t="str">
        <f>ASB!$AL$67</f>
        <v>发财</v>
      </c>
      <c r="AB53" s="1">
        <f ca="1">COUNTIFS(OFFSET(Arb!$C$2,Arb!$AJ$36,,Arb!$AJ$37,),AB$1,OFFSET(Arb!$AF$2,Arb!$AJ$36,,Arb!$AJ$37,),"&gt;="&amp;$B53,OFFSET(Arb!$I$2,Arb!$AJ$36,,Arb!$AJ$37,),"&gt;="&amp;$F53,OFFSET(Arb!$AI$2,Arb!$AJ$36,,Arb!$AJ$37,),TRUE)</f>
        <v>0</v>
      </c>
      <c r="AC53" s="11">
        <f t="shared" ca="1" si="45"/>
        <v>0</v>
      </c>
      <c r="AD53" s="56" t="str">
        <f t="shared" ca="1" si="31"/>
        <v/>
      </c>
      <c r="AE53" s="59" t="str">
        <f>ASB!$AL$67</f>
        <v>发财</v>
      </c>
      <c r="AF53" s="1"/>
      <c r="AI53" s="59"/>
      <c r="AM53" s="59"/>
    </row>
    <row r="54" spans="1:39" x14ac:dyDescent="0.25">
      <c r="A54" s="1">
        <v>500</v>
      </c>
      <c r="B54" s="36">
        <f t="shared" ref="B54:B62" ca="1" si="47">ROUND(B53-0.1,1)</f>
        <v>2.9</v>
      </c>
      <c r="C54" s="1">
        <v>100</v>
      </c>
      <c r="D54" s="51">
        <f t="shared" si="39"/>
        <v>1.5372999999999999</v>
      </c>
      <c r="E54" s="52" t="s">
        <v>45</v>
      </c>
      <c r="F54" s="53">
        <v>30</v>
      </c>
      <c r="G54" s="54" t="s">
        <v>389</v>
      </c>
      <c r="H54" s="377">
        <f ca="1">COUNTIFS(OFFSET(Arb!$AF$2,Arb!$AJ$36,,Arb!$AJ$37,),"&gt;="&amp;$B54,OFFSET(Arb!$I$2,Arb!$AJ$36,,Arb!$AJ$37,),"&gt;="&amp;$F54,OFFSET(Arb!$AI$2,Arb!$AJ$36,,Arb!$AJ$37,),TRUE)</f>
        <v>33</v>
      </c>
      <c r="I54" s="552">
        <f t="shared" ca="1" si="40"/>
        <v>531</v>
      </c>
      <c r="J54" s="268">
        <f t="shared" ca="1" si="26"/>
        <v>6.2146892655367235E-2</v>
      </c>
      <c r="K54" s="789" t="s">
        <v>761</v>
      </c>
      <c r="L54" s="545">
        <f ca="1">COUNTIFS(OFFSET(Arb!$C$2,Arb!$AJ$36,,Arb!$AJ$37,),L$1,OFFSET(Arb!$AF$2,Arb!$AJ$36,,Arb!$AJ$37,),"&gt;="&amp;$B54,OFFSET(Arb!$I$2,Arb!$AJ$36,,Arb!$AJ$37,),"&gt;="&amp;$F54,OFFSET(Arb!$AI$2,Arb!$AJ$36,,Arb!$AJ$37,),TRUE)</f>
        <v>18</v>
      </c>
      <c r="M54" s="552">
        <f t="shared" ca="1" si="41"/>
        <v>247</v>
      </c>
      <c r="N54" s="268">
        <f t="shared" ca="1" si="27"/>
        <v>7.28744939271255E-2</v>
      </c>
      <c r="O54" s="788" t="s">
        <v>761</v>
      </c>
      <c r="P54" s="552">
        <f ca="1">COUNTIFS(OFFSET(Arb!$C$2,Arb!$AJ$36,,Arb!$AJ$37,),P$1,OFFSET(Arb!$AF$2,Arb!$AJ$36,,Arb!$AJ$37,),"&gt;="&amp;$B54,OFFSET(Arb!$I$2,Arb!$AJ$36,,Arb!$AJ$37,),"&gt;="&amp;$F54,OFFSET(Arb!$AI$2,Arb!$AJ$36,,Arb!$AJ$37,),TRUE)</f>
        <v>15</v>
      </c>
      <c r="Q54" s="552">
        <f t="shared" ca="1" si="42"/>
        <v>284</v>
      </c>
      <c r="R54" s="268">
        <f t="shared" ca="1" si="28"/>
        <v>5.2816901408450703E-2</v>
      </c>
      <c r="S54" s="788" t="s">
        <v>761</v>
      </c>
      <c r="T54" s="1">
        <f ca="1">COUNTIFS(OFFSET(Arb!$C$2,Arb!$AJ$36,,Arb!$AJ$37,),T$1,OFFSET(Arb!$AF$2,Arb!$AJ$36,,Arb!$AJ$37,),"&gt;="&amp;$B54,OFFSET(Arb!$I$2,Arb!$AJ$36,,Arb!$AJ$37,),"&gt;="&amp;$F54,OFFSET(Arb!$AI$2,Arb!$AJ$36,,Arb!$AJ$37,),TRUE)</f>
        <v>0</v>
      </c>
      <c r="U54" s="11">
        <f t="shared" ca="1" si="43"/>
        <v>0</v>
      </c>
      <c r="V54" s="56" t="str">
        <f t="shared" ca="1" si="29"/>
        <v/>
      </c>
      <c r="W54" s="59" t="str">
        <f>ASB!$AL$67</f>
        <v>发财</v>
      </c>
      <c r="X54" s="1">
        <f ca="1">COUNTIFS(OFFSET(Arb!$C$2,Arb!$AJ$36,,Arb!$AJ$37,),X$1,OFFSET(Arb!$AF$2,Arb!$AJ$36,,Arb!$AJ$37,),"&gt;="&amp;$B54,OFFSET(Arb!$I$2,Arb!$AJ$36,,Arb!$AJ$37,),"&gt;="&amp;$F54,OFFSET(Arb!$AI$2,Arb!$AJ$36,,Arb!$AJ$37,),TRUE)</f>
        <v>0</v>
      </c>
      <c r="Y54" s="11">
        <f t="shared" ca="1" si="44"/>
        <v>0</v>
      </c>
      <c r="Z54" s="56" t="str">
        <f t="shared" ca="1" si="30"/>
        <v/>
      </c>
      <c r="AA54" s="59" t="str">
        <f>ASB!$AL$67</f>
        <v>发财</v>
      </c>
      <c r="AB54" s="1">
        <f ca="1">COUNTIFS(OFFSET(Arb!$C$2,Arb!$AJ$36,,Arb!$AJ$37,),AB$1,OFFSET(Arb!$AF$2,Arb!$AJ$36,,Arb!$AJ$37,),"&gt;="&amp;$B54,OFFSET(Arb!$I$2,Arb!$AJ$36,,Arb!$AJ$37,),"&gt;="&amp;$F54,OFFSET(Arb!$AI$2,Arb!$AJ$36,,Arb!$AJ$37,),TRUE)</f>
        <v>0</v>
      </c>
      <c r="AC54" s="11">
        <f t="shared" ca="1" si="45"/>
        <v>0</v>
      </c>
      <c r="AD54" s="56" t="str">
        <f t="shared" ca="1" si="31"/>
        <v/>
      </c>
      <c r="AE54" s="59" t="str">
        <f>ASB!$AL$67</f>
        <v>发财</v>
      </c>
      <c r="AF54" s="1"/>
      <c r="AI54" s="59"/>
      <c r="AM54" s="59"/>
    </row>
    <row r="55" spans="1:39" x14ac:dyDescent="0.25">
      <c r="A55" s="1">
        <v>500</v>
      </c>
      <c r="B55" s="36">
        <f t="shared" ca="1" si="47"/>
        <v>2.8</v>
      </c>
      <c r="C55" s="1">
        <v>100</v>
      </c>
      <c r="D55" s="51">
        <f t="shared" si="39"/>
        <v>1.5372999999999999</v>
      </c>
      <c r="E55" s="52" t="s">
        <v>45</v>
      </c>
      <c r="F55" s="53">
        <v>30</v>
      </c>
      <c r="G55" s="54" t="s">
        <v>389</v>
      </c>
      <c r="H55" s="226">
        <f ca="1">COUNTIFS(OFFSET(Arb!$AF$2,Arb!$AJ$36,,Arb!$AJ$37,),"&gt;="&amp;$B55,OFFSET(Arb!$I$2,Arb!$AJ$36,,Arb!$AJ$37,),"&gt;="&amp;$F55,OFFSET(Arb!$AI$2,Arb!$AJ$36,,Arb!$AJ$37,),TRUE)</f>
        <v>68</v>
      </c>
      <c r="I55" s="551">
        <f t="shared" ca="1" si="40"/>
        <v>531</v>
      </c>
      <c r="J55" s="341">
        <f t="shared" ca="1" si="26"/>
        <v>0.128060263653484</v>
      </c>
      <c r="K55" s="791" t="s">
        <v>762</v>
      </c>
      <c r="L55" s="548">
        <f ca="1">COUNTIFS(OFFSET(Arb!$C$2,Arb!$AJ$36,,Arb!$AJ$37,),L$1,OFFSET(Arb!$AF$2,Arb!$AJ$36,,Arb!$AJ$37,),"&gt;="&amp;$B55,OFFSET(Arb!$I$2,Arb!$AJ$36,,Arb!$AJ$37,),"&gt;="&amp;$F55,OFFSET(Arb!$AI$2,Arb!$AJ$36,,Arb!$AJ$37,),TRUE)</f>
        <v>38</v>
      </c>
      <c r="M55" s="551">
        <f t="shared" ca="1" si="41"/>
        <v>247</v>
      </c>
      <c r="N55" s="341">
        <f t="shared" ca="1" si="27"/>
        <v>0.15384615384615385</v>
      </c>
      <c r="O55" s="790" t="s">
        <v>762</v>
      </c>
      <c r="P55" s="552">
        <f ca="1">COUNTIFS(OFFSET(Arb!$C$2,Arb!$AJ$36,,Arb!$AJ$37,),P$1,OFFSET(Arb!$AF$2,Arb!$AJ$36,,Arb!$AJ$37,),"&gt;="&amp;$B55,OFFSET(Arb!$I$2,Arb!$AJ$36,,Arb!$AJ$37,),"&gt;="&amp;$F55,OFFSET(Arb!$AI$2,Arb!$AJ$36,,Arb!$AJ$37,),TRUE)</f>
        <v>30</v>
      </c>
      <c r="Q55" s="552">
        <f t="shared" ca="1" si="42"/>
        <v>284</v>
      </c>
      <c r="R55" s="268">
        <f t="shared" ca="1" si="28"/>
        <v>0.10563380281690141</v>
      </c>
      <c r="S55" s="788" t="s">
        <v>761</v>
      </c>
      <c r="T55" s="1">
        <f ca="1">COUNTIFS(OFFSET(Arb!$C$2,Arb!$AJ$36,,Arb!$AJ$37,),T$1,OFFSET(Arb!$AF$2,Arb!$AJ$36,,Arb!$AJ$37,),"&gt;="&amp;$B55,OFFSET(Arb!$I$2,Arb!$AJ$36,,Arb!$AJ$37,),"&gt;="&amp;$F55,OFFSET(Arb!$AI$2,Arb!$AJ$36,,Arb!$AJ$37,),TRUE)</f>
        <v>0</v>
      </c>
      <c r="U55" s="11">
        <f t="shared" ca="1" si="43"/>
        <v>0</v>
      </c>
      <c r="V55" s="56" t="str">
        <f t="shared" ca="1" si="29"/>
        <v/>
      </c>
      <c r="W55" s="59" t="str">
        <f>ASB!$AL$67</f>
        <v>发财</v>
      </c>
      <c r="X55" s="1">
        <f ca="1">COUNTIFS(OFFSET(Arb!$C$2,Arb!$AJ$36,,Arb!$AJ$37,),X$1,OFFSET(Arb!$AF$2,Arb!$AJ$36,,Arb!$AJ$37,),"&gt;="&amp;$B55,OFFSET(Arb!$I$2,Arb!$AJ$36,,Arb!$AJ$37,),"&gt;="&amp;$F55,OFFSET(Arb!$AI$2,Arb!$AJ$36,,Arb!$AJ$37,),TRUE)</f>
        <v>0</v>
      </c>
      <c r="Y55" s="11">
        <f t="shared" ca="1" si="44"/>
        <v>0</v>
      </c>
      <c r="Z55" s="56" t="str">
        <f t="shared" ca="1" si="30"/>
        <v/>
      </c>
      <c r="AA55" s="59" t="str">
        <f>ASB!$AL$67</f>
        <v>发财</v>
      </c>
      <c r="AB55" s="1">
        <f ca="1">COUNTIFS(OFFSET(Arb!$C$2,Arb!$AJ$36,,Arb!$AJ$37,),AB$1,OFFSET(Arb!$AF$2,Arb!$AJ$36,,Arb!$AJ$37,),"&gt;="&amp;$B55,OFFSET(Arb!$I$2,Arb!$AJ$36,,Arb!$AJ$37,),"&gt;="&amp;$F55,OFFSET(Arb!$AI$2,Arb!$AJ$36,,Arb!$AJ$37,),TRUE)</f>
        <v>0</v>
      </c>
      <c r="AC55" s="11">
        <f t="shared" ca="1" si="45"/>
        <v>0</v>
      </c>
      <c r="AD55" s="56" t="str">
        <f t="shared" ca="1" si="31"/>
        <v/>
      </c>
      <c r="AE55" s="59" t="str">
        <f>ASB!$AL$67</f>
        <v>发财</v>
      </c>
      <c r="AF55" s="1"/>
      <c r="AI55" s="59"/>
      <c r="AM55" s="59"/>
    </row>
    <row r="56" spans="1:39" x14ac:dyDescent="0.25">
      <c r="A56" s="1">
        <v>500</v>
      </c>
      <c r="B56" s="36">
        <f t="shared" ca="1" si="47"/>
        <v>2.7</v>
      </c>
      <c r="C56" s="1">
        <v>100</v>
      </c>
      <c r="D56" s="51">
        <f t="shared" si="39"/>
        <v>1.5372999999999999</v>
      </c>
      <c r="E56" s="52" t="s">
        <v>45</v>
      </c>
      <c r="F56" s="53">
        <v>30</v>
      </c>
      <c r="G56" s="54" t="s">
        <v>389</v>
      </c>
      <c r="H56" s="226">
        <f ca="1">COUNTIFS(OFFSET(Arb!$AF$2,Arb!$AJ$36,,Arb!$AJ$37,),"&gt;="&amp;$B56,OFFSET(Arb!$I$2,Arb!$AJ$36,,Arb!$AJ$37,),"&gt;="&amp;$F56,OFFSET(Arb!$AI$2,Arb!$AJ$36,,Arb!$AJ$37,),TRUE)</f>
        <v>107</v>
      </c>
      <c r="I56" s="551">
        <f t="shared" ca="1" si="40"/>
        <v>531</v>
      </c>
      <c r="J56" s="341">
        <f t="shared" ca="1" si="26"/>
        <v>0.20150659133709981</v>
      </c>
      <c r="K56" s="791" t="s">
        <v>762</v>
      </c>
      <c r="L56" s="548">
        <f ca="1">COUNTIFS(OFFSET(Arb!$C$2,Arb!$AJ$36,,Arb!$AJ$37,),L$1,OFFSET(Arb!$AF$2,Arb!$AJ$36,,Arb!$AJ$37,),"&gt;="&amp;$B56,OFFSET(Arb!$I$2,Arb!$AJ$36,,Arb!$AJ$37,),"&gt;="&amp;$F56,OFFSET(Arb!$AI$2,Arb!$AJ$36,,Arb!$AJ$37,),TRUE)</f>
        <v>59</v>
      </c>
      <c r="M56" s="551">
        <f t="shared" ca="1" si="41"/>
        <v>247</v>
      </c>
      <c r="N56" s="341">
        <f t="shared" ca="1" si="27"/>
        <v>0.23886639676113361</v>
      </c>
      <c r="O56" s="790" t="s">
        <v>762</v>
      </c>
      <c r="P56" s="551">
        <f ca="1">COUNTIFS(OFFSET(Arb!$C$2,Arb!$AJ$36,,Arb!$AJ$37,),P$1,OFFSET(Arb!$AF$2,Arb!$AJ$36,,Arb!$AJ$37,),"&gt;="&amp;$B56,OFFSET(Arb!$I$2,Arb!$AJ$36,,Arb!$AJ$37,),"&gt;="&amp;$F56,OFFSET(Arb!$AI$2,Arb!$AJ$36,,Arb!$AJ$37,),TRUE)</f>
        <v>48</v>
      </c>
      <c r="Q56" s="551">
        <f t="shared" ca="1" si="42"/>
        <v>284</v>
      </c>
      <c r="R56" s="341">
        <f t="shared" ca="1" si="28"/>
        <v>0.16901408450704225</v>
      </c>
      <c r="S56" s="790" t="s">
        <v>762</v>
      </c>
      <c r="T56" s="1">
        <f ca="1">COUNTIFS(OFFSET(Arb!$C$2,Arb!$AJ$36,,Arb!$AJ$37,),T$1,OFFSET(Arb!$AF$2,Arb!$AJ$36,,Arb!$AJ$37,),"&gt;="&amp;$B56,OFFSET(Arb!$I$2,Arb!$AJ$36,,Arb!$AJ$37,),"&gt;="&amp;$F56,OFFSET(Arb!$AI$2,Arb!$AJ$36,,Arb!$AJ$37,),TRUE)</f>
        <v>0</v>
      </c>
      <c r="U56" s="11">
        <f t="shared" ca="1" si="43"/>
        <v>0</v>
      </c>
      <c r="V56" s="56" t="str">
        <f t="shared" ca="1" si="29"/>
        <v/>
      </c>
      <c r="W56" s="59" t="str">
        <f>ASB!$AL$67</f>
        <v>发财</v>
      </c>
      <c r="X56" s="1">
        <f ca="1">COUNTIFS(OFFSET(Arb!$C$2,Arb!$AJ$36,,Arb!$AJ$37,),X$1,OFFSET(Arb!$AF$2,Arb!$AJ$36,,Arb!$AJ$37,),"&gt;="&amp;$B56,OFFSET(Arb!$I$2,Arb!$AJ$36,,Arb!$AJ$37,),"&gt;="&amp;$F56,OFFSET(Arb!$AI$2,Arb!$AJ$36,,Arb!$AJ$37,),TRUE)</f>
        <v>0</v>
      </c>
      <c r="Y56" s="11">
        <f t="shared" ca="1" si="44"/>
        <v>0</v>
      </c>
      <c r="Z56" s="56" t="str">
        <f t="shared" ca="1" si="30"/>
        <v/>
      </c>
      <c r="AA56" s="59" t="str">
        <f>ASB!$AL$67</f>
        <v>发财</v>
      </c>
      <c r="AB56" s="1">
        <f ca="1">COUNTIFS(OFFSET(Arb!$C$2,Arb!$AJ$36,,Arb!$AJ$37,),AB$1,OFFSET(Arb!$AF$2,Arb!$AJ$36,,Arb!$AJ$37,),"&gt;="&amp;$B56,OFFSET(Arb!$I$2,Arb!$AJ$36,,Arb!$AJ$37,),"&gt;="&amp;$F56,OFFSET(Arb!$AI$2,Arb!$AJ$36,,Arb!$AJ$37,),TRUE)</f>
        <v>0</v>
      </c>
      <c r="AC56" s="11">
        <f t="shared" ca="1" si="45"/>
        <v>0</v>
      </c>
      <c r="AD56" s="56" t="str">
        <f t="shared" ca="1" si="31"/>
        <v/>
      </c>
      <c r="AE56" s="59" t="str">
        <f>ASB!$AL$67</f>
        <v>发财</v>
      </c>
      <c r="AF56" s="1"/>
      <c r="AI56" s="59"/>
      <c r="AM56" s="59"/>
    </row>
    <row r="57" spans="1:39" x14ac:dyDescent="0.25">
      <c r="A57" s="1">
        <v>500</v>
      </c>
      <c r="B57" s="36">
        <f t="shared" ca="1" si="47"/>
        <v>2.6</v>
      </c>
      <c r="C57" s="1">
        <v>100</v>
      </c>
      <c r="D57" s="51">
        <f t="shared" si="39"/>
        <v>1.5372999999999999</v>
      </c>
      <c r="E57" s="52" t="s">
        <v>45</v>
      </c>
      <c r="F57" s="53">
        <v>30</v>
      </c>
      <c r="G57" s="54" t="s">
        <v>389</v>
      </c>
      <c r="H57" s="226">
        <f ca="1">COUNTIFS(OFFSET(Arb!$AF$2,Arb!$AJ$36,,Arb!$AJ$37,),"&gt;="&amp;$B57,OFFSET(Arb!$I$2,Arb!$AJ$36,,Arb!$AJ$37,),"&gt;="&amp;$F57,OFFSET(Arb!$AI$2,Arb!$AJ$36,,Arb!$AJ$37,),TRUE)</f>
        <v>153</v>
      </c>
      <c r="I57" s="551">
        <f t="shared" ca="1" si="40"/>
        <v>531</v>
      </c>
      <c r="J57" s="341">
        <f t="shared" ca="1" si="26"/>
        <v>0.28813559322033899</v>
      </c>
      <c r="K57" s="791" t="s">
        <v>762</v>
      </c>
      <c r="L57" s="548">
        <f ca="1">COUNTIFS(OFFSET(Arb!$C$2,Arb!$AJ$36,,Arb!$AJ$37,),L$1,OFFSET(Arb!$AF$2,Arb!$AJ$36,,Arb!$AJ$37,),"&gt;="&amp;$B57,OFFSET(Arb!$I$2,Arb!$AJ$36,,Arb!$AJ$37,),"&gt;="&amp;$F57,OFFSET(Arb!$AI$2,Arb!$AJ$36,,Arb!$AJ$37,),TRUE)</f>
        <v>80</v>
      </c>
      <c r="M57" s="551">
        <f t="shared" ca="1" si="41"/>
        <v>247</v>
      </c>
      <c r="N57" s="341">
        <f t="shared" ca="1" si="27"/>
        <v>0.32388663967611336</v>
      </c>
      <c r="O57" s="790" t="s">
        <v>762</v>
      </c>
      <c r="P57" s="551">
        <f ca="1">COUNTIFS(OFFSET(Arb!$C$2,Arb!$AJ$36,,Arb!$AJ$37,),P$1,OFFSET(Arb!$AF$2,Arb!$AJ$36,,Arb!$AJ$37,),"&gt;="&amp;$B57,OFFSET(Arb!$I$2,Arb!$AJ$36,,Arb!$AJ$37,),"&gt;="&amp;$F57,OFFSET(Arb!$AI$2,Arb!$AJ$36,,Arb!$AJ$37,),TRUE)</f>
        <v>73</v>
      </c>
      <c r="Q57" s="551">
        <f t="shared" ca="1" si="42"/>
        <v>284</v>
      </c>
      <c r="R57" s="341">
        <f t="shared" ca="1" si="28"/>
        <v>0.25704225352112675</v>
      </c>
      <c r="S57" s="790" t="s">
        <v>762</v>
      </c>
      <c r="T57" s="1">
        <f ca="1">COUNTIFS(OFFSET(Arb!$C$2,Arb!$AJ$36,,Arb!$AJ$37,),T$1,OFFSET(Arb!$AF$2,Arb!$AJ$36,,Arb!$AJ$37,),"&gt;="&amp;$B57,OFFSET(Arb!$I$2,Arb!$AJ$36,,Arb!$AJ$37,),"&gt;="&amp;$F57,OFFSET(Arb!$AI$2,Arb!$AJ$36,,Arb!$AJ$37,),TRUE)</f>
        <v>0</v>
      </c>
      <c r="U57" s="11">
        <f t="shared" ca="1" si="43"/>
        <v>0</v>
      </c>
      <c r="V57" s="56" t="str">
        <f t="shared" ca="1" si="29"/>
        <v/>
      </c>
      <c r="W57" s="59" t="str">
        <f>ASB!$AL$67</f>
        <v>发财</v>
      </c>
      <c r="X57" s="1">
        <f ca="1">COUNTIFS(OFFSET(Arb!$C$2,Arb!$AJ$36,,Arb!$AJ$37,),X$1,OFFSET(Arb!$AF$2,Arb!$AJ$36,,Arb!$AJ$37,),"&gt;="&amp;$B57,OFFSET(Arb!$I$2,Arb!$AJ$36,,Arb!$AJ$37,),"&gt;="&amp;$F57,OFFSET(Arb!$AI$2,Arb!$AJ$36,,Arb!$AJ$37,),TRUE)</f>
        <v>0</v>
      </c>
      <c r="Y57" s="11">
        <f t="shared" ca="1" si="44"/>
        <v>0</v>
      </c>
      <c r="Z57" s="56" t="str">
        <f t="shared" ca="1" si="30"/>
        <v/>
      </c>
      <c r="AA57" s="59" t="str">
        <f>ASB!$AL$67</f>
        <v>发财</v>
      </c>
      <c r="AB57" s="1">
        <f ca="1">COUNTIFS(OFFSET(Arb!$C$2,Arb!$AJ$36,,Arb!$AJ$37,),AB$1,OFFSET(Arb!$AF$2,Arb!$AJ$36,,Arb!$AJ$37,),"&gt;="&amp;$B57,OFFSET(Arb!$I$2,Arb!$AJ$36,,Arb!$AJ$37,),"&gt;="&amp;$F57,OFFSET(Arb!$AI$2,Arb!$AJ$36,,Arb!$AJ$37,),TRUE)</f>
        <v>0</v>
      </c>
      <c r="AC57" s="11">
        <f t="shared" ca="1" si="45"/>
        <v>0</v>
      </c>
      <c r="AD57" s="56" t="str">
        <f t="shared" ca="1" si="31"/>
        <v/>
      </c>
      <c r="AE57" s="59" t="str">
        <f>ASB!$AL$67</f>
        <v>发财</v>
      </c>
      <c r="AF57" s="1"/>
      <c r="AI57" s="59"/>
      <c r="AM57" s="59"/>
    </row>
    <row r="58" spans="1:39" x14ac:dyDescent="0.25">
      <c r="A58" s="1">
        <v>500</v>
      </c>
      <c r="B58" s="36">
        <f t="shared" ca="1" si="47"/>
        <v>2.5</v>
      </c>
      <c r="C58" s="1">
        <v>100</v>
      </c>
      <c r="D58" s="51">
        <f t="shared" si="39"/>
        <v>1.5372999999999999</v>
      </c>
      <c r="E58" s="52" t="s">
        <v>45</v>
      </c>
      <c r="F58" s="53">
        <v>30</v>
      </c>
      <c r="G58" s="54" t="s">
        <v>389</v>
      </c>
      <c r="H58" s="794">
        <f ca="1">COUNTIFS(OFFSET(Arb!$AF$2,Arb!$AJ$36,,Arb!$AJ$37,),"&gt;="&amp;$B58,OFFSET(Arb!$I$2,Arb!$AJ$36,,Arb!$AJ$37,),"&gt;="&amp;$F58,OFFSET(Arb!$AI$2,Arb!$AJ$36,,Arb!$AJ$37,),TRUE)</f>
        <v>228</v>
      </c>
      <c r="I58" s="554">
        <f t="shared" ca="1" si="40"/>
        <v>531</v>
      </c>
      <c r="J58" s="792">
        <f t="shared" ca="1" si="26"/>
        <v>0.42937853107344631</v>
      </c>
      <c r="K58" s="795" t="s">
        <v>763</v>
      </c>
      <c r="L58" s="543">
        <f ca="1">COUNTIFS(OFFSET(Arb!$C$2,Arb!$AJ$36,,Arb!$AJ$37,),L$1,OFFSET(Arb!$AF$2,Arb!$AJ$36,,Arb!$AJ$37,),"&gt;="&amp;$B58,OFFSET(Arb!$I$2,Arb!$AJ$36,,Arb!$AJ$37,),"&gt;="&amp;$F58,OFFSET(Arb!$AI$2,Arb!$AJ$36,,Arb!$AJ$37,),TRUE)</f>
        <v>112</v>
      </c>
      <c r="M58" s="554">
        <f t="shared" ca="1" si="41"/>
        <v>247</v>
      </c>
      <c r="N58" s="792">
        <f t="shared" ca="1" si="27"/>
        <v>0.45344129554655871</v>
      </c>
      <c r="O58" s="793" t="s">
        <v>763</v>
      </c>
      <c r="P58" s="554">
        <f ca="1">COUNTIFS(OFFSET(Arb!$C$2,Arb!$AJ$36,,Arb!$AJ$37,),P$1,OFFSET(Arb!$AF$2,Arb!$AJ$36,,Arb!$AJ$37,),"&gt;="&amp;$B58,OFFSET(Arb!$I$2,Arb!$AJ$36,,Arb!$AJ$37,),"&gt;="&amp;$F58,OFFSET(Arb!$AI$2,Arb!$AJ$36,,Arb!$AJ$37,),TRUE)</f>
        <v>116</v>
      </c>
      <c r="Q58" s="554">
        <f t="shared" ca="1" si="42"/>
        <v>284</v>
      </c>
      <c r="R58" s="792">
        <f t="shared" ca="1" si="28"/>
        <v>0.40845070422535212</v>
      </c>
      <c r="S58" s="793" t="s">
        <v>763</v>
      </c>
      <c r="T58" s="1">
        <f ca="1">COUNTIFS(OFFSET(Arb!$C$2,Arb!$AJ$36,,Arb!$AJ$37,),T$1,OFFSET(Arb!$AF$2,Arb!$AJ$36,,Arb!$AJ$37,),"&gt;="&amp;$B58,OFFSET(Arb!$I$2,Arb!$AJ$36,,Arb!$AJ$37,),"&gt;="&amp;$F58,OFFSET(Arb!$AI$2,Arb!$AJ$36,,Arb!$AJ$37,),TRUE)</f>
        <v>0</v>
      </c>
      <c r="U58" s="11">
        <f t="shared" ca="1" si="43"/>
        <v>0</v>
      </c>
      <c r="V58" s="56" t="str">
        <f t="shared" ca="1" si="29"/>
        <v/>
      </c>
      <c r="W58" s="59" t="str">
        <f>ASB!$AL$67</f>
        <v>发财</v>
      </c>
      <c r="X58" s="1">
        <f ca="1">COUNTIFS(OFFSET(Arb!$C$2,Arb!$AJ$36,,Arb!$AJ$37,),X$1,OFFSET(Arb!$AF$2,Arb!$AJ$36,,Arb!$AJ$37,),"&gt;="&amp;$B58,OFFSET(Arb!$I$2,Arb!$AJ$36,,Arb!$AJ$37,),"&gt;="&amp;$F58,OFFSET(Arb!$AI$2,Arb!$AJ$36,,Arb!$AJ$37,),TRUE)</f>
        <v>0</v>
      </c>
      <c r="Y58" s="11">
        <f t="shared" ca="1" si="44"/>
        <v>0</v>
      </c>
      <c r="Z58" s="56" t="str">
        <f t="shared" ca="1" si="30"/>
        <v/>
      </c>
      <c r="AA58" s="59" t="str">
        <f>ASB!$AL$67</f>
        <v>发财</v>
      </c>
      <c r="AB58" s="1">
        <f ca="1">COUNTIFS(OFFSET(Arb!$C$2,Arb!$AJ$36,,Arb!$AJ$37,),AB$1,OFFSET(Arb!$AF$2,Arb!$AJ$36,,Arb!$AJ$37,),"&gt;="&amp;$B58,OFFSET(Arb!$I$2,Arb!$AJ$36,,Arb!$AJ$37,),"&gt;="&amp;$F58,OFFSET(Arb!$AI$2,Arb!$AJ$36,,Arb!$AJ$37,),TRUE)</f>
        <v>0</v>
      </c>
      <c r="AC58" s="11">
        <f t="shared" ca="1" si="45"/>
        <v>0</v>
      </c>
      <c r="AD58" s="56" t="str">
        <f t="shared" ca="1" si="31"/>
        <v/>
      </c>
      <c r="AE58" s="59" t="str">
        <f>ASB!$AL$67</f>
        <v>发财</v>
      </c>
      <c r="AF58" s="1"/>
      <c r="AI58" s="59"/>
      <c r="AM58" s="59"/>
    </row>
    <row r="59" spans="1:39" x14ac:dyDescent="0.25">
      <c r="A59" s="1">
        <v>500</v>
      </c>
      <c r="B59" s="36">
        <f t="shared" ca="1" si="47"/>
        <v>2.4</v>
      </c>
      <c r="C59" s="1">
        <v>100</v>
      </c>
      <c r="D59" s="51">
        <f t="shared" si="39"/>
        <v>1.5372999999999999</v>
      </c>
      <c r="E59" s="52" t="s">
        <v>45</v>
      </c>
      <c r="F59" s="53">
        <v>30</v>
      </c>
      <c r="G59" s="54" t="s">
        <v>389</v>
      </c>
      <c r="H59" s="794">
        <f ca="1">COUNTIFS(OFFSET(Arb!$AF$2,Arb!$AJ$36,,Arb!$AJ$37,),"&gt;="&amp;$B59,OFFSET(Arb!$I$2,Arb!$AJ$36,,Arb!$AJ$37,),"&gt;="&amp;$F59,OFFSET(Arb!$AI$2,Arb!$AJ$36,,Arb!$AJ$37,),TRUE)</f>
        <v>300</v>
      </c>
      <c r="I59" s="554">
        <f t="shared" ca="1" si="40"/>
        <v>531</v>
      </c>
      <c r="J59" s="792">
        <f t="shared" ca="1" si="26"/>
        <v>0.56497175141242939</v>
      </c>
      <c r="K59" s="795" t="s">
        <v>763</v>
      </c>
      <c r="L59" s="543">
        <f ca="1">COUNTIFS(OFFSET(Arb!$C$2,Arb!$AJ$36,,Arb!$AJ$37,),L$1,OFFSET(Arb!$AF$2,Arb!$AJ$36,,Arb!$AJ$37,),"&gt;="&amp;$B59,OFFSET(Arb!$I$2,Arb!$AJ$36,,Arb!$AJ$37,),"&gt;="&amp;$F59,OFFSET(Arb!$AI$2,Arb!$AJ$36,,Arb!$AJ$37,),TRUE)</f>
        <v>141</v>
      </c>
      <c r="M59" s="554">
        <f t="shared" ca="1" si="41"/>
        <v>247</v>
      </c>
      <c r="N59" s="792">
        <f t="shared" ca="1" si="27"/>
        <v>0.57085020242914974</v>
      </c>
      <c r="O59" s="793" t="s">
        <v>763</v>
      </c>
      <c r="P59" s="554">
        <f ca="1">COUNTIFS(OFFSET(Arb!$C$2,Arb!$AJ$36,,Arb!$AJ$37,),P$1,OFFSET(Arb!$AF$2,Arb!$AJ$36,,Arb!$AJ$37,),"&gt;="&amp;$B59,OFFSET(Arb!$I$2,Arb!$AJ$36,,Arb!$AJ$37,),"&gt;="&amp;$F59,OFFSET(Arb!$AI$2,Arb!$AJ$36,,Arb!$AJ$37,),TRUE)</f>
        <v>159</v>
      </c>
      <c r="Q59" s="554">
        <f t="shared" ca="1" si="42"/>
        <v>284</v>
      </c>
      <c r="R59" s="792">
        <f t="shared" ca="1" si="28"/>
        <v>0.5598591549295775</v>
      </c>
      <c r="S59" s="793" t="s">
        <v>763</v>
      </c>
      <c r="T59" s="1">
        <f ca="1">COUNTIFS(OFFSET(Arb!$C$2,Arb!$AJ$36,,Arb!$AJ$37,),T$1,OFFSET(Arb!$AF$2,Arb!$AJ$36,,Arb!$AJ$37,),"&gt;="&amp;$B59,OFFSET(Arb!$I$2,Arb!$AJ$36,,Arb!$AJ$37,),"&gt;="&amp;$F59,OFFSET(Arb!$AI$2,Arb!$AJ$36,,Arb!$AJ$37,),TRUE)</f>
        <v>0</v>
      </c>
      <c r="U59" s="11">
        <f t="shared" ca="1" si="43"/>
        <v>0</v>
      </c>
      <c r="V59" s="56" t="str">
        <f t="shared" ca="1" si="29"/>
        <v/>
      </c>
      <c r="W59" s="59" t="str">
        <f>ASB!$AL$67</f>
        <v>发财</v>
      </c>
      <c r="X59" s="1">
        <f ca="1">COUNTIFS(OFFSET(Arb!$C$2,Arb!$AJ$36,,Arb!$AJ$37,),X$1,OFFSET(Arb!$AF$2,Arb!$AJ$36,,Arb!$AJ$37,),"&gt;="&amp;$B59,OFFSET(Arb!$I$2,Arb!$AJ$36,,Arb!$AJ$37,),"&gt;="&amp;$F59,OFFSET(Arb!$AI$2,Arb!$AJ$36,,Arb!$AJ$37,),TRUE)</f>
        <v>0</v>
      </c>
      <c r="Y59" s="11">
        <f t="shared" ca="1" si="44"/>
        <v>0</v>
      </c>
      <c r="Z59" s="56" t="str">
        <f t="shared" ca="1" si="30"/>
        <v/>
      </c>
      <c r="AA59" s="59" t="str">
        <f>ASB!$AL$67</f>
        <v>发财</v>
      </c>
      <c r="AB59" s="1">
        <f ca="1">COUNTIFS(OFFSET(Arb!$C$2,Arb!$AJ$36,,Arb!$AJ$37,),AB$1,OFFSET(Arb!$AF$2,Arb!$AJ$36,,Arb!$AJ$37,),"&gt;="&amp;$B59,OFFSET(Arb!$I$2,Arb!$AJ$36,,Arb!$AJ$37,),"&gt;="&amp;$F59,OFFSET(Arb!$AI$2,Arb!$AJ$36,,Arb!$AJ$37,),TRUE)</f>
        <v>0</v>
      </c>
      <c r="AC59" s="11">
        <f t="shared" ca="1" si="45"/>
        <v>0</v>
      </c>
      <c r="AD59" s="56" t="str">
        <f t="shared" ca="1" si="31"/>
        <v/>
      </c>
      <c r="AE59" s="59" t="str">
        <f>ASB!$AL$67</f>
        <v>发财</v>
      </c>
      <c r="AF59" s="1"/>
      <c r="AI59" s="59"/>
      <c r="AM59" s="59"/>
    </row>
    <row r="60" spans="1:39" x14ac:dyDescent="0.25">
      <c r="A60" s="1">
        <v>500</v>
      </c>
      <c r="B60" s="36">
        <f t="shared" ca="1" si="47"/>
        <v>2.2999999999999998</v>
      </c>
      <c r="C60" s="11">
        <v>100</v>
      </c>
      <c r="D60" s="51">
        <f t="shared" si="39"/>
        <v>1.5372999999999999</v>
      </c>
      <c r="E60" s="52" t="s">
        <v>45</v>
      </c>
      <c r="F60" s="53">
        <v>30</v>
      </c>
      <c r="G60" s="54" t="s">
        <v>389</v>
      </c>
      <c r="H60" s="794">
        <f ca="1">COUNTIFS(OFFSET(Arb!$AF$2,Arb!$AJ$36,,Arb!$AJ$37,),"&gt;="&amp;$B60,OFFSET(Arb!$I$2,Arb!$AJ$36,,Arb!$AJ$37,),"&gt;="&amp;$F60,OFFSET(Arb!$AI$2,Arb!$AJ$36,,Arb!$AJ$37,),TRUE)</f>
        <v>363</v>
      </c>
      <c r="I60" s="554">
        <f t="shared" ca="1" si="40"/>
        <v>531</v>
      </c>
      <c r="J60" s="792">
        <f t="shared" ca="1" si="26"/>
        <v>0.68361581920903958</v>
      </c>
      <c r="K60" s="795" t="s">
        <v>763</v>
      </c>
      <c r="L60" s="543">
        <f ca="1">COUNTIFS(OFFSET(Arb!$C$2,Arb!$AJ$36,,Arb!$AJ$37,),L$1,OFFSET(Arb!$AF$2,Arb!$AJ$36,,Arb!$AJ$37,),"&gt;="&amp;$B60,OFFSET(Arb!$I$2,Arb!$AJ$36,,Arb!$AJ$37,),"&gt;="&amp;$F60,OFFSET(Arb!$AI$2,Arb!$AJ$36,,Arb!$AJ$37,),TRUE)</f>
        <v>169</v>
      </c>
      <c r="M60" s="554">
        <f t="shared" ca="1" si="41"/>
        <v>247</v>
      </c>
      <c r="N60" s="792">
        <f t="shared" ca="1" si="27"/>
        <v>0.68421052631578949</v>
      </c>
      <c r="O60" s="793" t="s">
        <v>763</v>
      </c>
      <c r="P60" s="554">
        <f ca="1">COUNTIFS(OFFSET(Arb!$C$2,Arb!$AJ$36,,Arb!$AJ$37,),P$1,OFFSET(Arb!$AF$2,Arb!$AJ$36,,Arb!$AJ$37,),"&gt;="&amp;$B60,OFFSET(Arb!$I$2,Arb!$AJ$36,,Arb!$AJ$37,),"&gt;="&amp;$F60,OFFSET(Arb!$AI$2,Arb!$AJ$36,,Arb!$AJ$37,),TRUE)</f>
        <v>194</v>
      </c>
      <c r="Q60" s="554">
        <f t="shared" ca="1" si="42"/>
        <v>284</v>
      </c>
      <c r="R60" s="792">
        <f t="shared" ca="1" si="28"/>
        <v>0.68309859154929575</v>
      </c>
      <c r="S60" s="793" t="s">
        <v>763</v>
      </c>
      <c r="T60" s="1">
        <f ca="1">COUNTIFS(OFFSET(Arb!$C$2,Arb!$AJ$36,,Arb!$AJ$37,),T$1,OFFSET(Arb!$AF$2,Arb!$AJ$36,,Arb!$AJ$37,),"&gt;="&amp;$B60,OFFSET(Arb!$I$2,Arb!$AJ$36,,Arb!$AJ$37,),"&gt;="&amp;$F60,OFFSET(Arb!$AI$2,Arb!$AJ$36,,Arb!$AJ$37,),TRUE)</f>
        <v>0</v>
      </c>
      <c r="U60" s="11">
        <f t="shared" ca="1" si="43"/>
        <v>0</v>
      </c>
      <c r="V60" s="56" t="str">
        <f t="shared" ca="1" si="29"/>
        <v/>
      </c>
      <c r="W60" s="59" t="str">
        <f>ASB!$AL$67</f>
        <v>发财</v>
      </c>
      <c r="X60" s="1">
        <f ca="1">COUNTIFS(OFFSET(Arb!$C$2,Arb!$AJ$36,,Arb!$AJ$37,),X$1,OFFSET(Arb!$AF$2,Arb!$AJ$36,,Arb!$AJ$37,),"&gt;="&amp;$B60,OFFSET(Arb!$I$2,Arb!$AJ$36,,Arb!$AJ$37,),"&gt;="&amp;$F60,OFFSET(Arb!$AI$2,Arb!$AJ$36,,Arb!$AJ$37,),TRUE)</f>
        <v>0</v>
      </c>
      <c r="Y60" s="11">
        <f t="shared" ca="1" si="44"/>
        <v>0</v>
      </c>
      <c r="Z60" s="56" t="str">
        <f t="shared" ca="1" si="30"/>
        <v/>
      </c>
      <c r="AA60" s="59" t="str">
        <f>ASB!$AL$67</f>
        <v>发财</v>
      </c>
      <c r="AB60" s="1">
        <f ca="1">COUNTIFS(OFFSET(Arb!$C$2,Arb!$AJ$36,,Arb!$AJ$37,),AB$1,OFFSET(Arb!$AF$2,Arb!$AJ$36,,Arb!$AJ$37,),"&gt;="&amp;$B60,OFFSET(Arb!$I$2,Arb!$AJ$36,,Arb!$AJ$37,),"&gt;="&amp;$F60,OFFSET(Arb!$AI$2,Arb!$AJ$36,,Arb!$AJ$37,),TRUE)</f>
        <v>0</v>
      </c>
      <c r="AC60" s="11">
        <f t="shared" ca="1" si="45"/>
        <v>0</v>
      </c>
      <c r="AD60" s="56" t="str">
        <f t="shared" ca="1" si="31"/>
        <v/>
      </c>
      <c r="AE60" s="59" t="str">
        <f>ASB!$AL$67</f>
        <v>发财</v>
      </c>
      <c r="AF60" s="1"/>
      <c r="AI60" s="59"/>
      <c r="AM60" s="59"/>
    </row>
    <row r="61" spans="1:39" x14ac:dyDescent="0.25">
      <c r="A61" s="1">
        <v>500</v>
      </c>
      <c r="B61" s="36">
        <f t="shared" ca="1" si="47"/>
        <v>2.2000000000000002</v>
      </c>
      <c r="C61" s="11">
        <v>100</v>
      </c>
      <c r="D61" s="51">
        <f t="shared" si="39"/>
        <v>1.5372999999999999</v>
      </c>
      <c r="E61" s="52" t="s">
        <v>45</v>
      </c>
      <c r="F61" s="53">
        <v>30</v>
      </c>
      <c r="G61" s="54" t="s">
        <v>389</v>
      </c>
      <c r="H61" s="794">
        <f ca="1">COUNTIFS(OFFSET(Arb!$AF$2,Arb!$AJ$36,,Arb!$AJ$37,),"&gt;="&amp;$B61,OFFSET(Arb!$I$2,Arb!$AJ$36,,Arb!$AJ$37,),"&gt;="&amp;$F61,OFFSET(Arb!$AI$2,Arb!$AJ$36,,Arb!$AJ$37,),TRUE)</f>
        <v>423</v>
      </c>
      <c r="I61" s="554">
        <f t="shared" ca="1" si="40"/>
        <v>531</v>
      </c>
      <c r="J61" s="792">
        <f t="shared" ca="1" si="26"/>
        <v>0.79661016949152541</v>
      </c>
      <c r="K61" s="795" t="s">
        <v>763</v>
      </c>
      <c r="L61" s="543">
        <f ca="1">COUNTIFS(OFFSET(Arb!$C$2,Arb!$AJ$36,,Arb!$AJ$37,),L$1,OFFSET(Arb!$AF$2,Arb!$AJ$36,,Arb!$AJ$37,),"&gt;="&amp;$B61,OFFSET(Arb!$I$2,Arb!$AJ$36,,Arb!$AJ$37,),"&gt;="&amp;$F61,OFFSET(Arb!$AI$2,Arb!$AJ$36,,Arb!$AJ$37,),TRUE)</f>
        <v>197</v>
      </c>
      <c r="M61" s="554">
        <f t="shared" ca="1" si="41"/>
        <v>247</v>
      </c>
      <c r="N61" s="792">
        <f t="shared" ca="1" si="27"/>
        <v>0.79757085020242913</v>
      </c>
      <c r="O61" s="793" t="s">
        <v>763</v>
      </c>
      <c r="P61" s="554">
        <f ca="1">COUNTIFS(OFFSET(Arb!$C$2,Arb!$AJ$36,,Arb!$AJ$37,),P$1,OFFSET(Arb!$AF$2,Arb!$AJ$36,,Arb!$AJ$37,),"&gt;="&amp;$B61,OFFSET(Arb!$I$2,Arb!$AJ$36,,Arb!$AJ$37,),"&gt;="&amp;$F61,OFFSET(Arb!$AI$2,Arb!$AJ$36,,Arb!$AJ$37,),TRUE)</f>
        <v>226</v>
      </c>
      <c r="Q61" s="554">
        <f t="shared" ca="1" si="42"/>
        <v>284</v>
      </c>
      <c r="R61" s="792">
        <f t="shared" ca="1" si="28"/>
        <v>0.79577464788732399</v>
      </c>
      <c r="S61" s="793" t="s">
        <v>763</v>
      </c>
      <c r="T61" s="1">
        <f ca="1">COUNTIFS(OFFSET(Arb!$C$2,Arb!$AJ$36,,Arb!$AJ$37,),T$1,OFFSET(Arb!$AF$2,Arb!$AJ$36,,Arb!$AJ$37,),"&gt;="&amp;$B61,OFFSET(Arb!$I$2,Arb!$AJ$36,,Arb!$AJ$37,),"&gt;="&amp;$F61,OFFSET(Arb!$AI$2,Arb!$AJ$36,,Arb!$AJ$37,),TRUE)</f>
        <v>0</v>
      </c>
      <c r="U61" s="11">
        <f t="shared" ca="1" si="43"/>
        <v>0</v>
      </c>
      <c r="V61" s="56" t="str">
        <f t="shared" ca="1" si="29"/>
        <v/>
      </c>
      <c r="W61" s="59" t="str">
        <f>ASB!$AL$67</f>
        <v>发财</v>
      </c>
      <c r="X61" s="1">
        <f ca="1">COUNTIFS(OFFSET(Arb!$C$2,Arb!$AJ$36,,Arb!$AJ$37,),X$1,OFFSET(Arb!$AF$2,Arb!$AJ$36,,Arb!$AJ$37,),"&gt;="&amp;$B61,OFFSET(Arb!$I$2,Arb!$AJ$36,,Arb!$AJ$37,),"&gt;="&amp;$F61,OFFSET(Arb!$AI$2,Arb!$AJ$36,,Arb!$AJ$37,),TRUE)</f>
        <v>0</v>
      </c>
      <c r="Y61" s="11">
        <f t="shared" ca="1" si="44"/>
        <v>0</v>
      </c>
      <c r="Z61" s="56" t="str">
        <f t="shared" ca="1" si="30"/>
        <v/>
      </c>
      <c r="AA61" s="59" t="str">
        <f>ASB!$AL$67</f>
        <v>发财</v>
      </c>
      <c r="AB61" s="1">
        <f ca="1">COUNTIFS(OFFSET(Arb!$C$2,Arb!$AJ$36,,Arb!$AJ$37,),AB$1,OFFSET(Arb!$AF$2,Arb!$AJ$36,,Arb!$AJ$37,),"&gt;="&amp;$B61,OFFSET(Arb!$I$2,Arb!$AJ$36,,Arb!$AJ$37,),"&gt;="&amp;$F61,OFFSET(Arb!$AI$2,Arb!$AJ$36,,Arb!$AJ$37,),TRUE)</f>
        <v>0</v>
      </c>
      <c r="AC61" s="11">
        <f t="shared" ca="1" si="45"/>
        <v>0</v>
      </c>
      <c r="AD61" s="56" t="str">
        <f t="shared" ca="1" si="31"/>
        <v/>
      </c>
      <c r="AE61" s="59" t="str">
        <f>ASB!$AL$67</f>
        <v>发财</v>
      </c>
      <c r="AF61" s="1"/>
      <c r="AI61" s="59"/>
      <c r="AM61" s="59"/>
    </row>
    <row r="62" spans="1:39" x14ac:dyDescent="0.25">
      <c r="A62" s="1">
        <v>500</v>
      </c>
      <c r="B62" s="36">
        <f t="shared" ca="1" si="47"/>
        <v>2.1</v>
      </c>
      <c r="C62" s="11">
        <v>100</v>
      </c>
      <c r="D62" s="51">
        <f t="shared" si="39"/>
        <v>1.5372999999999999</v>
      </c>
      <c r="E62" s="52" t="s">
        <v>45</v>
      </c>
      <c r="F62" s="53">
        <v>30</v>
      </c>
      <c r="G62" s="54" t="s">
        <v>389</v>
      </c>
      <c r="H62" s="794">
        <f ca="1">COUNTIFS(OFFSET(Arb!$AF$2,Arb!$AJ$36,,Arb!$AJ$37,),"&gt;="&amp;$B62,OFFSET(Arb!$I$2,Arb!$AJ$36,,Arb!$AJ$37,),"&gt;="&amp;$F62,OFFSET(Arb!$AI$2,Arb!$AJ$36,,Arb!$AJ$37,),TRUE)</f>
        <v>463</v>
      </c>
      <c r="I62" s="554">
        <f t="shared" ca="1" si="40"/>
        <v>531</v>
      </c>
      <c r="J62" s="792">
        <f t="shared" ca="1" si="26"/>
        <v>0.871939736346516</v>
      </c>
      <c r="K62" s="795" t="s">
        <v>763</v>
      </c>
      <c r="L62" s="543">
        <f ca="1">COUNTIFS(OFFSET(Arb!$C$2,Arb!$AJ$36,,Arb!$AJ$37,),L$1,OFFSET(Arb!$AF$2,Arb!$AJ$36,,Arb!$AJ$37,),"&gt;="&amp;$B62,OFFSET(Arb!$I$2,Arb!$AJ$36,,Arb!$AJ$37,),"&gt;="&amp;$F62,OFFSET(Arb!$AI$2,Arb!$AJ$36,,Arb!$AJ$37,),TRUE)</f>
        <v>215</v>
      </c>
      <c r="M62" s="554">
        <f t="shared" ca="1" si="41"/>
        <v>247</v>
      </c>
      <c r="N62" s="792">
        <f t="shared" ca="1" si="27"/>
        <v>0.87044534412955465</v>
      </c>
      <c r="O62" s="793" t="s">
        <v>763</v>
      </c>
      <c r="P62" s="554">
        <f ca="1">COUNTIFS(OFFSET(Arb!$C$2,Arb!$AJ$36,,Arb!$AJ$37,),P$1,OFFSET(Arb!$AF$2,Arb!$AJ$36,,Arb!$AJ$37,),"&gt;="&amp;$B62,OFFSET(Arb!$I$2,Arb!$AJ$36,,Arb!$AJ$37,),"&gt;="&amp;$F62,OFFSET(Arb!$AI$2,Arb!$AJ$36,,Arb!$AJ$37,),TRUE)</f>
        <v>248</v>
      </c>
      <c r="Q62" s="554">
        <f t="shared" ca="1" si="42"/>
        <v>284</v>
      </c>
      <c r="R62" s="792">
        <f t="shared" ca="1" si="28"/>
        <v>0.87323943661971826</v>
      </c>
      <c r="S62" s="793" t="s">
        <v>763</v>
      </c>
      <c r="T62" s="1">
        <f ca="1">COUNTIFS(OFFSET(Arb!$C$2,Arb!$AJ$36,,Arb!$AJ$37,),T$1,OFFSET(Arb!$AF$2,Arb!$AJ$36,,Arb!$AJ$37,),"&gt;="&amp;$B62,OFFSET(Arb!$I$2,Arb!$AJ$36,,Arb!$AJ$37,),"&gt;="&amp;$F62,OFFSET(Arb!$AI$2,Arb!$AJ$36,,Arb!$AJ$37,),TRUE)</f>
        <v>0</v>
      </c>
      <c r="U62" s="11">
        <f t="shared" ca="1" si="43"/>
        <v>0</v>
      </c>
      <c r="V62" s="56" t="str">
        <f t="shared" ca="1" si="29"/>
        <v/>
      </c>
      <c r="W62" s="59" t="str">
        <f>ASB!$AL$67</f>
        <v>发财</v>
      </c>
      <c r="X62" s="1">
        <f ca="1">COUNTIFS(OFFSET(Arb!$C$2,Arb!$AJ$36,,Arb!$AJ$37,),X$1,OFFSET(Arb!$AF$2,Arb!$AJ$36,,Arb!$AJ$37,),"&gt;="&amp;$B62,OFFSET(Arb!$I$2,Arb!$AJ$36,,Arb!$AJ$37,),"&gt;="&amp;$F62,OFFSET(Arb!$AI$2,Arb!$AJ$36,,Arb!$AJ$37,),TRUE)</f>
        <v>0</v>
      </c>
      <c r="Y62" s="11">
        <f t="shared" ca="1" si="44"/>
        <v>0</v>
      </c>
      <c r="Z62" s="56" t="str">
        <f t="shared" ca="1" si="30"/>
        <v/>
      </c>
      <c r="AA62" s="59" t="str">
        <f>ASB!$AL$67</f>
        <v>发财</v>
      </c>
      <c r="AB62" s="1">
        <f ca="1">COUNTIFS(OFFSET(Arb!$C$2,Arb!$AJ$36,,Arb!$AJ$37,),AB$1,OFFSET(Arb!$AF$2,Arb!$AJ$36,,Arb!$AJ$37,),"&gt;="&amp;$B62,OFFSET(Arb!$I$2,Arb!$AJ$36,,Arb!$AJ$37,),"&gt;="&amp;$F62,OFFSET(Arb!$AI$2,Arb!$AJ$36,,Arb!$AJ$37,),TRUE)</f>
        <v>0</v>
      </c>
      <c r="AC62" s="11">
        <f t="shared" ca="1" si="45"/>
        <v>0</v>
      </c>
      <c r="AD62" s="56" t="str">
        <f t="shared" ca="1" si="31"/>
        <v/>
      </c>
      <c r="AE62" s="59" t="str">
        <f>ASB!$AL$67</f>
        <v>发财</v>
      </c>
      <c r="AF62" s="1"/>
      <c r="AI62" s="59"/>
      <c r="AM62" s="59"/>
    </row>
    <row r="63" spans="1:39" x14ac:dyDescent="0.25">
      <c r="A63" s="1">
        <v>500</v>
      </c>
      <c r="B63" s="11">
        <v>0</v>
      </c>
      <c r="C63" s="62">
        <f ca="1">153.73/D63</f>
        <v>2.1961428571428572</v>
      </c>
      <c r="D63" s="63">
        <f ca="1">MAX(INT(OFFSET(QG!S1,Arb!AJ16,)/5),14)*5</f>
        <v>70</v>
      </c>
      <c r="E63" s="52" t="s">
        <v>45</v>
      </c>
      <c r="F63" s="53">
        <v>30</v>
      </c>
      <c r="G63" s="54" t="s">
        <v>390</v>
      </c>
      <c r="H63" s="55">
        <f ca="1">COUNTIFS(OFFSET(Arb!$AG$2,Arb!$AJ$36,,Arb!$AJ$37,),"&lt;"&amp;$C63,OFFSET(Arb!$I$2,Arb!$AJ$36,,Arb!$AJ$37,),"&gt;="&amp;$F63,OFFSET(Arb!$AI$2,Arb!$AJ$36,,Arb!$AJ$37,),TRUE)</f>
        <v>0</v>
      </c>
      <c r="I63" s="11">
        <f t="shared" ca="1" si="40"/>
        <v>531</v>
      </c>
      <c r="J63" s="56">
        <f t="shared" ref="J63:J71" ca="1" si="48">IFERROR(H63/I63,"")</f>
        <v>0</v>
      </c>
      <c r="K63" s="57" t="str">
        <f>ASB!$AL$67</f>
        <v>发财</v>
      </c>
      <c r="L63" s="58">
        <f ca="1">COUNTIFS(OFFSET(Arb!$C$2,Arb!$AJ$36,,Arb!$AJ$37,),L$1,OFFSET(Arb!$AG$2,Arb!$AJ$36,,Arb!$AJ$37,),"&lt;"&amp;$C63,OFFSET(Arb!$I$2,Arb!$AJ$36,,Arb!$AJ$37,),"&gt;="&amp;$F63,OFFSET(Arb!$AI$2,Arb!$AJ$36,,Arb!$AJ$37,),TRUE)</f>
        <v>0</v>
      </c>
      <c r="M63" s="11">
        <f t="shared" ca="1" si="41"/>
        <v>247</v>
      </c>
      <c r="N63" s="56">
        <f t="shared" ref="N63:N71" ca="1" si="49">IFERROR(L63/M63,"")</f>
        <v>0</v>
      </c>
      <c r="O63" s="59" t="str">
        <f>ASB!$AL$67</f>
        <v>发财</v>
      </c>
      <c r="P63" s="1">
        <f ca="1">COUNTIFS(OFFSET(Arb!$C$2,Arb!$AJ$36,,Arb!$AJ$37,),P$1,OFFSET(Arb!$AG$2,Arb!$AJ$36,,Arb!$AJ$37,),"&lt;"&amp;$C63,OFFSET(Arb!$I$2,Arb!$AJ$36,,Arb!$AJ$37,),"&gt;="&amp;$F63,OFFSET(Arb!$AI$2,Arb!$AJ$36,,Arb!$AJ$37,),TRUE)</f>
        <v>0</v>
      </c>
      <c r="Q63" s="11">
        <f t="shared" ca="1" si="42"/>
        <v>284</v>
      </c>
      <c r="R63" s="56">
        <f t="shared" ref="R63:R71" ca="1" si="50">IFERROR(P63/Q63,"")</f>
        <v>0</v>
      </c>
      <c r="S63" s="59" t="str">
        <f>ASB!$AL$67</f>
        <v>发财</v>
      </c>
      <c r="T63" s="1">
        <f ca="1">COUNTIFS(OFFSET(Arb!$C$2,Arb!$AJ$36,,Arb!$AJ$37,),T$1,OFFSET(Arb!$AG$2,Arb!$AJ$36,,Arb!$AJ$37,),"&lt;"&amp;$C63,OFFSET(Arb!$I$2,Arb!$AJ$36,,Arb!$AJ$37,),"&gt;="&amp;$F63,OFFSET(Arb!$AI$2,Arb!$AJ$36,,Arb!$AJ$37,),TRUE)</f>
        <v>0</v>
      </c>
      <c r="U63" s="11">
        <f t="shared" ca="1" si="43"/>
        <v>0</v>
      </c>
      <c r="V63" s="56" t="str">
        <f t="shared" ref="V63:V71" ca="1" si="51">IFERROR(T63/U63,"")</f>
        <v/>
      </c>
      <c r="W63" s="59" t="str">
        <f>ASB!$AL$67</f>
        <v>发财</v>
      </c>
      <c r="X63" s="1">
        <f ca="1">COUNTIFS(OFFSET(Arb!$C$2,Arb!$AJ$36,,Arb!$AJ$37,),X$1,OFFSET(Arb!$AG$2,Arb!$AJ$36,,Arb!$AJ$37,),"&lt;"&amp;$C63,OFFSET(Arb!$I$2,Arb!$AJ$36,,Arb!$AJ$37,),"&gt;="&amp;$F63,OFFSET(Arb!$AI$2,Arb!$AJ$36,,Arb!$AJ$37,),TRUE)</f>
        <v>0</v>
      </c>
      <c r="Y63" s="11">
        <f t="shared" ca="1" si="44"/>
        <v>0</v>
      </c>
      <c r="Z63" s="56" t="str">
        <f t="shared" ref="Z63:Z71" ca="1" si="52">IFERROR(X63/Y63,"")</f>
        <v/>
      </c>
      <c r="AA63" s="59" t="str">
        <f>ASB!$AL$67</f>
        <v>发财</v>
      </c>
      <c r="AB63" s="1">
        <f ca="1">COUNTIFS(OFFSET(Arb!$C$2,Arb!$AJ$36,,Arb!$AJ$37,),AB$1,OFFSET(Arb!$AG$2,Arb!$AJ$36,,Arb!$AJ$37,),"&lt;"&amp;$C63,OFFSET(Arb!$I$2,Arb!$AJ$36,,Arb!$AJ$37,),"&gt;="&amp;$F63,OFFSET(Arb!$AI$2,Arb!$AJ$36,,Arb!$AJ$37,),TRUE)</f>
        <v>0</v>
      </c>
      <c r="AC63" s="11">
        <f t="shared" ca="1" si="45"/>
        <v>0</v>
      </c>
      <c r="AD63" s="56" t="str">
        <f t="shared" ref="AD63:AD71" ca="1" si="53">IFERROR(AB63/AC63,"")</f>
        <v/>
      </c>
      <c r="AE63" s="59" t="str">
        <f>ASB!$AL$67</f>
        <v>发财</v>
      </c>
      <c r="AF63" s="1"/>
      <c r="AI63" s="59"/>
      <c r="AM63" s="59"/>
    </row>
    <row r="64" spans="1:39" x14ac:dyDescent="0.25">
      <c r="A64" s="1">
        <v>500</v>
      </c>
      <c r="B64" s="11">
        <v>0</v>
      </c>
      <c r="C64" s="62">
        <f t="shared" ref="C64:C70" ca="1" si="54">153.73/D64</f>
        <v>2.3650769230769231</v>
      </c>
      <c r="D64" s="63">
        <f ca="1">D63-5</f>
        <v>65</v>
      </c>
      <c r="E64" s="52" t="s">
        <v>39</v>
      </c>
      <c r="F64" s="53">
        <v>30</v>
      </c>
      <c r="G64" s="54" t="s">
        <v>390</v>
      </c>
      <c r="H64" s="55">
        <f ca="1">COUNTIFS(OFFSET(Arb!$AG$2,Arb!$AJ$36,,Arb!$AJ$37,),"&lt;"&amp;$C64,OFFSET(Arb!$I$2,Arb!$AJ$36,,Arb!$AJ$37,),"&gt;="&amp;$F64,OFFSET(Arb!$AI$2,Arb!$AJ$36,,Arb!$AJ$37,),TRUE)</f>
        <v>0</v>
      </c>
      <c r="I64" s="11">
        <f t="shared" ca="1" si="40"/>
        <v>531</v>
      </c>
      <c r="J64" s="56">
        <f t="shared" ca="1" si="48"/>
        <v>0</v>
      </c>
      <c r="K64" s="57" t="str">
        <f>ASB!$AL$67</f>
        <v>发财</v>
      </c>
      <c r="L64" s="58">
        <f ca="1">COUNTIFS(OFFSET(Arb!$C$2,Arb!$AJ$36,,Arb!$AJ$37,),L$1,OFFSET(Arb!$AG$2,Arb!$AJ$36,,Arb!$AJ$37,),"&lt;"&amp;$C64,OFFSET(Arb!$I$2,Arb!$AJ$36,,Arb!$AJ$37,),"&gt;="&amp;$F64,OFFSET(Arb!$AI$2,Arb!$AJ$36,,Arb!$AJ$37,),TRUE)</f>
        <v>0</v>
      </c>
      <c r="M64" s="11">
        <f t="shared" ca="1" si="41"/>
        <v>247</v>
      </c>
      <c r="N64" s="56">
        <f t="shared" ca="1" si="49"/>
        <v>0</v>
      </c>
      <c r="O64" s="59" t="str">
        <f>ASB!$AL$67</f>
        <v>发财</v>
      </c>
      <c r="P64" s="1">
        <f ca="1">COUNTIFS(OFFSET(Arb!$C$2,Arb!$AJ$36,,Arb!$AJ$37,),P$1,OFFSET(Arb!$AG$2,Arb!$AJ$36,,Arb!$AJ$37,),"&lt;"&amp;$C64,OFFSET(Arb!$I$2,Arb!$AJ$36,,Arb!$AJ$37,),"&gt;="&amp;$F64,OFFSET(Arb!$AI$2,Arb!$AJ$36,,Arb!$AJ$37,),TRUE)</f>
        <v>0</v>
      </c>
      <c r="Q64" s="11">
        <f t="shared" ca="1" si="42"/>
        <v>284</v>
      </c>
      <c r="R64" s="56">
        <f t="shared" ca="1" si="50"/>
        <v>0</v>
      </c>
      <c r="S64" s="59" t="str">
        <f>ASB!$AL$67</f>
        <v>发财</v>
      </c>
      <c r="T64" s="1">
        <f ca="1">COUNTIFS(OFFSET(Arb!$C$2,Arb!$AJ$36,,Arb!$AJ$37,),T$1,OFFSET(Arb!$AG$2,Arb!$AJ$36,,Arb!$AJ$37,),"&lt;"&amp;$C64,OFFSET(Arb!$I$2,Arb!$AJ$36,,Arb!$AJ$37,),"&gt;="&amp;$F64,OFFSET(Arb!$AI$2,Arb!$AJ$36,,Arb!$AJ$37,),TRUE)</f>
        <v>0</v>
      </c>
      <c r="U64" s="11">
        <f t="shared" ca="1" si="43"/>
        <v>0</v>
      </c>
      <c r="V64" s="56" t="str">
        <f t="shared" ca="1" si="51"/>
        <v/>
      </c>
      <c r="W64" s="59" t="str">
        <f>ASB!$AL$67</f>
        <v>发财</v>
      </c>
      <c r="X64" s="1">
        <f ca="1">COUNTIFS(OFFSET(Arb!$C$2,Arb!$AJ$36,,Arb!$AJ$37,),X$1,OFFSET(Arb!$AG$2,Arb!$AJ$36,,Arb!$AJ$37,),"&lt;"&amp;$C64,OFFSET(Arb!$I$2,Arb!$AJ$36,,Arb!$AJ$37,),"&gt;="&amp;$F64,OFFSET(Arb!$AI$2,Arb!$AJ$36,,Arb!$AJ$37,),TRUE)</f>
        <v>0</v>
      </c>
      <c r="Y64" s="11">
        <f t="shared" ca="1" si="44"/>
        <v>0</v>
      </c>
      <c r="Z64" s="56" t="str">
        <f t="shared" ca="1" si="52"/>
        <v/>
      </c>
      <c r="AA64" s="59" t="str">
        <f>ASB!$AL$67</f>
        <v>发财</v>
      </c>
      <c r="AB64" s="1">
        <f ca="1">COUNTIFS(OFFSET(Arb!$C$2,Arb!$AJ$36,,Arb!$AJ$37,),AB$1,OFFSET(Arb!$AG$2,Arb!$AJ$36,,Arb!$AJ$37,),"&lt;"&amp;$C64,OFFSET(Arb!$I$2,Arb!$AJ$36,,Arb!$AJ$37,),"&gt;="&amp;$F64,OFFSET(Arb!$AI$2,Arb!$AJ$36,,Arb!$AJ$37,),TRUE)</f>
        <v>0</v>
      </c>
      <c r="AC64" s="11">
        <f t="shared" ca="1" si="45"/>
        <v>0</v>
      </c>
      <c r="AD64" s="56" t="str">
        <f t="shared" ca="1" si="53"/>
        <v/>
      </c>
      <c r="AE64" s="59" t="str">
        <f>ASB!$AL$67</f>
        <v>发财</v>
      </c>
      <c r="AF64" s="1"/>
      <c r="AI64" s="59"/>
      <c r="AM64" s="59"/>
    </row>
    <row r="65" spans="1:39" x14ac:dyDescent="0.25">
      <c r="A65" s="11">
        <v>500</v>
      </c>
      <c r="B65" s="11">
        <v>0</v>
      </c>
      <c r="C65" s="62">
        <f t="shared" ca="1" si="54"/>
        <v>2.5621666666666667</v>
      </c>
      <c r="D65" s="63">
        <f t="shared" ref="D65:D70" ca="1" si="55">D64-5</f>
        <v>60</v>
      </c>
      <c r="E65" s="52" t="s">
        <v>45</v>
      </c>
      <c r="F65" s="53">
        <v>30</v>
      </c>
      <c r="G65" s="54" t="s">
        <v>390</v>
      </c>
      <c r="H65" s="55">
        <f ca="1">COUNTIFS(OFFSET(Arb!$AG$2,Arb!$AJ$36,,Arb!$AJ$37,),"&lt;"&amp;$C65,OFFSET(Arb!$I$2,Arb!$AJ$36,,Arb!$AJ$37,),"&gt;="&amp;$F65,OFFSET(Arb!$AI$2,Arb!$AJ$36,,Arb!$AJ$37,),TRUE)</f>
        <v>1</v>
      </c>
      <c r="I65" s="11">
        <f t="shared" ca="1" si="40"/>
        <v>531</v>
      </c>
      <c r="J65" s="56">
        <f t="shared" ca="1" si="48"/>
        <v>1.8832391713747645E-3</v>
      </c>
      <c r="K65" s="57" t="str">
        <f>ASB!$AL$67</f>
        <v>发财</v>
      </c>
      <c r="L65" s="712">
        <f ca="1">COUNTIFS(OFFSET(Arb!$C$2,Arb!$AJ$36,,Arb!$AJ$37,),L$1,OFFSET(Arb!$AG$2,Arb!$AJ$36,,Arb!$AJ$37,),"&lt;"&amp;$C65,OFFSET(Arb!$I$2,Arb!$AJ$36,,Arb!$AJ$37,),"&gt;="&amp;$F65,OFFSET(Arb!$AI$2,Arb!$AJ$36,,Arb!$AJ$37,),TRUE)</f>
        <v>1</v>
      </c>
      <c r="M65" s="659">
        <f t="shared" ca="1" si="41"/>
        <v>247</v>
      </c>
      <c r="N65" s="781">
        <f t="shared" ca="1" si="49"/>
        <v>4.048582995951417E-3</v>
      </c>
      <c r="O65" s="783" t="s">
        <v>759</v>
      </c>
      <c r="P65" s="1">
        <f ca="1">COUNTIFS(OFFSET(Arb!$C$2,Arb!$AJ$36,,Arb!$AJ$37,),P$1,OFFSET(Arb!$AG$2,Arb!$AJ$36,,Arb!$AJ$37,),"&lt;"&amp;$C65,OFFSET(Arb!$I$2,Arb!$AJ$36,,Arb!$AJ$37,),"&gt;="&amp;$F65,OFFSET(Arb!$AI$2,Arb!$AJ$36,,Arb!$AJ$37,),TRUE)</f>
        <v>0</v>
      </c>
      <c r="Q65" s="11">
        <f t="shared" ca="1" si="42"/>
        <v>284</v>
      </c>
      <c r="R65" s="56">
        <f t="shared" ca="1" si="50"/>
        <v>0</v>
      </c>
      <c r="S65" s="59" t="str">
        <f>ASB!$AL$67</f>
        <v>发财</v>
      </c>
      <c r="T65" s="1">
        <f ca="1">COUNTIFS(OFFSET(Arb!$C$2,Arb!$AJ$36,,Arb!$AJ$37,),T$1,OFFSET(Arb!$AG$2,Arb!$AJ$36,,Arb!$AJ$37,),"&lt;"&amp;$C65,OFFSET(Arb!$I$2,Arb!$AJ$36,,Arb!$AJ$37,),"&gt;="&amp;$F65,OFFSET(Arb!$AI$2,Arb!$AJ$36,,Arb!$AJ$37,),TRUE)</f>
        <v>0</v>
      </c>
      <c r="U65" s="11">
        <f t="shared" ca="1" si="43"/>
        <v>0</v>
      </c>
      <c r="V65" s="56" t="str">
        <f t="shared" ca="1" si="51"/>
        <v/>
      </c>
      <c r="W65" s="59" t="str">
        <f>ASB!$AL$67</f>
        <v>发财</v>
      </c>
      <c r="X65" s="1">
        <f ca="1">COUNTIFS(OFFSET(Arb!$C$2,Arb!$AJ$36,,Arb!$AJ$37,),X$1,OFFSET(Arb!$AG$2,Arb!$AJ$36,,Arb!$AJ$37,),"&lt;"&amp;$C65,OFFSET(Arb!$I$2,Arb!$AJ$36,,Arb!$AJ$37,),"&gt;="&amp;$F65,OFFSET(Arb!$AI$2,Arb!$AJ$36,,Arb!$AJ$37,),TRUE)</f>
        <v>0</v>
      </c>
      <c r="Y65" s="11">
        <f t="shared" ca="1" si="44"/>
        <v>0</v>
      </c>
      <c r="Z65" s="56" t="str">
        <f t="shared" ca="1" si="52"/>
        <v/>
      </c>
      <c r="AA65" s="59" t="str">
        <f>ASB!$AL$67</f>
        <v>发财</v>
      </c>
      <c r="AB65" s="1">
        <f ca="1">COUNTIFS(OFFSET(Arb!$C$2,Arb!$AJ$36,,Arb!$AJ$37,),AB$1,OFFSET(Arb!$AG$2,Arb!$AJ$36,,Arb!$AJ$37,),"&lt;"&amp;$C65,OFFSET(Arb!$I$2,Arb!$AJ$36,,Arb!$AJ$37,),"&gt;="&amp;$F65,OFFSET(Arb!$AI$2,Arb!$AJ$36,,Arb!$AJ$37,),TRUE)</f>
        <v>0</v>
      </c>
      <c r="AC65" s="11">
        <f t="shared" ca="1" si="45"/>
        <v>0</v>
      </c>
      <c r="AD65" s="56" t="str">
        <f t="shared" ca="1" si="53"/>
        <v/>
      </c>
      <c r="AE65" s="59" t="str">
        <f>ASB!$AL$67</f>
        <v>发财</v>
      </c>
      <c r="AF65" s="1"/>
      <c r="AI65" s="59"/>
      <c r="AM65" s="59"/>
    </row>
    <row r="66" spans="1:39" x14ac:dyDescent="0.25">
      <c r="A66" s="11">
        <v>500</v>
      </c>
      <c r="B66" s="11">
        <v>0</v>
      </c>
      <c r="C66" s="62">
        <f t="shared" ca="1" si="54"/>
        <v>2.7950909090909088</v>
      </c>
      <c r="D66" s="63">
        <f t="shared" ca="1" si="55"/>
        <v>55</v>
      </c>
      <c r="E66" s="52" t="s">
        <v>45</v>
      </c>
      <c r="F66" s="53">
        <v>30</v>
      </c>
      <c r="G66" s="54" t="s">
        <v>390</v>
      </c>
      <c r="H66" s="780">
        <f ca="1">COUNTIFS(OFFSET(Arb!$AG$2,Arb!$AJ$36,,Arb!$AJ$37,),"&lt;"&amp;$C66,OFFSET(Arb!$I$2,Arb!$AJ$36,,Arb!$AJ$37,),"&gt;="&amp;$F66,OFFSET(Arb!$AI$2,Arb!$AJ$36,,Arb!$AJ$37,),TRUE)</f>
        <v>5</v>
      </c>
      <c r="I66" s="659">
        <f t="shared" ca="1" si="40"/>
        <v>531</v>
      </c>
      <c r="J66" s="781">
        <f t="shared" ca="1" si="48"/>
        <v>9.4161958568738224E-3</v>
      </c>
      <c r="K66" s="782" t="s">
        <v>759</v>
      </c>
      <c r="L66" s="712">
        <f ca="1">COUNTIFS(OFFSET(Arb!$C$2,Arb!$AJ$36,,Arb!$AJ$37,),L$1,OFFSET(Arb!$AG$2,Arb!$AJ$36,,Arb!$AJ$37,),"&lt;"&amp;$C66,OFFSET(Arb!$I$2,Arb!$AJ$36,,Arb!$AJ$37,),"&gt;="&amp;$F66,OFFSET(Arb!$AI$2,Arb!$AJ$36,,Arb!$AJ$37,),TRUE)</f>
        <v>2</v>
      </c>
      <c r="M66" s="659">
        <f t="shared" ca="1" si="41"/>
        <v>247</v>
      </c>
      <c r="N66" s="781">
        <f t="shared" ca="1" si="49"/>
        <v>8.0971659919028341E-3</v>
      </c>
      <c r="O66" s="783" t="s">
        <v>759</v>
      </c>
      <c r="P66" s="659">
        <f ca="1">COUNTIFS(OFFSET(Arb!$C$2,Arb!$AJ$36,,Arb!$AJ$37,),P$1,OFFSET(Arb!$AG$2,Arb!$AJ$36,,Arb!$AJ$37,),"&lt;"&amp;$C66,OFFSET(Arb!$I$2,Arb!$AJ$36,,Arb!$AJ$37,),"&gt;="&amp;$F66,OFFSET(Arb!$AI$2,Arb!$AJ$36,,Arb!$AJ$37,),TRUE)</f>
        <v>3</v>
      </c>
      <c r="Q66" s="659">
        <f t="shared" ca="1" si="42"/>
        <v>284</v>
      </c>
      <c r="R66" s="781">
        <f t="shared" ca="1" si="50"/>
        <v>1.0563380281690141E-2</v>
      </c>
      <c r="S66" s="783" t="s">
        <v>759</v>
      </c>
      <c r="T66" s="1">
        <f ca="1">COUNTIFS(OFFSET(Arb!$C$2,Arb!$AJ$36,,Arb!$AJ$37,),T$1,OFFSET(Arb!$AG$2,Arb!$AJ$36,,Arb!$AJ$37,),"&lt;"&amp;$C66,OFFSET(Arb!$I$2,Arb!$AJ$36,,Arb!$AJ$37,),"&gt;="&amp;$F66,OFFSET(Arb!$AI$2,Arb!$AJ$36,,Arb!$AJ$37,),TRUE)</f>
        <v>0</v>
      </c>
      <c r="U66" s="11">
        <f t="shared" ca="1" si="43"/>
        <v>0</v>
      </c>
      <c r="V66" s="56" t="str">
        <f t="shared" ca="1" si="51"/>
        <v/>
      </c>
      <c r="W66" s="59" t="str">
        <f>ASB!$AL$67</f>
        <v>发财</v>
      </c>
      <c r="X66" s="1">
        <f ca="1">COUNTIFS(OFFSET(Arb!$C$2,Arb!$AJ$36,,Arb!$AJ$37,),X$1,OFFSET(Arb!$AG$2,Arb!$AJ$36,,Arb!$AJ$37,),"&lt;"&amp;$C66,OFFSET(Arb!$I$2,Arb!$AJ$36,,Arb!$AJ$37,),"&gt;="&amp;$F66,OFFSET(Arb!$AI$2,Arb!$AJ$36,,Arb!$AJ$37,),TRUE)</f>
        <v>0</v>
      </c>
      <c r="Y66" s="11">
        <f t="shared" ca="1" si="44"/>
        <v>0</v>
      </c>
      <c r="Z66" s="56" t="str">
        <f t="shared" ca="1" si="52"/>
        <v/>
      </c>
      <c r="AA66" s="59" t="str">
        <f>ASB!$AL$67</f>
        <v>发财</v>
      </c>
      <c r="AB66" s="1">
        <f ca="1">COUNTIFS(OFFSET(Arb!$C$2,Arb!$AJ$36,,Arb!$AJ$37,),AB$1,OFFSET(Arb!$AG$2,Arb!$AJ$36,,Arb!$AJ$37,),"&lt;"&amp;$C66,OFFSET(Arb!$I$2,Arb!$AJ$36,,Arb!$AJ$37,),"&gt;="&amp;$F66,OFFSET(Arb!$AI$2,Arb!$AJ$36,,Arb!$AJ$37,),TRUE)</f>
        <v>0</v>
      </c>
      <c r="AC66" s="11">
        <f t="shared" ca="1" si="45"/>
        <v>0</v>
      </c>
      <c r="AD66" s="56" t="str">
        <f t="shared" ca="1" si="53"/>
        <v/>
      </c>
      <c r="AE66" s="59" t="str">
        <f>ASB!$AL$67</f>
        <v>发财</v>
      </c>
      <c r="AF66" s="1"/>
      <c r="AI66" s="59"/>
      <c r="AM66" s="59"/>
    </row>
    <row r="67" spans="1:39" x14ac:dyDescent="0.25">
      <c r="A67" s="11">
        <v>500</v>
      </c>
      <c r="B67" s="11">
        <v>0</v>
      </c>
      <c r="C67" s="62">
        <f t="shared" ca="1" si="54"/>
        <v>3.0745999999999998</v>
      </c>
      <c r="D67" s="63">
        <f t="shared" ca="1" si="55"/>
        <v>50</v>
      </c>
      <c r="E67" s="52" t="s">
        <v>45</v>
      </c>
      <c r="F67" s="53">
        <v>30</v>
      </c>
      <c r="G67" s="54" t="s">
        <v>390</v>
      </c>
      <c r="H67" s="377">
        <f ca="1">COUNTIFS(OFFSET(Arb!$AG$2,Arb!$AJ$36,,Arb!$AJ$37,),"&lt;"&amp;$C67,OFFSET(Arb!$I$2,Arb!$AJ$36,,Arb!$AJ$37,),"&gt;="&amp;$F67,OFFSET(Arb!$AI$2,Arb!$AJ$36,,Arb!$AJ$37,),TRUE)</f>
        <v>28</v>
      </c>
      <c r="I67" s="552">
        <f t="shared" ca="1" si="40"/>
        <v>531</v>
      </c>
      <c r="J67" s="268">
        <f t="shared" ca="1" si="48"/>
        <v>5.2730696798493411E-2</v>
      </c>
      <c r="K67" s="789" t="s">
        <v>761</v>
      </c>
      <c r="L67" s="545">
        <f ca="1">COUNTIFS(OFFSET(Arb!$C$2,Arb!$AJ$36,,Arb!$AJ$37,),L$1,OFFSET(Arb!$AG$2,Arb!$AJ$36,,Arb!$AJ$37,),"&lt;"&amp;$C67,OFFSET(Arb!$I$2,Arb!$AJ$36,,Arb!$AJ$37,),"&gt;="&amp;$F67,OFFSET(Arb!$AI$2,Arb!$AJ$36,,Arb!$AJ$37,),TRUE)</f>
        <v>17</v>
      </c>
      <c r="M67" s="552">
        <f t="shared" ca="1" si="41"/>
        <v>247</v>
      </c>
      <c r="N67" s="268">
        <f t="shared" ca="1" si="49"/>
        <v>6.8825910931174086E-2</v>
      </c>
      <c r="O67" s="788" t="s">
        <v>761</v>
      </c>
      <c r="P67" s="552">
        <f ca="1">COUNTIFS(OFFSET(Arb!$C$2,Arb!$AJ$36,,Arb!$AJ$37,),P$1,OFFSET(Arb!$AG$2,Arb!$AJ$36,,Arb!$AJ$37,),"&lt;"&amp;$C67,OFFSET(Arb!$I$2,Arb!$AJ$36,,Arb!$AJ$37,),"&gt;="&amp;$F67,OFFSET(Arb!$AI$2,Arb!$AJ$36,,Arb!$AJ$37,),TRUE)</f>
        <v>11</v>
      </c>
      <c r="Q67" s="552">
        <f t="shared" ca="1" si="42"/>
        <v>284</v>
      </c>
      <c r="R67" s="268">
        <f t="shared" ca="1" si="50"/>
        <v>3.873239436619718E-2</v>
      </c>
      <c r="S67" s="788" t="s">
        <v>761</v>
      </c>
      <c r="T67" s="1">
        <f ca="1">COUNTIFS(OFFSET(Arb!$C$2,Arb!$AJ$36,,Arb!$AJ$37,),T$1,OFFSET(Arb!$AG$2,Arb!$AJ$36,,Arb!$AJ$37,),"&lt;"&amp;$C67,OFFSET(Arb!$I$2,Arb!$AJ$36,,Arb!$AJ$37,),"&gt;="&amp;$F67,OFFSET(Arb!$AI$2,Arb!$AJ$36,,Arb!$AJ$37,),TRUE)</f>
        <v>0</v>
      </c>
      <c r="U67" s="11">
        <f t="shared" ca="1" si="43"/>
        <v>0</v>
      </c>
      <c r="V67" s="56" t="str">
        <f t="shared" ca="1" si="51"/>
        <v/>
      </c>
      <c r="W67" s="59" t="str">
        <f>ASB!$AL$67</f>
        <v>发财</v>
      </c>
      <c r="X67" s="1">
        <f ca="1">COUNTIFS(OFFSET(Arb!$C$2,Arb!$AJ$36,,Arb!$AJ$37,),X$1,OFFSET(Arb!$AG$2,Arb!$AJ$36,,Arb!$AJ$37,),"&lt;"&amp;$C67,OFFSET(Arb!$I$2,Arb!$AJ$36,,Arb!$AJ$37,),"&gt;="&amp;$F67,OFFSET(Arb!$AI$2,Arb!$AJ$36,,Arb!$AJ$37,),TRUE)</f>
        <v>0</v>
      </c>
      <c r="Y67" s="11">
        <f t="shared" ca="1" si="44"/>
        <v>0</v>
      </c>
      <c r="Z67" s="56" t="str">
        <f t="shared" ca="1" si="52"/>
        <v/>
      </c>
      <c r="AA67" s="59" t="str">
        <f>ASB!$AL$67</f>
        <v>发财</v>
      </c>
      <c r="AB67" s="1">
        <f ca="1">COUNTIFS(OFFSET(Arb!$C$2,Arb!$AJ$36,,Arb!$AJ$37,),AB$1,OFFSET(Arb!$AG$2,Arb!$AJ$36,,Arb!$AJ$37,),"&lt;"&amp;$C67,OFFSET(Arb!$I$2,Arb!$AJ$36,,Arb!$AJ$37,),"&gt;="&amp;$F67,OFFSET(Arb!$AI$2,Arb!$AJ$36,,Arb!$AJ$37,),TRUE)</f>
        <v>0</v>
      </c>
      <c r="AC67" s="11">
        <f t="shared" ca="1" si="45"/>
        <v>0</v>
      </c>
      <c r="AD67" s="56" t="str">
        <f t="shared" ca="1" si="53"/>
        <v/>
      </c>
      <c r="AE67" s="59" t="str">
        <f>ASB!$AL$67</f>
        <v>发财</v>
      </c>
      <c r="AF67" s="1"/>
      <c r="AI67" s="59"/>
      <c r="AM67" s="59"/>
    </row>
    <row r="68" spans="1:39" x14ac:dyDescent="0.25">
      <c r="A68" s="11">
        <v>500</v>
      </c>
      <c r="B68" s="11">
        <v>0</v>
      </c>
      <c r="C68" s="62">
        <f t="shared" ca="1" si="54"/>
        <v>3.4162222222222218</v>
      </c>
      <c r="D68" s="63">
        <f t="shared" ca="1" si="55"/>
        <v>45</v>
      </c>
      <c r="E68" s="52" t="s">
        <v>45</v>
      </c>
      <c r="F68" s="53">
        <v>30</v>
      </c>
      <c r="G68" s="54" t="s">
        <v>390</v>
      </c>
      <c r="H68" s="226">
        <f ca="1">COUNTIFS(OFFSET(Arb!$AG$2,Arb!$AJ$36,,Arb!$AJ$37,),"&lt;"&amp;$C68,OFFSET(Arb!$I$2,Arb!$AJ$36,,Arb!$AJ$37,),"&gt;="&amp;$F68,OFFSET(Arb!$AI$2,Arb!$AJ$36,,Arb!$AJ$37,),TRUE)</f>
        <v>91</v>
      </c>
      <c r="I68" s="551">
        <f t="shared" ca="1" si="40"/>
        <v>531</v>
      </c>
      <c r="J68" s="341">
        <f t="shared" ca="1" si="48"/>
        <v>0.17137476459510359</v>
      </c>
      <c r="K68" s="791" t="s">
        <v>762</v>
      </c>
      <c r="L68" s="548">
        <f ca="1">COUNTIFS(OFFSET(Arb!$C$2,Arb!$AJ$36,,Arb!$AJ$37,),L$1,OFFSET(Arb!$AG$2,Arb!$AJ$36,,Arb!$AJ$37,),"&lt;"&amp;$C68,OFFSET(Arb!$I$2,Arb!$AJ$36,,Arb!$AJ$37,),"&gt;="&amp;$F68,OFFSET(Arb!$AI$2,Arb!$AJ$36,,Arb!$AJ$37,),TRUE)</f>
        <v>60</v>
      </c>
      <c r="M68" s="551">
        <f t="shared" ca="1" si="41"/>
        <v>247</v>
      </c>
      <c r="N68" s="341">
        <f t="shared" ca="1" si="49"/>
        <v>0.24291497975708501</v>
      </c>
      <c r="O68" s="790" t="s">
        <v>762</v>
      </c>
      <c r="P68" s="552">
        <f ca="1">COUNTIFS(OFFSET(Arb!$C$2,Arb!$AJ$36,,Arb!$AJ$37,),P$1,OFFSET(Arb!$AG$2,Arb!$AJ$36,,Arb!$AJ$37,),"&lt;"&amp;$C68,OFFSET(Arb!$I$2,Arb!$AJ$36,,Arb!$AJ$37,),"&gt;="&amp;$F68,OFFSET(Arb!$AI$2,Arb!$AJ$36,,Arb!$AJ$37,),TRUE)</f>
        <v>31</v>
      </c>
      <c r="Q68" s="552">
        <f t="shared" ca="1" si="42"/>
        <v>284</v>
      </c>
      <c r="R68" s="268">
        <f t="shared" ca="1" si="50"/>
        <v>0.10915492957746478</v>
      </c>
      <c r="S68" s="788" t="s">
        <v>761</v>
      </c>
      <c r="T68" s="1">
        <f ca="1">COUNTIFS(OFFSET(Arb!$C$2,Arb!$AJ$36,,Arb!$AJ$37,),T$1,OFFSET(Arb!$AG$2,Arb!$AJ$36,,Arb!$AJ$37,),"&lt;"&amp;$C68,OFFSET(Arb!$I$2,Arb!$AJ$36,,Arb!$AJ$37,),"&gt;="&amp;$F68,OFFSET(Arb!$AI$2,Arb!$AJ$36,,Arb!$AJ$37,),TRUE)</f>
        <v>0</v>
      </c>
      <c r="U68" s="11">
        <f t="shared" ca="1" si="43"/>
        <v>0</v>
      </c>
      <c r="V68" s="56" t="str">
        <f t="shared" ca="1" si="51"/>
        <v/>
      </c>
      <c r="W68" s="59" t="str">
        <f>ASB!$AL$67</f>
        <v>发财</v>
      </c>
      <c r="X68" s="1">
        <f ca="1">COUNTIFS(OFFSET(Arb!$C$2,Arb!$AJ$36,,Arb!$AJ$37,),X$1,OFFSET(Arb!$AG$2,Arb!$AJ$36,,Arb!$AJ$37,),"&lt;"&amp;$C68,OFFSET(Arb!$I$2,Arb!$AJ$36,,Arb!$AJ$37,),"&gt;="&amp;$F68,OFFSET(Arb!$AI$2,Arb!$AJ$36,,Arb!$AJ$37,),TRUE)</f>
        <v>0</v>
      </c>
      <c r="Y68" s="11">
        <f t="shared" ca="1" si="44"/>
        <v>0</v>
      </c>
      <c r="Z68" s="56" t="str">
        <f t="shared" ca="1" si="52"/>
        <v/>
      </c>
      <c r="AA68" s="59" t="str">
        <f>ASB!$AL$67</f>
        <v>发财</v>
      </c>
      <c r="AB68" s="1">
        <f ca="1">COUNTIFS(OFFSET(Arb!$C$2,Arb!$AJ$36,,Arb!$AJ$37,),AB$1,OFFSET(Arb!$AG$2,Arb!$AJ$36,,Arb!$AJ$37,),"&lt;"&amp;$C68,OFFSET(Arb!$I$2,Arb!$AJ$36,,Arb!$AJ$37,),"&gt;="&amp;$F68,OFFSET(Arb!$AI$2,Arb!$AJ$36,,Arb!$AJ$37,),TRUE)</f>
        <v>0</v>
      </c>
      <c r="AC68" s="11">
        <f t="shared" ca="1" si="45"/>
        <v>0</v>
      </c>
      <c r="AD68" s="56" t="str">
        <f t="shared" ca="1" si="53"/>
        <v/>
      </c>
      <c r="AE68" s="59" t="str">
        <f>ASB!$AL$67</f>
        <v>发财</v>
      </c>
      <c r="AF68" s="1"/>
      <c r="AI68" s="59"/>
      <c r="AM68" s="59"/>
    </row>
    <row r="69" spans="1:39" x14ac:dyDescent="0.25">
      <c r="A69" s="11">
        <v>500</v>
      </c>
      <c r="B69" s="11">
        <v>0</v>
      </c>
      <c r="C69" s="62">
        <f t="shared" ca="1" si="54"/>
        <v>3.8432499999999998</v>
      </c>
      <c r="D69" s="63">
        <f t="shared" ca="1" si="55"/>
        <v>40</v>
      </c>
      <c r="E69" s="52" t="s">
        <v>45</v>
      </c>
      <c r="F69" s="53">
        <v>30</v>
      </c>
      <c r="G69" s="54" t="s">
        <v>390</v>
      </c>
      <c r="H69" s="794">
        <f ca="1">COUNTIFS(OFFSET(Arb!$AG$2,Arb!$AJ$36,,Arb!$AJ$37,),"&lt;"&amp;$C69,OFFSET(Arb!$I$2,Arb!$AJ$36,,Arb!$AJ$37,),"&gt;="&amp;$F69,OFFSET(Arb!$AI$2,Arb!$AJ$36,,Arb!$AJ$37,),TRUE)</f>
        <v>219</v>
      </c>
      <c r="I69" s="554">
        <f t="shared" ca="1" si="40"/>
        <v>531</v>
      </c>
      <c r="J69" s="792">
        <f t="shared" ca="1" si="48"/>
        <v>0.41242937853107342</v>
      </c>
      <c r="K69" s="795" t="s">
        <v>763</v>
      </c>
      <c r="L69" s="543">
        <f ca="1">COUNTIFS(OFFSET(Arb!$C$2,Arb!$AJ$36,,Arb!$AJ$37,),L$1,OFFSET(Arb!$AG$2,Arb!$AJ$36,,Arb!$AJ$37,),"&lt;"&amp;$C69,OFFSET(Arb!$I$2,Arb!$AJ$36,,Arb!$AJ$37,),"&gt;="&amp;$F69,OFFSET(Arb!$AI$2,Arb!$AJ$36,,Arb!$AJ$37,),TRUE)</f>
        <v>125</v>
      </c>
      <c r="M69" s="554">
        <f t="shared" ca="1" si="41"/>
        <v>247</v>
      </c>
      <c r="N69" s="792">
        <f t="shared" ca="1" si="49"/>
        <v>0.50607287449392713</v>
      </c>
      <c r="O69" s="793" t="s">
        <v>763</v>
      </c>
      <c r="P69" s="551">
        <f ca="1">COUNTIFS(OFFSET(Arb!$C$2,Arb!$AJ$36,,Arb!$AJ$37,),P$1,OFFSET(Arb!$AG$2,Arb!$AJ$36,,Arb!$AJ$37,),"&lt;"&amp;$C69,OFFSET(Arb!$I$2,Arb!$AJ$36,,Arb!$AJ$37,),"&gt;="&amp;$F69,OFFSET(Arb!$AI$2,Arb!$AJ$36,,Arb!$AJ$37,),TRUE)</f>
        <v>94</v>
      </c>
      <c r="Q69" s="551">
        <f t="shared" ca="1" si="42"/>
        <v>284</v>
      </c>
      <c r="R69" s="341">
        <f t="shared" ca="1" si="50"/>
        <v>0.33098591549295775</v>
      </c>
      <c r="S69" s="790" t="s">
        <v>762</v>
      </c>
      <c r="T69" s="1">
        <f ca="1">COUNTIFS(OFFSET(Arb!$C$2,Arb!$AJ$36,,Arb!$AJ$37,),T$1,OFFSET(Arb!$AG$2,Arb!$AJ$36,,Arb!$AJ$37,),"&lt;"&amp;$C69,OFFSET(Arb!$I$2,Arb!$AJ$36,,Arb!$AJ$37,),"&gt;="&amp;$F69,OFFSET(Arb!$AI$2,Arb!$AJ$36,,Arb!$AJ$37,),TRUE)</f>
        <v>0</v>
      </c>
      <c r="U69" s="11">
        <f t="shared" ca="1" si="43"/>
        <v>0</v>
      </c>
      <c r="V69" s="56" t="str">
        <f t="shared" ca="1" si="51"/>
        <v/>
      </c>
      <c r="W69" s="59" t="str">
        <f>ASB!$AL$67</f>
        <v>发财</v>
      </c>
      <c r="X69" s="1">
        <f ca="1">COUNTIFS(OFFSET(Arb!$C$2,Arb!$AJ$36,,Arb!$AJ$37,),X$1,OFFSET(Arb!$AG$2,Arb!$AJ$36,,Arb!$AJ$37,),"&lt;"&amp;$C69,OFFSET(Arb!$I$2,Arb!$AJ$36,,Arb!$AJ$37,),"&gt;="&amp;$F69,OFFSET(Arb!$AI$2,Arb!$AJ$36,,Arb!$AJ$37,),TRUE)</f>
        <v>0</v>
      </c>
      <c r="Y69" s="11">
        <f t="shared" ca="1" si="44"/>
        <v>0</v>
      </c>
      <c r="Z69" s="56" t="str">
        <f t="shared" ca="1" si="52"/>
        <v/>
      </c>
      <c r="AA69" s="59" t="str">
        <f>ASB!$AL$67</f>
        <v>发财</v>
      </c>
      <c r="AB69" s="1">
        <f ca="1">COUNTIFS(OFFSET(Arb!$C$2,Arb!$AJ$36,,Arb!$AJ$37,),AB$1,OFFSET(Arb!$AG$2,Arb!$AJ$36,,Arb!$AJ$37,),"&lt;"&amp;$C69,OFFSET(Arb!$I$2,Arb!$AJ$36,,Arb!$AJ$37,),"&gt;="&amp;$F69,OFFSET(Arb!$AI$2,Arb!$AJ$36,,Arb!$AJ$37,),TRUE)</f>
        <v>0</v>
      </c>
      <c r="AC69" s="11">
        <f t="shared" ca="1" si="45"/>
        <v>0</v>
      </c>
      <c r="AD69" s="56" t="str">
        <f t="shared" ca="1" si="53"/>
        <v/>
      </c>
      <c r="AE69" s="59" t="str">
        <f>ASB!$AL$67</f>
        <v>发财</v>
      </c>
      <c r="AF69" s="1"/>
      <c r="AI69" s="59"/>
      <c r="AM69" s="59"/>
    </row>
    <row r="70" spans="1:39" x14ac:dyDescent="0.25">
      <c r="A70" s="11">
        <v>500</v>
      </c>
      <c r="B70" s="11">
        <v>0</v>
      </c>
      <c r="C70" s="62">
        <f t="shared" ca="1" si="54"/>
        <v>4.3922857142857143</v>
      </c>
      <c r="D70" s="63">
        <f t="shared" ca="1" si="55"/>
        <v>35</v>
      </c>
      <c r="E70" s="52" t="s">
        <v>45</v>
      </c>
      <c r="F70" s="53">
        <v>30</v>
      </c>
      <c r="G70" s="54" t="s">
        <v>390</v>
      </c>
      <c r="H70" s="794">
        <f ca="1">COUNTIFS(OFFSET(Arb!$AG$2,Arb!$AJ$36,,Arb!$AJ$37,),"&lt;"&amp;$C70,OFFSET(Arb!$I$2,Arb!$AJ$36,,Arb!$AJ$37,),"&gt;="&amp;$F70,OFFSET(Arb!$AI$2,Arb!$AJ$36,,Arb!$AJ$37,),TRUE)</f>
        <v>398</v>
      </c>
      <c r="I70" s="554">
        <f t="shared" ca="1" si="40"/>
        <v>531</v>
      </c>
      <c r="J70" s="792">
        <f t="shared" ca="1" si="48"/>
        <v>0.74952919020715636</v>
      </c>
      <c r="K70" s="795" t="s">
        <v>763</v>
      </c>
      <c r="L70" s="543">
        <f ca="1">COUNTIFS(OFFSET(Arb!$C$2,Arb!$AJ$36,,Arb!$AJ$37,),L$1,OFFSET(Arb!$AG$2,Arb!$AJ$36,,Arb!$AJ$37,),"&lt;"&amp;$C70,OFFSET(Arb!$I$2,Arb!$AJ$36,,Arb!$AJ$37,),"&gt;="&amp;$F70,OFFSET(Arb!$AI$2,Arb!$AJ$36,,Arb!$AJ$37,),TRUE)</f>
        <v>195</v>
      </c>
      <c r="M70" s="554">
        <f t="shared" ca="1" si="41"/>
        <v>247</v>
      </c>
      <c r="N70" s="792">
        <f t="shared" ca="1" si="49"/>
        <v>0.78947368421052633</v>
      </c>
      <c r="O70" s="793" t="s">
        <v>763</v>
      </c>
      <c r="P70" s="554">
        <f ca="1">COUNTIFS(OFFSET(Arb!$C$2,Arb!$AJ$36,,Arb!$AJ$37,),P$1,OFFSET(Arb!$AG$2,Arb!$AJ$36,,Arb!$AJ$37,),"&lt;"&amp;$C70,OFFSET(Arb!$I$2,Arb!$AJ$36,,Arb!$AJ$37,),"&gt;="&amp;$F70,OFFSET(Arb!$AI$2,Arb!$AJ$36,,Arb!$AJ$37,),TRUE)</f>
        <v>203</v>
      </c>
      <c r="Q70" s="554">
        <f t="shared" ca="1" si="42"/>
        <v>284</v>
      </c>
      <c r="R70" s="792">
        <f t="shared" ca="1" si="50"/>
        <v>0.71478873239436624</v>
      </c>
      <c r="S70" s="793" t="s">
        <v>763</v>
      </c>
      <c r="T70" s="1">
        <f ca="1">COUNTIFS(OFFSET(Arb!$C$2,Arb!$AJ$36,,Arb!$AJ$37,),T$1,OFFSET(Arb!$AG$2,Arb!$AJ$36,,Arb!$AJ$37,),"&lt;"&amp;$C70,OFFSET(Arb!$I$2,Arb!$AJ$36,,Arb!$AJ$37,),"&gt;="&amp;$F70,OFFSET(Arb!$AI$2,Arb!$AJ$36,,Arb!$AJ$37,),TRUE)</f>
        <v>0</v>
      </c>
      <c r="U70" s="11">
        <f t="shared" ca="1" si="43"/>
        <v>0</v>
      </c>
      <c r="V70" s="56" t="str">
        <f t="shared" ca="1" si="51"/>
        <v/>
      </c>
      <c r="W70" s="59" t="str">
        <f>ASB!$AL$67</f>
        <v>发财</v>
      </c>
      <c r="X70" s="1">
        <f ca="1">COUNTIFS(OFFSET(Arb!$C$2,Arb!$AJ$36,,Arb!$AJ$37,),X$1,OFFSET(Arb!$AG$2,Arb!$AJ$36,,Arb!$AJ$37,),"&lt;"&amp;$C70,OFFSET(Arb!$I$2,Arb!$AJ$36,,Arb!$AJ$37,),"&gt;="&amp;$F70,OFFSET(Arb!$AI$2,Arb!$AJ$36,,Arb!$AJ$37,),TRUE)</f>
        <v>0</v>
      </c>
      <c r="Y70" s="11">
        <f t="shared" ca="1" si="44"/>
        <v>0</v>
      </c>
      <c r="Z70" s="56" t="str">
        <f t="shared" ca="1" si="52"/>
        <v/>
      </c>
      <c r="AA70" s="59" t="str">
        <f>ASB!$AL$67</f>
        <v>发财</v>
      </c>
      <c r="AB70" s="1">
        <f ca="1">COUNTIFS(OFFSET(Arb!$C$2,Arb!$AJ$36,,Arb!$AJ$37,),AB$1,OFFSET(Arb!$AG$2,Arb!$AJ$36,,Arb!$AJ$37,),"&lt;"&amp;$C70,OFFSET(Arb!$I$2,Arb!$AJ$36,,Arb!$AJ$37,),"&gt;="&amp;$F70,OFFSET(Arb!$AI$2,Arb!$AJ$36,,Arb!$AJ$37,),TRUE)</f>
        <v>0</v>
      </c>
      <c r="AC70" s="11">
        <f t="shared" ca="1" si="45"/>
        <v>0</v>
      </c>
      <c r="AD70" s="56" t="str">
        <f t="shared" ca="1" si="53"/>
        <v/>
      </c>
      <c r="AE70" s="59" t="str">
        <f>ASB!$AL$67</f>
        <v>发财</v>
      </c>
      <c r="AF70" s="1"/>
      <c r="AI70" s="59"/>
      <c r="AM70" s="59"/>
    </row>
    <row r="71" spans="1:39" x14ac:dyDescent="0.25">
      <c r="A71" s="24">
        <f ca="1">1*ROUNDUP(OFFSET(Time!X1,Arb!AJ16,)/1+0.0001,0)</f>
        <v>60</v>
      </c>
      <c r="B71" s="1">
        <v>0</v>
      </c>
      <c r="C71" s="1">
        <v>200</v>
      </c>
      <c r="D71" s="51">
        <f>435.001/C71</f>
        <v>2.1750050000000001</v>
      </c>
      <c r="E71" s="52" t="s">
        <v>46</v>
      </c>
      <c r="F71" s="53">
        <v>100</v>
      </c>
      <c r="G71" s="54" t="s">
        <v>391</v>
      </c>
      <c r="H71" s="780">
        <f ca="1">COUNTIFS(OFFSET(Arb!$H$2,Arb!$AJ$36+Arb!$AJ$37,,Arb!$AJ$38,),"&lt;"&amp;$A71,OFFSET(Arb!$I$2,Arb!$AJ$36+Arb!$AJ$37,,Arb!$AJ$38,),"&gt;="&amp;$F71,OFFSET(Arb!$AI$2,Arb!$AJ$36+Arb!$AJ$37,,Arb!$AJ$38,),TRUE)</f>
        <v>5</v>
      </c>
      <c r="I71" s="659">
        <f ca="1">COUNTIFS(OFFSET(Arb!$I$2,Arb!$AJ$36+Arb!$AJ$37,,Arb!$AJ$38,),"&gt;="&amp;$F71,OFFSET(Arb!$AI$2,Arb!$AJ$36+Arb!$AJ$37,,Arb!$AJ$38,),TRUE)</f>
        <v>1037</v>
      </c>
      <c r="J71" s="781">
        <f t="shared" ca="1" si="48"/>
        <v>4.8216007714561235E-3</v>
      </c>
      <c r="K71" s="782" t="s">
        <v>759</v>
      </c>
      <c r="L71" s="712">
        <f ca="1">COUNTIFS(OFFSET(Arb!$C$2,Arb!$AJ$36+Arb!$AJ$37,,Arb!$AJ$38,),L$1,OFFSET(Arb!$H$2,Arb!$AJ$36+Arb!$AJ$37,,Arb!$AJ$38,),"&lt;"&amp;$A71,OFFSET(Arb!$I$2,Arb!$AJ$36+Arb!$AJ$37,,Arb!$AJ$38,),"&gt;="&amp;$F71,OFFSET(Arb!$AI$2,Arb!$AJ$36+Arb!$AJ$37,,Arb!$AJ$38,),TRUE)</f>
        <v>5</v>
      </c>
      <c r="M71" s="659">
        <f ca="1">COUNTIFS(OFFSET(Arb!$C$2,Arb!$AJ$36+Arb!$AJ$37,,Arb!$AJ$38,),L$1,OFFSET(Arb!$I$2,Arb!$AJ$36+Arb!$AJ$37,,Arb!$AJ$38,),"&gt;="&amp;$F71,OFFSET(Arb!$AI$2,Arb!$AJ$36+Arb!$AJ$37,,Arb!$AJ$38,),TRUE)</f>
        <v>770</v>
      </c>
      <c r="N71" s="781">
        <f t="shared" ca="1" si="49"/>
        <v>6.4935064935064939E-3</v>
      </c>
      <c r="O71" s="783" t="s">
        <v>759</v>
      </c>
      <c r="P71" s="1">
        <f ca="1">COUNTIFS(OFFSET(Arb!$C$2,Arb!$AJ$36+Arb!$AJ$37,,Arb!$AJ$38,),P$1,OFFSET(Arb!$H$2,Arb!$AJ$36+Arb!$AJ$37,,Arb!$AJ$38,),"&lt;"&amp;$A71,OFFSET(Arb!$I$2,Arb!$AJ$36+Arb!$AJ$37,,Arb!$AJ$38,),"&gt;="&amp;$F71,OFFSET(Arb!$AI$2,Arb!$AJ$36+Arb!$AJ$37,,Arb!$AJ$38,),TRUE)</f>
        <v>0</v>
      </c>
      <c r="Q71" s="11">
        <f ca="1">COUNTIFS(OFFSET(Arb!$C$2,Arb!$AJ$36+Arb!$AJ$37,,Arb!$AJ$38,),P$1,OFFSET(Arb!$I$2,Arb!$AJ$36+Arb!$AJ$37,,Arb!$AJ$38,),"&gt;="&amp;$F71,OFFSET(Arb!$AI$2,Arb!$AJ$36+Arb!$AJ$37,,Arb!$AJ$38,),TRUE)</f>
        <v>267</v>
      </c>
      <c r="R71" s="56">
        <f t="shared" ca="1" si="50"/>
        <v>0</v>
      </c>
      <c r="S71" s="59" t="str">
        <f>ASB!$AL$67</f>
        <v>发财</v>
      </c>
      <c r="T71" s="1">
        <f ca="1">COUNTIFS(OFFSET(Arb!$C$2,Arb!$AJ$36+Arb!$AJ$37,,Arb!$AJ$38,),T$1,OFFSET(Arb!$H$2,Arb!$AJ$36+Arb!$AJ$37,,Arb!$AJ$38,),"&lt;"&amp;$A71,OFFSET(Arb!$I$2,Arb!$AJ$36+Arb!$AJ$37,,Arb!$AJ$38,),"&gt;="&amp;$F71,OFFSET(Arb!$AI$2,Arb!$AJ$36+Arb!$AJ$37,,Arb!$AJ$38,),TRUE)</f>
        <v>0</v>
      </c>
      <c r="U71" s="11">
        <f ca="1">COUNTIFS(OFFSET(Arb!$C$2,Arb!$AJ$36+Arb!$AJ$37,,Arb!$AJ$38,),T$1,OFFSET(Arb!$I$2,Arb!$AJ$36+Arb!$AJ$37,,Arb!$AJ$38,),"&gt;="&amp;$F71,OFFSET(Arb!$AI$2,Arb!$AJ$36+Arb!$AJ$37,,Arb!$AJ$38,),TRUE)</f>
        <v>0</v>
      </c>
      <c r="V71" s="56" t="str">
        <f t="shared" ca="1" si="51"/>
        <v/>
      </c>
      <c r="W71" s="59" t="str">
        <f>ASB!$AL$67</f>
        <v>发财</v>
      </c>
      <c r="X71" s="1">
        <f ca="1">COUNTIFS(OFFSET(Arb!$C$2,Arb!$AJ$36+Arb!$AJ$37,,Arb!$AJ$38,),X$1,OFFSET(Arb!$H$2,Arb!$AJ$36+Arb!$AJ$37,,Arb!$AJ$38,),"&lt;"&amp;$A71,OFFSET(Arb!$I$2,Arb!$AJ$36+Arb!$AJ$37,,Arb!$AJ$38,),"&gt;="&amp;$F71,OFFSET(Arb!$AI$2,Arb!$AJ$36+Arb!$AJ$37,,Arb!$AJ$38,),TRUE)</f>
        <v>0</v>
      </c>
      <c r="Y71" s="11">
        <f ca="1">COUNTIFS(OFFSET(Arb!$C$2,Arb!$AJ$36+Arb!$AJ$37,,Arb!$AJ$38,),X$1,OFFSET(Arb!$I$2,Arb!$AJ$36+Arb!$AJ$37,,Arb!$AJ$38,),"&gt;="&amp;$F71,OFFSET(Arb!$AI$2,Arb!$AJ$36+Arb!$AJ$37,,Arb!$AJ$38,),TRUE)</f>
        <v>0</v>
      </c>
      <c r="Z71" s="56" t="str">
        <f t="shared" ca="1" si="52"/>
        <v/>
      </c>
      <c r="AA71" s="59" t="str">
        <f>ASB!$AL$67</f>
        <v>发财</v>
      </c>
      <c r="AB71" s="1">
        <f ca="1">COUNTIFS(OFFSET(Arb!$C$2,Arb!$AJ$36+Arb!$AJ$37,,Arb!$AJ$38,),AB$1,OFFSET(Arb!$H$2,Arb!$AJ$36+Arb!$AJ$37,,Arb!$AJ$38,),"&lt;"&amp;$A71,OFFSET(Arb!$I$2,Arb!$AJ$36+Arb!$AJ$37,,Arb!$AJ$38,),"&gt;="&amp;$F71,OFFSET(Arb!$AI$2,Arb!$AJ$36+Arb!$AJ$37,,Arb!$AJ$38,),TRUE)</f>
        <v>0</v>
      </c>
      <c r="AC71" s="11">
        <f ca="1">COUNTIFS(OFFSET(Arb!$C$2,Arb!$AJ$36+Arb!$AJ$37,,Arb!$AJ$38,),AB$1,OFFSET(Arb!$I$2,Arb!$AJ$36+Arb!$AJ$37,,Arb!$AJ$38,),"&gt;="&amp;$F71,OFFSET(Arb!$AI$2,Arb!$AJ$36+Arb!$AJ$37,,Arb!$AJ$38,),TRUE)</f>
        <v>0</v>
      </c>
      <c r="AD71" s="56" t="str">
        <f t="shared" ca="1" si="53"/>
        <v/>
      </c>
      <c r="AE71" s="59" t="str">
        <f>ASB!$AL$67</f>
        <v>发财</v>
      </c>
      <c r="AF71" s="1"/>
      <c r="AI71" s="59"/>
      <c r="AM71" s="59"/>
    </row>
    <row r="72" spans="1:39" x14ac:dyDescent="0.25">
      <c r="A72" s="24">
        <f ca="1">A71+1</f>
        <v>61</v>
      </c>
      <c r="B72" s="1">
        <v>0</v>
      </c>
      <c r="C72" s="1">
        <v>200</v>
      </c>
      <c r="D72" s="51">
        <f t="shared" ref="D72:D90" si="56">435.001/C72</f>
        <v>2.1750050000000001</v>
      </c>
      <c r="E72" s="52" t="s">
        <v>46</v>
      </c>
      <c r="F72" s="53">
        <v>100</v>
      </c>
      <c r="G72" s="54" t="s">
        <v>391</v>
      </c>
      <c r="H72" s="780">
        <f ca="1">COUNTIFS(OFFSET(Arb!$H$2,Arb!$AJ$36+Arb!$AJ$37,,Arb!$AJ$38,),"&lt;"&amp;$A72,OFFSET(Arb!$I$2,Arb!$AJ$36+Arb!$AJ$37,,Arb!$AJ$38,),"&gt;="&amp;$F72,OFFSET(Arb!$AI$2,Arb!$AJ$36+Arb!$AJ$37,,Arb!$AJ$38,),TRUE)</f>
        <v>9</v>
      </c>
      <c r="I72" s="659">
        <f t="shared" ref="I72:I101" ca="1" si="57">I$71</f>
        <v>1037</v>
      </c>
      <c r="J72" s="781">
        <f t="shared" ref="J72:J101" ca="1" si="58">IFERROR(H72/I72,"")</f>
        <v>8.6788813886210219E-3</v>
      </c>
      <c r="K72" s="782" t="s">
        <v>759</v>
      </c>
      <c r="L72" s="712">
        <f ca="1">COUNTIFS(OFFSET(Arb!$C$2,Arb!$AJ$36+Arb!$AJ$37,,Arb!$AJ$38,),L$1,OFFSET(Arb!$H$2,Arb!$AJ$36+Arb!$AJ$37,,Arb!$AJ$38,),"&lt;"&amp;$A72,OFFSET(Arb!$I$2,Arb!$AJ$36+Arb!$AJ$37,,Arb!$AJ$38,),"&gt;="&amp;$F72,OFFSET(Arb!$AI$2,Arb!$AJ$36+Arb!$AJ$37,,Arb!$AJ$38,),TRUE)</f>
        <v>9</v>
      </c>
      <c r="M72" s="659">
        <f t="shared" ref="M72:M83" ca="1" si="59">M$71</f>
        <v>770</v>
      </c>
      <c r="N72" s="781">
        <f t="shared" ref="N72:N101" ca="1" si="60">IFERROR(L72/M72,"")</f>
        <v>1.1688311688311689E-2</v>
      </c>
      <c r="O72" s="783" t="s">
        <v>759</v>
      </c>
      <c r="P72" s="1">
        <f ca="1">COUNTIFS(OFFSET(Arb!$C$2,Arb!$AJ$36+Arb!$AJ$37,,Arb!$AJ$38,),P$1,OFFSET(Arb!$H$2,Arb!$AJ$36+Arb!$AJ$37,,Arb!$AJ$38,),"&lt;"&amp;$A72,OFFSET(Arb!$I$2,Arb!$AJ$36+Arb!$AJ$37,,Arb!$AJ$38,),"&gt;="&amp;$F72,OFFSET(Arb!$AI$2,Arb!$AJ$36+Arb!$AJ$37,,Arb!$AJ$38,),TRUE)</f>
        <v>0</v>
      </c>
      <c r="Q72" s="11">
        <f t="shared" ref="Q72:Q101" ca="1" si="61">Q$71</f>
        <v>267</v>
      </c>
      <c r="R72" s="56">
        <f t="shared" ref="R72:R101" ca="1" si="62">IFERROR(P72/Q72,"")</f>
        <v>0</v>
      </c>
      <c r="S72" s="59" t="str">
        <f>ASB!$AL$67</f>
        <v>发财</v>
      </c>
      <c r="T72" s="1">
        <f ca="1">COUNTIFS(OFFSET(Arb!$C$2,Arb!$AJ$36+Arb!$AJ$37,,Arb!$AJ$38,),T$1,OFFSET(Arb!$H$2,Arb!$AJ$36+Arb!$AJ$37,,Arb!$AJ$38,),"&lt;"&amp;$A72,OFFSET(Arb!$I$2,Arb!$AJ$36+Arb!$AJ$37,,Arb!$AJ$38,),"&gt;="&amp;$F72,OFFSET(Arb!$AI$2,Arb!$AJ$36+Arb!$AJ$37,,Arb!$AJ$38,),TRUE)</f>
        <v>0</v>
      </c>
      <c r="U72" s="11">
        <f t="shared" ref="U72:U101" ca="1" si="63">U$71</f>
        <v>0</v>
      </c>
      <c r="V72" s="56" t="str">
        <f t="shared" ref="V72:V101" ca="1" si="64">IFERROR(T72/U72,"")</f>
        <v/>
      </c>
      <c r="W72" s="59" t="str">
        <f>ASB!$AL$67</f>
        <v>发财</v>
      </c>
      <c r="X72" s="1">
        <f ca="1">COUNTIFS(OFFSET(Arb!$C$2,Arb!$AJ$36+Arb!$AJ$37,,Arb!$AJ$38,),X$1,OFFSET(Arb!$H$2,Arb!$AJ$36+Arb!$AJ$37,,Arb!$AJ$38,),"&lt;"&amp;$A72,OFFSET(Arb!$I$2,Arb!$AJ$36+Arb!$AJ$37,,Arb!$AJ$38,),"&gt;="&amp;$F72,OFFSET(Arb!$AI$2,Arb!$AJ$36+Arb!$AJ$37,,Arb!$AJ$38,),TRUE)</f>
        <v>0</v>
      </c>
      <c r="Y72" s="11">
        <f t="shared" ref="Y72:Y101" ca="1" si="65">Y$71</f>
        <v>0</v>
      </c>
      <c r="Z72" s="56" t="str">
        <f t="shared" ref="Z72:Z101" ca="1" si="66">IFERROR(X72/Y72,"")</f>
        <v/>
      </c>
      <c r="AA72" s="59" t="str">
        <f>ASB!$AL$67</f>
        <v>发财</v>
      </c>
      <c r="AB72" s="1">
        <f ca="1">COUNTIFS(OFFSET(Arb!$C$2,Arb!$AJ$36+Arb!$AJ$37,,Arb!$AJ$38,),AB$1,OFFSET(Arb!$H$2,Arb!$AJ$36+Arb!$AJ$37,,Arb!$AJ$38,),"&lt;"&amp;$A72,OFFSET(Arb!$I$2,Arb!$AJ$36+Arb!$AJ$37,,Arb!$AJ$38,),"&gt;="&amp;$F72,OFFSET(Arb!$AI$2,Arb!$AJ$36+Arb!$AJ$37,,Arb!$AJ$38,),TRUE)</f>
        <v>0</v>
      </c>
      <c r="AC72" s="11">
        <f t="shared" ref="AC72:AC101" ca="1" si="67">AC$71</f>
        <v>0</v>
      </c>
      <c r="AD72" s="56" t="str">
        <f t="shared" ref="AD72:AD101" ca="1" si="68">IFERROR(AB72/AC72,"")</f>
        <v/>
      </c>
      <c r="AE72" s="59" t="str">
        <f>ASB!$AL$67</f>
        <v>发财</v>
      </c>
      <c r="AF72" s="1"/>
      <c r="AI72" s="59"/>
      <c r="AM72" s="59"/>
    </row>
    <row r="73" spans="1:39" x14ac:dyDescent="0.25">
      <c r="A73" s="24">
        <f t="shared" ref="A73:A82" ca="1" si="69">A72+1</f>
        <v>62</v>
      </c>
      <c r="B73" s="1">
        <v>0</v>
      </c>
      <c r="C73" s="1">
        <v>200</v>
      </c>
      <c r="D73" s="51">
        <f t="shared" si="56"/>
        <v>2.1750050000000001</v>
      </c>
      <c r="E73" s="52" t="s">
        <v>46</v>
      </c>
      <c r="F73" s="53">
        <v>100</v>
      </c>
      <c r="G73" s="54" t="s">
        <v>391</v>
      </c>
      <c r="H73" s="786">
        <f ca="1">COUNTIFS(OFFSET(Arb!$H$2,Arb!$AJ$36+Arb!$AJ$37,,Arb!$AJ$38,),"&lt;"&amp;$A73,OFFSET(Arb!$I$2,Arb!$AJ$36+Arb!$AJ$37,,Arb!$AJ$38,),"&gt;="&amp;$F73,OFFSET(Arb!$AI$2,Arb!$AJ$36+Arb!$AJ$37,,Arb!$AJ$38,),TRUE)</f>
        <v>13</v>
      </c>
      <c r="I73" s="300">
        <f t="shared" ca="1" si="57"/>
        <v>1037</v>
      </c>
      <c r="J73" s="784">
        <f t="shared" ca="1" si="58"/>
        <v>1.253616200578592E-2</v>
      </c>
      <c r="K73" s="787" t="s">
        <v>760</v>
      </c>
      <c r="L73" s="715">
        <f ca="1">COUNTIFS(OFFSET(Arb!$C$2,Arb!$AJ$36+Arb!$AJ$37,,Arb!$AJ$38,),L$1,OFFSET(Arb!$H$2,Arb!$AJ$36+Arb!$AJ$37,,Arb!$AJ$38,),"&lt;"&amp;$A73,OFFSET(Arb!$I$2,Arb!$AJ$36+Arb!$AJ$37,,Arb!$AJ$38,),"&gt;="&amp;$F73,OFFSET(Arb!$AI$2,Arb!$AJ$36+Arb!$AJ$37,,Arb!$AJ$38,),TRUE)</f>
        <v>13</v>
      </c>
      <c r="M73" s="300">
        <f t="shared" ca="1" si="59"/>
        <v>770</v>
      </c>
      <c r="N73" s="784">
        <f t="shared" ca="1" si="60"/>
        <v>1.6883116883116882E-2</v>
      </c>
      <c r="O73" s="785" t="s">
        <v>760</v>
      </c>
      <c r="P73" s="1">
        <f ca="1">COUNTIFS(OFFSET(Arb!$C$2,Arb!$AJ$36+Arb!$AJ$37,,Arb!$AJ$38,),P$1,OFFSET(Arb!$H$2,Arb!$AJ$36+Arb!$AJ$37,,Arb!$AJ$38,),"&lt;"&amp;$A73,OFFSET(Arb!$I$2,Arb!$AJ$36+Arb!$AJ$37,,Arb!$AJ$38,),"&gt;="&amp;$F73,OFFSET(Arb!$AI$2,Arb!$AJ$36+Arb!$AJ$37,,Arb!$AJ$38,),TRUE)</f>
        <v>0</v>
      </c>
      <c r="Q73" s="11">
        <f t="shared" ca="1" si="61"/>
        <v>267</v>
      </c>
      <c r="R73" s="56">
        <f t="shared" ca="1" si="62"/>
        <v>0</v>
      </c>
      <c r="S73" s="59" t="str">
        <f>ASB!$AL$67</f>
        <v>发财</v>
      </c>
      <c r="T73" s="1">
        <f ca="1">COUNTIFS(OFFSET(Arb!$C$2,Arb!$AJ$36+Arb!$AJ$37,,Arb!$AJ$38,),T$1,OFFSET(Arb!$H$2,Arb!$AJ$36+Arb!$AJ$37,,Arb!$AJ$38,),"&lt;"&amp;$A73,OFFSET(Arb!$I$2,Arb!$AJ$36+Arb!$AJ$37,,Arb!$AJ$38,),"&gt;="&amp;$F73,OFFSET(Arb!$AI$2,Arb!$AJ$36+Arb!$AJ$37,,Arb!$AJ$38,),TRUE)</f>
        <v>0</v>
      </c>
      <c r="U73" s="11">
        <f t="shared" ca="1" si="63"/>
        <v>0</v>
      </c>
      <c r="V73" s="56" t="str">
        <f t="shared" ca="1" si="64"/>
        <v/>
      </c>
      <c r="W73" s="59" t="str">
        <f>ASB!$AL$67</f>
        <v>发财</v>
      </c>
      <c r="X73" s="1">
        <f ca="1">COUNTIFS(OFFSET(Arb!$C$2,Arb!$AJ$36+Arb!$AJ$37,,Arb!$AJ$38,),X$1,OFFSET(Arb!$H$2,Arb!$AJ$36+Arb!$AJ$37,,Arb!$AJ$38,),"&lt;"&amp;$A73,OFFSET(Arb!$I$2,Arb!$AJ$36+Arb!$AJ$37,,Arb!$AJ$38,),"&gt;="&amp;$F73,OFFSET(Arb!$AI$2,Arb!$AJ$36+Arb!$AJ$37,,Arb!$AJ$38,),TRUE)</f>
        <v>0</v>
      </c>
      <c r="Y73" s="11">
        <f t="shared" ca="1" si="65"/>
        <v>0</v>
      </c>
      <c r="Z73" s="56" t="str">
        <f t="shared" ca="1" si="66"/>
        <v/>
      </c>
      <c r="AA73" s="59" t="str">
        <f>ASB!$AL$67</f>
        <v>发财</v>
      </c>
      <c r="AB73" s="1">
        <f ca="1">COUNTIFS(OFFSET(Arb!$C$2,Arb!$AJ$36+Arb!$AJ$37,,Arb!$AJ$38,),AB$1,OFFSET(Arb!$H$2,Arb!$AJ$36+Arb!$AJ$37,,Arb!$AJ$38,),"&lt;"&amp;$A73,OFFSET(Arb!$I$2,Arb!$AJ$36+Arb!$AJ$37,,Arb!$AJ$38,),"&gt;="&amp;$F73,OFFSET(Arb!$AI$2,Arb!$AJ$36+Arb!$AJ$37,,Arb!$AJ$38,),TRUE)</f>
        <v>0</v>
      </c>
      <c r="AC73" s="11">
        <f t="shared" ca="1" si="67"/>
        <v>0</v>
      </c>
      <c r="AD73" s="56" t="str">
        <f t="shared" ca="1" si="68"/>
        <v/>
      </c>
      <c r="AE73" s="59" t="str">
        <f>ASB!$AL$67</f>
        <v>发财</v>
      </c>
      <c r="AF73" s="1"/>
      <c r="AI73" s="59"/>
      <c r="AM73" s="59"/>
    </row>
    <row r="74" spans="1:39" x14ac:dyDescent="0.25">
      <c r="A74" s="24">
        <f t="shared" ca="1" si="69"/>
        <v>63</v>
      </c>
      <c r="B74" s="1">
        <v>0</v>
      </c>
      <c r="C74" s="1">
        <v>200</v>
      </c>
      <c r="D74" s="51">
        <f t="shared" si="56"/>
        <v>2.1750050000000001</v>
      </c>
      <c r="E74" s="52" t="s">
        <v>46</v>
      </c>
      <c r="F74" s="53">
        <v>100</v>
      </c>
      <c r="G74" s="54" t="s">
        <v>391</v>
      </c>
      <c r="H74" s="786">
        <f ca="1">COUNTIFS(OFFSET(Arb!$H$2,Arb!$AJ$36+Arb!$AJ$37,,Arb!$AJ$38,),"&lt;"&amp;$A74,OFFSET(Arb!$I$2,Arb!$AJ$36+Arb!$AJ$37,,Arb!$AJ$38,),"&gt;="&amp;$F74,OFFSET(Arb!$AI$2,Arb!$AJ$36+Arb!$AJ$37,,Arb!$AJ$38,),TRUE)</f>
        <v>23</v>
      </c>
      <c r="I74" s="300">
        <f t="shared" ca="1" si="57"/>
        <v>1037</v>
      </c>
      <c r="J74" s="784">
        <f t="shared" ca="1" si="58"/>
        <v>2.2179363548698167E-2</v>
      </c>
      <c r="K74" s="787" t="s">
        <v>760</v>
      </c>
      <c r="L74" s="715">
        <f ca="1">COUNTIFS(OFFSET(Arb!$C$2,Arb!$AJ$36+Arb!$AJ$37,,Arb!$AJ$38,),L$1,OFFSET(Arb!$H$2,Arb!$AJ$36+Arb!$AJ$37,,Arb!$AJ$38,),"&lt;"&amp;$A74,OFFSET(Arb!$I$2,Arb!$AJ$36+Arb!$AJ$37,,Arb!$AJ$38,),"&gt;="&amp;$F74,OFFSET(Arb!$AI$2,Arb!$AJ$36+Arb!$AJ$37,,Arb!$AJ$38,),TRUE)</f>
        <v>23</v>
      </c>
      <c r="M74" s="300">
        <f t="shared" ca="1" si="59"/>
        <v>770</v>
      </c>
      <c r="N74" s="784">
        <f t="shared" ca="1" si="60"/>
        <v>2.987012987012987E-2</v>
      </c>
      <c r="O74" s="785" t="s">
        <v>760</v>
      </c>
      <c r="P74" s="1">
        <f ca="1">COUNTIFS(OFFSET(Arb!$C$2,Arb!$AJ$36+Arb!$AJ$37,,Arb!$AJ$38,),P$1,OFFSET(Arb!$H$2,Arb!$AJ$36+Arb!$AJ$37,,Arb!$AJ$38,),"&lt;"&amp;$A74,OFFSET(Arb!$I$2,Arb!$AJ$36+Arb!$AJ$37,,Arb!$AJ$38,),"&gt;="&amp;$F74,OFFSET(Arb!$AI$2,Arb!$AJ$36+Arb!$AJ$37,,Arb!$AJ$38,),TRUE)</f>
        <v>0</v>
      </c>
      <c r="Q74" s="11">
        <f t="shared" ca="1" si="61"/>
        <v>267</v>
      </c>
      <c r="R74" s="56">
        <f t="shared" ca="1" si="62"/>
        <v>0</v>
      </c>
      <c r="S74" s="59" t="str">
        <f>ASB!$AL$67</f>
        <v>发财</v>
      </c>
      <c r="T74" s="1">
        <f ca="1">COUNTIFS(OFFSET(Arb!$C$2,Arb!$AJ$36+Arb!$AJ$37,,Arb!$AJ$38,),T$1,OFFSET(Arb!$H$2,Arb!$AJ$36+Arb!$AJ$37,,Arb!$AJ$38,),"&lt;"&amp;$A74,OFFSET(Arb!$I$2,Arb!$AJ$36+Arb!$AJ$37,,Arb!$AJ$38,),"&gt;="&amp;$F74,OFFSET(Arb!$AI$2,Arb!$AJ$36+Arb!$AJ$37,,Arb!$AJ$38,),TRUE)</f>
        <v>0</v>
      </c>
      <c r="U74" s="11">
        <f t="shared" ca="1" si="63"/>
        <v>0</v>
      </c>
      <c r="V74" s="56" t="str">
        <f t="shared" ca="1" si="64"/>
        <v/>
      </c>
      <c r="W74" s="59" t="str">
        <f>ASB!$AL$67</f>
        <v>发财</v>
      </c>
      <c r="X74" s="1">
        <f ca="1">COUNTIFS(OFFSET(Arb!$C$2,Arb!$AJ$36+Arb!$AJ$37,,Arb!$AJ$38,),X$1,OFFSET(Arb!$H$2,Arb!$AJ$36+Arb!$AJ$37,,Arb!$AJ$38,),"&lt;"&amp;$A74,OFFSET(Arb!$I$2,Arb!$AJ$36+Arb!$AJ$37,,Arb!$AJ$38,),"&gt;="&amp;$F74,OFFSET(Arb!$AI$2,Arb!$AJ$36+Arb!$AJ$37,,Arb!$AJ$38,),TRUE)</f>
        <v>0</v>
      </c>
      <c r="Y74" s="11">
        <f t="shared" ca="1" si="65"/>
        <v>0</v>
      </c>
      <c r="Z74" s="56" t="str">
        <f t="shared" ca="1" si="66"/>
        <v/>
      </c>
      <c r="AA74" s="59" t="str">
        <f>ASB!$AL$67</f>
        <v>发财</v>
      </c>
      <c r="AB74" s="1">
        <f ca="1">COUNTIFS(OFFSET(Arb!$C$2,Arb!$AJ$36+Arb!$AJ$37,,Arb!$AJ$38,),AB$1,OFFSET(Arb!$H$2,Arb!$AJ$36+Arb!$AJ$37,,Arb!$AJ$38,),"&lt;"&amp;$A74,OFFSET(Arb!$I$2,Arb!$AJ$36+Arb!$AJ$37,,Arb!$AJ$38,),"&gt;="&amp;$F74,OFFSET(Arb!$AI$2,Arb!$AJ$36+Arb!$AJ$37,,Arb!$AJ$38,),TRUE)</f>
        <v>0</v>
      </c>
      <c r="AC74" s="11">
        <f t="shared" ca="1" si="67"/>
        <v>0</v>
      </c>
      <c r="AD74" s="56" t="str">
        <f t="shared" ca="1" si="68"/>
        <v/>
      </c>
      <c r="AE74" s="59" t="str">
        <f>ASB!$AL$67</f>
        <v>发财</v>
      </c>
      <c r="AF74" s="1"/>
      <c r="AI74" s="59"/>
      <c r="AM74" s="59"/>
    </row>
    <row r="75" spans="1:39" x14ac:dyDescent="0.25">
      <c r="A75" s="24">
        <f t="shared" ca="1" si="69"/>
        <v>64</v>
      </c>
      <c r="B75" s="1">
        <v>0</v>
      </c>
      <c r="C75" s="1">
        <v>200</v>
      </c>
      <c r="D75" s="51">
        <f t="shared" si="56"/>
        <v>2.1750050000000001</v>
      </c>
      <c r="E75" s="52" t="s">
        <v>46</v>
      </c>
      <c r="F75" s="53">
        <v>100</v>
      </c>
      <c r="G75" s="54" t="s">
        <v>391</v>
      </c>
      <c r="H75" s="786">
        <f ca="1">COUNTIFS(OFFSET(Arb!$H$2,Arb!$AJ$36+Arb!$AJ$37,,Arb!$AJ$38,),"&lt;"&amp;$A75,OFFSET(Arb!$I$2,Arb!$AJ$36+Arb!$AJ$37,,Arb!$AJ$38,),"&gt;="&amp;$F75,OFFSET(Arb!$AI$2,Arb!$AJ$36+Arb!$AJ$37,,Arb!$AJ$38,),TRUE)</f>
        <v>31</v>
      </c>
      <c r="I75" s="300">
        <f t="shared" ca="1" si="57"/>
        <v>1037</v>
      </c>
      <c r="J75" s="784">
        <f t="shared" ca="1" si="58"/>
        <v>2.9893924783027964E-2</v>
      </c>
      <c r="K75" s="787" t="s">
        <v>760</v>
      </c>
      <c r="L75" s="545">
        <f ca="1">COUNTIFS(OFFSET(Arb!$C$2,Arb!$AJ$36+Arb!$AJ$37,,Arb!$AJ$38,),L$1,OFFSET(Arb!$H$2,Arb!$AJ$36+Arb!$AJ$37,,Arb!$AJ$38,),"&lt;"&amp;$A75,OFFSET(Arb!$I$2,Arb!$AJ$36+Arb!$AJ$37,,Arb!$AJ$38,),"&gt;="&amp;$F75,OFFSET(Arb!$AI$2,Arb!$AJ$36+Arb!$AJ$37,,Arb!$AJ$38,),TRUE)</f>
        <v>31</v>
      </c>
      <c r="M75" s="552">
        <f t="shared" ca="1" si="59"/>
        <v>770</v>
      </c>
      <c r="N75" s="268">
        <f t="shared" ca="1" si="60"/>
        <v>4.0259740259740259E-2</v>
      </c>
      <c r="O75" s="788" t="s">
        <v>761</v>
      </c>
      <c r="P75" s="1">
        <f ca="1">COUNTIFS(OFFSET(Arb!$C$2,Arb!$AJ$36+Arb!$AJ$37,,Arb!$AJ$38,),P$1,OFFSET(Arb!$H$2,Arb!$AJ$36+Arb!$AJ$37,,Arb!$AJ$38,),"&lt;"&amp;$A75,OFFSET(Arb!$I$2,Arb!$AJ$36+Arb!$AJ$37,,Arb!$AJ$38,),"&gt;="&amp;$F75,OFFSET(Arb!$AI$2,Arb!$AJ$36+Arb!$AJ$37,,Arb!$AJ$38,),TRUE)</f>
        <v>0</v>
      </c>
      <c r="Q75" s="11">
        <f t="shared" ca="1" si="61"/>
        <v>267</v>
      </c>
      <c r="R75" s="56">
        <f t="shared" ca="1" si="62"/>
        <v>0</v>
      </c>
      <c r="S75" s="59" t="str">
        <f>ASB!$AL$67</f>
        <v>发财</v>
      </c>
      <c r="T75" s="1">
        <f ca="1">COUNTIFS(OFFSET(Arb!$C$2,Arb!$AJ$36+Arb!$AJ$37,,Arb!$AJ$38,),T$1,OFFSET(Arb!$H$2,Arb!$AJ$36+Arb!$AJ$37,,Arb!$AJ$38,),"&lt;"&amp;$A75,OFFSET(Arb!$I$2,Arb!$AJ$36+Arb!$AJ$37,,Arb!$AJ$38,),"&gt;="&amp;$F75,OFFSET(Arb!$AI$2,Arb!$AJ$36+Arb!$AJ$37,,Arb!$AJ$38,),TRUE)</f>
        <v>0</v>
      </c>
      <c r="U75" s="11">
        <f t="shared" ca="1" si="63"/>
        <v>0</v>
      </c>
      <c r="V75" s="56" t="str">
        <f t="shared" ca="1" si="64"/>
        <v/>
      </c>
      <c r="W75" s="59" t="str">
        <f>ASB!$AL$67</f>
        <v>发财</v>
      </c>
      <c r="X75" s="1">
        <f ca="1">COUNTIFS(OFFSET(Arb!$C$2,Arb!$AJ$36+Arb!$AJ$37,,Arb!$AJ$38,),X$1,OFFSET(Arb!$H$2,Arb!$AJ$36+Arb!$AJ$37,,Arb!$AJ$38,),"&lt;"&amp;$A75,OFFSET(Arb!$I$2,Arb!$AJ$36+Arb!$AJ$37,,Arb!$AJ$38,),"&gt;="&amp;$F75,OFFSET(Arb!$AI$2,Arb!$AJ$36+Arb!$AJ$37,,Arb!$AJ$38,),TRUE)</f>
        <v>0</v>
      </c>
      <c r="Y75" s="11">
        <f t="shared" ca="1" si="65"/>
        <v>0</v>
      </c>
      <c r="Z75" s="56" t="str">
        <f t="shared" ca="1" si="66"/>
        <v/>
      </c>
      <c r="AA75" s="59" t="str">
        <f>ASB!$AL$67</f>
        <v>发财</v>
      </c>
      <c r="AB75" s="1">
        <f ca="1">COUNTIFS(OFFSET(Arb!$C$2,Arb!$AJ$36+Arb!$AJ$37,,Arb!$AJ$38,),AB$1,OFFSET(Arb!$H$2,Arb!$AJ$36+Arb!$AJ$37,,Arb!$AJ$38,),"&lt;"&amp;$A75,OFFSET(Arb!$I$2,Arb!$AJ$36+Arb!$AJ$37,,Arb!$AJ$38,),"&gt;="&amp;$F75,OFFSET(Arb!$AI$2,Arb!$AJ$36+Arb!$AJ$37,,Arb!$AJ$38,),TRUE)</f>
        <v>0</v>
      </c>
      <c r="AC75" s="11">
        <f t="shared" ca="1" si="67"/>
        <v>0</v>
      </c>
      <c r="AD75" s="56" t="str">
        <f t="shared" ca="1" si="68"/>
        <v/>
      </c>
      <c r="AE75" s="59" t="str">
        <f>ASB!$AL$67</f>
        <v>发财</v>
      </c>
      <c r="AF75" s="1"/>
      <c r="AI75" s="59"/>
      <c r="AM75" s="59"/>
    </row>
    <row r="76" spans="1:39" x14ac:dyDescent="0.25">
      <c r="A76" s="24">
        <f t="shared" ca="1" si="69"/>
        <v>65</v>
      </c>
      <c r="B76" s="1">
        <v>0</v>
      </c>
      <c r="C76" s="1">
        <v>200</v>
      </c>
      <c r="D76" s="51">
        <f t="shared" si="56"/>
        <v>2.1750050000000001</v>
      </c>
      <c r="E76" s="52" t="s">
        <v>46</v>
      </c>
      <c r="F76" s="53">
        <v>100</v>
      </c>
      <c r="G76" s="54" t="s">
        <v>391</v>
      </c>
      <c r="H76" s="377">
        <f ca="1">COUNTIFS(OFFSET(Arb!$H$2,Arb!$AJ$36+Arb!$AJ$37,,Arb!$AJ$38,),"&lt;"&amp;$A76,OFFSET(Arb!$I$2,Arb!$AJ$36+Arb!$AJ$37,,Arb!$AJ$38,),"&gt;="&amp;$F76,OFFSET(Arb!$AI$2,Arb!$AJ$36+Arb!$AJ$37,,Arb!$AJ$38,),TRUE)</f>
        <v>40</v>
      </c>
      <c r="I76" s="552">
        <f t="shared" ca="1" si="57"/>
        <v>1037</v>
      </c>
      <c r="J76" s="268">
        <f t="shared" ca="1" si="58"/>
        <v>3.8572806171648988E-2</v>
      </c>
      <c r="K76" s="789" t="s">
        <v>761</v>
      </c>
      <c r="L76" s="545">
        <f ca="1">COUNTIFS(OFFSET(Arb!$C$2,Arb!$AJ$36+Arb!$AJ$37,,Arb!$AJ$38,),L$1,OFFSET(Arb!$H$2,Arb!$AJ$36+Arb!$AJ$37,,Arb!$AJ$38,),"&lt;"&amp;$A76,OFFSET(Arb!$I$2,Arb!$AJ$36+Arb!$AJ$37,,Arb!$AJ$38,),"&gt;="&amp;$F76,OFFSET(Arb!$AI$2,Arb!$AJ$36+Arb!$AJ$37,,Arb!$AJ$38,),TRUE)</f>
        <v>40</v>
      </c>
      <c r="M76" s="552">
        <f t="shared" ca="1" si="59"/>
        <v>770</v>
      </c>
      <c r="N76" s="268">
        <f t="shared" ca="1" si="60"/>
        <v>5.1948051948051951E-2</v>
      </c>
      <c r="O76" s="788" t="s">
        <v>761</v>
      </c>
      <c r="P76" s="1">
        <f ca="1">COUNTIFS(OFFSET(Arb!$C$2,Arb!$AJ$36+Arb!$AJ$37,,Arb!$AJ$38,),P$1,OFFSET(Arb!$H$2,Arb!$AJ$36+Arb!$AJ$37,,Arb!$AJ$38,),"&lt;"&amp;$A76,OFFSET(Arb!$I$2,Arb!$AJ$36+Arb!$AJ$37,,Arb!$AJ$38,),"&gt;="&amp;$F76,OFFSET(Arb!$AI$2,Arb!$AJ$36+Arb!$AJ$37,,Arb!$AJ$38,),TRUE)</f>
        <v>0</v>
      </c>
      <c r="Q76" s="11">
        <f t="shared" ca="1" si="61"/>
        <v>267</v>
      </c>
      <c r="R76" s="56">
        <f t="shared" ca="1" si="62"/>
        <v>0</v>
      </c>
      <c r="S76" s="59" t="str">
        <f>ASB!$AL$67</f>
        <v>发财</v>
      </c>
      <c r="T76" s="1">
        <f ca="1">COUNTIFS(OFFSET(Arb!$C$2,Arb!$AJ$36+Arb!$AJ$37,,Arb!$AJ$38,),T$1,OFFSET(Arb!$H$2,Arb!$AJ$36+Arb!$AJ$37,,Arb!$AJ$38,),"&lt;"&amp;$A76,OFFSET(Arb!$I$2,Arb!$AJ$36+Arb!$AJ$37,,Arb!$AJ$38,),"&gt;="&amp;$F76,OFFSET(Arb!$AI$2,Arb!$AJ$36+Arb!$AJ$37,,Arb!$AJ$38,),TRUE)</f>
        <v>0</v>
      </c>
      <c r="U76" s="11">
        <f t="shared" ca="1" si="63"/>
        <v>0</v>
      </c>
      <c r="V76" s="56" t="str">
        <f t="shared" ca="1" si="64"/>
        <v/>
      </c>
      <c r="W76" s="59" t="str">
        <f>ASB!$AL$67</f>
        <v>发财</v>
      </c>
      <c r="X76" s="1">
        <f ca="1">COUNTIFS(OFFSET(Arb!$C$2,Arb!$AJ$36+Arb!$AJ$37,,Arb!$AJ$38,),X$1,OFFSET(Arb!$H$2,Arb!$AJ$36+Arb!$AJ$37,,Arb!$AJ$38,),"&lt;"&amp;$A76,OFFSET(Arb!$I$2,Arb!$AJ$36+Arb!$AJ$37,,Arb!$AJ$38,),"&gt;="&amp;$F76,OFFSET(Arb!$AI$2,Arb!$AJ$36+Arb!$AJ$37,,Arb!$AJ$38,),TRUE)</f>
        <v>0</v>
      </c>
      <c r="Y76" s="11">
        <f t="shared" ca="1" si="65"/>
        <v>0</v>
      </c>
      <c r="Z76" s="56" t="str">
        <f t="shared" ca="1" si="66"/>
        <v/>
      </c>
      <c r="AA76" s="59" t="str">
        <f>ASB!$AL$67</f>
        <v>发财</v>
      </c>
      <c r="AB76" s="1">
        <f ca="1">COUNTIFS(OFFSET(Arb!$C$2,Arb!$AJ$36+Arb!$AJ$37,,Arb!$AJ$38,),AB$1,OFFSET(Arb!$H$2,Arb!$AJ$36+Arb!$AJ$37,,Arb!$AJ$38,),"&lt;"&amp;$A76,OFFSET(Arb!$I$2,Arb!$AJ$36+Arb!$AJ$37,,Arb!$AJ$38,),"&gt;="&amp;$F76,OFFSET(Arb!$AI$2,Arb!$AJ$36+Arb!$AJ$37,,Arb!$AJ$38,),TRUE)</f>
        <v>0</v>
      </c>
      <c r="AC76" s="11">
        <f t="shared" ca="1" si="67"/>
        <v>0</v>
      </c>
      <c r="AD76" s="56" t="str">
        <f t="shared" ca="1" si="68"/>
        <v/>
      </c>
      <c r="AE76" s="59" t="str">
        <f>ASB!$AL$67</f>
        <v>发财</v>
      </c>
      <c r="AF76" s="1"/>
      <c r="AI76" s="59"/>
      <c r="AM76" s="59"/>
    </row>
    <row r="77" spans="1:39" x14ac:dyDescent="0.25">
      <c r="A77" s="24">
        <f t="shared" ca="1" si="69"/>
        <v>66</v>
      </c>
      <c r="B77" s="1">
        <v>0</v>
      </c>
      <c r="C77" s="1">
        <v>200</v>
      </c>
      <c r="D77" s="51">
        <f t="shared" si="56"/>
        <v>2.1750050000000001</v>
      </c>
      <c r="E77" s="52" t="s">
        <v>46</v>
      </c>
      <c r="F77" s="53">
        <v>100</v>
      </c>
      <c r="G77" s="54" t="s">
        <v>391</v>
      </c>
      <c r="H77" s="377">
        <f ca="1">COUNTIFS(OFFSET(Arb!$H$2,Arb!$AJ$36+Arb!$AJ$37,,Arb!$AJ$38,),"&lt;"&amp;$A77,OFFSET(Arb!$I$2,Arb!$AJ$36+Arb!$AJ$37,,Arb!$AJ$38,),"&gt;="&amp;$F77,OFFSET(Arb!$AI$2,Arb!$AJ$36+Arb!$AJ$37,,Arb!$AJ$38,),TRUE)</f>
        <v>67</v>
      </c>
      <c r="I77" s="552">
        <f t="shared" ca="1" si="57"/>
        <v>1037</v>
      </c>
      <c r="J77" s="268">
        <f t="shared" ca="1" si="58"/>
        <v>6.4609450337512059E-2</v>
      </c>
      <c r="K77" s="789" t="s">
        <v>761</v>
      </c>
      <c r="L77" s="545">
        <f ca="1">COUNTIFS(OFFSET(Arb!$C$2,Arb!$AJ$36+Arb!$AJ$37,,Arb!$AJ$38,),L$1,OFFSET(Arb!$H$2,Arb!$AJ$36+Arb!$AJ$37,,Arb!$AJ$38,),"&lt;"&amp;$A77,OFFSET(Arb!$I$2,Arb!$AJ$36+Arb!$AJ$37,,Arb!$AJ$38,),"&gt;="&amp;$F77,OFFSET(Arb!$AI$2,Arb!$AJ$36+Arb!$AJ$37,,Arb!$AJ$38,),TRUE)</f>
        <v>66</v>
      </c>
      <c r="M77" s="552">
        <f t="shared" ca="1" si="59"/>
        <v>770</v>
      </c>
      <c r="N77" s="268">
        <f t="shared" ca="1" si="60"/>
        <v>8.5714285714285715E-2</v>
      </c>
      <c r="O77" s="788" t="s">
        <v>761</v>
      </c>
      <c r="P77" s="659">
        <f ca="1">COUNTIFS(OFFSET(Arb!$C$2,Arb!$AJ$36+Arb!$AJ$37,,Arb!$AJ$38,),P$1,OFFSET(Arb!$H$2,Arb!$AJ$36+Arb!$AJ$37,,Arb!$AJ$38,),"&lt;"&amp;$A77,OFFSET(Arb!$I$2,Arb!$AJ$36+Arb!$AJ$37,,Arb!$AJ$38,),"&gt;="&amp;$F77,OFFSET(Arb!$AI$2,Arb!$AJ$36+Arb!$AJ$37,,Arb!$AJ$38,),TRUE)</f>
        <v>1</v>
      </c>
      <c r="Q77" s="659">
        <f t="shared" ca="1" si="61"/>
        <v>267</v>
      </c>
      <c r="R77" s="781">
        <f t="shared" ca="1" si="62"/>
        <v>3.7453183520599251E-3</v>
      </c>
      <c r="S77" s="783" t="s">
        <v>759</v>
      </c>
      <c r="T77" s="1">
        <f ca="1">COUNTIFS(OFFSET(Arb!$C$2,Arb!$AJ$36+Arb!$AJ$37,,Arb!$AJ$38,),T$1,OFFSET(Arb!$H$2,Arb!$AJ$36+Arb!$AJ$37,,Arb!$AJ$38,),"&lt;"&amp;$A77,OFFSET(Arb!$I$2,Arb!$AJ$36+Arb!$AJ$37,,Arb!$AJ$38,),"&gt;="&amp;$F77,OFFSET(Arb!$AI$2,Arb!$AJ$36+Arb!$AJ$37,,Arb!$AJ$38,),TRUE)</f>
        <v>0</v>
      </c>
      <c r="U77" s="11">
        <f t="shared" ca="1" si="63"/>
        <v>0</v>
      </c>
      <c r="V77" s="56" t="str">
        <f t="shared" ca="1" si="64"/>
        <v/>
      </c>
      <c r="W77" s="59" t="str">
        <f>ASB!$AL$67</f>
        <v>发财</v>
      </c>
      <c r="X77" s="1">
        <f ca="1">COUNTIFS(OFFSET(Arb!$C$2,Arb!$AJ$36+Arb!$AJ$37,,Arb!$AJ$38,),X$1,OFFSET(Arb!$H$2,Arb!$AJ$36+Arb!$AJ$37,,Arb!$AJ$38,),"&lt;"&amp;$A77,OFFSET(Arb!$I$2,Arb!$AJ$36+Arb!$AJ$37,,Arb!$AJ$38,),"&gt;="&amp;$F77,OFFSET(Arb!$AI$2,Arb!$AJ$36+Arb!$AJ$37,,Arb!$AJ$38,),TRUE)</f>
        <v>0</v>
      </c>
      <c r="Y77" s="11">
        <f t="shared" ca="1" si="65"/>
        <v>0</v>
      </c>
      <c r="Z77" s="56" t="str">
        <f t="shared" ca="1" si="66"/>
        <v/>
      </c>
      <c r="AA77" s="59" t="str">
        <f>ASB!$AL$67</f>
        <v>发财</v>
      </c>
      <c r="AB77" s="1">
        <f ca="1">COUNTIFS(OFFSET(Arb!$C$2,Arb!$AJ$36+Arb!$AJ$37,,Arb!$AJ$38,),AB$1,OFFSET(Arb!$H$2,Arb!$AJ$36+Arb!$AJ$37,,Arb!$AJ$38,),"&lt;"&amp;$A77,OFFSET(Arb!$I$2,Arb!$AJ$36+Arb!$AJ$37,,Arb!$AJ$38,),"&gt;="&amp;$F77,OFFSET(Arb!$AI$2,Arb!$AJ$36+Arb!$AJ$37,,Arb!$AJ$38,),TRUE)</f>
        <v>0</v>
      </c>
      <c r="AC77" s="11">
        <f t="shared" ca="1" si="67"/>
        <v>0</v>
      </c>
      <c r="AD77" s="56" t="str">
        <f t="shared" ca="1" si="68"/>
        <v/>
      </c>
      <c r="AE77" s="59" t="str">
        <f>ASB!$AL$67</f>
        <v>发财</v>
      </c>
      <c r="AF77" s="1"/>
      <c r="AI77" s="59"/>
      <c r="AM77" s="59"/>
    </row>
    <row r="78" spans="1:39" x14ac:dyDescent="0.25">
      <c r="A78" s="24">
        <f t="shared" ca="1" si="69"/>
        <v>67</v>
      </c>
      <c r="B78" s="1">
        <v>0</v>
      </c>
      <c r="C78" s="1">
        <v>200</v>
      </c>
      <c r="D78" s="51">
        <f t="shared" si="56"/>
        <v>2.1750050000000001</v>
      </c>
      <c r="E78" s="52" t="s">
        <v>46</v>
      </c>
      <c r="F78" s="53">
        <v>100</v>
      </c>
      <c r="G78" s="54" t="s">
        <v>391</v>
      </c>
      <c r="H78" s="377">
        <f ca="1">COUNTIFS(OFFSET(Arb!$H$2,Arb!$AJ$36+Arb!$AJ$37,,Arb!$AJ$38,),"&lt;"&amp;$A78,OFFSET(Arb!$I$2,Arb!$AJ$36+Arb!$AJ$37,,Arb!$AJ$38,),"&gt;="&amp;$F78,OFFSET(Arb!$AI$2,Arb!$AJ$36+Arb!$AJ$37,,Arb!$AJ$38,),TRUE)</f>
        <v>92</v>
      </c>
      <c r="I78" s="552">
        <f t="shared" ca="1" si="57"/>
        <v>1037</v>
      </c>
      <c r="J78" s="268">
        <f t="shared" ca="1" si="58"/>
        <v>8.8717454194792669E-2</v>
      </c>
      <c r="K78" s="789" t="s">
        <v>761</v>
      </c>
      <c r="L78" s="548">
        <f ca="1">COUNTIFS(OFFSET(Arb!$C$2,Arb!$AJ$36+Arb!$AJ$37,,Arb!$AJ$38,),L$1,OFFSET(Arb!$H$2,Arb!$AJ$36+Arb!$AJ$37,,Arb!$AJ$38,),"&lt;"&amp;$A78,OFFSET(Arb!$I$2,Arb!$AJ$36+Arb!$AJ$37,,Arb!$AJ$38,),"&gt;="&amp;$F78,OFFSET(Arb!$AI$2,Arb!$AJ$36+Arb!$AJ$37,,Arb!$AJ$38,),TRUE)</f>
        <v>90</v>
      </c>
      <c r="M78" s="551">
        <f t="shared" ca="1" si="59"/>
        <v>770</v>
      </c>
      <c r="N78" s="341">
        <f t="shared" ca="1" si="60"/>
        <v>0.11688311688311688</v>
      </c>
      <c r="O78" s="790" t="s">
        <v>762</v>
      </c>
      <c r="P78" s="659">
        <f ca="1">COUNTIFS(OFFSET(Arb!$C$2,Arb!$AJ$36+Arb!$AJ$37,,Arb!$AJ$38,),P$1,OFFSET(Arb!$H$2,Arb!$AJ$36+Arb!$AJ$37,,Arb!$AJ$38,),"&lt;"&amp;$A78,OFFSET(Arb!$I$2,Arb!$AJ$36+Arb!$AJ$37,,Arb!$AJ$38,),"&gt;="&amp;$F78,OFFSET(Arb!$AI$2,Arb!$AJ$36+Arb!$AJ$37,,Arb!$AJ$38,),TRUE)</f>
        <v>2</v>
      </c>
      <c r="Q78" s="659">
        <f t="shared" ca="1" si="61"/>
        <v>267</v>
      </c>
      <c r="R78" s="781">
        <f t="shared" ca="1" si="62"/>
        <v>7.4906367041198503E-3</v>
      </c>
      <c r="S78" s="783" t="s">
        <v>759</v>
      </c>
      <c r="T78" s="1">
        <f ca="1">COUNTIFS(OFFSET(Arb!$C$2,Arb!$AJ$36+Arb!$AJ$37,,Arb!$AJ$38,),T$1,OFFSET(Arb!$H$2,Arb!$AJ$36+Arb!$AJ$37,,Arb!$AJ$38,),"&lt;"&amp;$A78,OFFSET(Arb!$I$2,Arb!$AJ$36+Arb!$AJ$37,,Arb!$AJ$38,),"&gt;="&amp;$F78,OFFSET(Arb!$AI$2,Arb!$AJ$36+Arb!$AJ$37,,Arb!$AJ$38,),TRUE)</f>
        <v>0</v>
      </c>
      <c r="U78" s="11">
        <f t="shared" ca="1" si="63"/>
        <v>0</v>
      </c>
      <c r="V78" s="56" t="str">
        <f t="shared" ca="1" si="64"/>
        <v/>
      </c>
      <c r="W78" s="59" t="str">
        <f>ASB!$AL$67</f>
        <v>发财</v>
      </c>
      <c r="X78" s="1">
        <f ca="1">COUNTIFS(OFFSET(Arb!$C$2,Arb!$AJ$36+Arb!$AJ$37,,Arb!$AJ$38,),X$1,OFFSET(Arb!$H$2,Arb!$AJ$36+Arb!$AJ$37,,Arb!$AJ$38,),"&lt;"&amp;$A78,OFFSET(Arb!$I$2,Arb!$AJ$36+Arb!$AJ$37,,Arb!$AJ$38,),"&gt;="&amp;$F78,OFFSET(Arb!$AI$2,Arb!$AJ$36+Arb!$AJ$37,,Arb!$AJ$38,),TRUE)</f>
        <v>0</v>
      </c>
      <c r="Y78" s="11">
        <f t="shared" ca="1" si="65"/>
        <v>0</v>
      </c>
      <c r="Z78" s="56" t="str">
        <f t="shared" ca="1" si="66"/>
        <v/>
      </c>
      <c r="AA78" s="59" t="str">
        <f>ASB!$AL$67</f>
        <v>发财</v>
      </c>
      <c r="AB78" s="1">
        <f ca="1">COUNTIFS(OFFSET(Arb!$C$2,Arb!$AJ$36+Arb!$AJ$37,,Arb!$AJ$38,),AB$1,OFFSET(Arb!$H$2,Arb!$AJ$36+Arb!$AJ$37,,Arb!$AJ$38,),"&lt;"&amp;$A78,OFFSET(Arb!$I$2,Arb!$AJ$36+Arb!$AJ$37,,Arb!$AJ$38,),"&gt;="&amp;$F78,OFFSET(Arb!$AI$2,Arb!$AJ$36+Arb!$AJ$37,,Arb!$AJ$38,),TRUE)</f>
        <v>0</v>
      </c>
      <c r="AC78" s="11">
        <f t="shared" ca="1" si="67"/>
        <v>0</v>
      </c>
      <c r="AD78" s="56" t="str">
        <f t="shared" ca="1" si="68"/>
        <v/>
      </c>
      <c r="AE78" s="59" t="str">
        <f>ASB!$AL$67</f>
        <v>发财</v>
      </c>
      <c r="AF78" s="1"/>
      <c r="AI78" s="59"/>
      <c r="AM78" s="59"/>
    </row>
    <row r="79" spans="1:39" x14ac:dyDescent="0.25">
      <c r="A79" s="24">
        <f t="shared" ca="1" si="69"/>
        <v>68</v>
      </c>
      <c r="B79" s="1">
        <v>0</v>
      </c>
      <c r="C79" s="1">
        <v>200</v>
      </c>
      <c r="D79" s="51">
        <f t="shared" si="56"/>
        <v>2.1750050000000001</v>
      </c>
      <c r="E79" s="52" t="s">
        <v>46</v>
      </c>
      <c r="F79" s="53">
        <v>100</v>
      </c>
      <c r="G79" s="54" t="s">
        <v>391</v>
      </c>
      <c r="H79" s="226">
        <f ca="1">COUNTIFS(OFFSET(Arb!$H$2,Arb!$AJ$36+Arb!$AJ$37,,Arb!$AJ$38,),"&lt;"&amp;$A79,OFFSET(Arb!$I$2,Arb!$AJ$36+Arb!$AJ$37,,Arb!$AJ$38,),"&gt;="&amp;$F79,OFFSET(Arb!$AI$2,Arb!$AJ$36+Arb!$AJ$37,,Arb!$AJ$38,),TRUE)</f>
        <v>129</v>
      </c>
      <c r="I79" s="551">
        <f t="shared" ca="1" si="57"/>
        <v>1037</v>
      </c>
      <c r="J79" s="341">
        <f t="shared" ca="1" si="58"/>
        <v>0.12439729990356799</v>
      </c>
      <c r="K79" s="791" t="s">
        <v>762</v>
      </c>
      <c r="L79" s="548">
        <f ca="1">COUNTIFS(OFFSET(Arb!$C$2,Arb!$AJ$36+Arb!$AJ$37,,Arb!$AJ$38,),L$1,OFFSET(Arb!$H$2,Arb!$AJ$36+Arb!$AJ$37,,Arb!$AJ$38,),"&lt;"&amp;$A79,OFFSET(Arb!$I$2,Arb!$AJ$36+Arb!$AJ$37,,Arb!$AJ$38,),"&gt;="&amp;$F79,OFFSET(Arb!$AI$2,Arb!$AJ$36+Arb!$AJ$37,,Arb!$AJ$38,),TRUE)</f>
        <v>125</v>
      </c>
      <c r="M79" s="551">
        <f t="shared" ca="1" si="59"/>
        <v>770</v>
      </c>
      <c r="N79" s="341">
        <f t="shared" ca="1" si="60"/>
        <v>0.16233766233766234</v>
      </c>
      <c r="O79" s="790" t="s">
        <v>762</v>
      </c>
      <c r="P79" s="300">
        <f ca="1">COUNTIFS(OFFSET(Arb!$C$2,Arb!$AJ$36+Arb!$AJ$37,,Arb!$AJ$38,),P$1,OFFSET(Arb!$H$2,Arb!$AJ$36+Arb!$AJ$37,,Arb!$AJ$38,),"&lt;"&amp;$A79,OFFSET(Arb!$I$2,Arb!$AJ$36+Arb!$AJ$37,,Arb!$AJ$38,),"&gt;="&amp;$F79,OFFSET(Arb!$AI$2,Arb!$AJ$36+Arb!$AJ$37,,Arb!$AJ$38,),TRUE)</f>
        <v>4</v>
      </c>
      <c r="Q79" s="300">
        <f t="shared" ca="1" si="61"/>
        <v>267</v>
      </c>
      <c r="R79" s="784">
        <f t="shared" ca="1" si="62"/>
        <v>1.4981273408239701E-2</v>
      </c>
      <c r="S79" s="785" t="s">
        <v>760</v>
      </c>
      <c r="T79" s="1">
        <f ca="1">COUNTIFS(OFFSET(Arb!$C$2,Arb!$AJ$36+Arb!$AJ$37,,Arb!$AJ$38,),T$1,OFFSET(Arb!$H$2,Arb!$AJ$36+Arb!$AJ$37,,Arb!$AJ$38,),"&lt;"&amp;$A79,OFFSET(Arb!$I$2,Arb!$AJ$36+Arb!$AJ$37,,Arb!$AJ$38,),"&gt;="&amp;$F79,OFFSET(Arb!$AI$2,Arb!$AJ$36+Arb!$AJ$37,,Arb!$AJ$38,),TRUE)</f>
        <v>0</v>
      </c>
      <c r="U79" s="11">
        <f t="shared" ca="1" si="63"/>
        <v>0</v>
      </c>
      <c r="V79" s="56" t="str">
        <f t="shared" ca="1" si="64"/>
        <v/>
      </c>
      <c r="W79" s="59" t="str">
        <f>ASB!$AL$67</f>
        <v>发财</v>
      </c>
      <c r="X79" s="1">
        <f ca="1">COUNTIFS(OFFSET(Arb!$C$2,Arb!$AJ$36+Arb!$AJ$37,,Arb!$AJ$38,),X$1,OFFSET(Arb!$H$2,Arb!$AJ$36+Arb!$AJ$37,,Arb!$AJ$38,),"&lt;"&amp;$A79,OFFSET(Arb!$I$2,Arb!$AJ$36+Arb!$AJ$37,,Arb!$AJ$38,),"&gt;="&amp;$F79,OFFSET(Arb!$AI$2,Arb!$AJ$36+Arb!$AJ$37,,Arb!$AJ$38,),TRUE)</f>
        <v>0</v>
      </c>
      <c r="Y79" s="11">
        <f t="shared" ca="1" si="65"/>
        <v>0</v>
      </c>
      <c r="Z79" s="56" t="str">
        <f t="shared" ca="1" si="66"/>
        <v/>
      </c>
      <c r="AA79" s="59" t="str">
        <f>ASB!$AL$67</f>
        <v>发财</v>
      </c>
      <c r="AB79" s="1">
        <f ca="1">COUNTIFS(OFFSET(Arb!$C$2,Arb!$AJ$36+Arb!$AJ$37,,Arb!$AJ$38,),AB$1,OFFSET(Arb!$H$2,Arb!$AJ$36+Arb!$AJ$37,,Arb!$AJ$38,),"&lt;"&amp;$A79,OFFSET(Arb!$I$2,Arb!$AJ$36+Arb!$AJ$37,,Arb!$AJ$38,),"&gt;="&amp;$F79,OFFSET(Arb!$AI$2,Arb!$AJ$36+Arb!$AJ$37,,Arb!$AJ$38,),TRUE)</f>
        <v>0</v>
      </c>
      <c r="AC79" s="11">
        <f t="shared" ca="1" si="67"/>
        <v>0</v>
      </c>
      <c r="AD79" s="56" t="str">
        <f t="shared" ca="1" si="68"/>
        <v/>
      </c>
      <c r="AE79" s="59" t="str">
        <f>ASB!$AL$67</f>
        <v>发财</v>
      </c>
      <c r="AF79" s="1"/>
      <c r="AI79" s="59"/>
      <c r="AM79" s="59"/>
    </row>
    <row r="80" spans="1:39" x14ac:dyDescent="0.25">
      <c r="A80" s="24">
        <f t="shared" ca="1" si="69"/>
        <v>69</v>
      </c>
      <c r="B80" s="1">
        <v>0</v>
      </c>
      <c r="C80" s="1">
        <v>200</v>
      </c>
      <c r="D80" s="51">
        <f t="shared" si="56"/>
        <v>2.1750050000000001</v>
      </c>
      <c r="E80" s="52" t="s">
        <v>46</v>
      </c>
      <c r="F80" s="53">
        <v>100</v>
      </c>
      <c r="G80" s="54" t="s">
        <v>391</v>
      </c>
      <c r="H80" s="226">
        <f ca="1">COUNTIFS(OFFSET(Arb!$H$2,Arb!$AJ$36+Arb!$AJ$37,,Arb!$AJ$38,),"&lt;"&amp;$A80,OFFSET(Arb!$I$2,Arb!$AJ$36+Arb!$AJ$37,,Arb!$AJ$38,),"&gt;="&amp;$F80,OFFSET(Arb!$AI$2,Arb!$AJ$36+Arb!$AJ$37,,Arb!$AJ$38,),TRUE)</f>
        <v>167</v>
      </c>
      <c r="I80" s="551">
        <f t="shared" ca="1" si="57"/>
        <v>1037</v>
      </c>
      <c r="J80" s="341">
        <f t="shared" ca="1" si="58"/>
        <v>0.16104146576663453</v>
      </c>
      <c r="K80" s="791" t="s">
        <v>762</v>
      </c>
      <c r="L80" s="548">
        <f ca="1">COUNTIFS(OFFSET(Arb!$C$2,Arb!$AJ$36+Arb!$AJ$37,,Arb!$AJ$38,),L$1,OFFSET(Arb!$H$2,Arb!$AJ$36+Arb!$AJ$37,,Arb!$AJ$38,),"&lt;"&amp;$A80,OFFSET(Arb!$I$2,Arb!$AJ$36+Arb!$AJ$37,,Arb!$AJ$38,),"&gt;="&amp;$F80,OFFSET(Arb!$AI$2,Arb!$AJ$36+Arb!$AJ$37,,Arb!$AJ$38,),TRUE)</f>
        <v>159</v>
      </c>
      <c r="M80" s="551">
        <f t="shared" ca="1" si="59"/>
        <v>770</v>
      </c>
      <c r="N80" s="341">
        <f t="shared" ca="1" si="60"/>
        <v>0.20649350649350651</v>
      </c>
      <c r="O80" s="790" t="s">
        <v>762</v>
      </c>
      <c r="P80" s="300">
        <f ca="1">COUNTIFS(OFFSET(Arb!$C$2,Arb!$AJ$36+Arb!$AJ$37,,Arb!$AJ$38,),P$1,OFFSET(Arb!$H$2,Arb!$AJ$36+Arb!$AJ$37,,Arb!$AJ$38,),"&lt;"&amp;$A80,OFFSET(Arb!$I$2,Arb!$AJ$36+Arb!$AJ$37,,Arb!$AJ$38,),"&gt;="&amp;$F80,OFFSET(Arb!$AI$2,Arb!$AJ$36+Arb!$AJ$37,,Arb!$AJ$38,),TRUE)</f>
        <v>8</v>
      </c>
      <c r="Q80" s="300">
        <f t="shared" ca="1" si="61"/>
        <v>267</v>
      </c>
      <c r="R80" s="784">
        <f t="shared" ca="1" si="62"/>
        <v>2.9962546816479401E-2</v>
      </c>
      <c r="S80" s="785" t="s">
        <v>760</v>
      </c>
      <c r="T80" s="1">
        <f ca="1">COUNTIFS(OFFSET(Arb!$C$2,Arb!$AJ$36+Arb!$AJ$37,,Arb!$AJ$38,),T$1,OFFSET(Arb!$H$2,Arb!$AJ$36+Arb!$AJ$37,,Arb!$AJ$38,),"&lt;"&amp;$A80,OFFSET(Arb!$I$2,Arb!$AJ$36+Arb!$AJ$37,,Arb!$AJ$38,),"&gt;="&amp;$F80,OFFSET(Arb!$AI$2,Arb!$AJ$36+Arb!$AJ$37,,Arb!$AJ$38,),TRUE)</f>
        <v>0</v>
      </c>
      <c r="U80" s="11">
        <f t="shared" ca="1" si="63"/>
        <v>0</v>
      </c>
      <c r="V80" s="56" t="str">
        <f t="shared" ca="1" si="64"/>
        <v/>
      </c>
      <c r="W80" s="59" t="str">
        <f>ASB!$AL$67</f>
        <v>发财</v>
      </c>
      <c r="X80" s="1">
        <f ca="1">COUNTIFS(OFFSET(Arb!$C$2,Arb!$AJ$36+Arb!$AJ$37,,Arb!$AJ$38,),X$1,OFFSET(Arb!$H$2,Arb!$AJ$36+Arb!$AJ$37,,Arb!$AJ$38,),"&lt;"&amp;$A80,OFFSET(Arb!$I$2,Arb!$AJ$36+Arb!$AJ$37,,Arb!$AJ$38,),"&gt;="&amp;$F80,OFFSET(Arb!$AI$2,Arb!$AJ$36+Arb!$AJ$37,,Arb!$AJ$38,),TRUE)</f>
        <v>0</v>
      </c>
      <c r="Y80" s="11">
        <f t="shared" ca="1" si="65"/>
        <v>0</v>
      </c>
      <c r="Z80" s="56" t="str">
        <f t="shared" ca="1" si="66"/>
        <v/>
      </c>
      <c r="AA80" s="59" t="str">
        <f>ASB!$AL$67</f>
        <v>发财</v>
      </c>
      <c r="AB80" s="1">
        <f ca="1">COUNTIFS(OFFSET(Arb!$C$2,Arb!$AJ$36+Arb!$AJ$37,,Arb!$AJ$38,),AB$1,OFFSET(Arb!$H$2,Arb!$AJ$36+Arb!$AJ$37,,Arb!$AJ$38,),"&lt;"&amp;$A80,OFFSET(Arb!$I$2,Arb!$AJ$36+Arb!$AJ$37,,Arb!$AJ$38,),"&gt;="&amp;$F80,OFFSET(Arb!$AI$2,Arb!$AJ$36+Arb!$AJ$37,,Arb!$AJ$38,),TRUE)</f>
        <v>0</v>
      </c>
      <c r="AC80" s="11">
        <f t="shared" ca="1" si="67"/>
        <v>0</v>
      </c>
      <c r="AD80" s="56" t="str">
        <f t="shared" ca="1" si="68"/>
        <v/>
      </c>
      <c r="AE80" s="59" t="str">
        <f>ASB!$AL$67</f>
        <v>发财</v>
      </c>
      <c r="AF80" s="1"/>
      <c r="AI80" s="59"/>
      <c r="AM80" s="59"/>
    </row>
    <row r="81" spans="1:39" x14ac:dyDescent="0.25">
      <c r="A81" s="24">
        <f t="shared" ca="1" si="69"/>
        <v>70</v>
      </c>
      <c r="B81" s="1">
        <v>0</v>
      </c>
      <c r="C81" s="1">
        <v>200</v>
      </c>
      <c r="D81" s="51">
        <f t="shared" si="56"/>
        <v>2.1750050000000001</v>
      </c>
      <c r="E81" s="52" t="s">
        <v>46</v>
      </c>
      <c r="F81" s="53">
        <v>100</v>
      </c>
      <c r="G81" s="54" t="s">
        <v>391</v>
      </c>
      <c r="H81" s="226">
        <f ca="1">COUNTIFS(OFFSET(Arb!$H$2,Arb!$AJ$36+Arb!$AJ$37,,Arb!$AJ$38,),"&lt;"&amp;$A81,OFFSET(Arb!$I$2,Arb!$AJ$36+Arb!$AJ$37,,Arb!$AJ$38,),"&gt;="&amp;$F81,OFFSET(Arb!$AI$2,Arb!$AJ$36+Arb!$AJ$37,,Arb!$AJ$38,),TRUE)</f>
        <v>208</v>
      </c>
      <c r="I81" s="551">
        <f t="shared" ca="1" si="57"/>
        <v>1037</v>
      </c>
      <c r="J81" s="341">
        <f t="shared" ca="1" si="58"/>
        <v>0.20057859209257473</v>
      </c>
      <c r="K81" s="791" t="s">
        <v>762</v>
      </c>
      <c r="L81" s="548">
        <f ca="1">COUNTIFS(OFFSET(Arb!$C$2,Arb!$AJ$36+Arb!$AJ$37,,Arb!$AJ$38,),L$1,OFFSET(Arb!$H$2,Arb!$AJ$36+Arb!$AJ$37,,Arb!$AJ$38,),"&lt;"&amp;$A81,OFFSET(Arb!$I$2,Arb!$AJ$36+Arb!$AJ$37,,Arb!$AJ$38,),"&gt;="&amp;$F81,OFFSET(Arb!$AI$2,Arb!$AJ$36+Arb!$AJ$37,,Arb!$AJ$38,),TRUE)</f>
        <v>197</v>
      </c>
      <c r="M81" s="551">
        <f t="shared" ca="1" si="59"/>
        <v>770</v>
      </c>
      <c r="N81" s="341">
        <f t="shared" ca="1" si="60"/>
        <v>0.25584415584415582</v>
      </c>
      <c r="O81" s="790" t="s">
        <v>762</v>
      </c>
      <c r="P81" s="552">
        <f ca="1">COUNTIFS(OFFSET(Arb!$C$2,Arb!$AJ$36+Arb!$AJ$37,,Arb!$AJ$38,),P$1,OFFSET(Arb!$H$2,Arb!$AJ$36+Arb!$AJ$37,,Arb!$AJ$38,),"&lt;"&amp;$A81,OFFSET(Arb!$I$2,Arb!$AJ$36+Arb!$AJ$37,,Arb!$AJ$38,),"&gt;="&amp;$F81,OFFSET(Arb!$AI$2,Arb!$AJ$36+Arb!$AJ$37,,Arb!$AJ$38,),TRUE)</f>
        <v>11</v>
      </c>
      <c r="Q81" s="552">
        <f t="shared" ca="1" si="61"/>
        <v>267</v>
      </c>
      <c r="R81" s="268">
        <f t="shared" ca="1" si="62"/>
        <v>4.1198501872659173E-2</v>
      </c>
      <c r="S81" s="788" t="s">
        <v>761</v>
      </c>
      <c r="T81" s="1">
        <f ca="1">COUNTIFS(OFFSET(Arb!$C$2,Arb!$AJ$36+Arb!$AJ$37,,Arb!$AJ$38,),T$1,OFFSET(Arb!$H$2,Arb!$AJ$36+Arb!$AJ$37,,Arb!$AJ$38,),"&lt;"&amp;$A81,OFFSET(Arb!$I$2,Arb!$AJ$36+Arb!$AJ$37,,Arb!$AJ$38,),"&gt;="&amp;$F81,OFFSET(Arb!$AI$2,Arb!$AJ$36+Arb!$AJ$37,,Arb!$AJ$38,),TRUE)</f>
        <v>0</v>
      </c>
      <c r="U81" s="11">
        <f t="shared" ca="1" si="63"/>
        <v>0</v>
      </c>
      <c r="V81" s="56" t="str">
        <f t="shared" ca="1" si="64"/>
        <v/>
      </c>
      <c r="W81" s="59" t="str">
        <f>ASB!$AL$67</f>
        <v>发财</v>
      </c>
      <c r="X81" s="1">
        <f ca="1">COUNTIFS(OFFSET(Arb!$C$2,Arb!$AJ$36+Arb!$AJ$37,,Arb!$AJ$38,),X$1,OFFSET(Arb!$H$2,Arb!$AJ$36+Arb!$AJ$37,,Arb!$AJ$38,),"&lt;"&amp;$A81,OFFSET(Arb!$I$2,Arb!$AJ$36+Arb!$AJ$37,,Arb!$AJ$38,),"&gt;="&amp;$F81,OFFSET(Arb!$AI$2,Arb!$AJ$36+Arb!$AJ$37,,Arb!$AJ$38,),TRUE)</f>
        <v>0</v>
      </c>
      <c r="Y81" s="11">
        <f t="shared" ca="1" si="65"/>
        <v>0</v>
      </c>
      <c r="Z81" s="56" t="str">
        <f t="shared" ca="1" si="66"/>
        <v/>
      </c>
      <c r="AA81" s="59" t="str">
        <f>ASB!$AL$67</f>
        <v>发财</v>
      </c>
      <c r="AB81" s="1">
        <f ca="1">COUNTIFS(OFFSET(Arb!$C$2,Arb!$AJ$36+Arb!$AJ$37,,Arb!$AJ$38,),AB$1,OFFSET(Arb!$H$2,Arb!$AJ$36+Arb!$AJ$37,,Arb!$AJ$38,),"&lt;"&amp;$A81,OFFSET(Arb!$I$2,Arb!$AJ$36+Arb!$AJ$37,,Arb!$AJ$38,),"&gt;="&amp;$F81,OFFSET(Arb!$AI$2,Arb!$AJ$36+Arb!$AJ$37,,Arb!$AJ$38,),TRUE)</f>
        <v>0</v>
      </c>
      <c r="AC81" s="11">
        <f t="shared" ca="1" si="67"/>
        <v>0</v>
      </c>
      <c r="AD81" s="56" t="str">
        <f t="shared" ca="1" si="68"/>
        <v/>
      </c>
      <c r="AE81" s="59" t="str">
        <f>ASB!$AL$67</f>
        <v>发财</v>
      </c>
      <c r="AF81" s="1"/>
      <c r="AI81" s="59"/>
      <c r="AM81" s="59"/>
    </row>
    <row r="82" spans="1:39" x14ac:dyDescent="0.25">
      <c r="A82" s="24">
        <f t="shared" ca="1" si="69"/>
        <v>71</v>
      </c>
      <c r="B82" s="1">
        <v>0</v>
      </c>
      <c r="C82" s="1">
        <v>200</v>
      </c>
      <c r="D82" s="51">
        <f t="shared" si="56"/>
        <v>2.1750050000000001</v>
      </c>
      <c r="E82" s="52" t="s">
        <v>46</v>
      </c>
      <c r="F82" s="53">
        <v>100</v>
      </c>
      <c r="G82" s="54" t="s">
        <v>391</v>
      </c>
      <c r="H82" s="226">
        <f ca="1">COUNTIFS(OFFSET(Arb!$H$2,Arb!$AJ$36+Arb!$AJ$37,,Arb!$AJ$38,),"&lt;"&amp;$A82,OFFSET(Arb!$I$2,Arb!$AJ$36+Arb!$AJ$37,,Arb!$AJ$38,),"&gt;="&amp;$F82,OFFSET(Arb!$AI$2,Arb!$AJ$36+Arb!$AJ$37,,Arb!$AJ$38,),TRUE)</f>
        <v>243</v>
      </c>
      <c r="I82" s="551">
        <f t="shared" ca="1" si="57"/>
        <v>1037</v>
      </c>
      <c r="J82" s="341">
        <f t="shared" ca="1" si="58"/>
        <v>0.23432979749276761</v>
      </c>
      <c r="K82" s="791" t="s">
        <v>762</v>
      </c>
      <c r="L82" s="548">
        <f ca="1">COUNTIFS(OFFSET(Arb!$C$2,Arb!$AJ$36+Arb!$AJ$37,,Arb!$AJ$38,),L$1,OFFSET(Arb!$H$2,Arb!$AJ$36+Arb!$AJ$37,,Arb!$AJ$38,),"&lt;"&amp;$A82,OFFSET(Arb!$I$2,Arb!$AJ$36+Arb!$AJ$37,,Arb!$AJ$38,),"&gt;="&amp;$F82,OFFSET(Arb!$AI$2,Arb!$AJ$36+Arb!$AJ$37,,Arb!$AJ$38,),TRUE)</f>
        <v>229</v>
      </c>
      <c r="M82" s="551">
        <f t="shared" ca="1" si="59"/>
        <v>770</v>
      </c>
      <c r="N82" s="341">
        <f t="shared" ca="1" si="60"/>
        <v>0.29740259740259739</v>
      </c>
      <c r="O82" s="790" t="s">
        <v>762</v>
      </c>
      <c r="P82" s="552">
        <f ca="1">COUNTIFS(OFFSET(Arb!$C$2,Arb!$AJ$36+Arb!$AJ$37,,Arb!$AJ$38,),P$1,OFFSET(Arb!$H$2,Arb!$AJ$36+Arb!$AJ$37,,Arb!$AJ$38,),"&lt;"&amp;$A82,OFFSET(Arb!$I$2,Arb!$AJ$36+Arb!$AJ$37,,Arb!$AJ$38,),"&gt;="&amp;$F82,OFFSET(Arb!$AI$2,Arb!$AJ$36+Arb!$AJ$37,,Arb!$AJ$38,),TRUE)</f>
        <v>14</v>
      </c>
      <c r="Q82" s="552">
        <f t="shared" ca="1" si="61"/>
        <v>267</v>
      </c>
      <c r="R82" s="268">
        <f t="shared" ca="1" si="62"/>
        <v>5.2434456928838954E-2</v>
      </c>
      <c r="S82" s="788" t="s">
        <v>761</v>
      </c>
      <c r="T82" s="1">
        <f ca="1">COUNTIFS(OFFSET(Arb!$C$2,Arb!$AJ$36+Arb!$AJ$37,,Arb!$AJ$38,),T$1,OFFSET(Arb!$H$2,Arb!$AJ$36+Arb!$AJ$37,,Arb!$AJ$38,),"&lt;"&amp;$A82,OFFSET(Arb!$I$2,Arb!$AJ$36+Arb!$AJ$37,,Arb!$AJ$38,),"&gt;="&amp;$F82,OFFSET(Arb!$AI$2,Arb!$AJ$36+Arb!$AJ$37,,Arb!$AJ$38,),TRUE)</f>
        <v>0</v>
      </c>
      <c r="U82" s="11">
        <f t="shared" ca="1" si="63"/>
        <v>0</v>
      </c>
      <c r="V82" s="56" t="str">
        <f t="shared" ca="1" si="64"/>
        <v/>
      </c>
      <c r="W82" s="59" t="str">
        <f>ASB!$AL$67</f>
        <v>发财</v>
      </c>
      <c r="X82" s="1">
        <f ca="1">COUNTIFS(OFFSET(Arb!$C$2,Arb!$AJ$36+Arb!$AJ$37,,Arb!$AJ$38,),X$1,OFFSET(Arb!$H$2,Arb!$AJ$36+Arb!$AJ$37,,Arb!$AJ$38,),"&lt;"&amp;$A82,OFFSET(Arb!$I$2,Arb!$AJ$36+Arb!$AJ$37,,Arb!$AJ$38,),"&gt;="&amp;$F82,OFFSET(Arb!$AI$2,Arb!$AJ$36+Arb!$AJ$37,,Arb!$AJ$38,),TRUE)</f>
        <v>0</v>
      </c>
      <c r="Y82" s="11">
        <f t="shared" ca="1" si="65"/>
        <v>0</v>
      </c>
      <c r="Z82" s="56" t="str">
        <f t="shared" ca="1" si="66"/>
        <v/>
      </c>
      <c r="AA82" s="59" t="str">
        <f>ASB!$AL$67</f>
        <v>发财</v>
      </c>
      <c r="AB82" s="1">
        <f ca="1">COUNTIFS(OFFSET(Arb!$C$2,Arb!$AJ$36+Arb!$AJ$37,,Arb!$AJ$38,),AB$1,OFFSET(Arb!$H$2,Arb!$AJ$36+Arb!$AJ$37,,Arb!$AJ$38,),"&lt;"&amp;$A82,OFFSET(Arb!$I$2,Arb!$AJ$36+Arb!$AJ$37,,Arb!$AJ$38,),"&gt;="&amp;$F82,OFFSET(Arb!$AI$2,Arb!$AJ$36+Arb!$AJ$37,,Arb!$AJ$38,),TRUE)</f>
        <v>0</v>
      </c>
      <c r="AC82" s="11">
        <f t="shared" ca="1" si="67"/>
        <v>0</v>
      </c>
      <c r="AD82" s="56" t="str">
        <f t="shared" ca="1" si="68"/>
        <v/>
      </c>
      <c r="AE82" s="59" t="str">
        <f>ASB!$AL$67</f>
        <v>发财</v>
      </c>
      <c r="AF82" s="1"/>
      <c r="AI82" s="59"/>
      <c r="AM82" s="59"/>
    </row>
    <row r="83" spans="1:39" x14ac:dyDescent="0.25">
      <c r="A83" s="1">
        <v>500</v>
      </c>
      <c r="B83" s="24">
        <f ca="1">0.1*MAX(ROUNDDOWN(OFFSET(Bvs!Y1,Arb!AJ16,)/0.1,0),10)</f>
        <v>2.7</v>
      </c>
      <c r="C83" s="1">
        <v>200</v>
      </c>
      <c r="D83" s="51">
        <f t="shared" si="56"/>
        <v>2.1750050000000001</v>
      </c>
      <c r="E83" s="52" t="s">
        <v>46</v>
      </c>
      <c r="F83" s="53">
        <v>100</v>
      </c>
      <c r="G83" s="54" t="s">
        <v>392</v>
      </c>
      <c r="H83" s="786">
        <f ca="1">COUNTIFS(OFFSET(Arb!$AF$2,Arb!$AJ$36+Arb!$AJ$37,,Arb!$AJ$38,),"&gt;="&amp;$B83,OFFSET(Arb!$I$2,Arb!$AJ$36+Arb!$AJ$37,,Arb!$AJ$38,),"&gt;="&amp;$F83,OFFSET(Arb!$AI$2,Arb!$AJ$36+Arb!$AJ$37,,Arb!$AJ$38,),TRUE)</f>
        <v>18</v>
      </c>
      <c r="I83" s="300">
        <f t="shared" ca="1" si="57"/>
        <v>1037</v>
      </c>
      <c r="J83" s="784">
        <f t="shared" ca="1" si="58"/>
        <v>1.7357762777242044E-2</v>
      </c>
      <c r="K83" s="787" t="s">
        <v>760</v>
      </c>
      <c r="L83" s="715">
        <f ca="1">COUNTIFS(OFFSET(Arb!$C$2,Arb!$AJ$36+Arb!$AJ$37,,Arb!$AJ$38,),L$1,OFFSET(Arb!$AF$2,Arb!$AJ$36+Arb!$AJ$37,,Arb!$AJ$38,),"&gt;="&amp;$B83,OFFSET(Arb!$I$2,Arb!$AJ$36+Arb!$AJ$37,,Arb!$AJ$38,),"&gt;="&amp;$F83,OFFSET(Arb!$AI$2,Arb!$AJ$36+Arb!$AJ$37,,Arb!$AJ$38,),TRUE)</f>
        <v>18</v>
      </c>
      <c r="M83" s="300">
        <f t="shared" ca="1" si="59"/>
        <v>770</v>
      </c>
      <c r="N83" s="784">
        <f t="shared" ca="1" si="60"/>
        <v>2.3376623376623377E-2</v>
      </c>
      <c r="O83" s="785" t="s">
        <v>760</v>
      </c>
      <c r="P83" s="1">
        <f ca="1">COUNTIFS(OFFSET(Arb!$C$2,Arb!$AJ$36+Arb!$AJ$37,,Arb!$AJ$38,),P$1,OFFSET(Arb!$AF$2,Arb!$AJ$36+Arb!$AJ$37,,Arb!$AJ$38,),"&gt;="&amp;$B83,OFFSET(Arb!$I$2,Arb!$AJ$36+Arb!$AJ$37,,Arb!$AJ$38,),"&gt;="&amp;$F83,OFFSET(Arb!$AI$2,Arb!$AJ$36+Arb!$AJ$37,,Arb!$AJ$38,),TRUE)</f>
        <v>0</v>
      </c>
      <c r="Q83" s="11">
        <f t="shared" ca="1" si="61"/>
        <v>267</v>
      </c>
      <c r="R83" s="56">
        <f t="shared" ca="1" si="62"/>
        <v>0</v>
      </c>
      <c r="S83" s="59" t="str">
        <f>ASB!$AL$67</f>
        <v>发财</v>
      </c>
      <c r="T83" s="1">
        <f ca="1">COUNTIFS(OFFSET(Arb!$C$2,Arb!$AJ$36+Arb!$AJ$37,,Arb!$AJ$38,),T$1,OFFSET(Arb!$AF$2,Arb!$AJ$36+Arb!$AJ$37,,Arb!$AJ$38,),"&gt;="&amp;$B83,OFFSET(Arb!$I$2,Arb!$AJ$36+Arb!$AJ$37,,Arb!$AJ$38,),"&gt;="&amp;$F83,OFFSET(Arb!$AI$2,Arb!$AJ$36+Arb!$AJ$37,,Arb!$AJ$38,),TRUE)</f>
        <v>0</v>
      </c>
      <c r="U83" s="11">
        <f t="shared" ca="1" si="63"/>
        <v>0</v>
      </c>
      <c r="V83" s="56" t="str">
        <f t="shared" ca="1" si="64"/>
        <v/>
      </c>
      <c r="W83" s="59" t="str">
        <f>ASB!$AL$67</f>
        <v>发财</v>
      </c>
      <c r="X83" s="1">
        <f ca="1">COUNTIFS(OFFSET(Arb!$C$2,Arb!$AJ$36+Arb!$AJ$37,,Arb!$AJ$38,),X$1,OFFSET(Arb!$AF$2,Arb!$AJ$36+Arb!$AJ$37,,Arb!$AJ$38,),"&gt;="&amp;$B83,OFFSET(Arb!$I$2,Arb!$AJ$36+Arb!$AJ$37,,Arb!$AJ$38,),"&gt;="&amp;$F83,OFFSET(Arb!$AI$2,Arb!$AJ$36+Arb!$AJ$37,,Arb!$AJ$38,),TRUE)</f>
        <v>0</v>
      </c>
      <c r="Y83" s="11">
        <f t="shared" ca="1" si="65"/>
        <v>0</v>
      </c>
      <c r="Z83" s="56" t="str">
        <f t="shared" ca="1" si="66"/>
        <v/>
      </c>
      <c r="AA83" s="59" t="str">
        <f>ASB!$AL$67</f>
        <v>发财</v>
      </c>
      <c r="AB83" s="1">
        <f ca="1">COUNTIFS(OFFSET(Arb!$C$2,Arb!$AJ$36+Arb!$AJ$37,,Arb!$AJ$38,),AB$1,OFFSET(Arb!$AF$2,Arb!$AJ$36+Arb!$AJ$37,,Arb!$AJ$38,),"&gt;="&amp;$B83,OFFSET(Arb!$I$2,Arb!$AJ$36+Arb!$AJ$37,,Arb!$AJ$38,),"&gt;="&amp;$F83,OFFSET(Arb!$AI$2,Arb!$AJ$36+Arb!$AJ$37,,Arb!$AJ$38,),TRUE)</f>
        <v>0</v>
      </c>
      <c r="AC83" s="11">
        <f t="shared" ca="1" si="67"/>
        <v>0</v>
      </c>
      <c r="AD83" s="56" t="str">
        <f t="shared" ca="1" si="68"/>
        <v/>
      </c>
      <c r="AE83" s="59" t="str">
        <f>ASB!$AL$67</f>
        <v>发财</v>
      </c>
      <c r="AF83" s="1"/>
      <c r="AI83" s="59"/>
      <c r="AM83" s="59"/>
    </row>
    <row r="84" spans="1:39" x14ac:dyDescent="0.25">
      <c r="A84" s="1">
        <v>500</v>
      </c>
      <c r="B84" s="24">
        <f ca="1">ROUND(B83-0.1,2)</f>
        <v>2.6</v>
      </c>
      <c r="C84" s="1">
        <v>200</v>
      </c>
      <c r="D84" s="51">
        <f t="shared" si="56"/>
        <v>2.1750050000000001</v>
      </c>
      <c r="E84" s="52" t="s">
        <v>46</v>
      </c>
      <c r="F84" s="53">
        <v>100</v>
      </c>
      <c r="G84" s="54" t="s">
        <v>392</v>
      </c>
      <c r="H84" s="377">
        <f ca="1">COUNTIFS(OFFSET(Arb!$AF$2,Arb!$AJ$36+Arb!$AJ$37,,Arb!$AJ$38,),"&gt;="&amp;$B84,OFFSET(Arb!$I$2,Arb!$AJ$36+Arb!$AJ$37,,Arb!$AJ$38,),"&gt;="&amp;$F84,OFFSET(Arb!$AI$2,Arb!$AJ$36+Arb!$AJ$37,,Arb!$AJ$38,),TRUE)</f>
        <v>52</v>
      </c>
      <c r="I84" s="552">
        <f t="shared" ca="1" si="57"/>
        <v>1037</v>
      </c>
      <c r="J84" s="268">
        <f t="shared" ca="1" si="58"/>
        <v>5.0144648023143681E-2</v>
      </c>
      <c r="K84" s="789" t="s">
        <v>761</v>
      </c>
      <c r="L84" s="545">
        <f ca="1">COUNTIFS(OFFSET(Arb!$C$2,Arb!$AJ$36+Arb!$AJ$37,,Arb!$AJ$38,),L$1,OFFSET(Arb!$AF$2,Arb!$AJ$36+Arb!$AJ$37,,Arb!$AJ$38,),"&gt;="&amp;$B84,OFFSET(Arb!$I$2,Arb!$AJ$36+Arb!$AJ$37,,Arb!$AJ$38,),"&gt;="&amp;$F84,OFFSET(Arb!$AI$2,Arb!$AJ$36+Arb!$AJ$37,,Arb!$AJ$38,),TRUE)</f>
        <v>52</v>
      </c>
      <c r="M84" s="552">
        <f t="shared" ref="M84:M101" ca="1" si="70">M$71</f>
        <v>770</v>
      </c>
      <c r="N84" s="268">
        <f t="shared" ca="1" si="60"/>
        <v>6.7532467532467527E-2</v>
      </c>
      <c r="O84" s="788" t="s">
        <v>761</v>
      </c>
      <c r="P84" s="1">
        <f ca="1">COUNTIFS(OFFSET(Arb!$C$2,Arb!$AJ$36+Arb!$AJ$37,,Arb!$AJ$38,),P$1,OFFSET(Arb!$AF$2,Arb!$AJ$36+Arb!$AJ$37,,Arb!$AJ$38,),"&gt;="&amp;$B84,OFFSET(Arb!$I$2,Arb!$AJ$36+Arb!$AJ$37,,Arb!$AJ$38,),"&gt;="&amp;$F84,OFFSET(Arb!$AI$2,Arb!$AJ$36+Arb!$AJ$37,,Arb!$AJ$38,),TRUE)</f>
        <v>0</v>
      </c>
      <c r="Q84" s="11">
        <f t="shared" ca="1" si="61"/>
        <v>267</v>
      </c>
      <c r="R84" s="56">
        <f t="shared" ca="1" si="62"/>
        <v>0</v>
      </c>
      <c r="S84" s="59" t="str">
        <f>ASB!$AL$67</f>
        <v>发财</v>
      </c>
      <c r="T84" s="1">
        <f ca="1">COUNTIFS(OFFSET(Arb!$C$2,Arb!$AJ$36+Arb!$AJ$37,,Arb!$AJ$38,),T$1,OFFSET(Arb!$AF$2,Arb!$AJ$36+Arb!$AJ$37,,Arb!$AJ$38,),"&gt;="&amp;$B84,OFFSET(Arb!$I$2,Arb!$AJ$36+Arb!$AJ$37,,Arb!$AJ$38,),"&gt;="&amp;$F84,OFFSET(Arb!$AI$2,Arb!$AJ$36+Arb!$AJ$37,,Arb!$AJ$38,),TRUE)</f>
        <v>0</v>
      </c>
      <c r="U84" s="11">
        <f t="shared" ca="1" si="63"/>
        <v>0</v>
      </c>
      <c r="V84" s="56" t="str">
        <f t="shared" ca="1" si="64"/>
        <v/>
      </c>
      <c r="W84" s="59" t="str">
        <f>ASB!$AL$67</f>
        <v>发财</v>
      </c>
      <c r="X84" s="1">
        <f ca="1">COUNTIFS(OFFSET(Arb!$C$2,Arb!$AJ$36+Arb!$AJ$37,,Arb!$AJ$38,),X$1,OFFSET(Arb!$AF$2,Arb!$AJ$36+Arb!$AJ$37,,Arb!$AJ$38,),"&gt;="&amp;$B84,OFFSET(Arb!$I$2,Arb!$AJ$36+Arb!$AJ$37,,Arb!$AJ$38,),"&gt;="&amp;$F84,OFFSET(Arb!$AI$2,Arb!$AJ$36+Arb!$AJ$37,,Arb!$AJ$38,),TRUE)</f>
        <v>0</v>
      </c>
      <c r="Y84" s="11">
        <f t="shared" ca="1" si="65"/>
        <v>0</v>
      </c>
      <c r="Z84" s="56" t="str">
        <f t="shared" ca="1" si="66"/>
        <v/>
      </c>
      <c r="AA84" s="59" t="str">
        <f>ASB!$AL$67</f>
        <v>发财</v>
      </c>
      <c r="AB84" s="1">
        <f ca="1">COUNTIFS(OFFSET(Arb!$C$2,Arb!$AJ$36+Arb!$AJ$37,,Arb!$AJ$38,),AB$1,OFFSET(Arb!$AF$2,Arb!$AJ$36+Arb!$AJ$37,,Arb!$AJ$38,),"&gt;="&amp;$B84,OFFSET(Arb!$I$2,Arb!$AJ$36+Arb!$AJ$37,,Arb!$AJ$38,),"&gt;="&amp;$F84,OFFSET(Arb!$AI$2,Arb!$AJ$36+Arb!$AJ$37,,Arb!$AJ$38,),TRUE)</f>
        <v>0</v>
      </c>
      <c r="AC84" s="11">
        <f t="shared" ca="1" si="67"/>
        <v>0</v>
      </c>
      <c r="AD84" s="56" t="str">
        <f t="shared" ca="1" si="68"/>
        <v/>
      </c>
      <c r="AE84" s="59" t="str">
        <f>ASB!$AL$67</f>
        <v>发财</v>
      </c>
      <c r="AF84" s="1"/>
      <c r="AI84" s="59"/>
      <c r="AM84" s="59"/>
    </row>
    <row r="85" spans="1:39" x14ac:dyDescent="0.25">
      <c r="A85" s="1">
        <v>500</v>
      </c>
      <c r="B85" s="24">
        <f t="shared" ref="B85:B90" ca="1" si="71">ROUND(B84-0.1,2)</f>
        <v>2.5</v>
      </c>
      <c r="C85" s="1">
        <v>200</v>
      </c>
      <c r="D85" s="51">
        <f t="shared" si="56"/>
        <v>2.1750050000000001</v>
      </c>
      <c r="E85" s="52" t="s">
        <v>46</v>
      </c>
      <c r="F85" s="53">
        <v>100</v>
      </c>
      <c r="G85" s="54" t="s">
        <v>392</v>
      </c>
      <c r="H85" s="226">
        <f ca="1">COUNTIFS(OFFSET(Arb!$AF$2,Arb!$AJ$36+Arb!$AJ$37,,Arb!$AJ$38,),"&gt;="&amp;$B85,OFFSET(Arb!$I$2,Arb!$AJ$36+Arb!$AJ$37,,Arb!$AJ$38,),"&gt;="&amp;$F85,OFFSET(Arb!$AI$2,Arb!$AJ$36+Arb!$AJ$37,,Arb!$AJ$38,),TRUE)</f>
        <v>123</v>
      </c>
      <c r="I85" s="551">
        <f t="shared" ca="1" si="57"/>
        <v>1037</v>
      </c>
      <c r="J85" s="341">
        <f t="shared" ca="1" si="58"/>
        <v>0.11861137897782063</v>
      </c>
      <c r="K85" s="791" t="s">
        <v>762</v>
      </c>
      <c r="L85" s="548">
        <f ca="1">COUNTIFS(OFFSET(Arb!$C$2,Arb!$AJ$36+Arb!$AJ$37,,Arb!$AJ$38,),L$1,OFFSET(Arb!$AF$2,Arb!$AJ$36+Arb!$AJ$37,,Arb!$AJ$38,),"&gt;="&amp;$B85,OFFSET(Arb!$I$2,Arb!$AJ$36+Arb!$AJ$37,,Arb!$AJ$38,),"&gt;="&amp;$F85,OFFSET(Arb!$AI$2,Arb!$AJ$36+Arb!$AJ$37,,Arb!$AJ$38,),TRUE)</f>
        <v>121</v>
      </c>
      <c r="M85" s="551">
        <f t="shared" ca="1" si="70"/>
        <v>770</v>
      </c>
      <c r="N85" s="341">
        <f t="shared" ca="1" si="60"/>
        <v>0.15714285714285714</v>
      </c>
      <c r="O85" s="790" t="s">
        <v>762</v>
      </c>
      <c r="P85" s="659">
        <f ca="1">COUNTIFS(OFFSET(Arb!$C$2,Arb!$AJ$36+Arb!$AJ$37,,Arb!$AJ$38,),P$1,OFFSET(Arb!$AF$2,Arb!$AJ$36+Arb!$AJ$37,,Arb!$AJ$38,),"&gt;="&amp;$B85,OFFSET(Arb!$I$2,Arb!$AJ$36+Arb!$AJ$37,,Arb!$AJ$38,),"&gt;="&amp;$F85,OFFSET(Arb!$AI$2,Arb!$AJ$36+Arb!$AJ$37,,Arb!$AJ$38,),TRUE)</f>
        <v>2</v>
      </c>
      <c r="Q85" s="659">
        <f t="shared" ca="1" si="61"/>
        <v>267</v>
      </c>
      <c r="R85" s="781">
        <f t="shared" ca="1" si="62"/>
        <v>7.4906367041198503E-3</v>
      </c>
      <c r="S85" s="783" t="s">
        <v>759</v>
      </c>
      <c r="T85" s="1">
        <f ca="1">COUNTIFS(OFFSET(Arb!$C$2,Arb!$AJ$36+Arb!$AJ$37,,Arb!$AJ$38,),T$1,OFFSET(Arb!$AF$2,Arb!$AJ$36+Arb!$AJ$37,,Arb!$AJ$38,),"&gt;="&amp;$B85,OFFSET(Arb!$I$2,Arb!$AJ$36+Arb!$AJ$37,,Arb!$AJ$38,),"&gt;="&amp;$F85,OFFSET(Arb!$AI$2,Arb!$AJ$36+Arb!$AJ$37,,Arb!$AJ$38,),TRUE)</f>
        <v>0</v>
      </c>
      <c r="U85" s="11">
        <f t="shared" ca="1" si="63"/>
        <v>0</v>
      </c>
      <c r="V85" s="56" t="str">
        <f t="shared" ca="1" si="64"/>
        <v/>
      </c>
      <c r="W85" s="59" t="str">
        <f>ASB!$AL$67</f>
        <v>发财</v>
      </c>
      <c r="X85" s="1">
        <f ca="1">COUNTIFS(OFFSET(Arb!$C$2,Arb!$AJ$36+Arb!$AJ$37,,Arb!$AJ$38,),X$1,OFFSET(Arb!$AF$2,Arb!$AJ$36+Arb!$AJ$37,,Arb!$AJ$38,),"&gt;="&amp;$B85,OFFSET(Arb!$I$2,Arb!$AJ$36+Arb!$AJ$37,,Arb!$AJ$38,),"&gt;="&amp;$F85,OFFSET(Arb!$AI$2,Arb!$AJ$36+Arb!$AJ$37,,Arb!$AJ$38,),TRUE)</f>
        <v>0</v>
      </c>
      <c r="Y85" s="11">
        <f t="shared" ca="1" si="65"/>
        <v>0</v>
      </c>
      <c r="Z85" s="56" t="str">
        <f t="shared" ca="1" si="66"/>
        <v/>
      </c>
      <c r="AA85" s="59" t="str">
        <f>ASB!$AL$67</f>
        <v>发财</v>
      </c>
      <c r="AB85" s="1">
        <f ca="1">COUNTIFS(OFFSET(Arb!$C$2,Arb!$AJ$36+Arb!$AJ$37,,Arb!$AJ$38,),AB$1,OFFSET(Arb!$AF$2,Arb!$AJ$36+Arb!$AJ$37,,Arb!$AJ$38,),"&gt;="&amp;$B85,OFFSET(Arb!$I$2,Arb!$AJ$36+Arb!$AJ$37,,Arb!$AJ$38,),"&gt;="&amp;$F85,OFFSET(Arb!$AI$2,Arb!$AJ$36+Arb!$AJ$37,,Arb!$AJ$38,),TRUE)</f>
        <v>0</v>
      </c>
      <c r="AC85" s="11">
        <f t="shared" ca="1" si="67"/>
        <v>0</v>
      </c>
      <c r="AD85" s="56" t="str">
        <f t="shared" ca="1" si="68"/>
        <v/>
      </c>
      <c r="AE85" s="59" t="str">
        <f>ASB!$AL$67</f>
        <v>发财</v>
      </c>
      <c r="AF85" s="1"/>
      <c r="AI85" s="59"/>
      <c r="AM85" s="59"/>
    </row>
    <row r="86" spans="1:39" x14ac:dyDescent="0.25">
      <c r="A86" s="1">
        <v>500</v>
      </c>
      <c r="B86" s="24">
        <f t="shared" ca="1" si="71"/>
        <v>2.4</v>
      </c>
      <c r="C86" s="1">
        <v>200</v>
      </c>
      <c r="D86" s="51">
        <f t="shared" si="56"/>
        <v>2.1750050000000001</v>
      </c>
      <c r="E86" s="52" t="s">
        <v>46</v>
      </c>
      <c r="F86" s="53">
        <v>100</v>
      </c>
      <c r="G86" s="54" t="s">
        <v>392</v>
      </c>
      <c r="H86" s="226">
        <f ca="1">COUNTIFS(OFFSET(Arb!$AF$2,Arb!$AJ$36+Arb!$AJ$37,,Arb!$AJ$38,),"&gt;="&amp;$B86,OFFSET(Arb!$I$2,Arb!$AJ$36+Arb!$AJ$37,,Arb!$AJ$38,),"&gt;="&amp;$F86,OFFSET(Arb!$AI$2,Arb!$AJ$36+Arb!$AJ$37,,Arb!$AJ$38,),TRUE)</f>
        <v>237</v>
      </c>
      <c r="I86" s="551">
        <f t="shared" ca="1" si="57"/>
        <v>1037</v>
      </c>
      <c r="J86" s="341">
        <f t="shared" ca="1" si="58"/>
        <v>0.22854387656702024</v>
      </c>
      <c r="K86" s="791" t="s">
        <v>762</v>
      </c>
      <c r="L86" s="548">
        <f ca="1">COUNTIFS(OFFSET(Arb!$C$2,Arb!$AJ$36+Arb!$AJ$37,,Arb!$AJ$38,),L$1,OFFSET(Arb!$AF$2,Arb!$AJ$36+Arb!$AJ$37,,Arb!$AJ$38,),"&gt;="&amp;$B86,OFFSET(Arb!$I$2,Arb!$AJ$36+Arb!$AJ$37,,Arb!$AJ$38,),"&gt;="&amp;$F86,OFFSET(Arb!$AI$2,Arb!$AJ$36+Arb!$AJ$37,,Arb!$AJ$38,),TRUE)</f>
        <v>220</v>
      </c>
      <c r="M86" s="551">
        <f t="shared" ca="1" si="70"/>
        <v>770</v>
      </c>
      <c r="N86" s="341">
        <f t="shared" ca="1" si="60"/>
        <v>0.2857142857142857</v>
      </c>
      <c r="O86" s="790" t="s">
        <v>762</v>
      </c>
      <c r="P86" s="552">
        <f ca="1">COUNTIFS(OFFSET(Arb!$C$2,Arb!$AJ$36+Arb!$AJ$37,,Arb!$AJ$38,),P$1,OFFSET(Arb!$AF$2,Arb!$AJ$36+Arb!$AJ$37,,Arb!$AJ$38,),"&gt;="&amp;$B86,OFFSET(Arb!$I$2,Arb!$AJ$36+Arb!$AJ$37,,Arb!$AJ$38,),"&gt;="&amp;$F86,OFFSET(Arb!$AI$2,Arb!$AJ$36+Arb!$AJ$37,,Arb!$AJ$38,),TRUE)</f>
        <v>17</v>
      </c>
      <c r="Q86" s="552">
        <f t="shared" ca="1" si="61"/>
        <v>267</v>
      </c>
      <c r="R86" s="268">
        <f t="shared" ca="1" si="62"/>
        <v>6.3670411985018729E-2</v>
      </c>
      <c r="S86" s="788" t="s">
        <v>761</v>
      </c>
      <c r="T86" s="1">
        <f ca="1">COUNTIFS(OFFSET(Arb!$C$2,Arb!$AJ$36+Arb!$AJ$37,,Arb!$AJ$38,),T$1,OFFSET(Arb!$AF$2,Arb!$AJ$36+Arb!$AJ$37,,Arb!$AJ$38,),"&gt;="&amp;$B86,OFFSET(Arb!$I$2,Arb!$AJ$36+Arb!$AJ$37,,Arb!$AJ$38,),"&gt;="&amp;$F86,OFFSET(Arb!$AI$2,Arb!$AJ$36+Arb!$AJ$37,,Arb!$AJ$38,),TRUE)</f>
        <v>0</v>
      </c>
      <c r="U86" s="11">
        <f t="shared" ca="1" si="63"/>
        <v>0</v>
      </c>
      <c r="V86" s="56" t="str">
        <f t="shared" ca="1" si="64"/>
        <v/>
      </c>
      <c r="W86" s="59" t="str">
        <f>ASB!$AL$67</f>
        <v>发财</v>
      </c>
      <c r="X86" s="1">
        <f ca="1">COUNTIFS(OFFSET(Arb!$C$2,Arb!$AJ$36+Arb!$AJ$37,,Arb!$AJ$38,),X$1,OFFSET(Arb!$AF$2,Arb!$AJ$36+Arb!$AJ$37,,Arb!$AJ$38,),"&gt;="&amp;$B86,OFFSET(Arb!$I$2,Arb!$AJ$36+Arb!$AJ$37,,Arb!$AJ$38,),"&gt;="&amp;$F86,OFFSET(Arb!$AI$2,Arb!$AJ$36+Arb!$AJ$37,,Arb!$AJ$38,),TRUE)</f>
        <v>0</v>
      </c>
      <c r="Y86" s="11">
        <f t="shared" ca="1" si="65"/>
        <v>0</v>
      </c>
      <c r="Z86" s="56" t="str">
        <f t="shared" ca="1" si="66"/>
        <v/>
      </c>
      <c r="AA86" s="59" t="str">
        <f>ASB!$AL$67</f>
        <v>发财</v>
      </c>
      <c r="AB86" s="1">
        <f ca="1">COUNTIFS(OFFSET(Arb!$C$2,Arb!$AJ$36+Arb!$AJ$37,,Arb!$AJ$38,),AB$1,OFFSET(Arb!$AF$2,Arb!$AJ$36+Arb!$AJ$37,,Arb!$AJ$38,),"&gt;="&amp;$B86,OFFSET(Arb!$I$2,Arb!$AJ$36+Arb!$AJ$37,,Arb!$AJ$38,),"&gt;="&amp;$F86,OFFSET(Arb!$AI$2,Arb!$AJ$36+Arb!$AJ$37,,Arb!$AJ$38,),TRUE)</f>
        <v>0</v>
      </c>
      <c r="AC86" s="11">
        <f t="shared" ca="1" si="67"/>
        <v>0</v>
      </c>
      <c r="AD86" s="56" t="str">
        <f t="shared" ca="1" si="68"/>
        <v/>
      </c>
      <c r="AE86" s="59" t="str">
        <f>ASB!$AL$67</f>
        <v>发财</v>
      </c>
      <c r="AF86" s="1"/>
      <c r="AI86" s="59"/>
      <c r="AM86" s="59"/>
    </row>
    <row r="87" spans="1:39" x14ac:dyDescent="0.25">
      <c r="A87" s="1">
        <v>500</v>
      </c>
      <c r="B87" s="24">
        <f t="shared" ca="1" si="71"/>
        <v>2.2999999999999998</v>
      </c>
      <c r="C87" s="1">
        <v>200</v>
      </c>
      <c r="D87" s="51">
        <f t="shared" si="56"/>
        <v>2.1750050000000001</v>
      </c>
      <c r="E87" s="52" t="s">
        <v>46</v>
      </c>
      <c r="F87" s="53">
        <v>100</v>
      </c>
      <c r="G87" s="54" t="s">
        <v>392</v>
      </c>
      <c r="H87" s="794">
        <f ca="1">COUNTIFS(OFFSET(Arb!$AF$2,Arb!$AJ$36+Arb!$AJ$37,,Arb!$AJ$38,),"&gt;="&amp;$B87,OFFSET(Arb!$I$2,Arb!$AJ$36+Arb!$AJ$37,,Arb!$AJ$38,),"&gt;="&amp;$F87,OFFSET(Arb!$AI$2,Arb!$AJ$36+Arb!$AJ$37,,Arb!$AJ$38,),TRUE)</f>
        <v>404</v>
      </c>
      <c r="I87" s="554">
        <f t="shared" ca="1" si="57"/>
        <v>1037</v>
      </c>
      <c r="J87" s="792">
        <f t="shared" ca="1" si="58"/>
        <v>0.38958534233365477</v>
      </c>
      <c r="K87" s="795" t="s">
        <v>763</v>
      </c>
      <c r="L87" s="543">
        <f ca="1">COUNTIFS(OFFSET(Arb!$C$2,Arb!$AJ$36+Arb!$AJ$37,,Arb!$AJ$38,),L$1,OFFSET(Arb!$AF$2,Arb!$AJ$36+Arb!$AJ$37,,Arb!$AJ$38,),"&gt;="&amp;$B87,OFFSET(Arb!$I$2,Arb!$AJ$36+Arb!$AJ$37,,Arb!$AJ$38,),"&gt;="&amp;$F87,OFFSET(Arb!$AI$2,Arb!$AJ$36+Arb!$AJ$37,,Arb!$AJ$38,),TRUE)</f>
        <v>352</v>
      </c>
      <c r="M87" s="554">
        <f t="shared" ca="1" si="70"/>
        <v>770</v>
      </c>
      <c r="N87" s="792">
        <f t="shared" ca="1" si="60"/>
        <v>0.45714285714285713</v>
      </c>
      <c r="O87" s="793" t="s">
        <v>763</v>
      </c>
      <c r="P87" s="551">
        <f ca="1">COUNTIFS(OFFSET(Arb!$C$2,Arb!$AJ$36+Arb!$AJ$37,,Arb!$AJ$38,),P$1,OFFSET(Arb!$AF$2,Arb!$AJ$36+Arb!$AJ$37,,Arb!$AJ$38,),"&gt;="&amp;$B87,OFFSET(Arb!$I$2,Arb!$AJ$36+Arb!$AJ$37,,Arb!$AJ$38,),"&gt;="&amp;$F87,OFFSET(Arb!$AI$2,Arb!$AJ$36+Arb!$AJ$37,,Arb!$AJ$38,),TRUE)</f>
        <v>52</v>
      </c>
      <c r="Q87" s="551">
        <f t="shared" ca="1" si="61"/>
        <v>267</v>
      </c>
      <c r="R87" s="341">
        <f t="shared" ca="1" si="62"/>
        <v>0.19475655430711611</v>
      </c>
      <c r="S87" s="790" t="s">
        <v>762</v>
      </c>
      <c r="T87" s="1">
        <f ca="1">COUNTIFS(OFFSET(Arb!$C$2,Arb!$AJ$36+Arb!$AJ$37,,Arb!$AJ$38,),T$1,OFFSET(Arb!$AF$2,Arb!$AJ$36+Arb!$AJ$37,,Arb!$AJ$38,),"&gt;="&amp;$B87,OFFSET(Arb!$I$2,Arb!$AJ$36+Arb!$AJ$37,,Arb!$AJ$38,),"&gt;="&amp;$F87,OFFSET(Arb!$AI$2,Arb!$AJ$36+Arb!$AJ$37,,Arb!$AJ$38,),TRUE)</f>
        <v>0</v>
      </c>
      <c r="U87" s="11">
        <f t="shared" ca="1" si="63"/>
        <v>0</v>
      </c>
      <c r="V87" s="56" t="str">
        <f t="shared" ca="1" si="64"/>
        <v/>
      </c>
      <c r="W87" s="59" t="str">
        <f>ASB!$AL$67</f>
        <v>发财</v>
      </c>
      <c r="X87" s="1">
        <f ca="1">COUNTIFS(OFFSET(Arb!$C$2,Arb!$AJ$36+Arb!$AJ$37,,Arb!$AJ$38,),X$1,OFFSET(Arb!$AF$2,Arb!$AJ$36+Arb!$AJ$37,,Arb!$AJ$38,),"&gt;="&amp;$B87,OFFSET(Arb!$I$2,Arb!$AJ$36+Arb!$AJ$37,,Arb!$AJ$38,),"&gt;="&amp;$F87,OFFSET(Arb!$AI$2,Arb!$AJ$36+Arb!$AJ$37,,Arb!$AJ$38,),TRUE)</f>
        <v>0</v>
      </c>
      <c r="Y87" s="11">
        <f t="shared" ca="1" si="65"/>
        <v>0</v>
      </c>
      <c r="Z87" s="56" t="str">
        <f t="shared" ca="1" si="66"/>
        <v/>
      </c>
      <c r="AA87" s="59" t="str">
        <f>ASB!$AL$67</f>
        <v>发财</v>
      </c>
      <c r="AB87" s="1">
        <f ca="1">COUNTIFS(OFFSET(Arb!$C$2,Arb!$AJ$36+Arb!$AJ$37,,Arb!$AJ$38,),AB$1,OFFSET(Arb!$AF$2,Arb!$AJ$36+Arb!$AJ$37,,Arb!$AJ$38,),"&gt;="&amp;$B87,OFFSET(Arb!$I$2,Arb!$AJ$36+Arb!$AJ$37,,Arb!$AJ$38,),"&gt;="&amp;$F87,OFFSET(Arb!$AI$2,Arb!$AJ$36+Arb!$AJ$37,,Arb!$AJ$38,),TRUE)</f>
        <v>0</v>
      </c>
      <c r="AC87" s="11">
        <f t="shared" ca="1" si="67"/>
        <v>0</v>
      </c>
      <c r="AD87" s="56" t="str">
        <f t="shared" ca="1" si="68"/>
        <v/>
      </c>
      <c r="AE87" s="59" t="str">
        <f>ASB!$AL$67</f>
        <v>发财</v>
      </c>
      <c r="AF87" s="1"/>
      <c r="AI87" s="59"/>
      <c r="AM87" s="59"/>
    </row>
    <row r="88" spans="1:39" x14ac:dyDescent="0.25">
      <c r="A88" s="1">
        <v>500</v>
      </c>
      <c r="B88" s="24">
        <f t="shared" ca="1" si="71"/>
        <v>2.2000000000000002</v>
      </c>
      <c r="C88" s="1">
        <v>200</v>
      </c>
      <c r="D88" s="51">
        <f t="shared" si="56"/>
        <v>2.1750050000000001</v>
      </c>
      <c r="E88" s="52" t="s">
        <v>46</v>
      </c>
      <c r="F88" s="53">
        <v>100</v>
      </c>
      <c r="G88" s="54" t="s">
        <v>392</v>
      </c>
      <c r="H88" s="794">
        <f ca="1">COUNTIFS(OFFSET(Arb!$AF$2,Arb!$AJ$36+Arb!$AJ$37,,Arb!$AJ$38,),"&gt;="&amp;$B88,OFFSET(Arb!$I$2,Arb!$AJ$36+Arb!$AJ$37,,Arb!$AJ$38,),"&gt;="&amp;$F88,OFFSET(Arb!$AI$2,Arb!$AJ$36+Arb!$AJ$37,,Arb!$AJ$38,),TRUE)</f>
        <v>608</v>
      </c>
      <c r="I88" s="554">
        <f t="shared" ca="1" si="57"/>
        <v>1037</v>
      </c>
      <c r="J88" s="792">
        <f t="shared" ca="1" si="58"/>
        <v>0.58630665380906466</v>
      </c>
      <c r="K88" s="795" t="s">
        <v>763</v>
      </c>
      <c r="L88" s="543">
        <f ca="1">COUNTIFS(OFFSET(Arb!$C$2,Arb!$AJ$36+Arb!$AJ$37,,Arb!$AJ$38,),L$1,OFFSET(Arb!$AF$2,Arb!$AJ$36+Arb!$AJ$37,,Arb!$AJ$38,),"&gt;="&amp;$B88,OFFSET(Arb!$I$2,Arb!$AJ$36+Arb!$AJ$37,,Arb!$AJ$38,),"&gt;="&amp;$F88,OFFSET(Arb!$AI$2,Arb!$AJ$36+Arb!$AJ$37,,Arb!$AJ$38,),TRUE)</f>
        <v>505</v>
      </c>
      <c r="M88" s="554">
        <f t="shared" ca="1" si="70"/>
        <v>770</v>
      </c>
      <c r="N88" s="792">
        <f t="shared" ca="1" si="60"/>
        <v>0.6558441558441559</v>
      </c>
      <c r="O88" s="793" t="s">
        <v>763</v>
      </c>
      <c r="P88" s="554">
        <f ca="1">COUNTIFS(OFFSET(Arb!$C$2,Arb!$AJ$36+Arb!$AJ$37,,Arb!$AJ$38,),P$1,OFFSET(Arb!$AF$2,Arb!$AJ$36+Arb!$AJ$37,,Arb!$AJ$38,),"&gt;="&amp;$B88,OFFSET(Arb!$I$2,Arb!$AJ$36+Arb!$AJ$37,,Arb!$AJ$38,),"&gt;="&amp;$F88,OFFSET(Arb!$AI$2,Arb!$AJ$36+Arb!$AJ$37,,Arb!$AJ$38,),TRUE)</f>
        <v>103</v>
      </c>
      <c r="Q88" s="554">
        <f t="shared" ca="1" si="61"/>
        <v>267</v>
      </c>
      <c r="R88" s="792">
        <f t="shared" ca="1" si="62"/>
        <v>0.38576779026217228</v>
      </c>
      <c r="S88" s="793" t="s">
        <v>763</v>
      </c>
      <c r="T88" s="1">
        <f ca="1">COUNTIFS(OFFSET(Arb!$C$2,Arb!$AJ$36+Arb!$AJ$37,,Arb!$AJ$38,),T$1,OFFSET(Arb!$AF$2,Arb!$AJ$36+Arb!$AJ$37,,Arb!$AJ$38,),"&gt;="&amp;$B88,OFFSET(Arb!$I$2,Arb!$AJ$36+Arb!$AJ$37,,Arb!$AJ$38,),"&gt;="&amp;$F88,OFFSET(Arb!$AI$2,Arb!$AJ$36+Arb!$AJ$37,,Arb!$AJ$38,),TRUE)</f>
        <v>0</v>
      </c>
      <c r="U88" s="11">
        <f t="shared" ca="1" si="63"/>
        <v>0</v>
      </c>
      <c r="V88" s="56" t="str">
        <f t="shared" ca="1" si="64"/>
        <v/>
      </c>
      <c r="W88" s="59" t="str">
        <f>ASB!$AL$67</f>
        <v>发财</v>
      </c>
      <c r="X88" s="1">
        <f ca="1">COUNTIFS(OFFSET(Arb!$C$2,Arb!$AJ$36+Arb!$AJ$37,,Arb!$AJ$38,),X$1,OFFSET(Arb!$AF$2,Arb!$AJ$36+Arb!$AJ$37,,Arb!$AJ$38,),"&gt;="&amp;$B88,OFFSET(Arb!$I$2,Arb!$AJ$36+Arb!$AJ$37,,Arb!$AJ$38,),"&gt;="&amp;$F88,OFFSET(Arb!$AI$2,Arb!$AJ$36+Arb!$AJ$37,,Arb!$AJ$38,),TRUE)</f>
        <v>0</v>
      </c>
      <c r="Y88" s="11">
        <f t="shared" ca="1" si="65"/>
        <v>0</v>
      </c>
      <c r="Z88" s="56" t="str">
        <f t="shared" ca="1" si="66"/>
        <v/>
      </c>
      <c r="AA88" s="59" t="str">
        <f>ASB!$AL$67</f>
        <v>发财</v>
      </c>
      <c r="AB88" s="1">
        <f ca="1">COUNTIFS(OFFSET(Arb!$C$2,Arb!$AJ$36+Arb!$AJ$37,,Arb!$AJ$38,),AB$1,OFFSET(Arb!$AF$2,Arb!$AJ$36+Arb!$AJ$37,,Arb!$AJ$38,),"&gt;="&amp;$B88,OFFSET(Arb!$I$2,Arb!$AJ$36+Arb!$AJ$37,,Arb!$AJ$38,),"&gt;="&amp;$F88,OFFSET(Arb!$AI$2,Arb!$AJ$36+Arb!$AJ$37,,Arb!$AJ$38,),TRUE)</f>
        <v>0</v>
      </c>
      <c r="AC88" s="11">
        <f t="shared" ca="1" si="67"/>
        <v>0</v>
      </c>
      <c r="AD88" s="56" t="str">
        <f t="shared" ca="1" si="68"/>
        <v/>
      </c>
      <c r="AE88" s="59" t="str">
        <f>ASB!$AL$67</f>
        <v>发财</v>
      </c>
      <c r="AF88" s="1"/>
      <c r="AI88" s="59"/>
      <c r="AM88" s="59"/>
    </row>
    <row r="89" spans="1:39" x14ac:dyDescent="0.25">
      <c r="A89" s="1">
        <v>500</v>
      </c>
      <c r="B89" s="24">
        <f t="shared" ca="1" si="71"/>
        <v>2.1</v>
      </c>
      <c r="C89" s="1">
        <v>200</v>
      </c>
      <c r="D89" s="51">
        <f t="shared" si="56"/>
        <v>2.1750050000000001</v>
      </c>
      <c r="E89" s="52" t="s">
        <v>46</v>
      </c>
      <c r="F89" s="53">
        <v>100</v>
      </c>
      <c r="G89" s="54" t="s">
        <v>392</v>
      </c>
      <c r="H89" s="794">
        <f ca="1">COUNTIFS(OFFSET(Arb!$AF$2,Arb!$AJ$36+Arb!$AJ$37,,Arb!$AJ$38,),"&gt;="&amp;$B89,OFFSET(Arb!$I$2,Arb!$AJ$36+Arb!$AJ$37,,Arb!$AJ$38,),"&gt;="&amp;$F89,OFFSET(Arb!$AI$2,Arb!$AJ$36+Arb!$AJ$37,,Arb!$AJ$38,),TRUE)</f>
        <v>757</v>
      </c>
      <c r="I89" s="554">
        <f t="shared" ca="1" si="57"/>
        <v>1037</v>
      </c>
      <c r="J89" s="792">
        <f t="shared" ca="1" si="58"/>
        <v>0.72999035679845714</v>
      </c>
      <c r="K89" s="795" t="s">
        <v>763</v>
      </c>
      <c r="L89" s="543">
        <f ca="1">COUNTIFS(OFFSET(Arb!$C$2,Arb!$AJ$36+Arb!$AJ$37,,Arb!$AJ$38,),L$1,OFFSET(Arb!$AF$2,Arb!$AJ$36+Arb!$AJ$37,,Arb!$AJ$38,),"&gt;="&amp;$B89,OFFSET(Arb!$I$2,Arb!$AJ$36+Arb!$AJ$37,,Arb!$AJ$38,),"&gt;="&amp;$F89,OFFSET(Arb!$AI$2,Arb!$AJ$36+Arb!$AJ$37,,Arb!$AJ$38,),TRUE)</f>
        <v>609</v>
      </c>
      <c r="M89" s="554">
        <f t="shared" ca="1" si="70"/>
        <v>770</v>
      </c>
      <c r="N89" s="792">
        <f t="shared" ca="1" si="60"/>
        <v>0.79090909090909089</v>
      </c>
      <c r="O89" s="793" t="s">
        <v>763</v>
      </c>
      <c r="P89" s="554">
        <f ca="1">COUNTIFS(OFFSET(Arb!$C$2,Arb!$AJ$36+Arb!$AJ$37,,Arb!$AJ$38,),P$1,OFFSET(Arb!$AF$2,Arb!$AJ$36+Arb!$AJ$37,,Arb!$AJ$38,),"&gt;="&amp;$B89,OFFSET(Arb!$I$2,Arb!$AJ$36+Arb!$AJ$37,,Arb!$AJ$38,),"&gt;="&amp;$F89,OFFSET(Arb!$AI$2,Arb!$AJ$36+Arb!$AJ$37,,Arb!$AJ$38,),TRUE)</f>
        <v>148</v>
      </c>
      <c r="Q89" s="554">
        <f t="shared" ca="1" si="61"/>
        <v>267</v>
      </c>
      <c r="R89" s="792">
        <f t="shared" ca="1" si="62"/>
        <v>0.55430711610486894</v>
      </c>
      <c r="S89" s="793" t="s">
        <v>763</v>
      </c>
      <c r="T89" s="1">
        <f ca="1">COUNTIFS(OFFSET(Arb!$C$2,Arb!$AJ$36+Arb!$AJ$37,,Arb!$AJ$38,),T$1,OFFSET(Arb!$AF$2,Arb!$AJ$36+Arb!$AJ$37,,Arb!$AJ$38,),"&gt;="&amp;$B89,OFFSET(Arb!$I$2,Arb!$AJ$36+Arb!$AJ$37,,Arb!$AJ$38,),"&gt;="&amp;$F89,OFFSET(Arb!$AI$2,Arb!$AJ$36+Arb!$AJ$37,,Arb!$AJ$38,),TRUE)</f>
        <v>0</v>
      </c>
      <c r="U89" s="11">
        <f t="shared" ca="1" si="63"/>
        <v>0</v>
      </c>
      <c r="V89" s="56" t="str">
        <f t="shared" ca="1" si="64"/>
        <v/>
      </c>
      <c r="W89" s="59" t="str">
        <f>ASB!$AL$67</f>
        <v>发财</v>
      </c>
      <c r="X89" s="1">
        <f ca="1">COUNTIFS(OFFSET(Arb!$C$2,Arb!$AJ$36+Arb!$AJ$37,,Arb!$AJ$38,),X$1,OFFSET(Arb!$AF$2,Arb!$AJ$36+Arb!$AJ$37,,Arb!$AJ$38,),"&gt;="&amp;$B89,OFFSET(Arb!$I$2,Arb!$AJ$36+Arb!$AJ$37,,Arb!$AJ$38,),"&gt;="&amp;$F89,OFFSET(Arb!$AI$2,Arb!$AJ$36+Arb!$AJ$37,,Arb!$AJ$38,),TRUE)</f>
        <v>0</v>
      </c>
      <c r="Y89" s="11">
        <f t="shared" ca="1" si="65"/>
        <v>0</v>
      </c>
      <c r="Z89" s="56" t="str">
        <f t="shared" ca="1" si="66"/>
        <v/>
      </c>
      <c r="AA89" s="59" t="str">
        <f>ASB!$AL$67</f>
        <v>发财</v>
      </c>
      <c r="AB89" s="1">
        <f ca="1">COUNTIFS(OFFSET(Arb!$C$2,Arb!$AJ$36+Arb!$AJ$37,,Arb!$AJ$38,),AB$1,OFFSET(Arb!$AF$2,Arb!$AJ$36+Arb!$AJ$37,,Arb!$AJ$38,),"&gt;="&amp;$B89,OFFSET(Arb!$I$2,Arb!$AJ$36+Arb!$AJ$37,,Arb!$AJ$38,),"&gt;="&amp;$F89,OFFSET(Arb!$AI$2,Arb!$AJ$36+Arb!$AJ$37,,Arb!$AJ$38,),TRUE)</f>
        <v>0</v>
      </c>
      <c r="AC89" s="11">
        <f t="shared" ca="1" si="67"/>
        <v>0</v>
      </c>
      <c r="AD89" s="56" t="str">
        <f t="shared" ca="1" si="68"/>
        <v/>
      </c>
      <c r="AE89" s="59" t="str">
        <f>ASB!$AL$67</f>
        <v>发财</v>
      </c>
      <c r="AF89" s="1"/>
      <c r="AI89" s="59"/>
      <c r="AM89" s="59"/>
    </row>
    <row r="90" spans="1:39" x14ac:dyDescent="0.25">
      <c r="A90" s="1">
        <v>500</v>
      </c>
      <c r="B90" s="24">
        <f t="shared" ca="1" si="71"/>
        <v>2</v>
      </c>
      <c r="C90" s="1">
        <v>200</v>
      </c>
      <c r="D90" s="51">
        <f t="shared" si="56"/>
        <v>2.1750050000000001</v>
      </c>
      <c r="E90" s="52" t="s">
        <v>46</v>
      </c>
      <c r="F90" s="53">
        <v>100</v>
      </c>
      <c r="G90" s="54" t="s">
        <v>392</v>
      </c>
      <c r="H90" s="794">
        <f ca="1">COUNTIFS(OFFSET(Arb!$AF$2,Arb!$AJ$36+Arb!$AJ$37,,Arb!$AJ$38,),"&gt;="&amp;$B90,OFFSET(Arb!$I$2,Arb!$AJ$36+Arb!$AJ$37,,Arb!$AJ$38,),"&gt;="&amp;$F90,OFFSET(Arb!$AI$2,Arb!$AJ$36+Arb!$AJ$37,,Arb!$AJ$38,),TRUE)</f>
        <v>887</v>
      </c>
      <c r="I90" s="554">
        <f t="shared" ca="1" si="57"/>
        <v>1037</v>
      </c>
      <c r="J90" s="792">
        <f t="shared" ca="1" si="58"/>
        <v>0.85535197685631625</v>
      </c>
      <c r="K90" s="795" t="s">
        <v>763</v>
      </c>
      <c r="L90" s="543">
        <f ca="1">COUNTIFS(OFFSET(Arb!$C$2,Arb!$AJ$36+Arb!$AJ$37,,Arb!$AJ$38,),L$1,OFFSET(Arb!$AF$2,Arb!$AJ$36+Arb!$AJ$37,,Arb!$AJ$38,),"&gt;="&amp;$B90,OFFSET(Arb!$I$2,Arb!$AJ$36+Arb!$AJ$37,,Arb!$AJ$38,),"&gt;="&amp;$F90,OFFSET(Arb!$AI$2,Arb!$AJ$36+Arb!$AJ$37,,Arb!$AJ$38,),TRUE)</f>
        <v>698</v>
      </c>
      <c r="M90" s="554">
        <f t="shared" ca="1" si="70"/>
        <v>770</v>
      </c>
      <c r="N90" s="792">
        <f t="shared" ca="1" si="60"/>
        <v>0.90649350649350646</v>
      </c>
      <c r="O90" s="793" t="s">
        <v>763</v>
      </c>
      <c r="P90" s="554">
        <f ca="1">COUNTIFS(OFFSET(Arb!$C$2,Arb!$AJ$36+Arb!$AJ$37,,Arb!$AJ$38,),P$1,OFFSET(Arb!$AF$2,Arb!$AJ$36+Arb!$AJ$37,,Arb!$AJ$38,),"&gt;="&amp;$B90,OFFSET(Arb!$I$2,Arb!$AJ$36+Arb!$AJ$37,,Arb!$AJ$38,),"&gt;="&amp;$F90,OFFSET(Arb!$AI$2,Arb!$AJ$36+Arb!$AJ$37,,Arb!$AJ$38,),TRUE)</f>
        <v>189</v>
      </c>
      <c r="Q90" s="554">
        <f t="shared" ca="1" si="61"/>
        <v>267</v>
      </c>
      <c r="R90" s="792">
        <f t="shared" ca="1" si="62"/>
        <v>0.7078651685393258</v>
      </c>
      <c r="S90" s="793" t="s">
        <v>763</v>
      </c>
      <c r="T90" s="1">
        <f ca="1">COUNTIFS(OFFSET(Arb!$C$2,Arb!$AJ$36+Arb!$AJ$37,,Arb!$AJ$38,),T$1,OFFSET(Arb!$AF$2,Arb!$AJ$36+Arb!$AJ$37,,Arb!$AJ$38,),"&gt;="&amp;$B90,OFFSET(Arb!$I$2,Arb!$AJ$36+Arb!$AJ$37,,Arb!$AJ$38,),"&gt;="&amp;$F90,OFFSET(Arb!$AI$2,Arb!$AJ$36+Arb!$AJ$37,,Arb!$AJ$38,),TRUE)</f>
        <v>0</v>
      </c>
      <c r="U90" s="11">
        <f t="shared" ca="1" si="63"/>
        <v>0</v>
      </c>
      <c r="V90" s="56" t="str">
        <f t="shared" ca="1" si="64"/>
        <v/>
      </c>
      <c r="W90" s="59" t="str">
        <f>ASB!$AL$67</f>
        <v>发财</v>
      </c>
      <c r="X90" s="1">
        <f ca="1">COUNTIFS(OFFSET(Arb!$C$2,Arb!$AJ$36+Arb!$AJ$37,,Arb!$AJ$38,),X$1,OFFSET(Arb!$AF$2,Arb!$AJ$36+Arb!$AJ$37,,Arb!$AJ$38,),"&gt;="&amp;$B90,OFFSET(Arb!$I$2,Arb!$AJ$36+Arb!$AJ$37,,Arb!$AJ$38,),"&gt;="&amp;$F90,OFFSET(Arb!$AI$2,Arb!$AJ$36+Arb!$AJ$37,,Arb!$AJ$38,),TRUE)</f>
        <v>0</v>
      </c>
      <c r="Y90" s="11">
        <f t="shared" ca="1" si="65"/>
        <v>0</v>
      </c>
      <c r="Z90" s="56" t="str">
        <f t="shared" ca="1" si="66"/>
        <v/>
      </c>
      <c r="AA90" s="59" t="str">
        <f>ASB!$AL$67</f>
        <v>发财</v>
      </c>
      <c r="AB90" s="1">
        <f ca="1">COUNTIFS(OFFSET(Arb!$C$2,Arb!$AJ$36+Arb!$AJ$37,,Arb!$AJ$38,),AB$1,OFFSET(Arb!$AF$2,Arb!$AJ$36+Arb!$AJ$37,,Arb!$AJ$38,),"&gt;="&amp;$B90,OFFSET(Arb!$I$2,Arb!$AJ$36+Arb!$AJ$37,,Arb!$AJ$38,),"&gt;="&amp;$F90,OFFSET(Arb!$AI$2,Arb!$AJ$36+Arb!$AJ$37,,Arb!$AJ$38,),TRUE)</f>
        <v>0</v>
      </c>
      <c r="AC90" s="11">
        <f t="shared" ca="1" si="67"/>
        <v>0</v>
      </c>
      <c r="AD90" s="56" t="str">
        <f t="shared" ca="1" si="68"/>
        <v/>
      </c>
      <c r="AE90" s="59" t="str">
        <f>ASB!$AL$67</f>
        <v>发财</v>
      </c>
      <c r="AF90" s="1"/>
      <c r="AI90" s="59"/>
      <c r="AM90" s="59"/>
    </row>
    <row r="91" spans="1:39" x14ac:dyDescent="0.25">
      <c r="A91" s="11">
        <v>500</v>
      </c>
      <c r="B91" s="11">
        <v>0</v>
      </c>
      <c r="C91" s="64">
        <f ca="1">435.001/D91</f>
        <v>6.9600159999999995</v>
      </c>
      <c r="D91" s="65">
        <f ca="1">MAX(INT(OFFSET(QG!AC1,Arb!AJ16,)/2.5),16)*2.5</f>
        <v>62.5</v>
      </c>
      <c r="E91" s="52" t="s">
        <v>46</v>
      </c>
      <c r="F91" s="53">
        <v>100</v>
      </c>
      <c r="G91" s="54" t="s">
        <v>393</v>
      </c>
      <c r="H91" s="780">
        <f ca="1">COUNTIFS(OFFSET(Arb!$AG$2,Arb!$AJ$36+Arb!$AJ$37,,Arb!$AJ$38,),"&lt;"&amp;$C91,OFFSET(Arb!$I$2,Arb!$AJ$36+Arb!$AJ$37,,Arb!$AJ$38,),"&gt;="&amp;$F91,OFFSET(Arb!$AI$2,Arb!$AJ$36+Arb!$AJ$37,,Arb!$AJ$38,),TRUE)</f>
        <v>5</v>
      </c>
      <c r="I91" s="659">
        <f t="shared" ca="1" si="57"/>
        <v>1037</v>
      </c>
      <c r="J91" s="781">
        <f t="shared" ca="1" si="58"/>
        <v>4.8216007714561235E-3</v>
      </c>
      <c r="K91" s="782" t="s">
        <v>759</v>
      </c>
      <c r="L91" s="712">
        <f ca="1">COUNTIFS(OFFSET(Arb!$C$2,Arb!$AJ$36+Arb!$AJ$37,,Arb!$AJ$38,),L$1,OFFSET(Arb!$AG$2,Arb!$AJ$36+Arb!$AJ$37,,Arb!$AJ$38,),"&lt;"&amp;$C91,OFFSET(Arb!$I$2,Arb!$AJ$36+Arb!$AJ$37,,Arb!$AJ$38,),"&gt;="&amp;$F91,OFFSET(Arb!$AI$2,Arb!$AJ$36+Arb!$AJ$37,,Arb!$AJ$38,),TRUE)</f>
        <v>5</v>
      </c>
      <c r="M91" s="659">
        <f t="shared" ca="1" si="70"/>
        <v>770</v>
      </c>
      <c r="N91" s="781">
        <f t="shared" ca="1" si="60"/>
        <v>6.4935064935064939E-3</v>
      </c>
      <c r="O91" s="783" t="s">
        <v>759</v>
      </c>
      <c r="P91" s="1">
        <f ca="1">COUNTIFS(OFFSET(Arb!$C$2,Arb!$AJ$36+Arb!$AJ$37,,Arb!$AJ$38,),P$1,OFFSET(Arb!$AG$2,Arb!$AJ$36+Arb!$AJ$37,,Arb!$AJ$38,),"&lt;"&amp;$C91,OFFSET(Arb!$I$2,Arb!$AJ$36+Arb!$AJ$37,,Arb!$AJ$38,),"&gt;="&amp;$F91,OFFSET(Arb!$AI$2,Arb!$AJ$36+Arb!$AJ$37,,Arb!$AJ$38,),TRUE)</f>
        <v>0</v>
      </c>
      <c r="Q91" s="11">
        <f t="shared" ca="1" si="61"/>
        <v>267</v>
      </c>
      <c r="R91" s="56">
        <f t="shared" ca="1" si="62"/>
        <v>0</v>
      </c>
      <c r="S91" s="59" t="str">
        <f>ASB!$AL$67</f>
        <v>发财</v>
      </c>
      <c r="T91" s="1">
        <f ca="1">COUNTIFS(OFFSET(Arb!$C$2,Arb!$AJ$36+Arb!$AJ$37,,Arb!$AJ$38,),T$1,OFFSET(Arb!$AG$2,Arb!$AJ$36+Arb!$AJ$37,,Arb!$AJ$38,),"&lt;"&amp;$C91,OFFSET(Arb!$I$2,Arb!$AJ$36+Arb!$AJ$37,,Arb!$AJ$38,),"&gt;="&amp;$F91,OFFSET(Arb!$AI$2,Arb!$AJ$36+Arb!$AJ$37,,Arb!$AJ$38,),TRUE)</f>
        <v>0</v>
      </c>
      <c r="U91" s="11">
        <f t="shared" ca="1" si="63"/>
        <v>0</v>
      </c>
      <c r="V91" s="56" t="str">
        <f t="shared" ca="1" si="64"/>
        <v/>
      </c>
      <c r="W91" s="59" t="str">
        <f>ASB!$AL$67</f>
        <v>发财</v>
      </c>
      <c r="X91" s="1">
        <f ca="1">COUNTIFS(OFFSET(Arb!$C$2,Arb!$AJ$36+Arb!$AJ$37,,Arb!$AJ$38,),X$1,OFFSET(Arb!$AG$2,Arb!$AJ$36+Arb!$AJ$37,,Arb!$AJ$38,),"&lt;"&amp;$C91,OFFSET(Arb!$I$2,Arb!$AJ$36+Arb!$AJ$37,,Arb!$AJ$38,),"&gt;="&amp;$F91,OFFSET(Arb!$AI$2,Arb!$AJ$36+Arb!$AJ$37,,Arb!$AJ$38,),TRUE)</f>
        <v>0</v>
      </c>
      <c r="Y91" s="11">
        <f t="shared" ca="1" si="65"/>
        <v>0</v>
      </c>
      <c r="Z91" s="56" t="str">
        <f t="shared" ca="1" si="66"/>
        <v/>
      </c>
      <c r="AA91" s="59" t="str">
        <f>ASB!$AL$67</f>
        <v>发财</v>
      </c>
      <c r="AB91" s="1">
        <f ca="1">COUNTIFS(OFFSET(Arb!$C$2,Arb!$AJ$36+Arb!$AJ$37,,Arb!$AJ$38,),AB$1,OFFSET(Arb!$AG$2,Arb!$AJ$36+Arb!$AJ$37,,Arb!$AJ$38,),"&lt;"&amp;$C91,OFFSET(Arb!$I$2,Arb!$AJ$36+Arb!$AJ$37,,Arb!$AJ$38,),"&gt;="&amp;$F91,OFFSET(Arb!$AI$2,Arb!$AJ$36+Arb!$AJ$37,,Arb!$AJ$38,),TRUE)</f>
        <v>0</v>
      </c>
      <c r="AC91" s="11">
        <f t="shared" ca="1" si="67"/>
        <v>0</v>
      </c>
      <c r="AD91" s="56" t="str">
        <f t="shared" ca="1" si="68"/>
        <v/>
      </c>
      <c r="AE91" s="59" t="str">
        <f>ASB!$AL$67</f>
        <v>发财</v>
      </c>
      <c r="AF91" s="1"/>
      <c r="AI91" s="59"/>
      <c r="AM91" s="59"/>
    </row>
    <row r="92" spans="1:39" x14ac:dyDescent="0.25">
      <c r="A92" s="11">
        <v>500</v>
      </c>
      <c r="B92" s="11">
        <v>0</v>
      </c>
      <c r="C92" s="64">
        <f t="shared" ref="C92:C101" ca="1" si="72">435.001/D92</f>
        <v>7.2500166666666663</v>
      </c>
      <c r="D92" s="65">
        <f ca="1">D91-2.5</f>
        <v>60</v>
      </c>
      <c r="E92" s="52" t="s">
        <v>46</v>
      </c>
      <c r="F92" s="53">
        <v>100</v>
      </c>
      <c r="G92" s="54" t="s">
        <v>393</v>
      </c>
      <c r="H92" s="786">
        <f ca="1">COUNTIFS(OFFSET(Arb!$AG$2,Arb!$AJ$36+Arb!$AJ$37,,Arb!$AJ$38,),"&lt;"&amp;$C92,OFFSET(Arb!$I$2,Arb!$AJ$36+Arb!$AJ$37,,Arb!$AJ$38,),"&gt;="&amp;$F92,OFFSET(Arb!$AI$2,Arb!$AJ$36+Arb!$AJ$37,,Arb!$AJ$38,),TRUE)</f>
        <v>23</v>
      </c>
      <c r="I92" s="300">
        <f t="shared" ca="1" si="57"/>
        <v>1037</v>
      </c>
      <c r="J92" s="784">
        <f t="shared" ca="1" si="58"/>
        <v>2.2179363548698167E-2</v>
      </c>
      <c r="K92" s="787" t="s">
        <v>760</v>
      </c>
      <c r="L92" s="715">
        <f ca="1">COUNTIFS(OFFSET(Arb!$C$2,Arb!$AJ$36+Arb!$AJ$37,,Arb!$AJ$38,),L$1,OFFSET(Arb!$AG$2,Arb!$AJ$36+Arb!$AJ$37,,Arb!$AJ$38,),"&lt;"&amp;$C92,OFFSET(Arb!$I$2,Arb!$AJ$36+Arb!$AJ$37,,Arb!$AJ$38,),"&gt;="&amp;$F92,OFFSET(Arb!$AI$2,Arb!$AJ$36+Arb!$AJ$37,,Arb!$AJ$38,),TRUE)</f>
        <v>23</v>
      </c>
      <c r="M92" s="300">
        <f t="shared" ca="1" si="70"/>
        <v>770</v>
      </c>
      <c r="N92" s="784">
        <f t="shared" ca="1" si="60"/>
        <v>2.987012987012987E-2</v>
      </c>
      <c r="O92" s="785" t="s">
        <v>760</v>
      </c>
      <c r="P92" s="1">
        <f ca="1">COUNTIFS(OFFSET(Arb!$C$2,Arb!$AJ$36+Arb!$AJ$37,,Arb!$AJ$38,),P$1,OFFSET(Arb!$AG$2,Arb!$AJ$36+Arb!$AJ$37,,Arb!$AJ$38,),"&lt;"&amp;$C92,OFFSET(Arb!$I$2,Arb!$AJ$36+Arb!$AJ$37,,Arb!$AJ$38,),"&gt;="&amp;$F92,OFFSET(Arb!$AI$2,Arb!$AJ$36+Arb!$AJ$37,,Arb!$AJ$38,),TRUE)</f>
        <v>0</v>
      </c>
      <c r="Q92" s="11">
        <f t="shared" ca="1" si="61"/>
        <v>267</v>
      </c>
      <c r="R92" s="56">
        <f t="shared" ca="1" si="62"/>
        <v>0</v>
      </c>
      <c r="S92" s="59" t="str">
        <f>ASB!$AL$67</f>
        <v>发财</v>
      </c>
      <c r="T92" s="1">
        <f ca="1">COUNTIFS(OFFSET(Arb!$C$2,Arb!$AJ$36+Arb!$AJ$37,,Arb!$AJ$38,),T$1,OFFSET(Arb!$AG$2,Arb!$AJ$36+Arb!$AJ$37,,Arb!$AJ$38,),"&lt;"&amp;$C92,OFFSET(Arb!$I$2,Arb!$AJ$36+Arb!$AJ$37,,Arb!$AJ$38,),"&gt;="&amp;$F92,OFFSET(Arb!$AI$2,Arb!$AJ$36+Arb!$AJ$37,,Arb!$AJ$38,),TRUE)</f>
        <v>0</v>
      </c>
      <c r="U92" s="11">
        <f t="shared" ca="1" si="63"/>
        <v>0</v>
      </c>
      <c r="V92" s="56" t="str">
        <f t="shared" ca="1" si="64"/>
        <v/>
      </c>
      <c r="W92" s="59" t="str">
        <f>ASB!$AL$67</f>
        <v>发财</v>
      </c>
      <c r="X92" s="1">
        <f ca="1">COUNTIFS(OFFSET(Arb!$C$2,Arb!$AJ$36+Arb!$AJ$37,,Arb!$AJ$38,),X$1,OFFSET(Arb!$AG$2,Arb!$AJ$36+Arb!$AJ$37,,Arb!$AJ$38,),"&lt;"&amp;$C92,OFFSET(Arb!$I$2,Arb!$AJ$36+Arb!$AJ$37,,Arb!$AJ$38,),"&gt;="&amp;$F92,OFFSET(Arb!$AI$2,Arb!$AJ$36+Arb!$AJ$37,,Arb!$AJ$38,),TRUE)</f>
        <v>0</v>
      </c>
      <c r="Y92" s="11">
        <f t="shared" ca="1" si="65"/>
        <v>0</v>
      </c>
      <c r="Z92" s="56" t="str">
        <f t="shared" ca="1" si="66"/>
        <v/>
      </c>
      <c r="AA92" s="59" t="str">
        <f>ASB!$AL$67</f>
        <v>发财</v>
      </c>
      <c r="AB92" s="1">
        <f ca="1">COUNTIFS(OFFSET(Arb!$C$2,Arb!$AJ$36+Arb!$AJ$37,,Arb!$AJ$38,),AB$1,OFFSET(Arb!$AG$2,Arb!$AJ$36+Arb!$AJ$37,,Arb!$AJ$38,),"&lt;"&amp;$C92,OFFSET(Arb!$I$2,Arb!$AJ$36+Arb!$AJ$37,,Arb!$AJ$38,),"&gt;="&amp;$F92,OFFSET(Arb!$AI$2,Arb!$AJ$36+Arb!$AJ$37,,Arb!$AJ$38,),TRUE)</f>
        <v>0</v>
      </c>
      <c r="AC92" s="11">
        <f t="shared" ca="1" si="67"/>
        <v>0</v>
      </c>
      <c r="AD92" s="56" t="str">
        <f t="shared" ca="1" si="68"/>
        <v/>
      </c>
      <c r="AE92" s="59" t="str">
        <f>ASB!$AL$67</f>
        <v>发财</v>
      </c>
      <c r="AF92" s="1"/>
      <c r="AI92" s="59"/>
      <c r="AM92" s="59"/>
    </row>
    <row r="93" spans="1:39" x14ac:dyDescent="0.25">
      <c r="A93" s="11">
        <v>500</v>
      </c>
      <c r="B93" s="11">
        <v>0</v>
      </c>
      <c r="C93" s="64">
        <f t="shared" ca="1" si="72"/>
        <v>7.5652347826086954</v>
      </c>
      <c r="D93" s="65">
        <f t="shared" ref="D93:D101" ca="1" si="73">D92-2.5</f>
        <v>57.5</v>
      </c>
      <c r="E93" s="52" t="s">
        <v>46</v>
      </c>
      <c r="F93" s="53">
        <v>100</v>
      </c>
      <c r="G93" s="54" t="s">
        <v>393</v>
      </c>
      <c r="H93" s="377">
        <f ca="1">COUNTIFS(OFFSET(Arb!$AG$2,Arb!$AJ$36+Arb!$AJ$37,,Arb!$AJ$38,),"&lt;"&amp;$C93,OFFSET(Arb!$I$2,Arb!$AJ$36+Arb!$AJ$37,,Arb!$AJ$38,),"&gt;="&amp;$F93,OFFSET(Arb!$AI$2,Arb!$AJ$36+Arb!$AJ$37,,Arb!$AJ$38,),TRUE)</f>
        <v>58</v>
      </c>
      <c r="I93" s="552">
        <f t="shared" ca="1" si="57"/>
        <v>1037</v>
      </c>
      <c r="J93" s="268">
        <f t="shared" ca="1" si="58"/>
        <v>5.5930568948891035E-2</v>
      </c>
      <c r="K93" s="789" t="s">
        <v>761</v>
      </c>
      <c r="L93" s="545">
        <f ca="1">COUNTIFS(OFFSET(Arb!$C$2,Arb!$AJ$36+Arb!$AJ$37,,Arb!$AJ$38,),L$1,OFFSET(Arb!$AG$2,Arb!$AJ$36+Arb!$AJ$37,,Arb!$AJ$38,),"&lt;"&amp;$C93,OFFSET(Arb!$I$2,Arb!$AJ$36+Arb!$AJ$37,,Arb!$AJ$38,),"&gt;="&amp;$F93,OFFSET(Arb!$AI$2,Arb!$AJ$36+Arb!$AJ$37,,Arb!$AJ$38,),TRUE)</f>
        <v>58</v>
      </c>
      <c r="M93" s="552">
        <f t="shared" ca="1" si="70"/>
        <v>770</v>
      </c>
      <c r="N93" s="268">
        <f t="shared" ca="1" si="60"/>
        <v>7.5324675324675322E-2</v>
      </c>
      <c r="O93" s="788" t="s">
        <v>761</v>
      </c>
      <c r="P93" s="1">
        <f ca="1">COUNTIFS(OFFSET(Arb!$C$2,Arb!$AJ$36+Arb!$AJ$37,,Arb!$AJ$38,),P$1,OFFSET(Arb!$AG$2,Arb!$AJ$36+Arb!$AJ$37,,Arb!$AJ$38,),"&lt;"&amp;$C93,OFFSET(Arb!$I$2,Arb!$AJ$36+Arb!$AJ$37,,Arb!$AJ$38,),"&gt;="&amp;$F93,OFFSET(Arb!$AI$2,Arb!$AJ$36+Arb!$AJ$37,,Arb!$AJ$38,),TRUE)</f>
        <v>0</v>
      </c>
      <c r="Q93" s="11">
        <f t="shared" ca="1" si="61"/>
        <v>267</v>
      </c>
      <c r="R93" s="56">
        <f t="shared" ca="1" si="62"/>
        <v>0</v>
      </c>
      <c r="S93" s="59" t="str">
        <f>ASB!$AL$67</f>
        <v>发财</v>
      </c>
      <c r="T93" s="1">
        <f ca="1">COUNTIFS(OFFSET(Arb!$C$2,Arb!$AJ$36+Arb!$AJ$37,,Arb!$AJ$38,),T$1,OFFSET(Arb!$AG$2,Arb!$AJ$36+Arb!$AJ$37,,Arb!$AJ$38,),"&lt;"&amp;$C93,OFFSET(Arb!$I$2,Arb!$AJ$36+Arb!$AJ$37,,Arb!$AJ$38,),"&gt;="&amp;$F93,OFFSET(Arb!$AI$2,Arb!$AJ$36+Arb!$AJ$37,,Arb!$AJ$38,),TRUE)</f>
        <v>0</v>
      </c>
      <c r="U93" s="11">
        <f t="shared" ca="1" si="63"/>
        <v>0</v>
      </c>
      <c r="V93" s="56" t="str">
        <f t="shared" ca="1" si="64"/>
        <v/>
      </c>
      <c r="W93" s="59" t="str">
        <f>ASB!$AL$67</f>
        <v>发财</v>
      </c>
      <c r="X93" s="1">
        <f ca="1">COUNTIFS(OFFSET(Arb!$C$2,Arb!$AJ$36+Arb!$AJ$37,,Arb!$AJ$38,),X$1,OFFSET(Arb!$AG$2,Arb!$AJ$36+Arb!$AJ$37,,Arb!$AJ$38,),"&lt;"&amp;$C93,OFFSET(Arb!$I$2,Arb!$AJ$36+Arb!$AJ$37,,Arb!$AJ$38,),"&gt;="&amp;$F93,OFFSET(Arb!$AI$2,Arb!$AJ$36+Arb!$AJ$37,,Arb!$AJ$38,),TRUE)</f>
        <v>0</v>
      </c>
      <c r="Y93" s="11">
        <f t="shared" ca="1" si="65"/>
        <v>0</v>
      </c>
      <c r="Z93" s="56" t="str">
        <f t="shared" ca="1" si="66"/>
        <v/>
      </c>
      <c r="AA93" s="59" t="str">
        <f>ASB!$AL$67</f>
        <v>发财</v>
      </c>
      <c r="AB93" s="1">
        <f ca="1">COUNTIFS(OFFSET(Arb!$C$2,Arb!$AJ$36+Arb!$AJ$37,,Arb!$AJ$38,),AB$1,OFFSET(Arb!$AG$2,Arb!$AJ$36+Arb!$AJ$37,,Arb!$AJ$38,),"&lt;"&amp;$C93,OFFSET(Arb!$I$2,Arb!$AJ$36+Arb!$AJ$37,,Arb!$AJ$38,),"&gt;="&amp;$F93,OFFSET(Arb!$AI$2,Arb!$AJ$36+Arb!$AJ$37,,Arb!$AJ$38,),TRUE)</f>
        <v>0</v>
      </c>
      <c r="AC93" s="11">
        <f t="shared" ca="1" si="67"/>
        <v>0</v>
      </c>
      <c r="AD93" s="56" t="str">
        <f t="shared" ca="1" si="68"/>
        <v/>
      </c>
      <c r="AE93" s="59" t="str">
        <f>ASB!$AL$67</f>
        <v>发财</v>
      </c>
      <c r="AF93" s="1"/>
      <c r="AI93" s="59"/>
      <c r="AM93" s="59"/>
    </row>
    <row r="94" spans="1:39" x14ac:dyDescent="0.25">
      <c r="A94" s="11">
        <v>500</v>
      </c>
      <c r="B94" s="11">
        <v>0</v>
      </c>
      <c r="C94" s="64">
        <f t="shared" ca="1" si="72"/>
        <v>7.9091090909090909</v>
      </c>
      <c r="D94" s="65">
        <f t="shared" ca="1" si="73"/>
        <v>55</v>
      </c>
      <c r="E94" s="52" t="s">
        <v>46</v>
      </c>
      <c r="F94" s="53">
        <v>100</v>
      </c>
      <c r="G94" s="54" t="s">
        <v>393</v>
      </c>
      <c r="H94" s="377">
        <f ca="1">COUNTIFS(OFFSET(Arb!$AG$2,Arb!$AJ$36+Arb!$AJ$37,,Arb!$AJ$38,),"&lt;"&amp;$C94,OFFSET(Arb!$I$2,Arb!$AJ$36+Arb!$AJ$37,,Arb!$AJ$38,),"&gt;="&amp;$F94,OFFSET(Arb!$AI$2,Arb!$AJ$36+Arb!$AJ$37,,Arb!$AJ$38,),TRUE)</f>
        <v>103</v>
      </c>
      <c r="I94" s="552">
        <f t="shared" ca="1" si="57"/>
        <v>1037</v>
      </c>
      <c r="J94" s="268">
        <f t="shared" ca="1" si="58"/>
        <v>9.932497589199614E-2</v>
      </c>
      <c r="K94" s="789" t="s">
        <v>761</v>
      </c>
      <c r="L94" s="548">
        <f ca="1">COUNTIFS(OFFSET(Arb!$C$2,Arb!$AJ$36+Arb!$AJ$37,,Arb!$AJ$38,),L$1,OFFSET(Arb!$AG$2,Arb!$AJ$36+Arb!$AJ$37,,Arb!$AJ$38,),"&lt;"&amp;$C94,OFFSET(Arb!$I$2,Arb!$AJ$36+Arb!$AJ$37,,Arb!$AJ$38,),"&gt;="&amp;$F94,OFFSET(Arb!$AI$2,Arb!$AJ$36+Arb!$AJ$37,,Arb!$AJ$38,),TRUE)</f>
        <v>102</v>
      </c>
      <c r="M94" s="551">
        <f t="shared" ca="1" si="70"/>
        <v>770</v>
      </c>
      <c r="N94" s="341">
        <f t="shared" ca="1" si="60"/>
        <v>0.13246753246753246</v>
      </c>
      <c r="O94" s="790" t="s">
        <v>762</v>
      </c>
      <c r="P94" s="300">
        <f ca="1">COUNTIFS(OFFSET(Arb!$C$2,Arb!$AJ$36+Arb!$AJ$37,,Arb!$AJ$38,),P$1,OFFSET(Arb!$AG$2,Arb!$AJ$36+Arb!$AJ$37,,Arb!$AJ$38,),"&lt;"&amp;$C94,OFFSET(Arb!$I$2,Arb!$AJ$36+Arb!$AJ$37,,Arb!$AJ$38,),"&gt;="&amp;$F94,OFFSET(Arb!$AI$2,Arb!$AJ$36+Arb!$AJ$37,,Arb!$AJ$38,),TRUE)</f>
        <v>1</v>
      </c>
      <c r="Q94" s="300">
        <f t="shared" ca="1" si="61"/>
        <v>267</v>
      </c>
      <c r="R94" s="784">
        <f t="shared" ca="1" si="62"/>
        <v>3.7453183520599251E-3</v>
      </c>
      <c r="S94" s="785" t="s">
        <v>760</v>
      </c>
      <c r="T94" s="1">
        <f ca="1">COUNTIFS(OFFSET(Arb!$C$2,Arb!$AJ$36+Arb!$AJ$37,,Arb!$AJ$38,),T$1,OFFSET(Arb!$AG$2,Arb!$AJ$36+Arb!$AJ$37,,Arb!$AJ$38,),"&lt;"&amp;$C94,OFFSET(Arb!$I$2,Arb!$AJ$36+Arb!$AJ$37,,Arb!$AJ$38,),"&gt;="&amp;$F94,OFFSET(Arb!$AI$2,Arb!$AJ$36+Arb!$AJ$37,,Arb!$AJ$38,),TRUE)</f>
        <v>0</v>
      </c>
      <c r="U94" s="11">
        <f t="shared" ca="1" si="63"/>
        <v>0</v>
      </c>
      <c r="V94" s="56" t="str">
        <f t="shared" ca="1" si="64"/>
        <v/>
      </c>
      <c r="W94" s="59" t="str">
        <f>ASB!$AL$67</f>
        <v>发财</v>
      </c>
      <c r="X94" s="1">
        <f ca="1">COUNTIFS(OFFSET(Arb!$C$2,Arb!$AJ$36+Arb!$AJ$37,,Arb!$AJ$38,),X$1,OFFSET(Arb!$AG$2,Arb!$AJ$36+Arb!$AJ$37,,Arb!$AJ$38,),"&lt;"&amp;$C94,OFFSET(Arb!$I$2,Arb!$AJ$36+Arb!$AJ$37,,Arb!$AJ$38,),"&gt;="&amp;$F94,OFFSET(Arb!$AI$2,Arb!$AJ$36+Arb!$AJ$37,,Arb!$AJ$38,),TRUE)</f>
        <v>0</v>
      </c>
      <c r="Y94" s="11">
        <f t="shared" ca="1" si="65"/>
        <v>0</v>
      </c>
      <c r="Z94" s="56" t="str">
        <f t="shared" ca="1" si="66"/>
        <v/>
      </c>
      <c r="AA94" s="59" t="str">
        <f>ASB!$AL$67</f>
        <v>发财</v>
      </c>
      <c r="AB94" s="1">
        <f ca="1">COUNTIFS(OFFSET(Arb!$C$2,Arb!$AJ$36+Arb!$AJ$37,,Arb!$AJ$38,),AB$1,OFFSET(Arb!$AG$2,Arb!$AJ$36+Arb!$AJ$37,,Arb!$AJ$38,),"&lt;"&amp;$C94,OFFSET(Arb!$I$2,Arb!$AJ$36+Arb!$AJ$37,,Arb!$AJ$38,),"&gt;="&amp;$F94,OFFSET(Arb!$AI$2,Arb!$AJ$36+Arb!$AJ$37,,Arb!$AJ$38,),TRUE)</f>
        <v>0</v>
      </c>
      <c r="AC94" s="11">
        <f t="shared" ca="1" si="67"/>
        <v>0</v>
      </c>
      <c r="AD94" s="56" t="str">
        <f t="shared" ca="1" si="68"/>
        <v/>
      </c>
      <c r="AE94" s="59" t="str">
        <f>ASB!$AL$67</f>
        <v>发财</v>
      </c>
      <c r="AF94" s="1"/>
      <c r="AI94" s="59"/>
      <c r="AM94" s="59"/>
    </row>
    <row r="95" spans="1:39" x14ac:dyDescent="0.25">
      <c r="A95" s="11">
        <v>500</v>
      </c>
      <c r="B95" s="11">
        <v>0</v>
      </c>
      <c r="C95" s="64">
        <f t="shared" ca="1" si="72"/>
        <v>8.285733333333333</v>
      </c>
      <c r="D95" s="65">
        <f t="shared" ca="1" si="73"/>
        <v>52.5</v>
      </c>
      <c r="E95" s="52" t="s">
        <v>46</v>
      </c>
      <c r="F95" s="53">
        <v>100</v>
      </c>
      <c r="G95" s="54" t="s">
        <v>393</v>
      </c>
      <c r="H95" s="226">
        <f ca="1">COUNTIFS(OFFSET(Arb!$AG$2,Arb!$AJ$36+Arb!$AJ$37,,Arb!$AJ$38,),"&lt;"&amp;$C95,OFFSET(Arb!$I$2,Arb!$AJ$36+Arb!$AJ$37,,Arb!$AJ$38,),"&gt;="&amp;$F95,OFFSET(Arb!$AI$2,Arb!$AJ$36+Arb!$AJ$37,,Arb!$AJ$38,),TRUE)</f>
        <v>209</v>
      </c>
      <c r="I95" s="551">
        <f t="shared" ca="1" si="57"/>
        <v>1037</v>
      </c>
      <c r="J95" s="341">
        <f t="shared" ca="1" si="58"/>
        <v>0.20154291224686596</v>
      </c>
      <c r="K95" s="791" t="s">
        <v>762</v>
      </c>
      <c r="L95" s="548">
        <f ca="1">COUNTIFS(OFFSET(Arb!$C$2,Arb!$AJ$36+Arb!$AJ$37,,Arb!$AJ$38,),L$1,OFFSET(Arb!$AG$2,Arb!$AJ$36+Arb!$AJ$37,,Arb!$AJ$38,),"&lt;"&amp;$C95,OFFSET(Arb!$I$2,Arb!$AJ$36+Arb!$AJ$37,,Arb!$AJ$38,),"&gt;="&amp;$F95,OFFSET(Arb!$AI$2,Arb!$AJ$36+Arb!$AJ$37,,Arb!$AJ$38,),TRUE)</f>
        <v>203</v>
      </c>
      <c r="M95" s="551">
        <f t="shared" ca="1" si="70"/>
        <v>770</v>
      </c>
      <c r="N95" s="341">
        <f t="shared" ca="1" si="60"/>
        <v>0.26363636363636361</v>
      </c>
      <c r="O95" s="790" t="s">
        <v>762</v>
      </c>
      <c r="P95" s="300">
        <f ca="1">COUNTIFS(OFFSET(Arb!$C$2,Arb!$AJ$36+Arb!$AJ$37,,Arb!$AJ$38,),P$1,OFFSET(Arb!$AG$2,Arb!$AJ$36+Arb!$AJ$37,,Arb!$AJ$38,),"&lt;"&amp;$C95,OFFSET(Arb!$I$2,Arb!$AJ$36+Arb!$AJ$37,,Arb!$AJ$38,),"&gt;="&amp;$F95,OFFSET(Arb!$AI$2,Arb!$AJ$36+Arb!$AJ$37,,Arb!$AJ$38,),TRUE)</f>
        <v>6</v>
      </c>
      <c r="Q95" s="300">
        <f t="shared" ca="1" si="61"/>
        <v>267</v>
      </c>
      <c r="R95" s="784">
        <f t="shared" ca="1" si="62"/>
        <v>2.247191011235955E-2</v>
      </c>
      <c r="S95" s="785" t="s">
        <v>760</v>
      </c>
      <c r="T95" s="1">
        <f ca="1">COUNTIFS(OFFSET(Arb!$C$2,Arb!$AJ$36+Arb!$AJ$37,,Arb!$AJ$38,),T$1,OFFSET(Arb!$AG$2,Arb!$AJ$36+Arb!$AJ$37,,Arb!$AJ$38,),"&lt;"&amp;$C95,OFFSET(Arb!$I$2,Arb!$AJ$36+Arb!$AJ$37,,Arb!$AJ$38,),"&gt;="&amp;$F95,OFFSET(Arb!$AI$2,Arb!$AJ$36+Arb!$AJ$37,,Arb!$AJ$38,),TRUE)</f>
        <v>0</v>
      </c>
      <c r="U95" s="11">
        <f t="shared" ca="1" si="63"/>
        <v>0</v>
      </c>
      <c r="V95" s="56" t="str">
        <f t="shared" ca="1" si="64"/>
        <v/>
      </c>
      <c r="W95" s="59" t="str">
        <f>ASB!$AL$67</f>
        <v>发财</v>
      </c>
      <c r="X95" s="1">
        <f ca="1">COUNTIFS(OFFSET(Arb!$C$2,Arb!$AJ$36+Arb!$AJ$37,,Arb!$AJ$38,),X$1,OFFSET(Arb!$AG$2,Arb!$AJ$36+Arb!$AJ$37,,Arb!$AJ$38,),"&lt;"&amp;$C95,OFFSET(Arb!$I$2,Arb!$AJ$36+Arb!$AJ$37,,Arb!$AJ$38,),"&gt;="&amp;$F95,OFFSET(Arb!$AI$2,Arb!$AJ$36+Arb!$AJ$37,,Arb!$AJ$38,),TRUE)</f>
        <v>0</v>
      </c>
      <c r="Y95" s="11">
        <f t="shared" ca="1" si="65"/>
        <v>0</v>
      </c>
      <c r="Z95" s="56" t="str">
        <f t="shared" ca="1" si="66"/>
        <v/>
      </c>
      <c r="AA95" s="59" t="str">
        <f>ASB!$AL$67</f>
        <v>发财</v>
      </c>
      <c r="AB95" s="1">
        <f ca="1">COUNTIFS(OFFSET(Arb!$C$2,Arb!$AJ$36+Arb!$AJ$37,,Arb!$AJ$38,),AB$1,OFFSET(Arb!$AG$2,Arb!$AJ$36+Arb!$AJ$37,,Arb!$AJ$38,),"&lt;"&amp;$C95,OFFSET(Arb!$I$2,Arb!$AJ$36+Arb!$AJ$37,,Arb!$AJ$38,),"&gt;="&amp;$F95,OFFSET(Arb!$AI$2,Arb!$AJ$36+Arb!$AJ$37,,Arb!$AJ$38,),TRUE)</f>
        <v>0</v>
      </c>
      <c r="AC95" s="11">
        <f t="shared" ca="1" si="67"/>
        <v>0</v>
      </c>
      <c r="AD95" s="56" t="str">
        <f t="shared" ca="1" si="68"/>
        <v/>
      </c>
      <c r="AE95" s="59" t="str">
        <f>ASB!$AL$67</f>
        <v>发财</v>
      </c>
      <c r="AF95" s="1"/>
      <c r="AI95" s="59"/>
      <c r="AM95" s="59"/>
    </row>
    <row r="96" spans="1:39" x14ac:dyDescent="0.25">
      <c r="A96" s="11">
        <v>500</v>
      </c>
      <c r="B96" s="11">
        <v>0</v>
      </c>
      <c r="C96" s="64">
        <f t="shared" ca="1" si="72"/>
        <v>8.7000200000000003</v>
      </c>
      <c r="D96" s="65">
        <f t="shared" ca="1" si="73"/>
        <v>50</v>
      </c>
      <c r="E96" s="52" t="s">
        <v>46</v>
      </c>
      <c r="F96" s="53">
        <v>100</v>
      </c>
      <c r="G96" s="54" t="s">
        <v>393</v>
      </c>
      <c r="H96" s="226">
        <f ca="1">COUNTIFS(OFFSET(Arb!$AG$2,Arb!$AJ$36+Arb!$AJ$37,,Arb!$AJ$38,),"&lt;"&amp;$C96,OFFSET(Arb!$I$2,Arb!$AJ$36+Arb!$AJ$37,,Arb!$AJ$38,),"&gt;="&amp;$F96,OFFSET(Arb!$AI$2,Arb!$AJ$36+Arb!$AJ$37,,Arb!$AJ$38,),TRUE)</f>
        <v>327</v>
      </c>
      <c r="I96" s="551">
        <f t="shared" ca="1" si="57"/>
        <v>1037</v>
      </c>
      <c r="J96" s="341">
        <f t="shared" ca="1" si="58"/>
        <v>0.31533269045323048</v>
      </c>
      <c r="K96" s="791" t="s">
        <v>762</v>
      </c>
      <c r="L96" s="543">
        <f ca="1">COUNTIFS(OFFSET(Arb!$C$2,Arb!$AJ$36+Arb!$AJ$37,,Arb!$AJ$38,),L$1,OFFSET(Arb!$AG$2,Arb!$AJ$36+Arb!$AJ$37,,Arb!$AJ$38,),"&lt;"&amp;$C96,OFFSET(Arb!$I$2,Arb!$AJ$36+Arb!$AJ$37,,Arb!$AJ$38,),"&gt;="&amp;$F96,OFFSET(Arb!$AI$2,Arb!$AJ$36+Arb!$AJ$37,,Arb!$AJ$38,),TRUE)</f>
        <v>308</v>
      </c>
      <c r="M96" s="554">
        <f t="shared" ca="1" si="70"/>
        <v>770</v>
      </c>
      <c r="N96" s="792">
        <f t="shared" ca="1" si="60"/>
        <v>0.4</v>
      </c>
      <c r="O96" s="793" t="s">
        <v>763</v>
      </c>
      <c r="P96" s="552">
        <f ca="1">COUNTIFS(OFFSET(Arb!$C$2,Arb!$AJ$36+Arb!$AJ$37,,Arb!$AJ$38,),P$1,OFFSET(Arb!$AG$2,Arb!$AJ$36+Arb!$AJ$37,,Arb!$AJ$38,),"&lt;"&amp;$C96,OFFSET(Arb!$I$2,Arb!$AJ$36+Arb!$AJ$37,,Arb!$AJ$38,),"&gt;="&amp;$F96,OFFSET(Arb!$AI$2,Arb!$AJ$36+Arb!$AJ$37,,Arb!$AJ$38,),TRUE)</f>
        <v>19</v>
      </c>
      <c r="Q96" s="552">
        <f t="shared" ca="1" si="61"/>
        <v>267</v>
      </c>
      <c r="R96" s="268">
        <f t="shared" ca="1" si="62"/>
        <v>7.116104868913857E-2</v>
      </c>
      <c r="S96" s="788" t="s">
        <v>761</v>
      </c>
      <c r="T96" s="1">
        <f ca="1">COUNTIFS(OFFSET(Arb!$C$2,Arb!$AJ$36+Arb!$AJ$37,,Arb!$AJ$38,),T$1,OFFSET(Arb!$AG$2,Arb!$AJ$36+Arb!$AJ$37,,Arb!$AJ$38,),"&lt;"&amp;$C96,OFFSET(Arb!$I$2,Arb!$AJ$36+Arb!$AJ$37,,Arb!$AJ$38,),"&gt;="&amp;$F96,OFFSET(Arb!$AI$2,Arb!$AJ$36+Arb!$AJ$37,,Arb!$AJ$38,),TRUE)</f>
        <v>0</v>
      </c>
      <c r="U96" s="11">
        <f t="shared" ca="1" si="63"/>
        <v>0</v>
      </c>
      <c r="V96" s="56" t="str">
        <f t="shared" ca="1" si="64"/>
        <v/>
      </c>
      <c r="W96" s="59" t="str">
        <f>ASB!$AL$67</f>
        <v>发财</v>
      </c>
      <c r="X96" s="1">
        <f ca="1">COUNTIFS(OFFSET(Arb!$C$2,Arb!$AJ$36+Arb!$AJ$37,,Arb!$AJ$38,),X$1,OFFSET(Arb!$AG$2,Arb!$AJ$36+Arb!$AJ$37,,Arb!$AJ$38,),"&lt;"&amp;$C96,OFFSET(Arb!$I$2,Arb!$AJ$36+Arb!$AJ$37,,Arb!$AJ$38,),"&gt;="&amp;$F96,OFFSET(Arb!$AI$2,Arb!$AJ$36+Arb!$AJ$37,,Arb!$AJ$38,),TRUE)</f>
        <v>0</v>
      </c>
      <c r="Y96" s="11">
        <f t="shared" ca="1" si="65"/>
        <v>0</v>
      </c>
      <c r="Z96" s="56" t="str">
        <f t="shared" ca="1" si="66"/>
        <v/>
      </c>
      <c r="AA96" s="59" t="str">
        <f>ASB!$AL$67</f>
        <v>发财</v>
      </c>
      <c r="AB96" s="1">
        <f ca="1">COUNTIFS(OFFSET(Arb!$C$2,Arb!$AJ$36+Arb!$AJ$37,,Arb!$AJ$38,),AB$1,OFFSET(Arb!$AG$2,Arb!$AJ$36+Arb!$AJ$37,,Arb!$AJ$38,),"&lt;"&amp;$C96,OFFSET(Arb!$I$2,Arb!$AJ$36+Arb!$AJ$37,,Arb!$AJ$38,),"&gt;="&amp;$F96,OFFSET(Arb!$AI$2,Arb!$AJ$36+Arb!$AJ$37,,Arb!$AJ$38,),TRUE)</f>
        <v>0</v>
      </c>
      <c r="AC96" s="11">
        <f t="shared" ca="1" si="67"/>
        <v>0</v>
      </c>
      <c r="AD96" s="56" t="str">
        <f t="shared" ca="1" si="68"/>
        <v/>
      </c>
      <c r="AE96" s="59" t="str">
        <f>ASB!$AL$67</f>
        <v>发财</v>
      </c>
      <c r="AF96" s="1"/>
      <c r="AI96" s="59"/>
      <c r="AM96" s="59"/>
    </row>
    <row r="97" spans="1:39" x14ac:dyDescent="0.25">
      <c r="A97" s="11">
        <v>500</v>
      </c>
      <c r="B97" s="11">
        <v>0</v>
      </c>
      <c r="C97" s="64">
        <f t="shared" ca="1" si="72"/>
        <v>9.1579157894736838</v>
      </c>
      <c r="D97" s="65">
        <f t="shared" ca="1" si="73"/>
        <v>47.5</v>
      </c>
      <c r="E97" s="52" t="s">
        <v>46</v>
      </c>
      <c r="F97" s="53">
        <v>100</v>
      </c>
      <c r="G97" s="54" t="s">
        <v>393</v>
      </c>
      <c r="H97" s="794">
        <f ca="1">COUNTIFS(OFFSET(Arb!$AG$2,Arb!$AJ$36+Arb!$AJ$37,,Arb!$AJ$38,),"&lt;"&amp;$C97,OFFSET(Arb!$I$2,Arb!$AJ$36+Arb!$AJ$37,,Arb!$AJ$38,),"&gt;="&amp;$F97,OFFSET(Arb!$AI$2,Arb!$AJ$36+Arb!$AJ$37,,Arb!$AJ$38,),TRUE)</f>
        <v>494</v>
      </c>
      <c r="I97" s="554">
        <f t="shared" ca="1" si="57"/>
        <v>1037</v>
      </c>
      <c r="J97" s="792">
        <f t="shared" ca="1" si="58"/>
        <v>0.47637415621986501</v>
      </c>
      <c r="K97" s="795" t="s">
        <v>763</v>
      </c>
      <c r="L97" s="543">
        <f ca="1">COUNTIFS(OFFSET(Arb!$C$2,Arb!$AJ$36+Arb!$AJ$37,,Arb!$AJ$38,),L$1,OFFSET(Arb!$AG$2,Arb!$AJ$36+Arb!$AJ$37,,Arb!$AJ$38,),"&lt;"&amp;$C97,OFFSET(Arb!$I$2,Arb!$AJ$36+Arb!$AJ$37,,Arb!$AJ$38,),"&gt;="&amp;$F97,OFFSET(Arb!$AI$2,Arb!$AJ$36+Arb!$AJ$37,,Arb!$AJ$38,),TRUE)</f>
        <v>448</v>
      </c>
      <c r="M97" s="554">
        <f t="shared" ca="1" si="70"/>
        <v>770</v>
      </c>
      <c r="N97" s="792">
        <f t="shared" ca="1" si="60"/>
        <v>0.58181818181818179</v>
      </c>
      <c r="O97" s="793" t="s">
        <v>763</v>
      </c>
      <c r="P97" s="551">
        <f ca="1">COUNTIFS(OFFSET(Arb!$C$2,Arb!$AJ$36+Arb!$AJ$37,,Arb!$AJ$38,),P$1,OFFSET(Arb!$AG$2,Arb!$AJ$36+Arb!$AJ$37,,Arb!$AJ$38,),"&lt;"&amp;$C97,OFFSET(Arb!$I$2,Arb!$AJ$36+Arb!$AJ$37,,Arb!$AJ$38,),"&gt;="&amp;$F97,OFFSET(Arb!$AI$2,Arb!$AJ$36+Arb!$AJ$37,,Arb!$AJ$38,),TRUE)</f>
        <v>46</v>
      </c>
      <c r="Q97" s="551">
        <f t="shared" ca="1" si="61"/>
        <v>267</v>
      </c>
      <c r="R97" s="341">
        <f t="shared" ca="1" si="62"/>
        <v>0.17228464419475656</v>
      </c>
      <c r="S97" s="790" t="s">
        <v>762</v>
      </c>
      <c r="T97" s="1">
        <f ca="1">COUNTIFS(OFFSET(Arb!$C$2,Arb!$AJ$36+Arb!$AJ$37,,Arb!$AJ$38,),T$1,OFFSET(Arb!$AG$2,Arb!$AJ$36+Arb!$AJ$37,,Arb!$AJ$38,),"&lt;"&amp;$C97,OFFSET(Arb!$I$2,Arb!$AJ$36+Arb!$AJ$37,,Arb!$AJ$38,),"&gt;="&amp;$F97,OFFSET(Arb!$AI$2,Arb!$AJ$36+Arb!$AJ$37,,Arb!$AJ$38,),TRUE)</f>
        <v>0</v>
      </c>
      <c r="U97" s="11">
        <f t="shared" ca="1" si="63"/>
        <v>0</v>
      </c>
      <c r="V97" s="56" t="str">
        <f t="shared" ca="1" si="64"/>
        <v/>
      </c>
      <c r="W97" s="59" t="str">
        <f>ASB!$AL$67</f>
        <v>发财</v>
      </c>
      <c r="X97" s="1">
        <f ca="1">COUNTIFS(OFFSET(Arb!$C$2,Arb!$AJ$36+Arb!$AJ$37,,Arb!$AJ$38,),X$1,OFFSET(Arb!$AG$2,Arb!$AJ$36+Arb!$AJ$37,,Arb!$AJ$38,),"&lt;"&amp;$C97,OFFSET(Arb!$I$2,Arb!$AJ$36+Arb!$AJ$37,,Arb!$AJ$38,),"&gt;="&amp;$F97,OFFSET(Arb!$AI$2,Arb!$AJ$36+Arb!$AJ$37,,Arb!$AJ$38,),TRUE)</f>
        <v>0</v>
      </c>
      <c r="Y97" s="11">
        <f t="shared" ca="1" si="65"/>
        <v>0</v>
      </c>
      <c r="Z97" s="56" t="str">
        <f t="shared" ca="1" si="66"/>
        <v/>
      </c>
      <c r="AA97" s="59" t="str">
        <f>ASB!$AL$67</f>
        <v>发财</v>
      </c>
      <c r="AB97" s="1">
        <f ca="1">COUNTIFS(OFFSET(Arb!$C$2,Arb!$AJ$36+Arb!$AJ$37,,Arb!$AJ$38,),AB$1,OFFSET(Arb!$AG$2,Arb!$AJ$36+Arb!$AJ$37,,Arb!$AJ$38,),"&lt;"&amp;$C97,OFFSET(Arb!$I$2,Arb!$AJ$36+Arb!$AJ$37,,Arb!$AJ$38,),"&gt;="&amp;$F97,OFFSET(Arb!$AI$2,Arb!$AJ$36+Arb!$AJ$37,,Arb!$AJ$38,),TRUE)</f>
        <v>0</v>
      </c>
      <c r="AC97" s="11">
        <f t="shared" ca="1" si="67"/>
        <v>0</v>
      </c>
      <c r="AD97" s="56" t="str">
        <f t="shared" ca="1" si="68"/>
        <v/>
      </c>
      <c r="AE97" s="59" t="str">
        <f>ASB!$AL$67</f>
        <v>发财</v>
      </c>
      <c r="AF97" s="1"/>
      <c r="AI97" s="59"/>
      <c r="AM97" s="59"/>
    </row>
    <row r="98" spans="1:39" x14ac:dyDescent="0.25">
      <c r="A98" s="11">
        <v>500</v>
      </c>
      <c r="B98" s="11">
        <v>0</v>
      </c>
      <c r="C98" s="64">
        <f t="shared" ca="1" si="72"/>
        <v>9.6666888888888884</v>
      </c>
      <c r="D98" s="65">
        <f t="shared" ca="1" si="73"/>
        <v>45</v>
      </c>
      <c r="E98" s="52" t="s">
        <v>46</v>
      </c>
      <c r="F98" s="53">
        <v>100</v>
      </c>
      <c r="G98" s="54" t="s">
        <v>393</v>
      </c>
      <c r="H98" s="794">
        <f ca="1">COUNTIFS(OFFSET(Arb!$AG$2,Arb!$AJ$36+Arb!$AJ$37,,Arb!$AJ$38,),"&lt;"&amp;$C98,OFFSET(Arb!$I$2,Arb!$AJ$36+Arb!$AJ$37,,Arb!$AJ$38,),"&gt;="&amp;$F98,OFFSET(Arb!$AI$2,Arb!$AJ$36+Arb!$AJ$37,,Arb!$AJ$38,),TRUE)</f>
        <v>659</v>
      </c>
      <c r="I98" s="554">
        <f t="shared" ca="1" si="57"/>
        <v>1037</v>
      </c>
      <c r="J98" s="792">
        <f t="shared" ca="1" si="58"/>
        <v>0.63548698167791706</v>
      </c>
      <c r="K98" s="795" t="s">
        <v>763</v>
      </c>
      <c r="L98" s="543">
        <f ca="1">COUNTIFS(OFFSET(Arb!$C$2,Arb!$AJ$36+Arb!$AJ$37,,Arb!$AJ$38,),L$1,OFFSET(Arb!$AG$2,Arb!$AJ$36+Arb!$AJ$37,,Arb!$AJ$38,),"&lt;"&amp;$C98,OFFSET(Arb!$I$2,Arb!$AJ$36+Arb!$AJ$37,,Arb!$AJ$38,),"&gt;="&amp;$F98,OFFSET(Arb!$AI$2,Arb!$AJ$36+Arb!$AJ$37,,Arb!$AJ$38,),TRUE)</f>
        <v>566</v>
      </c>
      <c r="M98" s="554">
        <f t="shared" ca="1" si="70"/>
        <v>770</v>
      </c>
      <c r="N98" s="792">
        <f t="shared" ca="1" si="60"/>
        <v>0.73506493506493509</v>
      </c>
      <c r="O98" s="793" t="s">
        <v>763</v>
      </c>
      <c r="P98" s="554">
        <f ca="1">COUNTIFS(OFFSET(Arb!$C$2,Arb!$AJ$36+Arb!$AJ$37,,Arb!$AJ$38,),P$1,OFFSET(Arb!$AG$2,Arb!$AJ$36+Arb!$AJ$37,,Arb!$AJ$38,),"&lt;"&amp;$C98,OFFSET(Arb!$I$2,Arb!$AJ$36+Arb!$AJ$37,,Arb!$AJ$38,),"&gt;="&amp;$F98,OFFSET(Arb!$AI$2,Arb!$AJ$36+Arb!$AJ$37,,Arb!$AJ$38,),TRUE)</f>
        <v>93</v>
      </c>
      <c r="Q98" s="554">
        <f t="shared" ca="1" si="61"/>
        <v>267</v>
      </c>
      <c r="R98" s="792">
        <f t="shared" ca="1" si="62"/>
        <v>0.34831460674157305</v>
      </c>
      <c r="S98" s="793" t="s">
        <v>763</v>
      </c>
      <c r="T98" s="1">
        <f ca="1">COUNTIFS(OFFSET(Arb!$C$2,Arb!$AJ$36+Arb!$AJ$37,,Arb!$AJ$38,),T$1,OFFSET(Arb!$AG$2,Arb!$AJ$36+Arb!$AJ$37,,Arb!$AJ$38,),"&lt;"&amp;$C98,OFFSET(Arb!$I$2,Arb!$AJ$36+Arb!$AJ$37,,Arb!$AJ$38,),"&gt;="&amp;$F98,OFFSET(Arb!$AI$2,Arb!$AJ$36+Arb!$AJ$37,,Arb!$AJ$38,),TRUE)</f>
        <v>0</v>
      </c>
      <c r="U98" s="11">
        <f t="shared" ca="1" si="63"/>
        <v>0</v>
      </c>
      <c r="V98" s="56" t="str">
        <f t="shared" ca="1" si="64"/>
        <v/>
      </c>
      <c r="W98" s="59" t="str">
        <f>ASB!$AL$67</f>
        <v>发财</v>
      </c>
      <c r="X98" s="1">
        <f ca="1">COUNTIFS(OFFSET(Arb!$C$2,Arb!$AJ$36+Arb!$AJ$37,,Arb!$AJ$38,),X$1,OFFSET(Arb!$AG$2,Arb!$AJ$36+Arb!$AJ$37,,Arb!$AJ$38,),"&lt;"&amp;$C98,OFFSET(Arb!$I$2,Arb!$AJ$36+Arb!$AJ$37,,Arb!$AJ$38,),"&gt;="&amp;$F98,OFFSET(Arb!$AI$2,Arb!$AJ$36+Arb!$AJ$37,,Arb!$AJ$38,),TRUE)</f>
        <v>0</v>
      </c>
      <c r="Y98" s="11">
        <f t="shared" ca="1" si="65"/>
        <v>0</v>
      </c>
      <c r="Z98" s="56" t="str">
        <f t="shared" ca="1" si="66"/>
        <v/>
      </c>
      <c r="AA98" s="59" t="str">
        <f>ASB!$AL$67</f>
        <v>发财</v>
      </c>
      <c r="AB98" s="1">
        <f ca="1">COUNTIFS(OFFSET(Arb!$C$2,Arb!$AJ$36+Arb!$AJ$37,,Arb!$AJ$38,),AB$1,OFFSET(Arb!$AG$2,Arb!$AJ$36+Arb!$AJ$37,,Arb!$AJ$38,),"&lt;"&amp;$C98,OFFSET(Arb!$I$2,Arb!$AJ$36+Arb!$AJ$37,,Arb!$AJ$38,),"&gt;="&amp;$F98,OFFSET(Arb!$AI$2,Arb!$AJ$36+Arb!$AJ$37,,Arb!$AJ$38,),TRUE)</f>
        <v>0</v>
      </c>
      <c r="AC98" s="11">
        <f t="shared" ca="1" si="67"/>
        <v>0</v>
      </c>
      <c r="AD98" s="56" t="str">
        <f t="shared" ca="1" si="68"/>
        <v/>
      </c>
      <c r="AE98" s="59" t="str">
        <f>ASB!$AL$67</f>
        <v>发财</v>
      </c>
      <c r="AF98" s="1"/>
      <c r="AI98" s="59"/>
      <c r="AM98" s="59"/>
    </row>
    <row r="99" spans="1:39" x14ac:dyDescent="0.25">
      <c r="A99" s="11">
        <v>500</v>
      </c>
      <c r="B99" s="11">
        <v>0</v>
      </c>
      <c r="C99" s="64">
        <f t="shared" ca="1" si="72"/>
        <v>10.235317647058823</v>
      </c>
      <c r="D99" s="65">
        <f t="shared" ca="1" si="73"/>
        <v>42.5</v>
      </c>
      <c r="E99" s="52" t="s">
        <v>46</v>
      </c>
      <c r="F99" s="53">
        <v>100</v>
      </c>
      <c r="G99" s="54" t="s">
        <v>393</v>
      </c>
      <c r="H99" s="794">
        <f ca="1">COUNTIFS(OFFSET(Arb!$AG$2,Arb!$AJ$36+Arb!$AJ$37,,Arb!$AJ$38,),"&lt;"&amp;$C99,OFFSET(Arb!$I$2,Arb!$AJ$36+Arb!$AJ$37,,Arb!$AJ$38,),"&gt;="&amp;$F99,OFFSET(Arb!$AI$2,Arb!$AJ$36+Arb!$AJ$37,,Arb!$AJ$38,),TRUE)</f>
        <v>792</v>
      </c>
      <c r="I99" s="554">
        <f t="shared" ca="1" si="57"/>
        <v>1037</v>
      </c>
      <c r="J99" s="792">
        <f t="shared" ca="1" si="58"/>
        <v>0.76374156219864997</v>
      </c>
      <c r="K99" s="795" t="s">
        <v>763</v>
      </c>
      <c r="L99" s="543">
        <f ca="1">COUNTIFS(OFFSET(Arb!$C$2,Arb!$AJ$36+Arb!$AJ$37,,Arb!$AJ$38,),L$1,OFFSET(Arb!$AG$2,Arb!$AJ$36+Arb!$AJ$37,,Arb!$AJ$38,),"&lt;"&amp;$C99,OFFSET(Arb!$I$2,Arb!$AJ$36+Arb!$AJ$37,,Arb!$AJ$38,),"&gt;="&amp;$F99,OFFSET(Arb!$AI$2,Arb!$AJ$36+Arb!$AJ$37,,Arb!$AJ$38,),TRUE)</f>
        <v>649</v>
      </c>
      <c r="M99" s="554">
        <f t="shared" ca="1" si="70"/>
        <v>770</v>
      </c>
      <c r="N99" s="792">
        <f t="shared" ca="1" si="60"/>
        <v>0.84285714285714286</v>
      </c>
      <c r="O99" s="793" t="s">
        <v>763</v>
      </c>
      <c r="P99" s="554">
        <f ca="1">COUNTIFS(OFFSET(Arb!$C$2,Arb!$AJ$36+Arb!$AJ$37,,Arb!$AJ$38,),P$1,OFFSET(Arb!$AG$2,Arb!$AJ$36+Arb!$AJ$37,,Arb!$AJ$38,),"&lt;"&amp;$C99,OFFSET(Arb!$I$2,Arb!$AJ$36+Arb!$AJ$37,,Arb!$AJ$38,),"&gt;="&amp;$F99,OFFSET(Arb!$AI$2,Arb!$AJ$36+Arb!$AJ$37,,Arb!$AJ$38,),TRUE)</f>
        <v>143</v>
      </c>
      <c r="Q99" s="554">
        <f t="shared" ca="1" si="61"/>
        <v>267</v>
      </c>
      <c r="R99" s="792">
        <f t="shared" ca="1" si="62"/>
        <v>0.53558052434456926</v>
      </c>
      <c r="S99" s="793" t="s">
        <v>763</v>
      </c>
      <c r="T99" s="1">
        <f ca="1">COUNTIFS(OFFSET(Arb!$C$2,Arb!$AJ$36+Arb!$AJ$37,,Arb!$AJ$38,),T$1,OFFSET(Arb!$AG$2,Arb!$AJ$36+Arb!$AJ$37,,Arb!$AJ$38,),"&lt;"&amp;$C99,OFFSET(Arb!$I$2,Arb!$AJ$36+Arb!$AJ$37,,Arb!$AJ$38,),"&gt;="&amp;$F99,OFFSET(Arb!$AI$2,Arb!$AJ$36+Arb!$AJ$37,,Arb!$AJ$38,),TRUE)</f>
        <v>0</v>
      </c>
      <c r="U99" s="11">
        <f t="shared" ca="1" si="63"/>
        <v>0</v>
      </c>
      <c r="V99" s="56" t="str">
        <f t="shared" ca="1" si="64"/>
        <v/>
      </c>
      <c r="W99" s="59" t="str">
        <f>ASB!$AL$67</f>
        <v>发财</v>
      </c>
      <c r="X99" s="1">
        <f ca="1">COUNTIFS(OFFSET(Arb!$C$2,Arb!$AJ$36+Arb!$AJ$37,,Arb!$AJ$38,),X$1,OFFSET(Arb!$AG$2,Arb!$AJ$36+Arb!$AJ$37,,Arb!$AJ$38,),"&lt;"&amp;$C99,OFFSET(Arb!$I$2,Arb!$AJ$36+Arb!$AJ$37,,Arb!$AJ$38,),"&gt;="&amp;$F99,OFFSET(Arb!$AI$2,Arb!$AJ$36+Arb!$AJ$37,,Arb!$AJ$38,),TRUE)</f>
        <v>0</v>
      </c>
      <c r="Y99" s="11">
        <f t="shared" ca="1" si="65"/>
        <v>0</v>
      </c>
      <c r="Z99" s="56" t="str">
        <f t="shared" ca="1" si="66"/>
        <v/>
      </c>
      <c r="AA99" s="59" t="str">
        <f>ASB!$AL$67</f>
        <v>发财</v>
      </c>
      <c r="AB99" s="1">
        <f ca="1">COUNTIFS(OFFSET(Arb!$C$2,Arb!$AJ$36+Arb!$AJ$37,,Arb!$AJ$38,),AB$1,OFFSET(Arb!$AG$2,Arb!$AJ$36+Arb!$AJ$37,,Arb!$AJ$38,),"&lt;"&amp;$C99,OFFSET(Arb!$I$2,Arb!$AJ$36+Arb!$AJ$37,,Arb!$AJ$38,),"&gt;="&amp;$F99,OFFSET(Arb!$AI$2,Arb!$AJ$36+Arb!$AJ$37,,Arb!$AJ$38,),TRUE)</f>
        <v>0</v>
      </c>
      <c r="AC99" s="11">
        <f t="shared" ca="1" si="67"/>
        <v>0</v>
      </c>
      <c r="AD99" s="56" t="str">
        <f t="shared" ca="1" si="68"/>
        <v/>
      </c>
      <c r="AE99" s="59" t="str">
        <f>ASB!$AL$67</f>
        <v>发财</v>
      </c>
      <c r="AF99" s="1"/>
      <c r="AI99" s="59"/>
      <c r="AM99" s="59"/>
    </row>
    <row r="100" spans="1:39" x14ac:dyDescent="0.25">
      <c r="A100" s="11">
        <v>500</v>
      </c>
      <c r="B100" s="11">
        <v>0</v>
      </c>
      <c r="C100" s="64">
        <f t="shared" ca="1" si="72"/>
        <v>10.875024999999999</v>
      </c>
      <c r="D100" s="65">
        <f t="shared" ca="1" si="73"/>
        <v>40</v>
      </c>
      <c r="E100" s="52" t="s">
        <v>46</v>
      </c>
      <c r="F100" s="53">
        <v>100</v>
      </c>
      <c r="G100" s="54" t="s">
        <v>393</v>
      </c>
      <c r="H100" s="794">
        <f ca="1">COUNTIFS(OFFSET(Arb!$AG$2,Arb!$AJ$36+Arb!$AJ$37,,Arb!$AJ$38,),"&lt;"&amp;$C100,OFFSET(Arb!$I$2,Arb!$AJ$36+Arb!$AJ$37,,Arb!$AJ$38,),"&gt;="&amp;$F100,OFFSET(Arb!$AI$2,Arb!$AJ$36+Arb!$AJ$37,,Arb!$AJ$38,),TRUE)</f>
        <v>901</v>
      </c>
      <c r="I100" s="554">
        <f t="shared" ca="1" si="57"/>
        <v>1037</v>
      </c>
      <c r="J100" s="792">
        <f t="shared" ca="1" si="58"/>
        <v>0.86885245901639341</v>
      </c>
      <c r="K100" s="795" t="s">
        <v>763</v>
      </c>
      <c r="L100" s="543">
        <f ca="1">COUNTIFS(OFFSET(Arb!$C$2,Arb!$AJ$36+Arb!$AJ$37,,Arb!$AJ$38,),L$1,OFFSET(Arb!$AG$2,Arb!$AJ$36+Arb!$AJ$37,,Arb!$AJ$38,),"&lt;"&amp;$C100,OFFSET(Arb!$I$2,Arb!$AJ$36+Arb!$AJ$37,,Arb!$AJ$38,),"&gt;="&amp;$F100,OFFSET(Arb!$AI$2,Arb!$AJ$36+Arb!$AJ$37,,Arb!$AJ$38,),TRUE)</f>
        <v>718</v>
      </c>
      <c r="M100" s="554">
        <f t="shared" ca="1" si="70"/>
        <v>770</v>
      </c>
      <c r="N100" s="792">
        <f t="shared" ca="1" si="60"/>
        <v>0.93246753246753245</v>
      </c>
      <c r="O100" s="793" t="s">
        <v>763</v>
      </c>
      <c r="P100" s="554">
        <f ca="1">COUNTIFS(OFFSET(Arb!$C$2,Arb!$AJ$36+Arb!$AJ$37,,Arb!$AJ$38,),P$1,OFFSET(Arb!$AG$2,Arb!$AJ$36+Arb!$AJ$37,,Arb!$AJ$38,),"&lt;"&amp;$C100,OFFSET(Arb!$I$2,Arb!$AJ$36+Arb!$AJ$37,,Arb!$AJ$38,),"&gt;="&amp;$F100,OFFSET(Arb!$AI$2,Arb!$AJ$36+Arb!$AJ$37,,Arb!$AJ$38,),TRUE)</f>
        <v>183</v>
      </c>
      <c r="Q100" s="554">
        <f t="shared" ca="1" si="61"/>
        <v>267</v>
      </c>
      <c r="R100" s="792">
        <f t="shared" ca="1" si="62"/>
        <v>0.6853932584269663</v>
      </c>
      <c r="S100" s="793" t="s">
        <v>763</v>
      </c>
      <c r="T100" s="1">
        <f ca="1">COUNTIFS(OFFSET(Arb!$C$2,Arb!$AJ$36+Arb!$AJ$37,,Arb!$AJ$38,),T$1,OFFSET(Arb!$AG$2,Arb!$AJ$36+Arb!$AJ$37,,Arb!$AJ$38,),"&lt;"&amp;$C100,OFFSET(Arb!$I$2,Arb!$AJ$36+Arb!$AJ$37,,Arb!$AJ$38,),"&gt;="&amp;$F100,OFFSET(Arb!$AI$2,Arb!$AJ$36+Arb!$AJ$37,,Arb!$AJ$38,),TRUE)</f>
        <v>0</v>
      </c>
      <c r="U100" s="11">
        <f t="shared" ca="1" si="63"/>
        <v>0</v>
      </c>
      <c r="V100" s="56" t="str">
        <f t="shared" ca="1" si="64"/>
        <v/>
      </c>
      <c r="W100" s="59" t="str">
        <f>ASB!$AL$67</f>
        <v>发财</v>
      </c>
      <c r="X100" s="1">
        <f ca="1">COUNTIFS(OFFSET(Arb!$C$2,Arb!$AJ$36+Arb!$AJ$37,,Arb!$AJ$38,),X$1,OFFSET(Arb!$AG$2,Arb!$AJ$36+Arb!$AJ$37,,Arb!$AJ$38,),"&lt;"&amp;$C100,OFFSET(Arb!$I$2,Arb!$AJ$36+Arb!$AJ$37,,Arb!$AJ$38,),"&gt;="&amp;$F100,OFFSET(Arb!$AI$2,Arb!$AJ$36+Arb!$AJ$37,,Arb!$AJ$38,),TRUE)</f>
        <v>0</v>
      </c>
      <c r="Y100" s="11">
        <f t="shared" ca="1" si="65"/>
        <v>0</v>
      </c>
      <c r="Z100" s="56" t="str">
        <f t="shared" ca="1" si="66"/>
        <v/>
      </c>
      <c r="AA100" s="59" t="str">
        <f>ASB!$AL$67</f>
        <v>发财</v>
      </c>
      <c r="AB100" s="1">
        <f ca="1">COUNTIFS(OFFSET(Arb!$C$2,Arb!$AJ$36+Arb!$AJ$37,,Arb!$AJ$38,),AB$1,OFFSET(Arb!$AG$2,Arb!$AJ$36+Arb!$AJ$37,,Arb!$AJ$38,),"&lt;"&amp;$C100,OFFSET(Arb!$I$2,Arb!$AJ$36+Arb!$AJ$37,,Arb!$AJ$38,),"&gt;="&amp;$F100,OFFSET(Arb!$AI$2,Arb!$AJ$36+Arb!$AJ$37,,Arb!$AJ$38,),TRUE)</f>
        <v>0</v>
      </c>
      <c r="AC100" s="11">
        <f t="shared" ca="1" si="67"/>
        <v>0</v>
      </c>
      <c r="AD100" s="56" t="str">
        <f t="shared" ca="1" si="68"/>
        <v/>
      </c>
      <c r="AE100" s="59" t="str">
        <f>ASB!$AL$67</f>
        <v>发财</v>
      </c>
      <c r="AF100" s="1"/>
      <c r="AI100" s="59"/>
      <c r="AM100" s="59"/>
    </row>
    <row r="101" spans="1:39" ht="13.8" thickBot="1" x14ac:dyDescent="0.3">
      <c r="A101" s="11">
        <v>500</v>
      </c>
      <c r="B101" s="11">
        <v>0</v>
      </c>
      <c r="C101" s="64">
        <f t="shared" ca="1" si="72"/>
        <v>11.600026666666666</v>
      </c>
      <c r="D101" s="65">
        <f t="shared" ca="1" si="73"/>
        <v>37.5</v>
      </c>
      <c r="E101" s="52" t="s">
        <v>46</v>
      </c>
      <c r="F101" s="53">
        <v>100</v>
      </c>
      <c r="G101" s="54" t="s">
        <v>393</v>
      </c>
      <c r="H101" s="796">
        <f ca="1">COUNTIFS(OFFSET(Arb!$AG$2,Arb!$AJ$36+Arb!$AJ$37,,Arb!$AJ$38,),"&lt;"&amp;$C101,OFFSET(Arb!$I$2,Arb!$AJ$36+Arb!$AJ$37,,Arb!$AJ$38,),"&gt;="&amp;$F101,OFFSET(Arb!$AI$2,Arb!$AJ$36+Arb!$AJ$37,,Arb!$AJ$38,),TRUE)</f>
        <v>962</v>
      </c>
      <c r="I101" s="797">
        <f t="shared" ca="1" si="57"/>
        <v>1037</v>
      </c>
      <c r="J101" s="798">
        <f t="shared" ca="1" si="58"/>
        <v>0.92767598842815813</v>
      </c>
      <c r="K101" s="799" t="s">
        <v>763</v>
      </c>
      <c r="L101" s="543">
        <f ca="1">COUNTIFS(OFFSET(Arb!$C$2,Arb!$AJ$36+Arb!$AJ$37,,Arb!$AJ$38,),L$1,OFFSET(Arb!$AG$2,Arb!$AJ$36+Arb!$AJ$37,,Arb!$AJ$38,),"&lt;"&amp;$C101,OFFSET(Arb!$I$2,Arb!$AJ$36+Arb!$AJ$37,,Arb!$AJ$38,),"&gt;="&amp;$F101,OFFSET(Arb!$AI$2,Arb!$AJ$36+Arb!$AJ$37,,Arb!$AJ$38,),TRUE)</f>
        <v>741</v>
      </c>
      <c r="M101" s="554">
        <f t="shared" ca="1" si="70"/>
        <v>770</v>
      </c>
      <c r="N101" s="792">
        <f t="shared" ca="1" si="60"/>
        <v>0.96233766233766238</v>
      </c>
      <c r="O101" s="793" t="s">
        <v>763</v>
      </c>
      <c r="P101" s="554">
        <f ca="1">COUNTIFS(OFFSET(Arb!$C$2,Arb!$AJ$36+Arb!$AJ$37,,Arb!$AJ$38,),P$1,OFFSET(Arb!$AG$2,Arb!$AJ$36+Arb!$AJ$37,,Arb!$AJ$38,),"&lt;"&amp;$C101,OFFSET(Arb!$I$2,Arb!$AJ$36+Arb!$AJ$37,,Arb!$AJ$38,),"&gt;="&amp;$F101,OFFSET(Arb!$AI$2,Arb!$AJ$36+Arb!$AJ$37,,Arb!$AJ$38,),TRUE)</f>
        <v>221</v>
      </c>
      <c r="Q101" s="554">
        <f t="shared" ca="1" si="61"/>
        <v>267</v>
      </c>
      <c r="R101" s="792">
        <f t="shared" ca="1" si="62"/>
        <v>0.82771535580524347</v>
      </c>
      <c r="S101" s="793" t="s">
        <v>763</v>
      </c>
      <c r="T101" s="1">
        <f ca="1">COUNTIFS(OFFSET(Arb!$C$2,Arb!$AJ$36+Arb!$AJ$37,,Arb!$AJ$38,),T$1,OFFSET(Arb!$AG$2,Arb!$AJ$36+Arb!$AJ$37,,Arb!$AJ$38,),"&lt;"&amp;$C101,OFFSET(Arb!$I$2,Arb!$AJ$36+Arb!$AJ$37,,Arb!$AJ$38,),"&gt;="&amp;$F101,OFFSET(Arb!$AI$2,Arb!$AJ$36+Arb!$AJ$37,,Arb!$AJ$38,),TRUE)</f>
        <v>0</v>
      </c>
      <c r="U101" s="11">
        <f t="shared" ca="1" si="63"/>
        <v>0</v>
      </c>
      <c r="V101" s="56" t="str">
        <f t="shared" ca="1" si="64"/>
        <v/>
      </c>
      <c r="W101" s="59" t="str">
        <f>ASB!$AL$67</f>
        <v>发财</v>
      </c>
      <c r="X101" s="1">
        <f ca="1">COUNTIFS(OFFSET(Arb!$C$2,Arb!$AJ$36+Arb!$AJ$37,,Arb!$AJ$38,),X$1,OFFSET(Arb!$AG$2,Arb!$AJ$36+Arb!$AJ$37,,Arb!$AJ$38,),"&lt;"&amp;$C101,OFFSET(Arb!$I$2,Arb!$AJ$36+Arb!$AJ$37,,Arb!$AJ$38,),"&gt;="&amp;$F101,OFFSET(Arb!$AI$2,Arb!$AJ$36+Arb!$AJ$37,,Arb!$AJ$38,),TRUE)</f>
        <v>0</v>
      </c>
      <c r="Y101" s="11">
        <f t="shared" ca="1" si="65"/>
        <v>0</v>
      </c>
      <c r="Z101" s="56" t="str">
        <f t="shared" ca="1" si="66"/>
        <v/>
      </c>
      <c r="AA101" s="59" t="str">
        <f>ASB!$AL$67</f>
        <v>发财</v>
      </c>
      <c r="AB101" s="1">
        <f ca="1">COUNTIFS(OFFSET(Arb!$C$2,Arb!$AJ$36+Arb!$AJ$37,,Arb!$AJ$38,),AB$1,OFFSET(Arb!$AG$2,Arb!$AJ$36+Arb!$AJ$37,,Arb!$AJ$38,),"&lt;"&amp;$C101,OFFSET(Arb!$I$2,Arb!$AJ$36+Arb!$AJ$37,,Arb!$AJ$38,),"&gt;="&amp;$F101,OFFSET(Arb!$AI$2,Arb!$AJ$36+Arb!$AJ$37,,Arb!$AJ$38,),TRUE)</f>
        <v>0</v>
      </c>
      <c r="AC101" s="11">
        <f t="shared" ca="1" si="67"/>
        <v>0</v>
      </c>
      <c r="AD101" s="56" t="str">
        <f t="shared" ca="1" si="68"/>
        <v/>
      </c>
      <c r="AE101" s="59" t="str">
        <f>ASB!$AL$67</f>
        <v>发财</v>
      </c>
      <c r="AF101" s="1"/>
      <c r="AI101" s="59"/>
      <c r="AM101" s="59"/>
    </row>
    <row r="102" spans="1:39" x14ac:dyDescent="0.25">
      <c r="H102" s="69"/>
      <c r="I102" s="70"/>
      <c r="J102" s="71"/>
      <c r="K102" s="70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F0"/>
  </sheetPr>
  <dimension ref="A1:AD201"/>
  <sheetViews>
    <sheetView workbookViewId="0">
      <pane ySplit="1" topLeftCell="A2" activePane="bottomLeft" state="frozen"/>
      <selection pane="bottomLeft" activeCell="P7" sqref="P7"/>
    </sheetView>
  </sheetViews>
  <sheetFormatPr defaultColWidth="9" defaultRowHeight="13.2" x14ac:dyDescent="0.25"/>
  <cols>
    <col min="1" max="1" width="5.33203125" style="11" bestFit="1" customWidth="1"/>
    <col min="2" max="2" width="6.44140625" style="11" hidden="1" customWidth="1"/>
    <col min="3" max="3" width="3.5546875" style="433" bestFit="1" customWidth="1"/>
    <col min="4" max="4" width="5.6640625" style="34" bestFit="1" customWidth="1"/>
    <col min="5" max="8" width="6.6640625" style="33" bestFit="1" customWidth="1"/>
    <col min="9" max="9" width="5.6640625" style="21" bestFit="1" customWidth="1"/>
    <col min="10" max="10" width="8.6640625" style="74" bestFit="1" customWidth="1"/>
    <col min="11" max="11" width="5.33203125" style="11" bestFit="1" customWidth="1"/>
    <col min="12" max="12" width="6.44140625" style="11" hidden="1" customWidth="1"/>
    <col min="13" max="13" width="3.5546875" style="433" bestFit="1" customWidth="1"/>
    <col min="14" max="14" width="6.6640625" style="34" bestFit="1" customWidth="1"/>
    <col min="15" max="18" width="6.6640625" style="33" bestFit="1" customWidth="1"/>
    <col min="19" max="19" width="5.6640625" style="21" bestFit="1" customWidth="1"/>
    <col min="20" max="20" width="8.6640625" style="74" bestFit="1" customWidth="1"/>
    <col min="21" max="21" width="5.33203125" style="11" bestFit="1" customWidth="1"/>
    <col min="22" max="22" width="6.44140625" style="11" hidden="1" customWidth="1"/>
    <col min="23" max="23" width="4.5546875" style="433" bestFit="1" customWidth="1"/>
    <col min="24" max="24" width="6.6640625" style="34" bestFit="1" customWidth="1"/>
    <col min="25" max="27" width="6.6640625" style="33" bestFit="1" customWidth="1"/>
    <col min="28" max="28" width="7.6640625" style="33" bestFit="1" customWidth="1"/>
    <col min="29" max="29" width="5.6640625" style="21" bestFit="1" customWidth="1"/>
    <col min="30" max="30" width="8.6640625" style="74" bestFit="1" customWidth="1"/>
    <col min="31" max="16384" width="9" style="19"/>
  </cols>
  <sheetData>
    <row r="1" spans="1:30" x14ac:dyDescent="0.25">
      <c r="A1" s="24" t="str">
        <f>IF(Arb!$AJ$28=1,"R","排位")</f>
        <v>排位</v>
      </c>
      <c r="B1" s="24" t="s">
        <v>7</v>
      </c>
      <c r="C1" s="433" t="s">
        <v>288</v>
      </c>
      <c r="D1" s="38" t="s">
        <v>9</v>
      </c>
      <c r="E1" s="64" t="s">
        <v>2</v>
      </c>
      <c r="F1" s="64" t="s">
        <v>34</v>
      </c>
      <c r="G1" s="64" t="s">
        <v>33</v>
      </c>
      <c r="H1" s="64" t="s">
        <v>10</v>
      </c>
      <c r="I1" s="18" t="s">
        <v>289</v>
      </c>
      <c r="J1" s="73" t="str">
        <f>IF(Arb!$AJ$28=1,"Date","日期")</f>
        <v>日期</v>
      </c>
      <c r="K1" s="24" t="str">
        <f>A1</f>
        <v>排位</v>
      </c>
      <c r="L1" s="24" t="s">
        <v>7</v>
      </c>
      <c r="M1" s="433" t="s">
        <v>288</v>
      </c>
      <c r="N1" s="38" t="s">
        <v>63</v>
      </c>
      <c r="O1" s="64" t="s">
        <v>2</v>
      </c>
      <c r="P1" s="64" t="s">
        <v>34</v>
      </c>
      <c r="Q1" s="64" t="s">
        <v>33</v>
      </c>
      <c r="R1" s="64" t="s">
        <v>0</v>
      </c>
      <c r="S1" s="18" t="s">
        <v>289</v>
      </c>
      <c r="T1" s="73" t="str">
        <f>IF(Arb!$AJ$28=1,"Date","日期")</f>
        <v>日期</v>
      </c>
      <c r="U1" s="24" t="str">
        <f>A1</f>
        <v>排位</v>
      </c>
      <c r="V1" s="24" t="s">
        <v>7</v>
      </c>
      <c r="W1" s="433" t="s">
        <v>288</v>
      </c>
      <c r="X1" s="38" t="s">
        <v>63</v>
      </c>
      <c r="Y1" s="64" t="s">
        <v>2</v>
      </c>
      <c r="Z1" s="64" t="s">
        <v>34</v>
      </c>
      <c r="AA1" s="64" t="s">
        <v>33</v>
      </c>
      <c r="AB1" s="64" t="s">
        <v>0</v>
      </c>
      <c r="AC1" s="18" t="s">
        <v>289</v>
      </c>
      <c r="AD1" s="73" t="str">
        <f>IF(Arb!$AJ$28=1,"Date","日期")</f>
        <v>日期</v>
      </c>
    </row>
    <row r="2" spans="1:30" x14ac:dyDescent="0.25">
      <c r="A2" s="11">
        <v>1</v>
      </c>
      <c r="B2" s="11">
        <v>1278</v>
      </c>
      <c r="C2" s="433">
        <f ca="1">IF(B2="",16,INDEX(OFFSET(Arb!$I$2,,,Arb!$AJ$5,),B2))</f>
        <v>10</v>
      </c>
      <c r="D2" s="686">
        <f ca="1">IF(B2="",10,INDEX(OFFSET(Arb!$H$2,,,Arb!$AJ$5,),B2))</f>
        <v>3</v>
      </c>
      <c r="E2" s="724">
        <f ca="1">C2/D2</f>
        <v>3.3333333333333335</v>
      </c>
      <c r="F2" s="563">
        <f ca="1">IF(B2="","",INDEX(OFFSET(Arb!$X$2,,,Arb!$AJ$5,),B2)/D2)</f>
        <v>4</v>
      </c>
      <c r="G2" s="564">
        <f ca="1">IF(B2="","",(INDEX(OFFSET(Arb!$U$2,,,Arb!$AJ$5,),B2)+INDEX(OFFSET(Arb!$V$2,,,Arb!$AJ$5,),B2))/D2)</f>
        <v>4.666666666666667</v>
      </c>
      <c r="H2" s="33">
        <f ca="1">D2^1.7/C2</f>
        <v>0.647300783992378</v>
      </c>
      <c r="I2" s="773">
        <f ca="1">47.299/H2</f>
        <v>73.071130407524649</v>
      </c>
      <c r="J2" s="74">
        <f ca="1">IF(B2="","",DATE(INDEX(OFFSET(Arb!$C$2,,,Arb!$AJ$5,),B2),INDEX(OFFSET(Arb!$B$2,,,Arb!$AJ$5,),B2),INDEX(OFFSET(Arb!$A$2,,,Arb!$AJ$5,),B2))+ROW()*0.001)</f>
        <v>43906.002</v>
      </c>
      <c r="K2" s="11">
        <v>1</v>
      </c>
      <c r="L2" s="11">
        <v>2409</v>
      </c>
      <c r="M2" s="433">
        <f ca="1">IF(L2="",64,INDEX(OFFSET(Arb!$I$2,,,Arb!$AJ$5,),L2))</f>
        <v>30</v>
      </c>
      <c r="N2" s="560">
        <f ca="1">IF(L2="",60,INDEX(OFFSET(Arb!$H$2,,,Arb!$AJ$5,),L2))</f>
        <v>13.41</v>
      </c>
      <c r="O2" s="768">
        <f ca="1">M2/N2</f>
        <v>2.2371364653243848</v>
      </c>
      <c r="P2" s="769">
        <f ca="1">IF(L2="","",INDEX(OFFSET(Arb!$X$2,,,Arb!$AJ$5,),L2)/N2)</f>
        <v>2.4608501118568231</v>
      </c>
      <c r="Q2" s="725">
        <f ca="1">IF(L2="","",(INDEX(OFFSET(Arb!$U$2,,,Arb!$AJ$5,),L2)+INDEX(OFFSET(Arb!$V$2,,,Arb!$AJ$5,),L2))/N2)</f>
        <v>2.9082774049217002</v>
      </c>
      <c r="R2" s="33">
        <f ca="1">N2^1.7/M2</f>
        <v>2.7511081763835135</v>
      </c>
      <c r="S2" s="774">
        <f ca="1">153.73/R2</f>
        <v>55.879300319657631</v>
      </c>
      <c r="T2" s="74">
        <f ca="1">IF(L2="","",DATE(INDEX(OFFSET(Arb!$C$2,,,Arb!$AJ$5,),L2),INDEX(OFFSET(Arb!$B$2,,,Arb!$AJ$5,),L2),INDEX(OFFSET(Arb!$A$2,,,Arb!$AJ$5,),L2))+ROW()*0.001)</f>
        <v>44168.002</v>
      </c>
      <c r="U2" s="11">
        <v>1</v>
      </c>
      <c r="V2" s="11">
        <v>3449</v>
      </c>
      <c r="W2" s="433">
        <f ca="1">IF(V2="",164,INDEX(OFFSET(Arb!$I$2,,,Arb!$AJ$5,),V2))</f>
        <v>125</v>
      </c>
      <c r="X2" s="559">
        <f ca="1">IF(V2="",240,INDEX(OFFSET(Arb!$H$2,,,Arb!$AJ$5,),V2))</f>
        <v>57.36</v>
      </c>
      <c r="Y2" s="768">
        <f ca="1">W2/X2</f>
        <v>2.179218967921897</v>
      </c>
      <c r="Z2" s="769">
        <f ca="1">IF(V2="","",INDEX(OFFSET(Arb!$X$2,,,Arb!$AJ$5,),V2)/X2)</f>
        <v>2.4232914923291493</v>
      </c>
      <c r="AA2" s="726">
        <f ca="1">IF(V2="","",(INDEX(OFFSET(Arb!$U$2,,,Arb!$AJ$5,),V2)+INDEX(OFFSET(Arb!$V$2,,,Arb!$AJ$5,),V2))/X2)</f>
        <v>2.6847977684797768</v>
      </c>
      <c r="AB2" s="33">
        <f ca="1">X2^1.7/W2</f>
        <v>7.8113397840535139</v>
      </c>
      <c r="AC2" s="774">
        <f ca="1">435.001/AB2</f>
        <v>55.688398152649079</v>
      </c>
      <c r="AD2" s="74">
        <f ca="1">IF(V2="","",DATE(INDEX(OFFSET(Arb!$C$2,,,Arb!$AJ$5,),V2),INDEX(OFFSET(Arb!$B$2,,,Arb!$AJ$5,),V2),INDEX(OFFSET(Arb!$A$2,,,Arb!$AJ$5,),V2))+ROW()*0.001)</f>
        <v>44177.002</v>
      </c>
    </row>
    <row r="3" spans="1:30" x14ac:dyDescent="0.25">
      <c r="A3" s="11">
        <v>2</v>
      </c>
      <c r="B3" s="11">
        <v>1465</v>
      </c>
      <c r="C3" s="433">
        <f ca="1">IF(B3="",16,INDEX(OFFSET(Arb!$I$2,,,Arb!$AJ$5,),B3))</f>
        <v>11</v>
      </c>
      <c r="D3" s="686">
        <f ca="1">IF(B3="",10,INDEX(OFFSET(Arb!$H$2,,,Arb!$AJ$5,),B3))</f>
        <v>3.13</v>
      </c>
      <c r="E3" s="562">
        <f t="shared" ref="E3:E66" ca="1" si="0">C3/D3</f>
        <v>3.5143769968051117</v>
      </c>
      <c r="F3" s="723">
        <f ca="1">IF(B3="","",INDEX(OFFSET(Arb!$X$2,,,Arb!$AJ$5,),B3)/D3)</f>
        <v>3.8338658146964857</v>
      </c>
      <c r="G3" s="722">
        <f ca="1">IF(B3="","",(INDEX(OFFSET(Arb!$U$2,,,Arb!$AJ$5,),B3)+INDEX(OFFSET(Arb!$V$2,,,Arb!$AJ$5,),B3))/D3)</f>
        <v>4.4728434504792336</v>
      </c>
      <c r="H3" s="33">
        <f t="shared" ref="H3:H66" ca="1" si="1">D3^1.7/C3</f>
        <v>0.63245945382493141</v>
      </c>
      <c r="I3" s="773">
        <f t="shared" ref="I3:I66" ca="1" si="2">47.299/H3</f>
        <v>74.785821785016196</v>
      </c>
      <c r="J3" s="74">
        <f ca="1">IF(B3="","",DATE(INDEX(OFFSET(Arb!$C$2,,,Arb!$AJ$5,),B3),INDEX(OFFSET(Arb!$B$2,,,Arb!$AJ$5,),B3),INDEX(OFFSET(Arb!$A$2,,,Arb!$AJ$5,),B3))+ROW()*0.001)</f>
        <v>43952.002999999997</v>
      </c>
      <c r="K3" s="11">
        <v>2</v>
      </c>
      <c r="L3" s="11">
        <v>2298</v>
      </c>
      <c r="M3" s="433">
        <f ca="1">IF(L3="",64,INDEX(OFFSET(Arb!$I$2,,,Arb!$AJ$5,),L3))</f>
        <v>37</v>
      </c>
      <c r="N3" s="683">
        <f ca="1">IF(L3="",60,INDEX(OFFSET(Arb!$H$2,,,Arb!$AJ$5,),L3))</f>
        <v>14.12</v>
      </c>
      <c r="O3" s="726">
        <f t="shared" ref="O3:O66" ca="1" si="3">M3/N3</f>
        <v>2.6203966005665724</v>
      </c>
      <c r="P3" s="724">
        <f ca="1">IF(L3="","",INDEX(OFFSET(Arb!$X$2,,,Arb!$AJ$5,),L3)/N3)</f>
        <v>3.3286118980169972</v>
      </c>
      <c r="Q3" s="562">
        <f ca="1">IF(L3="","",(INDEX(OFFSET(Arb!$U$2,,,Arb!$AJ$5,),L3)+INDEX(OFFSET(Arb!$V$2,,,Arb!$AJ$5,),L3))/N3)</f>
        <v>3.6827195467422098</v>
      </c>
      <c r="R3" s="33">
        <f t="shared" ref="R3:R66" ca="1" si="4">N3^1.7/M3</f>
        <v>2.4351025773436783</v>
      </c>
      <c r="S3" s="775">
        <f t="shared" ref="S3:S66" ca="1" si="5">153.73/R3</f>
        <v>63.130810763502097</v>
      </c>
      <c r="T3" s="74">
        <f ca="1">IF(L3="","",DATE(INDEX(OFFSET(Arb!$C$2,,,Arb!$AJ$5,),L3),INDEX(OFFSET(Arb!$B$2,,,Arb!$AJ$5,),L3),INDEX(OFFSET(Arb!$A$2,,,Arb!$AJ$5,),L3))+ROW()*0.001)</f>
        <v>43937.002999999997</v>
      </c>
      <c r="U3" s="11">
        <v>2</v>
      </c>
      <c r="V3" s="11">
        <v>3358</v>
      </c>
      <c r="W3" s="433">
        <f ca="1">IF(V3="",164,INDEX(OFFSET(Arb!$I$2,,,Arb!$AJ$5,),V3))</f>
        <v>141</v>
      </c>
      <c r="X3" s="559">
        <f ca="1">IF(V3="",240,INDEX(OFFSET(Arb!$H$2,,,Arb!$AJ$5,),V3))</f>
        <v>58.3</v>
      </c>
      <c r="Y3" s="769">
        <f t="shared" ref="Y3:Y66" ca="1" si="6">W3/X3</f>
        <v>2.4185248713550602</v>
      </c>
      <c r="Z3" s="725">
        <f ca="1">IF(V3="","",INDEX(OFFSET(Arb!$X$2,,,Arb!$AJ$5,),V3)/X3)</f>
        <v>2.8301886792452833</v>
      </c>
      <c r="AA3" s="561">
        <f ca="1">IF(V3="","",(INDEX(OFFSET(Arb!$U$2,,,Arb!$AJ$5,),V3)+INDEX(OFFSET(Arb!$V$2,,,Arb!$AJ$5,),V3))/X3)</f>
        <v>3.1560891938250428</v>
      </c>
      <c r="AB3" s="33">
        <f t="shared" ref="AB3:AB66" ca="1" si="7">X3^1.7/W3</f>
        <v>7.1189743873509741</v>
      </c>
      <c r="AC3" s="776">
        <f t="shared" ref="AC3:AC66" ca="1" si="8">435.001/AB3</f>
        <v>61.104447962744707</v>
      </c>
      <c r="AD3" s="74">
        <f ca="1">IF(V3="","",DATE(INDEX(OFFSET(Arb!$C$2,,,Arb!$AJ$5,),V3),INDEX(OFFSET(Arb!$B$2,,,Arb!$AJ$5,),V3),INDEX(OFFSET(Arb!$A$2,,,Arb!$AJ$5,),V3))+ROW()*0.001)</f>
        <v>44099.002999999997</v>
      </c>
    </row>
    <row r="4" spans="1:30" x14ac:dyDescent="0.25">
      <c r="A4" s="11">
        <v>3</v>
      </c>
      <c r="B4" s="11">
        <v>1215</v>
      </c>
      <c r="C4" s="433">
        <f ca="1">IF(B4="",16,INDEX(OFFSET(Arb!$I$2,,,Arb!$AJ$5,),B4))</f>
        <v>12</v>
      </c>
      <c r="D4" s="686">
        <f ca="1">IF(B4="",10,INDEX(OFFSET(Arb!$H$2,,,Arb!$AJ$5,),B4))</f>
        <v>3.13</v>
      </c>
      <c r="E4" s="723">
        <f t="shared" ca="1" si="0"/>
        <v>3.8338658146964857</v>
      </c>
      <c r="F4" s="563">
        <f ca="1">IF(B4="","",INDEX(OFFSET(Arb!$X$2,,,Arb!$AJ$5,),B4)/D4)</f>
        <v>4.1533546325878596</v>
      </c>
      <c r="G4" s="563">
        <f ca="1">IF(B4="","",(INDEX(OFFSET(Arb!$U$2,,,Arb!$AJ$5,),B4)+INDEX(OFFSET(Arb!$V$2,,,Arb!$AJ$5,),B4))/D4)</f>
        <v>4.1533546325878596</v>
      </c>
      <c r="H4" s="33">
        <f t="shared" ca="1" si="1"/>
        <v>0.57975449933952039</v>
      </c>
      <c r="I4" s="761">
        <f t="shared" ca="1" si="2"/>
        <v>81.584532856381315</v>
      </c>
      <c r="J4" s="74">
        <f ca="1">IF(B4="","",DATE(INDEX(OFFSET(Arb!$C$2,,,Arb!$AJ$5,),B4),INDEX(OFFSET(Arb!$B$2,,,Arb!$AJ$5,),B4),INDEX(OFFSET(Arb!$A$2,,,Arb!$AJ$5,),B4))+ROW()*0.001)</f>
        <v>43896.004000000001</v>
      </c>
      <c r="K4" s="11">
        <v>3</v>
      </c>
      <c r="L4" s="11">
        <v>2311</v>
      </c>
      <c r="M4" s="433">
        <f ca="1">IF(L4="",64,INDEX(OFFSET(Arb!$I$2,,,Arb!$AJ$5,),L4))</f>
        <v>35</v>
      </c>
      <c r="N4" s="684">
        <f ca="1">IF(L4="",60,INDEX(OFFSET(Arb!$H$2,,,Arb!$AJ$5,),L4))</f>
        <v>16.059999999999999</v>
      </c>
      <c r="O4" s="768">
        <f t="shared" ca="1" si="3"/>
        <v>2.1793275217932755</v>
      </c>
      <c r="P4" s="561">
        <f ca="1">IF(L4="","",INDEX(OFFSET(Arb!$X$2,,,Arb!$AJ$5,),L4)/N4)</f>
        <v>3.1133250311332508</v>
      </c>
      <c r="Q4" s="562">
        <f ca="1">IF(L4="","",(INDEX(OFFSET(Arb!$U$2,,,Arb!$AJ$5,),L4)+INDEX(OFFSET(Arb!$V$2,,,Arb!$AJ$5,),L4))/N4)</f>
        <v>3.5491905354919058</v>
      </c>
      <c r="R4" s="33">
        <f t="shared" ca="1" si="4"/>
        <v>3.2040506677713521</v>
      </c>
      <c r="S4" s="777">
        <f t="shared" ca="1" si="5"/>
        <v>47.97989043878956</v>
      </c>
      <c r="T4" s="74">
        <f ca="1">IF(L4="","",DATE(INDEX(OFFSET(Arb!$C$2,,,Arb!$AJ$5,),L4),INDEX(OFFSET(Arb!$B$2,,,Arb!$AJ$5,),L4),INDEX(OFFSET(Arb!$A$2,,,Arb!$AJ$5,),L4))+ROW()*0.001)</f>
        <v>43952.004000000001</v>
      </c>
      <c r="U4" s="11">
        <v>3</v>
      </c>
      <c r="V4" s="11">
        <v>3356</v>
      </c>
      <c r="W4" s="433">
        <f ca="1">IF(V4="",164,INDEX(OFFSET(Arb!$I$2,,,Arb!$AJ$5,),V4))</f>
        <v>142</v>
      </c>
      <c r="X4" s="688">
        <f ca="1">IF(V4="",240,INDEX(OFFSET(Arb!$H$2,,,Arb!$AJ$5,),V4))</f>
        <v>59.01</v>
      </c>
      <c r="Y4" s="769">
        <f t="shared" ca="1" si="6"/>
        <v>2.4063718013895952</v>
      </c>
      <c r="Z4" s="725">
        <f ca="1">IF(V4="","",INDEX(OFFSET(Arb!$X$2,,,Arb!$AJ$5,),V4)/X4)</f>
        <v>2.9655990510083039</v>
      </c>
      <c r="AA4" s="561">
        <f ca="1">IF(V4="","",(INDEX(OFFSET(Arb!$U$2,,,Arb!$AJ$5,),V4)+INDEX(OFFSET(Arb!$V$2,,,Arb!$AJ$5,),V4))/X4)</f>
        <v>3.219793255380444</v>
      </c>
      <c r="AB4" s="33">
        <f t="shared" ca="1" si="7"/>
        <v>7.2158118485423914</v>
      </c>
      <c r="AC4" s="776">
        <f t="shared" ca="1" si="8"/>
        <v>60.284415548871479</v>
      </c>
      <c r="AD4" s="74">
        <f ca="1">IF(V4="","",DATE(INDEX(OFFSET(Arb!$C$2,,,Arb!$AJ$5,),V4),INDEX(OFFSET(Arb!$B$2,,,Arb!$AJ$5,),V4),INDEX(OFFSET(Arb!$A$2,,,Arb!$AJ$5,),V4))+ROW()*0.001)</f>
        <v>44099.004000000001</v>
      </c>
    </row>
    <row r="5" spans="1:30" x14ac:dyDescent="0.25">
      <c r="A5" s="11">
        <v>4</v>
      </c>
      <c r="B5" s="11">
        <v>936</v>
      </c>
      <c r="C5" s="433">
        <f ca="1">IF(B5="",16,INDEX(OFFSET(Arb!$I$2,,,Arb!$AJ$5,),B5))</f>
        <v>11</v>
      </c>
      <c r="D5" s="686">
        <f ca="1">IF(B5="",10,INDEX(OFFSET(Arb!$H$2,,,Arb!$AJ$5,),B5))</f>
        <v>3.14</v>
      </c>
      <c r="E5" s="562">
        <f t="shared" ca="1" si="0"/>
        <v>3.5031847133757958</v>
      </c>
      <c r="F5" s="723">
        <f ca="1">IF(B5="","",INDEX(OFFSET(Arb!$X$2,,,Arb!$AJ$5,),B5)/D5)</f>
        <v>3.8216560509554141</v>
      </c>
      <c r="G5" s="563">
        <f ca="1">IF(B5="","",(INDEX(OFFSET(Arb!$U$2,,,Arb!$AJ$5,),B5)+INDEX(OFFSET(Arb!$V$2,,,Arb!$AJ$5,),B5))/D5)</f>
        <v>4.1401273885350314</v>
      </c>
      <c r="H5" s="33">
        <f t="shared" ca="1" si="1"/>
        <v>0.63589837704198993</v>
      </c>
      <c r="I5" s="773">
        <f t="shared" ca="1" si="2"/>
        <v>74.381381849126385</v>
      </c>
      <c r="J5" s="74">
        <f ca="1">IF(B5="","",DATE(INDEX(OFFSET(Arb!$C$2,,,Arb!$AJ$5,),B5),INDEX(OFFSET(Arb!$B$2,,,Arb!$AJ$5,),B5),INDEX(OFFSET(Arb!$A$2,,,Arb!$AJ$5,),B5))+ROW()*0.001)</f>
        <v>43822.004999999997</v>
      </c>
      <c r="K5" s="11">
        <v>4</v>
      </c>
      <c r="L5" s="11">
        <v>2176</v>
      </c>
      <c r="M5" s="433">
        <f ca="1">IF(L5="",64,INDEX(OFFSET(Arb!$I$2,,,Arb!$AJ$5,),L5))</f>
        <v>35</v>
      </c>
      <c r="N5" s="684">
        <f ca="1">IF(L5="",60,INDEX(OFFSET(Arb!$H$2,,,Arb!$AJ$5,),L5))</f>
        <v>16.77</v>
      </c>
      <c r="O5" s="768">
        <f t="shared" ca="1" si="3"/>
        <v>2.0870602265951104</v>
      </c>
      <c r="P5" s="726">
        <f ca="1">IF(L5="","",INDEX(OFFSET(Arb!$X$2,,,Arb!$AJ$5,),L5)/N5)</f>
        <v>2.5044722719141324</v>
      </c>
      <c r="Q5" s="726">
        <f ca="1">IF(L5="","",(INDEX(OFFSET(Arb!$U$2,,,Arb!$AJ$5,),L5)+INDEX(OFFSET(Arb!$V$2,,,Arb!$AJ$5,),L5))/N5)</f>
        <v>2.6237328562909958</v>
      </c>
      <c r="R5" s="33">
        <f t="shared" ca="1" si="4"/>
        <v>3.4485629823965418</v>
      </c>
      <c r="S5" s="777">
        <f t="shared" ca="1" si="5"/>
        <v>44.577988218491804</v>
      </c>
      <c r="T5" s="74">
        <f ca="1">IF(L5="","",DATE(INDEX(OFFSET(Arb!$C$2,,,Arb!$AJ$5,),L5),INDEX(OFFSET(Arb!$B$2,,,Arb!$AJ$5,),L5),INDEX(OFFSET(Arb!$A$2,,,Arb!$AJ$5,),L5))+ROW()*0.001)</f>
        <v>43840.004999999997</v>
      </c>
      <c r="U5" s="11">
        <v>4</v>
      </c>
      <c r="V5" s="11">
        <v>3438</v>
      </c>
      <c r="W5" s="433">
        <f ca="1">IF(V5="",164,INDEX(OFFSET(Arb!$I$2,,,Arb!$AJ$5,),V5))</f>
        <v>150</v>
      </c>
      <c r="X5" s="688">
        <f ca="1">IF(V5="",240,INDEX(OFFSET(Arb!$H$2,,,Arb!$AJ$5,),V5))</f>
        <v>59.06</v>
      </c>
      <c r="Y5" s="726">
        <f t="shared" ca="1" si="6"/>
        <v>2.5397900440230274</v>
      </c>
      <c r="Z5" s="725">
        <f ca="1">IF(V5="","",INDEX(OFFSET(Arb!$X$2,,,Arb!$AJ$5,),V5)/X5)</f>
        <v>2.8953606501862512</v>
      </c>
      <c r="AA5" s="561">
        <f ca="1">IF(V5="","",(INDEX(OFFSET(Arb!$U$2,,,Arb!$AJ$5,),V5)+INDEX(OFFSET(Arb!$V$2,,,Arb!$AJ$5,),V5))/X5)</f>
        <v>3.1832035218421941</v>
      </c>
      <c r="AB5" s="33">
        <f t="shared" ca="1" si="7"/>
        <v>6.8408110258800496</v>
      </c>
      <c r="AC5" s="775">
        <f t="shared" ca="1" si="8"/>
        <v>63.589097601777183</v>
      </c>
      <c r="AD5" s="74">
        <f ca="1">IF(V5="","",DATE(INDEX(OFFSET(Arb!$C$2,,,Arb!$AJ$5,),V5),INDEX(OFFSET(Arb!$B$2,,,Arb!$AJ$5,),V5),INDEX(OFFSET(Arb!$A$2,,,Arb!$AJ$5,),V5))+ROW()*0.001)</f>
        <v>44167.004999999997</v>
      </c>
    </row>
    <row r="6" spans="1:30" x14ac:dyDescent="0.25">
      <c r="A6" s="11">
        <v>5</v>
      </c>
      <c r="B6" s="11">
        <v>1391</v>
      </c>
      <c r="C6" s="433">
        <f ca="1">IF(B6="",16,INDEX(OFFSET(Arb!$I$2,,,Arb!$AJ$5,),B6))</f>
        <v>10</v>
      </c>
      <c r="D6" s="686">
        <f ca="1">IF(B6="",10,INDEX(OFFSET(Arb!$H$2,,,Arb!$AJ$5,),B6))</f>
        <v>3.16</v>
      </c>
      <c r="E6" s="561">
        <f t="shared" ca="1" si="0"/>
        <v>3.1645569620253164</v>
      </c>
      <c r="F6" s="722">
        <f ca="1">IF(B6="","",INDEX(OFFSET(Arb!$X$2,,,Arb!$AJ$5,),B6)/D6)</f>
        <v>4.4303797468354427</v>
      </c>
      <c r="G6" s="565">
        <f ca="1">IF(B6="","",(INDEX(OFFSET(Arb!$U$2,,,Arb!$AJ$5,),B6)+INDEX(OFFSET(Arb!$V$2,,,Arb!$AJ$5,),B6))/D6)</f>
        <v>5.0632911392405058</v>
      </c>
      <c r="H6" s="33">
        <f t="shared" ca="1" si="1"/>
        <v>0.70707916510758362</v>
      </c>
      <c r="I6" s="775">
        <f t="shared" ca="1" si="2"/>
        <v>66.893499814555213</v>
      </c>
      <c r="J6" s="74">
        <f ca="1">IF(B6="","",DATE(INDEX(OFFSET(Arb!$C$2,,,Arb!$AJ$5,),B6),INDEX(OFFSET(Arb!$B$2,,,Arb!$AJ$5,),B6),INDEX(OFFSET(Arb!$A$2,,,Arb!$AJ$5,),B6))+ROW()*0.001)</f>
        <v>43940.006000000001</v>
      </c>
      <c r="K6" s="11">
        <v>5</v>
      </c>
      <c r="L6" s="11">
        <v>2052</v>
      </c>
      <c r="M6" s="433">
        <f ca="1">IF(L6="",64,INDEX(OFFSET(Arb!$I$2,,,Arb!$AJ$5,),L6))</f>
        <v>41</v>
      </c>
      <c r="N6" s="684">
        <f ca="1">IF(L6="",60,INDEX(OFFSET(Arb!$H$2,,,Arb!$AJ$5,),L6))</f>
        <v>16.829999999999998</v>
      </c>
      <c r="O6" s="769">
        <f t="shared" ca="1" si="3"/>
        <v>2.4361259655377303</v>
      </c>
      <c r="P6" s="561">
        <f ca="1">IF(L6="","",INDEX(OFFSET(Arb!$X$2,,,Arb!$AJ$5,),L6)/N6)</f>
        <v>3.1491384432560907</v>
      </c>
      <c r="Q6" s="723">
        <f ca="1">IF(L6="","",(INDEX(OFFSET(Arb!$U$2,,,Arb!$AJ$5,),L6)+INDEX(OFFSET(Arb!$V$2,,,Arb!$AJ$5,),L6))/N6)</f>
        <v>3.8027332144979207</v>
      </c>
      <c r="R6" s="33">
        <f t="shared" ca="1" si="4"/>
        <v>2.9618232668638624</v>
      </c>
      <c r="S6" s="774">
        <f t="shared" ca="1" si="5"/>
        <v>51.903839678718434</v>
      </c>
      <c r="T6" s="74">
        <f ca="1">IF(L6="","",DATE(INDEX(OFFSET(Arb!$C$2,,,Arb!$AJ$5,),L6),INDEX(OFFSET(Arb!$B$2,,,Arb!$AJ$5,),L6),INDEX(OFFSET(Arb!$A$2,,,Arb!$AJ$5,),L6))+ROW()*0.001)</f>
        <v>43798.006000000001</v>
      </c>
      <c r="U6" s="11">
        <v>5</v>
      </c>
      <c r="V6" s="11">
        <v>3241</v>
      </c>
      <c r="W6" s="433">
        <f ca="1">IF(V6="",164,INDEX(OFFSET(Arb!$I$2,,,Arb!$AJ$5,),V6))</f>
        <v>146</v>
      </c>
      <c r="X6" s="688">
        <f ca="1">IF(V6="",240,INDEX(OFFSET(Arb!$H$2,,,Arb!$AJ$5,),V6))</f>
        <v>59.17</v>
      </c>
      <c r="Y6" s="769">
        <f t="shared" ca="1" si="6"/>
        <v>2.467466621598783</v>
      </c>
      <c r="Z6" s="561">
        <f ca="1">IF(V6="","",INDEX(OFFSET(Arb!$X$2,,,Arb!$AJ$5,),V6)/X6)</f>
        <v>3.0927835051546393</v>
      </c>
      <c r="AA6" s="562">
        <f ca="1">IF(V6="","",(INDEX(OFFSET(Arb!$U$2,,,Arb!$AJ$5,),V6)+INDEX(OFFSET(Arb!$V$2,,,Arb!$AJ$5,),V6))/X6)</f>
        <v>3.5152949129626498</v>
      </c>
      <c r="AB6" s="33">
        <f t="shared" ca="1" si="7"/>
        <v>7.0504982963677216</v>
      </c>
      <c r="AC6" s="776">
        <f t="shared" ca="1" si="8"/>
        <v>61.697908674639912</v>
      </c>
      <c r="AD6" s="74">
        <f ca="1">IF(V6="","",DATE(INDEX(OFFSET(Arb!$C$2,,,Arb!$AJ$5,),V6),INDEX(OFFSET(Arb!$B$2,,,Arb!$AJ$5,),V6),INDEX(OFFSET(Arb!$A$2,,,Arb!$AJ$5,),V6))+ROW()*0.001)</f>
        <v>44064.006000000001</v>
      </c>
    </row>
    <row r="7" spans="1:30" x14ac:dyDescent="0.25">
      <c r="A7" s="11">
        <v>6</v>
      </c>
      <c r="B7" s="11">
        <v>1661</v>
      </c>
      <c r="C7" s="433">
        <f ca="1">IF(B7="",16,INDEX(OFFSET(Arb!$I$2,,,Arb!$AJ$5,),B7))</f>
        <v>12</v>
      </c>
      <c r="D7" s="686">
        <f ca="1">IF(B7="",10,INDEX(OFFSET(Arb!$H$2,,,Arb!$AJ$5,),B7))</f>
        <v>3.19</v>
      </c>
      <c r="E7" s="723">
        <f t="shared" ca="1" si="0"/>
        <v>3.761755485893417</v>
      </c>
      <c r="F7" s="563">
        <f ca="1">IF(B7="","",INDEX(OFFSET(Arb!$X$2,,,Arb!$AJ$5,),B7)/D7)</f>
        <v>4.0752351097178687</v>
      </c>
      <c r="G7" s="722">
        <f ca="1">IF(B7="","",(INDEX(OFFSET(Arb!$U$2,,,Arb!$AJ$5,),B7)+INDEX(OFFSET(Arb!$V$2,,,Arb!$AJ$5,),B7))/D7)</f>
        <v>4.3887147335423196</v>
      </c>
      <c r="H7" s="33">
        <f t="shared" ca="1" si="1"/>
        <v>0.59877397384525743</v>
      </c>
      <c r="I7" s="280">
        <f t="shared" ca="1" si="2"/>
        <v>78.993079302113401</v>
      </c>
      <c r="J7" s="74">
        <f ca="1">IF(B7="","",DATE(INDEX(OFFSET(Arb!$C$2,,,Arb!$AJ$5,),B7),INDEX(OFFSET(Arb!$B$2,,,Arb!$AJ$5,),B7),INDEX(OFFSET(Arb!$A$2,,,Arb!$AJ$5,),B7))+ROW()*0.001)</f>
        <v>44096.006999999998</v>
      </c>
      <c r="K7" s="11">
        <v>6</v>
      </c>
      <c r="L7" s="11">
        <v>2143</v>
      </c>
      <c r="M7" s="433">
        <f ca="1">IF(L7="",64,INDEX(OFFSET(Arb!$I$2,,,Arb!$AJ$5,),L7))</f>
        <v>45</v>
      </c>
      <c r="N7" s="559">
        <f ca="1">IF(L7="",60,INDEX(OFFSET(Arb!$H$2,,,Arb!$AJ$5,),L7))</f>
        <v>17.37</v>
      </c>
      <c r="O7" s="726">
        <f t="shared" ca="1" si="3"/>
        <v>2.5906735751295336</v>
      </c>
      <c r="P7" s="561">
        <f ca="1">IF(L7="","",INDEX(OFFSET(Arb!$X$2,,,Arb!$AJ$5,),L7)/N7)</f>
        <v>3.2239493379389752</v>
      </c>
      <c r="Q7" s="562">
        <f ca="1">IF(L7="","",(INDEX(OFFSET(Arb!$U$2,,,Arb!$AJ$5,),L7)+INDEX(OFFSET(Arb!$V$2,,,Arb!$AJ$5,),L7))/N7)</f>
        <v>3.7420840529648816</v>
      </c>
      <c r="R7" s="33">
        <f t="shared" ca="1" si="4"/>
        <v>2.8473914562817582</v>
      </c>
      <c r="S7" s="774">
        <f t="shared" ca="1" si="5"/>
        <v>53.989766549607829</v>
      </c>
      <c r="T7" s="74">
        <f ca="1">IF(L7="","",DATE(INDEX(OFFSET(Arb!$C$2,,,Arb!$AJ$5,),L7),INDEX(OFFSET(Arb!$B$2,,,Arb!$AJ$5,),L7),INDEX(OFFSET(Arb!$A$2,,,Arb!$AJ$5,),L7))+ROW()*0.001)</f>
        <v>43817.006999999998</v>
      </c>
      <c r="U7" s="11">
        <v>6</v>
      </c>
      <c r="V7" s="11">
        <v>3225</v>
      </c>
      <c r="W7" s="433">
        <f ca="1">IF(V7="",164,INDEX(OFFSET(Arb!$I$2,,,Arb!$AJ$5,),V7))</f>
        <v>147</v>
      </c>
      <c r="X7" s="688">
        <f ca="1">IF(V7="",240,INDEX(OFFSET(Arb!$H$2,,,Arb!$AJ$5,),V7))</f>
        <v>60.28</v>
      </c>
      <c r="Y7" s="769">
        <f t="shared" ca="1" si="6"/>
        <v>2.4386197743861975</v>
      </c>
      <c r="Z7" s="561">
        <f ca="1">IF(V7="","",INDEX(OFFSET(Arb!$X$2,,,Arb!$AJ$5,),V7)/X7)</f>
        <v>3.0524220305242205</v>
      </c>
      <c r="AA7" s="724">
        <f ca="1">IF(V7="","",(INDEX(OFFSET(Arb!$U$2,,,Arb!$AJ$5,),V7)+INDEX(OFFSET(Arb!$V$2,,,Arb!$AJ$5,),V7))/X7)</f>
        <v>3.2680822826808229</v>
      </c>
      <c r="AB7" s="33">
        <f t="shared" ca="1" si="7"/>
        <v>7.2273182574162922</v>
      </c>
      <c r="AC7" s="776">
        <f t="shared" ca="1" si="8"/>
        <v>60.18843843684688</v>
      </c>
      <c r="AD7" s="74">
        <f ca="1">IF(V7="","",DATE(INDEX(OFFSET(Arb!$C$2,,,Arb!$AJ$5,),V7),INDEX(OFFSET(Arb!$B$2,,,Arb!$AJ$5,),V7),INDEX(OFFSET(Arb!$A$2,,,Arb!$AJ$5,),V7))+ROW()*0.001)</f>
        <v>44061.006999999998</v>
      </c>
    </row>
    <row r="8" spans="1:30" x14ac:dyDescent="0.25">
      <c r="A8" s="11">
        <v>7</v>
      </c>
      <c r="B8" s="11">
        <v>424</v>
      </c>
      <c r="C8" s="433">
        <f ca="1">IF(B8="",16,INDEX(OFFSET(Arb!$I$2,,,Arb!$AJ$5,),B8))</f>
        <v>10</v>
      </c>
      <c r="D8" s="686">
        <f ca="1">IF(B8="",10,INDEX(OFFSET(Arb!$H$2,,,Arb!$AJ$5,),B8))</f>
        <v>3.19</v>
      </c>
      <c r="E8" s="561">
        <f t="shared" ca="1" si="0"/>
        <v>3.134796238244514</v>
      </c>
      <c r="F8" s="724">
        <f ca="1">IF(B8="","",INDEX(OFFSET(Arb!$X$2,,,Arb!$AJ$5,),B8)/D8)</f>
        <v>3.4482758620689657</v>
      </c>
      <c r="G8" s="563">
        <f ca="1">IF(B8="","",(INDEX(OFFSET(Arb!$U$2,,,Arb!$AJ$5,),B8)+INDEX(OFFSET(Arb!$V$2,,,Arb!$AJ$5,),B8))/D8)</f>
        <v>4.0752351097178687</v>
      </c>
      <c r="H8" s="33">
        <f t="shared" ca="1" si="1"/>
        <v>0.71852876861430892</v>
      </c>
      <c r="I8" s="775">
        <f t="shared" ca="1" si="2"/>
        <v>65.827566085094503</v>
      </c>
      <c r="J8" s="74">
        <f ca="1">IF(B8="","",DATE(INDEX(OFFSET(Arb!$C$2,,,Arb!$AJ$5,),B8),INDEX(OFFSET(Arb!$B$2,,,Arb!$AJ$5,),B8),INDEX(OFFSET(Arb!$A$2,,,Arb!$AJ$5,),B8))+ROW()*0.001)</f>
        <v>43781.008000000002</v>
      </c>
      <c r="K8" s="11">
        <v>7</v>
      </c>
      <c r="L8" s="11">
        <v>2373</v>
      </c>
      <c r="M8" s="433">
        <f ca="1">IF(L8="",64,INDEX(OFFSET(Arb!$I$2,,,Arb!$AJ$5,),L8))</f>
        <v>43</v>
      </c>
      <c r="N8" s="559">
        <f ca="1">IF(L8="",60,INDEX(OFFSET(Arb!$H$2,,,Arb!$AJ$5,),L8))</f>
        <v>17.57</v>
      </c>
      <c r="O8" s="769">
        <f t="shared" ca="1" si="3"/>
        <v>2.4473534433693795</v>
      </c>
      <c r="P8" s="561">
        <f ca="1">IF(L8="","",INDEX(OFFSET(Arb!$X$2,,,Arb!$AJ$5,),L8)/N8)</f>
        <v>3.1303357996585088</v>
      </c>
      <c r="Q8" s="562">
        <f ca="1">IF(L8="","",(INDEX(OFFSET(Arb!$U$2,,,Arb!$AJ$5,),L8)+INDEX(OFFSET(Arb!$V$2,,,Arb!$AJ$5,),L8))/N8)</f>
        <v>3.528742174160501</v>
      </c>
      <c r="R8" s="33">
        <f t="shared" ca="1" si="4"/>
        <v>3.038390146390173</v>
      </c>
      <c r="S8" s="774">
        <f t="shared" ca="1" si="5"/>
        <v>50.595872351232558</v>
      </c>
      <c r="T8" s="74">
        <f ca="1">IF(L8="","",DATE(INDEX(OFFSET(Arb!$C$2,,,Arb!$AJ$5,),L8),INDEX(OFFSET(Arb!$B$2,,,Arb!$AJ$5,),L8),INDEX(OFFSET(Arb!$A$2,,,Arb!$AJ$5,),L8))+ROW()*0.001)</f>
        <v>44114.008000000002</v>
      </c>
      <c r="U8" s="11">
        <v>7</v>
      </c>
      <c r="V8" s="11">
        <v>3210</v>
      </c>
      <c r="W8" s="433">
        <f ca="1">IF(V8="",164,INDEX(OFFSET(Arb!$I$2,,,Arb!$AJ$5,),V8))</f>
        <v>152</v>
      </c>
      <c r="X8" s="688">
        <f ca="1">IF(V8="",240,INDEX(OFFSET(Arb!$H$2,,,Arb!$AJ$5,),V8))</f>
        <v>60.46</v>
      </c>
      <c r="Y8" s="726">
        <f t="shared" ca="1" si="6"/>
        <v>2.5140588819053922</v>
      </c>
      <c r="Z8" s="561">
        <f ca="1">IF(V8="","",INDEX(OFFSET(Arb!$X$2,,,Arb!$AJ$5,),V8)/X8)</f>
        <v>3.1260337413165731</v>
      </c>
      <c r="AA8" s="724">
        <f ca="1">IF(V8="","",(INDEX(OFFSET(Arb!$U$2,,,Arb!$AJ$5,),V8)+INDEX(OFFSET(Arb!$V$2,,,Arb!$AJ$5,),V8))/X8)</f>
        <v>3.4733708236850811</v>
      </c>
      <c r="AB8" s="33">
        <f t="shared" ca="1" si="7"/>
        <v>7.0250958626178575</v>
      </c>
      <c r="AC8" s="776">
        <f t="shared" ca="1" si="8"/>
        <v>61.921005564456401</v>
      </c>
      <c r="AD8" s="74">
        <f ca="1">IF(V8="","",DATE(INDEX(OFFSET(Arb!$C$2,,,Arb!$AJ$5,),V8),INDEX(OFFSET(Arb!$B$2,,,Arb!$AJ$5,),V8),INDEX(OFFSET(Arb!$A$2,,,Arb!$AJ$5,),V8))+ROW()*0.001)</f>
        <v>44059.008000000002</v>
      </c>
    </row>
    <row r="9" spans="1:30" x14ac:dyDescent="0.25">
      <c r="A9" s="11">
        <v>8</v>
      </c>
      <c r="B9" s="11">
        <v>1224</v>
      </c>
      <c r="C9" s="433">
        <f ca="1">IF(B9="",16,INDEX(OFFSET(Arb!$I$2,,,Arb!$AJ$5,),B9))</f>
        <v>10</v>
      </c>
      <c r="D9" s="686">
        <f ca="1">IF(B9="",10,INDEX(OFFSET(Arb!$H$2,,,Arb!$AJ$5,),B9))</f>
        <v>3.21</v>
      </c>
      <c r="E9" s="561">
        <f t="shared" ca="1" si="0"/>
        <v>3.1152647975077881</v>
      </c>
      <c r="F9" s="563">
        <f ca="1">IF(B9="","",INDEX(OFFSET(Arb!$X$2,,,Arb!$AJ$5,),B9)/D9)</f>
        <v>4.0498442367601246</v>
      </c>
      <c r="G9" s="722">
        <f ca="1">IF(B9="","",(INDEX(OFFSET(Arb!$U$2,,,Arb!$AJ$5,),B9)+INDEX(OFFSET(Arb!$V$2,,,Arb!$AJ$5,),B9))/D9)</f>
        <v>4.3613707165109039</v>
      </c>
      <c r="H9" s="33">
        <f t="shared" ca="1" si="1"/>
        <v>0.7262038635025736</v>
      </c>
      <c r="I9" s="775">
        <f t="shared" ca="1" si="2"/>
        <v>65.131848475538135</v>
      </c>
      <c r="J9" s="74">
        <f ca="1">IF(B9="","",DATE(INDEX(OFFSET(Arb!$C$2,,,Arb!$AJ$5,),B9),INDEX(OFFSET(Arb!$B$2,,,Arb!$AJ$5,),B9),INDEX(OFFSET(Arb!$A$2,,,Arb!$AJ$5,),B9))+ROW()*0.001)</f>
        <v>43898.008999999998</v>
      </c>
      <c r="K9" s="11">
        <v>8</v>
      </c>
      <c r="L9" s="11">
        <v>1992</v>
      </c>
      <c r="M9" s="433">
        <f ca="1">IF(L9="",64,INDEX(OFFSET(Arb!$I$2,,,Arb!$AJ$5,),L9))</f>
        <v>42</v>
      </c>
      <c r="N9" s="559">
        <f ca="1">IF(L9="",60,INDEX(OFFSET(Arb!$H$2,,,Arb!$AJ$5,),L9))</f>
        <v>17.809999999999999</v>
      </c>
      <c r="O9" s="769">
        <f t="shared" ca="1" si="3"/>
        <v>2.3582257158899496</v>
      </c>
      <c r="P9" s="725">
        <f ca="1">IF(L9="","",INDEX(OFFSET(Arb!$X$2,,,Arb!$AJ$5,),L9)/N9)</f>
        <v>2.9758562605277934</v>
      </c>
      <c r="Q9" s="562">
        <f ca="1">IF(L9="","",(INDEX(OFFSET(Arb!$U$2,,,Arb!$AJ$5,),L9)+INDEX(OFFSET(Arb!$V$2,,,Arb!$AJ$5,),L9))/N9)</f>
        <v>3.5373385738349246</v>
      </c>
      <c r="R9" s="33">
        <f t="shared" ca="1" si="4"/>
        <v>3.1833132188837383</v>
      </c>
      <c r="S9" s="777">
        <f t="shared" ca="1" si="5"/>
        <v>48.292451741178958</v>
      </c>
      <c r="T9" s="74">
        <f ca="1">IF(L9="","",DATE(INDEX(OFFSET(Arb!$C$2,,,Arb!$AJ$5,),L9),INDEX(OFFSET(Arb!$B$2,,,Arb!$AJ$5,),L9),INDEX(OFFSET(Arb!$A$2,,,Arb!$AJ$5,),L9))+ROW()*0.001)</f>
        <v>43784.008999999998</v>
      </c>
      <c r="U9" s="11">
        <v>8</v>
      </c>
      <c r="V9" s="11">
        <v>3350</v>
      </c>
      <c r="W9" s="433">
        <f ca="1">IF(V9="",164,INDEX(OFFSET(Arb!$I$2,,,Arb!$AJ$5,),V9))</f>
        <v>141</v>
      </c>
      <c r="X9" s="688">
        <f ca="1">IF(V9="",240,INDEX(OFFSET(Arb!$H$2,,,Arb!$AJ$5,),V9))</f>
        <v>60.62</v>
      </c>
      <c r="Y9" s="769">
        <f t="shared" ca="1" si="6"/>
        <v>2.3259650280435502</v>
      </c>
      <c r="Z9" s="561">
        <f ca="1">IF(V9="","",INDEX(OFFSET(Arb!$X$2,,,Arb!$AJ$5,),V9)/X9)</f>
        <v>3.1012867040580669</v>
      </c>
      <c r="AA9" s="724">
        <f ca="1">IF(V9="","",(INDEX(OFFSET(Arb!$U$2,,,Arb!$AJ$5,),V9)+INDEX(OFFSET(Arb!$V$2,,,Arb!$AJ$5,),V9))/X9)</f>
        <v>3.464203233256351</v>
      </c>
      <c r="AB9" s="33">
        <f t="shared" ca="1" si="7"/>
        <v>7.6072549557459199</v>
      </c>
      <c r="AC9" s="776">
        <f t="shared" ca="1" si="8"/>
        <v>57.182387409197396</v>
      </c>
      <c r="AD9" s="74">
        <f ca="1">IF(V9="","",DATE(INDEX(OFFSET(Arb!$C$2,,,Arb!$AJ$5,),V9),INDEX(OFFSET(Arb!$B$2,,,Arb!$AJ$5,),V9),INDEX(OFFSET(Arb!$A$2,,,Arb!$AJ$5,),V9))+ROW()*0.001)</f>
        <v>44098.008999999998</v>
      </c>
    </row>
    <row r="10" spans="1:30" x14ac:dyDescent="0.25">
      <c r="A10" s="11">
        <v>9</v>
      </c>
      <c r="B10" s="11">
        <v>541</v>
      </c>
      <c r="C10" s="433">
        <f ca="1">IF(B10="",16,INDEX(OFFSET(Arb!$I$2,,,Arb!$AJ$5,),B10))</f>
        <v>10</v>
      </c>
      <c r="D10" s="686">
        <f ca="1">IF(B10="",10,INDEX(OFFSET(Arb!$H$2,,,Arb!$AJ$5,),B10))</f>
        <v>3.21</v>
      </c>
      <c r="E10" s="561">
        <f t="shared" ca="1" si="0"/>
        <v>3.1152647975077881</v>
      </c>
      <c r="F10" s="562">
        <f ca="1">IF(B10="","",INDEX(OFFSET(Arb!$X$2,,,Arb!$AJ$5,),B10)/D10)</f>
        <v>3.7383177570093458</v>
      </c>
      <c r="G10" s="563">
        <f ca="1">IF(B10="","",(INDEX(OFFSET(Arb!$U$2,,,Arb!$AJ$5,),B10)+INDEX(OFFSET(Arb!$V$2,,,Arb!$AJ$5,),B10))/D10)</f>
        <v>4.0498442367601246</v>
      </c>
      <c r="H10" s="33">
        <f t="shared" ca="1" si="1"/>
        <v>0.7262038635025736</v>
      </c>
      <c r="I10" s="775">
        <f t="shared" ca="1" si="2"/>
        <v>65.131848475538135</v>
      </c>
      <c r="J10" s="74">
        <f ca="1">IF(B10="","",DATE(INDEX(OFFSET(Arb!$C$2,,,Arb!$AJ$5,),B10),INDEX(OFFSET(Arb!$B$2,,,Arb!$AJ$5,),B10),INDEX(OFFSET(Arb!$A$2,,,Arb!$AJ$5,),B10))+ROW()*0.001)</f>
        <v>43797.01</v>
      </c>
      <c r="K10" s="11">
        <v>9</v>
      </c>
      <c r="L10" s="11">
        <v>2112</v>
      </c>
      <c r="M10" s="433">
        <f ca="1">IF(L10="",64,INDEX(OFFSET(Arb!$I$2,,,Arb!$AJ$5,),L10))</f>
        <v>48</v>
      </c>
      <c r="N10" s="559">
        <f ca="1">IF(L10="",60,INDEX(OFFSET(Arb!$H$2,,,Arb!$AJ$5,),L10))</f>
        <v>17.829999999999998</v>
      </c>
      <c r="O10" s="726">
        <f t="shared" ca="1" si="3"/>
        <v>2.6920919798093106</v>
      </c>
      <c r="P10" s="724">
        <f ca="1">IF(L10="","",INDEX(OFFSET(Arb!$X$2,,,Arb!$AJ$5,),L10)/N10)</f>
        <v>3.3090297251822776</v>
      </c>
      <c r="Q10" s="723">
        <f ca="1">IF(L10="","",(INDEX(OFFSET(Arb!$U$2,,,Arb!$AJ$5,),L10)+INDEX(OFFSET(Arb!$V$2,,,Arb!$AJ$5,),L10))/N10)</f>
        <v>3.7577117218171625</v>
      </c>
      <c r="R10" s="33">
        <f t="shared" ca="1" si="4"/>
        <v>2.7907185941003854</v>
      </c>
      <c r="S10" s="774">
        <f t="shared" ca="1" si="5"/>
        <v>55.086170395319385</v>
      </c>
      <c r="T10" s="74">
        <f ca="1">IF(L10="","",DATE(INDEX(OFFSET(Arb!$C$2,,,Arb!$AJ$5,),L10),INDEX(OFFSET(Arb!$B$2,,,Arb!$AJ$5,),L10),INDEX(OFFSET(Arb!$A$2,,,Arb!$AJ$5,),L10))+ROW()*0.001)</f>
        <v>43811.01</v>
      </c>
      <c r="U10" s="11">
        <v>9</v>
      </c>
      <c r="V10" s="11">
        <v>3227</v>
      </c>
      <c r="W10" s="433">
        <f ca="1">IF(V10="",164,INDEX(OFFSET(Arb!$I$2,,,Arb!$AJ$5,),V10))</f>
        <v>154</v>
      </c>
      <c r="X10" s="688">
        <f ca="1">IF(V10="",240,INDEX(OFFSET(Arb!$H$2,,,Arb!$AJ$5,),V10))</f>
        <v>60.75</v>
      </c>
      <c r="Y10" s="726">
        <f t="shared" ca="1" si="6"/>
        <v>2.5349794238683128</v>
      </c>
      <c r="Z10" s="561">
        <f ca="1">IF(V10="","",INDEX(OFFSET(Arb!$X$2,,,Arb!$AJ$5,),V10)/X10)</f>
        <v>3.094650205761317</v>
      </c>
      <c r="AA10" s="724">
        <f ca="1">IF(V10="","",(INDEX(OFFSET(Arb!$U$2,,,Arb!$AJ$5,),V10)+INDEX(OFFSET(Arb!$V$2,,,Arb!$AJ$5,),V10))/X10)</f>
        <v>3.3580246913580245</v>
      </c>
      <c r="AB10" s="33">
        <f t="shared" ca="1" si="7"/>
        <v>6.9904954765589871</v>
      </c>
      <c r="AC10" s="776">
        <f t="shared" ca="1" si="8"/>
        <v>62.227491807794657</v>
      </c>
      <c r="AD10" s="74">
        <f ca="1">IF(V10="","",DATE(INDEX(OFFSET(Arb!$C$2,,,Arb!$AJ$5,),V10),INDEX(OFFSET(Arb!$B$2,,,Arb!$AJ$5,),V10),INDEX(OFFSET(Arb!$A$2,,,Arb!$AJ$5,),V10))+ROW()*0.001)</f>
        <v>44061.01</v>
      </c>
    </row>
    <row r="11" spans="1:30" x14ac:dyDescent="0.25">
      <c r="A11" s="11">
        <v>10</v>
      </c>
      <c r="B11" s="11">
        <v>1776</v>
      </c>
      <c r="C11" s="433">
        <f ca="1">IF(B11="",16,INDEX(OFFSET(Arb!$I$2,,,Arb!$AJ$5,),B11))</f>
        <v>14</v>
      </c>
      <c r="D11" s="686">
        <f ca="1">IF(B11="",10,INDEX(OFFSET(Arb!$H$2,,,Arb!$AJ$5,),B11))</f>
        <v>3.23</v>
      </c>
      <c r="E11" s="722">
        <f t="shared" ca="1" si="0"/>
        <v>4.3343653250773997</v>
      </c>
      <c r="F11" s="722">
        <f ca="1">IF(B11="","",INDEX(OFFSET(Arb!$X$2,,,Arb!$AJ$5,),B11)/D11)</f>
        <v>4.3343653250773997</v>
      </c>
      <c r="G11" s="721">
        <f ca="1">IF(B11="","",(INDEX(OFFSET(Arb!$U$2,,,Arb!$AJ$5,),B11)+INDEX(OFFSET(Arb!$V$2,,,Arb!$AJ$5,),B11))/D11)</f>
        <v>4.9535603715170282</v>
      </c>
      <c r="H11" s="33">
        <f t="shared" ca="1" si="1"/>
        <v>0.52422321826333906</v>
      </c>
      <c r="I11" s="321">
        <f t="shared" ca="1" si="2"/>
        <v>90.226831533127083</v>
      </c>
      <c r="J11" s="74">
        <f ca="1">IF(B11="","",DATE(INDEX(OFFSET(Arb!$C$2,,,Arb!$AJ$5,),B11),INDEX(OFFSET(Arb!$B$2,,,Arb!$AJ$5,),B11),INDEX(OFFSET(Arb!$A$2,,,Arb!$AJ$5,),B11))+ROW()*0.001)</f>
        <v>44167.010999999999</v>
      </c>
      <c r="K11" s="11">
        <v>10</v>
      </c>
      <c r="L11" s="11">
        <v>2330</v>
      </c>
      <c r="M11" s="433">
        <f ca="1">IF(L11="",64,INDEX(OFFSET(Arb!$I$2,,,Arb!$AJ$5,),L11))</f>
        <v>48</v>
      </c>
      <c r="N11" s="559">
        <f ca="1">IF(L11="",60,INDEX(OFFSET(Arb!$H$2,,,Arb!$AJ$5,),L11))</f>
        <v>17.940000000000001</v>
      </c>
      <c r="O11" s="726">
        <f t="shared" ca="1" si="3"/>
        <v>2.6755852842809364</v>
      </c>
      <c r="P11" s="724">
        <f ca="1">IF(L11="","",INDEX(OFFSET(Arb!$X$2,,,Arb!$AJ$5,),L11)/N11)</f>
        <v>3.4559643255295427</v>
      </c>
      <c r="Q11" s="563">
        <f ca="1">IF(L11="","",(INDEX(OFFSET(Arb!$U$2,,,Arb!$AJ$5,),L11)+INDEX(OFFSET(Arb!$V$2,,,Arb!$AJ$5,),L11))/N11)</f>
        <v>4.1248606465997764</v>
      </c>
      <c r="R11" s="33">
        <f t="shared" ca="1" si="4"/>
        <v>2.8200506488228569</v>
      </c>
      <c r="S11" s="774">
        <f t="shared" ca="1" si="5"/>
        <v>54.51320530862445</v>
      </c>
      <c r="T11" s="74">
        <f ca="1">IF(L11="","",DATE(INDEX(OFFSET(Arb!$C$2,,,Arb!$AJ$5,),L11),INDEX(OFFSET(Arb!$B$2,,,Arb!$AJ$5,),L11),INDEX(OFFSET(Arb!$A$2,,,Arb!$AJ$5,),L11))+ROW()*0.001)</f>
        <v>44093.010999999999</v>
      </c>
      <c r="U11" s="11">
        <v>10</v>
      </c>
      <c r="V11" s="11">
        <v>3240</v>
      </c>
      <c r="W11" s="433">
        <f ca="1">IF(V11="",164,INDEX(OFFSET(Arb!$I$2,,,Arb!$AJ$5,),V11))</f>
        <v>140</v>
      </c>
      <c r="X11" s="688">
        <f ca="1">IF(V11="",240,INDEX(OFFSET(Arb!$H$2,,,Arb!$AJ$5,),V11))</f>
        <v>61.27</v>
      </c>
      <c r="Y11" s="769">
        <f t="shared" ca="1" si="6"/>
        <v>2.2849681736575809</v>
      </c>
      <c r="Z11" s="726">
        <f ca="1">IF(V11="","",INDEX(OFFSET(Arb!$X$2,,,Arb!$AJ$5,),V11)/X11)</f>
        <v>2.6929982046678633</v>
      </c>
      <c r="AA11" s="561">
        <f ca="1">IF(V11="","",(INDEX(OFFSET(Arb!$U$2,,,Arb!$AJ$5,),V11)+INDEX(OFFSET(Arb!$V$2,,,Arb!$AJ$5,),V11))/X11)</f>
        <v>3.0520646319569118</v>
      </c>
      <c r="AB11" s="33">
        <f t="shared" ca="1" si="7"/>
        <v>7.8017739150479981</v>
      </c>
      <c r="AC11" s="774">
        <f t="shared" ca="1" si="8"/>
        <v>55.756678511405411</v>
      </c>
      <c r="AD11" s="74">
        <f ca="1">IF(V11="","",DATE(INDEX(OFFSET(Arb!$C$2,,,Arb!$AJ$5,),V11),INDEX(OFFSET(Arb!$B$2,,,Arb!$AJ$5,),V11),INDEX(OFFSET(Arb!$A$2,,,Arb!$AJ$5,),V11))+ROW()*0.001)</f>
        <v>44064.010999999999</v>
      </c>
    </row>
    <row r="12" spans="1:30" x14ac:dyDescent="0.25">
      <c r="A12" s="11">
        <v>11</v>
      </c>
      <c r="B12" s="11">
        <v>1540</v>
      </c>
      <c r="C12" s="433">
        <f ca="1">IF(B12="",16,INDEX(OFFSET(Arb!$I$2,,,Arb!$AJ$5,),B12))</f>
        <v>12</v>
      </c>
      <c r="D12" s="686">
        <f ca="1">IF(B12="",10,INDEX(OFFSET(Arb!$H$2,,,Arb!$AJ$5,),B12))</f>
        <v>3.26</v>
      </c>
      <c r="E12" s="562">
        <f t="shared" ca="1" si="0"/>
        <v>3.6809815950920246</v>
      </c>
      <c r="F12" s="562">
        <f ca="1">IF(B12="","",INDEX(OFFSET(Arb!$X$2,,,Arb!$AJ$5,),B12)/D12)</f>
        <v>3.6809815950920246</v>
      </c>
      <c r="G12" s="722">
        <f ca="1">IF(B12="","",(INDEX(OFFSET(Arb!$U$2,,,Arb!$AJ$5,),B12)+INDEX(OFFSET(Arb!$V$2,,,Arb!$AJ$5,),B12))/D12)</f>
        <v>4.294478527607362</v>
      </c>
      <c r="H12" s="33">
        <f t="shared" ca="1" si="1"/>
        <v>0.62128186095658544</v>
      </c>
      <c r="I12" s="280">
        <f t="shared" ca="1" si="2"/>
        <v>76.131306855110651</v>
      </c>
      <c r="J12" s="74">
        <f ca="1">IF(B12="","",DATE(INDEX(OFFSET(Arb!$C$2,,,Arb!$AJ$5,),B12),INDEX(OFFSET(Arb!$B$2,,,Arb!$AJ$5,),B12),INDEX(OFFSET(Arb!$A$2,,,Arb!$AJ$5,),B12))+ROW()*0.001)</f>
        <v>43984.012000000002</v>
      </c>
      <c r="K12" s="11">
        <v>11</v>
      </c>
      <c r="L12" s="11">
        <v>2127</v>
      </c>
      <c r="M12" s="433">
        <f ca="1">IF(L12="",64,INDEX(OFFSET(Arb!$I$2,,,Arb!$AJ$5,),L12))</f>
        <v>42</v>
      </c>
      <c r="N12" s="688">
        <f ca="1">IF(L12="",60,INDEX(OFFSET(Arb!$H$2,,,Arb!$AJ$5,),L12))</f>
        <v>18.059999999999999</v>
      </c>
      <c r="O12" s="769">
        <f t="shared" ca="1" si="3"/>
        <v>2.3255813953488373</v>
      </c>
      <c r="P12" s="725">
        <f ca="1">IF(L12="","",INDEX(OFFSET(Arb!$X$2,,,Arb!$AJ$5,),L12)/N12)</f>
        <v>2.879291251384275</v>
      </c>
      <c r="Q12" s="724">
        <f ca="1">IF(L12="","",(INDEX(OFFSET(Arb!$U$2,,,Arb!$AJ$5,),L12)+INDEX(OFFSET(Arb!$V$2,,,Arb!$AJ$5,),L12))/N12)</f>
        <v>3.4883720930232562</v>
      </c>
      <c r="R12" s="33">
        <f t="shared" ca="1" si="4"/>
        <v>3.2596493012808661</v>
      </c>
      <c r="S12" s="777">
        <f t="shared" ca="1" si="5"/>
        <v>47.161515178823812</v>
      </c>
      <c r="T12" s="74">
        <f ca="1">IF(L12="","",DATE(INDEX(OFFSET(Arb!$C$2,,,Arb!$AJ$5,),L12),INDEX(OFFSET(Arb!$B$2,,,Arb!$AJ$5,),L12),INDEX(OFFSET(Arb!$A$2,,,Arb!$AJ$5,),L12))+ROW()*0.001)</f>
        <v>43811.012000000002</v>
      </c>
      <c r="U12" s="11">
        <v>11</v>
      </c>
      <c r="V12" s="11">
        <v>3254</v>
      </c>
      <c r="W12" s="433">
        <f ca="1">IF(V12="",164,INDEX(OFFSET(Arb!$I$2,,,Arb!$AJ$5,),V12))</f>
        <v>145</v>
      </c>
      <c r="X12" s="693">
        <f ca="1">IF(V12="",240,INDEX(OFFSET(Arb!$H$2,,,Arb!$AJ$5,),V12))</f>
        <v>61.85</v>
      </c>
      <c r="Y12" s="769">
        <f t="shared" ca="1" si="6"/>
        <v>2.3443815683104283</v>
      </c>
      <c r="Z12" s="725">
        <f ca="1">IF(V12="","",INDEX(OFFSET(Arb!$X$2,,,Arb!$AJ$5,),V12)/X12)</f>
        <v>2.8940986257073567</v>
      </c>
      <c r="AA12" s="561">
        <f ca="1">IF(V12="","",(INDEX(OFFSET(Arb!$U$2,,,Arb!$AJ$5,),V12)+INDEX(OFFSET(Arb!$V$2,,,Arb!$AJ$5,),V12))/X12)</f>
        <v>3.1851253031527889</v>
      </c>
      <c r="AB12" s="33">
        <f t="shared" ca="1" si="7"/>
        <v>7.6543707580342346</v>
      </c>
      <c r="AC12" s="776">
        <f t="shared" ca="1" si="8"/>
        <v>56.830406280413207</v>
      </c>
      <c r="AD12" s="74">
        <f ca="1">IF(V12="","",DATE(INDEX(OFFSET(Arb!$C$2,,,Arb!$AJ$5,),V12),INDEX(OFFSET(Arb!$B$2,,,Arb!$AJ$5,),V12),INDEX(OFFSET(Arb!$A$2,,,Arb!$AJ$5,),V12))+ROW()*0.001)</f>
        <v>44070.012000000002</v>
      </c>
    </row>
    <row r="13" spans="1:30" x14ac:dyDescent="0.25">
      <c r="A13" s="11">
        <v>12</v>
      </c>
      <c r="B13" s="11">
        <v>1307</v>
      </c>
      <c r="C13" s="433">
        <f ca="1">IF(B13="",16,INDEX(OFFSET(Arb!$I$2,,,Arb!$AJ$5,),B13))</f>
        <v>11</v>
      </c>
      <c r="D13" s="686">
        <f ca="1">IF(B13="",10,INDEX(OFFSET(Arb!$H$2,,,Arb!$AJ$5,),B13))</f>
        <v>3.26</v>
      </c>
      <c r="E13" s="724">
        <f t="shared" ca="1" si="0"/>
        <v>3.3742331288343559</v>
      </c>
      <c r="F13" s="770">
        <f ca="1">IF(B13="","",INDEX(OFFSET(Arb!$X$2,,,Arb!$AJ$5,),B13)/D13)</f>
        <v>5.8282208588957056</v>
      </c>
      <c r="G13" s="771">
        <f ca="1">IF(B13="","",(INDEX(OFFSET(Arb!$U$2,,,Arb!$AJ$5,),B13)+INDEX(OFFSET(Arb!$V$2,,,Arb!$AJ$5,),B13))/D13)</f>
        <v>6.1349693251533743</v>
      </c>
      <c r="H13" s="33">
        <f t="shared" ca="1" si="1"/>
        <v>0.67776203013445679</v>
      </c>
      <c r="I13" s="773">
        <f t="shared" ca="1" si="2"/>
        <v>69.787031283851448</v>
      </c>
      <c r="J13" s="74">
        <f ca="1">IF(B13="","",DATE(INDEX(OFFSET(Arb!$C$2,,,Arb!$AJ$5,),B13),INDEX(OFFSET(Arb!$B$2,,,Arb!$AJ$5,),B13),INDEX(OFFSET(Arb!$A$2,,,Arb!$AJ$5,),B13))+ROW()*0.001)</f>
        <v>43912.012999999999</v>
      </c>
      <c r="K13" s="11">
        <v>12</v>
      </c>
      <c r="L13" s="11">
        <v>2239</v>
      </c>
      <c r="M13" s="433">
        <f ca="1">IF(L13="",64,INDEX(OFFSET(Arb!$I$2,,,Arb!$AJ$5,),L13))</f>
        <v>39</v>
      </c>
      <c r="N13" s="688">
        <f ca="1">IF(L13="",60,INDEX(OFFSET(Arb!$H$2,,,Arb!$AJ$5,),L13))</f>
        <v>18.12</v>
      </c>
      <c r="O13" s="768">
        <f t="shared" ca="1" si="3"/>
        <v>2.1523178807947017</v>
      </c>
      <c r="P13" s="726">
        <f ca="1">IF(L13="","",INDEX(OFFSET(Arb!$X$2,,,Arb!$AJ$5,),L13)/N13)</f>
        <v>2.5938189845474611</v>
      </c>
      <c r="Q13" s="725">
        <f ca="1">IF(L13="","",(INDEX(OFFSET(Arb!$U$2,,,Arb!$AJ$5,),L13)+INDEX(OFFSET(Arb!$V$2,,,Arb!$AJ$5,),L13))/N13)</f>
        <v>2.869757174392936</v>
      </c>
      <c r="R13" s="33">
        <f t="shared" ca="1" si="4"/>
        <v>3.5302407329235619</v>
      </c>
      <c r="S13" s="777">
        <f t="shared" ca="1" si="5"/>
        <v>43.546605353649298</v>
      </c>
      <c r="T13" s="74">
        <f ca="1">IF(L13="","",DATE(INDEX(OFFSET(Arb!$C$2,,,Arb!$AJ$5,),L13),INDEX(OFFSET(Arb!$B$2,,,Arb!$AJ$5,),L13),INDEX(OFFSET(Arb!$A$2,,,Arb!$AJ$5,),L13))+ROW()*0.001)</f>
        <v>43890.012999999999</v>
      </c>
      <c r="U13" s="11">
        <v>12</v>
      </c>
      <c r="V13" s="11">
        <v>3266</v>
      </c>
      <c r="W13" s="433">
        <f ca="1">IF(V13="",164,INDEX(OFFSET(Arb!$I$2,,,Arb!$AJ$5,),V13))</f>
        <v>141</v>
      </c>
      <c r="X13" s="693">
        <f ca="1">IF(V13="",240,INDEX(OFFSET(Arb!$H$2,,,Arb!$AJ$5,),V13))</f>
        <v>61.93</v>
      </c>
      <c r="Y13" s="769">
        <f t="shared" ca="1" si="6"/>
        <v>2.2767640884870013</v>
      </c>
      <c r="Z13" s="725">
        <f ca="1">IF(V13="","",INDEX(OFFSET(Arb!$X$2,,,Arb!$AJ$5,),V13)/X13)</f>
        <v>2.8419182948490231</v>
      </c>
      <c r="AA13" s="561">
        <f ca="1">IF(V13="","",(INDEX(OFFSET(Arb!$U$2,,,Arb!$AJ$5,),V13)+INDEX(OFFSET(Arb!$V$2,,,Arb!$AJ$5,),V13))/X13)</f>
        <v>3.0841272404327467</v>
      </c>
      <c r="AB13" s="33">
        <f t="shared" ca="1" si="7"/>
        <v>7.8888322889307663</v>
      </c>
      <c r="AC13" s="774">
        <f t="shared" ca="1" si="8"/>
        <v>55.141367450588682</v>
      </c>
      <c r="AD13" s="74">
        <f ca="1">IF(V13="","",DATE(INDEX(OFFSET(Arb!$C$2,,,Arb!$AJ$5,),V13),INDEX(OFFSET(Arb!$B$2,,,Arb!$AJ$5,),V13),INDEX(OFFSET(Arb!$A$2,,,Arb!$AJ$5,),V13))+ROW()*0.001)</f>
        <v>44073.012999999999</v>
      </c>
    </row>
    <row r="14" spans="1:30" x14ac:dyDescent="0.25">
      <c r="A14" s="11">
        <v>13</v>
      </c>
      <c r="B14" s="11">
        <v>1405</v>
      </c>
      <c r="C14" s="433">
        <f ca="1">IF(B14="",16,INDEX(OFFSET(Arb!$I$2,,,Arb!$AJ$5,),B14))</f>
        <v>11</v>
      </c>
      <c r="D14" s="686">
        <f ca="1">IF(B14="",10,INDEX(OFFSET(Arb!$H$2,,,Arb!$AJ$5,),B14))</f>
        <v>3.3</v>
      </c>
      <c r="E14" s="724">
        <f t="shared" ca="1" si="0"/>
        <v>3.3333333333333335</v>
      </c>
      <c r="F14" s="563">
        <f ca="1">IF(B14="","",INDEX(OFFSET(Arb!$X$2,,,Arb!$AJ$5,),B14)/D14)</f>
        <v>4.2424242424242422</v>
      </c>
      <c r="G14" s="565">
        <f ca="1">IF(B14="","",(INDEX(OFFSET(Arb!$U$2,,,Arb!$AJ$5,),B14)+INDEX(OFFSET(Arb!$V$2,,,Arb!$AJ$5,),B14))/D14)</f>
        <v>5.1515151515151514</v>
      </c>
      <c r="H14" s="33">
        <f t="shared" ca="1" si="1"/>
        <v>0.69196003605674161</v>
      </c>
      <c r="I14" s="775">
        <f t="shared" ca="1" si="2"/>
        <v>68.355103669775261</v>
      </c>
      <c r="J14" s="74">
        <f ca="1">IF(B14="","",DATE(INDEX(OFFSET(Arb!$C$2,,,Arb!$AJ$5,),B14),INDEX(OFFSET(Arb!$B$2,,,Arb!$AJ$5,),B14),INDEX(OFFSET(Arb!$A$2,,,Arb!$AJ$5,),B14))+ROW()*0.001)</f>
        <v>43940.014000000003</v>
      </c>
      <c r="K14" s="11">
        <v>13</v>
      </c>
      <c r="L14" s="11">
        <v>2118</v>
      </c>
      <c r="M14" s="433">
        <f ca="1">IF(L14="",64,INDEX(OFFSET(Arb!$I$2,,,Arb!$AJ$5,),L14))</f>
        <v>52</v>
      </c>
      <c r="N14" s="688">
        <f ca="1">IF(L14="",60,INDEX(OFFSET(Arb!$H$2,,,Arb!$AJ$5,),L14))</f>
        <v>18.12</v>
      </c>
      <c r="O14" s="725">
        <f t="shared" ca="1" si="3"/>
        <v>2.869757174392936</v>
      </c>
      <c r="P14" s="724">
        <f ca="1">IF(L14="","",INDEX(OFFSET(Arb!$X$2,,,Arb!$AJ$5,),L14)/N14)</f>
        <v>3.3112582781456954</v>
      </c>
      <c r="Q14" s="723">
        <f ca="1">IF(L14="","",(INDEX(OFFSET(Arb!$U$2,,,Arb!$AJ$5,),L14)+INDEX(OFFSET(Arb!$V$2,,,Arb!$AJ$5,),L14))/N14)</f>
        <v>3.7527593818984544</v>
      </c>
      <c r="R14" s="33">
        <f t="shared" ca="1" si="4"/>
        <v>2.6476805496926712</v>
      </c>
      <c r="S14" s="776">
        <f t="shared" ca="1" si="5"/>
        <v>58.062140471532395</v>
      </c>
      <c r="T14" s="74">
        <f ca="1">IF(L14="","",DATE(INDEX(OFFSET(Arb!$C$2,,,Arb!$AJ$5,),L14),INDEX(OFFSET(Arb!$B$2,,,Arb!$AJ$5,),L14),INDEX(OFFSET(Arb!$A$2,,,Arb!$AJ$5,),L14))+ROW()*0.001)</f>
        <v>43811.014000000003</v>
      </c>
      <c r="U14" s="11">
        <v>13</v>
      </c>
      <c r="V14" s="11">
        <v>3057</v>
      </c>
      <c r="W14" s="433">
        <f ca="1">IF(V14="",164,INDEX(OFFSET(Arb!$I$2,,,Arb!$AJ$5,),V14))</f>
        <v>138</v>
      </c>
      <c r="X14" s="693">
        <f ca="1">IF(V14="",240,INDEX(OFFSET(Arb!$H$2,,,Arb!$AJ$5,),V14))</f>
        <v>61.94</v>
      </c>
      <c r="Y14" s="768">
        <f t="shared" ca="1" si="6"/>
        <v>2.2279625443978044</v>
      </c>
      <c r="Z14" s="725">
        <f ca="1">IF(V14="","",INDEX(OFFSET(Arb!$X$2,,,Arb!$AJ$5,),V14)/X14)</f>
        <v>2.8253148207943171</v>
      </c>
      <c r="AA14" s="724">
        <f ca="1">IF(V14="","",(INDEX(OFFSET(Arb!$U$2,,,Arb!$AJ$5,),V14)+INDEX(OFFSET(Arb!$V$2,,,Arb!$AJ$5,),V14))/X14)</f>
        <v>3.2935098482402325</v>
      </c>
      <c r="AB14" s="33">
        <f t="shared" ca="1" si="7"/>
        <v>8.0625413562765456</v>
      </c>
      <c r="AC14" s="774">
        <f t="shared" ca="1" si="8"/>
        <v>53.95333565158824</v>
      </c>
      <c r="AD14" s="74">
        <f ca="1">IF(V14="","",DATE(INDEX(OFFSET(Arb!$C$2,,,Arb!$AJ$5,),V14),INDEX(OFFSET(Arb!$B$2,,,Arb!$AJ$5,),V14),INDEX(OFFSET(Arb!$A$2,,,Arb!$AJ$5,),V14))+ROW()*0.001)</f>
        <v>43988.014000000003</v>
      </c>
    </row>
    <row r="15" spans="1:30" x14ac:dyDescent="0.25">
      <c r="A15" s="11">
        <v>14</v>
      </c>
      <c r="B15" s="11">
        <v>782</v>
      </c>
      <c r="C15" s="433">
        <f ca="1">IF(B15="",16,INDEX(OFFSET(Arb!$I$2,,,Arb!$AJ$5,),B15))</f>
        <v>10</v>
      </c>
      <c r="D15" s="686">
        <f ca="1">IF(B15="",10,INDEX(OFFSET(Arb!$H$2,,,Arb!$AJ$5,),B15))</f>
        <v>3.3</v>
      </c>
      <c r="E15" s="561">
        <f t="shared" ca="1" si="0"/>
        <v>3.0303030303030303</v>
      </c>
      <c r="F15" s="724">
        <f ca="1">IF(B15="","",INDEX(OFFSET(Arb!$X$2,,,Arb!$AJ$5,),B15)/D15)</f>
        <v>3.3333333333333335</v>
      </c>
      <c r="G15" s="562">
        <f ca="1">IF(B15="","",(INDEX(OFFSET(Arb!$U$2,,,Arb!$AJ$5,),B15)+INDEX(OFFSET(Arb!$V$2,,,Arb!$AJ$5,),B15))/D15)</f>
        <v>3.6363636363636367</v>
      </c>
      <c r="H15" s="33">
        <f t="shared" ca="1" si="1"/>
        <v>0.76115603966241574</v>
      </c>
      <c r="I15" s="776">
        <f t="shared" ca="1" si="2"/>
        <v>62.141003336159329</v>
      </c>
      <c r="J15" s="74">
        <f ca="1">IF(B15="","",DATE(INDEX(OFFSET(Arb!$C$2,,,Arb!$AJ$5,),B15),INDEX(OFFSET(Arb!$B$2,,,Arb!$AJ$5,),B15),INDEX(OFFSET(Arb!$A$2,,,Arb!$AJ$5,),B15))+ROW()*0.001)</f>
        <v>43810.014999999999</v>
      </c>
      <c r="K15" s="11">
        <v>14</v>
      </c>
      <c r="L15" s="11">
        <v>2150</v>
      </c>
      <c r="M15" s="433">
        <f ca="1">IF(L15="",64,INDEX(OFFSET(Arb!$I$2,,,Arb!$AJ$5,),L15))</f>
        <v>45</v>
      </c>
      <c r="N15" s="688">
        <f ca="1">IF(L15="",60,INDEX(OFFSET(Arb!$H$2,,,Arb!$AJ$5,),L15))</f>
        <v>18.37</v>
      </c>
      <c r="O15" s="769">
        <f t="shared" ca="1" si="3"/>
        <v>2.4496461622210122</v>
      </c>
      <c r="P15" s="725">
        <f ca="1">IF(L15="","",INDEX(OFFSET(Arb!$X$2,,,Arb!$AJ$5,),L15)/N15)</f>
        <v>2.9395753946652148</v>
      </c>
      <c r="Q15" s="724">
        <f ca="1">IF(L15="","",(INDEX(OFFSET(Arb!$U$2,,,Arb!$AJ$5,),L15)+INDEX(OFFSET(Arb!$V$2,,,Arb!$AJ$5,),L15))/N15)</f>
        <v>3.4295046271094174</v>
      </c>
      <c r="R15" s="33">
        <f t="shared" ca="1" si="4"/>
        <v>3.1316487996771722</v>
      </c>
      <c r="S15" s="777">
        <f t="shared" ca="1" si="5"/>
        <v>49.089157128937103</v>
      </c>
      <c r="T15" s="74">
        <f ca="1">IF(L15="","",DATE(INDEX(OFFSET(Arb!$C$2,,,Arb!$AJ$5,),L15),INDEX(OFFSET(Arb!$B$2,,,Arb!$AJ$5,),L15),INDEX(OFFSET(Arb!$A$2,,,Arb!$AJ$5,),L15))+ROW()*0.001)</f>
        <v>43821.014999999999</v>
      </c>
      <c r="U15" s="11">
        <v>14</v>
      </c>
      <c r="V15" s="11">
        <v>3188</v>
      </c>
      <c r="W15" s="433">
        <f ca="1">IF(V15="",164,INDEX(OFFSET(Arb!$I$2,,,Arb!$AJ$5,),V15))</f>
        <v>151</v>
      </c>
      <c r="X15" s="693">
        <f ca="1">IF(V15="",240,INDEX(OFFSET(Arb!$H$2,,,Arb!$AJ$5,),V15))</f>
        <v>62.08</v>
      </c>
      <c r="Y15" s="769">
        <f t="shared" ca="1" si="6"/>
        <v>2.4323453608247423</v>
      </c>
      <c r="Z15" s="561">
        <f ca="1">IF(V15="","",INDEX(OFFSET(Arb!$X$2,,,Arb!$AJ$5,),V15)/X15)</f>
        <v>3.1572164948453607</v>
      </c>
      <c r="AA15" s="724">
        <f ca="1">IF(V15="","",(INDEX(OFFSET(Arb!$U$2,,,Arb!$AJ$5,),V15)+INDEX(OFFSET(Arb!$V$2,,,Arb!$AJ$5,),V15))/X15)</f>
        <v>3.4632731958762886</v>
      </c>
      <c r="AB15" s="33">
        <f t="shared" ca="1" si="7"/>
        <v>7.3967502782908712</v>
      </c>
      <c r="AC15" s="776">
        <f t="shared" ca="1" si="8"/>
        <v>58.809745311628042</v>
      </c>
      <c r="AD15" s="74">
        <f ca="1">IF(V15="","",DATE(INDEX(OFFSET(Arb!$C$2,,,Arb!$AJ$5,),V15),INDEX(OFFSET(Arb!$B$2,,,Arb!$AJ$5,),V15),INDEX(OFFSET(Arb!$A$2,,,Arb!$AJ$5,),V15))+ROW()*0.001)</f>
        <v>44054.014999999999</v>
      </c>
    </row>
    <row r="16" spans="1:30" x14ac:dyDescent="0.25">
      <c r="A16" s="11">
        <v>15</v>
      </c>
      <c r="B16" s="11">
        <v>1565</v>
      </c>
      <c r="C16" s="433">
        <f ca="1">IF(B16="",16,INDEX(OFFSET(Arb!$I$2,,,Arb!$AJ$5,),B16))</f>
        <v>10</v>
      </c>
      <c r="D16" s="686">
        <f ca="1">IF(B16="",10,INDEX(OFFSET(Arb!$H$2,,,Arb!$AJ$5,),B16))</f>
        <v>3.31</v>
      </c>
      <c r="E16" s="561">
        <f t="shared" ca="1" si="0"/>
        <v>3.0211480362537766</v>
      </c>
      <c r="F16" s="724">
        <f ca="1">IF(B16="","",INDEX(OFFSET(Arb!$X$2,,,Arb!$AJ$5,),B16)/D16)</f>
        <v>3.3232628398791539</v>
      </c>
      <c r="G16" s="724">
        <f ca="1">IF(B16="","",(INDEX(OFFSET(Arb!$U$2,,,Arb!$AJ$5,),B16)+INDEX(OFFSET(Arb!$V$2,,,Arb!$AJ$5,),B16))/D16)</f>
        <v>3.3232628398791539</v>
      </c>
      <c r="H16" s="33">
        <f t="shared" ca="1" si="1"/>
        <v>0.76508130402412788</v>
      </c>
      <c r="I16" s="776">
        <f t="shared" ca="1" si="2"/>
        <v>61.822187722036354</v>
      </c>
      <c r="J16" s="74">
        <f ca="1">IF(B16="","",DATE(INDEX(OFFSET(Arb!$C$2,,,Arb!$AJ$5,),B16),INDEX(OFFSET(Arb!$B$2,,,Arb!$AJ$5,),B16),INDEX(OFFSET(Arb!$A$2,,,Arb!$AJ$5,),B16))+ROW()*0.001)</f>
        <v>43989.016000000003</v>
      </c>
      <c r="K16" s="11">
        <v>15</v>
      </c>
      <c r="L16" s="11">
        <v>1906</v>
      </c>
      <c r="M16" s="433">
        <f ca="1">IF(L16="",64,INDEX(OFFSET(Arb!$I$2,,,Arb!$AJ$5,),L16))</f>
        <v>35</v>
      </c>
      <c r="N16" s="688">
        <f ca="1">IF(L16="",60,INDEX(OFFSET(Arb!$H$2,,,Arb!$AJ$5,),L16))</f>
        <v>18.57</v>
      </c>
      <c r="O16" s="727">
        <f t="shared" ca="1" si="3"/>
        <v>1.884760366182014</v>
      </c>
      <c r="P16" s="726">
        <f ca="1">IF(L16="","",INDEX(OFFSET(Arb!$X$2,,,Arb!$AJ$5,),L16)/N16)</f>
        <v>2.5309639203015615</v>
      </c>
      <c r="Q16" s="561">
        <f ca="1">IF(L16="","",(INDEX(OFFSET(Arb!$U$2,,,Arb!$AJ$5,),L16)+INDEX(OFFSET(Arb!$V$2,,,Arb!$AJ$5,),L16))/N16)</f>
        <v>3.1233171782444802</v>
      </c>
      <c r="R16" s="33">
        <f t="shared" ca="1" si="4"/>
        <v>4.1012117410003741</v>
      </c>
      <c r="S16" s="778">
        <f t="shared" ca="1" si="5"/>
        <v>37.484043670103688</v>
      </c>
      <c r="T16" s="74">
        <f ca="1">IF(L16="","",DATE(INDEX(OFFSET(Arb!$C$2,,,Arb!$AJ$5,),L16),INDEX(OFFSET(Arb!$B$2,,,Arb!$AJ$5,),L16),INDEX(OFFSET(Arb!$A$2,,,Arb!$AJ$5,),L16))+ROW()*0.001)</f>
        <v>43765.016000000003</v>
      </c>
      <c r="U16" s="11">
        <v>15</v>
      </c>
      <c r="V16" s="11">
        <v>3176</v>
      </c>
      <c r="W16" s="433">
        <f ca="1">IF(V16="",164,INDEX(OFFSET(Arb!$I$2,,,Arb!$AJ$5,),V16))</f>
        <v>131</v>
      </c>
      <c r="X16" s="693">
        <f ca="1">IF(V16="",240,INDEX(OFFSET(Arb!$H$2,,,Arb!$AJ$5,),V16))</f>
        <v>62.14</v>
      </c>
      <c r="Y16" s="768">
        <f t="shared" ca="1" si="6"/>
        <v>2.1081429031219825</v>
      </c>
      <c r="Z16" s="726">
        <f ca="1">IF(V16="","",INDEX(OFFSET(Arb!$X$2,,,Arb!$AJ$5,),V16)/X16)</f>
        <v>2.6874798841326037</v>
      </c>
      <c r="AA16" s="561">
        <f ca="1">IF(V16="","",(INDEX(OFFSET(Arb!$U$2,,,Arb!$AJ$5,),V16)+INDEX(OFFSET(Arb!$V$2,,,Arb!$AJ$5,),V16))/X16)</f>
        <v>3.0093337624718379</v>
      </c>
      <c r="AB16" s="33">
        <f t="shared" ca="1" si="7"/>
        <v>8.5400384790952</v>
      </c>
      <c r="AC16" s="774">
        <f t="shared" ca="1" si="8"/>
        <v>50.936655738123498</v>
      </c>
      <c r="AD16" s="74">
        <f ca="1">IF(V16="","",DATE(INDEX(OFFSET(Arb!$C$2,,,Arb!$AJ$5,),V16),INDEX(OFFSET(Arb!$B$2,,,Arb!$AJ$5,),V16),INDEX(OFFSET(Arb!$A$2,,,Arb!$AJ$5,),V16))+ROW()*0.001)</f>
        <v>44045.016000000003</v>
      </c>
    </row>
    <row r="17" spans="1:30" x14ac:dyDescent="0.25">
      <c r="A17" s="11">
        <v>16</v>
      </c>
      <c r="B17" s="11">
        <v>268</v>
      </c>
      <c r="C17" s="433">
        <f ca="1">IF(B17="",16,INDEX(OFFSET(Arb!$I$2,,,Arb!$AJ$5,),B17))</f>
        <v>10</v>
      </c>
      <c r="D17" s="686">
        <f ca="1">IF(B17="",10,INDEX(OFFSET(Arb!$H$2,,,Arb!$AJ$5,),B17))</f>
        <v>3.31</v>
      </c>
      <c r="E17" s="561">
        <f t="shared" ca="1" si="0"/>
        <v>3.0211480362537766</v>
      </c>
      <c r="F17" s="564">
        <f ca="1">IF(B17="","",INDEX(OFFSET(Arb!$X$2,,,Arb!$AJ$5,),B17)/D17)</f>
        <v>4.5317220543806647</v>
      </c>
      <c r="G17" s="564">
        <f ca="1">IF(B17="","",(INDEX(OFFSET(Arb!$U$2,,,Arb!$AJ$5,),B17)+INDEX(OFFSET(Arb!$V$2,,,Arb!$AJ$5,),B17))/D17)</f>
        <v>4.5317220543806647</v>
      </c>
      <c r="H17" s="33">
        <f t="shared" ca="1" si="1"/>
        <v>0.76508130402412788</v>
      </c>
      <c r="I17" s="776">
        <f t="shared" ca="1" si="2"/>
        <v>61.822187722036354</v>
      </c>
      <c r="J17" s="74">
        <f ca="1">IF(B17="","",DATE(INDEX(OFFSET(Arb!$C$2,,,Arb!$AJ$5,),B17),INDEX(OFFSET(Arb!$B$2,,,Arb!$AJ$5,),B17),INDEX(OFFSET(Arb!$A$2,,,Arb!$AJ$5,),B17))+ROW()*0.001)</f>
        <v>43777.017</v>
      </c>
      <c r="K17" s="11">
        <v>16</v>
      </c>
      <c r="L17" s="11">
        <v>2197</v>
      </c>
      <c r="M17" s="433">
        <f ca="1">IF(L17="",64,INDEX(OFFSET(Arb!$I$2,,,Arb!$AJ$5,),L17))</f>
        <v>36</v>
      </c>
      <c r="N17" s="688">
        <f ca="1">IF(L17="",60,INDEX(OFFSET(Arb!$H$2,,,Arb!$AJ$5,),L17))</f>
        <v>18.68</v>
      </c>
      <c r="O17" s="727">
        <f t="shared" ca="1" si="3"/>
        <v>1.9271948608137046</v>
      </c>
      <c r="P17" s="561">
        <f ca="1">IF(L17="","",INDEX(OFFSET(Arb!$X$2,,,Arb!$AJ$5,),L17)/N17)</f>
        <v>3.2119914346895078</v>
      </c>
      <c r="Q17" s="723">
        <f ca="1">IF(L17="","",(INDEX(OFFSET(Arb!$U$2,,,Arb!$AJ$5,),L17)+INDEX(OFFSET(Arb!$V$2,,,Arb!$AJ$5,),L17))/N17)</f>
        <v>3.8543897216274092</v>
      </c>
      <c r="R17" s="33">
        <f t="shared" ca="1" si="4"/>
        <v>4.0275244117023021</v>
      </c>
      <c r="S17" s="777">
        <f t="shared" ca="1" si="5"/>
        <v>38.169849338051158</v>
      </c>
      <c r="T17" s="74">
        <f ca="1">IF(L17="","",DATE(INDEX(OFFSET(Arb!$C$2,,,Arb!$AJ$5,),L17),INDEX(OFFSET(Arb!$B$2,,,Arb!$AJ$5,),L17),INDEX(OFFSET(Arb!$A$2,,,Arb!$AJ$5,),L17))+ROW()*0.001)</f>
        <v>43854.017</v>
      </c>
      <c r="U17" s="11">
        <v>16</v>
      </c>
      <c r="V17" s="11">
        <v>3244</v>
      </c>
      <c r="W17" s="433">
        <f ca="1">IF(V17="",164,INDEX(OFFSET(Arb!$I$2,,,Arb!$AJ$5,),V17))</f>
        <v>139</v>
      </c>
      <c r="X17" s="693">
        <f ca="1">IF(V17="",240,INDEX(OFFSET(Arb!$H$2,,,Arb!$AJ$5,),V17))</f>
        <v>62.18</v>
      </c>
      <c r="Y17" s="768">
        <f t="shared" ca="1" si="6"/>
        <v>2.2354454808620137</v>
      </c>
      <c r="Z17" s="725">
        <f ca="1">IF(V17="","",INDEX(OFFSET(Arb!$X$2,,,Arb!$AJ$5,),V17)/X17)</f>
        <v>2.8144097780636863</v>
      </c>
      <c r="AA17" s="561">
        <f ca="1">IF(V17="","",(INDEX(OFFSET(Arb!$U$2,,,Arb!$AJ$5,),V17)+INDEX(OFFSET(Arb!$V$2,,,Arb!$AJ$5,),V17))/X17)</f>
        <v>3.1199742682534577</v>
      </c>
      <c r="AB17" s="33">
        <f t="shared" ca="1" si="7"/>
        <v>8.0573349843627877</v>
      </c>
      <c r="AC17" s="774">
        <f t="shared" ca="1" si="8"/>
        <v>53.988198435863083</v>
      </c>
      <c r="AD17" s="74">
        <f ca="1">IF(V17="","",DATE(INDEX(OFFSET(Arb!$C$2,,,Arb!$AJ$5,),V17),INDEX(OFFSET(Arb!$B$2,,,Arb!$AJ$5,),V17),INDEX(OFFSET(Arb!$A$2,,,Arb!$AJ$5,),V17))+ROW()*0.001)</f>
        <v>44066.017</v>
      </c>
    </row>
    <row r="18" spans="1:30" x14ac:dyDescent="0.25">
      <c r="A18" s="11">
        <v>17</v>
      </c>
      <c r="B18" s="11">
        <v>188</v>
      </c>
      <c r="C18" s="433">
        <f ca="1">IF(B18="",16,INDEX(OFFSET(Arb!$I$2,,,Arb!$AJ$5,),B18))</f>
        <v>10</v>
      </c>
      <c r="D18" s="686">
        <f ca="1">IF(B18="",10,INDEX(OFFSET(Arb!$H$2,,,Arb!$AJ$5,),B18))</f>
        <v>3.33</v>
      </c>
      <c r="E18" s="561">
        <f t="shared" ca="1" si="0"/>
        <v>3.0030030030030028</v>
      </c>
      <c r="F18" s="724">
        <f ca="1">IF(B18="","",INDEX(OFFSET(Arb!$X$2,,,Arb!$AJ$5,),B18)/D18)</f>
        <v>3.303303303303303</v>
      </c>
      <c r="G18" s="723">
        <f ca="1">IF(B18="","",(INDEX(OFFSET(Arb!$U$2,,,Arb!$AJ$5,),B18)+INDEX(OFFSET(Arb!$V$2,,,Arb!$AJ$5,),B18))/D18)</f>
        <v>3.9039039039039038</v>
      </c>
      <c r="H18" s="33">
        <f t="shared" ca="1" si="1"/>
        <v>0.77295675509676476</v>
      </c>
      <c r="I18" s="776">
        <f t="shared" ca="1" si="2"/>
        <v>61.192297871927828</v>
      </c>
      <c r="J18" s="74">
        <f ca="1">IF(B18="","",DATE(INDEX(OFFSET(Arb!$C$2,,,Arb!$AJ$5,),B18),INDEX(OFFSET(Arb!$B$2,,,Arb!$AJ$5,),B18),INDEX(OFFSET(Arb!$A$2,,,Arb!$AJ$5,),B18))+ROW()*0.001)</f>
        <v>43774.017999999996</v>
      </c>
      <c r="K18" s="11">
        <v>17</v>
      </c>
      <c r="L18" s="11">
        <v>2114</v>
      </c>
      <c r="M18" s="433">
        <f ca="1">IF(L18="",64,INDEX(OFFSET(Arb!$I$2,,,Arb!$AJ$5,),L18))</f>
        <v>55</v>
      </c>
      <c r="N18" s="688">
        <f ca="1">IF(L18="",60,INDEX(OFFSET(Arb!$H$2,,,Arb!$AJ$5,),L18))</f>
        <v>18.7</v>
      </c>
      <c r="O18" s="725">
        <f t="shared" ca="1" si="3"/>
        <v>2.9411764705882355</v>
      </c>
      <c r="P18" s="724">
        <f ca="1">IF(L18="","",INDEX(OFFSET(Arb!$X$2,,,Arb!$AJ$5,),L18)/N18)</f>
        <v>3.4224598930481283</v>
      </c>
      <c r="Q18" s="562">
        <f ca="1">IF(L18="","",(INDEX(OFFSET(Arb!$U$2,,,Arb!$AJ$5,),L18)+INDEX(OFFSET(Arb!$V$2,,,Arb!$AJ$5,),L18))/N18)</f>
        <v>3.6363636363636367</v>
      </c>
      <c r="R18" s="33">
        <f t="shared" ca="1" si="4"/>
        <v>2.6409978132937173</v>
      </c>
      <c r="S18" s="776">
        <f t="shared" ca="1" si="5"/>
        <v>58.209059934160187</v>
      </c>
      <c r="T18" s="74">
        <f ca="1">IF(L18="","",DATE(INDEX(OFFSET(Arb!$C$2,,,Arb!$AJ$5,),L18),INDEX(OFFSET(Arb!$B$2,,,Arb!$AJ$5,),L18),INDEX(OFFSET(Arb!$A$2,,,Arb!$AJ$5,),L18))+ROW()*0.001)</f>
        <v>43811.017999999996</v>
      </c>
      <c r="U18" s="11">
        <v>17</v>
      </c>
      <c r="V18" s="11">
        <v>3203</v>
      </c>
      <c r="W18" s="433">
        <f ca="1">IF(V18="",164,INDEX(OFFSET(Arb!$I$2,,,Arb!$AJ$5,),V18))</f>
        <v>143</v>
      </c>
      <c r="X18" s="693">
        <f ca="1">IF(V18="",240,INDEX(OFFSET(Arb!$H$2,,,Arb!$AJ$5,),V18))</f>
        <v>62.44</v>
      </c>
      <c r="Y18" s="769">
        <f t="shared" ca="1" si="6"/>
        <v>2.2901985906470212</v>
      </c>
      <c r="Z18" s="725">
        <f ca="1">IF(V18="","",INDEX(OFFSET(Arb!$X$2,,,Arb!$AJ$5,),V18)/X18)</f>
        <v>2.8507367072389496</v>
      </c>
      <c r="AA18" s="561">
        <f ca="1">IF(V18="","",(INDEX(OFFSET(Arb!$U$2,,,Arb!$AJ$5,),V18)+INDEX(OFFSET(Arb!$V$2,,,Arb!$AJ$5,),V18))/X18)</f>
        <v>3.2351057014734148</v>
      </c>
      <c r="AB18" s="33">
        <f t="shared" ca="1" si="7"/>
        <v>7.8877090568016728</v>
      </c>
      <c r="AC18" s="774">
        <f t="shared" ca="1" si="8"/>
        <v>55.149219737623696</v>
      </c>
      <c r="AD18" s="74">
        <f ca="1">IF(V18="","",DATE(INDEX(OFFSET(Arb!$C$2,,,Arb!$AJ$5,),V18),INDEX(OFFSET(Arb!$B$2,,,Arb!$AJ$5,),V18),INDEX(OFFSET(Arb!$A$2,,,Arb!$AJ$5,),V18))+ROW()*0.001)</f>
        <v>44058.017999999996</v>
      </c>
    </row>
    <row r="19" spans="1:30" x14ac:dyDescent="0.25">
      <c r="A19" s="11">
        <v>18</v>
      </c>
      <c r="B19" s="11">
        <v>1400</v>
      </c>
      <c r="C19" s="433">
        <f ca="1">IF(B19="",16,INDEX(OFFSET(Arb!$I$2,,,Arb!$AJ$5,),B19))</f>
        <v>12</v>
      </c>
      <c r="D19" s="686">
        <f ca="1">IF(B19="",10,INDEX(OFFSET(Arb!$H$2,,,Arb!$AJ$5,),B19))</f>
        <v>3.35</v>
      </c>
      <c r="E19" s="562">
        <f t="shared" ca="1" si="0"/>
        <v>3.5820895522388061</v>
      </c>
      <c r="F19" s="563">
        <f ca="1">IF(B19="","",INDEX(OFFSET(Arb!$X$2,,,Arb!$AJ$5,),B19)/D19)</f>
        <v>4.1791044776119399</v>
      </c>
      <c r="G19" s="565">
        <f ca="1">IF(B19="","",(INDEX(OFFSET(Arb!$U$2,,,Arb!$AJ$5,),B19)+INDEX(OFFSET(Arb!$V$2,,,Arb!$AJ$5,),B19))/D19)</f>
        <v>5.0746268656716413</v>
      </c>
      <c r="H19" s="33">
        <f t="shared" ca="1" si="1"/>
        <v>0.65072115500174688</v>
      </c>
      <c r="I19" s="773">
        <f t="shared" ca="1" si="2"/>
        <v>72.687048263972642</v>
      </c>
      <c r="J19" s="74">
        <f ca="1">IF(B19="","",DATE(INDEX(OFFSET(Arb!$C$2,,,Arb!$AJ$5,),B19),INDEX(OFFSET(Arb!$B$2,,,Arb!$AJ$5,),B19),INDEX(OFFSET(Arb!$A$2,,,Arb!$AJ$5,),B19))+ROW()*0.001)</f>
        <v>43940.019</v>
      </c>
      <c r="K19" s="11">
        <v>18</v>
      </c>
      <c r="L19" s="11">
        <v>1897</v>
      </c>
      <c r="M19" s="433">
        <f ca="1">IF(L19="",64,INDEX(OFFSET(Arb!$I$2,,,Arb!$AJ$5,),L19))</f>
        <v>40</v>
      </c>
      <c r="N19" s="688">
        <f ca="1">IF(L19="",60,INDEX(OFFSET(Arb!$H$2,,,Arb!$AJ$5,),L19))</f>
        <v>18.940000000000001</v>
      </c>
      <c r="O19" s="768">
        <f t="shared" ca="1" si="3"/>
        <v>2.1119324181626187</v>
      </c>
      <c r="P19" s="725">
        <f ca="1">IF(L19="","",INDEX(OFFSET(Arb!$X$2,,,Arb!$AJ$5,),L19)/N19)</f>
        <v>2.7983104540654695</v>
      </c>
      <c r="Q19" s="561">
        <f ca="1">IF(L19="","",(INDEX(OFFSET(Arb!$U$2,,,Arb!$AJ$5,),L19)+INDEX(OFFSET(Arb!$V$2,,,Arb!$AJ$5,),L19))/N19)</f>
        <v>3.2206969376979933</v>
      </c>
      <c r="R19" s="33">
        <f t="shared" ca="1" si="4"/>
        <v>3.7109573719733171</v>
      </c>
      <c r="S19" s="777">
        <f t="shared" ca="1" si="5"/>
        <v>41.425967638710283</v>
      </c>
      <c r="T19" s="74">
        <f ca="1">IF(L19="","",DATE(INDEX(OFFSET(Arb!$C$2,,,Arb!$AJ$5,),L19),INDEX(OFFSET(Arb!$B$2,,,Arb!$AJ$5,),L19),INDEX(OFFSET(Arb!$A$2,,,Arb!$AJ$5,),L19))+ROW()*0.001)</f>
        <v>43765.019</v>
      </c>
      <c r="U19" s="11">
        <v>18</v>
      </c>
      <c r="V19" s="11">
        <v>2824</v>
      </c>
      <c r="W19" s="433">
        <f ca="1">IF(V19="",164,INDEX(OFFSET(Arb!$I$2,,,Arb!$AJ$5,),V19))</f>
        <v>125</v>
      </c>
      <c r="X19" s="693">
        <f ca="1">IF(V19="",240,INDEX(OFFSET(Arb!$H$2,,,Arb!$AJ$5,),V19))</f>
        <v>62.53</v>
      </c>
      <c r="Y19" s="727">
        <f t="shared" ca="1" si="6"/>
        <v>1.999040460578922</v>
      </c>
      <c r="Z19" s="726">
        <f ca="1">IF(V19="","",INDEX(OFFSET(Arb!$X$2,,,Arb!$AJ$5,),V19)/X19)</f>
        <v>2.5427794658563889</v>
      </c>
      <c r="AA19" s="725">
        <f ca="1">IF(V19="","",(INDEX(OFFSET(Arb!$U$2,,,Arb!$AJ$5,),V19)+INDEX(OFFSET(Arb!$V$2,,,Arb!$AJ$5,),V19))/X19)</f>
        <v>2.8146489684951224</v>
      </c>
      <c r="AB19" s="33">
        <f t="shared" ca="1" si="7"/>
        <v>9.0456611642333478</v>
      </c>
      <c r="AC19" s="777">
        <f t="shared" ca="1" si="8"/>
        <v>48.089464341202515</v>
      </c>
      <c r="AD19" s="74">
        <f ca="1">IF(V19="","",DATE(INDEX(OFFSET(Arb!$C$2,,,Arb!$AJ$5,),V19),INDEX(OFFSET(Arb!$B$2,,,Arb!$AJ$5,),V19),INDEX(OFFSET(Arb!$A$2,,,Arb!$AJ$5,),V19))+ROW()*0.001)</f>
        <v>43900.019</v>
      </c>
    </row>
    <row r="20" spans="1:30" x14ac:dyDescent="0.25">
      <c r="A20" s="11">
        <v>19</v>
      </c>
      <c r="B20" s="11">
        <v>1029</v>
      </c>
      <c r="C20" s="433">
        <f ca="1">IF(B20="",16,INDEX(OFFSET(Arb!$I$2,,,Arb!$AJ$5,),B20))</f>
        <v>11</v>
      </c>
      <c r="D20" s="686">
        <f ca="1">IF(B20="",10,INDEX(OFFSET(Arb!$H$2,,,Arb!$AJ$5,),B20))</f>
        <v>3.37</v>
      </c>
      <c r="E20" s="724">
        <f t="shared" ca="1" si="0"/>
        <v>3.2640949554896141</v>
      </c>
      <c r="F20" s="723">
        <f ca="1">IF(B20="","",INDEX(OFFSET(Arb!$X$2,,,Arb!$AJ$5,),B20)/D20)</f>
        <v>3.857566765578635</v>
      </c>
      <c r="G20" s="565">
        <f ca="1">IF(B20="","",(INDEX(OFFSET(Arb!$U$2,,,Arb!$AJ$5,),B20)+INDEX(OFFSET(Arb!$V$2,,,Arb!$AJ$5,),B20))/D20)</f>
        <v>5.0445103857566762</v>
      </c>
      <c r="H20" s="33">
        <f t="shared" ca="1" si="1"/>
        <v>0.71709739744408862</v>
      </c>
      <c r="I20" s="775">
        <f t="shared" ca="1" si="2"/>
        <v>65.958962016296894</v>
      </c>
      <c r="J20" s="74">
        <f ca="1">IF(B20="","",DATE(INDEX(OFFSET(Arb!$C$2,,,Arb!$AJ$5,),B20),INDEX(OFFSET(Arb!$B$2,,,Arb!$AJ$5,),B20),INDEX(OFFSET(Arb!$A$2,,,Arb!$AJ$5,),B20))+ROW()*0.001)</f>
        <v>43841.02</v>
      </c>
      <c r="K20" s="11">
        <v>19</v>
      </c>
      <c r="L20" s="11">
        <v>2356</v>
      </c>
      <c r="M20" s="433">
        <f ca="1">IF(L20="",64,INDEX(OFFSET(Arb!$I$2,,,Arb!$AJ$5,),L20))</f>
        <v>45</v>
      </c>
      <c r="N20" s="693">
        <f ca="1">IF(L20="",60,INDEX(OFFSET(Arb!$H$2,,,Arb!$AJ$5,),L20))</f>
        <v>19.03</v>
      </c>
      <c r="O20" s="769">
        <f t="shared" ca="1" si="3"/>
        <v>2.3646873357856015</v>
      </c>
      <c r="P20" s="725">
        <f ca="1">IF(L20="","",INDEX(OFFSET(Arb!$X$2,,,Arb!$AJ$5,),L20)/N20)</f>
        <v>2.8901734104046239</v>
      </c>
      <c r="Q20" s="723">
        <f ca="1">IF(L20="","",(INDEX(OFFSET(Arb!$U$2,,,Arb!$AJ$5,),L20)+INDEX(OFFSET(Arb!$V$2,,,Arb!$AJ$5,),L20))/N20)</f>
        <v>3.7834997372569625</v>
      </c>
      <c r="R20" s="33">
        <f t="shared" ca="1" si="4"/>
        <v>3.3253198615831825</v>
      </c>
      <c r="S20" s="777">
        <f t="shared" ca="1" si="5"/>
        <v>46.230139174283593</v>
      </c>
      <c r="T20" s="74">
        <f ca="1">IF(L20="","",DATE(INDEX(OFFSET(Arb!$C$2,,,Arb!$AJ$5,),L20),INDEX(OFFSET(Arb!$B$2,,,Arb!$AJ$5,),L20),INDEX(OFFSET(Arb!$A$2,,,Arb!$AJ$5,),L20))+ROW()*0.001)</f>
        <v>44114.02</v>
      </c>
      <c r="U20" s="11">
        <v>19</v>
      </c>
      <c r="V20" s="11">
        <v>3346</v>
      </c>
      <c r="W20" s="433">
        <f ca="1">IF(V20="",164,INDEX(OFFSET(Arb!$I$2,,,Arb!$AJ$5,),V20))</f>
        <v>158</v>
      </c>
      <c r="X20" s="693">
        <f ca="1">IF(V20="",240,INDEX(OFFSET(Arb!$H$2,,,Arb!$AJ$5,),V20))</f>
        <v>62.62</v>
      </c>
      <c r="Y20" s="726">
        <f t="shared" ca="1" si="6"/>
        <v>2.523155541360588</v>
      </c>
      <c r="Z20" s="561">
        <f ca="1">IF(V20="","",INDEX(OFFSET(Arb!$X$2,,,Arb!$AJ$5,),V20)/X20)</f>
        <v>3.018205046311083</v>
      </c>
      <c r="AA20" s="724">
        <f ca="1">IF(V20="","",(INDEX(OFFSET(Arb!$U$2,,,Arb!$AJ$5,),V20)+INDEX(OFFSET(Arb!$V$2,,,Arb!$AJ$5,),V20))/X20)</f>
        <v>3.2896838070903867</v>
      </c>
      <c r="AB20" s="33">
        <f t="shared" ca="1" si="7"/>
        <v>7.1738967302240342</v>
      </c>
      <c r="AC20" s="776">
        <f t="shared" ca="1" si="8"/>
        <v>60.636640916130851</v>
      </c>
      <c r="AD20" s="74">
        <f ca="1">IF(V20="","",DATE(INDEX(OFFSET(Arb!$C$2,,,Arb!$AJ$5,),V20),INDEX(OFFSET(Arb!$B$2,,,Arb!$AJ$5,),V20),INDEX(OFFSET(Arb!$A$2,,,Arb!$AJ$5,),V20))+ROW()*0.001)</f>
        <v>44098.02</v>
      </c>
    </row>
    <row r="21" spans="1:30" x14ac:dyDescent="0.25">
      <c r="A21" s="11">
        <v>20</v>
      </c>
      <c r="B21" s="11">
        <v>1860</v>
      </c>
      <c r="C21" s="433">
        <f ca="1">IF(B21="",16,INDEX(OFFSET(Arb!$I$2,,,Arb!$AJ$5,),B21))</f>
        <v>14</v>
      </c>
      <c r="D21" s="686">
        <f ca="1">IF(B21="",10,INDEX(OFFSET(Arb!$H$2,,,Arb!$AJ$5,),B21))</f>
        <v>3.38</v>
      </c>
      <c r="E21" s="563">
        <f t="shared" ca="1" si="0"/>
        <v>4.1420118343195265</v>
      </c>
      <c r="F21" s="722">
        <f ca="1">IF(B21="","",INDEX(OFFSET(Arb!$X$2,,,Arb!$AJ$5,),B21)/D21)</f>
        <v>4.4378698224852071</v>
      </c>
      <c r="G21" s="565">
        <f ca="1">IF(B21="","",(INDEX(OFFSET(Arb!$U$2,,,Arb!$AJ$5,),B21)+INDEX(OFFSET(Arb!$V$2,,,Arb!$AJ$5,),B21))/D21)</f>
        <v>5.0295857988165684</v>
      </c>
      <c r="H21" s="33">
        <f t="shared" ca="1" si="1"/>
        <v>0.56627886743091593</v>
      </c>
      <c r="I21" s="761">
        <f t="shared" ca="1" si="2"/>
        <v>83.525984670035939</v>
      </c>
      <c r="J21" s="74">
        <f ca="1">IF(B21="","",DATE(INDEX(OFFSET(Arb!$C$2,,,Arb!$AJ$5,),B21),INDEX(OFFSET(Arb!$B$2,,,Arb!$AJ$5,),B21),INDEX(OFFSET(Arb!$A$2,,,Arb!$AJ$5,),B21))+ROW()*0.001)</f>
        <v>44168.021000000001</v>
      </c>
      <c r="K21" s="11">
        <v>20</v>
      </c>
      <c r="L21" s="11">
        <v>2336</v>
      </c>
      <c r="M21" s="433">
        <f ca="1">IF(L21="",64,INDEX(OFFSET(Arb!$I$2,,,Arb!$AJ$5,),L21))</f>
        <v>47</v>
      </c>
      <c r="N21" s="693">
        <f ca="1">IF(L21="",60,INDEX(OFFSET(Arb!$H$2,,,Arb!$AJ$5,),L21))</f>
        <v>19.12</v>
      </c>
      <c r="O21" s="769">
        <f t="shared" ca="1" si="3"/>
        <v>2.4581589958158996</v>
      </c>
      <c r="P21" s="724">
        <f ca="1">IF(L21="","",INDEX(OFFSET(Arb!$X$2,,,Arb!$AJ$5,),L21)/N21)</f>
        <v>3.3472803347280333</v>
      </c>
      <c r="Q21" s="723">
        <f ca="1">IF(L21="","",(INDEX(OFFSET(Arb!$U$2,,,Arb!$AJ$5,),L21)+INDEX(OFFSET(Arb!$V$2,,,Arb!$AJ$5,),L21))/N21)</f>
        <v>3.9225941422594142</v>
      </c>
      <c r="R21" s="33">
        <f t="shared" ca="1" si="4"/>
        <v>3.2094569271293829</v>
      </c>
      <c r="S21" s="777">
        <f t="shared" ca="1" si="5"/>
        <v>47.899069372306506</v>
      </c>
      <c r="T21" s="74">
        <f ca="1">IF(L21="","",DATE(INDEX(OFFSET(Arb!$C$2,,,Arb!$AJ$5,),L21),INDEX(OFFSET(Arb!$B$2,,,Arb!$AJ$5,),L21),INDEX(OFFSET(Arb!$A$2,,,Arb!$AJ$5,),L21))+ROW()*0.001)</f>
        <v>44093.021000000001</v>
      </c>
      <c r="U21" s="11">
        <v>20</v>
      </c>
      <c r="V21" s="11">
        <v>3332</v>
      </c>
      <c r="W21" s="433">
        <f ca="1">IF(V21="",164,INDEX(OFFSET(Arb!$I$2,,,Arb!$AJ$5,),V21))</f>
        <v>160</v>
      </c>
      <c r="X21" s="693">
        <f ca="1">IF(V21="",240,INDEX(OFFSET(Arb!$H$2,,,Arb!$AJ$5,),V21))</f>
        <v>62.63</v>
      </c>
      <c r="Y21" s="726">
        <f t="shared" ca="1" si="6"/>
        <v>2.5546862525946032</v>
      </c>
      <c r="Z21" s="561">
        <f ca="1">IF(V21="","",INDEX(OFFSET(Arb!$X$2,,,Arb!$AJ$5,),V21)/X21)</f>
        <v>3.1773910266645378</v>
      </c>
      <c r="AA21" s="724">
        <f ca="1">IF(V21="","",(INDEX(OFFSET(Arb!$U$2,,,Arb!$AJ$5,),V21)+INDEX(OFFSET(Arb!$V$2,,,Arb!$AJ$5,),V21))/X21)</f>
        <v>3.432859651923998</v>
      </c>
      <c r="AB21" s="33">
        <f t="shared" ca="1" si="7"/>
        <v>7.0861463446750745</v>
      </c>
      <c r="AC21" s="776">
        <f t="shared" ca="1" si="8"/>
        <v>61.387526991576173</v>
      </c>
      <c r="AD21" s="74">
        <f ca="1">IF(V21="","",DATE(INDEX(OFFSET(Arb!$C$2,,,Arb!$AJ$5,),V21),INDEX(OFFSET(Arb!$B$2,,,Arb!$AJ$5,),V21),INDEX(OFFSET(Arb!$A$2,,,Arb!$AJ$5,),V21))+ROW()*0.001)</f>
        <v>44096.021000000001</v>
      </c>
    </row>
    <row r="22" spans="1:30" x14ac:dyDescent="0.25">
      <c r="A22" s="11">
        <v>21</v>
      </c>
      <c r="B22" s="11">
        <v>1619</v>
      </c>
      <c r="C22" s="433">
        <f ca="1">IF(B22="",16,INDEX(OFFSET(Arb!$I$2,,,Arb!$AJ$5,),B22))</f>
        <v>12</v>
      </c>
      <c r="D22" s="686">
        <f ca="1">IF(B22="",10,INDEX(OFFSET(Arb!$H$2,,,Arb!$AJ$5,),B22))</f>
        <v>3.4</v>
      </c>
      <c r="E22" s="562">
        <f t="shared" ca="1" si="0"/>
        <v>3.5294117647058822</v>
      </c>
      <c r="F22" s="563">
        <f ca="1">IF(B22="","",INDEX(OFFSET(Arb!$X$2,,,Arb!$AJ$5,),B22)/D22)</f>
        <v>4.1176470588235299</v>
      </c>
      <c r="G22" s="565">
        <f ca="1">IF(B22="","",(INDEX(OFFSET(Arb!$U$2,,,Arb!$AJ$5,),B22)+INDEX(OFFSET(Arb!$V$2,,,Arb!$AJ$5,),B22))/D22)</f>
        <v>5</v>
      </c>
      <c r="H22" s="33">
        <f t="shared" ca="1" si="1"/>
        <v>0.66731811279785891</v>
      </c>
      <c r="I22" s="773">
        <f t="shared" ca="1" si="2"/>
        <v>70.879238990966229</v>
      </c>
      <c r="J22" s="74">
        <f ca="1">IF(B22="","",DATE(INDEX(OFFSET(Arb!$C$2,,,Arb!$AJ$5,),B22),INDEX(OFFSET(Arb!$B$2,,,Arb!$AJ$5,),B22),INDEX(OFFSET(Arb!$A$2,,,Arb!$AJ$5,),B22))+ROW()*0.001)</f>
        <v>44093.021999999997</v>
      </c>
      <c r="K22" s="11">
        <v>21</v>
      </c>
      <c r="L22" s="11">
        <v>2212</v>
      </c>
      <c r="M22" s="433">
        <f ca="1">IF(L22="",64,INDEX(OFFSET(Arb!$I$2,,,Arb!$AJ$5,),L22))</f>
        <v>52</v>
      </c>
      <c r="N22" s="693">
        <f ca="1">IF(L22="",60,INDEX(OFFSET(Arb!$H$2,,,Arb!$AJ$5,),L22))</f>
        <v>19.59</v>
      </c>
      <c r="O22" s="726">
        <f t="shared" ca="1" si="3"/>
        <v>2.6544155181214908</v>
      </c>
      <c r="P22" s="561">
        <f ca="1">IF(L22="","",INDEX(OFFSET(Arb!$X$2,,,Arb!$AJ$5,),L22)/N22)</f>
        <v>3.0627871362940278</v>
      </c>
      <c r="Q22" s="562">
        <f ca="1">IF(L22="","",(INDEX(OFFSET(Arb!$U$2,,,Arb!$AJ$5,),L22)+INDEX(OFFSET(Arb!$V$2,,,Arb!$AJ$5,),L22))/N22)</f>
        <v>3.624298111281266</v>
      </c>
      <c r="R22" s="33">
        <f t="shared" ca="1" si="4"/>
        <v>3.0231186851502039</v>
      </c>
      <c r="S22" s="774">
        <f t="shared" ca="1" si="5"/>
        <v>50.85146036612251</v>
      </c>
      <c r="T22" s="74">
        <f ca="1">IF(L22="","",DATE(INDEX(OFFSET(Arb!$C$2,,,Arb!$AJ$5,),L22),INDEX(OFFSET(Arb!$B$2,,,Arb!$AJ$5,),L22),INDEX(OFFSET(Arb!$A$2,,,Arb!$AJ$5,),L22))+ROW()*0.001)</f>
        <v>43869.021999999997</v>
      </c>
      <c r="U22" s="11">
        <v>21</v>
      </c>
      <c r="V22" s="11">
        <v>3046</v>
      </c>
      <c r="W22" s="433">
        <f ca="1">IF(V22="",164,INDEX(OFFSET(Arb!$I$2,,,Arb!$AJ$5,),V22))</f>
        <v>131</v>
      </c>
      <c r="X22" s="693">
        <f ca="1">IF(V22="",240,INDEX(OFFSET(Arb!$H$2,,,Arb!$AJ$5,),V22))</f>
        <v>62.75</v>
      </c>
      <c r="Y22" s="768">
        <f t="shared" ca="1" si="6"/>
        <v>2.0876494023904382</v>
      </c>
      <c r="Z22" s="726">
        <f ca="1">IF(V22="","",INDEX(OFFSET(Arb!$X$2,,,Arb!$AJ$5,),V22)/X22)</f>
        <v>2.6772908366533863</v>
      </c>
      <c r="AA22" s="561">
        <f ca="1">IF(V22="","",(INDEX(OFFSET(Arb!$U$2,,,Arb!$AJ$5,),V22)+INDEX(OFFSET(Arb!$V$2,,,Arb!$AJ$5,),V22))/X22)</f>
        <v>3.1394422310756971</v>
      </c>
      <c r="AB22" s="33">
        <f t="shared" ca="1" si="7"/>
        <v>8.6830448768170445</v>
      </c>
      <c r="AC22" s="774">
        <f t="shared" ca="1" si="8"/>
        <v>50.097748678164024</v>
      </c>
      <c r="AD22" s="74">
        <f ca="1">IF(V22="","",DATE(INDEX(OFFSET(Arb!$C$2,,,Arb!$AJ$5,),V22),INDEX(OFFSET(Arb!$B$2,,,Arb!$AJ$5,),V22),INDEX(OFFSET(Arb!$A$2,,,Arb!$AJ$5,),V22))+ROW()*0.001)</f>
        <v>43980.021999999997</v>
      </c>
    </row>
    <row r="23" spans="1:30" x14ac:dyDescent="0.25">
      <c r="A23" s="11">
        <v>22</v>
      </c>
      <c r="B23" s="11">
        <v>1745</v>
      </c>
      <c r="C23" s="433">
        <f ca="1">IF(B23="",16,INDEX(OFFSET(Arb!$I$2,,,Arb!$AJ$5,),B23))</f>
        <v>10</v>
      </c>
      <c r="D23" s="686">
        <f ca="1">IF(B23="",10,INDEX(OFFSET(Arb!$H$2,,,Arb!$AJ$5,),B23))</f>
        <v>3.44</v>
      </c>
      <c r="E23" s="725">
        <f t="shared" ca="1" si="0"/>
        <v>2.9069767441860463</v>
      </c>
      <c r="F23" s="561">
        <f ca="1">IF(B23="","",INDEX(OFFSET(Arb!$X$2,,,Arb!$AJ$5,),B23)/D23)</f>
        <v>3.1976744186046511</v>
      </c>
      <c r="G23" s="564">
        <f ca="1">IF(B23="","",(INDEX(OFFSET(Arb!$U$2,,,Arb!$AJ$5,),B23)+INDEX(OFFSET(Arb!$V$2,,,Arb!$AJ$5,),B23))/D23)</f>
        <v>4.6511627906976747</v>
      </c>
      <c r="H23" s="33">
        <f t="shared" ca="1" si="1"/>
        <v>0.81686323950638795</v>
      </c>
      <c r="I23" s="776">
        <f t="shared" ca="1" si="2"/>
        <v>57.903205472413866</v>
      </c>
      <c r="J23" s="74">
        <f ca="1">IF(B23="","",DATE(INDEX(OFFSET(Arb!$C$2,,,Arb!$AJ$5,),B23),INDEX(OFFSET(Arb!$B$2,,,Arb!$AJ$5,),B23),INDEX(OFFSET(Arb!$A$2,,,Arb!$AJ$5,),B23))+ROW()*0.001)</f>
        <v>44114.023000000001</v>
      </c>
      <c r="K23" s="11">
        <v>22</v>
      </c>
      <c r="L23" s="11">
        <v>2198</v>
      </c>
      <c r="M23" s="433">
        <f ca="1">IF(L23="",64,INDEX(OFFSET(Arb!$I$2,,,Arb!$AJ$5,),L23))</f>
        <v>45</v>
      </c>
      <c r="N23" s="693">
        <f ca="1">IF(L23="",60,INDEX(OFFSET(Arb!$H$2,,,Arb!$AJ$5,),L23))</f>
        <v>19.670000000000002</v>
      </c>
      <c r="O23" s="769">
        <f t="shared" ca="1" si="3"/>
        <v>2.2877478393492625</v>
      </c>
      <c r="P23" s="725">
        <f ca="1">IF(L23="","",INDEX(OFFSET(Arb!$X$2,,,Arb!$AJ$5,),L23)/N23)</f>
        <v>2.7961362480935432</v>
      </c>
      <c r="Q23" s="561">
        <f ca="1">IF(L23="","",(INDEX(OFFSET(Arb!$U$2,,,Arb!$AJ$5,),L23)+INDEX(OFFSET(Arb!$V$2,,,Arb!$AJ$5,),L23))/N23)</f>
        <v>3.2028469750889679</v>
      </c>
      <c r="R23" s="33">
        <f t="shared" ca="1" si="4"/>
        <v>3.5176684054162504</v>
      </c>
      <c r="S23" s="777">
        <f t="shared" ca="1" si="5"/>
        <v>43.702243157228153</v>
      </c>
      <c r="T23" s="74">
        <f ca="1">IF(L23="","",DATE(INDEX(OFFSET(Arb!$C$2,,,Arb!$AJ$5,),L23),INDEX(OFFSET(Arb!$B$2,,,Arb!$AJ$5,),L23),INDEX(OFFSET(Arb!$A$2,,,Arb!$AJ$5,),L23))+ROW()*0.001)</f>
        <v>43854.023000000001</v>
      </c>
      <c r="U23" s="11">
        <v>22</v>
      </c>
      <c r="V23" s="11">
        <v>3086</v>
      </c>
      <c r="W23" s="433">
        <f ca="1">IF(V23="",164,INDEX(OFFSET(Arb!$I$2,,,Arb!$AJ$5,),V23))</f>
        <v>135</v>
      </c>
      <c r="X23" s="693">
        <f ca="1">IF(V23="",240,INDEX(OFFSET(Arb!$H$2,,,Arb!$AJ$5,),V23))</f>
        <v>62.85</v>
      </c>
      <c r="Y23" s="768">
        <f t="shared" ca="1" si="6"/>
        <v>2.1479713603818613</v>
      </c>
      <c r="Z23" s="726">
        <f ca="1">IF(V23="","",INDEX(OFFSET(Arb!$X$2,,,Arb!$AJ$5,),V23)/X23)</f>
        <v>2.6412092283213999</v>
      </c>
      <c r="AA23" s="725">
        <f ca="1">IF(V23="","",(INDEX(OFFSET(Arb!$U$2,,,Arb!$AJ$5,),V23)+INDEX(OFFSET(Arb!$V$2,,,Arb!$AJ$5,),V23))/X23)</f>
        <v>2.9276054097056483</v>
      </c>
      <c r="AB23" s="33">
        <f t="shared" ca="1" si="7"/>
        <v>8.4486089889267308</v>
      </c>
      <c r="AC23" s="774">
        <f t="shared" ca="1" si="8"/>
        <v>51.487884049331576</v>
      </c>
      <c r="AD23" s="74">
        <f ca="1">IF(V23="","",DATE(INDEX(OFFSET(Arb!$C$2,,,Arb!$AJ$5,),V23),INDEX(OFFSET(Arb!$B$2,,,Arb!$AJ$5,),V23),INDEX(OFFSET(Arb!$A$2,,,Arb!$AJ$5,),V23))+ROW()*0.001)</f>
        <v>44003.023000000001</v>
      </c>
    </row>
    <row r="24" spans="1:30" x14ac:dyDescent="0.25">
      <c r="A24" s="11">
        <v>23</v>
      </c>
      <c r="B24" s="11">
        <v>991</v>
      </c>
      <c r="C24" s="433">
        <f ca="1">IF(B24="",16,INDEX(OFFSET(Arb!$I$2,,,Arb!$AJ$5,),B24))</f>
        <v>11</v>
      </c>
      <c r="D24" s="686">
        <f ca="1">IF(B24="",10,INDEX(OFFSET(Arb!$H$2,,,Arb!$AJ$5,),B24))</f>
        <v>3.44</v>
      </c>
      <c r="E24" s="561">
        <f t="shared" ca="1" si="0"/>
        <v>3.1976744186046511</v>
      </c>
      <c r="F24" s="563">
        <f ca="1">IF(B24="","",INDEX(OFFSET(Arb!$X$2,,,Arb!$AJ$5,),B24)/D24)</f>
        <v>4.0697674418604652</v>
      </c>
      <c r="G24" s="564">
        <f ca="1">IF(B24="","",(INDEX(OFFSET(Arb!$U$2,,,Arb!$AJ$5,),B24)+INDEX(OFFSET(Arb!$V$2,,,Arb!$AJ$5,),B24))/D24)</f>
        <v>4.6511627906976747</v>
      </c>
      <c r="H24" s="33">
        <f t="shared" ca="1" si="1"/>
        <v>0.74260294500580715</v>
      </c>
      <c r="I24" s="775">
        <f t="shared" ca="1" si="2"/>
        <v>63.693526019655259</v>
      </c>
      <c r="J24" s="74">
        <f ca="1">IF(B24="","",DATE(INDEX(OFFSET(Arb!$C$2,,,Arb!$AJ$5,),B24),INDEX(OFFSET(Arb!$B$2,,,Arb!$AJ$5,),B24),INDEX(OFFSET(Arb!$A$2,,,Arb!$AJ$5,),B24))+ROW()*0.001)</f>
        <v>43822.023999999998</v>
      </c>
      <c r="K24" s="11">
        <v>23</v>
      </c>
      <c r="L24" s="11">
        <v>1912</v>
      </c>
      <c r="M24" s="433">
        <f ca="1">IF(L24="",64,INDEX(OFFSET(Arb!$I$2,,,Arb!$AJ$5,),L24))</f>
        <v>44</v>
      </c>
      <c r="N24" s="693">
        <f ca="1">IF(L24="",60,INDEX(OFFSET(Arb!$H$2,,,Arb!$AJ$5,),L24))</f>
        <v>19.739999999999998</v>
      </c>
      <c r="O24" s="768">
        <f t="shared" ca="1" si="3"/>
        <v>2.2289766970618037</v>
      </c>
      <c r="P24" s="561">
        <f ca="1">IF(L24="","",INDEX(OFFSET(Arb!$X$2,,,Arb!$AJ$5,),L24)/N24)</f>
        <v>3.191489361702128</v>
      </c>
      <c r="Q24" s="562">
        <f ca="1">IF(L24="","",(INDEX(OFFSET(Arb!$U$2,,,Arb!$AJ$5,),L24)+INDEX(OFFSET(Arb!$V$2,,,Arb!$AJ$5,),L24))/N24)</f>
        <v>3.5967578520770012</v>
      </c>
      <c r="R24" s="33">
        <f t="shared" ca="1" si="4"/>
        <v>3.619407447454654</v>
      </c>
      <c r="S24" s="777">
        <f t="shared" ca="1" si="5"/>
        <v>42.473803303938745</v>
      </c>
      <c r="T24" s="74">
        <f ca="1">IF(L24="","",DATE(INDEX(OFFSET(Arb!$C$2,,,Arb!$AJ$5,),L24),INDEX(OFFSET(Arb!$B$2,,,Arb!$AJ$5,),L24),INDEX(OFFSET(Arb!$A$2,,,Arb!$AJ$5,),L24))+ROW()*0.001)</f>
        <v>43767.023999999998</v>
      </c>
      <c r="U24" s="11">
        <v>23</v>
      </c>
      <c r="V24" s="11">
        <v>2985</v>
      </c>
      <c r="W24" s="433">
        <f ca="1">IF(V24="",164,INDEX(OFFSET(Arb!$I$2,,,Arb!$AJ$5,),V24))</f>
        <v>163</v>
      </c>
      <c r="X24" s="693">
        <f ca="1">IF(V24="",240,INDEX(OFFSET(Arb!$H$2,,,Arb!$AJ$5,),V24))</f>
        <v>62.97</v>
      </c>
      <c r="Y24" s="726">
        <f t="shared" ca="1" si="6"/>
        <v>2.5885342226457042</v>
      </c>
      <c r="Z24" s="561">
        <f ca="1">IF(V24="","",INDEX(OFFSET(Arb!$X$2,,,Arb!$AJ$5,),V24)/X24)</f>
        <v>3.0331904081308561</v>
      </c>
      <c r="AA24" s="724">
        <f ca="1">IF(V24="","",(INDEX(OFFSET(Arb!$U$2,,,Arb!$AJ$5,),V24)+INDEX(OFFSET(Arb!$V$2,,,Arb!$AJ$5,),V24))/X24)</f>
        <v>3.3508019691916786</v>
      </c>
      <c r="AB24" s="33">
        <f t="shared" ca="1" si="7"/>
        <v>7.0200414139566645</v>
      </c>
      <c r="AC24" s="776">
        <f t="shared" ca="1" si="8"/>
        <v>61.96558885467072</v>
      </c>
      <c r="AD24" s="74">
        <f ca="1">IF(V24="","",DATE(INDEX(OFFSET(Arb!$C$2,,,Arb!$AJ$5,),V24),INDEX(OFFSET(Arb!$B$2,,,Arb!$AJ$5,),V24),INDEX(OFFSET(Arb!$A$2,,,Arb!$AJ$5,),V24))+ROW()*0.001)</f>
        <v>43956.023999999998</v>
      </c>
    </row>
    <row r="25" spans="1:30" x14ac:dyDescent="0.25">
      <c r="A25" s="11">
        <v>24</v>
      </c>
      <c r="B25" s="11">
        <v>1798</v>
      </c>
      <c r="C25" s="433">
        <f ca="1">IF(B25="",16,INDEX(OFFSET(Arb!$I$2,,,Arb!$AJ$5,),B25))</f>
        <v>10</v>
      </c>
      <c r="D25" s="686">
        <f ca="1">IF(B25="",10,INDEX(OFFSET(Arb!$H$2,,,Arb!$AJ$5,),B25))</f>
        <v>3.45</v>
      </c>
      <c r="E25" s="725">
        <f t="shared" ca="1" si="0"/>
        <v>2.8985507246376812</v>
      </c>
      <c r="F25" s="561">
        <f ca="1">IF(B25="","",INDEX(OFFSET(Arb!$X$2,,,Arb!$AJ$5,),B25)/D25)</f>
        <v>3.1884057971014492</v>
      </c>
      <c r="G25" s="563">
        <f ca="1">IF(B25="","",(INDEX(OFFSET(Arb!$U$2,,,Arb!$AJ$5,),B25)+INDEX(OFFSET(Arb!$V$2,,,Arb!$AJ$5,),B25))/D25)</f>
        <v>4.057971014492753</v>
      </c>
      <c r="H25" s="33">
        <f t="shared" ca="1" si="1"/>
        <v>0.82090416969614677</v>
      </c>
      <c r="I25" s="776">
        <f t="shared" ca="1" si="2"/>
        <v>57.618174868702965</v>
      </c>
      <c r="J25" s="74">
        <f ca="1">IF(B25="","",DATE(INDEX(OFFSET(Arb!$C$2,,,Arb!$AJ$5,),B25),INDEX(OFFSET(Arb!$B$2,,,Arb!$AJ$5,),B25),INDEX(OFFSET(Arb!$A$2,,,Arb!$AJ$5,),B25))+ROW()*0.001)</f>
        <v>44168.025000000001</v>
      </c>
      <c r="K25" s="11">
        <v>24</v>
      </c>
      <c r="L25" s="11">
        <v>2221</v>
      </c>
      <c r="M25" s="433">
        <f ca="1">IF(L25="",64,INDEX(OFFSET(Arb!$I$2,,,Arb!$AJ$5,),L25))</f>
        <v>38</v>
      </c>
      <c r="N25" s="693">
        <f ca="1">IF(L25="",60,INDEX(OFFSET(Arb!$H$2,,,Arb!$AJ$5,),L25))</f>
        <v>19.75</v>
      </c>
      <c r="O25" s="727">
        <f t="shared" ca="1" si="3"/>
        <v>1.9240506329113924</v>
      </c>
      <c r="P25" s="769">
        <f ca="1">IF(L25="","",INDEX(OFFSET(Arb!$X$2,,,Arb!$AJ$5,),L25)/N25)</f>
        <v>2.481012658227848</v>
      </c>
      <c r="Q25" s="725">
        <f ca="1">IF(L25="","",(INDEX(OFFSET(Arb!$U$2,,,Arb!$AJ$5,),L25)+INDEX(OFFSET(Arb!$V$2,,,Arb!$AJ$5,),L25))/N25)</f>
        <v>2.8860759493670884</v>
      </c>
      <c r="R25" s="33">
        <f t="shared" ca="1" si="4"/>
        <v>4.1945026520134121</v>
      </c>
      <c r="S25" s="778">
        <f t="shared" ca="1" si="5"/>
        <v>36.650352319173699</v>
      </c>
      <c r="T25" s="74">
        <f ca="1">IF(L25="","",DATE(INDEX(OFFSET(Arb!$C$2,,,Arb!$AJ$5,),L25),INDEX(OFFSET(Arb!$B$2,,,Arb!$AJ$5,),L25),INDEX(OFFSET(Arb!$A$2,,,Arb!$AJ$5,),L25))+ROW()*0.001)</f>
        <v>43870.025000000001</v>
      </c>
      <c r="U25" s="11">
        <v>24</v>
      </c>
      <c r="V25" s="11">
        <v>3342</v>
      </c>
      <c r="W25" s="433">
        <f ca="1">IF(V25="",164,INDEX(OFFSET(Arb!$I$2,,,Arb!$AJ$5,),V25))</f>
        <v>161</v>
      </c>
      <c r="X25" s="693">
        <f ca="1">IF(V25="",240,INDEX(OFFSET(Arb!$H$2,,,Arb!$AJ$5,),V25))</f>
        <v>63.13</v>
      </c>
      <c r="Y25" s="726">
        <f t="shared" ca="1" si="6"/>
        <v>2.5502930460953586</v>
      </c>
      <c r="Z25" s="725">
        <f ca="1">IF(V25="","",INDEX(OFFSET(Arb!$X$2,,,Arb!$AJ$5,),V25)/X25)</f>
        <v>2.8829399651512748</v>
      </c>
      <c r="AA25" s="561">
        <f ca="1">IF(V25="","",(INDEX(OFFSET(Arb!$U$2,,,Arb!$AJ$5,),V25)+INDEX(OFFSET(Arb!$V$2,,,Arb!$AJ$5,),V25))/X25)</f>
        <v>3.1522255662917789</v>
      </c>
      <c r="AB25" s="33">
        <f t="shared" ca="1" si="7"/>
        <v>7.13797406764155</v>
      </c>
      <c r="AC25" s="776">
        <f t="shared" ca="1" si="8"/>
        <v>60.941801676190195</v>
      </c>
      <c r="AD25" s="74">
        <f ca="1">IF(V25="","",DATE(INDEX(OFFSET(Arb!$C$2,,,Arb!$AJ$5,),V25),INDEX(OFFSET(Arb!$B$2,,,Arb!$AJ$5,),V25),INDEX(OFFSET(Arb!$A$2,,,Arb!$AJ$5,),V25))+ROW()*0.001)</f>
        <v>44097.025000000001</v>
      </c>
    </row>
    <row r="26" spans="1:30" x14ac:dyDescent="0.25">
      <c r="A26" s="11">
        <v>25</v>
      </c>
      <c r="B26" s="11">
        <v>887</v>
      </c>
      <c r="C26" s="433">
        <f ca="1">IF(B26="",16,INDEX(OFFSET(Arb!$I$2,,,Arb!$AJ$5,),B26))</f>
        <v>12</v>
      </c>
      <c r="D26" s="686">
        <f ca="1">IF(B26="",10,INDEX(OFFSET(Arb!$H$2,,,Arb!$AJ$5,),B26))</f>
        <v>3.45</v>
      </c>
      <c r="E26" s="724">
        <f t="shared" ca="1" si="0"/>
        <v>3.4782608695652173</v>
      </c>
      <c r="F26" s="724">
        <f ca="1">IF(B26="","",INDEX(OFFSET(Arb!$X$2,,,Arb!$AJ$5,),B26)/D26)</f>
        <v>3.4782608695652173</v>
      </c>
      <c r="G26" s="563">
        <f ca="1">IF(B26="","",(INDEX(OFFSET(Arb!$U$2,,,Arb!$AJ$5,),B26)+INDEX(OFFSET(Arb!$V$2,,,Arb!$AJ$5,),B26))/D26)</f>
        <v>4.057971014492753</v>
      </c>
      <c r="H26" s="33">
        <f t="shared" ca="1" si="1"/>
        <v>0.68408680808012223</v>
      </c>
      <c r="I26" s="773">
        <f t="shared" ca="1" si="2"/>
        <v>69.141809842443564</v>
      </c>
      <c r="J26" s="74">
        <f ca="1">IF(B26="","",DATE(INDEX(OFFSET(Arb!$C$2,,,Arb!$AJ$5,),B26),INDEX(OFFSET(Arb!$B$2,,,Arb!$AJ$5,),B26),INDEX(OFFSET(Arb!$A$2,,,Arb!$AJ$5,),B26))+ROW()*0.001)</f>
        <v>43818.025999999998</v>
      </c>
      <c r="K26" s="11">
        <v>25</v>
      </c>
      <c r="L26" s="11">
        <v>2394</v>
      </c>
      <c r="M26" s="433">
        <f ca="1">IF(L26="",64,INDEX(OFFSET(Arb!$I$2,,,Arb!$AJ$5,),L26))</f>
        <v>42</v>
      </c>
      <c r="N26" s="693">
        <f ca="1">IF(L26="",60,INDEX(OFFSET(Arb!$H$2,,,Arb!$AJ$5,),L26))</f>
        <v>19.940000000000001</v>
      </c>
      <c r="O26" s="768">
        <f t="shared" ca="1" si="3"/>
        <v>2.1063189568706115</v>
      </c>
      <c r="P26" s="724">
        <f ca="1">IF(L26="","",INDEX(OFFSET(Arb!$X$2,,,Arb!$AJ$5,),L26)/N26)</f>
        <v>3.3600802407221662</v>
      </c>
      <c r="Q26" s="723">
        <f ca="1">IF(L26="","",(INDEX(OFFSET(Arb!$U$2,,,Arb!$AJ$5,),L26)+INDEX(OFFSET(Arb!$V$2,,,Arb!$AJ$5,),L26))/N26)</f>
        <v>3.8615847542627879</v>
      </c>
      <c r="R26" s="33">
        <f t="shared" ca="1" si="4"/>
        <v>3.8573004804808746</v>
      </c>
      <c r="S26" s="777">
        <f t="shared" ca="1" si="5"/>
        <v>39.85429726771897</v>
      </c>
      <c r="T26" s="74">
        <f ca="1">IF(L26="","",DATE(INDEX(OFFSET(Arb!$C$2,,,Arb!$AJ$5,),L26),INDEX(OFFSET(Arb!$B$2,,,Arb!$AJ$5,),L26),INDEX(OFFSET(Arb!$A$2,,,Arb!$AJ$5,),L26))+ROW()*0.001)</f>
        <v>44133.025999999998</v>
      </c>
      <c r="U26" s="11">
        <v>25</v>
      </c>
      <c r="V26" s="11">
        <v>2820</v>
      </c>
      <c r="W26" s="433">
        <f ca="1">IF(V26="",164,INDEX(OFFSET(Arb!$I$2,,,Arb!$AJ$5,),V26))</f>
        <v>130</v>
      </c>
      <c r="X26" s="693">
        <f ca="1">IF(V26="",240,INDEX(OFFSET(Arb!$H$2,,,Arb!$AJ$5,),V26))</f>
        <v>63.35</v>
      </c>
      <c r="Y26" s="768">
        <f t="shared" ca="1" si="6"/>
        <v>2.0520915548539858</v>
      </c>
      <c r="Z26" s="726">
        <f ca="1">IF(V26="","",INDEX(OFFSET(Arb!$X$2,,,Arb!$AJ$5,),V26)/X26)</f>
        <v>2.6203630623520127</v>
      </c>
      <c r="AA26" s="725">
        <f ca="1">IF(V26="","",(INDEX(OFFSET(Arb!$U$2,,,Arb!$AJ$5,),V26)+INDEX(OFFSET(Arb!$V$2,,,Arb!$AJ$5,),V26))/X26)</f>
        <v>2.9834254143646408</v>
      </c>
      <c r="AB26" s="33">
        <f t="shared" ca="1" si="7"/>
        <v>8.8925414943523098</v>
      </c>
      <c r="AC26" s="777">
        <f t="shared" ca="1" si="8"/>
        <v>48.91751140843941</v>
      </c>
      <c r="AD26" s="74">
        <f ca="1">IF(V26="","",DATE(INDEX(OFFSET(Arb!$C$2,,,Arb!$AJ$5,),V26),INDEX(OFFSET(Arb!$B$2,,,Arb!$AJ$5,),V26),INDEX(OFFSET(Arb!$A$2,,,Arb!$AJ$5,),V26))+ROW()*0.001)</f>
        <v>43899.025999999998</v>
      </c>
    </row>
    <row r="27" spans="1:30" x14ac:dyDescent="0.25">
      <c r="A27" s="11">
        <v>26</v>
      </c>
      <c r="B27" s="11">
        <v>319</v>
      </c>
      <c r="C27" s="433">
        <f ca="1">IF(B27="",16,INDEX(OFFSET(Arb!$I$2,,,Arb!$AJ$5,),B27))</f>
        <v>10</v>
      </c>
      <c r="D27" s="686">
        <f ca="1">IF(B27="",10,INDEX(OFFSET(Arb!$H$2,,,Arb!$AJ$5,),B27))</f>
        <v>3.49</v>
      </c>
      <c r="E27" s="725">
        <f t="shared" ca="1" si="0"/>
        <v>2.8653295128939824</v>
      </c>
      <c r="F27" s="561">
        <f ca="1">IF(B27="","",INDEX(OFFSET(Arb!$X$2,,,Arb!$AJ$5,),B27)/D27)</f>
        <v>3.151862464183381</v>
      </c>
      <c r="G27" s="724">
        <f ca="1">IF(B27="","",(INDEX(OFFSET(Arb!$U$2,,,Arb!$AJ$5,),B27)+INDEX(OFFSET(Arb!$V$2,,,Arb!$AJ$5,),B27))/D27)</f>
        <v>3.4383954154727792</v>
      </c>
      <c r="H27" s="33">
        <f t="shared" ca="1" si="1"/>
        <v>0.837149892551729</v>
      </c>
      <c r="I27" s="776">
        <f t="shared" ca="1" si="2"/>
        <v>56.500037115010812</v>
      </c>
      <c r="J27" s="74">
        <f ca="1">IF(B27="","",DATE(INDEX(OFFSET(Arb!$C$2,,,Arb!$AJ$5,),B27),INDEX(OFFSET(Arb!$B$2,,,Arb!$AJ$5,),B27),INDEX(OFFSET(Arb!$A$2,,,Arb!$AJ$5,),B27))+ROW()*0.001)</f>
        <v>43779.027000000002</v>
      </c>
      <c r="K27" s="11">
        <v>26</v>
      </c>
      <c r="L27" s="11">
        <v>2132</v>
      </c>
      <c r="M27" s="433">
        <f ca="1">IF(L27="",64,INDEX(OFFSET(Arb!$I$2,,,Arb!$AJ$5,),L27))</f>
        <v>54</v>
      </c>
      <c r="N27" s="693">
        <f ca="1">IF(L27="",60,INDEX(OFFSET(Arb!$H$2,,,Arb!$AJ$5,),L27))</f>
        <v>19.989999999999998</v>
      </c>
      <c r="O27" s="726">
        <f t="shared" ca="1" si="3"/>
        <v>2.701350675337669</v>
      </c>
      <c r="P27" s="725">
        <f ca="1">IF(L27="","",INDEX(OFFSET(Arb!$X$2,,,Arb!$AJ$5,),L27)/N27)</f>
        <v>2.8514257128564284</v>
      </c>
      <c r="Q27" s="725">
        <f ca="1">IF(L27="","",(INDEX(OFFSET(Arb!$U$2,,,Arb!$AJ$5,),L27)+INDEX(OFFSET(Arb!$V$2,,,Arb!$AJ$5,),L27))/N27)</f>
        <v>2.9514757378689347</v>
      </c>
      <c r="R27" s="33">
        <f t="shared" ca="1" si="4"/>
        <v>3.0129227047617997</v>
      </c>
      <c r="S27" s="774">
        <f t="shared" ca="1" si="5"/>
        <v>51.023545926696386</v>
      </c>
      <c r="T27" s="74">
        <f ca="1">IF(L27="","",DATE(INDEX(OFFSET(Arb!$C$2,,,Arb!$AJ$5,),L27),INDEX(OFFSET(Arb!$B$2,,,Arb!$AJ$5,),L27),INDEX(OFFSET(Arb!$A$2,,,Arb!$AJ$5,),L27))+ROW()*0.001)</f>
        <v>43815.027000000002</v>
      </c>
      <c r="U27" s="11">
        <v>26</v>
      </c>
      <c r="V27" s="11">
        <v>2862</v>
      </c>
      <c r="W27" s="433">
        <f ca="1">IF(V27="",164,INDEX(OFFSET(Arb!$I$2,,,Arb!$AJ$5,),V27))</f>
        <v>144</v>
      </c>
      <c r="X27" s="693">
        <f ca="1">IF(V27="",240,INDEX(OFFSET(Arb!$H$2,,,Arb!$AJ$5,),V27))</f>
        <v>63.62</v>
      </c>
      <c r="Y27" s="769">
        <f t="shared" ca="1" si="6"/>
        <v>2.2634391700723042</v>
      </c>
      <c r="Z27" s="726">
        <f ca="1">IF(V27="","",INDEX(OFFSET(Arb!$X$2,,,Arb!$AJ$5,),V27)/X27)</f>
        <v>2.7349889971707011</v>
      </c>
      <c r="AA27" s="561">
        <f ca="1">IF(V27="","",(INDEX(OFFSET(Arb!$U$2,,,Arb!$AJ$5,),V27)+INDEX(OFFSET(Arb!$V$2,,,Arb!$AJ$5,),V27))/X27)</f>
        <v>3.1436655139893115</v>
      </c>
      <c r="AB27" s="33">
        <f t="shared" ca="1" si="7"/>
        <v>8.0862420657239458</v>
      </c>
      <c r="AC27" s="774">
        <f t="shared" ca="1" si="8"/>
        <v>53.795198865476351</v>
      </c>
      <c r="AD27" s="74">
        <f ca="1">IF(V27="","",DATE(INDEX(OFFSET(Arb!$C$2,,,Arb!$AJ$5,),V27),INDEX(OFFSET(Arb!$B$2,,,Arb!$AJ$5,),V27),INDEX(OFFSET(Arb!$A$2,,,Arb!$AJ$5,),V27))+ROW()*0.001)</f>
        <v>43909.027000000002</v>
      </c>
    </row>
    <row r="28" spans="1:30" x14ac:dyDescent="0.25">
      <c r="A28" s="11">
        <v>27</v>
      </c>
      <c r="B28" s="11">
        <v>1560</v>
      </c>
      <c r="C28" s="433">
        <f ca="1">IF(B28="",16,INDEX(OFFSET(Arb!$I$2,,,Arb!$AJ$5,),B28))</f>
        <v>12</v>
      </c>
      <c r="D28" s="560">
        <f ca="1">IF(B28="",10,INDEX(OFFSET(Arb!$H$2,,,Arb!$AJ$5,),B28))</f>
        <v>3.5</v>
      </c>
      <c r="E28" s="724">
        <f t="shared" ca="1" si="0"/>
        <v>3.4285714285714284</v>
      </c>
      <c r="F28" s="724">
        <f ca="1">IF(B28="","",INDEX(OFFSET(Arb!$X$2,,,Arb!$AJ$5,),B28)/D28)</f>
        <v>3.4285714285714284</v>
      </c>
      <c r="G28" s="562">
        <f ca="1">IF(B28="","",(INDEX(OFFSET(Arb!$U$2,,,Arb!$AJ$5,),B28)+INDEX(OFFSET(Arb!$V$2,,,Arb!$AJ$5,),B28))/D28)</f>
        <v>3.7142857142857144</v>
      </c>
      <c r="H28" s="33">
        <f t="shared" ca="1" si="1"/>
        <v>0.70102649031028486</v>
      </c>
      <c r="I28" s="775">
        <f t="shared" ca="1" si="2"/>
        <v>67.471059444650592</v>
      </c>
      <c r="J28" s="74">
        <f ca="1">IF(B28="","",DATE(INDEX(OFFSET(Arb!$C$2,,,Arb!$AJ$5,),B28),INDEX(OFFSET(Arb!$B$2,,,Arb!$AJ$5,),B28),INDEX(OFFSET(Arb!$A$2,,,Arb!$AJ$5,),B28))+ROW()*0.001)</f>
        <v>43989.027999999998</v>
      </c>
      <c r="K28" s="11">
        <v>27</v>
      </c>
      <c r="L28" s="11">
        <v>2320</v>
      </c>
      <c r="M28" s="433">
        <f ca="1">IF(L28="",64,INDEX(OFFSET(Arb!$I$2,,,Arb!$AJ$5,),L28))</f>
        <v>48</v>
      </c>
      <c r="N28" s="691">
        <f ca="1">IF(L28="",60,INDEX(OFFSET(Arb!$H$2,,,Arb!$AJ$5,),L28))</f>
        <v>20.010000000000002</v>
      </c>
      <c r="O28" s="769">
        <f t="shared" ca="1" si="3"/>
        <v>2.3988005997001496</v>
      </c>
      <c r="P28" s="724">
        <f ca="1">IF(L28="","",INDEX(OFFSET(Arb!$X$2,,,Arb!$AJ$5,),L28)/N28)</f>
        <v>3.2983508245877058</v>
      </c>
      <c r="Q28" s="723">
        <f ca="1">IF(L28="","",(INDEX(OFFSET(Arb!$U$2,,,Arb!$AJ$5,),L28)+INDEX(OFFSET(Arb!$V$2,,,Arb!$AJ$5,),L28))/N28)</f>
        <v>3.8980509745127434</v>
      </c>
      <c r="R28" s="33">
        <f t="shared" ca="1" si="4"/>
        <v>3.3953051586699989</v>
      </c>
      <c r="S28" s="777">
        <f t="shared" ca="1" si="5"/>
        <v>45.277226292148285</v>
      </c>
      <c r="T28" s="74">
        <f ca="1">IF(L28="","",DATE(INDEX(OFFSET(Arb!$C$2,,,Arb!$AJ$5,),L28),INDEX(OFFSET(Arb!$B$2,,,Arb!$AJ$5,),L28),INDEX(OFFSET(Arb!$A$2,,,Arb!$AJ$5,),L28))+ROW()*0.001)</f>
        <v>43984.027999999998</v>
      </c>
      <c r="U28" s="11">
        <v>27</v>
      </c>
      <c r="V28" s="11">
        <v>3384</v>
      </c>
      <c r="W28" s="433">
        <f ca="1">IF(V28="",164,INDEX(OFFSET(Arb!$I$2,,,Arb!$AJ$5,),V28))</f>
        <v>151</v>
      </c>
      <c r="X28" s="693">
        <f ca="1">IF(V28="",240,INDEX(OFFSET(Arb!$H$2,,,Arb!$AJ$5,),V28))</f>
        <v>63.63</v>
      </c>
      <c r="Y28" s="769">
        <f t="shared" ca="1" si="6"/>
        <v>2.3730944523023729</v>
      </c>
      <c r="Z28" s="725">
        <f ca="1">IF(V28="","",INDEX(OFFSET(Arb!$X$2,,,Arb!$AJ$5,),V28)/X28)</f>
        <v>2.9388653151029387</v>
      </c>
      <c r="AA28" s="724">
        <f ca="1">IF(V28="","",(INDEX(OFFSET(Arb!$U$2,,,Arb!$AJ$5,),V28)+INDEX(OFFSET(Arb!$V$2,,,Arb!$AJ$5,),V28))/X28)</f>
        <v>3.2531824611032532</v>
      </c>
      <c r="AB28" s="33">
        <f t="shared" ca="1" si="7"/>
        <v>7.7134438461651289</v>
      </c>
      <c r="AC28" s="776">
        <f t="shared" ca="1" si="8"/>
        <v>56.395172983111586</v>
      </c>
      <c r="AD28" s="74">
        <f ca="1">IF(V28="","",DATE(INDEX(OFFSET(Arb!$C$2,,,Arb!$AJ$5,),V28),INDEX(OFFSET(Arb!$B$2,,,Arb!$AJ$5,),V28),INDEX(OFFSET(Arb!$A$2,,,Arb!$AJ$5,),V28))+ROW()*0.001)</f>
        <v>44137.027999999998</v>
      </c>
    </row>
    <row r="29" spans="1:30" x14ac:dyDescent="0.25">
      <c r="A29" s="11">
        <v>28</v>
      </c>
      <c r="B29" s="11">
        <v>819</v>
      </c>
      <c r="C29" s="433">
        <f ca="1">IF(B29="",16,INDEX(OFFSET(Arb!$I$2,,,Arb!$AJ$5,),B29))</f>
        <v>11</v>
      </c>
      <c r="D29" s="560">
        <f ca="1">IF(B29="",10,INDEX(OFFSET(Arb!$H$2,,,Arb!$AJ$5,),B29))</f>
        <v>3.5</v>
      </c>
      <c r="E29" s="561">
        <f t="shared" ca="1" si="0"/>
        <v>3.1428571428571428</v>
      </c>
      <c r="F29" s="561">
        <f ca="1">IF(B29="","",INDEX(OFFSET(Arb!$X$2,,,Arb!$AJ$5,),B29)/D29)</f>
        <v>3.1428571428571428</v>
      </c>
      <c r="G29" s="562">
        <f ca="1">IF(B29="","",(INDEX(OFFSET(Arb!$U$2,,,Arb!$AJ$5,),B29)+INDEX(OFFSET(Arb!$V$2,,,Arb!$AJ$5,),B29))/D29)</f>
        <v>3.7142857142857144</v>
      </c>
      <c r="H29" s="33">
        <f t="shared" ca="1" si="1"/>
        <v>0.76475617124758344</v>
      </c>
      <c r="I29" s="776">
        <f t="shared" ca="1" si="2"/>
        <v>61.848471157596379</v>
      </c>
      <c r="J29" s="74">
        <f ca="1">IF(B29="","",DATE(INDEX(OFFSET(Arb!$C$2,,,Arb!$AJ$5,),B29),INDEX(OFFSET(Arb!$B$2,,,Arb!$AJ$5,),B29),INDEX(OFFSET(Arb!$A$2,,,Arb!$AJ$5,),B29))+ROW()*0.001)</f>
        <v>43811.029000000002</v>
      </c>
      <c r="K29" s="11">
        <v>28</v>
      </c>
      <c r="L29" s="11">
        <v>2100</v>
      </c>
      <c r="M29" s="433">
        <f ca="1">IF(L29="",64,INDEX(OFFSET(Arb!$I$2,,,Arb!$AJ$5,),L29))</f>
        <v>52</v>
      </c>
      <c r="N29" s="691">
        <f ca="1">IF(L29="",60,INDEX(OFFSET(Arb!$H$2,,,Arb!$AJ$5,),L29))</f>
        <v>20.07</v>
      </c>
      <c r="O29" s="726">
        <f t="shared" ca="1" si="3"/>
        <v>2.5909317389138016</v>
      </c>
      <c r="P29" s="724">
        <f ca="1">IF(L29="","",INDEX(OFFSET(Arb!$X$2,,,Arb!$AJ$5,),L29)/N29)</f>
        <v>3.338315894369706</v>
      </c>
      <c r="Q29" s="562">
        <f ca="1">IF(L29="","",(INDEX(OFFSET(Arb!$U$2,,,Arb!$AJ$5,),L29)+INDEX(OFFSET(Arb!$V$2,,,Arb!$AJ$5,),L29))/N29)</f>
        <v>3.7369207772795217</v>
      </c>
      <c r="R29" s="33">
        <f t="shared" ca="1" si="4"/>
        <v>3.1501206641794344</v>
      </c>
      <c r="S29" s="777">
        <f t="shared" ca="1" si="5"/>
        <v>48.801305216047865</v>
      </c>
      <c r="T29" s="74">
        <f ca="1">IF(L29="","",DATE(INDEX(OFFSET(Arb!$C$2,,,Arb!$AJ$5,),L29),INDEX(OFFSET(Arb!$B$2,,,Arb!$AJ$5,),L29),INDEX(OFFSET(Arb!$A$2,,,Arb!$AJ$5,),L29))+ROW()*0.001)</f>
        <v>43810.029000000002</v>
      </c>
      <c r="U29" s="11">
        <v>28</v>
      </c>
      <c r="V29" s="11">
        <v>3333</v>
      </c>
      <c r="W29" s="433">
        <f ca="1">IF(V29="",164,INDEX(OFFSET(Arb!$I$2,,,Arb!$AJ$5,),V29))</f>
        <v>180</v>
      </c>
      <c r="X29" s="693">
        <f ca="1">IF(V29="",240,INDEX(OFFSET(Arb!$H$2,,,Arb!$AJ$5,),V29))</f>
        <v>63.73</v>
      </c>
      <c r="Y29" s="725">
        <f t="shared" ca="1" si="6"/>
        <v>2.8244155029028715</v>
      </c>
      <c r="Z29" s="724">
        <f ca="1">IF(V29="","",INDEX(OFFSET(Arb!$X$2,,,Arb!$AJ$5,),V29)/X29)</f>
        <v>3.3108426172916996</v>
      </c>
      <c r="AA29" s="562">
        <f ca="1">IF(V29="","",(INDEX(OFFSET(Arb!$U$2,,,Arb!$AJ$5,),V29)+INDEX(OFFSET(Arb!$V$2,,,Arb!$AJ$5,),V29))/X29)</f>
        <v>3.5305193786285893</v>
      </c>
      <c r="AB29" s="33">
        <f t="shared" ca="1" si="7"/>
        <v>6.4880196466748812</v>
      </c>
      <c r="AC29" s="775">
        <f t="shared" ca="1" si="8"/>
        <v>67.046806836187457</v>
      </c>
      <c r="AD29" s="74">
        <f ca="1">IF(V29="","",DATE(INDEX(OFFSET(Arb!$C$2,,,Arb!$AJ$5,),V29),INDEX(OFFSET(Arb!$B$2,,,Arb!$AJ$5,),V29),INDEX(OFFSET(Arb!$A$2,,,Arb!$AJ$5,),V29))+ROW()*0.001)</f>
        <v>44096.029000000002</v>
      </c>
    </row>
    <row r="30" spans="1:30" x14ac:dyDescent="0.25">
      <c r="A30" s="11">
        <v>29</v>
      </c>
      <c r="B30" s="11">
        <v>110</v>
      </c>
      <c r="C30" s="433">
        <f ca="1">IF(B30="",16,INDEX(OFFSET(Arb!$I$2,,,Arb!$AJ$5,),B30))</f>
        <v>11</v>
      </c>
      <c r="D30" s="560">
        <f ca="1">IF(B30="",10,INDEX(OFFSET(Arb!$H$2,,,Arb!$AJ$5,),B30))</f>
        <v>3.5</v>
      </c>
      <c r="E30" s="561">
        <f t="shared" ca="1" si="0"/>
        <v>3.1428571428571428</v>
      </c>
      <c r="F30" s="724">
        <f ca="1">IF(B30="","",INDEX(OFFSET(Arb!$X$2,,,Arb!$AJ$5,),B30)/D30)</f>
        <v>3.4285714285714284</v>
      </c>
      <c r="G30" s="562">
        <f ca="1">IF(B30="","",(INDEX(OFFSET(Arb!$U$2,,,Arb!$AJ$5,),B30)+INDEX(OFFSET(Arb!$V$2,,,Arb!$AJ$5,),B30))/D30)</f>
        <v>3.7142857142857144</v>
      </c>
      <c r="H30" s="33">
        <f t="shared" ca="1" si="1"/>
        <v>0.76475617124758344</v>
      </c>
      <c r="I30" s="776">
        <f t="shared" ca="1" si="2"/>
        <v>61.848471157596379</v>
      </c>
      <c r="J30" s="74">
        <f ca="1">IF(B30="","",DATE(INDEX(OFFSET(Arb!$C$2,,,Arb!$AJ$5,),B30),INDEX(OFFSET(Arb!$B$2,,,Arb!$AJ$5,),B30),INDEX(OFFSET(Arb!$A$2,,,Arb!$AJ$5,),B30))+ROW()*0.001)</f>
        <v>43770.03</v>
      </c>
      <c r="K30" s="11">
        <v>29</v>
      </c>
      <c r="L30" s="11">
        <v>2215</v>
      </c>
      <c r="M30" s="433">
        <f ca="1">IF(L30="",64,INDEX(OFFSET(Arb!$I$2,,,Arb!$AJ$5,),L30))</f>
        <v>54</v>
      </c>
      <c r="N30" s="691">
        <f ca="1">IF(L30="",60,INDEX(OFFSET(Arb!$H$2,,,Arb!$AJ$5,),L30))</f>
        <v>20.09</v>
      </c>
      <c r="O30" s="726">
        <f t="shared" ca="1" si="3"/>
        <v>2.6879044300647088</v>
      </c>
      <c r="P30" s="724">
        <f ca="1">IF(L30="","",INDEX(OFFSET(Arb!$X$2,,,Arb!$AJ$5,),L30)/N30)</f>
        <v>3.3847685415629667</v>
      </c>
      <c r="Q30" s="562">
        <f ca="1">IF(L30="","",(INDEX(OFFSET(Arb!$U$2,,,Arb!$AJ$5,),L30)+INDEX(OFFSET(Arb!$V$2,,,Arb!$AJ$5,),L30))/N30)</f>
        <v>3.7332005973120954</v>
      </c>
      <c r="R30" s="33">
        <f t="shared" ca="1" si="4"/>
        <v>3.0385901987496711</v>
      </c>
      <c r="S30" s="774">
        <f t="shared" ca="1" si="5"/>
        <v>50.592541259185694</v>
      </c>
      <c r="T30" s="74">
        <f ca="1">IF(L30="","",DATE(INDEX(OFFSET(Arb!$C$2,,,Arb!$AJ$5,),L30),INDEX(OFFSET(Arb!$B$2,,,Arb!$AJ$5,),L30),INDEX(OFFSET(Arb!$A$2,,,Arb!$AJ$5,),L30))+ROW()*0.001)</f>
        <v>43870.03</v>
      </c>
      <c r="U30" s="11">
        <v>29</v>
      </c>
      <c r="V30" s="11">
        <v>3260</v>
      </c>
      <c r="W30" s="433">
        <f ca="1">IF(V30="",164,INDEX(OFFSET(Arb!$I$2,,,Arb!$AJ$5,),V30))</f>
        <v>143</v>
      </c>
      <c r="X30" s="693">
        <f ca="1">IF(V30="",240,INDEX(OFFSET(Arb!$H$2,,,Arb!$AJ$5,),V30))</f>
        <v>63.79</v>
      </c>
      <c r="Y30" s="768">
        <f t="shared" ca="1" si="6"/>
        <v>2.2417306787897791</v>
      </c>
      <c r="Z30" s="725">
        <f ca="1">IF(V30="","",INDEX(OFFSET(Arb!$X$2,,,Arb!$AJ$5,),V30)/X30)</f>
        <v>2.8060824580655277</v>
      </c>
      <c r="AA30" s="561">
        <f ca="1">IF(V30="","",(INDEX(OFFSET(Arb!$U$2,,,Arb!$AJ$5,),V30)+INDEX(OFFSET(Arb!$V$2,,,Arb!$AJ$5,),V30))/X30)</f>
        <v>3.1823169775826932</v>
      </c>
      <c r="AB30" s="33">
        <f t="shared" ca="1" si="7"/>
        <v>8.1798132049371155</v>
      </c>
      <c r="AC30" s="774">
        <f t="shared" ca="1" si="8"/>
        <v>53.179820749139488</v>
      </c>
      <c r="AD30" s="74">
        <f ca="1">IF(V30="","",DATE(INDEX(OFFSET(Arb!$C$2,,,Arb!$AJ$5,),V30),INDEX(OFFSET(Arb!$B$2,,,Arb!$AJ$5,),V30),INDEX(OFFSET(Arb!$A$2,,,Arb!$AJ$5,),V30))+ROW()*0.001)</f>
        <v>44071.03</v>
      </c>
    </row>
    <row r="31" spans="1:30" x14ac:dyDescent="0.25">
      <c r="A31" s="11">
        <v>30</v>
      </c>
      <c r="B31" s="11">
        <v>1869</v>
      </c>
      <c r="C31" s="433">
        <f ca="1">IF(B31="",16,INDEX(OFFSET(Arb!$I$2,,,Arb!$AJ$5,),B31))</f>
        <v>10</v>
      </c>
      <c r="D31" s="560">
        <f ca="1">IF(B31="",10,INDEX(OFFSET(Arb!$H$2,,,Arb!$AJ$5,),B31))</f>
        <v>3.51</v>
      </c>
      <c r="E31" s="725">
        <f t="shared" ca="1" si="0"/>
        <v>2.8490028490028494</v>
      </c>
      <c r="F31" s="723">
        <f ca="1">IF(B31="","",INDEX(OFFSET(Arb!$X$2,,,Arb!$AJ$5,),B31)/D31)</f>
        <v>3.9886039886039888</v>
      </c>
      <c r="G31" s="721">
        <f ca="1">IF(B31="","",(INDEX(OFFSET(Arb!$U$2,,,Arb!$AJ$5,),B31)+INDEX(OFFSET(Arb!$V$2,,,Arb!$AJ$5,),B31))/D31)</f>
        <v>4.8433048433048436</v>
      </c>
      <c r="H31" s="33">
        <f t="shared" ca="1" si="1"/>
        <v>0.8453218561610667</v>
      </c>
      <c r="I31" s="774">
        <f t="shared" ca="1" si="2"/>
        <v>55.953835400403634</v>
      </c>
      <c r="J31" s="74">
        <f ca="1">IF(B31="","",DATE(INDEX(OFFSET(Arb!$C$2,,,Arb!$AJ$5,),B31),INDEX(OFFSET(Arb!$B$2,,,Arb!$AJ$5,),B31),INDEX(OFFSET(Arb!$A$2,,,Arb!$AJ$5,),B31))+ROW()*0.001)</f>
        <v>44168.031000000003</v>
      </c>
      <c r="K31" s="11">
        <v>30</v>
      </c>
      <c r="L31" s="11">
        <v>1893</v>
      </c>
      <c r="M31" s="433">
        <f ca="1">IF(L31="",64,INDEX(OFFSET(Arb!$I$2,,,Arb!$AJ$5,),L31))</f>
        <v>47</v>
      </c>
      <c r="N31" s="691">
        <f ca="1">IF(L31="",60,INDEX(OFFSET(Arb!$H$2,,,Arb!$AJ$5,),L31))</f>
        <v>20.09</v>
      </c>
      <c r="O31" s="769">
        <f t="shared" ca="1" si="3"/>
        <v>2.3394723743155801</v>
      </c>
      <c r="P31" s="561">
        <f ca="1">IF(L31="","",INDEX(OFFSET(Arb!$X$2,,,Arb!$AJ$5,),L31)/N31)</f>
        <v>3.235440517670483</v>
      </c>
      <c r="Q31" s="723">
        <f ca="1">IF(L31="","",(INDEX(OFFSET(Arb!$U$2,,,Arb!$AJ$5,),L31)+INDEX(OFFSET(Arb!$V$2,,,Arb!$AJ$5,),L31))/N31)</f>
        <v>3.7829766052762568</v>
      </c>
      <c r="R31" s="33">
        <f t="shared" ca="1" si="4"/>
        <v>3.4911461857974944</v>
      </c>
      <c r="S31" s="777">
        <f t="shared" ca="1" si="5"/>
        <v>44.034248873735699</v>
      </c>
      <c r="T31" s="74">
        <f ca="1">IF(L31="","",DATE(INDEX(OFFSET(Arb!$C$2,,,Arb!$AJ$5,),L31),INDEX(OFFSET(Arb!$B$2,,,Arb!$AJ$5,),L31),INDEX(OFFSET(Arb!$A$2,,,Arb!$AJ$5,),L31))+ROW()*0.001)</f>
        <v>43764.031000000003</v>
      </c>
      <c r="U31" s="11">
        <v>30</v>
      </c>
      <c r="V31" s="11">
        <v>2908</v>
      </c>
      <c r="W31" s="433">
        <f ca="1">IF(V31="",164,INDEX(OFFSET(Arb!$I$2,,,Arb!$AJ$5,),V31))</f>
        <v>147</v>
      </c>
      <c r="X31" s="693">
        <f ca="1">IF(V31="",240,INDEX(OFFSET(Arb!$H$2,,,Arb!$AJ$5,),V31))</f>
        <v>63.94</v>
      </c>
      <c r="Y31" s="769">
        <f t="shared" ca="1" si="6"/>
        <v>2.2990303409446358</v>
      </c>
      <c r="Z31" s="725">
        <f ca="1">IF(V31="","",INDEX(OFFSET(Arb!$X$2,,,Arb!$AJ$5,),V31)/X31)</f>
        <v>2.9402564904598063</v>
      </c>
      <c r="AA31" s="724">
        <f ca="1">IF(V31="","",(INDEX(OFFSET(Arb!$U$2,,,Arb!$AJ$5,),V31)+INDEX(OFFSET(Arb!$V$2,,,Arb!$AJ$5,),V31))/X31)</f>
        <v>3.2999687206756336</v>
      </c>
      <c r="AB31" s="33">
        <f t="shared" ca="1" si="7"/>
        <v>7.989068401273907</v>
      </c>
      <c r="AC31" s="774">
        <f t="shared" ca="1" si="8"/>
        <v>54.449527548247843</v>
      </c>
      <c r="AD31" s="74">
        <f ca="1">IF(V31="","",DATE(INDEX(OFFSET(Arb!$C$2,,,Arb!$AJ$5,),V31),INDEX(OFFSET(Arb!$B$2,,,Arb!$AJ$5,),V31),INDEX(OFFSET(Arb!$A$2,,,Arb!$AJ$5,),V31))+ROW()*0.001)</f>
        <v>43929.031000000003</v>
      </c>
    </row>
    <row r="32" spans="1:30" x14ac:dyDescent="0.25">
      <c r="A32" s="11">
        <v>31</v>
      </c>
      <c r="B32" s="11">
        <v>1510</v>
      </c>
      <c r="C32" s="433">
        <f ca="1">IF(B32="",16,INDEX(OFFSET(Arb!$I$2,,,Arb!$AJ$5,),B32))</f>
        <v>10</v>
      </c>
      <c r="D32" s="560">
        <f ca="1">IF(B32="",10,INDEX(OFFSET(Arb!$H$2,,,Arb!$AJ$5,),B32))</f>
        <v>3.52</v>
      </c>
      <c r="E32" s="725">
        <f t="shared" ca="1" si="0"/>
        <v>2.8409090909090908</v>
      </c>
      <c r="F32" s="562">
        <f ca="1">IF(B32="","",INDEX(OFFSET(Arb!$X$2,,,Arb!$AJ$5,),B32)/D32)</f>
        <v>3.6931818181818183</v>
      </c>
      <c r="G32" s="772">
        <f ca="1">IF(B32="","",(INDEX(OFFSET(Arb!$U$2,,,Arb!$AJ$5,),B32)+INDEX(OFFSET(Arb!$V$2,,,Arb!$AJ$5,),B32))/D32)</f>
        <v>5.3977272727272725</v>
      </c>
      <c r="H32" s="33">
        <f t="shared" ca="1" si="1"/>
        <v>0.84942008892632825</v>
      </c>
      <c r="I32" s="774">
        <f t="shared" ca="1" si="2"/>
        <v>55.683872581570562</v>
      </c>
      <c r="J32" s="74">
        <f ca="1">IF(B32="","",DATE(INDEX(OFFSET(Arb!$C$2,,,Arb!$AJ$5,),B32),INDEX(OFFSET(Arb!$B$2,,,Arb!$AJ$5,),B32),INDEX(OFFSET(Arb!$A$2,,,Arb!$AJ$5,),B32))+ROW()*0.001)</f>
        <v>43984.031999999999</v>
      </c>
      <c r="K32" s="11">
        <v>31</v>
      </c>
      <c r="L32" s="11">
        <v>2345</v>
      </c>
      <c r="M32" s="433">
        <f ca="1">IF(L32="",64,INDEX(OFFSET(Arb!$I$2,,,Arb!$AJ$5,),L32))</f>
        <v>44</v>
      </c>
      <c r="N32" s="691">
        <f ca="1">IF(L32="",60,INDEX(OFFSET(Arb!$H$2,,,Arb!$AJ$5,),L32))</f>
        <v>20.12</v>
      </c>
      <c r="O32" s="768">
        <f t="shared" ca="1" si="3"/>
        <v>2.1868787276341948</v>
      </c>
      <c r="P32" s="725">
        <f ca="1">IF(L32="","",INDEX(OFFSET(Arb!$X$2,,,Arb!$AJ$5,),L32)/N32)</f>
        <v>2.9324055666003974</v>
      </c>
      <c r="Q32" s="724">
        <f ca="1">IF(L32="","",(INDEX(OFFSET(Arb!$U$2,,,Arb!$AJ$5,),L32)+INDEX(OFFSET(Arb!$V$2,,,Arb!$AJ$5,),L32))/N32)</f>
        <v>3.3797216699801189</v>
      </c>
      <c r="R32" s="33">
        <f t="shared" ca="1" si="4"/>
        <v>3.7386506328728477</v>
      </c>
      <c r="S32" s="777">
        <f t="shared" ca="1" si="5"/>
        <v>41.119113577582681</v>
      </c>
      <c r="T32" s="74">
        <f ca="1">IF(L32="","",DATE(INDEX(OFFSET(Arb!$C$2,,,Arb!$AJ$5,),L32),INDEX(OFFSET(Arb!$B$2,,,Arb!$AJ$5,),L32),INDEX(OFFSET(Arb!$A$2,,,Arb!$AJ$5,),L32))+ROW()*0.001)</f>
        <v>44106.031999999999</v>
      </c>
      <c r="U32" s="11">
        <v>31</v>
      </c>
      <c r="V32" s="11">
        <v>3265</v>
      </c>
      <c r="W32" s="433">
        <f ca="1">IF(V32="",164,INDEX(OFFSET(Arb!$I$2,,,Arb!$AJ$5,),V32))</f>
        <v>173</v>
      </c>
      <c r="X32" s="693">
        <f ca="1">IF(V32="",240,INDEX(OFFSET(Arb!$H$2,,,Arb!$AJ$5,),V32))</f>
        <v>63.97</v>
      </c>
      <c r="Y32" s="726">
        <f t="shared" ca="1" si="6"/>
        <v>2.7043926840706582</v>
      </c>
      <c r="Z32" s="724">
        <f ca="1">IF(V32="","",INDEX(OFFSET(Arb!$X$2,,,Arb!$AJ$5,),V32)/X32)</f>
        <v>3.2515241519462248</v>
      </c>
      <c r="AA32" s="562">
        <f ca="1">IF(V32="","",(INDEX(OFFSET(Arb!$U$2,,,Arb!$AJ$5,),V32)+INDEX(OFFSET(Arb!$V$2,,,Arb!$AJ$5,),V32))/X32)</f>
        <v>3.6267000156323279</v>
      </c>
      <c r="AB32" s="33">
        <f t="shared" ca="1" si="7"/>
        <v>6.7938146326502151</v>
      </c>
      <c r="AC32" s="775">
        <f t="shared" ca="1" si="8"/>
        <v>64.028976873970052</v>
      </c>
      <c r="AD32" s="74">
        <f ca="1">IF(V32="","",DATE(INDEX(OFFSET(Arb!$C$2,,,Arb!$AJ$5,),V32),INDEX(OFFSET(Arb!$B$2,,,Arb!$AJ$5,),V32),INDEX(OFFSET(Arb!$A$2,,,Arb!$AJ$5,),V32))+ROW()*0.001)</f>
        <v>44073.031999999999</v>
      </c>
    </row>
    <row r="33" spans="1:30" x14ac:dyDescent="0.25">
      <c r="A33" s="11">
        <v>32</v>
      </c>
      <c r="B33" s="11">
        <v>618</v>
      </c>
      <c r="C33" s="433">
        <f ca="1">IF(B33="",16,INDEX(OFFSET(Arb!$I$2,,,Arb!$AJ$5,),B33))</f>
        <v>11</v>
      </c>
      <c r="D33" s="560">
        <f ca="1">IF(B33="",10,INDEX(OFFSET(Arb!$H$2,,,Arb!$AJ$5,),B33))</f>
        <v>3.52</v>
      </c>
      <c r="E33" s="561">
        <f t="shared" ca="1" si="0"/>
        <v>3.125</v>
      </c>
      <c r="F33" s="723">
        <f ca="1">IF(B33="","",INDEX(OFFSET(Arb!$X$2,,,Arb!$AJ$5,),B33)/D33)</f>
        <v>3.9772727272727271</v>
      </c>
      <c r="G33" s="722">
        <f ca="1">IF(B33="","",(INDEX(OFFSET(Arb!$U$2,,,Arb!$AJ$5,),B33)+INDEX(OFFSET(Arb!$V$2,,,Arb!$AJ$5,),B33))/D33)</f>
        <v>4.2613636363636367</v>
      </c>
      <c r="H33" s="33">
        <f t="shared" ca="1" si="1"/>
        <v>0.77220008084211667</v>
      </c>
      <c r="I33" s="776">
        <f t="shared" ca="1" si="2"/>
        <v>61.252259839727614</v>
      </c>
      <c r="J33" s="74">
        <f ca="1">IF(B33="","",DATE(INDEX(OFFSET(Arb!$C$2,,,Arb!$AJ$5,),B33),INDEX(OFFSET(Arb!$B$2,,,Arb!$AJ$5,),B33),INDEX(OFFSET(Arb!$A$2,,,Arb!$AJ$5,),B33))+ROW()*0.001)</f>
        <v>43799.033000000003</v>
      </c>
      <c r="K33" s="11">
        <v>32</v>
      </c>
      <c r="L33" s="11">
        <v>2213</v>
      </c>
      <c r="M33" s="433">
        <f ca="1">IF(L33="",64,INDEX(OFFSET(Arb!$I$2,,,Arb!$AJ$5,),L33))</f>
        <v>55</v>
      </c>
      <c r="N33" s="691">
        <f ca="1">IF(L33="",60,INDEX(OFFSET(Arb!$H$2,,,Arb!$AJ$5,),L33))</f>
        <v>20.14</v>
      </c>
      <c r="O33" s="726">
        <f t="shared" ca="1" si="3"/>
        <v>2.730883813306852</v>
      </c>
      <c r="P33" s="561">
        <f ca="1">IF(L33="","",INDEX(OFFSET(Arb!$X$2,,,Arb!$AJ$5,),L33)/N33)</f>
        <v>3.1777557100297913</v>
      </c>
      <c r="Q33" s="562">
        <f ca="1">IF(L33="","",(INDEX(OFFSET(Arb!$U$2,,,Arb!$AJ$5,),L33)+INDEX(OFFSET(Arb!$V$2,,,Arb!$AJ$5,),L33))/N33)</f>
        <v>3.5253227408142997</v>
      </c>
      <c r="R33" s="33">
        <f t="shared" ca="1" si="4"/>
        <v>2.9959765039808985</v>
      </c>
      <c r="S33" s="774">
        <f t="shared" ca="1" si="5"/>
        <v>51.312151412312986</v>
      </c>
      <c r="T33" s="74">
        <f ca="1">IF(L33="","",DATE(INDEX(OFFSET(Arb!$C$2,,,Arb!$AJ$5,),L33),INDEX(OFFSET(Arb!$B$2,,,Arb!$AJ$5,),L33),INDEX(OFFSET(Arb!$A$2,,,Arb!$AJ$5,),L33))+ROW()*0.001)</f>
        <v>43869.033000000003</v>
      </c>
      <c r="U33" s="11">
        <v>32</v>
      </c>
      <c r="V33" s="11">
        <v>3223</v>
      </c>
      <c r="W33" s="433">
        <f ca="1">IF(V33="",164,INDEX(OFFSET(Arb!$I$2,,,Arb!$AJ$5,),V33))</f>
        <v>155</v>
      </c>
      <c r="X33" s="691">
        <f ca="1">IF(V33="",240,INDEX(OFFSET(Arb!$H$2,,,Arb!$AJ$5,),V33))</f>
        <v>64.09</v>
      </c>
      <c r="Y33" s="769">
        <f t="shared" ca="1" si="6"/>
        <v>2.4184740209080977</v>
      </c>
      <c r="Z33" s="725">
        <f ca="1">IF(V33="","",INDEX(OFFSET(Arb!$X$2,,,Arb!$AJ$5,),V33)/X33)</f>
        <v>2.8709627086909033</v>
      </c>
      <c r="AA33" s="561">
        <f ca="1">IF(V33="","",(INDEX(OFFSET(Arb!$U$2,,,Arb!$AJ$5,),V33)+INDEX(OFFSET(Arb!$V$2,,,Arb!$AJ$5,),V33))/X33)</f>
        <v>3.1050085816820094</v>
      </c>
      <c r="AB33" s="33">
        <f t="shared" ca="1" si="7"/>
        <v>7.606971051183125</v>
      </c>
      <c r="AC33" s="776">
        <f t="shared" ca="1" si="8"/>
        <v>57.184521549131375</v>
      </c>
      <c r="AD33" s="74">
        <f ca="1">IF(V33="","",DATE(INDEX(OFFSET(Arb!$C$2,,,Arb!$AJ$5,),V33),INDEX(OFFSET(Arb!$B$2,,,Arb!$AJ$5,),V33),INDEX(OFFSET(Arb!$A$2,,,Arb!$AJ$5,),V33))+ROW()*0.001)</f>
        <v>44061.033000000003</v>
      </c>
    </row>
    <row r="34" spans="1:30" x14ac:dyDescent="0.25">
      <c r="A34" s="11">
        <v>33</v>
      </c>
      <c r="B34" s="11">
        <v>413</v>
      </c>
      <c r="C34" s="433">
        <f ca="1">IF(B34="",16,INDEX(OFFSET(Arb!$I$2,,,Arb!$AJ$5,),B34))</f>
        <v>11</v>
      </c>
      <c r="D34" s="560">
        <f ca="1">IF(B34="",10,INDEX(OFFSET(Arb!$H$2,,,Arb!$AJ$5,),B34))</f>
        <v>3.52</v>
      </c>
      <c r="E34" s="561">
        <f t="shared" ca="1" si="0"/>
        <v>3.125</v>
      </c>
      <c r="F34" s="722">
        <f ca="1">IF(B34="","",INDEX(OFFSET(Arb!$X$2,,,Arb!$AJ$5,),B34)/D34)</f>
        <v>4.2613636363636367</v>
      </c>
      <c r="G34" s="565">
        <f ca="1">IF(B34="","",(INDEX(OFFSET(Arb!$U$2,,,Arb!$AJ$5,),B34)+INDEX(OFFSET(Arb!$V$2,,,Arb!$AJ$5,),B34))/D34)</f>
        <v>5.1136363636363633</v>
      </c>
      <c r="H34" s="33">
        <f t="shared" ca="1" si="1"/>
        <v>0.77220008084211667</v>
      </c>
      <c r="I34" s="776">
        <f t="shared" ca="1" si="2"/>
        <v>61.252259839727614</v>
      </c>
      <c r="J34" s="74">
        <f ca="1">IF(B34="","",DATE(INDEX(OFFSET(Arb!$C$2,,,Arb!$AJ$5,),B34),INDEX(OFFSET(Arb!$B$2,,,Arb!$AJ$5,),B34),INDEX(OFFSET(Arb!$A$2,,,Arb!$AJ$5,),B34))+ROW()*0.001)</f>
        <v>43781.034</v>
      </c>
      <c r="K34" s="11">
        <v>33</v>
      </c>
      <c r="L34" s="11">
        <v>2232</v>
      </c>
      <c r="M34" s="433">
        <f ca="1">IF(L34="",64,INDEX(OFFSET(Arb!$I$2,,,Arb!$AJ$5,),L34))</f>
        <v>41</v>
      </c>
      <c r="N34" s="691">
        <f ca="1">IF(L34="",60,INDEX(OFFSET(Arb!$H$2,,,Arb!$AJ$5,),L34))</f>
        <v>20.149999999999999</v>
      </c>
      <c r="O34" s="768">
        <f t="shared" ca="1" si="3"/>
        <v>2.0347394540942929</v>
      </c>
      <c r="P34" s="726">
        <f ca="1">IF(L34="","",INDEX(OFFSET(Arb!$X$2,,,Arb!$AJ$5,),L34)/N34)</f>
        <v>2.6799007444168734</v>
      </c>
      <c r="Q34" s="561">
        <f ca="1">IF(L34="","",(INDEX(OFFSET(Arb!$U$2,,,Arb!$AJ$5,),L34)+INDEX(OFFSET(Arb!$V$2,,,Arb!$AJ$5,),L34))/N34)</f>
        <v>3.0769230769230771</v>
      </c>
      <c r="R34" s="33">
        <f t="shared" ca="1" si="4"/>
        <v>4.0223858578677172</v>
      </c>
      <c r="S34" s="777">
        <f t="shared" ca="1" si="5"/>
        <v>38.218610902110939</v>
      </c>
      <c r="T34" s="74">
        <f ca="1">IF(L34="","",DATE(INDEX(OFFSET(Arb!$C$2,,,Arb!$AJ$5,),L34),INDEX(OFFSET(Arb!$B$2,,,Arb!$AJ$5,),L34),INDEX(OFFSET(Arb!$A$2,,,Arb!$AJ$5,),L34))+ROW()*0.001)</f>
        <v>43885.034</v>
      </c>
      <c r="U34" s="11">
        <v>33</v>
      </c>
      <c r="V34" s="11">
        <v>2978</v>
      </c>
      <c r="W34" s="433">
        <f ca="1">IF(V34="",164,INDEX(OFFSET(Arb!$I$2,,,Arb!$AJ$5,),V34))</f>
        <v>146</v>
      </c>
      <c r="X34" s="691">
        <f ca="1">IF(V34="",240,INDEX(OFFSET(Arb!$H$2,,,Arb!$AJ$5,),V34))</f>
        <v>64.33</v>
      </c>
      <c r="Y34" s="769">
        <f t="shared" ca="1" si="6"/>
        <v>2.2695476449556971</v>
      </c>
      <c r="Z34" s="561">
        <f ca="1">IF(V34="","",INDEX(OFFSET(Arb!$X$2,,,Arb!$AJ$5,),V34)/X34)</f>
        <v>3.0157002953520911</v>
      </c>
      <c r="AA34" s="724">
        <f ca="1">IF(V34="","",(INDEX(OFFSET(Arb!$U$2,,,Arb!$AJ$5,),V34)+INDEX(OFFSET(Arb!$V$2,,,Arb!$AJ$5,),V34))/X34)</f>
        <v>3.3576869267837712</v>
      </c>
      <c r="AB34" s="33">
        <f t="shared" ca="1" si="7"/>
        <v>8.1273728081778565</v>
      </c>
      <c r="AC34" s="774">
        <f t="shared" ca="1" si="8"/>
        <v>53.522953882747565</v>
      </c>
      <c r="AD34" s="74">
        <f ca="1">IF(V34="","",DATE(INDEX(OFFSET(Arb!$C$2,,,Arb!$AJ$5,),V34),INDEX(OFFSET(Arb!$B$2,,,Arb!$AJ$5,),V34),INDEX(OFFSET(Arb!$A$2,,,Arb!$AJ$5,),V34))+ROW()*0.001)</f>
        <v>43955.034</v>
      </c>
    </row>
    <row r="35" spans="1:30" x14ac:dyDescent="0.25">
      <c r="A35" s="11">
        <v>34</v>
      </c>
      <c r="B35" s="11">
        <v>1019</v>
      </c>
      <c r="C35" s="433">
        <f ca="1">IF(B35="",16,INDEX(OFFSET(Arb!$I$2,,,Arb!$AJ$5,),B35))</f>
        <v>10</v>
      </c>
      <c r="D35" s="560">
        <f ca="1">IF(B35="",10,INDEX(OFFSET(Arb!$H$2,,,Arb!$AJ$5,),B35))</f>
        <v>3.53</v>
      </c>
      <c r="E35" s="725">
        <f t="shared" ca="1" si="0"/>
        <v>2.8328611898017</v>
      </c>
      <c r="F35" s="562">
        <f ca="1">IF(B35="","",INDEX(OFFSET(Arb!$X$2,,,Arb!$AJ$5,),B35)/D35)</f>
        <v>3.6827195467422098</v>
      </c>
      <c r="G35" s="723">
        <f ca="1">IF(B35="","",(INDEX(OFFSET(Arb!$U$2,,,Arb!$AJ$5,),B35)+INDEX(OFFSET(Arb!$V$2,,,Arb!$AJ$5,),B35))/D35)</f>
        <v>3.9660056657223799</v>
      </c>
      <c r="H35" s="33">
        <f t="shared" ca="1" si="1"/>
        <v>0.85352647970239581</v>
      </c>
      <c r="I35" s="774">
        <f t="shared" ca="1" si="2"/>
        <v>55.415972585281743</v>
      </c>
      <c r="J35" s="74">
        <f ca="1">IF(B35="","",DATE(INDEX(OFFSET(Arb!$C$2,,,Arb!$AJ$5,),B35),INDEX(OFFSET(Arb!$B$2,,,Arb!$AJ$5,),B35),INDEX(OFFSET(Arb!$A$2,,,Arb!$AJ$5,),B35))+ROW()*0.001)</f>
        <v>43839.035000000003</v>
      </c>
      <c r="K35" s="11">
        <v>34</v>
      </c>
      <c r="L35" s="11">
        <v>2033</v>
      </c>
      <c r="M35" s="433">
        <f ca="1">IF(L35="",64,INDEX(OFFSET(Arb!$I$2,,,Arb!$AJ$5,),L35))</f>
        <v>48</v>
      </c>
      <c r="N35" s="691">
        <f ca="1">IF(L35="",60,INDEX(OFFSET(Arb!$H$2,,,Arb!$AJ$5,),L35))</f>
        <v>20.2</v>
      </c>
      <c r="O35" s="769">
        <f t="shared" ca="1" si="3"/>
        <v>2.3762376237623761</v>
      </c>
      <c r="P35" s="724">
        <f ca="1">IF(L35="","",INDEX(OFFSET(Arb!$X$2,,,Arb!$AJ$5,),L35)/N35)</f>
        <v>3.3663366336633667</v>
      </c>
      <c r="Q35" s="562">
        <f ca="1">IF(L35="","",(INDEX(OFFSET(Arb!$U$2,,,Arb!$AJ$5,),L35)+INDEX(OFFSET(Arb!$V$2,,,Arb!$AJ$5,),L35))/N35)</f>
        <v>3.7128712871287131</v>
      </c>
      <c r="R35" s="33">
        <f t="shared" ca="1" si="4"/>
        <v>3.4502939026344381</v>
      </c>
      <c r="S35" s="777">
        <f t="shared" ca="1" si="5"/>
        <v>44.555624633200367</v>
      </c>
      <c r="T35" s="74">
        <f ca="1">IF(L35="","",DATE(INDEX(OFFSET(Arb!$C$2,,,Arb!$AJ$5,),L35),INDEX(OFFSET(Arb!$B$2,,,Arb!$AJ$5,),L35),INDEX(OFFSET(Arb!$A$2,,,Arb!$AJ$5,),L35))+ROW()*0.001)</f>
        <v>43797.035000000003</v>
      </c>
      <c r="U35" s="11">
        <v>34</v>
      </c>
      <c r="V35" s="11">
        <v>3187</v>
      </c>
      <c r="W35" s="433">
        <f ca="1">IF(V35="",164,INDEX(OFFSET(Arb!$I$2,,,Arb!$AJ$5,),V35))</f>
        <v>137</v>
      </c>
      <c r="X35" s="691">
        <f ca="1">IF(V35="",240,INDEX(OFFSET(Arb!$H$2,,,Arb!$AJ$5,),V35))</f>
        <v>64.38</v>
      </c>
      <c r="Y35" s="768">
        <f t="shared" ca="1" si="6"/>
        <v>2.1279900590245417</v>
      </c>
      <c r="Z35" s="725">
        <f ca="1">IF(V35="","",INDEX(OFFSET(Arb!$X$2,,,Arb!$AJ$5,),V35)/X35)</f>
        <v>2.8269648959304132</v>
      </c>
      <c r="AA35" s="561">
        <f ca="1">IF(V35="","",(INDEX(OFFSET(Arb!$U$2,,,Arb!$AJ$5,),V35)+INDEX(OFFSET(Arb!$V$2,,,Arb!$AJ$5,),V35))/X35)</f>
        <v>3.2308170239204723</v>
      </c>
      <c r="AB35" s="33">
        <f t="shared" ca="1" si="7"/>
        <v>8.6727351865609599</v>
      </c>
      <c r="AC35" s="774">
        <f t="shared" ca="1" si="8"/>
        <v>50.157302240020655</v>
      </c>
      <c r="AD35" s="74">
        <f ca="1">IF(V35="","",DATE(INDEX(OFFSET(Arb!$C$2,,,Arb!$AJ$5,),V35),INDEX(OFFSET(Arb!$B$2,,,Arb!$AJ$5,),V35),INDEX(OFFSET(Arb!$A$2,,,Arb!$AJ$5,),V35))+ROW()*0.001)</f>
        <v>44054.035000000003</v>
      </c>
    </row>
    <row r="36" spans="1:30" x14ac:dyDescent="0.25">
      <c r="A36" s="11">
        <v>35</v>
      </c>
      <c r="B36" s="11">
        <v>976</v>
      </c>
      <c r="C36" s="433">
        <f ca="1">IF(B36="",16,INDEX(OFFSET(Arb!$I$2,,,Arb!$AJ$5,),B36))</f>
        <v>11</v>
      </c>
      <c r="D36" s="560">
        <f ca="1">IF(B36="",10,INDEX(OFFSET(Arb!$H$2,,,Arb!$AJ$5,),B36))</f>
        <v>3.53</v>
      </c>
      <c r="E36" s="561">
        <f t="shared" ca="1" si="0"/>
        <v>3.1161473087818701</v>
      </c>
      <c r="F36" s="561">
        <f ca="1">IF(B36="","",INDEX(OFFSET(Arb!$X$2,,,Arb!$AJ$5,),B36)/D36)</f>
        <v>3.1161473087818701</v>
      </c>
      <c r="G36" s="562">
        <f ca="1">IF(B36="","",(INDEX(OFFSET(Arb!$U$2,,,Arb!$AJ$5,),B36)+INDEX(OFFSET(Arb!$V$2,,,Arb!$AJ$5,),B36))/D36)</f>
        <v>3.6827195467422098</v>
      </c>
      <c r="H36" s="33">
        <f t="shared" ca="1" si="1"/>
        <v>0.7759331633658143</v>
      </c>
      <c r="I36" s="776">
        <f t="shared" ca="1" si="2"/>
        <v>60.957569843809921</v>
      </c>
      <c r="J36" s="74">
        <f ca="1">IF(B36="","",DATE(INDEX(OFFSET(Arb!$C$2,,,Arb!$AJ$5,),B36),INDEX(OFFSET(Arb!$B$2,,,Arb!$AJ$5,),B36),INDEX(OFFSET(Arb!$A$2,,,Arb!$AJ$5,),B36))+ROW()*0.001)</f>
        <v>43822.036</v>
      </c>
      <c r="K36" s="11">
        <v>35</v>
      </c>
      <c r="L36" s="11">
        <v>2323</v>
      </c>
      <c r="M36" s="433">
        <f ca="1">IF(L36="",64,INDEX(OFFSET(Arb!$I$2,,,Arb!$AJ$5,),L36))</f>
        <v>48</v>
      </c>
      <c r="N36" s="691">
        <f ca="1">IF(L36="",60,INDEX(OFFSET(Arb!$H$2,,,Arb!$AJ$5,),L36))</f>
        <v>20.39</v>
      </c>
      <c r="O36" s="769">
        <f t="shared" ca="1" si="3"/>
        <v>2.3540951446787641</v>
      </c>
      <c r="P36" s="724">
        <f ca="1">IF(L36="","",INDEX(OFFSET(Arb!$X$2,,,Arb!$AJ$5,),L36)/N36)</f>
        <v>3.3349681216282492</v>
      </c>
      <c r="Q36" s="723">
        <f ca="1">IF(L36="","",(INDEX(OFFSET(Arb!$U$2,,,Arb!$AJ$5,),L36)+INDEX(OFFSET(Arb!$V$2,,,Arb!$AJ$5,),L36))/N36)</f>
        <v>3.8254046101029915</v>
      </c>
      <c r="R36" s="33">
        <f t="shared" ca="1" si="4"/>
        <v>3.5056458992259638</v>
      </c>
      <c r="S36" s="777">
        <f t="shared" ca="1" si="5"/>
        <v>43.852118673464176</v>
      </c>
      <c r="T36" s="74">
        <f ca="1">IF(L36="","",DATE(INDEX(OFFSET(Arb!$C$2,,,Arb!$AJ$5,),L36),INDEX(OFFSET(Arb!$B$2,,,Arb!$AJ$5,),L36),INDEX(OFFSET(Arb!$A$2,,,Arb!$AJ$5,),L36))+ROW()*0.001)</f>
        <v>44002.036</v>
      </c>
      <c r="U36" s="11">
        <v>35</v>
      </c>
      <c r="V36" s="11">
        <v>3014</v>
      </c>
      <c r="W36" s="433">
        <f ca="1">IF(V36="",164,INDEX(OFFSET(Arb!$I$2,,,Arb!$AJ$5,),V36))</f>
        <v>150</v>
      </c>
      <c r="X36" s="691">
        <f ca="1">IF(V36="",240,INDEX(OFFSET(Arb!$H$2,,,Arb!$AJ$5,),V36))</f>
        <v>64.48</v>
      </c>
      <c r="Y36" s="769">
        <f t="shared" ca="1" si="6"/>
        <v>2.3263027295285359</v>
      </c>
      <c r="Z36" s="725">
        <f ca="1">IF(V36="","",INDEX(OFFSET(Arb!$X$2,,,Arb!$AJ$5,),V36)/X36)</f>
        <v>2.8070719602977667</v>
      </c>
      <c r="AA36" s="561">
        <f ca="1">IF(V36="","",(INDEX(OFFSET(Arb!$U$2,,,Arb!$AJ$5,),V36)+INDEX(OFFSET(Arb!$V$2,,,Arb!$AJ$5,),V36))/X36)</f>
        <v>3.1637717121588089</v>
      </c>
      <c r="AB36" s="33">
        <f t="shared" ca="1" si="7"/>
        <v>7.9420257331693911</v>
      </c>
      <c r="AC36" s="774">
        <f t="shared" ca="1" si="8"/>
        <v>54.772046152311567</v>
      </c>
      <c r="AD36" s="74">
        <f ca="1">IF(V36="","",DATE(INDEX(OFFSET(Arb!$C$2,,,Arb!$AJ$5,),V36),INDEX(OFFSET(Arb!$B$2,,,Arb!$AJ$5,),V36),INDEX(OFFSET(Arb!$A$2,,,Arb!$AJ$5,),V36))+ROW()*0.001)</f>
        <v>43958.036</v>
      </c>
    </row>
    <row r="37" spans="1:30" x14ac:dyDescent="0.25">
      <c r="A37" s="11">
        <v>36</v>
      </c>
      <c r="B37" s="11">
        <v>528</v>
      </c>
      <c r="C37" s="433">
        <f ca="1">IF(B37="",16,INDEX(OFFSET(Arb!$I$2,,,Arb!$AJ$5,),B37))</f>
        <v>11</v>
      </c>
      <c r="D37" s="560">
        <f ca="1">IF(B37="",10,INDEX(OFFSET(Arb!$H$2,,,Arb!$AJ$5,),B37))</f>
        <v>3.54</v>
      </c>
      <c r="E37" s="561">
        <f t="shared" ca="1" si="0"/>
        <v>3.1073446327683616</v>
      </c>
      <c r="F37" s="563">
        <f ca="1">IF(B37="","",INDEX(OFFSET(Arb!$X$2,,,Arb!$AJ$5,),B37)/D37)</f>
        <v>4.2372881355932206</v>
      </c>
      <c r="G37" s="565">
        <f ca="1">IF(B37="","",(INDEX(OFFSET(Arb!$U$2,,,Arb!$AJ$5,),B37)+INDEX(OFFSET(Arb!$V$2,,,Arb!$AJ$5,),B37))/D37)</f>
        <v>5.0847457627118642</v>
      </c>
      <c r="H37" s="33">
        <f t="shared" ca="1" si="1"/>
        <v>0.77967365595383498</v>
      </c>
      <c r="I37" s="776">
        <f t="shared" ca="1" si="2"/>
        <v>60.665125259536289</v>
      </c>
      <c r="J37" s="74">
        <f ca="1">IF(B37="","",DATE(INDEX(OFFSET(Arb!$C$2,,,Arb!$AJ$5,),B37),INDEX(OFFSET(Arb!$B$2,,,Arb!$AJ$5,),B37),INDEX(OFFSET(Arb!$A$2,,,Arb!$AJ$5,),B37))+ROW()*0.001)</f>
        <v>43795.036999999997</v>
      </c>
      <c r="K37" s="11">
        <v>36</v>
      </c>
      <c r="L37" s="11">
        <v>2250</v>
      </c>
      <c r="M37" s="433">
        <f ca="1">IF(L37="",64,INDEX(OFFSET(Arb!$I$2,,,Arb!$AJ$5,),L37))</f>
        <v>58</v>
      </c>
      <c r="N37" s="691">
        <f ca="1">IF(L37="",60,INDEX(OFFSET(Arb!$H$2,,,Arb!$AJ$5,),L37))</f>
        <v>20.43</v>
      </c>
      <c r="O37" s="725">
        <f t="shared" ca="1" si="3"/>
        <v>2.8389623103279491</v>
      </c>
      <c r="P37" s="724">
        <f ca="1">IF(L37="","",INDEX(OFFSET(Arb!$X$2,,,Arb!$AJ$5,),L37)/N37)</f>
        <v>3.475281448849731</v>
      </c>
      <c r="Q37" s="562">
        <f ca="1">IF(L37="","",(INDEX(OFFSET(Arb!$U$2,,,Arb!$AJ$5,),L37)+INDEX(OFFSET(Arb!$V$2,,,Arb!$AJ$5,),L37))/N37)</f>
        <v>3.6710719530102791</v>
      </c>
      <c r="R37" s="33">
        <f t="shared" ca="1" si="4"/>
        <v>2.9109063246548206</v>
      </c>
      <c r="S37" s="774">
        <f t="shared" ca="1" si="5"/>
        <v>52.811730387177441</v>
      </c>
      <c r="T37" s="74">
        <f ca="1">IF(L37="","",DATE(INDEX(OFFSET(Arb!$C$2,,,Arb!$AJ$5,),L37),INDEX(OFFSET(Arb!$B$2,,,Arb!$AJ$5,),L37),INDEX(OFFSET(Arb!$A$2,,,Arb!$AJ$5,),L37))+ROW()*0.001)</f>
        <v>43894.036999999997</v>
      </c>
      <c r="U37" s="11">
        <v>36</v>
      </c>
      <c r="V37" s="11">
        <v>3327</v>
      </c>
      <c r="W37" s="433">
        <f ca="1">IF(V37="",164,INDEX(OFFSET(Arb!$I$2,,,Arb!$AJ$5,),V37))</f>
        <v>145</v>
      </c>
      <c r="X37" s="691">
        <f ca="1">IF(V37="",240,INDEX(OFFSET(Arb!$H$2,,,Arb!$AJ$5,),V37))</f>
        <v>64.59</v>
      </c>
      <c r="Y37" s="768">
        <f t="shared" ca="1" si="6"/>
        <v>2.2449295556587705</v>
      </c>
      <c r="Z37" s="725">
        <f ca="1">IF(V37="","",INDEX(OFFSET(Arb!$X$2,,,Arb!$AJ$5,),V37)/X37)</f>
        <v>2.7558445579811113</v>
      </c>
      <c r="AA37" s="561">
        <f ca="1">IF(V37="","",(INDEX(OFFSET(Arb!$U$2,,,Arb!$AJ$5,),V37)+INDEX(OFFSET(Arb!$V$2,,,Arb!$AJ$5,),V37))/X37)</f>
        <v>3.0035609227434588</v>
      </c>
      <c r="AB37" s="33">
        <f t="shared" ca="1" si="7"/>
        <v>8.2397300103872926</v>
      </c>
      <c r="AC37" s="774">
        <f t="shared" ca="1" si="8"/>
        <v>52.793113300025908</v>
      </c>
      <c r="AD37" s="74">
        <f ca="1">IF(V37="","",DATE(INDEX(OFFSET(Arb!$C$2,,,Arb!$AJ$5,),V37),INDEX(OFFSET(Arb!$B$2,,,Arb!$AJ$5,),V37),INDEX(OFFSET(Arb!$A$2,,,Arb!$AJ$5,),V37))+ROW()*0.001)</f>
        <v>44095.036999999997</v>
      </c>
    </row>
    <row r="38" spans="1:30" x14ac:dyDescent="0.25">
      <c r="A38" s="11">
        <v>37</v>
      </c>
      <c r="B38" s="11">
        <v>1070</v>
      </c>
      <c r="C38" s="433">
        <f ca="1">IF(B38="",16,INDEX(OFFSET(Arb!$I$2,,,Arb!$AJ$5,),B38))</f>
        <v>11</v>
      </c>
      <c r="D38" s="560">
        <f ca="1">IF(B38="",10,INDEX(OFFSET(Arb!$H$2,,,Arb!$AJ$5,),B38))</f>
        <v>3.55</v>
      </c>
      <c r="E38" s="561">
        <f t="shared" ca="1" si="0"/>
        <v>3.098591549295775</v>
      </c>
      <c r="F38" s="561">
        <f ca="1">IF(B38="","",INDEX(OFFSET(Arb!$X$2,,,Arb!$AJ$5,),B38)/D38)</f>
        <v>3.098591549295775</v>
      </c>
      <c r="G38" s="563">
        <f ca="1">IF(B38="","",(INDEX(OFFSET(Arb!$U$2,,,Arb!$AJ$5,),B38)+INDEX(OFFSET(Arb!$V$2,,,Arb!$AJ$5,),B38))/D38)</f>
        <v>4.2253521126760569</v>
      </c>
      <c r="H38" s="33">
        <f t="shared" ca="1" si="1"/>
        <v>0.78342155232023358</v>
      </c>
      <c r="I38" s="776">
        <f t="shared" ca="1" si="2"/>
        <v>60.374902707126353</v>
      </c>
      <c r="J38" s="74">
        <f ca="1">IF(B38="","",DATE(INDEX(OFFSET(Arb!$C$2,,,Arb!$AJ$5,),B38),INDEX(OFFSET(Arb!$B$2,,,Arb!$AJ$5,),B38),INDEX(OFFSET(Arb!$A$2,,,Arb!$AJ$5,),B38))+ROW()*0.001)</f>
        <v>43841.038</v>
      </c>
      <c r="K38" s="11">
        <v>37</v>
      </c>
      <c r="L38" s="11">
        <v>2075</v>
      </c>
      <c r="M38" s="433">
        <f ca="1">IF(L38="",64,INDEX(OFFSET(Arb!$I$2,,,Arb!$AJ$5,),L38))</f>
        <v>37</v>
      </c>
      <c r="N38" s="691">
        <f ca="1">IF(L38="",60,INDEX(OFFSET(Arb!$H$2,,,Arb!$AJ$5,),L38))</f>
        <v>20.46</v>
      </c>
      <c r="O38" s="727">
        <f t="shared" ca="1" si="3"/>
        <v>1.8084066471163245</v>
      </c>
      <c r="P38" s="726">
        <f ca="1">IF(L38="","",INDEX(OFFSET(Arb!$X$2,,,Arb!$AJ$5,),L38)/N38)</f>
        <v>2.541544477028348</v>
      </c>
      <c r="Q38" s="725">
        <f ca="1">IF(L38="","",(INDEX(OFFSET(Arb!$U$2,,,Arb!$AJ$5,),L38)+INDEX(OFFSET(Arb!$V$2,,,Arb!$AJ$5,),L38))/N38)</f>
        <v>2.9814271749755621</v>
      </c>
      <c r="R38" s="33">
        <f t="shared" ca="1" si="4"/>
        <v>4.5744390548376233</v>
      </c>
      <c r="S38" s="778">
        <f t="shared" ca="1" si="5"/>
        <v>33.606306293976161</v>
      </c>
      <c r="T38" s="74">
        <f ca="1">IF(L38="","",DATE(INDEX(OFFSET(Arb!$C$2,,,Arb!$AJ$5,),L38),INDEX(OFFSET(Arb!$B$2,,,Arb!$AJ$5,),L38),INDEX(OFFSET(Arb!$A$2,,,Arb!$AJ$5,),L38))+ROW()*0.001)</f>
        <v>43805.038</v>
      </c>
      <c r="U38" s="11">
        <v>37</v>
      </c>
      <c r="V38" s="11">
        <v>3279</v>
      </c>
      <c r="W38" s="433">
        <f ca="1">IF(V38="",164,INDEX(OFFSET(Arb!$I$2,,,Arb!$AJ$5,),V38))</f>
        <v>156</v>
      </c>
      <c r="X38" s="691">
        <f ca="1">IF(V38="",240,INDEX(OFFSET(Arb!$H$2,,,Arb!$AJ$5,),V38))</f>
        <v>64.64</v>
      </c>
      <c r="Y38" s="769">
        <f t="shared" ca="1" si="6"/>
        <v>2.4133663366336635</v>
      </c>
      <c r="Z38" s="725">
        <f ca="1">IF(V38="","",INDEX(OFFSET(Arb!$X$2,,,Arb!$AJ$5,),V38)/X38)</f>
        <v>2.7691831683168315</v>
      </c>
      <c r="AA38" s="561">
        <f ca="1">IF(V38="","",(INDEX(OFFSET(Arb!$U$2,,,Arb!$AJ$5,),V38)+INDEX(OFFSET(Arb!$V$2,,,Arb!$AJ$5,),V38))/X38)</f>
        <v>3.1095297029702968</v>
      </c>
      <c r="AB38" s="33">
        <f t="shared" ca="1" si="7"/>
        <v>7.6688049654657195</v>
      </c>
      <c r="AC38" s="776">
        <f t="shared" ca="1" si="8"/>
        <v>56.72344021772664</v>
      </c>
      <c r="AD38" s="74">
        <f ca="1">IF(V38="","",DATE(INDEX(OFFSET(Arb!$C$2,,,Arb!$AJ$5,),V38),INDEX(OFFSET(Arb!$B$2,,,Arb!$AJ$5,),V38),INDEX(OFFSET(Arb!$A$2,,,Arb!$AJ$5,),V38))+ROW()*0.001)</f>
        <v>44075.038</v>
      </c>
    </row>
    <row r="39" spans="1:30" x14ac:dyDescent="0.25">
      <c r="A39" s="11">
        <v>38</v>
      </c>
      <c r="B39" s="11">
        <v>678</v>
      </c>
      <c r="C39" s="433">
        <f ca="1">IF(B39="",16,INDEX(OFFSET(Arb!$I$2,,,Arb!$AJ$5,),B39))</f>
        <v>11</v>
      </c>
      <c r="D39" s="560">
        <f ca="1">IF(B39="",10,INDEX(OFFSET(Arb!$H$2,,,Arb!$AJ$5,),B39))</f>
        <v>3.55</v>
      </c>
      <c r="E39" s="561">
        <f t="shared" ca="1" si="0"/>
        <v>3.098591549295775</v>
      </c>
      <c r="F39" s="723">
        <f ca="1">IF(B39="","",INDEX(OFFSET(Arb!$X$2,,,Arb!$AJ$5,),B39)/D39)</f>
        <v>3.943661971830986</v>
      </c>
      <c r="G39" s="721">
        <f ca="1">IF(B39="","",(INDEX(OFFSET(Arb!$U$2,,,Arb!$AJ$5,),B39)+INDEX(OFFSET(Arb!$V$2,,,Arb!$AJ$5,),B39))/D39)</f>
        <v>4.788732394366197</v>
      </c>
      <c r="H39" s="33">
        <f t="shared" ca="1" si="1"/>
        <v>0.78342155232023358</v>
      </c>
      <c r="I39" s="776">
        <f t="shared" ca="1" si="2"/>
        <v>60.374902707126353</v>
      </c>
      <c r="J39" s="74">
        <f ca="1">IF(B39="","",DATE(INDEX(OFFSET(Arb!$C$2,,,Arb!$AJ$5,),B39),INDEX(OFFSET(Arb!$B$2,,,Arb!$AJ$5,),B39),INDEX(OFFSET(Arb!$A$2,,,Arb!$AJ$5,),B39))+ROW()*0.001)</f>
        <v>43801.038999999997</v>
      </c>
      <c r="K39" s="11">
        <v>38</v>
      </c>
      <c r="L39" s="11">
        <v>1892</v>
      </c>
      <c r="M39" s="433">
        <f ca="1">IF(L39="",64,INDEX(OFFSET(Arb!$I$2,,,Arb!$AJ$5,),L39))</f>
        <v>58</v>
      </c>
      <c r="N39" s="691">
        <f ca="1">IF(L39="",60,INDEX(OFFSET(Arb!$H$2,,,Arb!$AJ$5,),L39))</f>
        <v>20.48</v>
      </c>
      <c r="O39" s="725">
        <f t="shared" ca="1" si="3"/>
        <v>2.83203125</v>
      </c>
      <c r="P39" s="561">
        <f ca="1">IF(L39="","",INDEX(OFFSET(Arb!$X$2,,,Arb!$AJ$5,),L39)/N39)</f>
        <v>3.125</v>
      </c>
      <c r="Q39" s="724">
        <f ca="1">IF(L39="","",(INDEX(OFFSET(Arb!$U$2,,,Arb!$AJ$5,),L39)+INDEX(OFFSET(Arb!$V$2,,,Arb!$AJ$5,),L39))/N39)</f>
        <v>3.3203125</v>
      </c>
      <c r="R39" s="33">
        <f t="shared" ca="1" si="4"/>
        <v>2.9230276622795661</v>
      </c>
      <c r="S39" s="774">
        <f t="shared" ca="1" si="5"/>
        <v>52.592728417804771</v>
      </c>
      <c r="T39" s="74">
        <f ca="1">IF(L39="","",DATE(INDEX(OFFSET(Arb!$C$2,,,Arb!$AJ$5,),L39),INDEX(OFFSET(Arb!$B$2,,,Arb!$AJ$5,),L39),INDEX(OFFSET(Arb!$A$2,,,Arb!$AJ$5,),L39))+ROW()*0.001)</f>
        <v>43764.038999999997</v>
      </c>
      <c r="U39" s="11">
        <v>38</v>
      </c>
      <c r="V39" s="11">
        <v>3005</v>
      </c>
      <c r="W39" s="433">
        <f ca="1">IF(V39="",164,INDEX(OFFSET(Arb!$I$2,,,Arb!$AJ$5,),V39))</f>
        <v>159</v>
      </c>
      <c r="X39" s="691">
        <f ca="1">IF(V39="",240,INDEX(OFFSET(Arb!$H$2,,,Arb!$AJ$5,),V39))</f>
        <v>64.680000000000007</v>
      </c>
      <c r="Y39" s="769">
        <f t="shared" ca="1" si="6"/>
        <v>2.458256029684601</v>
      </c>
      <c r="Z39" s="725">
        <f ca="1">IF(V39="","",INDEX(OFFSET(Arb!$X$2,,,Arb!$AJ$5,),V39)/X39)</f>
        <v>2.7520098948670375</v>
      </c>
      <c r="AA39" s="561">
        <f ca="1">IF(V39="","",(INDEX(OFFSET(Arb!$U$2,,,Arb!$AJ$5,),V39)+INDEX(OFFSET(Arb!$V$2,,,Arb!$AJ$5,),V39))/X39)</f>
        <v>3.0612244897959182</v>
      </c>
      <c r="AB39" s="33">
        <f t="shared" ca="1" si="7"/>
        <v>7.53202746164677</v>
      </c>
      <c r="AC39" s="776">
        <f t="shared" ca="1" si="8"/>
        <v>57.753506903026242</v>
      </c>
      <c r="AD39" s="74">
        <f ca="1">IF(V39="","",DATE(INDEX(OFFSET(Arb!$C$2,,,Arb!$AJ$5,),V39),INDEX(OFFSET(Arb!$B$2,,,Arb!$AJ$5,),V39),INDEX(OFFSET(Arb!$A$2,,,Arb!$AJ$5,),V39))+ROW()*0.001)</f>
        <v>43957.038999999997</v>
      </c>
    </row>
    <row r="40" spans="1:30" x14ac:dyDescent="0.25">
      <c r="A40" s="11">
        <v>39</v>
      </c>
      <c r="B40" s="11">
        <v>1801</v>
      </c>
      <c r="C40" s="433">
        <f ca="1">IF(B40="",16,INDEX(OFFSET(Arb!$I$2,,,Arb!$AJ$5,),B40))</f>
        <v>10</v>
      </c>
      <c r="D40" s="560">
        <f ca="1">IF(B40="",10,INDEX(OFFSET(Arb!$H$2,,,Arb!$AJ$5,),B40))</f>
        <v>3.56</v>
      </c>
      <c r="E40" s="725">
        <f t="shared" ca="1" si="0"/>
        <v>2.8089887640449436</v>
      </c>
      <c r="F40" s="561">
        <f ca="1">IF(B40="","",INDEX(OFFSET(Arb!$X$2,,,Arb!$AJ$5,),B40)/D40)</f>
        <v>3.089887640449438</v>
      </c>
      <c r="G40" s="724">
        <f ca="1">IF(B40="","",(INDEX(OFFSET(Arb!$U$2,,,Arb!$AJ$5,),B40)+INDEX(OFFSET(Arb!$V$2,,,Arb!$AJ$5,),B40))/D40)</f>
        <v>3.3707865168539324</v>
      </c>
      <c r="H40" s="33">
        <f t="shared" ca="1" si="1"/>
        <v>0.86589453082231793</v>
      </c>
      <c r="I40" s="774">
        <f t="shared" ca="1" si="2"/>
        <v>54.624435559237618</v>
      </c>
      <c r="J40" s="74">
        <f ca="1">IF(B40="","",DATE(INDEX(OFFSET(Arb!$C$2,,,Arb!$AJ$5,),B40),INDEX(OFFSET(Arb!$B$2,,,Arb!$AJ$5,),B40),INDEX(OFFSET(Arb!$A$2,,,Arb!$AJ$5,),B40))+ROW()*0.001)</f>
        <v>44168.04</v>
      </c>
      <c r="K40" s="11">
        <v>39</v>
      </c>
      <c r="L40" s="11">
        <v>1887</v>
      </c>
      <c r="M40" s="433">
        <f ca="1">IF(L40="",64,INDEX(OFFSET(Arb!$I$2,,,Arb!$AJ$5,),L40))</f>
        <v>51</v>
      </c>
      <c r="N40" s="691">
        <f ca="1">IF(L40="",60,INDEX(OFFSET(Arb!$H$2,,,Arb!$AJ$5,),L40))</f>
        <v>20.58</v>
      </c>
      <c r="O40" s="769">
        <f t="shared" ca="1" si="3"/>
        <v>2.4781341107871722</v>
      </c>
      <c r="P40" s="725">
        <f ca="1">IF(L40="","",INDEX(OFFSET(Arb!$X$2,,,Arb!$AJ$5,),L40)/N40)</f>
        <v>2.915451895043732</v>
      </c>
      <c r="Q40" s="724">
        <f ca="1">IF(L40="","",(INDEX(OFFSET(Arb!$U$2,,,Arb!$AJ$5,),L40)+INDEX(OFFSET(Arb!$V$2,,,Arb!$AJ$5,),L40))/N40)</f>
        <v>3.3041788143828961</v>
      </c>
      <c r="R40" s="33">
        <f t="shared" ca="1" si="4"/>
        <v>3.3518683572964303</v>
      </c>
      <c r="S40" s="777">
        <f t="shared" ca="1" si="5"/>
        <v>45.863973048152893</v>
      </c>
      <c r="T40" s="74">
        <f ca="1">IF(L40="","",DATE(INDEX(OFFSET(Arb!$C$2,,,Arb!$AJ$5,),L40),INDEX(OFFSET(Arb!$B$2,,,Arb!$AJ$5,),L40),INDEX(OFFSET(Arb!$A$2,,,Arb!$AJ$5,),L40))+ROW()*0.001)</f>
        <v>43764.04</v>
      </c>
      <c r="U40" s="11">
        <v>39</v>
      </c>
      <c r="V40" s="11">
        <v>3095</v>
      </c>
      <c r="W40" s="433">
        <f ca="1">IF(V40="",164,INDEX(OFFSET(Arb!$I$2,,,Arb!$AJ$5,),V40))</f>
        <v>152</v>
      </c>
      <c r="X40" s="691">
        <f ca="1">IF(V40="",240,INDEX(OFFSET(Arb!$H$2,,,Arb!$AJ$5,),V40))</f>
        <v>64.83</v>
      </c>
      <c r="Y40" s="769">
        <f t="shared" ca="1" si="6"/>
        <v>2.3445935523677313</v>
      </c>
      <c r="Z40" s="725">
        <f ca="1">IF(V40="","",INDEX(OFFSET(Arb!$X$2,,,Arb!$AJ$5,),V40)/X40)</f>
        <v>2.8690421101341972</v>
      </c>
      <c r="AA40" s="561">
        <f ca="1">IF(V40="","",(INDEX(OFFSET(Arb!$U$2,,,Arb!$AJ$5,),V40)+INDEX(OFFSET(Arb!$V$2,,,Arb!$AJ$5,),V40))/X40)</f>
        <v>3.22381613450563</v>
      </c>
      <c r="AB40" s="33">
        <f t="shared" ca="1" si="7"/>
        <v>7.9099847969305301</v>
      </c>
      <c r="AC40" s="774">
        <f t="shared" ca="1" si="8"/>
        <v>54.993911008375406</v>
      </c>
      <c r="AD40" s="74">
        <f ca="1">IF(V40="","",DATE(INDEX(OFFSET(Arb!$C$2,,,Arb!$AJ$5,),V40),INDEX(OFFSET(Arb!$B$2,,,Arb!$AJ$5,),V40),INDEX(OFFSET(Arb!$A$2,,,Arb!$AJ$5,),V40))+ROW()*0.001)</f>
        <v>44004.04</v>
      </c>
    </row>
    <row r="41" spans="1:30" x14ac:dyDescent="0.25">
      <c r="A41" s="11">
        <v>40</v>
      </c>
      <c r="B41" s="11">
        <v>650</v>
      </c>
      <c r="C41" s="433">
        <f ca="1">IF(B41="",16,INDEX(OFFSET(Arb!$I$2,,,Arb!$AJ$5,),B41))</f>
        <v>10</v>
      </c>
      <c r="D41" s="560">
        <f ca="1">IF(B41="",10,INDEX(OFFSET(Arb!$H$2,,,Arb!$AJ$5,),B41))</f>
        <v>3.57</v>
      </c>
      <c r="E41" s="725">
        <f t="shared" ca="1" si="0"/>
        <v>2.801120448179272</v>
      </c>
      <c r="F41" s="723">
        <f ca="1">IF(B41="","",INDEX(OFFSET(Arb!$X$2,,,Arb!$AJ$5,),B41)/D41)</f>
        <v>3.9215686274509807</v>
      </c>
      <c r="G41" s="563">
        <f ca="1">IF(B41="","",(INDEX(OFFSET(Arb!$U$2,,,Arb!$AJ$5,),B41)+INDEX(OFFSET(Arb!$V$2,,,Arb!$AJ$5,),B41))/D41)</f>
        <v>4.2016806722689077</v>
      </c>
      <c r="H41" s="33">
        <f t="shared" ca="1" si="1"/>
        <v>0.87003348449538864</v>
      </c>
      <c r="I41" s="774">
        <f t="shared" ca="1" si="2"/>
        <v>54.364574286968946</v>
      </c>
      <c r="J41" s="74">
        <f ca="1">IF(B41="","",DATE(INDEX(OFFSET(Arb!$C$2,,,Arb!$AJ$5,),B41),INDEX(OFFSET(Arb!$B$2,,,Arb!$AJ$5,),B41),INDEX(OFFSET(Arb!$A$2,,,Arb!$AJ$5,),B41))+ROW()*0.001)</f>
        <v>43800.040999999997</v>
      </c>
      <c r="K41" s="11">
        <v>40</v>
      </c>
      <c r="L41" s="11">
        <v>2297</v>
      </c>
      <c r="M41" s="433">
        <f ca="1">IF(L41="",64,INDEX(OFFSET(Arb!$I$2,,,Arb!$AJ$5,),L41))</f>
        <v>53</v>
      </c>
      <c r="N41" s="691">
        <f ca="1">IF(L41="",60,INDEX(OFFSET(Arb!$H$2,,,Arb!$AJ$5,),L41))</f>
        <v>20.7</v>
      </c>
      <c r="O41" s="726">
        <f t="shared" ca="1" si="3"/>
        <v>2.560386473429952</v>
      </c>
      <c r="P41" s="724">
        <f ca="1">IF(L41="","",INDEX(OFFSET(Arb!$X$2,,,Arb!$AJ$5,),L41)/N41)</f>
        <v>3.2850241545893719</v>
      </c>
      <c r="Q41" s="562">
        <f ca="1">IF(L41="","",(INDEX(OFFSET(Arb!$U$2,,,Arb!$AJ$5,),L41)+INDEX(OFFSET(Arb!$V$2,,,Arb!$AJ$5,),L41))/N41)</f>
        <v>3.6714975845410631</v>
      </c>
      <c r="R41" s="33">
        <f t="shared" ca="1" si="4"/>
        <v>3.2574196934914577</v>
      </c>
      <c r="S41" s="777">
        <f t="shared" ca="1" si="5"/>
        <v>47.193795846191634</v>
      </c>
      <c r="T41" s="74">
        <f ca="1">IF(L41="","",DATE(INDEX(OFFSET(Arb!$C$2,,,Arb!$AJ$5,),L41),INDEX(OFFSET(Arb!$B$2,,,Arb!$AJ$5,),L41),INDEX(OFFSET(Arb!$A$2,,,Arb!$AJ$5,),L41))+ROW()*0.001)</f>
        <v>43937.040999999997</v>
      </c>
      <c r="U41" s="11">
        <v>40</v>
      </c>
      <c r="V41" s="11">
        <v>2904</v>
      </c>
      <c r="W41" s="433">
        <f ca="1">IF(V41="",164,INDEX(OFFSET(Arb!$I$2,,,Arb!$AJ$5,),V41))</f>
        <v>151</v>
      </c>
      <c r="X41" s="691">
        <f ca="1">IF(V41="",240,INDEX(OFFSET(Arb!$H$2,,,Arb!$AJ$5,),V41))</f>
        <v>64.88</v>
      </c>
      <c r="Y41" s="769">
        <f t="shared" ca="1" si="6"/>
        <v>2.3273736128236746</v>
      </c>
      <c r="Z41" s="725">
        <f ca="1">IF(V41="","",INDEX(OFFSET(Arb!$X$2,,,Arb!$AJ$5,),V41)/X41)</f>
        <v>2.8205918618988903</v>
      </c>
      <c r="AA41" s="561">
        <f ca="1">IF(V41="","",(INDEX(OFFSET(Arb!$U$2,,,Arb!$AJ$5,),V41)+INDEX(OFFSET(Arb!$V$2,,,Arb!$AJ$5,),V41))/X41)</f>
        <v>3.1442663378545008</v>
      </c>
      <c r="AB41" s="33">
        <f t="shared" ca="1" si="7"/>
        <v>7.9728112521181691</v>
      </c>
      <c r="AC41" s="774">
        <f t="shared" ca="1" si="8"/>
        <v>54.560554143863811</v>
      </c>
      <c r="AD41" s="74">
        <f ca="1">IF(V41="","",DATE(INDEX(OFFSET(Arb!$C$2,,,Arb!$AJ$5,),V41),INDEX(OFFSET(Arb!$B$2,,,Arb!$AJ$5,),V41),INDEX(OFFSET(Arb!$A$2,,,Arb!$AJ$5,),V41))+ROW()*0.001)</f>
        <v>43927.040999999997</v>
      </c>
    </row>
    <row r="42" spans="1:30" x14ac:dyDescent="0.25">
      <c r="A42" s="11">
        <v>41</v>
      </c>
      <c r="B42" s="11">
        <v>9</v>
      </c>
      <c r="C42" s="433">
        <f ca="1">IF(B42="",16,INDEX(OFFSET(Arb!$I$2,,,Arb!$AJ$5,),B42))</f>
        <v>12</v>
      </c>
      <c r="D42" s="34">
        <f ca="1">IF(B42="",10,INDEX(OFFSET(Arb!$H$2,,,Arb!$AJ$5,),B42))</f>
        <v>3.57</v>
      </c>
      <c r="E42" s="33">
        <f t="shared" ca="1" si="0"/>
        <v>3.3613445378151261</v>
      </c>
      <c r="F42" s="33">
        <f ca="1">IF(B42="","",INDEX(OFFSET(Arb!$X$2,,,Arb!$AJ$5,),B42)/D42)</f>
        <v>3.3613445378151261</v>
      </c>
      <c r="G42" s="33">
        <f ca="1">IF(B42="","",(INDEX(OFFSET(Arb!$U$2,,,Arb!$AJ$5,),B42)+INDEX(OFFSET(Arb!$V$2,,,Arb!$AJ$5,),B42))/D42)</f>
        <v>3.9215686274509807</v>
      </c>
      <c r="H42" s="33">
        <f t="shared" ca="1" si="1"/>
        <v>0.72502790374615722</v>
      </c>
      <c r="I42" s="21">
        <f t="shared" ca="1" si="2"/>
        <v>65.237489144362726</v>
      </c>
      <c r="J42" s="74">
        <f ca="1">IF(B42="","",DATE(INDEX(OFFSET(Arb!$C$2,,,Arb!$AJ$5,),B42),INDEX(OFFSET(Arb!$B$2,,,Arb!$AJ$5,),B42),INDEX(OFFSET(Arb!$A$2,,,Arb!$AJ$5,),B42))+ROW()*0.001)</f>
        <v>43765.042000000001</v>
      </c>
      <c r="K42" s="11">
        <v>41</v>
      </c>
      <c r="L42" s="11">
        <v>2193</v>
      </c>
      <c r="M42" s="433">
        <f ca="1">IF(L42="",64,INDEX(OFFSET(Arb!$I$2,,,Arb!$AJ$5,),L42))</f>
        <v>48</v>
      </c>
      <c r="N42" s="34">
        <f ca="1">IF(L42="",60,INDEX(OFFSET(Arb!$H$2,,,Arb!$AJ$5,),L42))</f>
        <v>20.7</v>
      </c>
      <c r="O42" s="33">
        <f t="shared" ca="1" si="3"/>
        <v>2.318840579710145</v>
      </c>
      <c r="P42" s="33">
        <f ca="1">IF(L42="","",INDEX(OFFSET(Arb!$X$2,,,Arb!$AJ$5,),L42)/N42)</f>
        <v>2.8019323671497585</v>
      </c>
      <c r="Q42" s="33">
        <f ca="1">IF(L42="","",(INDEX(OFFSET(Arb!$U$2,,,Arb!$AJ$5,),L42)+INDEX(OFFSET(Arb!$V$2,,,Arb!$AJ$5,),L42))/N42)</f>
        <v>3.3816425120772946</v>
      </c>
      <c r="R42" s="33">
        <f t="shared" ca="1" si="4"/>
        <v>3.5967342448968176</v>
      </c>
      <c r="S42" s="21">
        <f t="shared" ca="1" si="5"/>
        <v>42.741550955041482</v>
      </c>
      <c r="T42" s="74">
        <f ca="1">IF(L42="","",DATE(INDEX(OFFSET(Arb!$C$2,,,Arb!$AJ$5,),L42),INDEX(OFFSET(Arb!$B$2,,,Arb!$AJ$5,),L42),INDEX(OFFSET(Arb!$A$2,,,Arb!$AJ$5,),L42))+ROW()*0.001)</f>
        <v>43852.042000000001</v>
      </c>
      <c r="U42" s="11">
        <v>41</v>
      </c>
      <c r="V42" s="11">
        <v>3152</v>
      </c>
      <c r="W42" s="433">
        <f ca="1">IF(V42="",164,INDEX(OFFSET(Arb!$I$2,,,Arb!$AJ$5,),V42))</f>
        <v>142</v>
      </c>
      <c r="X42" s="34">
        <f ca="1">IF(V42="",240,INDEX(OFFSET(Arb!$H$2,,,Arb!$AJ$5,),V42))</f>
        <v>65.03</v>
      </c>
      <c r="Y42" s="33">
        <f t="shared" ca="1" si="6"/>
        <v>2.1836075657388898</v>
      </c>
      <c r="Z42" s="33">
        <f ca="1">IF(V42="","",INDEX(OFFSET(Arb!$X$2,,,Arb!$AJ$5,),V42)/X42)</f>
        <v>2.6910656620021527</v>
      </c>
      <c r="AA42" s="33">
        <f ca="1">IF(V42="","",(INDEX(OFFSET(Arb!$U$2,,,Arb!$AJ$5,),V42)+INDEX(OFFSET(Arb!$V$2,,,Arb!$AJ$5,),V42))/X42)</f>
        <v>3.0755036137167462</v>
      </c>
      <c r="AB42" s="33">
        <f t="shared" ca="1" si="7"/>
        <v>8.5114791070513292</v>
      </c>
      <c r="AC42" s="21">
        <f t="shared" ca="1" si="8"/>
        <v>51.107568323773911</v>
      </c>
      <c r="AD42" s="74">
        <f ca="1">IF(V42="","",DATE(INDEX(OFFSET(Arb!$C$2,,,Arb!$AJ$5,),V42),INDEX(OFFSET(Arb!$B$2,,,Arb!$AJ$5,),V42),INDEX(OFFSET(Arb!$A$2,,,Arb!$AJ$5,),V42))+ROW()*0.001)</f>
        <v>44028.042000000001</v>
      </c>
    </row>
    <row r="43" spans="1:30" x14ac:dyDescent="0.25">
      <c r="A43" s="11">
        <v>42</v>
      </c>
      <c r="B43" s="11">
        <v>1856</v>
      </c>
      <c r="C43" s="433">
        <f ca="1">IF(B43="",16,INDEX(OFFSET(Arb!$I$2,,,Arb!$AJ$5,),B43))</f>
        <v>11</v>
      </c>
      <c r="D43" s="34">
        <f ca="1">IF(B43="",10,INDEX(OFFSET(Arb!$H$2,,,Arb!$AJ$5,),B43))</f>
        <v>3.59</v>
      </c>
      <c r="E43" s="33">
        <f t="shared" ca="1" si="0"/>
        <v>3.0640668523676879</v>
      </c>
      <c r="F43" s="33">
        <f ca="1">IF(B43="","",INDEX(OFFSET(Arb!$X$2,,,Arb!$AJ$5,),B43)/D43)</f>
        <v>3.6211699164345403</v>
      </c>
      <c r="G43" s="33">
        <f ca="1">IF(B43="","",(INDEX(OFFSET(Arb!$U$2,,,Arb!$AJ$5,),B43)+INDEX(OFFSET(Arb!$V$2,,,Arb!$AJ$5,),B43))/D43)</f>
        <v>4.4568245125348191</v>
      </c>
      <c r="H43" s="33">
        <f t="shared" ca="1" si="1"/>
        <v>0.79848705065404713</v>
      </c>
      <c r="I43" s="21">
        <f t="shared" ca="1" si="2"/>
        <v>59.235775910526051</v>
      </c>
      <c r="J43" s="74">
        <f ca="1">IF(B43="","",DATE(INDEX(OFFSET(Arb!$C$2,,,Arb!$AJ$5,),B43),INDEX(OFFSET(Arb!$B$2,,,Arb!$AJ$5,),B43),INDEX(OFFSET(Arb!$A$2,,,Arb!$AJ$5,),B43))+ROW()*0.001)</f>
        <v>44168.042999999998</v>
      </c>
      <c r="K43" s="11">
        <v>42</v>
      </c>
      <c r="L43" s="11">
        <v>2332</v>
      </c>
      <c r="M43" s="433">
        <f ca="1">IF(L43="",64,INDEX(OFFSET(Arb!$I$2,,,Arb!$AJ$5,),L43))</f>
        <v>48</v>
      </c>
      <c r="N43" s="34">
        <f ca="1">IF(L43="",60,INDEX(OFFSET(Arb!$H$2,,,Arb!$AJ$5,),L43))</f>
        <v>20.72</v>
      </c>
      <c r="O43" s="33">
        <f t="shared" ca="1" si="3"/>
        <v>2.3166023166023169</v>
      </c>
      <c r="P43" s="33">
        <f ca="1">IF(L43="","",INDEX(OFFSET(Arb!$X$2,,,Arb!$AJ$5,),L43)/N43)</f>
        <v>2.8474903474903477</v>
      </c>
      <c r="Q43" s="33">
        <f ca="1">IF(L43="","",(INDEX(OFFSET(Arb!$U$2,,,Arb!$AJ$5,),L43)+INDEX(OFFSET(Arb!$V$2,,,Arb!$AJ$5,),L43))/N43)</f>
        <v>3.3301158301158305</v>
      </c>
      <c r="R43" s="33">
        <f t="shared" ca="1" si="4"/>
        <v>3.6026439219059139</v>
      </c>
      <c r="S43" s="21">
        <f t="shared" ca="1" si="5"/>
        <v>42.671438902202667</v>
      </c>
      <c r="T43" s="74">
        <f ca="1">IF(L43="","",DATE(INDEX(OFFSET(Arb!$C$2,,,Arb!$AJ$5,),L43),INDEX(OFFSET(Arb!$B$2,,,Arb!$AJ$5,),L43),INDEX(OFFSET(Arb!$A$2,,,Arb!$AJ$5,),L43))+ROW()*0.001)</f>
        <v>44093.042999999998</v>
      </c>
      <c r="U43" s="11">
        <v>42</v>
      </c>
      <c r="V43" s="11">
        <v>2980</v>
      </c>
      <c r="W43" s="433">
        <f ca="1">IF(V43="",164,INDEX(OFFSET(Arb!$I$2,,,Arb!$AJ$5,),V43))</f>
        <v>155</v>
      </c>
      <c r="X43" s="34">
        <f ca="1">IF(V43="",240,INDEX(OFFSET(Arb!$H$2,,,Arb!$AJ$5,),V43))</f>
        <v>65.03</v>
      </c>
      <c r="Y43" s="33">
        <f t="shared" ca="1" si="6"/>
        <v>2.3835153006304783</v>
      </c>
      <c r="Z43" s="33">
        <f ca="1">IF(V43="","",INDEX(OFFSET(Arb!$X$2,,,Arb!$AJ$5,),V43)/X43)</f>
        <v>3.0447485775795786</v>
      </c>
      <c r="AA43" s="33">
        <f ca="1">IF(V43="","",(INDEX(OFFSET(Arb!$U$2,,,Arb!$AJ$5,),V43)+INDEX(OFFSET(Arb!$V$2,,,Arb!$AJ$5,),V43))/X43)</f>
        <v>3.5675841919114255</v>
      </c>
      <c r="AB43" s="33">
        <f t="shared" ca="1" si="7"/>
        <v>7.7976131174276695</v>
      </c>
      <c r="AC43" s="21">
        <f t="shared" ca="1" si="8"/>
        <v>55.786430212570117</v>
      </c>
      <c r="AD43" s="74">
        <f ca="1">IF(V43="","",DATE(INDEX(OFFSET(Arb!$C$2,,,Arb!$AJ$5,),V43),INDEX(OFFSET(Arb!$B$2,,,Arb!$AJ$5,),V43),INDEX(OFFSET(Arb!$A$2,,,Arb!$AJ$5,),V43))+ROW()*0.001)</f>
        <v>43956.042999999998</v>
      </c>
    </row>
    <row r="44" spans="1:30" x14ac:dyDescent="0.25">
      <c r="A44" s="11">
        <v>43</v>
      </c>
      <c r="B44" s="11">
        <v>1739</v>
      </c>
      <c r="C44" s="433">
        <f ca="1">IF(B44="",16,INDEX(OFFSET(Arb!$I$2,,,Arb!$AJ$5,),B44))</f>
        <v>10</v>
      </c>
      <c r="D44" s="34">
        <f ca="1">IF(B44="",10,INDEX(OFFSET(Arb!$H$2,,,Arb!$AJ$5,),B44))</f>
        <v>3.59</v>
      </c>
      <c r="E44" s="33">
        <f t="shared" ca="1" si="0"/>
        <v>2.785515320334262</v>
      </c>
      <c r="F44" s="33">
        <f ca="1">IF(B44="","",INDEX(OFFSET(Arb!$X$2,,,Arb!$AJ$5,),B44)/D44)</f>
        <v>3.6211699164345403</v>
      </c>
      <c r="G44" s="33">
        <f ca="1">IF(B44="","",(INDEX(OFFSET(Arb!$U$2,,,Arb!$AJ$5,),B44)+INDEX(OFFSET(Arb!$V$2,,,Arb!$AJ$5,),B44))/D44)</f>
        <v>3.8997214484679668</v>
      </c>
      <c r="H44" s="33">
        <f t="shared" ca="1" si="1"/>
        <v>0.87833575571945188</v>
      </c>
      <c r="I44" s="21">
        <f t="shared" ca="1" si="2"/>
        <v>53.8507053732055</v>
      </c>
      <c r="J44" s="74">
        <f ca="1">IF(B44="","",DATE(INDEX(OFFSET(Arb!$C$2,,,Arb!$AJ$5,),B44),INDEX(OFFSET(Arb!$B$2,,,Arb!$AJ$5,),B44),INDEX(OFFSET(Arb!$A$2,,,Arb!$AJ$5,),B44))+ROW()*0.001)</f>
        <v>44114.044000000002</v>
      </c>
      <c r="K44" s="11">
        <v>43</v>
      </c>
      <c r="L44" s="11">
        <v>2350</v>
      </c>
      <c r="M44" s="433">
        <f ca="1">IF(L44="",64,INDEX(OFFSET(Arb!$I$2,,,Arb!$AJ$5,),L44))</f>
        <v>39</v>
      </c>
      <c r="N44" s="34">
        <f ca="1">IF(L44="",60,INDEX(OFFSET(Arb!$H$2,,,Arb!$AJ$5,),L44))</f>
        <v>20.74</v>
      </c>
      <c r="O44" s="33">
        <f t="shared" ca="1" si="3"/>
        <v>1.8804243008678883</v>
      </c>
      <c r="P44" s="33">
        <f ca="1">IF(L44="","",INDEX(OFFSET(Arb!$X$2,,,Arb!$AJ$5,),L44)/N44)</f>
        <v>2.844744455159113</v>
      </c>
      <c r="Q44" s="33">
        <f ca="1">IF(L44="","",(INDEX(OFFSET(Arb!$U$2,,,Arb!$AJ$5,),L44)+INDEX(OFFSET(Arb!$V$2,,,Arb!$AJ$5,),L44))/N44)</f>
        <v>3.1340405014464805</v>
      </c>
      <c r="R44" s="33">
        <f t="shared" ca="1" si="4"/>
        <v>4.441301653279651</v>
      </c>
      <c r="S44" s="21">
        <f t="shared" ca="1" si="5"/>
        <v>34.613726335494249</v>
      </c>
      <c r="T44" s="74">
        <f ca="1">IF(L44="","",DATE(INDEX(OFFSET(Arb!$C$2,,,Arb!$AJ$5,),L44),INDEX(OFFSET(Arb!$B$2,,,Arb!$AJ$5,),L44),INDEX(OFFSET(Arb!$A$2,,,Arb!$AJ$5,),L44))+ROW()*0.001)</f>
        <v>44106.044000000002</v>
      </c>
      <c r="U44" s="11">
        <v>43</v>
      </c>
      <c r="V44" s="11">
        <v>3304</v>
      </c>
      <c r="W44" s="433">
        <f ca="1">IF(V44="",164,INDEX(OFFSET(Arb!$I$2,,,Arb!$AJ$5,),V44))</f>
        <v>146</v>
      </c>
      <c r="X44" s="34">
        <f ca="1">IF(V44="",240,INDEX(OFFSET(Arb!$H$2,,,Arb!$AJ$5,),V44))</f>
        <v>65.09</v>
      </c>
      <c r="Y44" s="33">
        <f t="shared" ca="1" si="6"/>
        <v>2.2430480872637886</v>
      </c>
      <c r="Z44" s="33">
        <f ca="1">IF(V44="","",INDEX(OFFSET(Arb!$X$2,,,Arb!$AJ$5,),V44)/X44)</f>
        <v>2.9804885543094177</v>
      </c>
      <c r="AA44" s="33">
        <f ca="1">IF(V44="","",(INDEX(OFFSET(Arb!$U$2,,,Arb!$AJ$5,),V44)+INDEX(OFFSET(Arb!$V$2,,,Arb!$AJ$5,),V44))/X44)</f>
        <v>3.3338454447687815</v>
      </c>
      <c r="AB44" s="33">
        <f t="shared" ca="1" si="7"/>
        <v>8.2912766425430906</v>
      </c>
      <c r="AC44" s="21">
        <f t="shared" ca="1" si="8"/>
        <v>52.464900009243571</v>
      </c>
      <c r="AD44" s="74">
        <f ca="1">IF(V44="","",DATE(INDEX(OFFSET(Arb!$C$2,,,Arb!$AJ$5,),V44),INDEX(OFFSET(Arb!$B$2,,,Arb!$AJ$5,),V44),INDEX(OFFSET(Arb!$A$2,,,Arb!$AJ$5,),V44))+ROW()*0.001)</f>
        <v>44090.044000000002</v>
      </c>
    </row>
    <row r="45" spans="1:30" x14ac:dyDescent="0.25">
      <c r="A45" s="11">
        <v>44</v>
      </c>
      <c r="B45" s="11">
        <v>190</v>
      </c>
      <c r="C45" s="433">
        <f ca="1">IF(B45="",16,INDEX(OFFSET(Arb!$I$2,,,Arb!$AJ$5,),B45))</f>
        <v>10</v>
      </c>
      <c r="D45" s="34">
        <f ca="1">IF(B45="",10,INDEX(OFFSET(Arb!$H$2,,,Arb!$AJ$5,),B45))</f>
        <v>3.59</v>
      </c>
      <c r="E45" s="33">
        <f t="shared" ca="1" si="0"/>
        <v>2.785515320334262</v>
      </c>
      <c r="F45" s="33">
        <f ca="1">IF(B45="","",INDEX(OFFSET(Arb!$X$2,,,Arb!$AJ$5,),B45)/D45)</f>
        <v>3.3426183844011144</v>
      </c>
      <c r="G45" s="33">
        <f ca="1">IF(B45="","",(INDEX(OFFSET(Arb!$U$2,,,Arb!$AJ$5,),B45)+INDEX(OFFSET(Arb!$V$2,,,Arb!$AJ$5,),B45))/D45)</f>
        <v>4.4568245125348191</v>
      </c>
      <c r="H45" s="33">
        <f t="shared" ca="1" si="1"/>
        <v>0.87833575571945188</v>
      </c>
      <c r="I45" s="21">
        <f t="shared" ca="1" si="2"/>
        <v>53.8507053732055</v>
      </c>
      <c r="J45" s="74">
        <f ca="1">IF(B45="","",DATE(INDEX(OFFSET(Arb!$C$2,,,Arb!$AJ$5,),B45),INDEX(OFFSET(Arb!$B$2,,,Arb!$AJ$5,),B45),INDEX(OFFSET(Arb!$A$2,,,Arb!$AJ$5,),B45))+ROW()*0.001)</f>
        <v>43774.044999999998</v>
      </c>
      <c r="K45" s="11">
        <v>44</v>
      </c>
      <c r="L45" s="11">
        <v>1967</v>
      </c>
      <c r="M45" s="433">
        <f ca="1">IF(L45="",64,INDEX(OFFSET(Arb!$I$2,,,Arb!$AJ$5,),L45))</f>
        <v>50</v>
      </c>
      <c r="N45" s="34">
        <f ca="1">IF(L45="",60,INDEX(OFFSET(Arb!$H$2,,,Arb!$AJ$5,),L45))</f>
        <v>20.81</v>
      </c>
      <c r="O45" s="33">
        <f t="shared" ca="1" si="3"/>
        <v>2.4026910139356081</v>
      </c>
      <c r="P45" s="33">
        <f ca="1">IF(L45="","",INDEX(OFFSET(Arb!$X$2,,,Arb!$AJ$5,),L45)/N45)</f>
        <v>3.0273906775588659</v>
      </c>
      <c r="Q45" s="33">
        <f ca="1">IF(L45="","",(INDEX(OFFSET(Arb!$U$2,,,Arb!$AJ$5,),L45)+INDEX(OFFSET(Arb!$V$2,,,Arb!$AJ$5,),L45))/N45)</f>
        <v>3.4118212397885634</v>
      </c>
      <c r="R45" s="33">
        <f t="shared" ca="1" si="4"/>
        <v>3.484115406871608</v>
      </c>
      <c r="S45" s="21">
        <f t="shared" ca="1" si="5"/>
        <v>44.123107890399751</v>
      </c>
      <c r="T45" s="74">
        <f ca="1">IF(L45="","",DATE(INDEX(OFFSET(Arb!$C$2,,,Arb!$AJ$5,),L45),INDEX(OFFSET(Arb!$B$2,,,Arb!$AJ$5,),L45),INDEX(OFFSET(Arb!$A$2,,,Arb!$AJ$5,),L45))+ROW()*0.001)</f>
        <v>43779.044999999998</v>
      </c>
      <c r="U45" s="11">
        <v>44</v>
      </c>
      <c r="V45" s="11">
        <v>3247</v>
      </c>
      <c r="W45" s="433">
        <f ca="1">IF(V45="",164,INDEX(OFFSET(Arb!$I$2,,,Arb!$AJ$5,),V45))</f>
        <v>174</v>
      </c>
      <c r="X45" s="34">
        <f ca="1">IF(V45="",240,INDEX(OFFSET(Arb!$H$2,,,Arb!$AJ$5,),V45))</f>
        <v>65.12</v>
      </c>
      <c r="Y45" s="33">
        <f t="shared" ca="1" si="6"/>
        <v>2.671990171990172</v>
      </c>
      <c r="Z45" s="33">
        <f ca="1">IF(V45="","",INDEX(OFFSET(Arb!$X$2,,,Arb!$AJ$5,),V45)/X45)</f>
        <v>3.0098280098280097</v>
      </c>
      <c r="AA45" s="33">
        <f ca="1">IF(V45="","",(INDEX(OFFSET(Arb!$U$2,,,Arb!$AJ$5,),V45)+INDEX(OFFSET(Arb!$V$2,,,Arb!$AJ$5,),V45))/X45)</f>
        <v>3.3783783783783781</v>
      </c>
      <c r="AB45" s="33">
        <f t="shared" ca="1" si="7"/>
        <v>6.9625001560460129</v>
      </c>
      <c r="AC45" s="21">
        <f t="shared" ca="1" si="8"/>
        <v>62.477700574593023</v>
      </c>
      <c r="AD45" s="74">
        <f ca="1">IF(V45="","",DATE(INDEX(OFFSET(Arb!$C$2,,,Arb!$AJ$5,),V45),INDEX(OFFSET(Arb!$B$2,,,Arb!$AJ$5,),V45),INDEX(OFFSET(Arb!$A$2,,,Arb!$AJ$5,),V45))+ROW()*0.001)</f>
        <v>44067.044999999998</v>
      </c>
    </row>
    <row r="46" spans="1:30" x14ac:dyDescent="0.25">
      <c r="A46" s="11">
        <v>45</v>
      </c>
      <c r="B46" s="11">
        <v>1631</v>
      </c>
      <c r="C46" s="433">
        <f ca="1">IF(B46="",16,INDEX(OFFSET(Arb!$I$2,,,Arb!$AJ$5,),B46))</f>
        <v>13</v>
      </c>
      <c r="D46" s="34">
        <f ca="1">IF(B46="",10,INDEX(OFFSET(Arb!$H$2,,,Arb!$AJ$5,),B46))</f>
        <v>3.6</v>
      </c>
      <c r="E46" s="33">
        <f t="shared" ca="1" si="0"/>
        <v>3.6111111111111112</v>
      </c>
      <c r="F46" s="33">
        <f ca="1">IF(B46="","",INDEX(OFFSET(Arb!$X$2,,,Arb!$AJ$5,),B46)/D46)</f>
        <v>3.8888888888888888</v>
      </c>
      <c r="G46" s="33">
        <f ca="1">IF(B46="","",(INDEX(OFFSET(Arb!$U$2,,,Arb!$AJ$5,),B46)+INDEX(OFFSET(Arb!$V$2,,,Arb!$AJ$5,),B46))/D46)</f>
        <v>5.5555555555555554</v>
      </c>
      <c r="H46" s="33">
        <f t="shared" ca="1" si="1"/>
        <v>0.67884543051298263</v>
      </c>
      <c r="I46" s="21">
        <f t="shared" ca="1" si="2"/>
        <v>69.675654978273329</v>
      </c>
      <c r="J46" s="74">
        <f ca="1">IF(B46="","",DATE(INDEX(OFFSET(Arb!$C$2,,,Arb!$AJ$5,),B46),INDEX(OFFSET(Arb!$B$2,,,Arb!$AJ$5,),B46),INDEX(OFFSET(Arb!$A$2,,,Arb!$AJ$5,),B46))+ROW()*0.001)</f>
        <v>44093.046000000002</v>
      </c>
      <c r="K46" s="11">
        <v>45</v>
      </c>
      <c r="L46" s="11">
        <v>2389</v>
      </c>
      <c r="M46" s="433">
        <f ca="1">IF(L46="",64,INDEX(OFFSET(Arb!$I$2,,,Arb!$AJ$5,),L46))</f>
        <v>49</v>
      </c>
      <c r="N46" s="34">
        <f ca="1">IF(L46="",60,INDEX(OFFSET(Arb!$H$2,,,Arb!$AJ$5,),L46))</f>
        <v>20.84</v>
      </c>
      <c r="O46" s="33">
        <f t="shared" ca="1" si="3"/>
        <v>2.3512476007677545</v>
      </c>
      <c r="P46" s="33">
        <f ca="1">IF(L46="","",INDEX(OFFSET(Arb!$X$2,,,Arb!$AJ$5,),L46)/N46)</f>
        <v>2.7351247600767756</v>
      </c>
      <c r="Q46" s="33">
        <f ca="1">IF(L46="","",(INDEX(OFFSET(Arb!$U$2,,,Arb!$AJ$5,),L46)+INDEX(OFFSET(Arb!$V$2,,,Arb!$AJ$5,),L46))/N46)</f>
        <v>3.1669865642994242</v>
      </c>
      <c r="R46" s="33">
        <f t="shared" ca="1" si="4"/>
        <v>3.5639371351070923</v>
      </c>
      <c r="S46" s="21">
        <f t="shared" ca="1" si="5"/>
        <v>43.134879817508505</v>
      </c>
      <c r="T46" s="74">
        <f ca="1">IF(L46="","",DATE(INDEX(OFFSET(Arb!$C$2,,,Arb!$AJ$5,),L46),INDEX(OFFSET(Arb!$B$2,,,Arb!$AJ$5,),L46),INDEX(OFFSET(Arb!$A$2,,,Arb!$AJ$5,),L46))+ROW()*0.001)</f>
        <v>44117.046000000002</v>
      </c>
      <c r="U46" s="11">
        <v>45</v>
      </c>
      <c r="V46" s="11">
        <v>3149</v>
      </c>
      <c r="W46" s="433">
        <f ca="1">IF(V46="",164,INDEX(OFFSET(Arb!$I$2,,,Arb!$AJ$5,),V46))</f>
        <v>170</v>
      </c>
      <c r="X46" s="34">
        <f ca="1">IF(V46="",240,INDEX(OFFSET(Arb!$H$2,,,Arb!$AJ$5,),V46))</f>
        <v>65.13</v>
      </c>
      <c r="Y46" s="33">
        <f t="shared" ca="1" si="6"/>
        <v>2.6101642868109938</v>
      </c>
      <c r="Z46" s="33">
        <f ca="1">IF(V46="","",INDEX(OFFSET(Arb!$X$2,,,Arb!$AJ$5,),V46)/X46)</f>
        <v>2.9325963457699986</v>
      </c>
      <c r="AA46" s="33">
        <f ca="1">IF(V46="","",(INDEX(OFFSET(Arb!$U$2,,,Arb!$AJ$5,),V46)+INDEX(OFFSET(Arb!$V$2,,,Arb!$AJ$5,),V46))/X46)</f>
        <v>3.1936127744510978</v>
      </c>
      <c r="AB46" s="33">
        <f t="shared" ca="1" si="7"/>
        <v>7.1281841623161908</v>
      </c>
      <c r="AC46" s="21">
        <f t="shared" ca="1" si="8"/>
        <v>61.025499635611723</v>
      </c>
      <c r="AD46" s="74">
        <f ca="1">IF(V46="","",DATE(INDEX(OFFSET(Arb!$C$2,,,Arb!$AJ$5,),V46),INDEX(OFFSET(Arb!$B$2,,,Arb!$AJ$5,),V46),INDEX(OFFSET(Arb!$A$2,,,Arb!$AJ$5,),V46))+ROW()*0.001)</f>
        <v>44028.046000000002</v>
      </c>
    </row>
    <row r="47" spans="1:30" x14ac:dyDescent="0.25">
      <c r="A47" s="11">
        <v>46</v>
      </c>
      <c r="B47" s="11">
        <v>1642</v>
      </c>
      <c r="C47" s="433">
        <f ca="1">IF(B47="",16,INDEX(OFFSET(Arb!$I$2,,,Arb!$AJ$5,),B47))</f>
        <v>15</v>
      </c>
      <c r="D47" s="34">
        <f ca="1">IF(B47="",10,INDEX(OFFSET(Arb!$H$2,,,Arb!$AJ$5,),B47))</f>
        <v>3.61</v>
      </c>
      <c r="E47" s="33">
        <f t="shared" ca="1" si="0"/>
        <v>4.1551246537396125</v>
      </c>
      <c r="F47" s="33">
        <f ca="1">IF(B47="","",INDEX(OFFSET(Arb!$X$2,,,Arb!$AJ$5,),B47)/D47)</f>
        <v>4.1551246537396125</v>
      </c>
      <c r="G47" s="33">
        <f ca="1">IF(B47="","",(INDEX(OFFSET(Arb!$U$2,,,Arb!$AJ$5,),B47)+INDEX(OFFSET(Arb!$V$2,,,Arb!$AJ$5,),B47))/D47)</f>
        <v>5.2631578947368425</v>
      </c>
      <c r="H47" s="33">
        <f t="shared" ca="1" si="1"/>
        <v>0.59111364453990722</v>
      </c>
      <c r="I47" s="21">
        <f t="shared" ca="1" si="2"/>
        <v>80.016762321254035</v>
      </c>
      <c r="J47" s="74">
        <f ca="1">IF(B47="","",DATE(INDEX(OFFSET(Arb!$C$2,,,Arb!$AJ$5,),B47),INDEX(OFFSET(Arb!$B$2,,,Arb!$AJ$5,),B47),INDEX(OFFSET(Arb!$A$2,,,Arb!$AJ$5,),B47))+ROW()*0.001)</f>
        <v>44093.046999999999</v>
      </c>
      <c r="K47" s="11">
        <v>46</v>
      </c>
      <c r="L47" s="11">
        <v>2365</v>
      </c>
      <c r="M47" s="433">
        <f ca="1">IF(L47="",64,INDEX(OFFSET(Arb!$I$2,,,Arb!$AJ$5,),L47))</f>
        <v>58</v>
      </c>
      <c r="N47" s="34">
        <f ca="1">IF(L47="",60,INDEX(OFFSET(Arb!$H$2,,,Arb!$AJ$5,),L47))</f>
        <v>20.85</v>
      </c>
      <c r="O47" s="33">
        <f t="shared" ca="1" si="3"/>
        <v>2.7817745803357314</v>
      </c>
      <c r="P47" s="33">
        <f ca="1">IF(L47="","",INDEX(OFFSET(Arb!$X$2,,,Arb!$AJ$5,),L47)/N47)</f>
        <v>3.1654676258992804</v>
      </c>
      <c r="Q47" s="33">
        <f ca="1">IF(L47="","",(INDEX(OFFSET(Arb!$U$2,,,Arb!$AJ$5,),L47)+INDEX(OFFSET(Arb!$V$2,,,Arb!$AJ$5,),L47))/N47)</f>
        <v>3.5971223021582732</v>
      </c>
      <c r="R47" s="33">
        <f t="shared" ca="1" si="4"/>
        <v>3.0133689382881479</v>
      </c>
      <c r="S47" s="21">
        <f t="shared" ca="1" si="5"/>
        <v>51.015990125434762</v>
      </c>
      <c r="T47" s="74">
        <f ca="1">IF(L47="","",DATE(INDEX(OFFSET(Arb!$C$2,,,Arb!$AJ$5,),L47),INDEX(OFFSET(Arb!$B$2,,,Arb!$AJ$5,),L47),INDEX(OFFSET(Arb!$A$2,,,Arb!$AJ$5,),L47))+ROW()*0.001)</f>
        <v>44114.046999999999</v>
      </c>
      <c r="U47" s="11">
        <v>46</v>
      </c>
      <c r="V47" s="11">
        <v>2657</v>
      </c>
      <c r="W47" s="433">
        <f ca="1">IF(V47="",164,INDEX(OFFSET(Arb!$I$2,,,Arb!$AJ$5,),V47))</f>
        <v>146</v>
      </c>
      <c r="X47" s="34">
        <f ca="1">IF(V47="",240,INDEX(OFFSET(Arb!$H$2,,,Arb!$AJ$5,),V47))</f>
        <v>65.28</v>
      </c>
      <c r="Y47" s="33">
        <f t="shared" ca="1" si="6"/>
        <v>2.2365196078431371</v>
      </c>
      <c r="Z47" s="33">
        <f ca="1">IF(V47="","",INDEX(OFFSET(Arb!$X$2,,,Arb!$AJ$5,),V47)/X47)</f>
        <v>2.7573529411764706</v>
      </c>
      <c r="AA47" s="33">
        <f ca="1">IF(V47="","",(INDEX(OFFSET(Arb!$U$2,,,Arb!$AJ$5,),V47)+INDEX(OFFSET(Arb!$V$2,,,Arb!$AJ$5,),V47))/X47)</f>
        <v>3.201593137254902</v>
      </c>
      <c r="AB47" s="33">
        <f t="shared" ca="1" si="7"/>
        <v>8.3324629638434118</v>
      </c>
      <c r="AC47" s="21">
        <f t="shared" ca="1" si="8"/>
        <v>52.205572576508935</v>
      </c>
      <c r="AD47" s="74">
        <f ca="1">IF(V47="","",DATE(INDEX(OFFSET(Arb!$C$2,,,Arb!$AJ$5,),V47),INDEX(OFFSET(Arb!$B$2,,,Arb!$AJ$5,),V47),INDEX(OFFSET(Arb!$A$2,,,Arb!$AJ$5,),V47))+ROW()*0.001)</f>
        <v>43820.046999999999</v>
      </c>
    </row>
    <row r="48" spans="1:30" x14ac:dyDescent="0.25">
      <c r="A48" s="11">
        <v>47</v>
      </c>
      <c r="B48" s="11">
        <v>595</v>
      </c>
      <c r="C48" s="433">
        <f ca="1">IF(B48="",16,INDEX(OFFSET(Arb!$I$2,,,Arb!$AJ$5,),B48))</f>
        <v>10</v>
      </c>
      <c r="D48" s="34">
        <f ca="1">IF(B48="",10,INDEX(OFFSET(Arb!$H$2,,,Arb!$AJ$5,),B48))</f>
        <v>3.63</v>
      </c>
      <c r="E48" s="33">
        <f t="shared" ca="1" si="0"/>
        <v>2.7548209366391188</v>
      </c>
      <c r="F48" s="33">
        <f ca="1">IF(B48="","",INDEX(OFFSET(Arb!$X$2,,,Arb!$AJ$5,),B48)/D48)</f>
        <v>4.1322314049586781</v>
      </c>
      <c r="G48" s="33">
        <f ca="1">IF(B48="","",(INDEX(OFFSET(Arb!$U$2,,,Arb!$AJ$5,),B48)+INDEX(OFFSET(Arb!$V$2,,,Arb!$AJ$5,),B48))/D48)</f>
        <v>5.2341597796143251</v>
      </c>
      <c r="H48" s="33">
        <f t="shared" ca="1" si="1"/>
        <v>0.895037563744701</v>
      </c>
      <c r="I48" s="21">
        <f t="shared" ca="1" si="2"/>
        <v>52.845826718275575</v>
      </c>
      <c r="J48" s="74">
        <f ca="1">IF(B48="","",DATE(INDEX(OFFSET(Arb!$C$2,,,Arb!$AJ$5,),B48),INDEX(OFFSET(Arb!$B$2,,,Arb!$AJ$5,),B48),INDEX(OFFSET(Arb!$A$2,,,Arb!$AJ$5,),B48))+ROW()*0.001)</f>
        <v>43798.048000000003</v>
      </c>
      <c r="K48" s="11">
        <v>47</v>
      </c>
      <c r="L48" s="11">
        <v>2319</v>
      </c>
      <c r="M48" s="433">
        <f ca="1">IF(L48="",64,INDEX(OFFSET(Arb!$I$2,,,Arb!$AJ$5,),L48))</f>
        <v>42</v>
      </c>
      <c r="N48" s="34">
        <f ca="1">IF(L48="",60,INDEX(OFFSET(Arb!$H$2,,,Arb!$AJ$5,),L48))</f>
        <v>20.93</v>
      </c>
      <c r="O48" s="33">
        <f t="shared" ca="1" si="3"/>
        <v>2.0066889632107023</v>
      </c>
      <c r="P48" s="33">
        <f ca="1">IF(L48="","",INDEX(OFFSET(Arb!$X$2,,,Arb!$AJ$5,),L48)/N48)</f>
        <v>2.9144768275203057</v>
      </c>
      <c r="Q48" s="33">
        <f ca="1">IF(L48="","",(INDEX(OFFSET(Arb!$U$2,,,Arb!$AJ$5,),L48)+INDEX(OFFSET(Arb!$V$2,,,Arb!$AJ$5,),L48))/N48)</f>
        <v>3.3922599139990446</v>
      </c>
      <c r="R48" s="33">
        <f t="shared" ca="1" si="4"/>
        <v>4.1884988233807734</v>
      </c>
      <c r="S48" s="21">
        <f t="shared" ca="1" si="5"/>
        <v>36.702887235364159</v>
      </c>
      <c r="T48" s="74">
        <f ca="1">IF(L48="","",DATE(INDEX(OFFSET(Arb!$C$2,,,Arb!$AJ$5,),L48),INDEX(OFFSET(Arb!$B$2,,,Arb!$AJ$5,),L48),INDEX(OFFSET(Arb!$A$2,,,Arb!$AJ$5,),L48))+ROW()*0.001)</f>
        <v>43984.048000000003</v>
      </c>
      <c r="U48" s="11">
        <v>47</v>
      </c>
      <c r="V48" s="11">
        <v>3159</v>
      </c>
      <c r="W48" s="433">
        <f ca="1">IF(V48="",164,INDEX(OFFSET(Arb!$I$2,,,Arb!$AJ$5,),V48))</f>
        <v>143</v>
      </c>
      <c r="X48" s="34">
        <f ca="1">IF(V48="",240,INDEX(OFFSET(Arb!$H$2,,,Arb!$AJ$5,),V48))</f>
        <v>65.430000000000007</v>
      </c>
      <c r="Y48" s="33">
        <f t="shared" ca="1" si="6"/>
        <v>2.1855418003973712</v>
      </c>
      <c r="Z48" s="33">
        <f ca="1">IF(V48="","",INDEX(OFFSET(Arb!$X$2,,,Arb!$AJ$5,),V48)/X48)</f>
        <v>2.8274491823322632</v>
      </c>
      <c r="AA48" s="33">
        <f ca="1">IF(V48="","",(INDEX(OFFSET(Arb!$U$2,,,Arb!$AJ$5,),V48)+INDEX(OFFSET(Arb!$V$2,,,Arb!$AJ$5,),V48))/X48)</f>
        <v>3.1178358551123333</v>
      </c>
      <c r="AB48" s="33">
        <f t="shared" ca="1" si="7"/>
        <v>8.5405281217171627</v>
      </c>
      <c r="AC48" s="21">
        <f t="shared" ca="1" si="8"/>
        <v>50.933735455289209</v>
      </c>
      <c r="AD48" s="74">
        <f ca="1">IF(V48="","",DATE(INDEX(OFFSET(Arb!$C$2,,,Arb!$AJ$5,),V48),INDEX(OFFSET(Arb!$B$2,,,Arb!$AJ$5,),V48),INDEX(OFFSET(Arb!$A$2,,,Arb!$AJ$5,),V48))+ROW()*0.001)</f>
        <v>44029.048000000003</v>
      </c>
    </row>
    <row r="49" spans="1:30" x14ac:dyDescent="0.25">
      <c r="A49" s="11">
        <v>48</v>
      </c>
      <c r="B49" s="11">
        <v>390</v>
      </c>
      <c r="C49" s="433">
        <f ca="1">IF(B49="",16,INDEX(OFFSET(Arb!$I$2,,,Arb!$AJ$5,),B49))</f>
        <v>10</v>
      </c>
      <c r="D49" s="34">
        <f ca="1">IF(B49="",10,INDEX(OFFSET(Arb!$H$2,,,Arb!$AJ$5,),B49))</f>
        <v>3.64</v>
      </c>
      <c r="E49" s="33">
        <f t="shared" ca="1" si="0"/>
        <v>2.7472527472527473</v>
      </c>
      <c r="F49" s="33">
        <f ca="1">IF(B49="","",INDEX(OFFSET(Arb!$X$2,,,Arb!$AJ$5,),B49)/D49)</f>
        <v>3.2967032967032965</v>
      </c>
      <c r="G49" s="33">
        <f ca="1">IF(B49="","",(INDEX(OFFSET(Arb!$U$2,,,Arb!$AJ$5,),B49)+INDEX(OFFSET(Arb!$V$2,,,Arb!$AJ$5,),B49))/D49)</f>
        <v>3.8461538461538458</v>
      </c>
      <c r="H49" s="33">
        <f t="shared" ca="1" si="1"/>
        <v>0.89923324012807837</v>
      </c>
      <c r="I49" s="21">
        <f t="shared" ca="1" si="2"/>
        <v>52.599256665893684</v>
      </c>
      <c r="J49" s="74">
        <f ca="1">IF(B49="","",DATE(INDEX(OFFSET(Arb!$C$2,,,Arb!$AJ$5,),B49),INDEX(OFFSET(Arb!$B$2,,,Arb!$AJ$5,),B49),INDEX(OFFSET(Arb!$A$2,,,Arb!$AJ$5,),B49))+ROW()*0.001)</f>
        <v>43781.048999999999</v>
      </c>
      <c r="K49" s="11">
        <v>48</v>
      </c>
      <c r="L49" s="11">
        <v>2362</v>
      </c>
      <c r="M49" s="433">
        <f ca="1">IF(L49="",64,INDEX(OFFSET(Arb!$I$2,,,Arb!$AJ$5,),L49))</f>
        <v>44</v>
      </c>
      <c r="N49" s="34">
        <f ca="1">IF(L49="",60,INDEX(OFFSET(Arb!$H$2,,,Arb!$AJ$5,),L49))</f>
        <v>20.98</v>
      </c>
      <c r="O49" s="33">
        <f t="shared" ca="1" si="3"/>
        <v>2.0972354623450906</v>
      </c>
      <c r="P49" s="33">
        <f ca="1">IF(L49="","",INDEX(OFFSET(Arb!$X$2,,,Arb!$AJ$5,),L49)/N49)</f>
        <v>2.6692087702573879</v>
      </c>
      <c r="Q49" s="33">
        <f ca="1">IF(L49="","",(INDEX(OFFSET(Arb!$U$2,,,Arb!$AJ$5,),L49)+INDEX(OFFSET(Arb!$V$2,,,Arb!$AJ$5,),L49))/N49)</f>
        <v>3.1935176358436608</v>
      </c>
      <c r="R49" s="33">
        <f t="shared" ca="1" si="4"/>
        <v>4.014363045601157</v>
      </c>
      <c r="S49" s="21">
        <f t="shared" ca="1" si="5"/>
        <v>38.294991821542808</v>
      </c>
      <c r="T49" s="74">
        <f ca="1">IF(L49="","",DATE(INDEX(OFFSET(Arb!$C$2,,,Arb!$AJ$5,),L49),INDEX(OFFSET(Arb!$B$2,,,Arb!$AJ$5,),L49),INDEX(OFFSET(Arb!$A$2,,,Arb!$AJ$5,),L49))+ROW()*0.001)</f>
        <v>44114.048999999999</v>
      </c>
      <c r="U49" s="11">
        <v>48</v>
      </c>
      <c r="V49" s="11">
        <v>2773</v>
      </c>
      <c r="W49" s="433">
        <f ca="1">IF(V49="",164,INDEX(OFFSET(Arb!$I$2,,,Arb!$AJ$5,),V49))</f>
        <v>148</v>
      </c>
      <c r="X49" s="34">
        <f ca="1">IF(V49="",240,INDEX(OFFSET(Arb!$H$2,,,Arb!$AJ$5,),V49))</f>
        <v>65.489999999999995</v>
      </c>
      <c r="Y49" s="33">
        <f t="shared" ca="1" si="6"/>
        <v>2.2598870056497176</v>
      </c>
      <c r="Z49" s="33">
        <f ca="1">IF(V49="","",INDEX(OFFSET(Arb!$X$2,,,Arb!$AJ$5,),V49)/X49)</f>
        <v>2.6874331959077722</v>
      </c>
      <c r="AA49" s="33">
        <f ca="1">IF(V49="","",(INDEX(OFFSET(Arb!$U$2,,,Arb!$AJ$5,),V49)+INDEX(OFFSET(Arb!$V$2,,,Arb!$AJ$5,),V49))/X49)</f>
        <v>3.0386318521911746</v>
      </c>
      <c r="AB49" s="33">
        <f t="shared" ca="1" si="7"/>
        <v>8.2648650803801669</v>
      </c>
      <c r="AC49" s="21">
        <f t="shared" ca="1" si="8"/>
        <v>52.632559124605919</v>
      </c>
      <c r="AD49" s="74">
        <f ca="1">IF(V49="","",DATE(INDEX(OFFSET(Arb!$C$2,,,Arb!$AJ$5,),V49),INDEX(OFFSET(Arb!$B$2,,,Arb!$AJ$5,),V49),INDEX(OFFSET(Arb!$A$2,,,Arb!$AJ$5,),V49))+ROW()*0.001)</f>
        <v>43889.048999999999</v>
      </c>
    </row>
    <row r="50" spans="1:30" x14ac:dyDescent="0.25">
      <c r="A50" s="11">
        <v>49</v>
      </c>
      <c r="B50" s="11">
        <v>1250</v>
      </c>
      <c r="C50" s="433">
        <f ca="1">IF(B50="",16,INDEX(OFFSET(Arb!$I$2,,,Arb!$AJ$5,),B50))</f>
        <v>11</v>
      </c>
      <c r="D50" s="34">
        <f ca="1">IF(B50="",10,INDEX(OFFSET(Arb!$H$2,,,Arb!$AJ$5,),B50))</f>
        <v>3.65</v>
      </c>
      <c r="E50" s="33">
        <f t="shared" ca="1" si="0"/>
        <v>3.0136986301369864</v>
      </c>
      <c r="F50" s="33">
        <f ca="1">IF(B50="","",INDEX(OFFSET(Arb!$X$2,,,Arb!$AJ$5,),B50)/D50)</f>
        <v>3.2876712328767126</v>
      </c>
      <c r="G50" s="33">
        <f ca="1">IF(B50="","",(INDEX(OFFSET(Arb!$U$2,,,Arb!$AJ$5,),B50)+INDEX(OFFSET(Arb!$V$2,,,Arb!$AJ$5,),B50))/D50)</f>
        <v>3.8356164383561646</v>
      </c>
      <c r="H50" s="33">
        <f t="shared" ca="1" si="1"/>
        <v>0.82130635717249778</v>
      </c>
      <c r="I50" s="21">
        <f t="shared" ca="1" si="2"/>
        <v>57.589959686706599</v>
      </c>
      <c r="J50" s="74">
        <f ca="1">IF(B50="","",DATE(INDEX(OFFSET(Arb!$C$2,,,Arb!$AJ$5,),B50),INDEX(OFFSET(Arb!$B$2,,,Arb!$AJ$5,),B50),INDEX(OFFSET(Arb!$A$2,,,Arb!$AJ$5,),B50))+ROW()*0.001)</f>
        <v>43901.05</v>
      </c>
      <c r="K50" s="11">
        <v>49</v>
      </c>
      <c r="L50" s="11">
        <v>1931</v>
      </c>
      <c r="M50" s="433">
        <f ca="1">IF(L50="",64,INDEX(OFFSET(Arb!$I$2,,,Arb!$AJ$5,),L50))</f>
        <v>50</v>
      </c>
      <c r="N50" s="34">
        <f ca="1">IF(L50="",60,INDEX(OFFSET(Arb!$H$2,,,Arb!$AJ$5,),L50))</f>
        <v>20.98</v>
      </c>
      <c r="O50" s="33">
        <f t="shared" ca="1" si="3"/>
        <v>2.3832221163012393</v>
      </c>
      <c r="P50" s="33">
        <f ca="1">IF(L50="","",INDEX(OFFSET(Arb!$X$2,,,Arb!$AJ$5,),L50)/N50)</f>
        <v>3.1458531935176359</v>
      </c>
      <c r="Q50" s="33">
        <f ca="1">IF(L50="","",(INDEX(OFFSET(Arb!$U$2,,,Arb!$AJ$5,),L50)+INDEX(OFFSET(Arb!$V$2,,,Arb!$AJ$5,),L50))/N50)</f>
        <v>3.6701620591039084</v>
      </c>
      <c r="R50" s="33">
        <f t="shared" ca="1" si="4"/>
        <v>3.5326394801290184</v>
      </c>
      <c r="S50" s="21">
        <f t="shared" ca="1" si="5"/>
        <v>43.5170361608441</v>
      </c>
      <c r="T50" s="74">
        <f ca="1">IF(L50="","",DATE(INDEX(OFFSET(Arb!$C$2,,,Arb!$AJ$5,),L50),INDEX(OFFSET(Arb!$B$2,,,Arb!$AJ$5,),L50),INDEX(OFFSET(Arb!$A$2,,,Arb!$AJ$5,),L50))+ROW()*0.001)</f>
        <v>43771.05</v>
      </c>
      <c r="U50" s="11">
        <v>49</v>
      </c>
      <c r="V50" s="11">
        <v>3062</v>
      </c>
      <c r="W50" s="433">
        <f ca="1">IF(V50="",164,INDEX(OFFSET(Arb!$I$2,,,Arb!$AJ$5,),V50))</f>
        <v>148</v>
      </c>
      <c r="X50" s="34">
        <f ca="1">IF(V50="",240,INDEX(OFFSET(Arb!$H$2,,,Arb!$AJ$5,),V50))</f>
        <v>65.5</v>
      </c>
      <c r="Y50" s="33">
        <f t="shared" ca="1" si="6"/>
        <v>2.2595419847328246</v>
      </c>
      <c r="Z50" s="33">
        <f ca="1">IF(V50="","",INDEX(OFFSET(Arb!$X$2,,,Arb!$AJ$5,),V50)/X50)</f>
        <v>2.8244274809160306</v>
      </c>
      <c r="AA50" s="33">
        <f ca="1">IF(V50="","",(INDEX(OFFSET(Arb!$U$2,,,Arb!$AJ$5,),V50)+INDEX(OFFSET(Arb!$V$2,,,Arb!$AJ$5,),V50))/X50)</f>
        <v>3.1755725190839694</v>
      </c>
      <c r="AB50" s="33">
        <f t="shared" ca="1" si="7"/>
        <v>8.2670106020655734</v>
      </c>
      <c r="AC50" s="21">
        <f t="shared" ca="1" si="8"/>
        <v>52.618899495703054</v>
      </c>
      <c r="AD50" s="74">
        <f ca="1">IF(V50="","",DATE(INDEX(OFFSET(Arb!$C$2,,,Arb!$AJ$5,),V50),INDEX(OFFSET(Arb!$B$2,,,Arb!$AJ$5,),V50),INDEX(OFFSET(Arb!$A$2,,,Arb!$AJ$5,),V50))+ROW()*0.001)</f>
        <v>43991.05</v>
      </c>
    </row>
    <row r="51" spans="1:30" x14ac:dyDescent="0.25">
      <c r="A51" s="11">
        <v>50</v>
      </c>
      <c r="B51" s="11">
        <v>1814</v>
      </c>
      <c r="C51" s="433">
        <f ca="1">IF(B51="",16,INDEX(OFFSET(Arb!$I$2,,,Arb!$AJ$5,),B51))</f>
        <v>11</v>
      </c>
      <c r="D51" s="34">
        <f ca="1">IF(B51="",10,INDEX(OFFSET(Arb!$H$2,,,Arb!$AJ$5,),B51))</f>
        <v>3.66</v>
      </c>
      <c r="E51" s="33">
        <f t="shared" ca="1" si="0"/>
        <v>3.0054644808743167</v>
      </c>
      <c r="F51" s="33">
        <f ca="1">IF(B51="","",INDEX(OFFSET(Arb!$X$2,,,Arb!$AJ$5,),B51)/D51)</f>
        <v>3.278688524590164</v>
      </c>
      <c r="G51" s="33">
        <f ca="1">IF(B51="","",(INDEX(OFFSET(Arb!$U$2,,,Arb!$AJ$5,),B51)+INDEX(OFFSET(Arb!$V$2,,,Arb!$AJ$5,),B51))/D51)</f>
        <v>3.5519125683060109</v>
      </c>
      <c r="H51" s="33">
        <f t="shared" ca="1" si="1"/>
        <v>0.82513528671382208</v>
      </c>
      <c r="I51" s="21">
        <f t="shared" ca="1" si="2"/>
        <v>57.322721208994295</v>
      </c>
      <c r="J51" s="74">
        <f ca="1">IF(B51="","",DATE(INDEX(OFFSET(Arb!$C$2,,,Arb!$AJ$5,),B51),INDEX(OFFSET(Arb!$B$2,,,Arb!$AJ$5,),B51),INDEX(OFFSET(Arb!$A$2,,,Arb!$AJ$5,),B51))+ROW()*0.001)</f>
        <v>44168.050999999999</v>
      </c>
      <c r="K51" s="11">
        <v>50</v>
      </c>
      <c r="L51" s="11">
        <v>2279</v>
      </c>
      <c r="M51" s="433">
        <f ca="1">IF(L51="",64,INDEX(OFFSET(Arb!$I$2,,,Arb!$AJ$5,),L51))</f>
        <v>50</v>
      </c>
      <c r="N51" s="34">
        <f ca="1">IF(L51="",60,INDEX(OFFSET(Arb!$H$2,,,Arb!$AJ$5,),L51))</f>
        <v>21.04</v>
      </c>
      <c r="O51" s="33">
        <f t="shared" ca="1" si="3"/>
        <v>2.376425855513308</v>
      </c>
      <c r="P51" s="33">
        <f ca="1">IF(L51="","",INDEX(OFFSET(Arb!$X$2,,,Arb!$AJ$5,),L51)/N51)</f>
        <v>2.9942965779467681</v>
      </c>
      <c r="Q51" s="33">
        <f ca="1">IF(L51="","",(INDEX(OFFSET(Arb!$U$2,,,Arb!$AJ$5,),L51)+INDEX(OFFSET(Arb!$V$2,,,Arb!$AJ$5,),L51))/N51)</f>
        <v>3.3269961977186315</v>
      </c>
      <c r="R51" s="33">
        <f t="shared" ca="1" si="4"/>
        <v>3.5498315581388415</v>
      </c>
      <c r="S51" s="21">
        <f t="shared" ca="1" si="5"/>
        <v>43.306280166318608</v>
      </c>
      <c r="T51" s="74">
        <f ca="1">IF(L51="","",DATE(INDEX(OFFSET(Arb!$C$2,,,Arb!$AJ$5,),L51),INDEX(OFFSET(Arb!$B$2,,,Arb!$AJ$5,),L51),INDEX(OFFSET(Arb!$A$2,,,Arb!$AJ$5,),L51))+ROW()*0.001)</f>
        <v>43935.050999999999</v>
      </c>
      <c r="U51" s="11">
        <v>50</v>
      </c>
      <c r="V51" s="11">
        <v>3435</v>
      </c>
      <c r="W51" s="433">
        <f ca="1">IF(V51="",164,INDEX(OFFSET(Arb!$I$2,,,Arb!$AJ$5,),V51))</f>
        <v>166</v>
      </c>
      <c r="X51" s="34">
        <f ca="1">IF(V51="",240,INDEX(OFFSET(Arb!$H$2,,,Arb!$AJ$5,),V51))</f>
        <v>65.510000000000005</v>
      </c>
      <c r="Y51" s="33">
        <f t="shared" ca="1" si="6"/>
        <v>2.533964280262555</v>
      </c>
      <c r="Z51" s="33">
        <f ca="1">IF(V51="","",INDEX(OFFSET(Arb!$X$2,,,Arb!$AJ$5,),V51)/X51)</f>
        <v>2.7476721111280717</v>
      </c>
      <c r="AA51" s="33">
        <f ca="1">IF(V51="","",(INDEX(OFFSET(Arb!$U$2,,,Arb!$AJ$5,),V51)+INDEX(OFFSET(Arb!$V$2,,,Arb!$AJ$5,),V51))/X51)</f>
        <v>2.946115096931766</v>
      </c>
      <c r="AB51" s="33">
        <f t="shared" ca="1" si="7"/>
        <v>7.3725008448929534</v>
      </c>
      <c r="AC51" s="21">
        <f t="shared" ca="1" si="8"/>
        <v>59.003180759393466</v>
      </c>
      <c r="AD51" s="74">
        <f ca="1">IF(V51="","",DATE(INDEX(OFFSET(Arb!$C$2,,,Arb!$AJ$5,),V51),INDEX(OFFSET(Arb!$B$2,,,Arb!$AJ$5,),V51),INDEX(OFFSET(Arb!$A$2,,,Arb!$AJ$5,),V51))+ROW()*0.001)</f>
        <v>44167.050999999999</v>
      </c>
    </row>
    <row r="52" spans="1:30" x14ac:dyDescent="0.25">
      <c r="A52" s="11">
        <v>51</v>
      </c>
      <c r="B52" s="11">
        <v>1099</v>
      </c>
      <c r="C52" s="433">
        <f ca="1">IF(B52="",16,INDEX(OFFSET(Arb!$I$2,,,Arb!$AJ$5,),B52))</f>
        <v>10</v>
      </c>
      <c r="D52" s="34">
        <f ca="1">IF(B52="",10,INDEX(OFFSET(Arb!$H$2,,,Arb!$AJ$5,),B52))</f>
        <v>3.66</v>
      </c>
      <c r="E52" s="33">
        <f t="shared" ca="1" si="0"/>
        <v>2.7322404371584699</v>
      </c>
      <c r="F52" s="33">
        <f ca="1">IF(B52="","",INDEX(OFFSET(Arb!$X$2,,,Arb!$AJ$5,),B52)/D52)</f>
        <v>3.278688524590164</v>
      </c>
      <c r="G52" s="33">
        <f ca="1">IF(B52="","",(INDEX(OFFSET(Arb!$U$2,,,Arb!$AJ$5,),B52)+INDEX(OFFSET(Arb!$V$2,,,Arb!$AJ$5,),B52))/D52)</f>
        <v>4.3715846994535514</v>
      </c>
      <c r="H52" s="33">
        <f t="shared" ca="1" si="1"/>
        <v>0.90764881538520437</v>
      </c>
      <c r="I52" s="21">
        <f t="shared" ca="1" si="2"/>
        <v>52.111564735449356</v>
      </c>
      <c r="J52" s="74">
        <f ca="1">IF(B52="","",DATE(INDEX(OFFSET(Arb!$C$2,,,Arb!$AJ$5,),B52),INDEX(OFFSET(Arb!$B$2,,,Arb!$AJ$5,),B52),INDEX(OFFSET(Arb!$A$2,,,Arb!$AJ$5,),B52))+ROW()*0.001)</f>
        <v>43846.052000000003</v>
      </c>
      <c r="K52" s="11">
        <v>51</v>
      </c>
      <c r="L52" s="11">
        <v>2077</v>
      </c>
      <c r="M52" s="433">
        <f ca="1">IF(L52="",64,INDEX(OFFSET(Arb!$I$2,,,Arb!$AJ$5,),L52))</f>
        <v>45</v>
      </c>
      <c r="N52" s="34">
        <f ca="1">IF(L52="",60,INDEX(OFFSET(Arb!$H$2,,,Arb!$AJ$5,),L52))</f>
        <v>21.08</v>
      </c>
      <c r="O52" s="33">
        <f t="shared" ca="1" si="3"/>
        <v>2.1347248576850095</v>
      </c>
      <c r="P52" s="33">
        <f ca="1">IF(L52="","",INDEX(OFFSET(Arb!$X$2,,,Arb!$AJ$5,),L52)/N52)</f>
        <v>2.7988614800759017</v>
      </c>
      <c r="Q52" s="33">
        <f ca="1">IF(L52="","",(INDEX(OFFSET(Arb!$U$2,,,Arb!$AJ$5,),L52)+INDEX(OFFSET(Arb!$V$2,,,Arb!$AJ$5,),L52))/N52)</f>
        <v>3.1783681214421255</v>
      </c>
      <c r="R52" s="33">
        <f t="shared" ca="1" si="4"/>
        <v>3.9570133670486043</v>
      </c>
      <c r="S52" s="21">
        <f t="shared" ca="1" si="5"/>
        <v>38.850007755890331</v>
      </c>
      <c r="T52" s="74">
        <f ca="1">IF(L52="","",DATE(INDEX(OFFSET(Arb!$C$2,,,Arb!$AJ$5,),L52),INDEX(OFFSET(Arb!$B$2,,,Arb!$AJ$5,),L52),INDEX(OFFSET(Arb!$A$2,,,Arb!$AJ$5,),L52))+ROW()*0.001)</f>
        <v>43805.052000000003</v>
      </c>
      <c r="U52" s="11">
        <v>51</v>
      </c>
      <c r="V52" s="11">
        <v>3229</v>
      </c>
      <c r="W52" s="433">
        <f ca="1">IF(V52="",164,INDEX(OFFSET(Arb!$I$2,,,Arb!$AJ$5,),V52))</f>
        <v>157</v>
      </c>
      <c r="X52" s="34">
        <f ca="1">IF(V52="",240,INDEX(OFFSET(Arb!$H$2,,,Arb!$AJ$5,),V52))</f>
        <v>65.540000000000006</v>
      </c>
      <c r="Y52" s="33">
        <f t="shared" ca="1" si="6"/>
        <v>2.3954836740921572</v>
      </c>
      <c r="Z52" s="33">
        <f ca="1">IF(V52="","",INDEX(OFFSET(Arb!$X$2,,,Arb!$AJ$5,),V52)/X52)</f>
        <v>3.0515715593530666</v>
      </c>
      <c r="AA52" s="33">
        <f ca="1">IF(V52="","",(INDEX(OFFSET(Arb!$U$2,,,Arb!$AJ$5,),V52)+INDEX(OFFSET(Arb!$V$2,,,Arb!$AJ$5,),V52))/X52)</f>
        <v>3.5398230088495573</v>
      </c>
      <c r="AB52" s="33">
        <f t="shared" ca="1" si="7"/>
        <v>7.8011978171897738</v>
      </c>
      <c r="AC52" s="21">
        <f t="shared" ca="1" si="8"/>
        <v>55.760795994877157</v>
      </c>
      <c r="AD52" s="74">
        <f ca="1">IF(V52="","",DATE(INDEX(OFFSET(Arb!$C$2,,,Arb!$AJ$5,),V52),INDEX(OFFSET(Arb!$B$2,,,Arb!$AJ$5,),V52),INDEX(OFFSET(Arb!$A$2,,,Arb!$AJ$5,),V52))+ROW()*0.001)</f>
        <v>44061.052000000003</v>
      </c>
    </row>
    <row r="53" spans="1:30" x14ac:dyDescent="0.25">
      <c r="A53" s="11">
        <v>52</v>
      </c>
      <c r="B53" s="11">
        <v>1857</v>
      </c>
      <c r="C53" s="433">
        <f ca="1">IF(B53="",16,INDEX(OFFSET(Arb!$I$2,,,Arb!$AJ$5,),B53))</f>
        <v>11</v>
      </c>
      <c r="D53" s="34">
        <f ca="1">IF(B53="",10,INDEX(OFFSET(Arb!$H$2,,,Arb!$AJ$5,),B53))</f>
        <v>3.67</v>
      </c>
      <c r="E53" s="33">
        <f t="shared" ca="1" si="0"/>
        <v>2.9972752043596729</v>
      </c>
      <c r="F53" s="33">
        <f ca="1">IF(B53="","",INDEX(OFFSET(Arb!$X$2,,,Arb!$AJ$5,),B53)/D53)</f>
        <v>2.9972752043596729</v>
      </c>
      <c r="G53" s="33">
        <f ca="1">IF(B53="","",(INDEX(OFFSET(Arb!$U$2,,,Arb!$AJ$5,),B53)+INDEX(OFFSET(Arb!$V$2,,,Arb!$AJ$5,),B53))/D53)</f>
        <v>3.2697547683923704</v>
      </c>
      <c r="H53" s="33">
        <f t="shared" ca="1" si="1"/>
        <v>0.8289715463577878</v>
      </c>
      <c r="I53" s="21">
        <f t="shared" ca="1" si="2"/>
        <v>57.057446914571834</v>
      </c>
      <c r="J53" s="74">
        <f ca="1">IF(B53="","",DATE(INDEX(OFFSET(Arb!$C$2,,,Arb!$AJ$5,),B53),INDEX(OFFSET(Arb!$B$2,,,Arb!$AJ$5,),B53),INDEX(OFFSET(Arb!$A$2,,,Arb!$AJ$5,),B53))+ROW()*0.001)</f>
        <v>44168.053</v>
      </c>
      <c r="K53" s="11">
        <v>52</v>
      </c>
      <c r="L53" s="11">
        <v>2315</v>
      </c>
      <c r="M53" s="433">
        <f ca="1">IF(L53="",64,INDEX(OFFSET(Arb!$I$2,,,Arb!$AJ$5,),L53))</f>
        <v>53</v>
      </c>
      <c r="N53" s="34">
        <f ca="1">IF(L53="",60,INDEX(OFFSET(Arb!$H$2,,,Arb!$AJ$5,),L53))</f>
        <v>21.09</v>
      </c>
      <c r="O53" s="33">
        <f t="shared" ca="1" si="3"/>
        <v>2.5130393551446182</v>
      </c>
      <c r="P53" s="33">
        <f ca="1">IF(L53="","",INDEX(OFFSET(Arb!$X$2,,,Arb!$AJ$5,),L53)/N53)</f>
        <v>3.1294452347083928</v>
      </c>
      <c r="Q53" s="33">
        <f ca="1">IF(L53="","",(INDEX(OFFSET(Arb!$U$2,,,Arb!$AJ$5,),L53)+INDEX(OFFSET(Arb!$V$2,,,Arb!$AJ$5,),L53))/N53)</f>
        <v>3.6510194404931249</v>
      </c>
      <c r="R53" s="33">
        <f t="shared" ca="1" si="4"/>
        <v>3.3624382386853138</v>
      </c>
      <c r="S53" s="21">
        <f t="shared" ca="1" si="5"/>
        <v>45.719798874315437</v>
      </c>
      <c r="T53" s="74">
        <f ca="1">IF(L53="","",DATE(INDEX(OFFSET(Arb!$C$2,,,Arb!$AJ$5,),L53),INDEX(OFFSET(Arb!$B$2,,,Arb!$AJ$5,),L53),INDEX(OFFSET(Arb!$A$2,,,Arb!$AJ$5,),L53))+ROW()*0.001)</f>
        <v>43952.053</v>
      </c>
      <c r="U53" s="11">
        <v>52</v>
      </c>
      <c r="V53" s="11">
        <v>2919</v>
      </c>
      <c r="W53" s="433">
        <f ca="1">IF(V53="",164,INDEX(OFFSET(Arb!$I$2,,,Arb!$AJ$5,),V53))</f>
        <v>162</v>
      </c>
      <c r="X53" s="34">
        <f ca="1">IF(V53="",240,INDEX(OFFSET(Arb!$H$2,,,Arb!$AJ$5,),V53))</f>
        <v>65.540000000000006</v>
      </c>
      <c r="Y53" s="33">
        <f t="shared" ca="1" si="6"/>
        <v>2.4717729630759839</v>
      </c>
      <c r="Z53" s="33">
        <f ca="1">IF(V53="","",INDEX(OFFSET(Arb!$X$2,,,Arb!$AJ$5,),V53)/X53)</f>
        <v>3.0668294171498318</v>
      </c>
      <c r="AA53" s="33">
        <f ca="1">IF(V53="","",(INDEX(OFFSET(Arb!$U$2,,,Arb!$AJ$5,),V53)+INDEX(OFFSET(Arb!$V$2,,,Arb!$AJ$5,),V53))/X53)</f>
        <v>3.4177601464754344</v>
      </c>
      <c r="AB53" s="33">
        <f t="shared" ca="1" si="7"/>
        <v>7.5604201067826819</v>
      </c>
      <c r="AC53" s="21">
        <f t="shared" ca="1" si="8"/>
        <v>57.536617523376435</v>
      </c>
      <c r="AD53" s="74">
        <f ca="1">IF(V53="","",DATE(INDEX(OFFSET(Arb!$C$2,,,Arb!$AJ$5,),V53),INDEX(OFFSET(Arb!$B$2,,,Arb!$AJ$5,),V53),INDEX(OFFSET(Arb!$A$2,,,Arb!$AJ$5,),V53))+ROW()*0.001)</f>
        <v>43935.053</v>
      </c>
    </row>
    <row r="54" spans="1:30" x14ac:dyDescent="0.25">
      <c r="A54" s="11">
        <v>53</v>
      </c>
      <c r="B54" s="11">
        <v>1363</v>
      </c>
      <c r="C54" s="433">
        <f ca="1">IF(B54="",16,INDEX(OFFSET(Arb!$I$2,,,Arb!$AJ$5,),B54))</f>
        <v>11</v>
      </c>
      <c r="D54" s="34">
        <f ca="1">IF(B54="",10,INDEX(OFFSET(Arb!$H$2,,,Arb!$AJ$5,),B54))</f>
        <v>3.67</v>
      </c>
      <c r="E54" s="33">
        <f t="shared" ca="1" si="0"/>
        <v>2.9972752043596729</v>
      </c>
      <c r="F54" s="33">
        <f ca="1">IF(B54="","",INDEX(OFFSET(Arb!$X$2,,,Arb!$AJ$5,),B54)/D54)</f>
        <v>3.8147138964577656</v>
      </c>
      <c r="G54" s="33">
        <f ca="1">IF(B54="","",(INDEX(OFFSET(Arb!$U$2,,,Arb!$AJ$5,),B54)+INDEX(OFFSET(Arb!$V$2,,,Arb!$AJ$5,),B54))/D54)</f>
        <v>4.3596730245231612</v>
      </c>
      <c r="H54" s="33">
        <f t="shared" ca="1" si="1"/>
        <v>0.8289715463577878</v>
      </c>
      <c r="I54" s="21">
        <f t="shared" ca="1" si="2"/>
        <v>57.057446914571834</v>
      </c>
      <c r="J54" s="74">
        <f ca="1">IF(B54="","",DATE(INDEX(OFFSET(Arb!$C$2,,,Arb!$AJ$5,),B54),INDEX(OFFSET(Arb!$B$2,,,Arb!$AJ$5,),B54),INDEX(OFFSET(Arb!$A$2,,,Arb!$AJ$5,),B54))+ROW()*0.001)</f>
        <v>43935.053999999996</v>
      </c>
      <c r="K54" s="11">
        <v>53</v>
      </c>
      <c r="L54" s="11">
        <v>2284</v>
      </c>
      <c r="M54" s="433">
        <f ca="1">IF(L54="",64,INDEX(OFFSET(Arb!$I$2,,,Arb!$AJ$5,),L54))</f>
        <v>53</v>
      </c>
      <c r="N54" s="34">
        <f ca="1">IF(L54="",60,INDEX(OFFSET(Arb!$H$2,,,Arb!$AJ$5,),L54))</f>
        <v>21.09</v>
      </c>
      <c r="O54" s="33">
        <f t="shared" ca="1" si="3"/>
        <v>2.5130393551446182</v>
      </c>
      <c r="P54" s="33">
        <f ca="1">IF(L54="","",INDEX(OFFSET(Arb!$X$2,,,Arb!$AJ$5,),L54)/N54)</f>
        <v>3.0820293978188715</v>
      </c>
      <c r="Q54" s="33">
        <f ca="1">IF(L54="","",(INDEX(OFFSET(Arb!$U$2,,,Arb!$AJ$5,),L54)+INDEX(OFFSET(Arb!$V$2,,,Arb!$AJ$5,),L54))/N54)</f>
        <v>3.5561877667140824</v>
      </c>
      <c r="R54" s="33">
        <f t="shared" ca="1" si="4"/>
        <v>3.3624382386853138</v>
      </c>
      <c r="S54" s="21">
        <f t="shared" ca="1" si="5"/>
        <v>45.719798874315437</v>
      </c>
      <c r="T54" s="74">
        <f ca="1">IF(L54="","",DATE(INDEX(OFFSET(Arb!$C$2,,,Arb!$AJ$5,),L54),INDEX(OFFSET(Arb!$B$2,,,Arb!$AJ$5,),L54),INDEX(OFFSET(Arb!$A$2,,,Arb!$AJ$5,),L54))+ROW()*0.001)</f>
        <v>43935.053999999996</v>
      </c>
      <c r="U54" s="11">
        <v>53</v>
      </c>
      <c r="V54" s="11">
        <v>3146</v>
      </c>
      <c r="W54" s="433">
        <f ca="1">IF(V54="",164,INDEX(OFFSET(Arb!$I$2,,,Arb!$AJ$5,),V54))</f>
        <v>165</v>
      </c>
      <c r="X54" s="34">
        <f ca="1">IF(V54="",240,INDEX(OFFSET(Arb!$H$2,,,Arb!$AJ$5,),V54))</f>
        <v>65.56</v>
      </c>
      <c r="Y54" s="33">
        <f t="shared" ca="1" si="6"/>
        <v>2.5167785234899327</v>
      </c>
      <c r="Z54" s="33">
        <f ca="1">IF(V54="","",INDEX(OFFSET(Arb!$X$2,,,Arb!$AJ$5,),V54)/X54)</f>
        <v>2.9133618059792554</v>
      </c>
      <c r="AA54" s="33">
        <f ca="1">IF(V54="","",(INDEX(OFFSET(Arb!$U$2,,,Arb!$AJ$5,),V54)+INDEX(OFFSET(Arb!$V$2,,,Arb!$AJ$5,),V54))/X54)</f>
        <v>3.1421598535692494</v>
      </c>
      <c r="AB54" s="33">
        <f t="shared" ca="1" si="7"/>
        <v>7.4268091211320577</v>
      </c>
      <c r="AC54" s="21">
        <f t="shared" ca="1" si="8"/>
        <v>58.571722109062826</v>
      </c>
      <c r="AD54" s="74">
        <f ca="1">IF(V54="","",DATE(INDEX(OFFSET(Arb!$C$2,,,Arb!$AJ$5,),V54),INDEX(OFFSET(Arb!$B$2,,,Arb!$AJ$5,),V54),INDEX(OFFSET(Arb!$A$2,,,Arb!$AJ$5,),V54))+ROW()*0.001)</f>
        <v>44024.053999999996</v>
      </c>
    </row>
    <row r="55" spans="1:30" x14ac:dyDescent="0.25">
      <c r="A55" s="11">
        <v>54</v>
      </c>
      <c r="B55" s="11">
        <v>1413</v>
      </c>
      <c r="C55" s="433">
        <f ca="1">IF(B55="",16,INDEX(OFFSET(Arb!$I$2,,,Arb!$AJ$5,),B55))</f>
        <v>10</v>
      </c>
      <c r="D55" s="34">
        <f ca="1">IF(B55="",10,INDEX(OFFSET(Arb!$H$2,,,Arb!$AJ$5,),B55))</f>
        <v>3.68</v>
      </c>
      <c r="E55" s="33">
        <f t="shared" ca="1" si="0"/>
        <v>2.7173913043478262</v>
      </c>
      <c r="F55" s="33">
        <f ca="1">IF(B55="","",INDEX(OFFSET(Arb!$X$2,,,Arb!$AJ$5,),B55)/D55)</f>
        <v>3.5326086956521738</v>
      </c>
      <c r="G55" s="33">
        <f ca="1">IF(B55="","",(INDEX(OFFSET(Arb!$U$2,,,Arb!$AJ$5,),B55)+INDEX(OFFSET(Arb!$V$2,,,Arb!$AJ$5,),B55))/D55)</f>
        <v>4.0760869565217392</v>
      </c>
      <c r="H55" s="33">
        <f t="shared" ca="1" si="1"/>
        <v>0.91609664311742756</v>
      </c>
      <c r="I55" s="21">
        <f t="shared" ca="1" si="2"/>
        <v>51.631015521510975</v>
      </c>
      <c r="J55" s="74">
        <f ca="1">IF(B55="","",DATE(INDEX(OFFSET(Arb!$C$2,,,Arb!$AJ$5,),B55),INDEX(OFFSET(Arb!$B$2,,,Arb!$AJ$5,),B55),INDEX(OFFSET(Arb!$A$2,,,Arb!$AJ$5,),B55))+ROW()*0.001)</f>
        <v>43940.055</v>
      </c>
      <c r="K55" s="11">
        <v>54</v>
      </c>
      <c r="L55" s="11">
        <v>2263</v>
      </c>
      <c r="M55" s="433">
        <f ca="1">IF(L55="",64,INDEX(OFFSET(Arb!$I$2,,,Arb!$AJ$5,),L55))</f>
        <v>47</v>
      </c>
      <c r="N55" s="34">
        <f ca="1">IF(L55="",60,INDEX(OFFSET(Arb!$H$2,,,Arb!$AJ$5,),L55))</f>
        <v>21.14</v>
      </c>
      <c r="O55" s="33">
        <f t="shared" ca="1" si="3"/>
        <v>2.2232734153263953</v>
      </c>
      <c r="P55" s="33">
        <f ca="1">IF(L55="","",INDEX(OFFSET(Arb!$X$2,,,Arb!$AJ$5,),L55)/N55)</f>
        <v>2.9328287606433303</v>
      </c>
      <c r="Q55" s="33">
        <f ca="1">IF(L55="","",(INDEX(OFFSET(Arb!$U$2,,,Arb!$AJ$5,),L55)+INDEX(OFFSET(Arb!$V$2,,,Arb!$AJ$5,),L55))/N55)</f>
        <v>3.3112582781456954</v>
      </c>
      <c r="R55" s="33">
        <f t="shared" ca="1" si="4"/>
        <v>3.8069801566015227</v>
      </c>
      <c r="S55" s="21">
        <f t="shared" ca="1" si="5"/>
        <v>40.381087811404356</v>
      </c>
      <c r="T55" s="74">
        <f ca="1">IF(L55="","",DATE(INDEX(OFFSET(Arb!$C$2,,,Arb!$AJ$5,),L55),INDEX(OFFSET(Arb!$B$2,,,Arb!$AJ$5,),L55),INDEX(OFFSET(Arb!$A$2,,,Arb!$AJ$5,),L55))+ROW()*0.001)</f>
        <v>43906.055</v>
      </c>
      <c r="U55" s="11">
        <v>54</v>
      </c>
      <c r="V55" s="11">
        <v>2871</v>
      </c>
      <c r="W55" s="433">
        <f ca="1">IF(V55="",164,INDEX(OFFSET(Arb!$I$2,,,Arb!$AJ$5,),V55))</f>
        <v>165</v>
      </c>
      <c r="X55" s="34">
        <f ca="1">IF(V55="",240,INDEX(OFFSET(Arb!$H$2,,,Arb!$AJ$5,),V55))</f>
        <v>65.599999999999994</v>
      </c>
      <c r="Y55" s="33">
        <f t="shared" ca="1" si="6"/>
        <v>2.5152439024390247</v>
      </c>
      <c r="Z55" s="33">
        <f ca="1">IF(V55="","",INDEX(OFFSET(Arb!$X$2,,,Arb!$AJ$5,),V55)/X55)</f>
        <v>3.0487804878048781</v>
      </c>
      <c r="AA55" s="33">
        <f ca="1">IF(V55="","",(INDEX(OFFSET(Arb!$U$2,,,Arb!$AJ$5,),V55)+INDEX(OFFSET(Arb!$V$2,,,Arb!$AJ$5,),V55))/X55)</f>
        <v>3.3231707317073176</v>
      </c>
      <c r="AB55" s="33">
        <f t="shared" ca="1" si="7"/>
        <v>7.4345139847489108</v>
      </c>
      <c r="AC55" s="21">
        <f t="shared" ca="1" si="8"/>
        <v>58.511020477243939</v>
      </c>
      <c r="AD55" s="74">
        <f ca="1">IF(V55="","",DATE(INDEX(OFFSET(Arb!$C$2,,,Arb!$AJ$5,),V55),INDEX(OFFSET(Arb!$B$2,,,Arb!$AJ$5,),V55),INDEX(OFFSET(Arb!$A$2,,,Arb!$AJ$5,),V55))+ROW()*0.001)</f>
        <v>43911.055</v>
      </c>
    </row>
    <row r="56" spans="1:30" x14ac:dyDescent="0.25">
      <c r="A56" s="11">
        <v>55</v>
      </c>
      <c r="B56" s="11">
        <v>1057</v>
      </c>
      <c r="C56" s="433">
        <f ca="1">IF(B56="",16,INDEX(OFFSET(Arb!$I$2,,,Arb!$AJ$5,),B56))</f>
        <v>12</v>
      </c>
      <c r="D56" s="34">
        <f ca="1">IF(B56="",10,INDEX(OFFSET(Arb!$H$2,,,Arb!$AJ$5,),B56))</f>
        <v>3.68</v>
      </c>
      <c r="E56" s="33">
        <f t="shared" ca="1" si="0"/>
        <v>3.2608695652173911</v>
      </c>
      <c r="F56" s="33">
        <f ca="1">IF(B56="","",INDEX(OFFSET(Arb!$X$2,,,Arb!$AJ$5,),B56)/D56)</f>
        <v>3.8043478260869565</v>
      </c>
      <c r="G56" s="33">
        <f ca="1">IF(B56="","",(INDEX(OFFSET(Arb!$U$2,,,Arb!$AJ$5,),B56)+INDEX(OFFSET(Arb!$V$2,,,Arb!$AJ$5,),B56))/D56)</f>
        <v>4.6195652173913038</v>
      </c>
      <c r="H56" s="33">
        <f t="shared" ca="1" si="1"/>
        <v>0.76341386926452293</v>
      </c>
      <c r="I56" s="21">
        <f t="shared" ca="1" si="2"/>
        <v>61.957218625813169</v>
      </c>
      <c r="J56" s="74">
        <f ca="1">IF(B56="","",DATE(INDEX(OFFSET(Arb!$C$2,,,Arb!$AJ$5,),B56),INDEX(OFFSET(Arb!$B$2,,,Arb!$AJ$5,),B56),INDEX(OFFSET(Arb!$A$2,,,Arb!$AJ$5,),B56))+ROW()*0.001)</f>
        <v>43841.055999999997</v>
      </c>
      <c r="K56" s="11">
        <v>55</v>
      </c>
      <c r="L56" s="11">
        <v>2048</v>
      </c>
      <c r="M56" s="433">
        <f ca="1">IF(L56="",64,INDEX(OFFSET(Arb!$I$2,,,Arb!$AJ$5,),L56))</f>
        <v>48</v>
      </c>
      <c r="N56" s="34">
        <f ca="1">IF(L56="",60,INDEX(OFFSET(Arb!$H$2,,,Arb!$AJ$5,),L56))</f>
        <v>21.21</v>
      </c>
      <c r="O56" s="33">
        <f t="shared" ca="1" si="3"/>
        <v>2.2630834512022631</v>
      </c>
      <c r="P56" s="33">
        <f ca="1">IF(L56="","",INDEX(OFFSET(Arb!$X$2,,,Arb!$AJ$5,),L56)/N56)</f>
        <v>3.1588873173031589</v>
      </c>
      <c r="Q56" s="33">
        <f ca="1">IF(L56="","",(INDEX(OFFSET(Arb!$U$2,,,Arb!$AJ$5,),L56)+INDEX(OFFSET(Arb!$V$2,,,Arb!$AJ$5,),L56))/N56)</f>
        <v>3.6775106082036775</v>
      </c>
      <c r="R56" s="33">
        <f t="shared" ca="1" si="4"/>
        <v>3.7486759426429015</v>
      </c>
      <c r="S56" s="21">
        <f t="shared" ca="1" si="5"/>
        <v>41.00914625648246</v>
      </c>
      <c r="T56" s="74">
        <f ca="1">IF(L56="","",DATE(INDEX(OFFSET(Arb!$C$2,,,Arb!$AJ$5,),L56),INDEX(OFFSET(Arb!$B$2,,,Arb!$AJ$5,),L56),INDEX(OFFSET(Arb!$A$2,,,Arb!$AJ$5,),L56))+ROW()*0.001)</f>
        <v>43798.055999999997</v>
      </c>
      <c r="U56" s="11">
        <v>55</v>
      </c>
      <c r="V56" s="11">
        <v>3311</v>
      </c>
      <c r="W56" s="433">
        <f ca="1">IF(V56="",164,INDEX(OFFSET(Arb!$I$2,,,Arb!$AJ$5,),V56))</f>
        <v>139</v>
      </c>
      <c r="X56" s="34">
        <f ca="1">IF(V56="",240,INDEX(OFFSET(Arb!$H$2,,,Arb!$AJ$5,),V56))</f>
        <v>65.61</v>
      </c>
      <c r="Y56" s="33">
        <f t="shared" ca="1" si="6"/>
        <v>2.1185794848346289</v>
      </c>
      <c r="Z56" s="33">
        <f ca="1">IF(V56="","",INDEX(OFFSET(Arb!$X$2,,,Arb!$AJ$5,),V56)/X56)</f>
        <v>2.8196921201036429</v>
      </c>
      <c r="AA56" s="33">
        <f ca="1">IF(V56="","",(INDEX(OFFSET(Arb!$U$2,,,Arb!$AJ$5,),V56)+INDEX(OFFSET(Arb!$V$2,,,Arb!$AJ$5,),V56))/X56)</f>
        <v>3.1245237006553879</v>
      </c>
      <c r="AB56" s="33">
        <f t="shared" ca="1" si="7"/>
        <v>8.8274296252916731</v>
      </c>
      <c r="AC56" s="21">
        <f t="shared" ca="1" si="8"/>
        <v>49.278331118457011</v>
      </c>
      <c r="AD56" s="74">
        <f ca="1">IF(V56="","",DATE(INDEX(OFFSET(Arb!$C$2,,,Arb!$AJ$5,),V56),INDEX(OFFSET(Arb!$B$2,,,Arb!$AJ$5,),V56),INDEX(OFFSET(Arb!$A$2,,,Arb!$AJ$5,),V56))+ROW()*0.001)</f>
        <v>44093.055999999997</v>
      </c>
    </row>
    <row r="57" spans="1:30" x14ac:dyDescent="0.25">
      <c r="A57" s="11">
        <v>56</v>
      </c>
      <c r="B57" s="11">
        <v>1626</v>
      </c>
      <c r="C57" s="433">
        <f ca="1">IF(B57="",16,INDEX(OFFSET(Arb!$I$2,,,Arb!$AJ$5,),B57))</f>
        <v>18</v>
      </c>
      <c r="D57" s="34">
        <f ca="1">IF(B57="",10,INDEX(OFFSET(Arb!$H$2,,,Arb!$AJ$5,),B57))</f>
        <v>3.69</v>
      </c>
      <c r="E57" s="33">
        <f t="shared" ca="1" si="0"/>
        <v>4.8780487804878048</v>
      </c>
      <c r="F57" s="33">
        <f ca="1">IF(B57="","",INDEX(OFFSET(Arb!$X$2,,,Arb!$AJ$5,),B57)/D57)</f>
        <v>4.8780487804878048</v>
      </c>
      <c r="G57" s="33">
        <f ca="1">IF(B57="","",(INDEX(OFFSET(Arb!$U$2,,,Arb!$AJ$5,),B57)+INDEX(OFFSET(Arb!$V$2,,,Arb!$AJ$5,),B57))/D57)</f>
        <v>5.1490514905149052</v>
      </c>
      <c r="H57" s="33">
        <f t="shared" ca="1" si="1"/>
        <v>0.51129590843483819</v>
      </c>
      <c r="I57" s="21">
        <f t="shared" ca="1" si="2"/>
        <v>92.508074521445138</v>
      </c>
      <c r="J57" s="74">
        <f ca="1">IF(B57="","",DATE(INDEX(OFFSET(Arb!$C$2,,,Arb!$AJ$5,),B57),INDEX(OFFSET(Arb!$B$2,,,Arb!$AJ$5,),B57),INDEX(OFFSET(Arb!$A$2,,,Arb!$AJ$5,),B57))+ROW()*0.001)</f>
        <v>44093.057000000001</v>
      </c>
      <c r="K57" s="11">
        <v>56</v>
      </c>
      <c r="L57" s="11">
        <v>2295</v>
      </c>
      <c r="M57" s="433">
        <f ca="1">IF(L57="",64,INDEX(OFFSET(Arb!$I$2,,,Arb!$AJ$5,),L57))</f>
        <v>50</v>
      </c>
      <c r="N57" s="34">
        <f ca="1">IF(L57="",60,INDEX(OFFSET(Arb!$H$2,,,Arb!$AJ$5,),L57))</f>
        <v>21.22</v>
      </c>
      <c r="O57" s="33">
        <f t="shared" ca="1" si="3"/>
        <v>2.3562676720075402</v>
      </c>
      <c r="P57" s="33">
        <f ca="1">IF(L57="","",INDEX(OFFSET(Arb!$X$2,,,Arb!$AJ$5,),L57)/N57)</f>
        <v>3.0631479736098024</v>
      </c>
      <c r="Q57" s="33">
        <f ca="1">IF(L57="","",(INDEX(OFFSET(Arb!$U$2,,,Arb!$AJ$5,),L57)+INDEX(OFFSET(Arb!$V$2,,,Arb!$AJ$5,),L57))/N57)</f>
        <v>3.9114043355325165</v>
      </c>
      <c r="R57" s="33">
        <f t="shared" ca="1" si="4"/>
        <v>3.6016137934969241</v>
      </c>
      <c r="S57" s="21">
        <f t="shared" ca="1" si="5"/>
        <v>42.683643725925016</v>
      </c>
      <c r="T57" s="74">
        <f ca="1">IF(L57="","",DATE(INDEX(OFFSET(Arb!$C$2,,,Arb!$AJ$5,),L57),INDEX(OFFSET(Arb!$B$2,,,Arb!$AJ$5,),L57),INDEX(OFFSET(Arb!$A$2,,,Arb!$AJ$5,),L57))+ROW()*0.001)</f>
        <v>43937.057000000001</v>
      </c>
      <c r="U57" s="11">
        <v>56</v>
      </c>
      <c r="V57" s="11">
        <v>3211</v>
      </c>
      <c r="W57" s="433">
        <f ca="1">IF(V57="",164,INDEX(OFFSET(Arb!$I$2,,,Arb!$AJ$5,),V57))</f>
        <v>171</v>
      </c>
      <c r="X57" s="34">
        <f ca="1">IF(V57="",240,INDEX(OFFSET(Arb!$H$2,,,Arb!$AJ$5,),V57))</f>
        <v>65.650000000000006</v>
      </c>
      <c r="Y57" s="33">
        <f t="shared" ca="1" si="6"/>
        <v>2.6047220106626043</v>
      </c>
      <c r="Z57" s="33">
        <f ca="1">IF(V57="","",INDEX(OFFSET(Arb!$X$2,,,Arb!$AJ$5,),V57)/X57)</f>
        <v>3.3054074638233053</v>
      </c>
      <c r="AA57" s="33">
        <f ca="1">IF(V57="","",(INDEX(OFFSET(Arb!$U$2,,,Arb!$AJ$5,),V57)+INDEX(OFFSET(Arb!$V$2,,,Arb!$AJ$5,),V57))/X57)</f>
        <v>3.6557501904036553</v>
      </c>
      <c r="AB57" s="33">
        <f t="shared" ca="1" si="7"/>
        <v>7.182951455134563</v>
      </c>
      <c r="AC57" s="21">
        <f t="shared" ca="1" si="8"/>
        <v>60.560203241948656</v>
      </c>
      <c r="AD57" s="74">
        <f ca="1">IF(V57="","",DATE(INDEX(OFFSET(Arb!$C$2,,,Arb!$AJ$5,),V57),INDEX(OFFSET(Arb!$B$2,,,Arb!$AJ$5,),V57),INDEX(OFFSET(Arb!$A$2,,,Arb!$AJ$5,),V57))+ROW()*0.001)</f>
        <v>44059.057000000001</v>
      </c>
    </row>
    <row r="58" spans="1:30" x14ac:dyDescent="0.25">
      <c r="A58" s="11">
        <v>57</v>
      </c>
      <c r="B58" s="11">
        <v>1684</v>
      </c>
      <c r="C58" s="433">
        <f ca="1">IF(B58="",16,INDEX(OFFSET(Arb!$I$2,,,Arb!$AJ$5,),B58))</f>
        <v>15</v>
      </c>
      <c r="D58" s="34">
        <f ca="1">IF(B58="",10,INDEX(OFFSET(Arb!$H$2,,,Arb!$AJ$5,),B58))</f>
        <v>3.72</v>
      </c>
      <c r="E58" s="33">
        <f t="shared" ca="1" si="0"/>
        <v>4.032258064516129</v>
      </c>
      <c r="F58" s="33">
        <f ca="1">IF(B58="","",INDEX(OFFSET(Arb!$X$2,,,Arb!$AJ$5,),B58)/D58)</f>
        <v>4.032258064516129</v>
      </c>
      <c r="G58" s="33">
        <f ca="1">IF(B58="","",(INDEX(OFFSET(Arb!$U$2,,,Arb!$AJ$5,),B58)+INDEX(OFFSET(Arb!$V$2,,,Arb!$AJ$5,),B58))/D58)</f>
        <v>4.301075268817204</v>
      </c>
      <c r="H58" s="33">
        <f t="shared" ca="1" si="1"/>
        <v>0.62205923042211408</v>
      </c>
      <c r="I58" s="21">
        <f t="shared" ca="1" si="2"/>
        <v>76.036167758340412</v>
      </c>
      <c r="J58" s="74">
        <f ca="1">IF(B58="","",DATE(INDEX(OFFSET(Arb!$C$2,,,Arb!$AJ$5,),B58),INDEX(OFFSET(Arb!$B$2,,,Arb!$AJ$5,),B58),INDEX(OFFSET(Arb!$A$2,,,Arb!$AJ$5,),B58))+ROW()*0.001)</f>
        <v>44106.057999999997</v>
      </c>
      <c r="K58" s="11">
        <v>57</v>
      </c>
      <c r="L58" s="11">
        <v>2109</v>
      </c>
      <c r="M58" s="433">
        <f ca="1">IF(L58="",64,INDEX(OFFSET(Arb!$I$2,,,Arb!$AJ$5,),L58))</f>
        <v>40</v>
      </c>
      <c r="N58" s="34">
        <f ca="1">IF(L58="",60,INDEX(OFFSET(Arb!$H$2,,,Arb!$AJ$5,),L58))</f>
        <v>21.23</v>
      </c>
      <c r="O58" s="33">
        <f t="shared" ca="1" si="3"/>
        <v>1.8841262364578426</v>
      </c>
      <c r="P58" s="33">
        <f ca="1">IF(L58="","",INDEX(OFFSET(Arb!$X$2,,,Arb!$AJ$5,),L58)/N58)</f>
        <v>2.7319830428638716</v>
      </c>
      <c r="Q58" s="33">
        <f ca="1">IF(L58="","",(INDEX(OFFSET(Arb!$U$2,,,Arb!$AJ$5,),L58)+INDEX(OFFSET(Arb!$V$2,,,Arb!$AJ$5,),L58))/N58)</f>
        <v>3.2030146019783325</v>
      </c>
      <c r="R58" s="33">
        <f t="shared" ca="1" si="4"/>
        <v>4.5056245423417831</v>
      </c>
      <c r="S58" s="21">
        <f t="shared" ca="1" si="5"/>
        <v>34.119576221967961</v>
      </c>
      <c r="T58" s="74">
        <f ca="1">IF(L58="","",DATE(INDEX(OFFSET(Arb!$C$2,,,Arb!$AJ$5,),L58),INDEX(OFFSET(Arb!$B$2,,,Arb!$AJ$5,),L58),INDEX(OFFSET(Arb!$A$2,,,Arb!$AJ$5,),L58))+ROW()*0.001)</f>
        <v>43811.057999999997</v>
      </c>
      <c r="U58" s="11">
        <v>57</v>
      </c>
      <c r="V58" s="11">
        <v>3059</v>
      </c>
      <c r="W58" s="433">
        <f ca="1">IF(V58="",164,INDEX(OFFSET(Arb!$I$2,,,Arb!$AJ$5,),V58))</f>
        <v>128</v>
      </c>
      <c r="X58" s="34">
        <f ca="1">IF(V58="",240,INDEX(OFFSET(Arb!$H$2,,,Arb!$AJ$5,),V58))</f>
        <v>65.66</v>
      </c>
      <c r="Y58" s="33">
        <f t="shared" ca="1" si="6"/>
        <v>1.9494364910143163</v>
      </c>
      <c r="Z58" s="33">
        <f ca="1">IF(V58="","",INDEX(OFFSET(Arb!$X$2,,,Arb!$AJ$5,),V58)/X58)</f>
        <v>2.5281754492841912</v>
      </c>
      <c r="AA58" s="33">
        <f ca="1">IF(V58="","",(INDEX(OFFSET(Arb!$U$2,,,Arb!$AJ$5,),V58)+INDEX(OFFSET(Arb!$V$2,,,Arb!$AJ$5,),V58))/X58)</f>
        <v>2.7870849832470301</v>
      </c>
      <c r="AB58" s="33">
        <f t="shared" ca="1" si="7"/>
        <v>9.5984592097227992</v>
      </c>
      <c r="AC58" s="21">
        <f t="shared" ca="1" si="8"/>
        <v>45.319877961179841</v>
      </c>
      <c r="AD58" s="74">
        <f ca="1">IF(V58="","",DATE(INDEX(OFFSET(Arb!$C$2,,,Arb!$AJ$5,),V58),INDEX(OFFSET(Arb!$B$2,,,Arb!$AJ$5,),V58),INDEX(OFFSET(Arb!$A$2,,,Arb!$AJ$5,),V58))+ROW()*0.001)</f>
        <v>43989.057999999997</v>
      </c>
    </row>
    <row r="59" spans="1:30" x14ac:dyDescent="0.25">
      <c r="A59" s="11">
        <v>58</v>
      </c>
      <c r="B59" s="11">
        <v>1380</v>
      </c>
      <c r="C59" s="433">
        <f ca="1">IF(B59="",16,INDEX(OFFSET(Arb!$I$2,,,Arb!$AJ$5,),B59))</f>
        <v>16</v>
      </c>
      <c r="D59" s="34">
        <f ca="1">IF(B59="",10,INDEX(OFFSET(Arb!$H$2,,,Arb!$AJ$5,),B59))</f>
        <v>3.72</v>
      </c>
      <c r="E59" s="33">
        <f t="shared" ca="1" si="0"/>
        <v>4.301075268817204</v>
      </c>
      <c r="F59" s="33">
        <f ca="1">IF(B59="","",INDEX(OFFSET(Arb!$X$2,,,Arb!$AJ$5,),B59)/D59)</f>
        <v>4.301075268817204</v>
      </c>
      <c r="G59" s="33">
        <f ca="1">IF(B59="","",(INDEX(OFFSET(Arb!$U$2,,,Arb!$AJ$5,),B59)+INDEX(OFFSET(Arb!$V$2,,,Arb!$AJ$5,),B59))/D59)</f>
        <v>4.5698924731182791</v>
      </c>
      <c r="H59" s="33">
        <f t="shared" ca="1" si="1"/>
        <v>0.58318052852073199</v>
      </c>
      <c r="I59" s="21">
        <f t="shared" ca="1" si="2"/>
        <v>81.105245608896439</v>
      </c>
      <c r="J59" s="74">
        <f ca="1">IF(B59="","",DATE(INDEX(OFFSET(Arb!$C$2,,,Arb!$AJ$5,),B59),INDEX(OFFSET(Arb!$B$2,,,Arb!$AJ$5,),B59),INDEX(OFFSET(Arb!$A$2,,,Arb!$AJ$5,),B59))+ROW()*0.001)</f>
        <v>43937.059000000001</v>
      </c>
      <c r="K59" s="11">
        <v>58</v>
      </c>
      <c r="L59" s="11">
        <v>2299</v>
      </c>
      <c r="M59" s="433">
        <f ca="1">IF(L59="",64,INDEX(OFFSET(Arb!$I$2,,,Arb!$AJ$5,),L59))</f>
        <v>51</v>
      </c>
      <c r="N59" s="34">
        <f ca="1">IF(L59="",60,INDEX(OFFSET(Arb!$H$2,,,Arb!$AJ$5,),L59))</f>
        <v>21.24</v>
      </c>
      <c r="O59" s="33">
        <f t="shared" ca="1" si="3"/>
        <v>2.4011299435028248</v>
      </c>
      <c r="P59" s="33">
        <f ca="1">IF(L59="","",INDEX(OFFSET(Arb!$X$2,,,Arb!$AJ$5,),L59)/N59)</f>
        <v>3.154425612052731</v>
      </c>
      <c r="Q59" s="33">
        <f ca="1">IF(L59="","",(INDEX(OFFSET(Arb!$U$2,,,Arb!$AJ$5,),L59)+INDEX(OFFSET(Arb!$V$2,,,Arb!$AJ$5,),L59))/N59)</f>
        <v>3.6252354048964222</v>
      </c>
      <c r="R59" s="33">
        <f t="shared" ca="1" si="4"/>
        <v>3.5366533587570181</v>
      </c>
      <c r="S59" s="21">
        <f t="shared" ca="1" si="5"/>
        <v>43.467647067913234</v>
      </c>
      <c r="T59" s="74">
        <f ca="1">IF(L59="","",DATE(INDEX(OFFSET(Arb!$C$2,,,Arb!$AJ$5,),L59),INDEX(OFFSET(Arb!$B$2,,,Arb!$AJ$5,),L59),INDEX(OFFSET(Arb!$A$2,,,Arb!$AJ$5,),L59))+ROW()*0.001)</f>
        <v>43941.059000000001</v>
      </c>
      <c r="U59" s="11">
        <v>58</v>
      </c>
      <c r="V59" s="11">
        <v>3236</v>
      </c>
      <c r="W59" s="433">
        <f ca="1">IF(V59="",164,INDEX(OFFSET(Arb!$I$2,,,Arb!$AJ$5,),V59))</f>
        <v>162</v>
      </c>
      <c r="X59" s="34">
        <f ca="1">IF(V59="",240,INDEX(OFFSET(Arb!$H$2,,,Arb!$AJ$5,),V59))</f>
        <v>65.67</v>
      </c>
      <c r="Y59" s="33">
        <f t="shared" ca="1" si="6"/>
        <v>2.4668798538145271</v>
      </c>
      <c r="Z59" s="33">
        <f ca="1">IF(V59="","",INDEX(OFFSET(Arb!$X$2,,,Arb!$AJ$5,),V59)/X59)</f>
        <v>3.0150753768844218</v>
      </c>
      <c r="AA59" s="33">
        <f ca="1">IF(V59="","",(INDEX(OFFSET(Arb!$U$2,,,Arb!$AJ$5,),V59)+INDEX(OFFSET(Arb!$V$2,,,Arb!$AJ$5,),V59))/X59)</f>
        <v>3.3044007918379776</v>
      </c>
      <c r="AB59" s="33">
        <f t="shared" ca="1" si="7"/>
        <v>7.5859314368721327</v>
      </c>
      <c r="AC59" s="21">
        <f t="shared" ca="1" si="8"/>
        <v>57.3431230719588</v>
      </c>
      <c r="AD59" s="74">
        <f ca="1">IF(V59="","",DATE(INDEX(OFFSET(Arb!$C$2,,,Arb!$AJ$5,),V59),INDEX(OFFSET(Arb!$B$2,,,Arb!$AJ$5,),V59),INDEX(OFFSET(Arb!$A$2,,,Arb!$AJ$5,),V59))+ROW()*0.001)</f>
        <v>44064.059000000001</v>
      </c>
    </row>
    <row r="60" spans="1:30" x14ac:dyDescent="0.25">
      <c r="A60" s="11">
        <v>59</v>
      </c>
      <c r="B60" s="11">
        <v>1309</v>
      </c>
      <c r="C60" s="433">
        <f ca="1">IF(B60="",16,INDEX(OFFSET(Arb!$I$2,,,Arb!$AJ$5,),B60))</f>
        <v>10</v>
      </c>
      <c r="D60" s="34">
        <f ca="1">IF(B60="",10,INDEX(OFFSET(Arb!$H$2,,,Arb!$AJ$5,),B60))</f>
        <v>3.73</v>
      </c>
      <c r="E60" s="33">
        <f t="shared" ca="1" si="0"/>
        <v>2.6809651474530831</v>
      </c>
      <c r="F60" s="33">
        <f ca="1">IF(B60="","",INDEX(OFFSET(Arb!$X$2,,,Arb!$AJ$5,),B60)/D60)</f>
        <v>3.4852546916890081</v>
      </c>
      <c r="G60" s="33">
        <f ca="1">IF(B60="","",(INDEX(OFFSET(Arb!$U$2,,,Arb!$AJ$5,),B60)+INDEX(OFFSET(Arb!$V$2,,,Arb!$AJ$5,),B60))/D60)</f>
        <v>4.5576407506702417</v>
      </c>
      <c r="H60" s="33">
        <f t="shared" ca="1" si="1"/>
        <v>0.9373569721848517</v>
      </c>
      <c r="I60" s="21">
        <f t="shared" ca="1" si="2"/>
        <v>50.459964990448043</v>
      </c>
      <c r="J60" s="74">
        <f ca="1">IF(B60="","",DATE(INDEX(OFFSET(Arb!$C$2,,,Arb!$AJ$5,),B60),INDEX(OFFSET(Arb!$B$2,,,Arb!$AJ$5,),B60),INDEX(OFFSET(Arb!$A$2,,,Arb!$AJ$5,),B60))+ROW()*0.001)</f>
        <v>43912.06</v>
      </c>
      <c r="K60" s="11">
        <v>59</v>
      </c>
      <c r="L60" s="11">
        <v>2163</v>
      </c>
      <c r="M60" s="433">
        <f ca="1">IF(L60="",64,INDEX(OFFSET(Arb!$I$2,,,Arb!$AJ$5,),L60))</f>
        <v>51</v>
      </c>
      <c r="N60" s="34">
        <f ca="1">IF(L60="",60,INDEX(OFFSET(Arb!$H$2,,,Arb!$AJ$5,),L60))</f>
        <v>21.26</v>
      </c>
      <c r="O60" s="33">
        <f t="shared" ca="1" si="3"/>
        <v>2.3988711194731889</v>
      </c>
      <c r="P60" s="33">
        <f ca="1">IF(L60="","",INDEX(OFFSET(Arb!$X$2,,,Arb!$AJ$5,),L60)/N60)</f>
        <v>2.8692380056444025</v>
      </c>
      <c r="Q60" s="33">
        <f ca="1">IF(L60="","",(INDEX(OFFSET(Arb!$U$2,,,Arb!$AJ$5,),L60)+INDEX(OFFSET(Arb!$V$2,,,Arb!$AJ$5,),L60))/N60)</f>
        <v>3.339604891815616</v>
      </c>
      <c r="R60" s="33">
        <f t="shared" ca="1" si="4"/>
        <v>3.5423165338810292</v>
      </c>
      <c r="S60" s="21">
        <f t="shared" ca="1" si="5"/>
        <v>43.398154436405065</v>
      </c>
      <c r="T60" s="74">
        <f ca="1">IF(L60="","",DATE(INDEX(OFFSET(Arb!$C$2,,,Arb!$AJ$5,),L60),INDEX(OFFSET(Arb!$B$2,,,Arb!$AJ$5,),L60),INDEX(OFFSET(Arb!$A$2,,,Arb!$AJ$5,),L60))+ROW()*0.001)</f>
        <v>43823.06</v>
      </c>
      <c r="U60" s="11">
        <v>59</v>
      </c>
      <c r="V60" s="11">
        <v>2962</v>
      </c>
      <c r="W60" s="433">
        <f ca="1">IF(V60="",164,INDEX(OFFSET(Arb!$I$2,,,Arb!$AJ$5,),V60))</f>
        <v>157</v>
      </c>
      <c r="X60" s="34">
        <f ca="1">IF(V60="",240,INDEX(OFFSET(Arb!$H$2,,,Arb!$AJ$5,),V60))</f>
        <v>65.680000000000007</v>
      </c>
      <c r="Y60" s="33">
        <f t="shared" ca="1" si="6"/>
        <v>2.3903775883069427</v>
      </c>
      <c r="Z60" s="33">
        <f ca="1">IF(V60="","",INDEX(OFFSET(Arb!$X$2,,,Arb!$AJ$5,),V60)/X60)</f>
        <v>2.8471376370280144</v>
      </c>
      <c r="AA60" s="33">
        <f ca="1">IF(V60="","",(INDEX(OFFSET(Arb!$U$2,,,Arb!$AJ$5,),V60)+INDEX(OFFSET(Arb!$V$2,,,Arb!$AJ$5,),V60))/X60)</f>
        <v>3.2125456760048716</v>
      </c>
      <c r="AB60" s="33">
        <f t="shared" ca="1" si="7"/>
        <v>7.829548029380641</v>
      </c>
      <c r="AC60" s="21">
        <f t="shared" ca="1" si="8"/>
        <v>55.558890291961191</v>
      </c>
      <c r="AD60" s="74">
        <f ca="1">IF(V60="","",DATE(INDEX(OFFSET(Arb!$C$2,,,Arb!$AJ$5,),V60),INDEX(OFFSET(Arb!$B$2,,,Arb!$AJ$5,),V60),INDEX(OFFSET(Arb!$A$2,,,Arb!$AJ$5,),V60))+ROW()*0.001)</f>
        <v>43951.06</v>
      </c>
    </row>
    <row r="61" spans="1:30" x14ac:dyDescent="0.25">
      <c r="A61" s="11">
        <v>60</v>
      </c>
      <c r="B61" s="11">
        <v>656</v>
      </c>
      <c r="C61" s="433">
        <f ca="1">IF(B61="",16,INDEX(OFFSET(Arb!$I$2,,,Arb!$AJ$5,),B61))</f>
        <v>14</v>
      </c>
      <c r="D61" s="34">
        <f ca="1">IF(B61="",10,INDEX(OFFSET(Arb!$H$2,,,Arb!$AJ$5,),B61))</f>
        <v>3.75</v>
      </c>
      <c r="E61" s="33">
        <f t="shared" ca="1" si="0"/>
        <v>3.7333333333333334</v>
      </c>
      <c r="F61" s="33">
        <f ca="1">IF(B61="","",INDEX(OFFSET(Arb!$X$2,,,Arb!$AJ$5,),B61)/D61)</f>
        <v>3.7333333333333334</v>
      </c>
      <c r="G61" s="33">
        <f ca="1">IF(B61="","",(INDEX(OFFSET(Arb!$U$2,,,Arb!$AJ$5,),B61)+INDEX(OFFSET(Arb!$V$2,,,Arb!$AJ$5,),B61))/D61)</f>
        <v>4.2666666666666666</v>
      </c>
      <c r="H61" s="33">
        <f t="shared" ca="1" si="1"/>
        <v>0.67565519364200599</v>
      </c>
      <c r="I61" s="21">
        <f t="shared" ca="1" si="2"/>
        <v>70.004642079405428</v>
      </c>
      <c r="J61" s="74">
        <f ca="1">IF(B61="","",DATE(INDEX(OFFSET(Arb!$C$2,,,Arb!$AJ$5,),B61),INDEX(OFFSET(Arb!$B$2,,,Arb!$AJ$5,),B61),INDEX(OFFSET(Arb!$A$2,,,Arb!$AJ$5,),B61))+ROW()*0.001)</f>
        <v>43800.061000000002</v>
      </c>
      <c r="K61" s="11">
        <v>60</v>
      </c>
      <c r="L61" s="11">
        <v>2231</v>
      </c>
      <c r="M61" s="433">
        <f ca="1">IF(L61="",64,INDEX(OFFSET(Arb!$I$2,,,Arb!$AJ$5,),L61))</f>
        <v>46</v>
      </c>
      <c r="N61" s="34">
        <f ca="1">IF(L61="",60,INDEX(OFFSET(Arb!$H$2,,,Arb!$AJ$5,),L61))</f>
        <v>21.32</v>
      </c>
      <c r="O61" s="33">
        <f t="shared" ca="1" si="3"/>
        <v>2.1575984990619137</v>
      </c>
      <c r="P61" s="33">
        <f ca="1">IF(L61="","",INDEX(OFFSET(Arb!$X$2,,,Arb!$AJ$5,),L61)/N61)</f>
        <v>2.9549718574108819</v>
      </c>
      <c r="Q61" s="33">
        <f ca="1">IF(L61="","",(INDEX(OFFSET(Arb!$U$2,,,Arb!$AJ$5,),L61)+INDEX(OFFSET(Arb!$V$2,,,Arb!$AJ$5,),L61))/N61)</f>
        <v>3.2363977485928705</v>
      </c>
      <c r="R61" s="33">
        <f t="shared" ca="1" si="4"/>
        <v>3.9462119639639526</v>
      </c>
      <c r="S61" s="21">
        <f t="shared" ca="1" si="5"/>
        <v>38.956346340194784</v>
      </c>
      <c r="T61" s="74">
        <f ca="1">IF(L61="","",DATE(INDEX(OFFSET(Arb!$C$2,,,Arb!$AJ$5,),L61),INDEX(OFFSET(Arb!$B$2,,,Arb!$AJ$5,),L61),INDEX(OFFSET(Arb!$A$2,,,Arb!$AJ$5,),L61))+ROW()*0.001)</f>
        <v>43885.061000000002</v>
      </c>
      <c r="U61" s="11">
        <v>60</v>
      </c>
      <c r="V61" s="11">
        <v>3184</v>
      </c>
      <c r="W61" s="433">
        <f ca="1">IF(V61="",164,INDEX(OFFSET(Arb!$I$2,,,Arb!$AJ$5,),V61))</f>
        <v>153</v>
      </c>
      <c r="X61" s="34">
        <f ca="1">IF(V61="",240,INDEX(OFFSET(Arb!$H$2,,,Arb!$AJ$5,),V61))</f>
        <v>65.7</v>
      </c>
      <c r="Y61" s="33">
        <f t="shared" ca="1" si="6"/>
        <v>2.3287671232876712</v>
      </c>
      <c r="Z61" s="33">
        <f ca="1">IF(V61="","",INDEX(OFFSET(Arb!$X$2,,,Arb!$AJ$5,),V61)/X61)</f>
        <v>2.7092846270928463</v>
      </c>
      <c r="AA61" s="33">
        <f ca="1">IF(V61="","",(INDEX(OFFSET(Arb!$U$2,,,Arb!$AJ$5,),V61)+INDEX(OFFSET(Arb!$V$2,,,Arb!$AJ$5,),V61))/X61)</f>
        <v>3.0593607305936072</v>
      </c>
      <c r="AB61" s="33">
        <f t="shared" ca="1" si="7"/>
        <v>8.0384015556708341</v>
      </c>
      <c r="AC61" s="21">
        <f t="shared" ca="1" si="8"/>
        <v>54.11536074521193</v>
      </c>
      <c r="AD61" s="74">
        <f ca="1">IF(V61="","",DATE(INDEX(OFFSET(Arb!$C$2,,,Arb!$AJ$5,),V61),INDEX(OFFSET(Arb!$B$2,,,Arb!$AJ$5,),V61),INDEX(OFFSET(Arb!$A$2,,,Arb!$AJ$5,),V61))+ROW()*0.001)</f>
        <v>44052.061000000002</v>
      </c>
    </row>
    <row r="62" spans="1:30" x14ac:dyDescent="0.25">
      <c r="A62" s="11">
        <v>61</v>
      </c>
      <c r="B62" s="11">
        <v>1013</v>
      </c>
      <c r="C62" s="433">
        <f ca="1">IF(B62="",16,INDEX(OFFSET(Arb!$I$2,,,Arb!$AJ$5,),B62))</f>
        <v>11</v>
      </c>
      <c r="D62" s="34">
        <f ca="1">IF(B62="",10,INDEX(OFFSET(Arb!$H$2,,,Arb!$AJ$5,),B62))</f>
        <v>3.76</v>
      </c>
      <c r="E62" s="33">
        <f t="shared" ca="1" si="0"/>
        <v>2.9255319148936172</v>
      </c>
      <c r="F62" s="33">
        <f ca="1">IF(B62="","",INDEX(OFFSET(Arb!$X$2,,,Arb!$AJ$5,),B62)/D62)</f>
        <v>3.4574468085106385</v>
      </c>
      <c r="G62" s="33">
        <f ca="1">IF(B62="","",(INDEX(OFFSET(Arb!$U$2,,,Arb!$AJ$5,),B62)+INDEX(OFFSET(Arb!$V$2,,,Arb!$AJ$5,),B62))/D62)</f>
        <v>3.9893617021276597</v>
      </c>
      <c r="H62" s="33">
        <f t="shared" ca="1" si="1"/>
        <v>0.86382675509925544</v>
      </c>
      <c r="I62" s="21">
        <f t="shared" ca="1" si="2"/>
        <v>54.755192196571002</v>
      </c>
      <c r="J62" s="74">
        <f ca="1">IF(B62="","",DATE(INDEX(OFFSET(Arb!$C$2,,,Arb!$AJ$5,),B62),INDEX(OFFSET(Arb!$B$2,,,Arb!$AJ$5,),B62),INDEX(OFFSET(Arb!$A$2,,,Arb!$AJ$5,),B62))+ROW()*0.001)</f>
        <v>43838.061999999998</v>
      </c>
      <c r="K62" s="11">
        <v>61</v>
      </c>
      <c r="L62" s="11">
        <v>2309</v>
      </c>
      <c r="M62" s="433">
        <f ca="1">IF(L62="",64,INDEX(OFFSET(Arb!$I$2,,,Arb!$AJ$5,),L62))</f>
        <v>38</v>
      </c>
      <c r="N62" s="34">
        <f ca="1">IF(L62="",60,INDEX(OFFSET(Arb!$H$2,,,Arb!$AJ$5,),L62))</f>
        <v>21.34</v>
      </c>
      <c r="O62" s="33">
        <f t="shared" ca="1" si="3"/>
        <v>1.7806935332708529</v>
      </c>
      <c r="P62" s="33">
        <f ca="1">IF(L62="","",INDEX(OFFSET(Arb!$X$2,,,Arb!$AJ$5,),L62)/N62)</f>
        <v>2.3430178069353329</v>
      </c>
      <c r="Q62" s="33">
        <f ca="1">IF(L62="","",(INDEX(OFFSET(Arb!$U$2,,,Arb!$AJ$5,),L62)+INDEX(OFFSET(Arb!$V$2,,,Arb!$AJ$5,),L62))/N62)</f>
        <v>2.7647610121836927</v>
      </c>
      <c r="R62" s="33">
        <f t="shared" ca="1" si="4"/>
        <v>4.7846140256659071</v>
      </c>
      <c r="S62" s="21">
        <f t="shared" ca="1" si="5"/>
        <v>32.130073434419685</v>
      </c>
      <c r="T62" s="74">
        <f ca="1">IF(L62="","",DATE(INDEX(OFFSET(Arb!$C$2,,,Arb!$AJ$5,),L62),INDEX(OFFSET(Arb!$B$2,,,Arb!$AJ$5,),L62),INDEX(OFFSET(Arb!$A$2,,,Arb!$AJ$5,),L62))+ROW()*0.001)</f>
        <v>43950.061999999998</v>
      </c>
      <c r="U62" s="11">
        <v>61</v>
      </c>
      <c r="V62" s="11">
        <v>3010</v>
      </c>
      <c r="W62" s="433">
        <f ca="1">IF(V62="",164,INDEX(OFFSET(Arb!$I$2,,,Arb!$AJ$5,),V62))</f>
        <v>138</v>
      </c>
      <c r="X62" s="34">
        <f ca="1">IF(V62="",240,INDEX(OFFSET(Arb!$H$2,,,Arb!$AJ$5,),V62))</f>
        <v>65.819999999999993</v>
      </c>
      <c r="Y62" s="33">
        <f t="shared" ca="1" si="6"/>
        <v>2.0966271649954424</v>
      </c>
      <c r="Z62" s="33">
        <f ca="1">IF(V62="","",INDEX(OFFSET(Arb!$X$2,,,Arb!$AJ$5,),V62)/X62)</f>
        <v>2.8562746885445156</v>
      </c>
      <c r="AA62" s="33">
        <f ca="1">IF(V62="","",(INDEX(OFFSET(Arb!$U$2,,,Arb!$AJ$5,),V62)+INDEX(OFFSET(Arb!$V$2,,,Arb!$AJ$5,),V62))/X62)</f>
        <v>3.3424491036159227</v>
      </c>
      <c r="AB62" s="33">
        <f t="shared" ca="1" si="7"/>
        <v>8.9398309429192935</v>
      </c>
      <c r="AC62" s="21">
        <f t="shared" ca="1" si="8"/>
        <v>48.658750123741243</v>
      </c>
      <c r="AD62" s="74">
        <f ca="1">IF(V62="","",DATE(INDEX(OFFSET(Arb!$C$2,,,Arb!$AJ$5,),V62),INDEX(OFFSET(Arb!$B$2,,,Arb!$AJ$5,),V62),INDEX(OFFSET(Arb!$A$2,,,Arb!$AJ$5,),V62))+ROW()*0.001)</f>
        <v>43957.061999999998</v>
      </c>
    </row>
    <row r="63" spans="1:30" x14ac:dyDescent="0.25">
      <c r="A63" s="11">
        <v>62</v>
      </c>
      <c r="B63" s="11">
        <v>570</v>
      </c>
      <c r="C63" s="433">
        <f ca="1">IF(B63="",16,INDEX(OFFSET(Arb!$I$2,,,Arb!$AJ$5,),B63))</f>
        <v>12</v>
      </c>
      <c r="D63" s="34">
        <f ca="1">IF(B63="",10,INDEX(OFFSET(Arb!$H$2,,,Arb!$AJ$5,),B63))</f>
        <v>3.78</v>
      </c>
      <c r="E63" s="33">
        <f t="shared" ca="1" si="0"/>
        <v>3.1746031746031749</v>
      </c>
      <c r="F63" s="33">
        <f ca="1">IF(B63="","",INDEX(OFFSET(Arb!$X$2,,,Arb!$AJ$5,),B63)/D63)</f>
        <v>3.7037037037037037</v>
      </c>
      <c r="G63" s="33">
        <f ca="1">IF(B63="","",(INDEX(OFFSET(Arb!$U$2,,,Arb!$AJ$5,),B63)+INDEX(OFFSET(Arb!$V$2,,,Arb!$AJ$5,),B63))/D63)</f>
        <v>5.026455026455027</v>
      </c>
      <c r="H63" s="33">
        <f t="shared" ca="1" si="1"/>
        <v>0.79901478147804994</v>
      </c>
      <c r="I63" s="21">
        <f t="shared" ca="1" si="2"/>
        <v>59.196652047543338</v>
      </c>
      <c r="J63" s="74">
        <f ca="1">IF(B63="","",DATE(INDEX(OFFSET(Arb!$C$2,,,Arb!$AJ$5,),B63),INDEX(OFFSET(Arb!$B$2,,,Arb!$AJ$5,),B63),INDEX(OFFSET(Arb!$A$2,,,Arb!$AJ$5,),B63))+ROW()*0.001)</f>
        <v>43797.063000000002</v>
      </c>
      <c r="K63" s="11">
        <v>62</v>
      </c>
      <c r="L63" s="11">
        <v>2233</v>
      </c>
      <c r="M63" s="433">
        <f ca="1">IF(L63="",64,INDEX(OFFSET(Arb!$I$2,,,Arb!$AJ$5,),L63))</f>
        <v>55</v>
      </c>
      <c r="N63" s="34">
        <f ca="1">IF(L63="",60,INDEX(OFFSET(Arb!$H$2,,,Arb!$AJ$5,),L63))</f>
        <v>21.34</v>
      </c>
      <c r="O63" s="33">
        <f t="shared" ca="1" si="3"/>
        <v>2.5773195876288661</v>
      </c>
      <c r="P63" s="33">
        <f ca="1">IF(L63="","",INDEX(OFFSET(Arb!$X$2,,,Arb!$AJ$5,),L63)/N63)</f>
        <v>3.4208059981255858</v>
      </c>
      <c r="Q63" s="33">
        <f ca="1">IF(L63="","",(INDEX(OFFSET(Arb!$U$2,,,Arb!$AJ$5,),L63)+INDEX(OFFSET(Arb!$V$2,,,Arb!$AJ$5,),L63))/N63)</f>
        <v>3.9831302717900656</v>
      </c>
      <c r="R63" s="33">
        <f t="shared" ca="1" si="4"/>
        <v>3.3057333268237175</v>
      </c>
      <c r="S63" s="21">
        <f t="shared" ca="1" si="5"/>
        <v>46.50405365508113</v>
      </c>
      <c r="T63" s="74">
        <f ca="1">IF(L63="","",DATE(INDEX(OFFSET(Arb!$C$2,,,Arb!$AJ$5,),L63),INDEX(OFFSET(Arb!$B$2,,,Arb!$AJ$5,),L63),INDEX(OFFSET(Arb!$A$2,,,Arb!$AJ$5,),L63))+ROW()*0.001)</f>
        <v>43885.063000000002</v>
      </c>
      <c r="U63" s="11">
        <v>62</v>
      </c>
      <c r="V63" s="11">
        <v>3380</v>
      </c>
      <c r="W63" s="433">
        <f ca="1">IF(V63="",164,INDEX(OFFSET(Arb!$I$2,,,Arb!$AJ$5,),V63))</f>
        <v>148</v>
      </c>
      <c r="X63" s="34">
        <f ca="1">IF(V63="",240,INDEX(OFFSET(Arb!$H$2,,,Arb!$AJ$5,),V63))</f>
        <v>65.88</v>
      </c>
      <c r="Y63" s="33">
        <f t="shared" ca="1" si="6"/>
        <v>2.2465088038858534</v>
      </c>
      <c r="Z63" s="33">
        <f ca="1">IF(V63="","",INDEX(OFFSET(Arb!$X$2,,,Arb!$AJ$5,),V63)/X63)</f>
        <v>2.6259866423800853</v>
      </c>
      <c r="AA63" s="33">
        <f ca="1">IF(V63="","",(INDEX(OFFSET(Arb!$U$2,,,Arb!$AJ$5,),V63)+INDEX(OFFSET(Arb!$V$2,,,Arb!$AJ$5,),V63))/X63)</f>
        <v>3.0661809350333944</v>
      </c>
      <c r="AB63" s="33">
        <f t="shared" ca="1" si="7"/>
        <v>8.3487102450521622</v>
      </c>
      <c r="AC63" s="21">
        <f t="shared" ca="1" si="8"/>
        <v>52.103976210912577</v>
      </c>
      <c r="AD63" s="74">
        <f ca="1">IF(V63="","",DATE(INDEX(OFFSET(Arb!$C$2,,,Arb!$AJ$5,),V63),INDEX(OFFSET(Arb!$B$2,,,Arb!$AJ$5,),V63),INDEX(OFFSET(Arb!$A$2,,,Arb!$AJ$5,),V63))+ROW()*0.001)</f>
        <v>44133.063000000002</v>
      </c>
    </row>
    <row r="64" spans="1:30" x14ac:dyDescent="0.25">
      <c r="A64" s="11">
        <v>63</v>
      </c>
      <c r="B64" s="11">
        <v>1158</v>
      </c>
      <c r="C64" s="433">
        <f ca="1">IF(B64="",16,INDEX(OFFSET(Arb!$I$2,,,Arb!$AJ$5,),B64))</f>
        <v>10</v>
      </c>
      <c r="D64" s="34">
        <f ca="1">IF(B64="",10,INDEX(OFFSET(Arb!$H$2,,,Arb!$AJ$5,),B64))</f>
        <v>3.79</v>
      </c>
      <c r="E64" s="33">
        <f t="shared" ca="1" si="0"/>
        <v>2.6385224274406331</v>
      </c>
      <c r="F64" s="33">
        <f ca="1">IF(B64="","",INDEX(OFFSET(Arb!$X$2,,,Arb!$AJ$5,),B64)/D64)</f>
        <v>3.6939313984168867</v>
      </c>
      <c r="G64" s="33">
        <f ca="1">IF(B64="","",(INDEX(OFFSET(Arb!$U$2,,,Arb!$AJ$5,),B64)+INDEX(OFFSET(Arb!$V$2,,,Arb!$AJ$5,),B64))/D64)</f>
        <v>4.4854881266490763</v>
      </c>
      <c r="H64" s="33">
        <f t="shared" ca="1" si="1"/>
        <v>0.96313387270865558</v>
      </c>
      <c r="I64" s="21">
        <f t="shared" ca="1" si="2"/>
        <v>49.109476200831089</v>
      </c>
      <c r="J64" s="74">
        <f ca="1">IF(B64="","",DATE(INDEX(OFFSET(Arb!$C$2,,,Arb!$AJ$5,),B64),INDEX(OFFSET(Arb!$B$2,,,Arb!$AJ$5,),B64),INDEX(OFFSET(Arb!$A$2,,,Arb!$AJ$5,),B64))+ROW()*0.001)</f>
        <v>43869.063999999998</v>
      </c>
      <c r="K64" s="11">
        <v>63</v>
      </c>
      <c r="L64" s="11">
        <v>2021</v>
      </c>
      <c r="M64" s="433">
        <f ca="1">IF(L64="",64,INDEX(OFFSET(Arb!$I$2,,,Arb!$AJ$5,),L64))</f>
        <v>44</v>
      </c>
      <c r="N64" s="34">
        <f ca="1">IF(L64="",60,INDEX(OFFSET(Arb!$H$2,,,Arb!$AJ$5,),L64))</f>
        <v>21.35</v>
      </c>
      <c r="O64" s="33">
        <f t="shared" ca="1" si="3"/>
        <v>2.0608899297423888</v>
      </c>
      <c r="P64" s="33">
        <f ca="1">IF(L64="","",INDEX(OFFSET(Arb!$X$2,,,Arb!$AJ$5,),L64)/N64)</f>
        <v>2.5292740046838404</v>
      </c>
      <c r="Q64" s="33">
        <f ca="1">IF(L64="","",(INDEX(OFFSET(Arb!$U$2,,,Arb!$AJ$5,),L64)+INDEX(OFFSET(Arb!$V$2,,,Arb!$AJ$5,),L64))/N64)</f>
        <v>2.903981264637002</v>
      </c>
      <c r="R64" s="33">
        <f t="shared" ca="1" si="4"/>
        <v>4.1354589900163328</v>
      </c>
      <c r="S64" s="21">
        <f t="shared" ca="1" si="5"/>
        <v>37.173624589466151</v>
      </c>
      <c r="T64" s="74">
        <f ca="1">IF(L64="","",DATE(INDEX(OFFSET(Arb!$C$2,,,Arb!$AJ$5,),L64),INDEX(OFFSET(Arb!$B$2,,,Arb!$AJ$5,),L64),INDEX(OFFSET(Arb!$A$2,,,Arb!$AJ$5,),L64))+ROW()*0.001)</f>
        <v>43795.063999999998</v>
      </c>
      <c r="U64" s="11">
        <v>63</v>
      </c>
      <c r="V64" s="11">
        <v>3432</v>
      </c>
      <c r="W64" s="433">
        <f ca="1">IF(V64="",164,INDEX(OFFSET(Arb!$I$2,,,Arb!$AJ$5,),V64))</f>
        <v>151</v>
      </c>
      <c r="X64" s="34">
        <f ca="1">IF(V64="",240,INDEX(OFFSET(Arb!$H$2,,,Arb!$AJ$5,),V64))</f>
        <v>65.91</v>
      </c>
      <c r="Y64" s="33">
        <f t="shared" ca="1" si="6"/>
        <v>2.2910028827188591</v>
      </c>
      <c r="Z64" s="33">
        <f ca="1">IF(V64="","",INDEX(OFFSET(Arb!$X$2,,,Arb!$AJ$5,),V64)/X64)</f>
        <v>2.4123805188893948</v>
      </c>
      <c r="AA64" s="33">
        <f ca="1">IF(V64="","",(INDEX(OFFSET(Arb!$U$2,,,Arb!$AJ$5,),V64)+INDEX(OFFSET(Arb!$V$2,,,Arb!$AJ$5,),V64))/X64)</f>
        <v>2.7309968138370508</v>
      </c>
      <c r="AB64" s="33">
        <f t="shared" ca="1" si="7"/>
        <v>8.1891774617037871</v>
      </c>
      <c r="AC64" s="21">
        <f t="shared" ca="1" si="8"/>
        <v>53.119010063496226</v>
      </c>
      <c r="AD64" s="74">
        <f ca="1">IF(V64="","",DATE(INDEX(OFFSET(Arb!$C$2,,,Arb!$AJ$5,),V64),INDEX(OFFSET(Arb!$B$2,,,Arb!$AJ$5,),V64),INDEX(OFFSET(Arb!$A$2,,,Arb!$AJ$5,),V64))+ROW()*0.001)</f>
        <v>44153.063999999998</v>
      </c>
    </row>
    <row r="65" spans="1:30" x14ac:dyDescent="0.25">
      <c r="A65" s="11">
        <v>64</v>
      </c>
      <c r="B65" s="11">
        <v>423</v>
      </c>
      <c r="C65" s="433">
        <f ca="1">IF(B65="",16,INDEX(OFFSET(Arb!$I$2,,,Arb!$AJ$5,),B65))</f>
        <v>12</v>
      </c>
      <c r="D65" s="34">
        <f ca="1">IF(B65="",10,INDEX(OFFSET(Arb!$H$2,,,Arb!$AJ$5,),B65))</f>
        <v>3.79</v>
      </c>
      <c r="E65" s="33">
        <f t="shared" ca="1" si="0"/>
        <v>3.1662269129287597</v>
      </c>
      <c r="F65" s="33">
        <f ca="1">IF(B65="","",INDEX(OFFSET(Arb!$X$2,,,Arb!$AJ$5,),B65)/D65)</f>
        <v>3.6939313984168867</v>
      </c>
      <c r="G65" s="33">
        <f ca="1">IF(B65="","",(INDEX(OFFSET(Arb!$U$2,,,Arb!$AJ$5,),B65)+INDEX(OFFSET(Arb!$V$2,,,Arb!$AJ$5,),B65))/D65)</f>
        <v>4.4854881266490763</v>
      </c>
      <c r="H65" s="33">
        <f t="shared" ca="1" si="1"/>
        <v>0.80261156059054628</v>
      </c>
      <c r="I65" s="21">
        <f t="shared" ca="1" si="2"/>
        <v>58.93137144099731</v>
      </c>
      <c r="J65" s="74">
        <f ca="1">IF(B65="","",DATE(INDEX(OFFSET(Arb!$C$2,,,Arb!$AJ$5,),B65),INDEX(OFFSET(Arb!$B$2,,,Arb!$AJ$5,),B65),INDEX(OFFSET(Arb!$A$2,,,Arb!$AJ$5,),B65))+ROW()*0.001)</f>
        <v>43781.065000000002</v>
      </c>
      <c r="K65" s="11">
        <v>64</v>
      </c>
      <c r="L65" s="11">
        <v>2142</v>
      </c>
      <c r="M65" s="433">
        <f ca="1">IF(L65="",64,INDEX(OFFSET(Arb!$I$2,,,Arb!$AJ$5,),L65))</f>
        <v>59</v>
      </c>
      <c r="N65" s="34">
        <f ca="1">IF(L65="",60,INDEX(OFFSET(Arb!$H$2,,,Arb!$AJ$5,),L65))</f>
        <v>21.36</v>
      </c>
      <c r="O65" s="33">
        <f t="shared" ca="1" si="3"/>
        <v>2.762172284644195</v>
      </c>
      <c r="P65" s="33">
        <f ca="1">IF(L65="","",INDEX(OFFSET(Arb!$X$2,,,Arb!$AJ$5,),L65)/N65)</f>
        <v>3.0430711610486894</v>
      </c>
      <c r="Q65" s="33">
        <f ca="1">IF(L65="","",(INDEX(OFFSET(Arb!$U$2,,,Arb!$AJ$5,),L65)+INDEX(OFFSET(Arb!$V$2,,,Arb!$AJ$5,),L65))/N65)</f>
        <v>3.464419475655431</v>
      </c>
      <c r="R65" s="33">
        <f t="shared" ca="1" si="4"/>
        <v>3.0865272144042475</v>
      </c>
      <c r="S65" s="21">
        <f t="shared" ca="1" si="5"/>
        <v>49.806785853878338</v>
      </c>
      <c r="T65" s="74">
        <f ca="1">IF(L65="","",DATE(INDEX(OFFSET(Arb!$C$2,,,Arb!$AJ$5,),L65),INDEX(OFFSET(Arb!$B$2,,,Arb!$AJ$5,),L65),INDEX(OFFSET(Arb!$A$2,,,Arb!$AJ$5,),L65))+ROW()*0.001)</f>
        <v>43817.065000000002</v>
      </c>
      <c r="U65" s="11">
        <v>64</v>
      </c>
      <c r="V65" s="11">
        <v>2815</v>
      </c>
      <c r="W65" s="433">
        <f ca="1">IF(V65="",164,INDEX(OFFSET(Arb!$I$2,,,Arb!$AJ$5,),V65))</f>
        <v>152</v>
      </c>
      <c r="X65" s="34">
        <f ca="1">IF(V65="",240,INDEX(OFFSET(Arb!$H$2,,,Arb!$AJ$5,),V65))</f>
        <v>65.91</v>
      </c>
      <c r="Y65" s="33">
        <f t="shared" ca="1" si="6"/>
        <v>2.3061750872401761</v>
      </c>
      <c r="Z65" s="33">
        <f ca="1">IF(V65="","",INDEX(OFFSET(Arb!$X$2,,,Arb!$AJ$5,),V65)/X65)</f>
        <v>2.7309968138370508</v>
      </c>
      <c r="AA65" s="33">
        <f ca="1">IF(V65="","",(INDEX(OFFSET(Arb!$U$2,,,Arb!$AJ$5,),V65)+INDEX(OFFSET(Arb!$V$2,,,Arb!$AJ$5,),V65))/X65)</f>
        <v>2.9737520861781217</v>
      </c>
      <c r="AB65" s="33">
        <f t="shared" ca="1" si="7"/>
        <v>8.135301294192578</v>
      </c>
      <c r="AC65" s="21">
        <f t="shared" ca="1" si="8"/>
        <v>53.47079158709554</v>
      </c>
      <c r="AD65" s="74">
        <f ca="1">IF(V65="","",DATE(INDEX(OFFSET(Arb!$C$2,,,Arb!$AJ$5,),V65),INDEX(OFFSET(Arb!$B$2,,,Arb!$AJ$5,),V65),INDEX(OFFSET(Arb!$A$2,,,Arb!$AJ$5,),V65))+ROW()*0.001)</f>
        <v>43898.065000000002</v>
      </c>
    </row>
    <row r="66" spans="1:30" x14ac:dyDescent="0.25">
      <c r="A66" s="11">
        <v>65</v>
      </c>
      <c r="B66" s="11">
        <v>1827</v>
      </c>
      <c r="C66" s="433">
        <f ca="1">IF(B66="",16,INDEX(OFFSET(Arb!$I$2,,,Arb!$AJ$5,),B66))</f>
        <v>11</v>
      </c>
      <c r="D66" s="34">
        <f ca="1">IF(B66="",10,INDEX(OFFSET(Arb!$H$2,,,Arb!$AJ$5,),B66))</f>
        <v>3.8</v>
      </c>
      <c r="E66" s="33">
        <f t="shared" ca="1" si="0"/>
        <v>2.8947368421052633</v>
      </c>
      <c r="F66" s="33">
        <f ca="1">IF(B66="","",INDEX(OFFSET(Arb!$X$2,,,Arb!$AJ$5,),B66)/D66)</f>
        <v>3.9473684210526319</v>
      </c>
      <c r="G66" s="33">
        <f ca="1">IF(B66="","",(INDEX(OFFSET(Arb!$U$2,,,Arb!$AJ$5,),B66)+INDEX(OFFSET(Arb!$V$2,,,Arb!$AJ$5,),B66))/D66)</f>
        <v>4.2105263157894735</v>
      </c>
      <c r="H66" s="33">
        <f t="shared" ca="1" si="1"/>
        <v>0.87950726069924035</v>
      </c>
      <c r="I66" s="21">
        <f t="shared" ca="1" si="2"/>
        <v>53.77897615352893</v>
      </c>
      <c r="J66" s="74">
        <f ca="1">IF(B66="","",DATE(INDEX(OFFSET(Arb!$C$2,,,Arb!$AJ$5,),B66),INDEX(OFFSET(Arb!$B$2,,,Arb!$AJ$5,),B66),INDEX(OFFSET(Arb!$A$2,,,Arb!$AJ$5,),B66))+ROW()*0.001)</f>
        <v>44168.065999999999</v>
      </c>
      <c r="K66" s="11">
        <v>65</v>
      </c>
      <c r="L66" s="11">
        <v>2274</v>
      </c>
      <c r="M66" s="433">
        <f ca="1">IF(L66="",64,INDEX(OFFSET(Arb!$I$2,,,Arb!$AJ$5,),L66))</f>
        <v>52</v>
      </c>
      <c r="N66" s="34">
        <f ca="1">IF(L66="",60,INDEX(OFFSET(Arb!$H$2,,,Arb!$AJ$5,),L66))</f>
        <v>21.37</v>
      </c>
      <c r="O66" s="33">
        <f t="shared" ca="1" si="3"/>
        <v>2.4333177351427233</v>
      </c>
      <c r="P66" s="33">
        <f ca="1">IF(L66="","",INDEX(OFFSET(Arb!$X$2,,,Arb!$AJ$5,),L66)/N66)</f>
        <v>3.4160037435657462</v>
      </c>
      <c r="Q66" s="33">
        <f ca="1">IF(L66="","",(INDEX(OFFSET(Arb!$U$2,,,Arb!$AJ$5,),L66)+INDEX(OFFSET(Arb!$V$2,,,Arb!$AJ$5,),L66))/N66)</f>
        <v>3.9307440336920916</v>
      </c>
      <c r="R66" s="33">
        <f t="shared" ca="1" si="4"/>
        <v>3.5048089083851459</v>
      </c>
      <c r="S66" s="21">
        <f t="shared" ca="1" si="5"/>
        <v>43.86259109083116</v>
      </c>
      <c r="T66" s="74">
        <f ca="1">IF(L66="","",DATE(INDEX(OFFSET(Arb!$C$2,,,Arb!$AJ$5,),L66),INDEX(OFFSET(Arb!$B$2,,,Arb!$AJ$5,),L66),INDEX(OFFSET(Arb!$A$2,,,Arb!$AJ$5,),L66))+ROW()*0.001)</f>
        <v>43934.065999999999</v>
      </c>
      <c r="U66" s="11">
        <v>65</v>
      </c>
      <c r="V66" s="11">
        <v>3042</v>
      </c>
      <c r="W66" s="433">
        <f ca="1">IF(V66="",164,INDEX(OFFSET(Arb!$I$2,,,Arb!$AJ$5,),V66))</f>
        <v>137</v>
      </c>
      <c r="X66" s="34">
        <f ca="1">IF(V66="",240,INDEX(OFFSET(Arb!$H$2,,,Arb!$AJ$5,),V66))</f>
        <v>65.94</v>
      </c>
      <c r="Y66" s="33">
        <f t="shared" ca="1" si="6"/>
        <v>2.0776463451622686</v>
      </c>
      <c r="Z66" s="33">
        <f ca="1">IF(V66="","",INDEX(OFFSET(Arb!$X$2,,,Arb!$AJ$5,),V66)/X66)</f>
        <v>2.4567788898999092</v>
      </c>
      <c r="AA66" s="33">
        <f ca="1">IF(V66="","",(INDEX(OFFSET(Arb!$U$2,,,Arb!$AJ$5,),V66)+INDEX(OFFSET(Arb!$V$2,,,Arb!$AJ$5,),V66))/X66)</f>
        <v>2.8207461328480439</v>
      </c>
      <c r="AB66" s="33">
        <f t="shared" ca="1" si="7"/>
        <v>9.0330130075136736</v>
      </c>
      <c r="AC66" s="21">
        <f t="shared" ca="1" si="8"/>
        <v>48.156799911410012</v>
      </c>
      <c r="AD66" s="74">
        <f ca="1">IF(V66="","",DATE(INDEX(OFFSET(Arb!$C$2,,,Arb!$AJ$5,),V66),INDEX(OFFSET(Arb!$B$2,,,Arb!$AJ$5,),V66),INDEX(OFFSET(Arb!$A$2,,,Arb!$AJ$5,),V66))+ROW()*0.001)</f>
        <v>43980.065999999999</v>
      </c>
    </row>
    <row r="67" spans="1:30" x14ac:dyDescent="0.25">
      <c r="A67" s="11">
        <v>66</v>
      </c>
      <c r="B67" s="11">
        <v>798</v>
      </c>
      <c r="C67" s="433">
        <f ca="1">IF(B67="",16,INDEX(OFFSET(Arb!$I$2,,,Arb!$AJ$5,),B67))</f>
        <v>14</v>
      </c>
      <c r="D67" s="34">
        <f ca="1">IF(B67="",10,INDEX(OFFSET(Arb!$H$2,,,Arb!$AJ$5,),B67))</f>
        <v>3.8</v>
      </c>
      <c r="E67" s="33">
        <f t="shared" ref="E67:E130" ca="1" si="9">C67/D67</f>
        <v>3.6842105263157898</v>
      </c>
      <c r="F67" s="33">
        <f ca="1">IF(B67="","",INDEX(OFFSET(Arb!$X$2,,,Arb!$AJ$5,),B67)/D67)</f>
        <v>3.6842105263157898</v>
      </c>
      <c r="G67" s="33">
        <f ca="1">IF(B67="","",(INDEX(OFFSET(Arb!$U$2,,,Arb!$AJ$5,),B67)+INDEX(OFFSET(Arb!$V$2,,,Arb!$AJ$5,),B67))/D67)</f>
        <v>4.7368421052631584</v>
      </c>
      <c r="H67" s="33">
        <f t="shared" ref="H67:H130" ca="1" si="10">D67^1.7/C67</f>
        <v>0.69104141912083172</v>
      </c>
      <c r="I67" s="21">
        <f t="shared" ref="I67:I130" ca="1" si="11">47.299/H67</f>
        <v>68.445969649945908</v>
      </c>
      <c r="J67" s="74">
        <f ca="1">IF(B67="","",DATE(INDEX(OFFSET(Arb!$C$2,,,Arb!$AJ$5,),B67),INDEX(OFFSET(Arb!$B$2,,,Arb!$AJ$5,),B67),INDEX(OFFSET(Arb!$A$2,,,Arb!$AJ$5,),B67))+ROW()*0.001)</f>
        <v>43811.067000000003</v>
      </c>
      <c r="K67" s="11">
        <v>66</v>
      </c>
      <c r="L67" s="11">
        <v>2288</v>
      </c>
      <c r="M67" s="433">
        <f ca="1">IF(L67="",64,INDEX(OFFSET(Arb!$I$2,,,Arb!$AJ$5,),L67))</f>
        <v>54</v>
      </c>
      <c r="N67" s="34">
        <f ca="1">IF(L67="",60,INDEX(OFFSET(Arb!$H$2,,,Arb!$AJ$5,),L67))</f>
        <v>21.38</v>
      </c>
      <c r="O67" s="33">
        <f t="shared" ref="O67:O130" ca="1" si="12">M67/N67</f>
        <v>2.5257249766136578</v>
      </c>
      <c r="P67" s="33">
        <f ca="1">IF(L67="","",INDEX(OFFSET(Arb!$X$2,,,Arb!$AJ$5,),L67)/N67)</f>
        <v>3.3676333021515434</v>
      </c>
      <c r="Q67" s="33">
        <f ca="1">IF(L67="","",(INDEX(OFFSET(Arb!$U$2,,,Arb!$AJ$5,),L67)+INDEX(OFFSET(Arb!$V$2,,,Arb!$AJ$5,),L67))/N67)</f>
        <v>4.0224508886810106</v>
      </c>
      <c r="R67" s="33">
        <f t="shared" ref="R67:R130" ca="1" si="13">N67^1.7/M67</f>
        <v>3.3776864502329706</v>
      </c>
      <c r="S67" s="21">
        <f t="shared" ref="S67:S130" ca="1" si="14">153.73/R67</f>
        <v>45.51340163306061</v>
      </c>
      <c r="T67" s="74">
        <f ca="1">IF(L67="","",DATE(INDEX(OFFSET(Arb!$C$2,,,Arb!$AJ$5,),L67),INDEX(OFFSET(Arb!$B$2,,,Arb!$AJ$5,),L67),INDEX(OFFSET(Arb!$A$2,,,Arb!$AJ$5,),L67))+ROW()*0.001)</f>
        <v>43937.067000000003</v>
      </c>
      <c r="U67" s="11">
        <v>66</v>
      </c>
      <c r="V67" s="11">
        <v>3353</v>
      </c>
      <c r="W67" s="433">
        <f ca="1">IF(V67="",164,INDEX(OFFSET(Arb!$I$2,,,Arb!$AJ$5,),V67))</f>
        <v>181</v>
      </c>
      <c r="X67" s="34">
        <f ca="1">IF(V67="",240,INDEX(OFFSET(Arb!$H$2,,,Arb!$AJ$5,),V67))</f>
        <v>65.95</v>
      </c>
      <c r="Y67" s="33">
        <f t="shared" ref="Y67:Y130" ca="1" si="15">W67/X67</f>
        <v>2.7445034116755118</v>
      </c>
      <c r="Z67" s="33">
        <f ca="1">IF(V67="","",INDEX(OFFSET(Arb!$X$2,,,Arb!$AJ$5,),V67)/X67)</f>
        <v>3.3510235026535251</v>
      </c>
      <c r="AA67" s="33">
        <f ca="1">IF(V67="","",(INDEX(OFFSET(Arb!$U$2,,,Arb!$AJ$5,),V67)+INDEX(OFFSET(Arb!$V$2,,,Arb!$AJ$5,),V67))/X67)</f>
        <v>3.821076573161486</v>
      </c>
      <c r="AB67" s="33">
        <f t="shared" ref="AB67:AB130" ca="1" si="16">X67^1.7/W67</f>
        <v>6.8389052202952882</v>
      </c>
      <c r="AC67" s="21">
        <f t="shared" ref="AC67:AC130" ca="1" si="17">435.001/AB67</f>
        <v>63.60681804875454</v>
      </c>
      <c r="AD67" s="74">
        <f ca="1">IF(V67="","",DATE(INDEX(OFFSET(Arb!$C$2,,,Arb!$AJ$5,),V67),INDEX(OFFSET(Arb!$B$2,,,Arb!$AJ$5,),V67),INDEX(OFFSET(Arb!$A$2,,,Arb!$AJ$5,),V67))+ROW()*0.001)</f>
        <v>44098.067000000003</v>
      </c>
    </row>
    <row r="68" spans="1:30" x14ac:dyDescent="0.25">
      <c r="A68" s="11">
        <v>67</v>
      </c>
      <c r="B68" s="11">
        <v>1273</v>
      </c>
      <c r="C68" s="433">
        <f ca="1">IF(B68="",16,INDEX(OFFSET(Arb!$I$2,,,Arb!$AJ$5,),B68))</f>
        <v>12</v>
      </c>
      <c r="D68" s="34">
        <f ca="1">IF(B68="",10,INDEX(OFFSET(Arb!$H$2,,,Arb!$AJ$5,),B68))</f>
        <v>3.81</v>
      </c>
      <c r="E68" s="33">
        <f t="shared" ca="1" si="9"/>
        <v>3.1496062992125982</v>
      </c>
      <c r="F68" s="33">
        <f ca="1">IF(B68="","",INDEX(OFFSET(Arb!$X$2,,,Arb!$AJ$5,),B68)/D68)</f>
        <v>4.4619422572178475</v>
      </c>
      <c r="G68" s="33">
        <f ca="1">IF(B68="","",(INDEX(OFFSET(Arb!$U$2,,,Arb!$AJ$5,),B68)+INDEX(OFFSET(Arb!$V$2,,,Arb!$AJ$5,),B68))/D68)</f>
        <v>6.0367454068241466</v>
      </c>
      <c r="H68" s="33">
        <f t="shared" ca="1" si="10"/>
        <v>0.80982506137504762</v>
      </c>
      <c r="I68" s="21">
        <f t="shared" ca="1" si="11"/>
        <v>58.406441410553981</v>
      </c>
      <c r="J68" s="74">
        <f ca="1">IF(B68="","",DATE(INDEX(OFFSET(Arb!$C$2,,,Arb!$AJ$5,),B68),INDEX(OFFSET(Arb!$B$2,,,Arb!$AJ$5,),B68),INDEX(OFFSET(Arb!$A$2,,,Arb!$AJ$5,),B68))+ROW()*0.001)</f>
        <v>43906.067999999999</v>
      </c>
      <c r="K68" s="11">
        <v>67</v>
      </c>
      <c r="L68" s="11">
        <v>2190</v>
      </c>
      <c r="M68" s="433">
        <f ca="1">IF(L68="",64,INDEX(OFFSET(Arb!$I$2,,,Arb!$AJ$5,),L68))</f>
        <v>46</v>
      </c>
      <c r="N68" s="34">
        <f ca="1">IF(L68="",60,INDEX(OFFSET(Arb!$H$2,,,Arb!$AJ$5,),L68))</f>
        <v>21.38</v>
      </c>
      <c r="O68" s="33">
        <f t="shared" ca="1" si="12"/>
        <v>2.1515434985968196</v>
      </c>
      <c r="P68" s="33">
        <f ca="1">IF(L68="","",INDEX(OFFSET(Arb!$X$2,,,Arb!$AJ$5,),L68)/N68)</f>
        <v>3.0869971936389149</v>
      </c>
      <c r="Q68" s="33">
        <f ca="1">IF(L68="","",(INDEX(OFFSET(Arb!$U$2,,,Arb!$AJ$5,),L68)+INDEX(OFFSET(Arb!$V$2,,,Arb!$AJ$5,),L68))/N68)</f>
        <v>3.6014967259120674</v>
      </c>
      <c r="R68" s="33">
        <f t="shared" ca="1" si="13"/>
        <v>3.9651101807082698</v>
      </c>
      <c r="S68" s="21">
        <f t="shared" ca="1" si="14"/>
        <v>38.77067546519978</v>
      </c>
      <c r="T68" s="74">
        <f ca="1">IF(L68="","",DATE(INDEX(OFFSET(Arb!$C$2,,,Arb!$AJ$5,),L68),INDEX(OFFSET(Arb!$B$2,,,Arb!$AJ$5,),L68),INDEX(OFFSET(Arb!$A$2,,,Arb!$AJ$5,),L68))+ROW()*0.001)</f>
        <v>43852.067999999999</v>
      </c>
      <c r="U68" s="11">
        <v>67</v>
      </c>
      <c r="V68" s="11">
        <v>2696</v>
      </c>
      <c r="W68" s="433">
        <f ca="1">IF(V68="",164,INDEX(OFFSET(Arb!$I$2,,,Arb!$AJ$5,),V68))</f>
        <v>137</v>
      </c>
      <c r="X68" s="34">
        <f ca="1">IF(V68="",240,INDEX(OFFSET(Arb!$H$2,,,Arb!$AJ$5,),V68))</f>
        <v>65.98</v>
      </c>
      <c r="Y68" s="33">
        <f t="shared" ca="1" si="15"/>
        <v>2.0763867838739012</v>
      </c>
      <c r="Z68" s="33">
        <f ca="1">IF(V68="","",INDEX(OFFSET(Arb!$X$2,,,Arb!$AJ$5,),V68)/X68)</f>
        <v>2.3795089421036675</v>
      </c>
      <c r="AA68" s="33">
        <f ca="1">IF(V68="","",(INDEX(OFFSET(Arb!$U$2,,,Arb!$AJ$5,),V68)+INDEX(OFFSET(Arb!$V$2,,,Arb!$AJ$5,),V68))/X68)</f>
        <v>2.6220066686874808</v>
      </c>
      <c r="AB68" s="33">
        <f t="shared" ca="1" si="16"/>
        <v>9.0423301941913845</v>
      </c>
      <c r="AC68" s="21">
        <f t="shared" ca="1" si="17"/>
        <v>48.107179306439846</v>
      </c>
      <c r="AD68" s="74">
        <f ca="1">IF(V68="","",DATE(INDEX(OFFSET(Arb!$C$2,,,Arb!$AJ$5,),V68),INDEX(OFFSET(Arb!$B$2,,,Arb!$AJ$5,),V68),INDEX(OFFSET(Arb!$A$2,,,Arb!$AJ$5,),V68))+ROW()*0.001)</f>
        <v>43841.067999999999</v>
      </c>
    </row>
    <row r="69" spans="1:30" x14ac:dyDescent="0.25">
      <c r="A69" s="11">
        <v>68</v>
      </c>
      <c r="B69" s="11">
        <v>808</v>
      </c>
      <c r="C69" s="433">
        <f ca="1">IF(B69="",16,INDEX(OFFSET(Arb!$I$2,,,Arb!$AJ$5,),B69))</f>
        <v>10</v>
      </c>
      <c r="D69" s="34">
        <f ca="1">IF(B69="",10,INDEX(OFFSET(Arb!$H$2,,,Arb!$AJ$5,),B69))</f>
        <v>3.81</v>
      </c>
      <c r="E69" s="33">
        <f t="shared" ca="1" si="9"/>
        <v>2.6246719160104988</v>
      </c>
      <c r="F69" s="33">
        <f ca="1">IF(B69="","",INDEX(OFFSET(Arb!$X$2,,,Arb!$AJ$5,),B69)/D69)</f>
        <v>2.6246719160104988</v>
      </c>
      <c r="G69" s="33">
        <f ca="1">IF(B69="","",(INDEX(OFFSET(Arb!$U$2,,,Arb!$AJ$5,),B69)+INDEX(OFFSET(Arb!$V$2,,,Arb!$AJ$5,),B69))/D69)</f>
        <v>2.6246719160104988</v>
      </c>
      <c r="H69" s="33">
        <f t="shared" ca="1" si="10"/>
        <v>0.9717900736500571</v>
      </c>
      <c r="I69" s="21">
        <f t="shared" ca="1" si="11"/>
        <v>48.672034508794987</v>
      </c>
      <c r="J69" s="74">
        <f ca="1">IF(B69="","",DATE(INDEX(OFFSET(Arb!$C$2,,,Arb!$AJ$5,),B69),INDEX(OFFSET(Arb!$B$2,,,Arb!$AJ$5,),B69),INDEX(OFFSET(Arb!$A$2,,,Arb!$AJ$5,),B69))+ROW()*0.001)</f>
        <v>43811.069000000003</v>
      </c>
      <c r="K69" s="11">
        <v>68</v>
      </c>
      <c r="L69" s="11">
        <v>2189</v>
      </c>
      <c r="M69" s="433">
        <f ca="1">IF(L69="",64,INDEX(OFFSET(Arb!$I$2,,,Arb!$AJ$5,),L69))</f>
        <v>41</v>
      </c>
      <c r="N69" s="34">
        <f ca="1">IF(L69="",60,INDEX(OFFSET(Arb!$H$2,,,Arb!$AJ$5,),L69))</f>
        <v>21.43</v>
      </c>
      <c r="O69" s="33">
        <f t="shared" ca="1" si="12"/>
        <v>1.9132057862809146</v>
      </c>
      <c r="P69" s="33">
        <f ca="1">IF(L69="","",INDEX(OFFSET(Arb!$X$2,,,Arb!$AJ$5,),L69)/N69)</f>
        <v>2.7531497900139992</v>
      </c>
      <c r="Q69" s="33">
        <f ca="1">IF(L69="","",(INDEX(OFFSET(Arb!$U$2,,,Arb!$AJ$5,),L69)+INDEX(OFFSET(Arb!$V$2,,,Arb!$AJ$5,),L69))/N69)</f>
        <v>3.4997666822211855</v>
      </c>
      <c r="R69" s="33">
        <f t="shared" ca="1" si="13"/>
        <v>4.4663611175086908</v>
      </c>
      <c r="S69" s="21">
        <f t="shared" ca="1" si="14"/>
        <v>34.419518698870824</v>
      </c>
      <c r="T69" s="74">
        <f ca="1">IF(L69="","",DATE(INDEX(OFFSET(Arb!$C$2,,,Arb!$AJ$5,),L69),INDEX(OFFSET(Arb!$B$2,,,Arb!$AJ$5,),L69),INDEX(OFFSET(Arb!$A$2,,,Arb!$AJ$5,),L69))+ROW()*0.001)</f>
        <v>43840.069000000003</v>
      </c>
      <c r="U69" s="11">
        <v>68</v>
      </c>
      <c r="V69" s="11">
        <v>3072</v>
      </c>
      <c r="W69" s="433">
        <f ca="1">IF(V69="",164,INDEX(OFFSET(Arb!$I$2,,,Arb!$AJ$5,),V69))</f>
        <v>157</v>
      </c>
      <c r="X69" s="34">
        <f ca="1">IF(V69="",240,INDEX(OFFSET(Arb!$H$2,,,Arb!$AJ$5,),V69))</f>
        <v>66</v>
      </c>
      <c r="Y69" s="33">
        <f t="shared" ca="1" si="15"/>
        <v>2.3787878787878789</v>
      </c>
      <c r="Z69" s="33">
        <f ca="1">IF(V69="","",INDEX(OFFSET(Arb!$X$2,,,Arb!$AJ$5,),V69)/X69)</f>
        <v>2.893939393939394</v>
      </c>
      <c r="AA69" s="33">
        <f ca="1">IF(V69="","",(INDEX(OFFSET(Arb!$U$2,,,Arb!$AJ$5,),V69)+INDEX(OFFSET(Arb!$V$2,,,Arb!$AJ$5,),V69))/X69)</f>
        <v>3.2424242424242422</v>
      </c>
      <c r="AB69" s="33">
        <f t="shared" ca="1" si="16"/>
        <v>7.8945074335973944</v>
      </c>
      <c r="AC69" s="21">
        <f t="shared" ca="1" si="17"/>
        <v>55.10172783532073</v>
      </c>
      <c r="AD69" s="74">
        <f ca="1">IF(V69="","",DATE(INDEX(OFFSET(Arb!$C$2,,,Arb!$AJ$5,),V69),INDEX(OFFSET(Arb!$B$2,,,Arb!$AJ$5,),V69),INDEX(OFFSET(Arb!$A$2,,,Arb!$AJ$5,),V69))+ROW()*0.001)</f>
        <v>44003.069000000003</v>
      </c>
    </row>
    <row r="70" spans="1:30" x14ac:dyDescent="0.25">
      <c r="A70" s="11">
        <v>69</v>
      </c>
      <c r="B70" s="11">
        <v>447</v>
      </c>
      <c r="C70" s="433">
        <f ca="1">IF(B70="",16,INDEX(OFFSET(Arb!$I$2,,,Arb!$AJ$5,),B70))</f>
        <v>10</v>
      </c>
      <c r="D70" s="34">
        <f ca="1">IF(B70="",10,INDEX(OFFSET(Arb!$H$2,,,Arb!$AJ$5,),B70))</f>
        <v>3.81</v>
      </c>
      <c r="E70" s="33">
        <f t="shared" ca="1" si="9"/>
        <v>2.6246719160104988</v>
      </c>
      <c r="F70" s="33">
        <f ca="1">IF(B70="","",INDEX(OFFSET(Arb!$X$2,,,Arb!$AJ$5,),B70)/D70)</f>
        <v>3.674540682414698</v>
      </c>
      <c r="G70" s="33">
        <f ca="1">IF(B70="","",(INDEX(OFFSET(Arb!$U$2,,,Arb!$AJ$5,),B70)+INDEX(OFFSET(Arb!$V$2,,,Arb!$AJ$5,),B70))/D70)</f>
        <v>4.1994750656167978</v>
      </c>
      <c r="H70" s="33">
        <f t="shared" ca="1" si="10"/>
        <v>0.9717900736500571</v>
      </c>
      <c r="I70" s="21">
        <f t="shared" ca="1" si="11"/>
        <v>48.672034508794987</v>
      </c>
      <c r="J70" s="74">
        <f ca="1">IF(B70="","",DATE(INDEX(OFFSET(Arb!$C$2,,,Arb!$AJ$5,),B70),INDEX(OFFSET(Arb!$B$2,,,Arb!$AJ$5,),B70),INDEX(OFFSET(Arb!$A$2,,,Arb!$AJ$5,),B70))+ROW()*0.001)</f>
        <v>43782.07</v>
      </c>
      <c r="K70" s="11">
        <v>69</v>
      </c>
      <c r="L70" s="11">
        <v>2342</v>
      </c>
      <c r="M70" s="433">
        <f ca="1">IF(L70="",64,INDEX(OFFSET(Arb!$I$2,,,Arb!$AJ$5,),L70))</f>
        <v>62</v>
      </c>
      <c r="N70" s="34">
        <f ca="1">IF(L70="",60,INDEX(OFFSET(Arb!$H$2,,,Arb!$AJ$5,),L70))</f>
        <v>21.45</v>
      </c>
      <c r="O70" s="33">
        <f t="shared" ca="1" si="12"/>
        <v>2.8904428904428907</v>
      </c>
      <c r="P70" s="33">
        <f ca="1">IF(L70="","",INDEX(OFFSET(Arb!$X$2,,,Arb!$AJ$5,),L70)/N70)</f>
        <v>3.4032634032634035</v>
      </c>
      <c r="Q70" s="33">
        <f ca="1">IF(L70="","",(INDEX(OFFSET(Arb!$U$2,,,Arb!$AJ$5,),L70)+INDEX(OFFSET(Arb!$V$2,,,Arb!$AJ$5,),L70))/N70)</f>
        <v>3.6829836829836831</v>
      </c>
      <c r="R70" s="33">
        <f t="shared" ca="1" si="13"/>
        <v>2.9582489196716182</v>
      </c>
      <c r="S70" s="21">
        <f t="shared" ca="1" si="14"/>
        <v>51.966553246325482</v>
      </c>
      <c r="T70" s="74">
        <f ca="1">IF(L70="","",DATE(INDEX(OFFSET(Arb!$C$2,,,Arb!$AJ$5,),L70),INDEX(OFFSET(Arb!$B$2,,,Arb!$AJ$5,),L70),INDEX(OFFSET(Arb!$A$2,,,Arb!$AJ$5,),L70))+ROW()*0.001)</f>
        <v>44106.07</v>
      </c>
      <c r="U70" s="11">
        <v>69</v>
      </c>
      <c r="V70" s="11">
        <v>3355</v>
      </c>
      <c r="W70" s="433">
        <f ca="1">IF(V70="",164,INDEX(OFFSET(Arb!$I$2,,,Arb!$AJ$5,),V70))</f>
        <v>137</v>
      </c>
      <c r="X70" s="34">
        <f ca="1">IF(V70="",240,INDEX(OFFSET(Arb!$H$2,,,Arb!$AJ$5,),V70))</f>
        <v>66.010000000000005</v>
      </c>
      <c r="Y70" s="33">
        <f t="shared" ca="1" si="15"/>
        <v>2.0754431146795937</v>
      </c>
      <c r="Z70" s="33">
        <f ca="1">IF(V70="","",INDEX(OFFSET(Arb!$X$2,,,Arb!$AJ$5,),V70)/X70)</f>
        <v>2.605665808210877</v>
      </c>
      <c r="AA70" s="33">
        <f ca="1">IF(V70="","",(INDEX(OFFSET(Arb!$U$2,,,Arb!$AJ$5,),V70)+INDEX(OFFSET(Arb!$V$2,,,Arb!$AJ$5,),V70))/X70)</f>
        <v>2.9086502045144673</v>
      </c>
      <c r="AB70" s="33">
        <f t="shared" ca="1" si="16"/>
        <v>9.0493206795655148</v>
      </c>
      <c r="AC70" s="21">
        <f t="shared" ca="1" si="17"/>
        <v>48.070017120985227</v>
      </c>
      <c r="AD70" s="74">
        <f ca="1">IF(V70="","",DATE(INDEX(OFFSET(Arb!$C$2,,,Arb!$AJ$5,),V70),INDEX(OFFSET(Arb!$B$2,,,Arb!$AJ$5,),V70),INDEX(OFFSET(Arb!$A$2,,,Arb!$AJ$5,),V70))+ROW()*0.001)</f>
        <v>44099.07</v>
      </c>
    </row>
    <row r="71" spans="1:30" x14ac:dyDescent="0.25">
      <c r="A71" s="11">
        <v>70</v>
      </c>
      <c r="B71" s="11">
        <v>16</v>
      </c>
      <c r="C71" s="433">
        <f ca="1">IF(B71="",16,INDEX(OFFSET(Arb!$I$2,,,Arb!$AJ$5,),B71))</f>
        <v>13</v>
      </c>
      <c r="D71" s="34">
        <f ca="1">IF(B71="",10,INDEX(OFFSET(Arb!$H$2,,,Arb!$AJ$5,),B71))</f>
        <v>3.81</v>
      </c>
      <c r="E71" s="33">
        <f t="shared" ca="1" si="9"/>
        <v>3.4120734908136483</v>
      </c>
      <c r="F71" s="33">
        <f ca="1">IF(B71="","",INDEX(OFFSET(Arb!$X$2,,,Arb!$AJ$5,),B71)/D71)</f>
        <v>3.4120734908136483</v>
      </c>
      <c r="G71" s="33">
        <f ca="1">IF(B71="","",(INDEX(OFFSET(Arb!$U$2,,,Arb!$AJ$5,),B71)+INDEX(OFFSET(Arb!$V$2,,,Arb!$AJ$5,),B71))/D71)</f>
        <v>3.9370078740157481</v>
      </c>
      <c r="H71" s="33">
        <f t="shared" ca="1" si="10"/>
        <v>0.74753082588465936</v>
      </c>
      <c r="I71" s="21">
        <f t="shared" ca="1" si="11"/>
        <v>63.273644861433475</v>
      </c>
      <c r="J71" s="74">
        <f ca="1">IF(B71="","",DATE(INDEX(OFFSET(Arb!$C$2,,,Arb!$AJ$5,),B71),INDEX(OFFSET(Arb!$B$2,,,Arb!$AJ$5,),B71),INDEX(OFFSET(Arb!$A$2,,,Arb!$AJ$5,),B71))+ROW()*0.001)</f>
        <v>43765.071000000004</v>
      </c>
      <c r="K71" s="11">
        <v>70</v>
      </c>
      <c r="L71" s="11">
        <v>2174</v>
      </c>
      <c r="M71" s="433">
        <f ca="1">IF(L71="",64,INDEX(OFFSET(Arb!$I$2,,,Arb!$AJ$5,),L71))</f>
        <v>50</v>
      </c>
      <c r="N71" s="34">
        <f ca="1">IF(L71="",60,INDEX(OFFSET(Arb!$H$2,,,Arb!$AJ$5,),L71))</f>
        <v>21.46</v>
      </c>
      <c r="O71" s="33">
        <f t="shared" ca="1" si="12"/>
        <v>2.3299161230195713</v>
      </c>
      <c r="P71" s="33">
        <f ca="1">IF(L71="","",INDEX(OFFSET(Arb!$X$2,,,Arb!$AJ$5,),L71)/N71)</f>
        <v>3.1686859273066168</v>
      </c>
      <c r="Q71" s="33">
        <f ca="1">IF(L71="","",(INDEX(OFFSET(Arb!$U$2,,,Arb!$AJ$5,),L71)+INDEX(OFFSET(Arb!$V$2,,,Arb!$AJ$5,),L71))/N71)</f>
        <v>3.8676607642124883</v>
      </c>
      <c r="R71" s="33">
        <f t="shared" ca="1" si="13"/>
        <v>3.6711363555921253</v>
      </c>
      <c r="S71" s="21">
        <f t="shared" ca="1" si="14"/>
        <v>41.875317370281813</v>
      </c>
      <c r="T71" s="74">
        <f ca="1">IF(L71="","",DATE(INDEX(OFFSET(Arb!$C$2,,,Arb!$AJ$5,),L71),INDEX(OFFSET(Arb!$B$2,,,Arb!$AJ$5,),L71),INDEX(OFFSET(Arb!$A$2,,,Arb!$AJ$5,),L71))+ROW()*0.001)</f>
        <v>43840.071000000004</v>
      </c>
      <c r="U71" s="11">
        <v>70</v>
      </c>
      <c r="V71" s="11">
        <v>2691</v>
      </c>
      <c r="W71" s="433">
        <f ca="1">IF(V71="",164,INDEX(OFFSET(Arb!$I$2,,,Arb!$AJ$5,),V71))</f>
        <v>146</v>
      </c>
      <c r="X71" s="34">
        <f ca="1">IF(V71="",240,INDEX(OFFSET(Arb!$H$2,,,Arb!$AJ$5,),V71))</f>
        <v>66.03</v>
      </c>
      <c r="Y71" s="33">
        <f t="shared" ca="1" si="15"/>
        <v>2.2111161593215205</v>
      </c>
      <c r="Z71" s="33">
        <f ca="1">IF(V71="","",INDEX(OFFSET(Arb!$X$2,,,Arb!$AJ$5,),V71)/X71)</f>
        <v>2.862335302135393</v>
      </c>
      <c r="AA71" s="33">
        <f ca="1">IF(V71="","",(INDEX(OFFSET(Arb!$U$2,,,Arb!$AJ$5,),V71)+INDEX(OFFSET(Arb!$V$2,,,Arb!$AJ$5,),V71))/X71)</f>
        <v>3.195517189156444</v>
      </c>
      <c r="AB71" s="33">
        <f t="shared" ca="1" si="16"/>
        <v>8.4958600460612832</v>
      </c>
      <c r="AC71" s="21">
        <f t="shared" ca="1" si="17"/>
        <v>51.20152611290581</v>
      </c>
      <c r="AD71" s="74">
        <f ca="1">IF(V71="","",DATE(INDEX(OFFSET(Arb!$C$2,,,Arb!$AJ$5,),V71),INDEX(OFFSET(Arb!$B$2,,,Arb!$AJ$5,),V71),INDEX(OFFSET(Arb!$A$2,,,Arb!$AJ$5,),V71))+ROW()*0.001)</f>
        <v>43839.071000000004</v>
      </c>
    </row>
    <row r="72" spans="1:30" x14ac:dyDescent="0.25">
      <c r="A72" s="11">
        <v>71</v>
      </c>
      <c r="B72" s="11">
        <v>37</v>
      </c>
      <c r="C72" s="433">
        <f ca="1">IF(B72="",16,INDEX(OFFSET(Arb!$I$2,,,Arb!$AJ$5,),B72))</f>
        <v>11</v>
      </c>
      <c r="D72" s="34">
        <f ca="1">IF(B72="",10,INDEX(OFFSET(Arb!$H$2,,,Arb!$AJ$5,),B72))</f>
        <v>3.82</v>
      </c>
      <c r="E72" s="33">
        <f t="shared" ca="1" si="9"/>
        <v>2.8795811518324608</v>
      </c>
      <c r="F72" s="33">
        <f ca="1">IF(B72="","",INDEX(OFFSET(Arb!$X$2,,,Arb!$AJ$5,),B72)/D72)</f>
        <v>3.4031413612565444</v>
      </c>
      <c r="G72" s="33">
        <f ca="1">IF(B72="","",(INDEX(OFFSET(Arb!$U$2,,,Arb!$AJ$5,),B72)+INDEX(OFFSET(Arb!$V$2,,,Arb!$AJ$5,),B72))/D72)</f>
        <v>3.9267015706806285</v>
      </c>
      <c r="H72" s="33">
        <f t="shared" ca="1" si="10"/>
        <v>0.88739102460703301</v>
      </c>
      <c r="I72" s="21">
        <f t="shared" ca="1" si="11"/>
        <v>53.301192696810979</v>
      </c>
      <c r="J72" s="74">
        <f ca="1">IF(B72="","",DATE(INDEX(OFFSET(Arb!$C$2,,,Arb!$AJ$5,),B72),INDEX(OFFSET(Arb!$B$2,,,Arb!$AJ$5,),B72),INDEX(OFFSET(Arb!$A$2,,,Arb!$AJ$5,),B72))+ROW()*0.001)</f>
        <v>43766.072</v>
      </c>
      <c r="K72" s="11">
        <v>71</v>
      </c>
      <c r="L72" s="11">
        <v>1903</v>
      </c>
      <c r="M72" s="433">
        <f ca="1">IF(L72="",64,INDEX(OFFSET(Arb!$I$2,,,Arb!$AJ$5,),L72))</f>
        <v>54</v>
      </c>
      <c r="N72" s="34">
        <f ca="1">IF(L72="",60,INDEX(OFFSET(Arb!$H$2,,,Arb!$AJ$5,),L72))</f>
        <v>21.47</v>
      </c>
      <c r="O72" s="33">
        <f t="shared" ca="1" si="12"/>
        <v>2.5151374010246856</v>
      </c>
      <c r="P72" s="33">
        <f ca="1">IF(L72="","",INDEX(OFFSET(Arb!$X$2,,,Arb!$AJ$5,),L72)/N72)</f>
        <v>3.0274802049371217</v>
      </c>
      <c r="Q72" s="33">
        <f ca="1">IF(L72="","",(INDEX(OFFSET(Arb!$U$2,,,Arb!$AJ$5,),L72)+INDEX(OFFSET(Arb!$V$2,,,Arb!$AJ$5,),L72))/N72)</f>
        <v>3.5863996273870518</v>
      </c>
      <c r="R72" s="33">
        <f t="shared" ca="1" si="13"/>
        <v>3.4018935179649961</v>
      </c>
      <c r="S72" s="21">
        <f t="shared" ca="1" si="14"/>
        <v>45.189539057636608</v>
      </c>
      <c r="T72" s="74">
        <f ca="1">IF(L72="","",DATE(INDEX(OFFSET(Arb!$C$2,,,Arb!$AJ$5,),L72),INDEX(OFFSET(Arb!$B$2,,,Arb!$AJ$5,),L72),INDEX(OFFSET(Arb!$A$2,,,Arb!$AJ$5,),L72))+ROW()*0.001)</f>
        <v>43765.072</v>
      </c>
      <c r="U72" s="11">
        <v>71</v>
      </c>
      <c r="V72" s="11">
        <v>3288</v>
      </c>
      <c r="W72" s="433">
        <f ca="1">IF(V72="",164,INDEX(OFFSET(Arb!$I$2,,,Arb!$AJ$5,),V72))</f>
        <v>176</v>
      </c>
      <c r="X72" s="34">
        <f ca="1">IF(V72="",240,INDEX(OFFSET(Arb!$H$2,,,Arb!$AJ$5,),V72))</f>
        <v>66.17</v>
      </c>
      <c r="Y72" s="33">
        <f t="shared" ca="1" si="15"/>
        <v>2.6598156264168051</v>
      </c>
      <c r="Z72" s="33">
        <f ca="1">IF(V72="","",INDEX(OFFSET(Arb!$X$2,,,Arb!$AJ$5,),V72)/X72)</f>
        <v>3.1434184675834969</v>
      </c>
      <c r="AA72" s="33">
        <f ca="1">IF(V72="","",(INDEX(OFFSET(Arb!$U$2,,,Arb!$AJ$5,),V72)+INDEX(OFFSET(Arb!$V$2,,,Arb!$AJ$5,),V72))/X72)</f>
        <v>3.4758954208855974</v>
      </c>
      <c r="AB72" s="33">
        <f t="shared" ca="1" si="16"/>
        <v>7.0731238249031092</v>
      </c>
      <c r="AC72" s="21">
        <f t="shared" ca="1" si="17"/>
        <v>61.500549229527849</v>
      </c>
      <c r="AD72" s="74">
        <f ca="1">IF(V72="","",DATE(INDEX(OFFSET(Arb!$C$2,,,Arb!$AJ$5,),V72),INDEX(OFFSET(Arb!$B$2,,,Arb!$AJ$5,),V72),INDEX(OFFSET(Arb!$A$2,,,Arb!$AJ$5,),V72))+ROW()*0.001)</f>
        <v>44084.072</v>
      </c>
    </row>
    <row r="73" spans="1:30" x14ac:dyDescent="0.25">
      <c r="A73" s="11">
        <v>72</v>
      </c>
      <c r="B73" s="11">
        <v>1707</v>
      </c>
      <c r="C73" s="433">
        <f ca="1">IF(B73="",16,INDEX(OFFSET(Arb!$I$2,,,Arb!$AJ$5,),B73))</f>
        <v>13</v>
      </c>
      <c r="D73" s="34">
        <f ca="1">IF(B73="",10,INDEX(OFFSET(Arb!$H$2,,,Arb!$AJ$5,),B73))</f>
        <v>3.83</v>
      </c>
      <c r="E73" s="33">
        <f t="shared" ca="1" si="9"/>
        <v>3.3942558746736293</v>
      </c>
      <c r="F73" s="33">
        <f ca="1">IF(B73="","",INDEX(OFFSET(Arb!$X$2,,,Arb!$AJ$5,),B73)/D73)</f>
        <v>4.1775456919060048</v>
      </c>
      <c r="G73" s="33">
        <f ca="1">IF(B73="","",(INDEX(OFFSET(Arb!$U$2,,,Arb!$AJ$5,),B73)+INDEX(OFFSET(Arb!$V$2,,,Arb!$AJ$5,),B73))/D73)</f>
        <v>4.9608355091383807</v>
      </c>
      <c r="H73" s="33">
        <f t="shared" ca="1" si="10"/>
        <v>0.75421395443077732</v>
      </c>
      <c r="I73" s="21">
        <f t="shared" ca="1" si="11"/>
        <v>62.712973847981438</v>
      </c>
      <c r="J73" s="74">
        <f ca="1">IF(B73="","",DATE(INDEX(OFFSET(Arb!$C$2,,,Arb!$AJ$5,),B73),INDEX(OFFSET(Arb!$B$2,,,Arb!$AJ$5,),B73),INDEX(OFFSET(Arb!$A$2,,,Arb!$AJ$5,),B73))+ROW()*0.001)</f>
        <v>44107.072999999997</v>
      </c>
      <c r="K73" s="11">
        <v>72</v>
      </c>
      <c r="L73" s="11">
        <v>2161</v>
      </c>
      <c r="M73" s="433">
        <f ca="1">IF(L73="",64,INDEX(OFFSET(Arb!$I$2,,,Arb!$AJ$5,),L73))</f>
        <v>51</v>
      </c>
      <c r="N73" s="34">
        <f ca="1">IF(L73="",60,INDEX(OFFSET(Arb!$H$2,,,Arb!$AJ$5,),L73))</f>
        <v>21.49</v>
      </c>
      <c r="O73" s="33">
        <f t="shared" ca="1" si="12"/>
        <v>2.3731968357375526</v>
      </c>
      <c r="P73" s="33">
        <f ca="1">IF(L73="","",INDEX(OFFSET(Arb!$X$2,,,Arb!$AJ$5,),L73)/N73)</f>
        <v>3.024662633783155</v>
      </c>
      <c r="Q73" s="33">
        <f ca="1">IF(L73="","",(INDEX(OFFSET(Arb!$U$2,,,Arb!$AJ$5,),L73)+INDEX(OFFSET(Arb!$V$2,,,Arb!$AJ$5,),L73))/N73)</f>
        <v>3.3969288040949279</v>
      </c>
      <c r="R73" s="33">
        <f t="shared" ca="1" si="13"/>
        <v>3.6077109140435368</v>
      </c>
      <c r="S73" s="21">
        <f t="shared" ca="1" si="14"/>
        <v>42.611507313843724</v>
      </c>
      <c r="T73" s="74">
        <f ca="1">IF(L73="","",DATE(INDEX(OFFSET(Arb!$C$2,,,Arb!$AJ$5,),L73),INDEX(OFFSET(Arb!$B$2,,,Arb!$AJ$5,),L73),INDEX(OFFSET(Arb!$A$2,,,Arb!$AJ$5,),L73))+ROW()*0.001)</f>
        <v>43823.072999999997</v>
      </c>
      <c r="U73" s="11">
        <v>72</v>
      </c>
      <c r="V73" s="11">
        <v>3269</v>
      </c>
      <c r="W73" s="433">
        <f ca="1">IF(V73="",164,INDEX(OFFSET(Arb!$I$2,,,Arb!$AJ$5,),V73))</f>
        <v>165</v>
      </c>
      <c r="X73" s="34">
        <f ca="1">IF(V73="",240,INDEX(OFFSET(Arb!$H$2,,,Arb!$AJ$5,),V73))</f>
        <v>66.180000000000007</v>
      </c>
      <c r="Y73" s="33">
        <f t="shared" ca="1" si="15"/>
        <v>2.4932003626473254</v>
      </c>
      <c r="Z73" s="33">
        <f ca="1">IF(V73="","",INDEX(OFFSET(Arb!$X$2,,,Arb!$AJ$5,),V73)/X73)</f>
        <v>3.082502266545784</v>
      </c>
      <c r="AA73" s="33">
        <f ca="1">IF(V73="","",(INDEX(OFFSET(Arb!$U$2,,,Arb!$AJ$5,),V73)+INDEX(OFFSET(Arb!$V$2,,,Arb!$AJ$5,),V73))/X73)</f>
        <v>3.5660320338470832</v>
      </c>
      <c r="AB73" s="33">
        <f t="shared" ca="1" si="16"/>
        <v>7.546603845995266</v>
      </c>
      <c r="AC73" s="21">
        <f t="shared" ca="1" si="17"/>
        <v>57.641955093593616</v>
      </c>
      <c r="AD73" s="74">
        <f ca="1">IF(V73="","",DATE(INDEX(OFFSET(Arb!$C$2,,,Arb!$AJ$5,),V73),INDEX(OFFSET(Arb!$B$2,,,Arb!$AJ$5,),V73),INDEX(OFFSET(Arb!$A$2,,,Arb!$AJ$5,),V73))+ROW()*0.001)</f>
        <v>44074.072999999997</v>
      </c>
    </row>
    <row r="74" spans="1:30" x14ac:dyDescent="0.25">
      <c r="A74" s="11">
        <v>73</v>
      </c>
      <c r="B74" s="11">
        <v>1176</v>
      </c>
      <c r="C74" s="433">
        <f ca="1">IF(B74="",16,INDEX(OFFSET(Arb!$I$2,,,Arb!$AJ$5,),B74))</f>
        <v>12</v>
      </c>
      <c r="D74" s="34">
        <f ca="1">IF(B74="",10,INDEX(OFFSET(Arb!$H$2,,,Arb!$AJ$5,),B74))</f>
        <v>3.83</v>
      </c>
      <c r="E74" s="33">
        <f t="shared" ca="1" si="9"/>
        <v>3.133159268929504</v>
      </c>
      <c r="F74" s="33">
        <f ca="1">IF(B74="","",INDEX(OFFSET(Arb!$X$2,,,Arb!$AJ$5,),B74)/D74)</f>
        <v>3.133159268929504</v>
      </c>
      <c r="G74" s="33">
        <f ca="1">IF(B74="","",(INDEX(OFFSET(Arb!$U$2,,,Arb!$AJ$5,),B74)+INDEX(OFFSET(Arb!$V$2,,,Arb!$AJ$5,),B74))/D74)</f>
        <v>3.9164490861618799</v>
      </c>
      <c r="H74" s="33">
        <f t="shared" ca="1" si="10"/>
        <v>0.81706511730000875</v>
      </c>
      <c r="I74" s="21">
        <f t="shared" ca="1" si="11"/>
        <v>57.888898936598245</v>
      </c>
      <c r="J74" s="74">
        <f ca="1">IF(B74="","",DATE(INDEX(OFFSET(Arb!$C$2,,,Arb!$AJ$5,),B74),INDEX(OFFSET(Arb!$B$2,,,Arb!$AJ$5,),B74),INDEX(OFFSET(Arb!$A$2,,,Arb!$AJ$5,),B74))+ROW()*0.001)</f>
        <v>43871.074000000001</v>
      </c>
      <c r="K74" s="11">
        <v>73</v>
      </c>
      <c r="L74" s="11">
        <v>1924</v>
      </c>
      <c r="M74" s="433">
        <f ca="1">IF(L74="",64,INDEX(OFFSET(Arb!$I$2,,,Arb!$AJ$5,),L74))</f>
        <v>41</v>
      </c>
      <c r="N74" s="34">
        <f ca="1">IF(L74="",60,INDEX(OFFSET(Arb!$H$2,,,Arb!$AJ$5,),L74))</f>
        <v>21.49</v>
      </c>
      <c r="O74" s="33">
        <f t="shared" ca="1" si="12"/>
        <v>1.9078641228478364</v>
      </c>
      <c r="P74" s="33">
        <f ca="1">IF(L74="","",INDEX(OFFSET(Arb!$X$2,,,Arb!$AJ$5,),L74)/N74)</f>
        <v>2.7454630060493255</v>
      </c>
      <c r="Q74" s="33">
        <f ca="1">IF(L74="","",(INDEX(OFFSET(Arb!$U$2,,,Arb!$AJ$5,),L74)+INDEX(OFFSET(Arb!$V$2,,,Arb!$AJ$5,),L74))/N74)</f>
        <v>3.1177291763610984</v>
      </c>
      <c r="R74" s="33">
        <f t="shared" ca="1" si="13"/>
        <v>4.4876404052736678</v>
      </c>
      <c r="S74" s="21">
        <f t="shared" ca="1" si="14"/>
        <v>34.256309801325344</v>
      </c>
      <c r="T74" s="74">
        <f ca="1">IF(L74="","",DATE(INDEX(OFFSET(Arb!$C$2,,,Arb!$AJ$5,),L74),INDEX(OFFSET(Arb!$B$2,,,Arb!$AJ$5,),L74),INDEX(OFFSET(Arb!$A$2,,,Arb!$AJ$5,),L74))+ROW()*0.001)</f>
        <v>43771.074000000001</v>
      </c>
      <c r="U74" s="11">
        <v>73</v>
      </c>
      <c r="V74" s="11">
        <v>3374</v>
      </c>
      <c r="W74" s="433">
        <f ca="1">IF(V74="",164,INDEX(OFFSET(Arb!$I$2,,,Arb!$AJ$5,),V74))</f>
        <v>155</v>
      </c>
      <c r="X74" s="34">
        <f ca="1">IF(V74="",240,INDEX(OFFSET(Arb!$H$2,,,Arb!$AJ$5,),V74))</f>
        <v>66.31</v>
      </c>
      <c r="Y74" s="33">
        <f t="shared" ca="1" si="15"/>
        <v>2.3375056552556175</v>
      </c>
      <c r="Z74" s="33">
        <f ca="1">IF(V74="","",INDEX(OFFSET(Arb!$X$2,,,Arb!$AJ$5,),V74)/X74)</f>
        <v>2.6994420147790681</v>
      </c>
      <c r="AA74" s="33">
        <f ca="1">IF(V74="","",(INDEX(OFFSET(Arb!$U$2,,,Arb!$AJ$5,),V74)+INDEX(OFFSET(Arb!$V$2,,,Arb!$AJ$5,),V74))/X74)</f>
        <v>2.9859749660684662</v>
      </c>
      <c r="AB74" s="33">
        <f t="shared" ca="1" si="16"/>
        <v>8.0603267808631038</v>
      </c>
      <c r="AC74" s="21">
        <f t="shared" ca="1" si="17"/>
        <v>53.968159334778214</v>
      </c>
      <c r="AD74" s="74">
        <f ca="1">IF(V74="","",DATE(INDEX(OFFSET(Arb!$C$2,,,Arb!$AJ$5,),V74),INDEX(OFFSET(Arb!$B$2,,,Arb!$AJ$5,),V74),INDEX(OFFSET(Arb!$A$2,,,Arb!$AJ$5,),V74))+ROW()*0.001)</f>
        <v>44129.074000000001</v>
      </c>
    </row>
    <row r="75" spans="1:30" x14ac:dyDescent="0.25">
      <c r="A75" s="11">
        <v>74</v>
      </c>
      <c r="B75" s="11">
        <v>1049</v>
      </c>
      <c r="C75" s="433">
        <f ca="1">IF(B75="",16,INDEX(OFFSET(Arb!$I$2,,,Arb!$AJ$5,),B75))</f>
        <v>17</v>
      </c>
      <c r="D75" s="34">
        <f ca="1">IF(B75="",10,INDEX(OFFSET(Arb!$H$2,,,Arb!$AJ$5,),B75))</f>
        <v>3.84</v>
      </c>
      <c r="E75" s="33">
        <f t="shared" ca="1" si="9"/>
        <v>4.4270833333333339</v>
      </c>
      <c r="F75" s="33">
        <f ca="1">IF(B75="","",INDEX(OFFSET(Arb!$X$2,,,Arb!$AJ$5,),B75)/D75)</f>
        <v>4.4270833333333339</v>
      </c>
      <c r="G75" s="33">
        <f ca="1">IF(B75="","",(INDEX(OFFSET(Arb!$U$2,,,Arb!$AJ$5,),B75)+INDEX(OFFSET(Arb!$V$2,,,Arb!$AJ$5,),B75))/D75)</f>
        <v>4.6875</v>
      </c>
      <c r="H75" s="33">
        <f t="shared" ca="1" si="10"/>
        <v>0.57931418146233005</v>
      </c>
      <c r="I75" s="21">
        <f t="shared" ca="1" si="11"/>
        <v>81.646542607684495</v>
      </c>
      <c r="J75" s="74">
        <f ca="1">IF(B75="","",DATE(INDEX(OFFSET(Arb!$C$2,,,Arb!$AJ$5,),B75),INDEX(OFFSET(Arb!$B$2,,,Arb!$AJ$5,),B75),INDEX(OFFSET(Arb!$A$2,,,Arb!$AJ$5,),B75))+ROW()*0.001)</f>
        <v>43841.074999999997</v>
      </c>
      <c r="K75" s="11">
        <v>74</v>
      </c>
      <c r="L75" s="11">
        <v>2237</v>
      </c>
      <c r="M75" s="433">
        <f ca="1">IF(L75="",64,INDEX(OFFSET(Arb!$I$2,,,Arb!$AJ$5,),L75))</f>
        <v>57</v>
      </c>
      <c r="N75" s="34">
        <f ca="1">IF(L75="",60,INDEX(OFFSET(Arb!$H$2,,,Arb!$AJ$5,),L75))</f>
        <v>21.57</v>
      </c>
      <c r="O75" s="33">
        <f t="shared" ca="1" si="12"/>
        <v>2.642559109874826</v>
      </c>
      <c r="P75" s="33">
        <f ca="1">IF(L75="","",INDEX(OFFSET(Arb!$X$2,,,Arb!$AJ$5,),L75)/N75)</f>
        <v>3.1525266573945294</v>
      </c>
      <c r="Q75" s="33">
        <f ca="1">IF(L75="","",(INDEX(OFFSET(Arb!$U$2,,,Arb!$AJ$5,),L75)+INDEX(OFFSET(Arb!$V$2,,,Arb!$AJ$5,),L75))/N75)</f>
        <v>3.3843300880853038</v>
      </c>
      <c r="R75" s="33">
        <f t="shared" ca="1" si="13"/>
        <v>3.2484066508496441</v>
      </c>
      <c r="S75" s="21">
        <f t="shared" ca="1" si="14"/>
        <v>47.324739948981083</v>
      </c>
      <c r="T75" s="74">
        <f ca="1">IF(L75="","",DATE(INDEX(OFFSET(Arb!$C$2,,,Arb!$AJ$5,),L75),INDEX(OFFSET(Arb!$B$2,,,Arb!$AJ$5,),L75),INDEX(OFFSET(Arb!$A$2,,,Arb!$AJ$5,),L75))+ROW()*0.001)</f>
        <v>43890.074999999997</v>
      </c>
      <c r="U75" s="11">
        <v>74</v>
      </c>
      <c r="V75" s="11">
        <v>3122</v>
      </c>
      <c r="W75" s="433">
        <f ca="1">IF(V75="",164,INDEX(OFFSET(Arb!$I$2,,,Arb!$AJ$5,),V75))</f>
        <v>163</v>
      </c>
      <c r="X75" s="34">
        <f ca="1">IF(V75="",240,INDEX(OFFSET(Arb!$H$2,,,Arb!$AJ$5,),V75))</f>
        <v>66.33</v>
      </c>
      <c r="Y75" s="33">
        <f t="shared" ca="1" si="15"/>
        <v>2.4574099200964872</v>
      </c>
      <c r="Z75" s="33">
        <f ca="1">IF(V75="","",INDEX(OFFSET(Arb!$X$2,,,Arb!$AJ$5,),V75)/X75)</f>
        <v>3.1056837026986281</v>
      </c>
      <c r="AA75" s="33">
        <f ca="1">IF(V75="","",(INDEX(OFFSET(Arb!$U$2,,,Arb!$AJ$5,),V75)+INDEX(OFFSET(Arb!$V$2,,,Arb!$AJ$5,),V75))/X75)</f>
        <v>3.5579677370722149</v>
      </c>
      <c r="AB75" s="33">
        <f t="shared" ca="1" si="16"/>
        <v>7.6686583722506301</v>
      </c>
      <c r="AC75" s="21">
        <f t="shared" ca="1" si="17"/>
        <v>56.72452453666078</v>
      </c>
      <c r="AD75" s="74">
        <f ca="1">IF(V75="","",DATE(INDEX(OFFSET(Arb!$C$2,,,Arb!$AJ$5,),V75),INDEX(OFFSET(Arb!$B$2,,,Arb!$AJ$5,),V75),INDEX(OFFSET(Arb!$A$2,,,Arb!$AJ$5,),V75))+ROW()*0.001)</f>
        <v>44013.074999999997</v>
      </c>
    </row>
    <row r="76" spans="1:30" x14ac:dyDescent="0.25">
      <c r="A76" s="11">
        <v>75</v>
      </c>
      <c r="B76" s="11">
        <v>1007</v>
      </c>
      <c r="C76" s="433">
        <f ca="1">IF(B76="",16,INDEX(OFFSET(Arb!$I$2,,,Arb!$AJ$5,),B76))</f>
        <v>10</v>
      </c>
      <c r="D76" s="34">
        <f ca="1">IF(B76="",10,INDEX(OFFSET(Arb!$H$2,,,Arb!$AJ$5,),B76))</f>
        <v>3.84</v>
      </c>
      <c r="E76" s="33">
        <f t="shared" ca="1" si="9"/>
        <v>2.604166666666667</v>
      </c>
      <c r="F76" s="33">
        <f ca="1">IF(B76="","",INDEX(OFFSET(Arb!$X$2,,,Arb!$AJ$5,),B76)/D76)</f>
        <v>3.125</v>
      </c>
      <c r="G76" s="33">
        <f ca="1">IF(B76="","",(INDEX(OFFSET(Arb!$U$2,,,Arb!$AJ$5,),B76)+INDEX(OFFSET(Arb!$V$2,,,Arb!$AJ$5,),B76))/D76)</f>
        <v>3.6458333333333335</v>
      </c>
      <c r="H76" s="33">
        <f t="shared" ca="1" si="10"/>
        <v>0.98483410848596109</v>
      </c>
      <c r="I76" s="21">
        <f t="shared" ca="1" si="11"/>
        <v>48.027378004520294</v>
      </c>
      <c r="J76" s="74">
        <f ca="1">IF(B76="","",DATE(INDEX(OFFSET(Arb!$C$2,,,Arb!$AJ$5,),B76),INDEX(OFFSET(Arb!$B$2,,,Arb!$AJ$5,),B76),INDEX(OFFSET(Arb!$A$2,,,Arb!$AJ$5,),B76))+ROW()*0.001)</f>
        <v>43838.076000000001</v>
      </c>
      <c r="K76" s="11">
        <v>75</v>
      </c>
      <c r="L76" s="11">
        <v>2256</v>
      </c>
      <c r="M76" s="433">
        <f ca="1">IF(L76="",64,INDEX(OFFSET(Arb!$I$2,,,Arb!$AJ$5,),L76))</f>
        <v>53</v>
      </c>
      <c r="N76" s="34">
        <f ca="1">IF(L76="",60,INDEX(OFFSET(Arb!$H$2,,,Arb!$AJ$5,),L76))</f>
        <v>21.6</v>
      </c>
      <c r="O76" s="33">
        <f t="shared" ca="1" si="12"/>
        <v>2.4537037037037037</v>
      </c>
      <c r="P76" s="33">
        <f ca="1">IF(L76="","",INDEX(OFFSET(Arb!$X$2,,,Arb!$AJ$5,),L76)/N76)</f>
        <v>3.0555555555555554</v>
      </c>
      <c r="Q76" s="33">
        <f ca="1">IF(L76="","",(INDEX(OFFSET(Arb!$U$2,,,Arb!$AJ$5,),L76)+INDEX(OFFSET(Arb!$V$2,,,Arb!$AJ$5,),L76))/N76)</f>
        <v>3.657407407407407</v>
      </c>
      <c r="R76" s="33">
        <f t="shared" ca="1" si="13"/>
        <v>3.5018336153787888</v>
      </c>
      <c r="S76" s="21">
        <f t="shared" ca="1" si="14"/>
        <v>43.899858441267263</v>
      </c>
      <c r="T76" s="74">
        <f ca="1">IF(L76="","",DATE(INDEX(OFFSET(Arb!$C$2,,,Arb!$AJ$5,),L76),INDEX(OFFSET(Arb!$B$2,,,Arb!$AJ$5,),L76),INDEX(OFFSET(Arb!$A$2,,,Arb!$AJ$5,),L76))+ROW()*0.001)</f>
        <v>43901.076000000001</v>
      </c>
      <c r="U76" s="11">
        <v>75</v>
      </c>
      <c r="V76" s="11">
        <v>2842</v>
      </c>
      <c r="W76" s="433">
        <f ca="1">IF(V76="",164,INDEX(OFFSET(Arb!$I$2,,,Arb!$AJ$5,),V76))</f>
        <v>154</v>
      </c>
      <c r="X76" s="34">
        <f ca="1">IF(V76="",240,INDEX(OFFSET(Arb!$H$2,,,Arb!$AJ$5,),V76))</f>
        <v>66.37</v>
      </c>
      <c r="Y76" s="33">
        <f t="shared" ca="1" si="15"/>
        <v>2.3203254482446889</v>
      </c>
      <c r="Z76" s="33">
        <f ca="1">IF(V76="","",INDEX(OFFSET(Arb!$X$2,,,Arb!$AJ$5,),V76)/X76)</f>
        <v>2.6668675606448695</v>
      </c>
      <c r="AA76" s="33">
        <f ca="1">IF(V76="","",(INDEX(OFFSET(Arb!$U$2,,,Arb!$AJ$5,),V76)+INDEX(OFFSET(Arb!$V$2,,,Arb!$AJ$5,),V76))/X76)</f>
        <v>2.8928732861232485</v>
      </c>
      <c r="AB76" s="33">
        <f t="shared" ca="1" si="16"/>
        <v>8.125149660131779</v>
      </c>
      <c r="AC76" s="21">
        <f t="shared" ca="1" si="17"/>
        <v>53.537598468425607</v>
      </c>
      <c r="AD76" s="74">
        <f ca="1">IF(V76="","",DATE(INDEX(OFFSET(Arb!$C$2,,,Arb!$AJ$5,),V76),INDEX(OFFSET(Arb!$B$2,,,Arb!$AJ$5,),V76),INDEX(OFFSET(Arb!$A$2,,,Arb!$AJ$5,),V76))+ROW()*0.001)</f>
        <v>43904.076000000001</v>
      </c>
    </row>
    <row r="77" spans="1:30" x14ac:dyDescent="0.25">
      <c r="A77" s="11">
        <v>76</v>
      </c>
      <c r="B77" s="11">
        <v>269</v>
      </c>
      <c r="C77" s="433">
        <f ca="1">IF(B77="",16,INDEX(OFFSET(Arb!$I$2,,,Arb!$AJ$5,),B77))</f>
        <v>13</v>
      </c>
      <c r="D77" s="34">
        <f ca="1">IF(B77="",10,INDEX(OFFSET(Arb!$H$2,,,Arb!$AJ$5,),B77))</f>
        <v>3.84</v>
      </c>
      <c r="E77" s="33">
        <f t="shared" ca="1" si="9"/>
        <v>3.385416666666667</v>
      </c>
      <c r="F77" s="33">
        <f ca="1">IF(B77="","",INDEX(OFFSET(Arb!$X$2,,,Arb!$AJ$5,),B77)/D77)</f>
        <v>4.166666666666667</v>
      </c>
      <c r="G77" s="33">
        <f ca="1">IF(B77="","",(INDEX(OFFSET(Arb!$U$2,,,Arb!$AJ$5,),B77)+INDEX(OFFSET(Arb!$V$2,,,Arb!$AJ$5,),B77))/D77)</f>
        <v>4.4270833333333339</v>
      </c>
      <c r="H77" s="33">
        <f t="shared" ca="1" si="10"/>
        <v>0.7575646988353546</v>
      </c>
      <c r="I77" s="21">
        <f t="shared" ca="1" si="11"/>
        <v>62.435591405876387</v>
      </c>
      <c r="J77" s="74">
        <f ca="1">IF(B77="","",DATE(INDEX(OFFSET(Arb!$C$2,,,Arb!$AJ$5,),B77),INDEX(OFFSET(Arb!$B$2,,,Arb!$AJ$5,),B77),INDEX(OFFSET(Arb!$A$2,,,Arb!$AJ$5,),B77))+ROW()*0.001)</f>
        <v>43777.076999999997</v>
      </c>
      <c r="K77" s="11">
        <v>76</v>
      </c>
      <c r="L77" s="11">
        <v>2335</v>
      </c>
      <c r="M77" s="433">
        <f ca="1">IF(L77="",64,INDEX(OFFSET(Arb!$I$2,,,Arb!$AJ$5,),L77))</f>
        <v>59</v>
      </c>
      <c r="N77" s="34">
        <f ca="1">IF(L77="",60,INDEX(OFFSET(Arb!$H$2,,,Arb!$AJ$5,),L77))</f>
        <v>21.62</v>
      </c>
      <c r="O77" s="33">
        <f t="shared" ca="1" si="12"/>
        <v>2.7289546716003699</v>
      </c>
      <c r="P77" s="33">
        <f ca="1">IF(L77="","",INDEX(OFFSET(Arb!$X$2,,,Arb!$AJ$5,),L77)/N77)</f>
        <v>3.700277520814061</v>
      </c>
      <c r="Q77" s="33">
        <f ca="1">IF(L77="","",(INDEX(OFFSET(Arb!$U$2,,,Arb!$AJ$5,),L77)+INDEX(OFFSET(Arb!$V$2,,,Arb!$AJ$5,),L77))/N77)</f>
        <v>4.3015726179463458</v>
      </c>
      <c r="R77" s="33">
        <f t="shared" ca="1" si="13"/>
        <v>3.1506681354968884</v>
      </c>
      <c r="S77" s="21">
        <f t="shared" ca="1" si="14"/>
        <v>48.792825327430243</v>
      </c>
      <c r="T77" s="74">
        <f ca="1">IF(L77="","",DATE(INDEX(OFFSET(Arb!$C$2,,,Arb!$AJ$5,),L77),INDEX(OFFSET(Arb!$B$2,,,Arb!$AJ$5,),L77),INDEX(OFFSET(Arb!$A$2,,,Arb!$AJ$5,),L77))+ROW()*0.001)</f>
        <v>44093.076999999997</v>
      </c>
      <c r="U77" s="11">
        <v>76</v>
      </c>
      <c r="V77" s="11">
        <v>3367</v>
      </c>
      <c r="W77" s="433">
        <f ca="1">IF(V77="",164,INDEX(OFFSET(Arb!$I$2,,,Arb!$AJ$5,),V77))</f>
        <v>144</v>
      </c>
      <c r="X77" s="34">
        <f ca="1">IF(V77="",240,INDEX(OFFSET(Arb!$H$2,,,Arb!$AJ$5,),V77))</f>
        <v>66.41</v>
      </c>
      <c r="Y77" s="33">
        <f t="shared" ca="1" si="15"/>
        <v>2.1683481403403104</v>
      </c>
      <c r="Z77" s="33">
        <f ca="1">IF(V77="","",INDEX(OFFSET(Arb!$X$2,,,Arb!$AJ$5,),V77)/X77)</f>
        <v>2.6050293630477337</v>
      </c>
      <c r="AA77" s="33">
        <f ca="1">IF(V77="","",(INDEX(OFFSET(Arb!$U$2,,,Arb!$AJ$5,),V77)+INDEX(OFFSET(Arb!$V$2,,,Arb!$AJ$5,),V77))/X77)</f>
        <v>3.0567685589519651</v>
      </c>
      <c r="AB77" s="33">
        <f t="shared" ca="1" si="16"/>
        <v>8.6983008436941347</v>
      </c>
      <c r="AC77" s="21">
        <f t="shared" ca="1" si="17"/>
        <v>50.009882138688681</v>
      </c>
      <c r="AD77" s="74">
        <f ca="1">IF(V77="","",DATE(INDEX(OFFSET(Arb!$C$2,,,Arb!$AJ$5,),V77),INDEX(OFFSET(Arb!$B$2,,,Arb!$AJ$5,),V77),INDEX(OFFSET(Arb!$A$2,,,Arb!$AJ$5,),V77))+ROW()*0.001)</f>
        <v>44115.076999999997</v>
      </c>
    </row>
    <row r="78" spans="1:30" x14ac:dyDescent="0.25">
      <c r="A78" s="11">
        <v>77</v>
      </c>
      <c r="B78" s="11">
        <v>1608</v>
      </c>
      <c r="C78" s="433">
        <f ca="1">IF(B78="",16,INDEX(OFFSET(Arb!$I$2,,,Arb!$AJ$5,),B78))</f>
        <v>14</v>
      </c>
      <c r="D78" s="34">
        <f ca="1">IF(B78="",10,INDEX(OFFSET(Arb!$H$2,,,Arb!$AJ$5,),B78))</f>
        <v>3.85</v>
      </c>
      <c r="E78" s="33">
        <f t="shared" ca="1" si="9"/>
        <v>3.6363636363636362</v>
      </c>
      <c r="F78" s="33">
        <f ca="1">IF(B78="","",INDEX(OFFSET(Arb!$X$2,,,Arb!$AJ$5,),B78)/D78)</f>
        <v>4.6753246753246751</v>
      </c>
      <c r="G78" s="33">
        <f ca="1">IF(B78="","",(INDEX(OFFSET(Arb!$U$2,,,Arb!$AJ$5,),B78)+INDEX(OFFSET(Arb!$V$2,,,Arb!$AJ$5,),B78))/D78)</f>
        <v>5.1948051948051948</v>
      </c>
      <c r="H78" s="33">
        <f t="shared" ca="1" si="10"/>
        <v>0.70657001716129886</v>
      </c>
      <c r="I78" s="21">
        <f t="shared" ca="1" si="11"/>
        <v>66.941702663845675</v>
      </c>
      <c r="J78" s="74">
        <f ca="1">IF(B78="","",DATE(INDEX(OFFSET(Arb!$C$2,,,Arb!$AJ$5,),B78),INDEX(OFFSET(Arb!$B$2,,,Arb!$AJ$5,),B78),INDEX(OFFSET(Arb!$A$2,,,Arb!$AJ$5,),B78))+ROW()*0.001)</f>
        <v>44062.078000000001</v>
      </c>
      <c r="K78" s="11">
        <v>77</v>
      </c>
      <c r="L78" s="11">
        <v>2013</v>
      </c>
      <c r="M78" s="433">
        <f ca="1">IF(L78="",64,INDEX(OFFSET(Arb!$I$2,,,Arb!$AJ$5,),L78))</f>
        <v>36</v>
      </c>
      <c r="N78" s="34">
        <f ca="1">IF(L78="",60,INDEX(OFFSET(Arb!$H$2,,,Arb!$AJ$5,),L78))</f>
        <v>21.62</v>
      </c>
      <c r="O78" s="33">
        <f t="shared" ca="1" si="12"/>
        <v>1.6651248843663273</v>
      </c>
      <c r="P78" s="33">
        <f ca="1">IF(L78="","",INDEX(OFFSET(Arb!$X$2,,,Arb!$AJ$5,),L78)/N78)</f>
        <v>2.1739130434782608</v>
      </c>
      <c r="Q78" s="33">
        <f ca="1">IF(L78="","",(INDEX(OFFSET(Arb!$U$2,,,Arb!$AJ$5,),L78)+INDEX(OFFSET(Arb!$V$2,,,Arb!$AJ$5,),L78))/N78)</f>
        <v>2.5439407955596667</v>
      </c>
      <c r="R78" s="33">
        <f t="shared" ca="1" si="13"/>
        <v>5.1635949998421227</v>
      </c>
      <c r="S78" s="21">
        <f t="shared" ca="1" si="14"/>
        <v>29.771893420126926</v>
      </c>
      <c r="T78" s="74">
        <f ca="1">IF(L78="","",DATE(INDEX(OFFSET(Arb!$C$2,,,Arb!$AJ$5,),L78),INDEX(OFFSET(Arb!$B$2,,,Arb!$AJ$5,),L78),INDEX(OFFSET(Arb!$A$2,,,Arb!$AJ$5,),L78))+ROW()*0.001)</f>
        <v>43788.078000000001</v>
      </c>
      <c r="U78" s="11">
        <v>77</v>
      </c>
      <c r="V78" s="11">
        <v>3291</v>
      </c>
      <c r="W78" s="433">
        <f ca="1">IF(V78="",164,INDEX(OFFSET(Arb!$I$2,,,Arb!$AJ$5,),V78))</f>
        <v>136</v>
      </c>
      <c r="X78" s="34">
        <f ca="1">IF(V78="",240,INDEX(OFFSET(Arb!$H$2,,,Arb!$AJ$5,),V78))</f>
        <v>66.45</v>
      </c>
      <c r="Y78" s="33">
        <f t="shared" ca="1" si="15"/>
        <v>2.0466516177577123</v>
      </c>
      <c r="Z78" s="33">
        <f ca="1">IF(V78="","",INDEX(OFFSET(Arb!$X$2,,,Arb!$AJ$5,),V78)/X78)</f>
        <v>2.6636568848758464</v>
      </c>
      <c r="AA78" s="33">
        <f ca="1">IF(V78="","",(INDEX(OFFSET(Arb!$U$2,,,Arb!$AJ$5,),V78)+INDEX(OFFSET(Arb!$V$2,,,Arb!$AJ$5,),V78))/X78)</f>
        <v>3.0097817908201656</v>
      </c>
      <c r="AB78" s="33">
        <f t="shared" ca="1" si="16"/>
        <v>9.219398059368288</v>
      </c>
      <c r="AC78" s="21">
        <f t="shared" ca="1" si="17"/>
        <v>47.183232267314224</v>
      </c>
      <c r="AD78" s="74">
        <f ca="1">IF(V78="","",DATE(INDEX(OFFSET(Arb!$C$2,,,Arb!$AJ$5,),V78),INDEX(OFFSET(Arb!$B$2,,,Arb!$AJ$5,),V78),INDEX(OFFSET(Arb!$A$2,,,Arb!$AJ$5,),V78))+ROW()*0.001)</f>
        <v>44084.078000000001</v>
      </c>
    </row>
    <row r="79" spans="1:30" x14ac:dyDescent="0.25">
      <c r="A79" s="11">
        <v>78</v>
      </c>
      <c r="B79" s="11">
        <v>772</v>
      </c>
      <c r="C79" s="433">
        <f ca="1">IF(B79="",16,INDEX(OFFSET(Arb!$I$2,,,Arb!$AJ$5,),B79))</f>
        <v>10</v>
      </c>
      <c r="D79" s="34">
        <f ca="1">IF(B79="",10,INDEX(OFFSET(Arb!$H$2,,,Arb!$AJ$5,),B79))</f>
        <v>3.85</v>
      </c>
      <c r="E79" s="33">
        <f t="shared" ca="1" si="9"/>
        <v>2.5974025974025974</v>
      </c>
      <c r="F79" s="33">
        <f ca="1">IF(B79="","",INDEX(OFFSET(Arb!$X$2,,,Arb!$AJ$5,),B79)/D79)</f>
        <v>3.116883116883117</v>
      </c>
      <c r="G79" s="33">
        <f ca="1">IF(B79="","",(INDEX(OFFSET(Arb!$U$2,,,Arb!$AJ$5,),B79)+INDEX(OFFSET(Arb!$V$2,,,Arb!$AJ$5,),B79))/D79)</f>
        <v>3.6363636363636362</v>
      </c>
      <c r="H79" s="33">
        <f t="shared" ca="1" si="10"/>
        <v>0.98919802402581836</v>
      </c>
      <c r="I79" s="21">
        <f t="shared" ca="1" si="11"/>
        <v>47.815501902746909</v>
      </c>
      <c r="J79" s="74">
        <f ca="1">IF(B79="","",DATE(INDEX(OFFSET(Arb!$C$2,,,Arb!$AJ$5,),B79),INDEX(OFFSET(Arb!$B$2,,,Arb!$AJ$5,),B79),INDEX(OFFSET(Arb!$A$2,,,Arb!$AJ$5,),B79))+ROW()*0.001)</f>
        <v>43809.078999999998</v>
      </c>
      <c r="K79" s="11">
        <v>78</v>
      </c>
      <c r="L79" s="11">
        <v>2276</v>
      </c>
      <c r="M79" s="433">
        <f ca="1">IF(L79="",64,INDEX(OFFSET(Arb!$I$2,,,Arb!$AJ$5,),L79))</f>
        <v>51</v>
      </c>
      <c r="N79" s="34">
        <f ca="1">IF(L79="",60,INDEX(OFFSET(Arb!$H$2,,,Arb!$AJ$5,),L79))</f>
        <v>21.64</v>
      </c>
      <c r="O79" s="33">
        <f t="shared" ca="1" si="12"/>
        <v>2.3567467652495377</v>
      </c>
      <c r="P79" s="33">
        <f ca="1">IF(L79="","",INDEX(OFFSET(Arb!$X$2,,,Arb!$AJ$5,),L79)/N79)</f>
        <v>2.7726432532347505</v>
      </c>
      <c r="Q79" s="33">
        <f ca="1">IF(L79="","",(INDEX(OFFSET(Arb!$U$2,,,Arb!$AJ$5,),L79)+INDEX(OFFSET(Arb!$V$2,,,Arb!$AJ$5,),L79))/N79)</f>
        <v>3.1885397412199628</v>
      </c>
      <c r="R79" s="33">
        <f t="shared" ca="1" si="13"/>
        <v>3.6506244641843555</v>
      </c>
      <c r="S79" s="21">
        <f t="shared" ca="1" si="14"/>
        <v>42.110603681156036</v>
      </c>
      <c r="T79" s="74">
        <f ca="1">IF(L79="","",DATE(INDEX(OFFSET(Arb!$C$2,,,Arb!$AJ$5,),L79),INDEX(OFFSET(Arb!$B$2,,,Arb!$AJ$5,),L79),INDEX(OFFSET(Arb!$A$2,,,Arb!$AJ$5,),L79))+ROW()*0.001)</f>
        <v>43935.078999999998</v>
      </c>
      <c r="U79" s="11">
        <v>78</v>
      </c>
      <c r="V79" s="11">
        <v>3315</v>
      </c>
      <c r="W79" s="433">
        <f ca="1">IF(V79="",164,INDEX(OFFSET(Arb!$I$2,,,Arb!$AJ$5,),V79))</f>
        <v>149</v>
      </c>
      <c r="X79" s="34">
        <f ca="1">IF(V79="",240,INDEX(OFFSET(Arb!$H$2,,,Arb!$AJ$5,),V79))</f>
        <v>66.47</v>
      </c>
      <c r="Y79" s="33">
        <f t="shared" ca="1" si="15"/>
        <v>2.2416127576350235</v>
      </c>
      <c r="Z79" s="33">
        <f ca="1">IF(V79="","",INDEX(OFFSET(Arb!$X$2,,,Arb!$AJ$5,),V79)/X79)</f>
        <v>2.9035655182789228</v>
      </c>
      <c r="AA79" s="33">
        <f ca="1">IF(V79="","",(INDEX(OFFSET(Arb!$U$2,,,Arb!$AJ$5,),V79)+INDEX(OFFSET(Arb!$V$2,,,Arb!$AJ$5,),V79))/X79)</f>
        <v>3.2646306604483226</v>
      </c>
      <c r="AB79" s="33">
        <f t="shared" ca="1" si="16"/>
        <v>8.4193271551412856</v>
      </c>
      <c r="AC79" s="21">
        <f t="shared" ca="1" si="17"/>
        <v>51.666955326039968</v>
      </c>
      <c r="AD79" s="74">
        <f ca="1">IF(V79="","",DATE(INDEX(OFFSET(Arb!$C$2,,,Arb!$AJ$5,),V79),INDEX(OFFSET(Arb!$B$2,,,Arb!$AJ$5,),V79),INDEX(OFFSET(Arb!$A$2,,,Arb!$AJ$5,),V79))+ROW()*0.001)</f>
        <v>44094.078999999998</v>
      </c>
    </row>
    <row r="80" spans="1:30" x14ac:dyDescent="0.25">
      <c r="A80" s="11">
        <v>79</v>
      </c>
      <c r="B80" s="11">
        <v>482</v>
      </c>
      <c r="C80" s="433">
        <f ca="1">IF(B80="",16,INDEX(OFFSET(Arb!$I$2,,,Arb!$AJ$5,),B80))</f>
        <v>11</v>
      </c>
      <c r="D80" s="34">
        <f ca="1">IF(B80="",10,INDEX(OFFSET(Arb!$H$2,,,Arb!$AJ$5,),B80))</f>
        <v>3.86</v>
      </c>
      <c r="E80" s="33">
        <f t="shared" ca="1" si="9"/>
        <v>2.849740932642487</v>
      </c>
      <c r="F80" s="33">
        <f ca="1">IF(B80="","",INDEX(OFFSET(Arb!$X$2,,,Arb!$AJ$5,),B80)/D80)</f>
        <v>3.3678756476683938</v>
      </c>
      <c r="G80" s="33">
        <f ca="1">IF(B80="","",(INDEX(OFFSET(Arb!$U$2,,,Arb!$AJ$5,),B80)+INDEX(OFFSET(Arb!$V$2,,,Arb!$AJ$5,),B80))/D80)</f>
        <v>4.9222797927461137</v>
      </c>
      <c r="H80" s="33">
        <f t="shared" ca="1" si="10"/>
        <v>0.90324534652802979</v>
      </c>
      <c r="I80" s="21">
        <f t="shared" ca="1" si="11"/>
        <v>52.365617140250833</v>
      </c>
      <c r="J80" s="74">
        <f ca="1">IF(B80="","",DATE(INDEX(OFFSET(Arb!$C$2,,,Arb!$AJ$5,),B80),INDEX(OFFSET(Arb!$B$2,,,Arb!$AJ$5,),B80),INDEX(OFFSET(Arb!$A$2,,,Arb!$AJ$5,),B80))+ROW()*0.001)</f>
        <v>43786.080000000002</v>
      </c>
      <c r="K80" s="11">
        <v>79</v>
      </c>
      <c r="L80" s="11">
        <v>2068</v>
      </c>
      <c r="M80" s="433">
        <f ca="1">IF(L80="",64,INDEX(OFFSET(Arb!$I$2,,,Arb!$AJ$5,),L80))</f>
        <v>50</v>
      </c>
      <c r="N80" s="34">
        <f ca="1">IF(L80="",60,INDEX(OFFSET(Arb!$H$2,,,Arb!$AJ$5,),L80))</f>
        <v>21.66</v>
      </c>
      <c r="O80" s="33">
        <f t="shared" ca="1" si="12"/>
        <v>2.3084025854108958</v>
      </c>
      <c r="P80" s="33">
        <f ca="1">IF(L80="","",INDEX(OFFSET(Arb!$X$2,,,Arb!$AJ$5,),L80)/N80)</f>
        <v>3.0009233610341641</v>
      </c>
      <c r="Q80" s="33">
        <f ca="1">IF(L80="","",(INDEX(OFFSET(Arb!$U$2,,,Arb!$AJ$5,),L80)+INDEX(OFFSET(Arb!$V$2,,,Arb!$AJ$5,),L80))/N80)</f>
        <v>3.6934441366574329</v>
      </c>
      <c r="R80" s="33">
        <f t="shared" ca="1" si="13"/>
        <v>3.7294892919965879</v>
      </c>
      <c r="S80" s="21">
        <f t="shared" ca="1" si="14"/>
        <v>41.220121031022025</v>
      </c>
      <c r="T80" s="74">
        <f ca="1">IF(L80="","",DATE(INDEX(OFFSET(Arb!$C$2,,,Arb!$AJ$5,),L80),INDEX(OFFSET(Arb!$B$2,,,Arb!$AJ$5,),L80),INDEX(OFFSET(Arb!$A$2,,,Arb!$AJ$5,),L80))+ROW()*0.001)</f>
        <v>43803.08</v>
      </c>
      <c r="U80" s="11">
        <v>79</v>
      </c>
      <c r="V80" s="11">
        <v>3283</v>
      </c>
      <c r="W80" s="433">
        <f ca="1">IF(V80="",164,INDEX(OFFSET(Arb!$I$2,,,Arb!$AJ$5,),V80))</f>
        <v>156</v>
      </c>
      <c r="X80" s="34">
        <f ca="1">IF(V80="",240,INDEX(OFFSET(Arb!$H$2,,,Arb!$AJ$5,),V80))</f>
        <v>66.47</v>
      </c>
      <c r="Y80" s="33">
        <f t="shared" ca="1" si="15"/>
        <v>2.3469234241010981</v>
      </c>
      <c r="Z80" s="33">
        <f ca="1">IF(V80="","",INDEX(OFFSET(Arb!$X$2,,,Arb!$AJ$5,),V80)/X80)</f>
        <v>2.8584323755077481</v>
      </c>
      <c r="AA80" s="33">
        <f ca="1">IF(V80="","",(INDEX(OFFSET(Arb!$U$2,,,Arb!$AJ$5,),V80)+INDEX(OFFSET(Arb!$V$2,,,Arb!$AJ$5,),V80))/X80)</f>
        <v>3.2194975176771474</v>
      </c>
      <c r="AB80" s="33">
        <f t="shared" ca="1" si="16"/>
        <v>8.0415368340772524</v>
      </c>
      <c r="AC80" s="21">
        <f t="shared" ca="1" si="17"/>
        <v>54.094261952095543</v>
      </c>
      <c r="AD80" s="74">
        <f ca="1">IF(V80="","",DATE(INDEX(OFFSET(Arb!$C$2,,,Arb!$AJ$5,),V80),INDEX(OFFSET(Arb!$B$2,,,Arb!$AJ$5,),V80),INDEX(OFFSET(Arb!$A$2,,,Arb!$AJ$5,),V80))+ROW()*0.001)</f>
        <v>44083.08</v>
      </c>
    </row>
    <row r="81" spans="1:30" x14ac:dyDescent="0.25">
      <c r="A81" s="11">
        <v>80</v>
      </c>
      <c r="B81" s="11">
        <v>224</v>
      </c>
      <c r="C81" s="433">
        <f ca="1">IF(B81="",16,INDEX(OFFSET(Arb!$I$2,,,Arb!$AJ$5,),B81))</f>
        <v>12</v>
      </c>
      <c r="D81" s="34">
        <f ca="1">IF(B81="",10,INDEX(OFFSET(Arb!$H$2,,,Arb!$AJ$5,),B81))</f>
        <v>3.86</v>
      </c>
      <c r="E81" s="33">
        <f t="shared" ca="1" si="9"/>
        <v>3.1088082901554404</v>
      </c>
      <c r="F81" s="33">
        <f ca="1">IF(B81="","",INDEX(OFFSET(Arb!$X$2,,,Arb!$AJ$5,),B81)/D81)</f>
        <v>3.1088082901554404</v>
      </c>
      <c r="G81" s="33">
        <f ca="1">IF(B81="","",(INDEX(OFFSET(Arb!$U$2,,,Arb!$AJ$5,),B81)+INDEX(OFFSET(Arb!$V$2,,,Arb!$AJ$5,),B81))/D81)</f>
        <v>3.6269430051813472</v>
      </c>
      <c r="H81" s="33">
        <f t="shared" ca="1" si="10"/>
        <v>0.82797490098402726</v>
      </c>
      <c r="I81" s="21">
        <f t="shared" ca="1" si="11"/>
        <v>57.126127789364546</v>
      </c>
      <c r="J81" s="74">
        <f ca="1">IF(B81="","",DATE(INDEX(OFFSET(Arb!$C$2,,,Arb!$AJ$5,),B81),INDEX(OFFSET(Arb!$B$2,,,Arb!$AJ$5,),B81),INDEX(OFFSET(Arb!$A$2,,,Arb!$AJ$5,),B81))+ROW()*0.001)</f>
        <v>43774.080999999998</v>
      </c>
      <c r="K81" s="11">
        <v>80</v>
      </c>
      <c r="L81" s="11">
        <v>2272</v>
      </c>
      <c r="M81" s="433">
        <f ca="1">IF(L81="",64,INDEX(OFFSET(Arb!$I$2,,,Arb!$AJ$5,),L81))</f>
        <v>59</v>
      </c>
      <c r="N81" s="34">
        <f ca="1">IF(L81="",60,INDEX(OFFSET(Arb!$H$2,,,Arb!$AJ$5,),L81))</f>
        <v>21.67</v>
      </c>
      <c r="O81" s="33">
        <f t="shared" ca="1" si="12"/>
        <v>2.722658052607291</v>
      </c>
      <c r="P81" s="33">
        <f ca="1">IF(L81="","",INDEX(OFFSET(Arb!$X$2,,,Arb!$AJ$5,),L81)/N81)</f>
        <v>3.0456852791878171</v>
      </c>
      <c r="Q81" s="33">
        <f ca="1">IF(L81="","",(INDEX(OFFSET(Arb!$U$2,,,Arb!$AJ$5,),L81)+INDEX(OFFSET(Arb!$V$2,,,Arb!$AJ$5,),L81))/N81)</f>
        <v>3.3225657591139823</v>
      </c>
      <c r="R81" s="33">
        <f t="shared" ca="1" si="13"/>
        <v>3.1630651527865457</v>
      </c>
      <c r="S81" s="21">
        <f t="shared" ca="1" si="14"/>
        <v>48.601591359750977</v>
      </c>
      <c r="T81" s="74">
        <f ca="1">IF(L81="","",DATE(INDEX(OFFSET(Arb!$C$2,,,Arb!$AJ$5,),L81),INDEX(OFFSET(Arb!$B$2,,,Arb!$AJ$5,),L81),INDEX(OFFSET(Arb!$A$2,,,Arb!$AJ$5,),L81))+ROW()*0.001)</f>
        <v>43934.080999999998</v>
      </c>
      <c r="U81" s="11">
        <v>80</v>
      </c>
      <c r="V81" s="11">
        <v>3173</v>
      </c>
      <c r="W81" s="433">
        <f ca="1">IF(V81="",164,INDEX(OFFSET(Arb!$I$2,,,Arb!$AJ$5,),V81))</f>
        <v>150</v>
      </c>
      <c r="X81" s="34">
        <f ca="1">IF(V81="",240,INDEX(OFFSET(Arb!$H$2,,,Arb!$AJ$5,),V81))</f>
        <v>66.5</v>
      </c>
      <c r="Y81" s="33">
        <f t="shared" ca="1" si="15"/>
        <v>2.255639097744361</v>
      </c>
      <c r="Z81" s="33">
        <f ca="1">IF(V81="","",INDEX(OFFSET(Arb!$X$2,,,Arb!$AJ$5,),V81)/X81)</f>
        <v>3.0526315789473686</v>
      </c>
      <c r="AA81" s="33">
        <f ca="1">IF(V81="","",(INDEX(OFFSET(Arb!$U$2,,,Arb!$AJ$5,),V81)+INDEX(OFFSET(Arb!$V$2,,,Arb!$AJ$5,),V81))/X81)</f>
        <v>3.3984962406015038</v>
      </c>
      <c r="AB81" s="33">
        <f t="shared" ca="1" si="16"/>
        <v>8.3696160972220373</v>
      </c>
      <c r="AC81" s="21">
        <f t="shared" ca="1" si="17"/>
        <v>51.973829497912256</v>
      </c>
      <c r="AD81" s="74">
        <f ca="1">IF(V81="","",DATE(INDEX(OFFSET(Arb!$C$2,,,Arb!$AJ$5,),V81),INDEX(OFFSET(Arb!$B$2,,,Arb!$AJ$5,),V81),INDEX(OFFSET(Arb!$A$2,,,Arb!$AJ$5,),V81))+ROW()*0.001)</f>
        <v>44042.080999999998</v>
      </c>
    </row>
    <row r="82" spans="1:30" x14ac:dyDescent="0.25">
      <c r="A82" s="11">
        <v>81</v>
      </c>
      <c r="B82" s="11">
        <v>786</v>
      </c>
      <c r="C82" s="433">
        <f ca="1">IF(B82="",16,INDEX(OFFSET(Arb!$I$2,,,Arb!$AJ$5,),B82))</f>
        <v>12</v>
      </c>
      <c r="D82" s="34">
        <f ca="1">IF(B82="",10,INDEX(OFFSET(Arb!$H$2,,,Arb!$AJ$5,),B82))</f>
        <v>3.89</v>
      </c>
      <c r="E82" s="33">
        <f t="shared" ca="1" si="9"/>
        <v>3.0848329048843186</v>
      </c>
      <c r="F82" s="33">
        <f ca="1">IF(B82="","",INDEX(OFFSET(Arb!$X$2,,,Arb!$AJ$5,),B82)/D82)</f>
        <v>4.3701799485861184</v>
      </c>
      <c r="G82" s="33">
        <f ca="1">IF(B82="","",(INDEX(OFFSET(Arb!$U$2,,,Arb!$AJ$5,),B82)+INDEX(OFFSET(Arb!$V$2,,,Arb!$AJ$5,),B82))/D82)</f>
        <v>4.8843187660668379</v>
      </c>
      <c r="H82" s="33">
        <f t="shared" ca="1" si="10"/>
        <v>0.83894420055168162</v>
      </c>
      <c r="I82" s="21">
        <f t="shared" ca="1" si="11"/>
        <v>56.379196576955458</v>
      </c>
      <c r="J82" s="74">
        <f ca="1">IF(B82="","",DATE(INDEX(OFFSET(Arb!$C$2,,,Arb!$AJ$5,),B82),INDEX(OFFSET(Arb!$B$2,,,Arb!$AJ$5,),B82),INDEX(OFFSET(Arb!$A$2,,,Arb!$AJ$5,),B82))+ROW()*0.001)</f>
        <v>43811.082000000002</v>
      </c>
      <c r="K82" s="11">
        <v>81</v>
      </c>
      <c r="L82" s="11">
        <v>2076</v>
      </c>
      <c r="M82" s="433">
        <f ca="1">IF(L82="",64,INDEX(OFFSET(Arb!$I$2,,,Arb!$AJ$5,),L82))</f>
        <v>54</v>
      </c>
      <c r="N82" s="34">
        <f ca="1">IF(L82="",60,INDEX(OFFSET(Arb!$H$2,,,Arb!$AJ$5,),L82))</f>
        <v>21.71</v>
      </c>
      <c r="O82" s="33">
        <f t="shared" ca="1" si="12"/>
        <v>2.487333026255182</v>
      </c>
      <c r="P82" s="33">
        <f ca="1">IF(L82="","",INDEX(OFFSET(Arb!$X$2,,,Arb!$AJ$5,),L82)/N82)</f>
        <v>2.8558268079226163</v>
      </c>
      <c r="Q82" s="33">
        <f ca="1">IF(L82="","",(INDEX(OFFSET(Arb!$U$2,,,Arb!$AJ$5,),L82)+INDEX(OFFSET(Arb!$V$2,,,Arb!$AJ$5,),L82))/N82)</f>
        <v>3.1782588668816212</v>
      </c>
      <c r="R82" s="33">
        <f t="shared" ca="1" si="13"/>
        <v>3.4667932320191541</v>
      </c>
      <c r="S82" s="21">
        <f t="shared" ca="1" si="14"/>
        <v>44.343573357694446</v>
      </c>
      <c r="T82" s="74">
        <f ca="1">IF(L82="","",DATE(INDEX(OFFSET(Arb!$C$2,,,Arb!$AJ$5,),L82),INDEX(OFFSET(Arb!$B$2,,,Arb!$AJ$5,),L82),INDEX(OFFSET(Arb!$A$2,,,Arb!$AJ$5,),L82))+ROW()*0.001)</f>
        <v>43805.082000000002</v>
      </c>
      <c r="U82" s="11">
        <v>81</v>
      </c>
      <c r="V82" s="11">
        <v>3212</v>
      </c>
      <c r="W82" s="433">
        <f ca="1">IF(V82="",164,INDEX(OFFSET(Arb!$I$2,,,Arb!$AJ$5,),V82))</f>
        <v>161</v>
      </c>
      <c r="X82" s="34">
        <f ca="1">IF(V82="",240,INDEX(OFFSET(Arb!$H$2,,,Arb!$AJ$5,),V82))</f>
        <v>66.540000000000006</v>
      </c>
      <c r="Y82" s="33">
        <f t="shared" ca="1" si="15"/>
        <v>2.4195972347460173</v>
      </c>
      <c r="Z82" s="33">
        <f ca="1">IF(V82="","",INDEX(OFFSET(Arb!$X$2,,,Arb!$AJ$5,),V82)/X82)</f>
        <v>3.0658250676284937</v>
      </c>
      <c r="AA82" s="33">
        <f ca="1">IF(V82="","",(INDEX(OFFSET(Arb!$U$2,,,Arb!$AJ$5,),V82)+INDEX(OFFSET(Arb!$V$2,,,Arb!$AJ$5,),V82))/X82)</f>
        <v>3.456567478208596</v>
      </c>
      <c r="AB82" s="33">
        <f t="shared" ca="1" si="16"/>
        <v>7.8057543198570958</v>
      </c>
      <c r="AC82" s="21">
        <f t="shared" ca="1" si="17"/>
        <v>55.728246390409552</v>
      </c>
      <c r="AD82" s="74">
        <f ca="1">IF(V82="","",DATE(INDEX(OFFSET(Arb!$C$2,,,Arb!$AJ$5,),V82),INDEX(OFFSET(Arb!$B$2,,,Arb!$AJ$5,),V82),INDEX(OFFSET(Arb!$A$2,,,Arb!$AJ$5,),V82))+ROW()*0.001)</f>
        <v>44059.082000000002</v>
      </c>
    </row>
    <row r="83" spans="1:30" x14ac:dyDescent="0.25">
      <c r="A83" s="11">
        <v>82</v>
      </c>
      <c r="B83" s="11">
        <v>1475</v>
      </c>
      <c r="C83" s="433">
        <f ca="1">IF(B83="",16,INDEX(OFFSET(Arb!$I$2,,,Arb!$AJ$5,),B83))</f>
        <v>12</v>
      </c>
      <c r="D83" s="34">
        <f ca="1">IF(B83="",10,INDEX(OFFSET(Arb!$H$2,,,Arb!$AJ$5,),B83))</f>
        <v>3.9</v>
      </c>
      <c r="E83" s="33">
        <f t="shared" ca="1" si="9"/>
        <v>3.0769230769230771</v>
      </c>
      <c r="F83" s="33">
        <f ca="1">IF(B83="","",INDEX(OFFSET(Arb!$X$2,,,Arb!$AJ$5,),B83)/D83)</f>
        <v>3.5897435897435899</v>
      </c>
      <c r="G83" s="33">
        <f ca="1">IF(B83="","",(INDEX(OFFSET(Arb!$U$2,,,Arb!$AJ$5,),B83)+INDEX(OFFSET(Arb!$V$2,,,Arb!$AJ$5,),B83))/D83)</f>
        <v>4.6153846153846159</v>
      </c>
      <c r="H83" s="33">
        <f t="shared" ca="1" si="10"/>
        <v>0.8426138355885201</v>
      </c>
      <c r="I83" s="21">
        <f t="shared" ca="1" si="11"/>
        <v>56.13366171107814</v>
      </c>
      <c r="J83" s="74">
        <f ca="1">IF(B83="","",DATE(INDEX(OFFSET(Arb!$C$2,,,Arb!$AJ$5,),B83),INDEX(OFFSET(Arb!$B$2,,,Arb!$AJ$5,),B83),INDEX(OFFSET(Arb!$A$2,,,Arb!$AJ$5,),B83))+ROW()*0.001)</f>
        <v>43952.082999999999</v>
      </c>
      <c r="K83" s="11">
        <v>82</v>
      </c>
      <c r="L83" s="11">
        <v>2307</v>
      </c>
      <c r="M83" s="433">
        <f ca="1">IF(L83="",64,INDEX(OFFSET(Arb!$I$2,,,Arb!$AJ$5,),L83))</f>
        <v>54</v>
      </c>
      <c r="N83" s="34">
        <f ca="1">IF(L83="",60,INDEX(OFFSET(Arb!$H$2,,,Arb!$AJ$5,),L83))</f>
        <v>21.74</v>
      </c>
      <c r="O83" s="33">
        <f t="shared" ca="1" si="12"/>
        <v>2.4839006439742413</v>
      </c>
      <c r="P83" s="33">
        <f ca="1">IF(L83="","",INDEX(OFFSET(Arb!$X$2,,,Arb!$AJ$5,),L83)/N83)</f>
        <v>3.3118675252989882</v>
      </c>
      <c r="Q83" s="33">
        <f ca="1">IF(L83="","",(INDEX(OFFSET(Arb!$U$2,,,Arb!$AJ$5,),L83)+INDEX(OFFSET(Arb!$V$2,,,Arb!$AJ$5,),L83))/N83)</f>
        <v>3.4958601655933763</v>
      </c>
      <c r="R83" s="33">
        <f t="shared" ca="1" si="13"/>
        <v>3.4749411802055072</v>
      </c>
      <c r="S83" s="21">
        <f t="shared" ca="1" si="14"/>
        <v>44.239597745049728</v>
      </c>
      <c r="T83" s="74">
        <f ca="1">IF(L83="","",DATE(INDEX(OFFSET(Arb!$C$2,,,Arb!$AJ$5,),L83),INDEX(OFFSET(Arb!$B$2,,,Arb!$AJ$5,),L83),INDEX(OFFSET(Arb!$A$2,,,Arb!$AJ$5,),L83))+ROW()*0.001)</f>
        <v>43950.082999999999</v>
      </c>
      <c r="U83" s="11">
        <v>82</v>
      </c>
      <c r="V83" s="11">
        <v>3191</v>
      </c>
      <c r="W83" s="433">
        <f ca="1">IF(V83="",164,INDEX(OFFSET(Arb!$I$2,,,Arb!$AJ$5,),V83))</f>
        <v>147</v>
      </c>
      <c r="X83" s="34">
        <f ca="1">IF(V83="",240,INDEX(OFFSET(Arb!$H$2,,,Arb!$AJ$5,),V83))</f>
        <v>66.569999999999993</v>
      </c>
      <c r="Y83" s="33">
        <f t="shared" ca="1" si="15"/>
        <v>2.2082018927444795</v>
      </c>
      <c r="Z83" s="33">
        <f ca="1">IF(V83="","",INDEX(OFFSET(Arb!$X$2,,,Arb!$AJ$5,),V83)/X83)</f>
        <v>2.7339642481598321</v>
      </c>
      <c r="AA83" s="33">
        <f ca="1">IF(V83="","",(INDEX(OFFSET(Arb!$U$2,,,Arb!$AJ$5,),V83)+INDEX(OFFSET(Arb!$V$2,,,Arb!$AJ$5,),V83))/X83)</f>
        <v>3.0193780982424521</v>
      </c>
      <c r="AB83" s="33">
        <f t="shared" ca="1" si="16"/>
        <v>8.5557130839928224</v>
      </c>
      <c r="AC83" s="21">
        <f t="shared" ca="1" si="17"/>
        <v>50.843336578672591</v>
      </c>
      <c r="AD83" s="74">
        <f ca="1">IF(V83="","",DATE(INDEX(OFFSET(Arb!$C$2,,,Arb!$AJ$5,),V83),INDEX(OFFSET(Arb!$B$2,,,Arb!$AJ$5,),V83),INDEX(OFFSET(Arb!$A$2,,,Arb!$AJ$5,),V83))+ROW()*0.001)</f>
        <v>44057.082999999999</v>
      </c>
    </row>
    <row r="84" spans="1:30" x14ac:dyDescent="0.25">
      <c r="A84" s="11">
        <v>83</v>
      </c>
      <c r="B84" s="11">
        <v>973</v>
      </c>
      <c r="C84" s="433">
        <f ca="1">IF(B84="",16,INDEX(OFFSET(Arb!$I$2,,,Arb!$AJ$5,),B84))</f>
        <v>11</v>
      </c>
      <c r="D84" s="34">
        <f ca="1">IF(B84="",10,INDEX(OFFSET(Arb!$H$2,,,Arb!$AJ$5,),B84))</f>
        <v>3.9</v>
      </c>
      <c r="E84" s="33">
        <f t="shared" ca="1" si="9"/>
        <v>2.8205128205128207</v>
      </c>
      <c r="F84" s="33">
        <f ca="1">IF(B84="","",INDEX(OFFSET(Arb!$X$2,,,Arb!$AJ$5,),B84)/D84)</f>
        <v>3.8461538461538463</v>
      </c>
      <c r="G84" s="33">
        <f ca="1">IF(B84="","",(INDEX(OFFSET(Arb!$U$2,,,Arb!$AJ$5,),B84)+INDEX(OFFSET(Arb!$V$2,,,Arb!$AJ$5,),B84))/D84)</f>
        <v>5.1282051282051286</v>
      </c>
      <c r="H84" s="33">
        <f t="shared" ca="1" si="10"/>
        <v>0.91921509336929463</v>
      </c>
      <c r="I84" s="21">
        <f t="shared" ca="1" si="11"/>
        <v>51.455856568488294</v>
      </c>
      <c r="J84" s="74">
        <f ca="1">IF(B84="","",DATE(INDEX(OFFSET(Arb!$C$2,,,Arb!$AJ$5,),B84),INDEX(OFFSET(Arb!$B$2,,,Arb!$AJ$5,),B84),INDEX(OFFSET(Arb!$A$2,,,Arb!$AJ$5,),B84))+ROW()*0.001)</f>
        <v>43822.084000000003</v>
      </c>
      <c r="K84" s="11">
        <v>83</v>
      </c>
      <c r="L84" s="11">
        <v>2382</v>
      </c>
      <c r="M84" s="433">
        <f ca="1">IF(L84="",64,INDEX(OFFSET(Arb!$I$2,,,Arb!$AJ$5,),L84))</f>
        <v>56</v>
      </c>
      <c r="N84" s="34">
        <f ca="1">IF(L84="",60,INDEX(OFFSET(Arb!$H$2,,,Arb!$AJ$5,),L84))</f>
        <v>21.75</v>
      </c>
      <c r="O84" s="33">
        <f t="shared" ca="1" si="12"/>
        <v>2.5747126436781609</v>
      </c>
      <c r="P84" s="33">
        <f ca="1">IF(L84="","",INDEX(OFFSET(Arb!$X$2,,,Arb!$AJ$5,),L84)/N84)</f>
        <v>2.9425287356321839</v>
      </c>
      <c r="Q84" s="33">
        <f ca="1">IF(L84="","",(INDEX(OFFSET(Arb!$U$2,,,Arb!$AJ$5,),L84)+INDEX(OFFSET(Arb!$V$2,,,Arb!$AJ$5,),L84))/N84)</f>
        <v>3.3563218390804597</v>
      </c>
      <c r="R84" s="33">
        <f t="shared" ca="1" si="13"/>
        <v>3.3534568089291299</v>
      </c>
      <c r="S84" s="21">
        <f t="shared" ca="1" si="14"/>
        <v>45.842248389980334</v>
      </c>
      <c r="T84" s="74">
        <f ca="1">IF(L84="","",DATE(INDEX(OFFSET(Arb!$C$2,,,Arb!$AJ$5,),L84),INDEX(OFFSET(Arb!$B$2,,,Arb!$AJ$5,),L84),INDEX(OFFSET(Arb!$A$2,,,Arb!$AJ$5,),L84))+ROW()*0.001)</f>
        <v>44117.084000000003</v>
      </c>
      <c r="U84" s="11">
        <v>83</v>
      </c>
      <c r="V84" s="11">
        <v>2979</v>
      </c>
      <c r="W84" s="433">
        <f ca="1">IF(V84="",164,INDEX(OFFSET(Arb!$I$2,,,Arb!$AJ$5,),V84))</f>
        <v>169</v>
      </c>
      <c r="X84" s="34">
        <f ca="1">IF(V84="",240,INDEX(OFFSET(Arb!$H$2,,,Arb!$AJ$5,),V84))</f>
        <v>66.569999999999993</v>
      </c>
      <c r="Y84" s="33">
        <f t="shared" ca="1" si="15"/>
        <v>2.538681087576987</v>
      </c>
      <c r="Z84" s="33">
        <f ca="1">IF(V84="","",INDEX(OFFSET(Arb!$X$2,,,Arb!$AJ$5,),V84)/X84)</f>
        <v>3.0043563166591563</v>
      </c>
      <c r="AA84" s="33">
        <f ca="1">IF(V84="","",(INDEX(OFFSET(Arb!$U$2,,,Arb!$AJ$5,),V84)+INDEX(OFFSET(Arb!$V$2,,,Arb!$AJ$5,),V84))/X84)</f>
        <v>3.229683040408593</v>
      </c>
      <c r="AB84" s="33">
        <f t="shared" ca="1" si="16"/>
        <v>7.4419516174375433</v>
      </c>
      <c r="AC84" s="21">
        <f t="shared" ca="1" si="17"/>
        <v>58.452543413575981</v>
      </c>
      <c r="AD84" s="74">
        <f ca="1">IF(V84="","",DATE(INDEX(OFFSET(Arb!$C$2,,,Arb!$AJ$5,),V84),INDEX(OFFSET(Arb!$B$2,,,Arb!$AJ$5,),V84),INDEX(OFFSET(Arb!$A$2,,,Arb!$AJ$5,),V84))+ROW()*0.001)</f>
        <v>43956.084000000003</v>
      </c>
    </row>
    <row r="85" spans="1:30" x14ac:dyDescent="0.25">
      <c r="A85" s="11">
        <v>84</v>
      </c>
      <c r="B85" s="11">
        <v>721</v>
      </c>
      <c r="C85" s="433">
        <f ca="1">IF(B85="",16,INDEX(OFFSET(Arb!$I$2,,,Arb!$AJ$5,),B85))</f>
        <v>11</v>
      </c>
      <c r="D85" s="34">
        <f ca="1">IF(B85="",10,INDEX(OFFSET(Arb!$H$2,,,Arb!$AJ$5,),B85))</f>
        <v>3.9</v>
      </c>
      <c r="E85" s="33">
        <f t="shared" ca="1" si="9"/>
        <v>2.8205128205128207</v>
      </c>
      <c r="F85" s="33">
        <f ca="1">IF(B85="","",INDEX(OFFSET(Arb!$X$2,,,Arb!$AJ$5,),B85)/D85)</f>
        <v>3.8461538461538463</v>
      </c>
      <c r="G85" s="33">
        <f ca="1">IF(B85="","",(INDEX(OFFSET(Arb!$U$2,,,Arb!$AJ$5,),B85)+INDEX(OFFSET(Arb!$V$2,,,Arb!$AJ$5,),B85))/D85)</f>
        <v>4.6153846153846159</v>
      </c>
      <c r="H85" s="33">
        <f t="shared" ca="1" si="10"/>
        <v>0.91921509336929463</v>
      </c>
      <c r="I85" s="21">
        <f t="shared" ca="1" si="11"/>
        <v>51.455856568488294</v>
      </c>
      <c r="J85" s="74">
        <f ca="1">IF(B85="","",DATE(INDEX(OFFSET(Arb!$C$2,,,Arb!$AJ$5,),B85),INDEX(OFFSET(Arb!$B$2,,,Arb!$AJ$5,),B85),INDEX(OFFSET(Arb!$A$2,,,Arb!$AJ$5,),B85))+ROW()*0.001)</f>
        <v>43805.084999999999</v>
      </c>
      <c r="K85" s="11">
        <v>84</v>
      </c>
      <c r="L85" s="11">
        <v>2329</v>
      </c>
      <c r="M85" s="433">
        <f ca="1">IF(L85="",64,INDEX(OFFSET(Arb!$I$2,,,Arb!$AJ$5,),L85))</f>
        <v>62</v>
      </c>
      <c r="N85" s="34">
        <f ca="1">IF(L85="",60,INDEX(OFFSET(Arb!$H$2,,,Arb!$AJ$5,),L85))</f>
        <v>21.75</v>
      </c>
      <c r="O85" s="33">
        <f t="shared" ca="1" si="12"/>
        <v>2.8505747126436782</v>
      </c>
      <c r="P85" s="33">
        <f ca="1">IF(L85="","",INDEX(OFFSET(Arb!$X$2,,,Arb!$AJ$5,),L85)/N85)</f>
        <v>3.3563218390804597</v>
      </c>
      <c r="Q85" s="33">
        <f ca="1">IF(L85="","",(INDEX(OFFSET(Arb!$U$2,,,Arb!$AJ$5,),L85)+INDEX(OFFSET(Arb!$V$2,,,Arb!$AJ$5,),L85))/N85)</f>
        <v>3.9540229885057472</v>
      </c>
      <c r="R85" s="33">
        <f t="shared" ca="1" si="13"/>
        <v>3.0289287306456654</v>
      </c>
      <c r="S85" s="21">
        <f t="shared" ca="1" si="14"/>
        <v>50.753917860335378</v>
      </c>
      <c r="T85" s="74">
        <f ca="1">IF(L85="","",DATE(INDEX(OFFSET(Arb!$C$2,,,Arb!$AJ$5,),L85),INDEX(OFFSET(Arb!$B$2,,,Arb!$AJ$5,),L85),INDEX(OFFSET(Arb!$A$2,,,Arb!$AJ$5,),L85))+ROW()*0.001)</f>
        <v>44090.084999999999</v>
      </c>
      <c r="U85" s="11">
        <v>84</v>
      </c>
      <c r="V85" s="11">
        <v>2856</v>
      </c>
      <c r="W85" s="433">
        <f ca="1">IF(V85="",164,INDEX(OFFSET(Arb!$I$2,,,Arb!$AJ$5,),V85))</f>
        <v>147</v>
      </c>
      <c r="X85" s="34">
        <f ca="1">IF(V85="",240,INDEX(OFFSET(Arb!$H$2,,,Arb!$AJ$5,),V85))</f>
        <v>66.569999999999993</v>
      </c>
      <c r="Y85" s="33">
        <f t="shared" ca="1" si="15"/>
        <v>2.2082018927444795</v>
      </c>
      <c r="Z85" s="33">
        <f ca="1">IF(V85="","",INDEX(OFFSET(Arb!$X$2,,,Arb!$AJ$5,),V85)/X85)</f>
        <v>2.6288117770767614</v>
      </c>
      <c r="AA85" s="33">
        <f ca="1">IF(V85="","",(INDEX(OFFSET(Arb!$U$2,,,Arb!$AJ$5,),V85)+INDEX(OFFSET(Arb!$V$2,,,Arb!$AJ$5,),V85))/X85)</f>
        <v>2.9292474087426772</v>
      </c>
      <c r="AB85" s="33">
        <f t="shared" ca="1" si="16"/>
        <v>8.5557130839928224</v>
      </c>
      <c r="AC85" s="21">
        <f t="shared" ca="1" si="17"/>
        <v>50.843336578672591</v>
      </c>
      <c r="AD85" s="74">
        <f ca="1">IF(V85="","",DATE(INDEX(OFFSET(Arb!$C$2,,,Arb!$AJ$5,),V85),INDEX(OFFSET(Arb!$B$2,,,Arb!$AJ$5,),V85),INDEX(OFFSET(Arb!$A$2,,,Arb!$AJ$5,),V85))+ROW()*0.001)</f>
        <v>43906.084999999999</v>
      </c>
    </row>
    <row r="86" spans="1:30" x14ac:dyDescent="0.25">
      <c r="A86" s="11">
        <v>85</v>
      </c>
      <c r="B86" s="11">
        <v>1131</v>
      </c>
      <c r="C86" s="433">
        <f ca="1">IF(B86="",16,INDEX(OFFSET(Arb!$I$2,,,Arb!$AJ$5,),B86))</f>
        <v>11</v>
      </c>
      <c r="D86" s="34">
        <f ca="1">IF(B86="",10,INDEX(OFFSET(Arb!$H$2,,,Arb!$AJ$5,),B86))</f>
        <v>3.91</v>
      </c>
      <c r="E86" s="33">
        <f t="shared" ca="1" si="9"/>
        <v>2.8132992327365729</v>
      </c>
      <c r="F86" s="33">
        <f ca="1">IF(B86="","",INDEX(OFFSET(Arb!$X$2,,,Arb!$AJ$5,),B86)/D86)</f>
        <v>3.3248081841432224</v>
      </c>
      <c r="G86" s="33">
        <f ca="1">IF(B86="","",(INDEX(OFFSET(Arb!$U$2,,,Arb!$AJ$5,),B86)+INDEX(OFFSET(Arb!$V$2,,,Arb!$AJ$5,),B86))/D86)</f>
        <v>4.3478260869565215</v>
      </c>
      <c r="H86" s="33">
        <f t="shared" ca="1" si="10"/>
        <v>0.92322552334800534</v>
      </c>
      <c r="I86" s="21">
        <f t="shared" ca="1" si="11"/>
        <v>51.232335766101727</v>
      </c>
      <c r="J86" s="74">
        <f ca="1">IF(B86="","",DATE(INDEX(OFFSET(Arb!$C$2,,,Arb!$AJ$5,),B86),INDEX(OFFSET(Arb!$B$2,,,Arb!$AJ$5,),B86),INDEX(OFFSET(Arb!$A$2,,,Arb!$AJ$5,),B86))+ROW()*0.001)</f>
        <v>43854.086000000003</v>
      </c>
      <c r="K86" s="11">
        <v>85</v>
      </c>
      <c r="L86" s="11">
        <v>2318</v>
      </c>
      <c r="M86" s="433">
        <f ca="1">IF(L86="",64,INDEX(OFFSET(Arb!$I$2,,,Arb!$AJ$5,),L86))</f>
        <v>58</v>
      </c>
      <c r="N86" s="34">
        <f ca="1">IF(L86="",60,INDEX(OFFSET(Arb!$H$2,,,Arb!$AJ$5,),L86))</f>
        <v>21.75</v>
      </c>
      <c r="O86" s="33">
        <f t="shared" ca="1" si="12"/>
        <v>2.6666666666666665</v>
      </c>
      <c r="P86" s="33">
        <f ca="1">IF(L86="","",INDEX(OFFSET(Arb!$X$2,,,Arb!$AJ$5,),L86)/N86)</f>
        <v>3.1724137931034484</v>
      </c>
      <c r="Q86" s="33">
        <f ca="1">IF(L86="","",(INDEX(OFFSET(Arb!$U$2,,,Arb!$AJ$5,),L86)+INDEX(OFFSET(Arb!$V$2,,,Arb!$AJ$5,),L86))/N86)</f>
        <v>3.7241379310344827</v>
      </c>
      <c r="R86" s="33">
        <f t="shared" ca="1" si="13"/>
        <v>3.2378203672419184</v>
      </c>
      <c r="S86" s="21">
        <f t="shared" ca="1" si="14"/>
        <v>47.479471546765346</v>
      </c>
      <c r="T86" s="74">
        <f ca="1">IF(L86="","",DATE(INDEX(OFFSET(Arb!$C$2,,,Arb!$AJ$5,),L86),INDEX(OFFSET(Arb!$B$2,,,Arb!$AJ$5,),L86),INDEX(OFFSET(Arb!$A$2,,,Arb!$AJ$5,),L86))+ROW()*0.001)</f>
        <v>43967.086000000003</v>
      </c>
      <c r="U86" s="11">
        <v>85</v>
      </c>
      <c r="V86" s="11">
        <v>3205</v>
      </c>
      <c r="W86" s="433">
        <f ca="1">IF(V86="",164,INDEX(OFFSET(Arb!$I$2,,,Arb!$AJ$5,),V86))</f>
        <v>155</v>
      </c>
      <c r="X86" s="34">
        <f ca="1">IF(V86="",240,INDEX(OFFSET(Arb!$H$2,,,Arb!$AJ$5,),V86))</f>
        <v>66.709999999999994</v>
      </c>
      <c r="Y86" s="33">
        <f t="shared" ca="1" si="15"/>
        <v>2.3234897316744116</v>
      </c>
      <c r="Z86" s="33">
        <f ca="1">IF(V86="","",INDEX(OFFSET(Arb!$X$2,,,Arb!$AJ$5,),V86)/X86)</f>
        <v>2.6083046020086944</v>
      </c>
      <c r="AA86" s="33">
        <f ca="1">IF(V86="","",(INDEX(OFFSET(Arb!$U$2,,,Arb!$AJ$5,),V86)+INDEX(OFFSET(Arb!$V$2,,,Arb!$AJ$5,),V86))/X86)</f>
        <v>2.8181681906760607</v>
      </c>
      <c r="AB86" s="33">
        <f t="shared" ca="1" si="16"/>
        <v>8.1431587413698665</v>
      </c>
      <c r="AC86" s="21">
        <f t="shared" ca="1" si="17"/>
        <v>53.419196876275407</v>
      </c>
      <c r="AD86" s="74">
        <f ca="1">IF(V86="","",DATE(INDEX(OFFSET(Arb!$C$2,,,Arb!$AJ$5,),V86),INDEX(OFFSET(Arb!$B$2,,,Arb!$AJ$5,),V86),INDEX(OFFSET(Arb!$A$2,,,Arb!$AJ$5,),V86))+ROW()*0.001)</f>
        <v>44058.086000000003</v>
      </c>
    </row>
    <row r="87" spans="1:30" x14ac:dyDescent="0.25">
      <c r="A87" s="11">
        <v>86</v>
      </c>
      <c r="B87" s="11">
        <v>223</v>
      </c>
      <c r="C87" s="433">
        <f ca="1">IF(B87="",16,INDEX(OFFSET(Arb!$I$2,,,Arb!$AJ$5,),B87))</f>
        <v>10</v>
      </c>
      <c r="D87" s="34">
        <f ca="1">IF(B87="",10,INDEX(OFFSET(Arb!$H$2,,,Arb!$AJ$5,),B87))</f>
        <v>3.91</v>
      </c>
      <c r="E87" s="33">
        <f t="shared" ca="1" si="9"/>
        <v>2.5575447570332481</v>
      </c>
      <c r="F87" s="33">
        <f ca="1">IF(B87="","",INDEX(OFFSET(Arb!$X$2,,,Arb!$AJ$5,),B87)/D87)</f>
        <v>3.836317135549872</v>
      </c>
      <c r="G87" s="33">
        <f ca="1">IF(B87="","",(INDEX(OFFSET(Arb!$U$2,,,Arb!$AJ$5,),B87)+INDEX(OFFSET(Arb!$V$2,,,Arb!$AJ$5,),B87))/D87)</f>
        <v>4.3478260869565215</v>
      </c>
      <c r="H87" s="33">
        <f t="shared" ca="1" si="10"/>
        <v>1.0155480756828059</v>
      </c>
      <c r="I87" s="21">
        <f t="shared" ca="1" si="11"/>
        <v>46.574850696456117</v>
      </c>
      <c r="J87" s="74">
        <f ca="1">IF(B87="","",DATE(INDEX(OFFSET(Arb!$C$2,,,Arb!$AJ$5,),B87),INDEX(OFFSET(Arb!$B$2,,,Arb!$AJ$5,),B87),INDEX(OFFSET(Arb!$A$2,,,Arb!$AJ$5,),B87))+ROW()*0.001)</f>
        <v>43774.087</v>
      </c>
      <c r="K87" s="11">
        <v>86</v>
      </c>
      <c r="L87" s="11">
        <v>2383</v>
      </c>
      <c r="M87" s="433">
        <f ca="1">IF(L87="",64,INDEX(OFFSET(Arb!$I$2,,,Arb!$AJ$5,),L87))</f>
        <v>49</v>
      </c>
      <c r="N87" s="34">
        <f ca="1">IF(L87="",60,INDEX(OFFSET(Arb!$H$2,,,Arb!$AJ$5,),L87))</f>
        <v>21.77</v>
      </c>
      <c r="O87" s="33">
        <f t="shared" ca="1" si="12"/>
        <v>2.2508038585209005</v>
      </c>
      <c r="P87" s="33">
        <f ca="1">IF(L87="","",INDEX(OFFSET(Arb!$X$2,,,Arb!$AJ$5,),L87)/N87)</f>
        <v>2.8479559026182821</v>
      </c>
      <c r="Q87" s="33">
        <f ca="1">IF(L87="","",(INDEX(OFFSET(Arb!$U$2,,,Arb!$AJ$5,),L87)+INDEX(OFFSET(Arb!$V$2,,,Arb!$AJ$5,),L87))/N87)</f>
        <v>3.4451079467156638</v>
      </c>
      <c r="R87" s="33">
        <f t="shared" ca="1" si="13"/>
        <v>3.8385150643093002</v>
      </c>
      <c r="S87" s="21">
        <f t="shared" ca="1" si="14"/>
        <v>40.049341327168158</v>
      </c>
      <c r="T87" s="74">
        <f ca="1">IF(L87="","",DATE(INDEX(OFFSET(Arb!$C$2,,,Arb!$AJ$5,),L87),INDEX(OFFSET(Arb!$B$2,,,Arb!$AJ$5,),L87),INDEX(OFFSET(Arb!$A$2,,,Arb!$AJ$5,),L87))+ROW()*0.001)</f>
        <v>44117.087</v>
      </c>
      <c r="U87" s="11">
        <v>86</v>
      </c>
      <c r="V87" s="11">
        <v>2546</v>
      </c>
      <c r="W87" s="433">
        <f ca="1">IF(V87="",164,INDEX(OFFSET(Arb!$I$2,,,Arb!$AJ$5,),V87))</f>
        <v>141</v>
      </c>
      <c r="X87" s="34">
        <f ca="1">IF(V87="",240,INDEX(OFFSET(Arb!$H$2,,,Arb!$AJ$5,),V87))</f>
        <v>66.72</v>
      </c>
      <c r="Y87" s="33">
        <f t="shared" ca="1" si="15"/>
        <v>2.1133093525179856</v>
      </c>
      <c r="Z87" s="33">
        <f ca="1">IF(V87="","",INDEX(OFFSET(Arb!$X$2,,,Arb!$AJ$5,),V87)/X87)</f>
        <v>2.5179856115107913</v>
      </c>
      <c r="AA87" s="33">
        <f ca="1">IF(V87="","",(INDEX(OFFSET(Arb!$U$2,,,Arb!$AJ$5,),V87)+INDEX(OFFSET(Arb!$V$2,,,Arb!$AJ$5,),V87))/X87)</f>
        <v>2.7727817745803356</v>
      </c>
      <c r="AB87" s="33">
        <f t="shared" ca="1" si="16"/>
        <v>8.953980645850466</v>
      </c>
      <c r="AC87" s="21">
        <f t="shared" ca="1" si="17"/>
        <v>48.581856182768504</v>
      </c>
      <c r="AD87" s="74">
        <f ca="1">IF(V87="","",DATE(INDEX(OFFSET(Arb!$C$2,,,Arb!$AJ$5,),V87),INDEX(OFFSET(Arb!$B$2,,,Arb!$AJ$5,),V87),INDEX(OFFSET(Arb!$A$2,,,Arb!$AJ$5,),V87))+ROW()*0.001)</f>
        <v>43797.087</v>
      </c>
    </row>
    <row r="88" spans="1:30" x14ac:dyDescent="0.25">
      <c r="A88" s="11">
        <v>87</v>
      </c>
      <c r="B88" s="11">
        <v>425</v>
      </c>
      <c r="C88" s="433">
        <f ca="1">IF(B88="",16,INDEX(OFFSET(Arb!$I$2,,,Arb!$AJ$5,),B88))</f>
        <v>10</v>
      </c>
      <c r="D88" s="34">
        <f ca="1">IF(B88="",10,INDEX(OFFSET(Arb!$H$2,,,Arb!$AJ$5,),B88))</f>
        <v>3.92</v>
      </c>
      <c r="E88" s="33">
        <f t="shared" ca="1" si="9"/>
        <v>2.5510204081632653</v>
      </c>
      <c r="F88" s="33">
        <f ca="1">IF(B88="","",INDEX(OFFSET(Arb!$X$2,,,Arb!$AJ$5,),B88)/D88)</f>
        <v>4.0816326530612246</v>
      </c>
      <c r="G88" s="33">
        <f ca="1">IF(B88="","",(INDEX(OFFSET(Arb!$U$2,,,Arb!$AJ$5,),B88)+INDEX(OFFSET(Arb!$V$2,,,Arb!$AJ$5,),B88))/D88)</f>
        <v>4.591836734693878</v>
      </c>
      <c r="H88" s="33">
        <f t="shared" ca="1" si="10"/>
        <v>1.0199674535165442</v>
      </c>
      <c r="I88" s="21">
        <f t="shared" ca="1" si="11"/>
        <v>46.373048313382085</v>
      </c>
      <c r="J88" s="74">
        <f ca="1">IF(B88="","",DATE(INDEX(OFFSET(Arb!$C$2,,,Arb!$AJ$5,),B88),INDEX(OFFSET(Arb!$B$2,,,Arb!$AJ$5,),B88),INDEX(OFFSET(Arb!$A$2,,,Arb!$AJ$5,),B88))+ROW()*0.001)</f>
        <v>43781.088000000003</v>
      </c>
      <c r="K88" s="11">
        <v>87</v>
      </c>
      <c r="L88" s="11">
        <v>2357</v>
      </c>
      <c r="M88" s="433">
        <f ca="1">IF(L88="",64,INDEX(OFFSET(Arb!$I$2,,,Arb!$AJ$5,),L88))</f>
        <v>56</v>
      </c>
      <c r="N88" s="34">
        <f ca="1">IF(L88="",60,INDEX(OFFSET(Arb!$H$2,,,Arb!$AJ$5,),L88))</f>
        <v>21.78</v>
      </c>
      <c r="O88" s="33">
        <f t="shared" ca="1" si="12"/>
        <v>2.5711662075298438</v>
      </c>
      <c r="P88" s="33">
        <f ca="1">IF(L88="","",INDEX(OFFSET(Arb!$X$2,,,Arb!$AJ$5,),L88)/N88)</f>
        <v>2.9843893480257115</v>
      </c>
      <c r="Q88" s="33">
        <f ca="1">IF(L88="","",(INDEX(OFFSET(Arb!$U$2,,,Arb!$AJ$5,),L88)+INDEX(OFFSET(Arb!$V$2,,,Arb!$AJ$5,),L88))/N88)</f>
        <v>3.3516988062442605</v>
      </c>
      <c r="R88" s="33">
        <f t="shared" ca="1" si="13"/>
        <v>3.3613238825057579</v>
      </c>
      <c r="S88" s="21">
        <f t="shared" ca="1" si="14"/>
        <v>45.734956039225608</v>
      </c>
      <c r="T88" s="74">
        <f ca="1">IF(L88="","",DATE(INDEX(OFFSET(Arb!$C$2,,,Arb!$AJ$5,),L88),INDEX(OFFSET(Arb!$B$2,,,Arb!$AJ$5,),L88),INDEX(OFFSET(Arb!$A$2,,,Arb!$AJ$5,),L88))+ROW()*0.001)</f>
        <v>44114.088000000003</v>
      </c>
      <c r="U88" s="11">
        <v>87</v>
      </c>
      <c r="V88" s="11">
        <v>3034</v>
      </c>
      <c r="W88" s="433">
        <f ca="1">IF(V88="",164,INDEX(OFFSET(Arb!$I$2,,,Arb!$AJ$5,),V88))</f>
        <v>143</v>
      </c>
      <c r="X88" s="34">
        <f ca="1">IF(V88="",240,INDEX(OFFSET(Arb!$H$2,,,Arb!$AJ$5,),V88))</f>
        <v>66.73</v>
      </c>
      <c r="Y88" s="33">
        <f t="shared" ca="1" si="15"/>
        <v>2.1429641840251761</v>
      </c>
      <c r="Z88" s="33">
        <f ca="1">IF(V88="","",INDEX(OFFSET(Arb!$X$2,,,Arb!$AJ$5,),V88)/X88)</f>
        <v>2.9372096508317096</v>
      </c>
      <c r="AA88" s="33">
        <f ca="1">IF(V88="","",(INDEX(OFFSET(Arb!$U$2,,,Arb!$AJ$5,),V88)+INDEX(OFFSET(Arb!$V$2,,,Arb!$AJ$5,),V88))/X88)</f>
        <v>3.4017683200959086</v>
      </c>
      <c r="AB88" s="33">
        <f t="shared" ca="1" si="16"/>
        <v>8.8309997969735754</v>
      </c>
      <c r="AC88" s="21">
        <f t="shared" ca="1" si="17"/>
        <v>49.258409013787642</v>
      </c>
      <c r="AD88" s="74">
        <f ca="1">IF(V88="","",DATE(INDEX(OFFSET(Arb!$C$2,,,Arb!$AJ$5,),V88),INDEX(OFFSET(Arb!$B$2,,,Arb!$AJ$5,),V88),INDEX(OFFSET(Arb!$A$2,,,Arb!$AJ$5,),V88))+ROW()*0.001)</f>
        <v>43979.088000000003</v>
      </c>
    </row>
    <row r="89" spans="1:30" x14ac:dyDescent="0.25">
      <c r="A89" s="11">
        <v>88</v>
      </c>
      <c r="B89" s="11">
        <v>405</v>
      </c>
      <c r="C89" s="433">
        <f ca="1">IF(B89="",16,INDEX(OFFSET(Arb!$I$2,,,Arb!$AJ$5,),B89))</f>
        <v>12</v>
      </c>
      <c r="D89" s="34">
        <f ca="1">IF(B89="",10,INDEX(OFFSET(Arb!$H$2,,,Arb!$AJ$5,),B89))</f>
        <v>3.92</v>
      </c>
      <c r="E89" s="33">
        <f t="shared" ca="1" si="9"/>
        <v>3.0612244897959182</v>
      </c>
      <c r="F89" s="33">
        <f ca="1">IF(B89="","",INDEX(OFFSET(Arb!$X$2,,,Arb!$AJ$5,),B89)/D89)</f>
        <v>4.591836734693878</v>
      </c>
      <c r="G89" s="33">
        <f ca="1">IF(B89="","",(INDEX(OFFSET(Arb!$U$2,,,Arb!$AJ$5,),B89)+INDEX(OFFSET(Arb!$V$2,,,Arb!$AJ$5,),B89))/D89)</f>
        <v>5.3571428571428577</v>
      </c>
      <c r="H89" s="33">
        <f t="shared" ca="1" si="10"/>
        <v>0.8499728779304534</v>
      </c>
      <c r="I89" s="21">
        <f t="shared" ca="1" si="11"/>
        <v>55.647657976058511</v>
      </c>
      <c r="J89" s="74">
        <f ca="1">IF(B89="","",DATE(INDEX(OFFSET(Arb!$C$2,,,Arb!$AJ$5,),B89),INDEX(OFFSET(Arb!$B$2,,,Arb!$AJ$5,),B89),INDEX(OFFSET(Arb!$A$2,,,Arb!$AJ$5,),B89))+ROW()*0.001)</f>
        <v>43781.089</v>
      </c>
      <c r="K89" s="11">
        <v>88</v>
      </c>
      <c r="L89" s="11">
        <v>2045</v>
      </c>
      <c r="M89" s="433">
        <f ca="1">IF(L89="",64,INDEX(OFFSET(Arb!$I$2,,,Arb!$AJ$5,),L89))</f>
        <v>55</v>
      </c>
      <c r="N89" s="34">
        <f ca="1">IF(L89="",60,INDEX(OFFSET(Arb!$H$2,,,Arb!$AJ$5,),L89))</f>
        <v>21.81</v>
      </c>
      <c r="O89" s="33">
        <f t="shared" ca="1" si="12"/>
        <v>2.5217790004585052</v>
      </c>
      <c r="P89" s="33">
        <f ca="1">IF(L89="","",INDEX(OFFSET(Arb!$X$2,,,Arb!$AJ$5,),L89)/N89)</f>
        <v>3.1636863823933976</v>
      </c>
      <c r="Q89" s="33">
        <f ca="1">IF(L89="","",(INDEX(OFFSET(Arb!$U$2,,,Arb!$AJ$5,),L89)+INDEX(OFFSET(Arb!$V$2,,,Arb!$AJ$5,),L89))/N89)</f>
        <v>3.4846400733608438</v>
      </c>
      <c r="R89" s="33">
        <f t="shared" ca="1" si="13"/>
        <v>3.4304567004396036</v>
      </c>
      <c r="S89" s="21">
        <f t="shared" ca="1" si="14"/>
        <v>44.813275147970799</v>
      </c>
      <c r="T89" s="74">
        <f ca="1">IF(L89="","",DATE(INDEX(OFFSET(Arb!$C$2,,,Arb!$AJ$5,),L89),INDEX(OFFSET(Arb!$B$2,,,Arb!$AJ$5,),L89),INDEX(OFFSET(Arb!$A$2,,,Arb!$AJ$5,),L89))+ROW()*0.001)</f>
        <v>43798.089</v>
      </c>
      <c r="U89" s="11">
        <v>88</v>
      </c>
      <c r="V89" s="11">
        <v>2810</v>
      </c>
      <c r="W89" s="433">
        <f ca="1">IF(V89="",164,INDEX(OFFSET(Arb!$I$2,,,Arb!$AJ$5,),V89))</f>
        <v>135</v>
      </c>
      <c r="X89" s="34">
        <f ca="1">IF(V89="",240,INDEX(OFFSET(Arb!$H$2,,,Arb!$AJ$5,),V89))</f>
        <v>66.75</v>
      </c>
      <c r="Y89" s="33">
        <f t="shared" ca="1" si="15"/>
        <v>2.0224719101123596</v>
      </c>
      <c r="Z89" s="33">
        <f ca="1">IF(V89="","",INDEX(OFFSET(Arb!$X$2,,,Arb!$AJ$5,),V89)/X89)</f>
        <v>2.7715355805243447</v>
      </c>
      <c r="AA89" s="33">
        <f ca="1">IF(V89="","",(INDEX(OFFSET(Arb!$U$2,,,Arb!$AJ$5,),V89)+INDEX(OFFSET(Arb!$V$2,,,Arb!$AJ$5,),V89))/X89)</f>
        <v>3.161048689138577</v>
      </c>
      <c r="AB89" s="33">
        <f t="shared" ca="1" si="16"/>
        <v>9.3590849778882781</v>
      </c>
      <c r="AC89" s="21">
        <f t="shared" ca="1" si="17"/>
        <v>46.479009542891312</v>
      </c>
      <c r="AD89" s="74">
        <f ca="1">IF(V89="","",DATE(INDEX(OFFSET(Arb!$C$2,,,Arb!$AJ$5,),V89),INDEX(OFFSET(Arb!$B$2,,,Arb!$AJ$5,),V89),INDEX(OFFSET(Arb!$A$2,,,Arb!$AJ$5,),V89))+ROW()*0.001)</f>
        <v>43898.089</v>
      </c>
    </row>
    <row r="90" spans="1:30" x14ac:dyDescent="0.25">
      <c r="A90" s="11">
        <v>89</v>
      </c>
      <c r="B90" s="11">
        <v>1557</v>
      </c>
      <c r="C90" s="433">
        <f ca="1">IF(B90="",16,INDEX(OFFSET(Arb!$I$2,,,Arb!$AJ$5,),B90))</f>
        <v>16</v>
      </c>
      <c r="D90" s="34">
        <f ca="1">IF(B90="",10,INDEX(OFFSET(Arb!$H$2,,,Arb!$AJ$5,),B90))</f>
        <v>3.93</v>
      </c>
      <c r="E90" s="33">
        <f t="shared" ca="1" si="9"/>
        <v>4.0712468193384224</v>
      </c>
      <c r="F90" s="33">
        <f ca="1">IF(B90="","",INDEX(OFFSET(Arb!$X$2,,,Arb!$AJ$5,),B90)/D90)</f>
        <v>4.325699745547074</v>
      </c>
      <c r="G90" s="33">
        <f ca="1">IF(B90="","",(INDEX(OFFSET(Arb!$U$2,,,Arb!$AJ$5,),B90)+INDEX(OFFSET(Arb!$V$2,,,Arb!$AJ$5,),B90))/D90)</f>
        <v>4.5801526717557248</v>
      </c>
      <c r="H90" s="33">
        <f t="shared" ca="1" si="10"/>
        <v>0.64024670634524128</v>
      </c>
      <c r="I90" s="21">
        <f t="shared" ca="1" si="11"/>
        <v>73.876209797313479</v>
      </c>
      <c r="J90" s="74">
        <f ca="1">IF(B90="","",DATE(INDEX(OFFSET(Arb!$C$2,,,Arb!$AJ$5,),B90),INDEX(OFFSET(Arb!$B$2,,,Arb!$AJ$5,),B90),INDEX(OFFSET(Arb!$A$2,,,Arb!$AJ$5,),B90))+ROW()*0.001)</f>
        <v>43989.09</v>
      </c>
      <c r="K90" s="11">
        <v>89</v>
      </c>
      <c r="L90" s="11">
        <v>2334</v>
      </c>
      <c r="M90" s="433">
        <f ca="1">IF(L90="",64,INDEX(OFFSET(Arb!$I$2,,,Arb!$AJ$5,),L90))</f>
        <v>64</v>
      </c>
      <c r="N90" s="34">
        <f ca="1">IF(L90="",60,INDEX(OFFSET(Arb!$H$2,,,Arb!$AJ$5,),L90))</f>
        <v>21.85</v>
      </c>
      <c r="O90" s="33">
        <f t="shared" ca="1" si="12"/>
        <v>2.9290617848970251</v>
      </c>
      <c r="P90" s="33">
        <f ca="1">IF(L90="","",INDEX(OFFSET(Arb!$X$2,,,Arb!$AJ$5,),L90)/N90)</f>
        <v>3.7528604118993134</v>
      </c>
      <c r="Q90" s="33">
        <f ca="1">IF(L90="","",(INDEX(OFFSET(Arb!$U$2,,,Arb!$AJ$5,),L90)+INDEX(OFFSET(Arb!$V$2,,,Arb!$AJ$5,),L90))/N90)</f>
        <v>4.0732265446224254</v>
      </c>
      <c r="R90" s="33">
        <f t="shared" ca="1" si="13"/>
        <v>2.9572461579945655</v>
      </c>
      <c r="S90" s="21">
        <f t="shared" ca="1" si="14"/>
        <v>51.984174392926036</v>
      </c>
      <c r="T90" s="74">
        <f ca="1">IF(L90="","",DATE(INDEX(OFFSET(Arb!$C$2,,,Arb!$AJ$5,),L90),INDEX(OFFSET(Arb!$B$2,,,Arb!$AJ$5,),L90),INDEX(OFFSET(Arb!$A$2,,,Arb!$AJ$5,),L90))+ROW()*0.001)</f>
        <v>44093.09</v>
      </c>
      <c r="U90" s="11">
        <v>89</v>
      </c>
      <c r="V90" s="11">
        <v>3357</v>
      </c>
      <c r="W90" s="433">
        <f ca="1">IF(V90="",164,INDEX(OFFSET(Arb!$I$2,,,Arb!$AJ$5,),V90))</f>
        <v>158</v>
      </c>
      <c r="X90" s="34">
        <f ca="1">IF(V90="",240,INDEX(OFFSET(Arb!$H$2,,,Arb!$AJ$5,),V90))</f>
        <v>66.760000000000005</v>
      </c>
      <c r="Y90" s="33">
        <f t="shared" ca="1" si="15"/>
        <v>2.3666866387058119</v>
      </c>
      <c r="Z90" s="33">
        <f ca="1">IF(V90="","",INDEX(OFFSET(Arb!$X$2,,,Arb!$AJ$5,),V90)/X90)</f>
        <v>2.875973636908328</v>
      </c>
      <c r="AA90" s="33">
        <f ca="1">IF(V90="","",(INDEX(OFFSET(Arb!$U$2,,,Arb!$AJ$5,),V90)+INDEX(OFFSET(Arb!$V$2,,,Arb!$AJ$5,),V90))/X90)</f>
        <v>3.2204913121629715</v>
      </c>
      <c r="AB90" s="33">
        <f t="shared" ca="1" si="16"/>
        <v>7.9987232478308536</v>
      </c>
      <c r="AC90" s="21">
        <f t="shared" ca="1" si="17"/>
        <v>54.383804330018094</v>
      </c>
      <c r="AD90" s="74">
        <f ca="1">IF(V90="","",DATE(INDEX(OFFSET(Arb!$C$2,,,Arb!$AJ$5,),V90),INDEX(OFFSET(Arb!$B$2,,,Arb!$AJ$5,),V90),INDEX(OFFSET(Arb!$A$2,,,Arb!$AJ$5,),V90))+ROW()*0.001)</f>
        <v>44099.09</v>
      </c>
    </row>
    <row r="91" spans="1:30" x14ac:dyDescent="0.25">
      <c r="A91" s="11">
        <v>90</v>
      </c>
      <c r="B91" s="11">
        <v>881</v>
      </c>
      <c r="C91" s="433">
        <f ca="1">IF(B91="",16,INDEX(OFFSET(Arb!$I$2,,,Arb!$AJ$5,),B91))</f>
        <v>12</v>
      </c>
      <c r="D91" s="34">
        <f ca="1">IF(B91="",10,INDEX(OFFSET(Arb!$H$2,,,Arb!$AJ$5,),B91))</f>
        <v>3.93</v>
      </c>
      <c r="E91" s="33">
        <f t="shared" ca="1" si="9"/>
        <v>3.0534351145038165</v>
      </c>
      <c r="F91" s="33">
        <f ca="1">IF(B91="","",INDEX(OFFSET(Arb!$X$2,,,Arb!$AJ$5,),B91)/D91)</f>
        <v>3.3078880407124682</v>
      </c>
      <c r="G91" s="33">
        <f ca="1">IF(B91="","",(INDEX(OFFSET(Arb!$U$2,,,Arb!$AJ$5,),B91)+INDEX(OFFSET(Arb!$V$2,,,Arb!$AJ$5,),B91))/D91)</f>
        <v>3.5623409669211195</v>
      </c>
      <c r="H91" s="33">
        <f t="shared" ca="1" si="10"/>
        <v>0.85366227512698833</v>
      </c>
      <c r="I91" s="21">
        <f t="shared" ca="1" si="11"/>
        <v>55.407157347985112</v>
      </c>
      <c r="J91" s="74">
        <f ca="1">IF(B91="","",DATE(INDEX(OFFSET(Arb!$C$2,,,Arb!$AJ$5,),B91),INDEX(OFFSET(Arb!$B$2,,,Arb!$AJ$5,),B91),INDEX(OFFSET(Arb!$A$2,,,Arb!$AJ$5,),B91))+ROW()*0.001)</f>
        <v>43818.091</v>
      </c>
      <c r="K91" s="11">
        <v>90</v>
      </c>
      <c r="L91" s="11">
        <v>2236</v>
      </c>
      <c r="M91" s="433">
        <f ca="1">IF(L91="",64,INDEX(OFFSET(Arb!$I$2,,,Arb!$AJ$5,),L91))</f>
        <v>48</v>
      </c>
      <c r="N91" s="34">
        <f ca="1">IF(L91="",60,INDEX(OFFSET(Arb!$H$2,,,Arb!$AJ$5,),L91))</f>
        <v>21.93</v>
      </c>
      <c r="O91" s="33">
        <f t="shared" ca="1" si="12"/>
        <v>2.188782489740082</v>
      </c>
      <c r="P91" s="33">
        <f ca="1">IF(L91="","",INDEX(OFFSET(Arb!$X$2,,,Arb!$AJ$5,),L91)/N91)</f>
        <v>3.0551755585955314</v>
      </c>
      <c r="Q91" s="33">
        <f ca="1">IF(L91="","",(INDEX(OFFSET(Arb!$U$2,,,Arb!$AJ$5,),L91)+INDEX(OFFSET(Arb!$V$2,,,Arb!$AJ$5,),L91))/N91)</f>
        <v>3.5111719106247152</v>
      </c>
      <c r="R91" s="33">
        <f t="shared" ca="1" si="13"/>
        <v>3.9675685264754907</v>
      </c>
      <c r="S91" s="21">
        <f t="shared" ca="1" si="14"/>
        <v>38.746652760793758</v>
      </c>
      <c r="T91" s="74">
        <f ca="1">IF(L91="","",DATE(INDEX(OFFSET(Arb!$C$2,,,Arb!$AJ$5,),L91),INDEX(OFFSET(Arb!$B$2,,,Arb!$AJ$5,),L91),INDEX(OFFSET(Arb!$A$2,,,Arb!$AJ$5,),L91))+ROW()*0.001)</f>
        <v>43890.091</v>
      </c>
      <c r="U91" s="11">
        <v>90</v>
      </c>
      <c r="V91" s="11">
        <v>2738</v>
      </c>
      <c r="W91" s="433">
        <f ca="1">IF(V91="",164,INDEX(OFFSET(Arb!$I$2,,,Arb!$AJ$5,),V91))</f>
        <v>158</v>
      </c>
      <c r="X91" s="34">
        <f ca="1">IF(V91="",240,INDEX(OFFSET(Arb!$H$2,,,Arb!$AJ$5,),V91))</f>
        <v>66.97</v>
      </c>
      <c r="Y91" s="33">
        <f t="shared" ca="1" si="15"/>
        <v>2.3592653426907573</v>
      </c>
      <c r="Z91" s="33">
        <f ca="1">IF(V91="","",INDEX(OFFSET(Arb!$X$2,,,Arb!$AJ$5,),V91)/X91)</f>
        <v>2.9714797670598778</v>
      </c>
      <c r="AA91" s="33">
        <f ca="1">IF(V91="","",(INDEX(OFFSET(Arb!$U$2,,,Arb!$AJ$5,),V91)+INDEX(OFFSET(Arb!$V$2,,,Arb!$AJ$5,),V91))/X91)</f>
        <v>3.2701209496789607</v>
      </c>
      <c r="AB91" s="33">
        <f t="shared" ca="1" si="16"/>
        <v>8.0415436050458151</v>
      </c>
      <c r="AC91" s="21">
        <f t="shared" ca="1" si="17"/>
        <v>54.094216404802005</v>
      </c>
      <c r="AD91" s="74">
        <f ca="1">IF(V91="","",DATE(INDEX(OFFSET(Arb!$C$2,,,Arb!$AJ$5,),V91),INDEX(OFFSET(Arb!$B$2,,,Arb!$AJ$5,),V91),INDEX(OFFSET(Arb!$A$2,,,Arb!$AJ$5,),V91))+ROW()*0.001)</f>
        <v>43869.091</v>
      </c>
    </row>
    <row r="92" spans="1:30" x14ac:dyDescent="0.25">
      <c r="A92" s="11">
        <v>91</v>
      </c>
      <c r="B92" s="11">
        <v>372</v>
      </c>
      <c r="C92" s="433">
        <f ca="1">IF(B92="",16,INDEX(OFFSET(Arb!$I$2,,,Arb!$AJ$5,),B92))</f>
        <v>10</v>
      </c>
      <c r="D92" s="34">
        <f ca="1">IF(B92="",10,INDEX(OFFSET(Arb!$H$2,,,Arb!$AJ$5,),B92))</f>
        <v>3.93</v>
      </c>
      <c r="E92" s="33">
        <f t="shared" ca="1" si="9"/>
        <v>2.5445292620865141</v>
      </c>
      <c r="F92" s="33">
        <f ca="1">IF(B92="","",INDEX(OFFSET(Arb!$X$2,,,Arb!$AJ$5,),B92)/D92)</f>
        <v>3.3078880407124682</v>
      </c>
      <c r="G92" s="33">
        <f ca="1">IF(B92="","",(INDEX(OFFSET(Arb!$U$2,,,Arb!$AJ$5,),B92)+INDEX(OFFSET(Arb!$V$2,,,Arb!$AJ$5,),B92))/D92)</f>
        <v>3.8167938931297707</v>
      </c>
      <c r="H92" s="33">
        <f t="shared" ca="1" si="10"/>
        <v>1.0243947301523861</v>
      </c>
      <c r="I92" s="21">
        <f t="shared" ca="1" si="11"/>
        <v>46.172631123320919</v>
      </c>
      <c r="J92" s="74">
        <f ca="1">IF(B92="","",DATE(INDEX(OFFSET(Arb!$C$2,,,Arb!$AJ$5,),B92),INDEX(OFFSET(Arb!$B$2,,,Arb!$AJ$5,),B92),INDEX(OFFSET(Arb!$A$2,,,Arb!$AJ$5,),B92))+ROW()*0.001)</f>
        <v>43781.091999999997</v>
      </c>
      <c r="K92" s="11">
        <v>91</v>
      </c>
      <c r="L92" s="11">
        <v>2240</v>
      </c>
      <c r="M92" s="433">
        <f ca="1">IF(L92="",64,INDEX(OFFSET(Arb!$I$2,,,Arb!$AJ$5,),L92))</f>
        <v>62</v>
      </c>
      <c r="N92" s="34">
        <f ca="1">IF(L92="",60,INDEX(OFFSET(Arb!$H$2,,,Arb!$AJ$5,),L92))</f>
        <v>22.03</v>
      </c>
      <c r="O92" s="33">
        <f t="shared" ca="1" si="12"/>
        <v>2.8143440762596459</v>
      </c>
      <c r="P92" s="33">
        <f ca="1">IF(L92="","",INDEX(OFFSET(Arb!$X$2,,,Arb!$AJ$5,),L92)/N92)</f>
        <v>3.1320926009986381</v>
      </c>
      <c r="Q92" s="33">
        <f ca="1">IF(L92="","",(INDEX(OFFSET(Arb!$U$2,,,Arb!$AJ$5,),L92)+INDEX(OFFSET(Arb!$V$2,,,Arb!$AJ$5,),L92))/N92)</f>
        <v>3.4498411257376302</v>
      </c>
      <c r="R92" s="33">
        <f t="shared" ca="1" si="13"/>
        <v>3.0955153053103679</v>
      </c>
      <c r="S92" s="21">
        <f t="shared" ca="1" si="14"/>
        <v>49.662167632082323</v>
      </c>
      <c r="T92" s="74">
        <f ca="1">IF(L92="","",DATE(INDEX(OFFSET(Arb!$C$2,,,Arb!$AJ$5,),L92),INDEX(OFFSET(Arb!$B$2,,,Arb!$AJ$5,),L92),INDEX(OFFSET(Arb!$A$2,,,Arb!$AJ$5,),L92))+ROW()*0.001)</f>
        <v>43890.091999999997</v>
      </c>
      <c r="U92" s="11">
        <v>91</v>
      </c>
      <c r="V92" s="11">
        <v>3386</v>
      </c>
      <c r="W92" s="433">
        <f ca="1">IF(V92="",164,INDEX(OFFSET(Arb!$I$2,,,Arb!$AJ$5,),V92))</f>
        <v>174</v>
      </c>
      <c r="X92" s="34">
        <f ca="1">IF(V92="",240,INDEX(OFFSET(Arb!$H$2,,,Arb!$AJ$5,),V92))</f>
        <v>66.98</v>
      </c>
      <c r="Y92" s="33">
        <f t="shared" ca="1" si="15"/>
        <v>2.5977903851896085</v>
      </c>
      <c r="Z92" s="33">
        <f ca="1">IF(V92="","",INDEX(OFFSET(Arb!$X$2,,,Arb!$AJ$5,),V92)/X92)</f>
        <v>2.8814571513884739</v>
      </c>
      <c r="AA92" s="33">
        <f ca="1">IF(V92="","",(INDEX(OFFSET(Arb!$U$2,,,Arb!$AJ$5,),V92)+INDEX(OFFSET(Arb!$V$2,,,Arb!$AJ$5,),V92))/X92)</f>
        <v>3.3741415347865034</v>
      </c>
      <c r="AB92" s="33">
        <f t="shared" ca="1" si="16"/>
        <v>7.3039450158052679</v>
      </c>
      <c r="AC92" s="21">
        <f t="shared" ca="1" si="17"/>
        <v>59.556992701709248</v>
      </c>
      <c r="AD92" s="74">
        <f ca="1">IF(V92="","",DATE(INDEX(OFFSET(Arb!$C$2,,,Arb!$AJ$5,),V92),INDEX(OFFSET(Arb!$B$2,,,Arb!$AJ$5,),V92),INDEX(OFFSET(Arb!$A$2,,,Arb!$AJ$5,),V92))+ROW()*0.001)</f>
        <v>44137.091999999997</v>
      </c>
    </row>
    <row r="93" spans="1:30" x14ac:dyDescent="0.25">
      <c r="A93" s="11">
        <v>92</v>
      </c>
      <c r="B93" s="11">
        <v>1479</v>
      </c>
      <c r="C93" s="433">
        <f ca="1">IF(B93="",16,INDEX(OFFSET(Arb!$I$2,,,Arb!$AJ$5,),B93))</f>
        <v>10</v>
      </c>
      <c r="D93" s="34">
        <f ca="1">IF(B93="",10,INDEX(OFFSET(Arb!$H$2,,,Arb!$AJ$5,),B93))</f>
        <v>3.94</v>
      </c>
      <c r="E93" s="33">
        <f t="shared" ca="1" si="9"/>
        <v>2.5380710659898478</v>
      </c>
      <c r="F93" s="33">
        <f ca="1">IF(B93="","",INDEX(OFFSET(Arb!$X$2,,,Arb!$AJ$5,),B93)/D93)</f>
        <v>3.2994923857868019</v>
      </c>
      <c r="G93" s="33">
        <f ca="1">IF(B93="","",(INDEX(OFFSET(Arb!$U$2,,,Arb!$AJ$5,),B93)+INDEX(OFFSET(Arb!$V$2,,,Arb!$AJ$5,),B93))/D93)</f>
        <v>3.8071065989847717</v>
      </c>
      <c r="H93" s="33">
        <f t="shared" ca="1" si="10"/>
        <v>1.0288298995553253</v>
      </c>
      <c r="I93" s="21">
        <f t="shared" ca="1" si="11"/>
        <v>45.973586129683135</v>
      </c>
      <c r="J93" s="74">
        <f ca="1">IF(B93="","",DATE(INDEX(OFFSET(Arb!$C$2,,,Arb!$AJ$5,),B93),INDEX(OFFSET(Arb!$B$2,,,Arb!$AJ$5,),B93),INDEX(OFFSET(Arb!$A$2,,,Arb!$AJ$5,),B93))+ROW()*0.001)</f>
        <v>43953.093000000001</v>
      </c>
      <c r="K93" s="11">
        <v>92</v>
      </c>
      <c r="L93" s="11">
        <v>2351</v>
      </c>
      <c r="M93" s="433">
        <f ca="1">IF(L93="",64,INDEX(OFFSET(Arb!$I$2,,,Arb!$AJ$5,),L93))</f>
        <v>57</v>
      </c>
      <c r="N93" s="34">
        <f ca="1">IF(L93="",60,INDEX(OFFSET(Arb!$H$2,,,Arb!$AJ$5,),L93))</f>
        <v>22.06</v>
      </c>
      <c r="O93" s="33">
        <f t="shared" ca="1" si="12"/>
        <v>2.5838621940163193</v>
      </c>
      <c r="P93" s="33">
        <f ca="1">IF(L93="","",INDEX(OFFSET(Arb!$X$2,,,Arb!$AJ$5,),L93)/N93)</f>
        <v>3.2638259292837719</v>
      </c>
      <c r="Q93" s="33">
        <f ca="1">IF(L93="","",(INDEX(OFFSET(Arb!$U$2,,,Arb!$AJ$5,),L93)+INDEX(OFFSET(Arb!$V$2,,,Arb!$AJ$5,),L93))/N93)</f>
        <v>3.6264732547597465</v>
      </c>
      <c r="R93" s="33">
        <f t="shared" ca="1" si="13"/>
        <v>3.3748502591081353</v>
      </c>
      <c r="S93" s="21">
        <f t="shared" ca="1" si="14"/>
        <v>45.551650650309412</v>
      </c>
      <c r="T93" s="74">
        <f ca="1">IF(L93="","",DATE(INDEX(OFFSET(Arb!$C$2,,,Arb!$AJ$5,),L93),INDEX(OFFSET(Arb!$B$2,,,Arb!$AJ$5,),L93),INDEX(OFFSET(Arb!$A$2,,,Arb!$AJ$5,),L93))+ROW()*0.001)</f>
        <v>44106.093000000001</v>
      </c>
      <c r="U93" s="11">
        <v>92</v>
      </c>
      <c r="V93" s="11">
        <v>3055</v>
      </c>
      <c r="W93" s="433">
        <f ca="1">IF(V93="",164,INDEX(OFFSET(Arb!$I$2,,,Arb!$AJ$5,),V93))</f>
        <v>160</v>
      </c>
      <c r="X93" s="34">
        <f ca="1">IF(V93="",240,INDEX(OFFSET(Arb!$H$2,,,Arb!$AJ$5,),V93))</f>
        <v>66.989999999999995</v>
      </c>
      <c r="Y93" s="33">
        <f t="shared" ca="1" si="15"/>
        <v>2.3884161815196299</v>
      </c>
      <c r="Z93" s="33">
        <f ca="1">IF(V93="","",INDEX(OFFSET(Arb!$X$2,,,Arb!$AJ$5,),V93)/X93)</f>
        <v>2.7914614121510675</v>
      </c>
      <c r="AA93" s="33">
        <f ca="1">IF(V93="","",(INDEX(OFFSET(Arb!$U$2,,,Arb!$AJ$5,),V93)+INDEX(OFFSET(Arb!$V$2,,,Arb!$AJ$5,),V93))/X93)</f>
        <v>3.0750858337065234</v>
      </c>
      <c r="AB93" s="33">
        <f t="shared" ca="1" si="16"/>
        <v>7.9450563100834923</v>
      </c>
      <c r="AC93" s="21">
        <f t="shared" ca="1" si="17"/>
        <v>54.751153802134432</v>
      </c>
      <c r="AD93" s="74">
        <f ca="1">IF(V93="","",DATE(INDEX(OFFSET(Arb!$C$2,,,Arb!$AJ$5,),V93),INDEX(OFFSET(Arb!$B$2,,,Arb!$AJ$5,),V93),INDEX(OFFSET(Arb!$A$2,,,Arb!$AJ$5,),V93))+ROW()*0.001)</f>
        <v>43982.093000000001</v>
      </c>
    </row>
    <row r="94" spans="1:30" x14ac:dyDescent="0.25">
      <c r="A94" s="11">
        <v>93</v>
      </c>
      <c r="B94" s="11">
        <v>1636</v>
      </c>
      <c r="C94" s="433">
        <f ca="1">IF(B94="",16,INDEX(OFFSET(Arb!$I$2,,,Arb!$AJ$5,),B94))</f>
        <v>16</v>
      </c>
      <c r="D94" s="34">
        <f ca="1">IF(B94="",10,INDEX(OFFSET(Arb!$H$2,,,Arb!$AJ$5,),B94))</f>
        <v>3.95</v>
      </c>
      <c r="E94" s="33">
        <f t="shared" ca="1" si="9"/>
        <v>4.0506329113924044</v>
      </c>
      <c r="F94" s="33">
        <f ca="1">IF(B94="","",INDEX(OFFSET(Arb!$X$2,,,Arb!$AJ$5,),B94)/D94)</f>
        <v>5.0632911392405058</v>
      </c>
      <c r="G94" s="33">
        <f ca="1">IF(B94="","",(INDEX(OFFSET(Arb!$U$2,,,Arb!$AJ$5,),B94)+INDEX(OFFSET(Arb!$V$2,,,Arb!$AJ$5,),B94))/D94)</f>
        <v>5.0632911392405058</v>
      </c>
      <c r="H94" s="33">
        <f t="shared" ca="1" si="10"/>
        <v>0.64579559731892844</v>
      </c>
      <c r="I94" s="21">
        <f t="shared" ca="1" si="11"/>
        <v>73.241440784615975</v>
      </c>
      <c r="J94" s="74">
        <f ca="1">IF(B94="","",DATE(INDEX(OFFSET(Arb!$C$2,,,Arb!$AJ$5,),B94),INDEX(OFFSET(Arb!$B$2,,,Arb!$AJ$5,),B94),INDEX(OFFSET(Arb!$A$2,,,Arb!$AJ$5,),B94))+ROW()*0.001)</f>
        <v>44093.093999999997</v>
      </c>
      <c r="K94" s="11">
        <v>93</v>
      </c>
      <c r="L94" s="11">
        <v>2182</v>
      </c>
      <c r="M94" s="433">
        <f ca="1">IF(L94="",64,INDEX(OFFSET(Arb!$I$2,,,Arb!$AJ$5,),L94))</f>
        <v>51</v>
      </c>
      <c r="N94" s="34">
        <f ca="1">IF(L94="",60,INDEX(OFFSET(Arb!$H$2,,,Arb!$AJ$5,),L94))</f>
        <v>22.08</v>
      </c>
      <c r="O94" s="33">
        <f t="shared" ca="1" si="12"/>
        <v>2.3097826086956523</v>
      </c>
      <c r="P94" s="33">
        <f ca="1">IF(L94="","",INDEX(OFFSET(Arb!$X$2,,,Arb!$AJ$5,),L94)/N94)</f>
        <v>2.6721014492753623</v>
      </c>
      <c r="Q94" s="33">
        <f ca="1">IF(L94="","",(INDEX(OFFSET(Arb!$U$2,,,Arb!$AJ$5,),L94)+INDEX(OFFSET(Arb!$V$2,,,Arb!$AJ$5,),L94))/N94)</f>
        <v>3.2608695652173916</v>
      </c>
      <c r="R94" s="33">
        <f t="shared" ca="1" si="13"/>
        <v>3.7777067425888604</v>
      </c>
      <c r="S94" s="21">
        <f t="shared" ca="1" si="14"/>
        <v>40.694000481003165</v>
      </c>
      <c r="T94" s="74">
        <f ca="1">IF(L94="","",DATE(INDEX(OFFSET(Arb!$C$2,,,Arb!$AJ$5,),L94),INDEX(OFFSET(Arb!$B$2,,,Arb!$AJ$5,),L94),INDEX(OFFSET(Arb!$A$2,,,Arb!$AJ$5,),L94))+ROW()*0.001)</f>
        <v>43840.093999999997</v>
      </c>
      <c r="U94" s="11">
        <v>93</v>
      </c>
      <c r="V94" s="11">
        <v>3145</v>
      </c>
      <c r="W94" s="433">
        <f ca="1">IF(V94="",164,INDEX(OFFSET(Arb!$I$2,,,Arb!$AJ$5,),V94))</f>
        <v>152</v>
      </c>
      <c r="X94" s="34">
        <f ca="1">IF(V94="",240,INDEX(OFFSET(Arb!$H$2,,,Arb!$AJ$5,),V94))</f>
        <v>67.010000000000005</v>
      </c>
      <c r="Y94" s="33">
        <f t="shared" ca="1" si="15"/>
        <v>2.2683181614684376</v>
      </c>
      <c r="Z94" s="33">
        <f ca="1">IF(V94="","",INDEX(OFFSET(Arb!$X$2,,,Arb!$AJ$5,),V94)/X94)</f>
        <v>2.8503208476346811</v>
      </c>
      <c r="AA94" s="33">
        <f ca="1">IF(V94="","",(INDEX(OFFSET(Arb!$U$2,,,Arb!$AJ$5,),V94)+INDEX(OFFSET(Arb!$V$2,,,Arb!$AJ$5,),V94))/X94)</f>
        <v>3.2233994926130425</v>
      </c>
      <c r="AB94" s="33">
        <f t="shared" ca="1" si="16"/>
        <v>8.3674622662163927</v>
      </c>
      <c r="AC94" s="21">
        <f t="shared" ca="1" si="17"/>
        <v>51.987207848706461</v>
      </c>
      <c r="AD94" s="74">
        <f ca="1">IF(V94="","",DATE(INDEX(OFFSET(Arb!$C$2,,,Arb!$AJ$5,),V94),INDEX(OFFSET(Arb!$B$2,,,Arb!$AJ$5,),V94),INDEX(OFFSET(Arb!$A$2,,,Arb!$AJ$5,),V94))+ROW()*0.001)</f>
        <v>44024.093999999997</v>
      </c>
    </row>
    <row r="95" spans="1:30" x14ac:dyDescent="0.25">
      <c r="A95" s="11">
        <v>94</v>
      </c>
      <c r="B95" s="11">
        <v>1193</v>
      </c>
      <c r="C95" s="433">
        <f ca="1">IF(B95="",16,INDEX(OFFSET(Arb!$I$2,,,Arb!$AJ$5,),B95))</f>
        <v>15</v>
      </c>
      <c r="D95" s="34">
        <f ca="1">IF(B95="",10,INDEX(OFFSET(Arb!$H$2,,,Arb!$AJ$5,),B95))</f>
        <v>3.95</v>
      </c>
      <c r="E95" s="33">
        <f t="shared" ca="1" si="9"/>
        <v>3.7974683544303796</v>
      </c>
      <c r="F95" s="33">
        <f ca="1">IF(B95="","",INDEX(OFFSET(Arb!$X$2,,,Arb!$AJ$5,),B95)/D95)</f>
        <v>3.7974683544303796</v>
      </c>
      <c r="G95" s="33">
        <f ca="1">IF(B95="","",(INDEX(OFFSET(Arb!$U$2,,,Arb!$AJ$5,),B95)+INDEX(OFFSET(Arb!$V$2,,,Arb!$AJ$5,),B95))/D95)</f>
        <v>4.0506329113924044</v>
      </c>
      <c r="H95" s="33">
        <f t="shared" ca="1" si="10"/>
        <v>0.68884863714019029</v>
      </c>
      <c r="I95" s="21">
        <f t="shared" ca="1" si="11"/>
        <v>68.663850735577483</v>
      </c>
      <c r="J95" s="74">
        <f ca="1">IF(B95="","",DATE(INDEX(OFFSET(Arb!$C$2,,,Arb!$AJ$5,),B95),INDEX(OFFSET(Arb!$B$2,,,Arb!$AJ$5,),B95),INDEX(OFFSET(Arb!$A$2,,,Arb!$AJ$5,),B95))+ROW()*0.001)</f>
        <v>43893.095000000001</v>
      </c>
      <c r="K95" s="11">
        <v>94</v>
      </c>
      <c r="L95" s="11">
        <v>2283</v>
      </c>
      <c r="M95" s="433">
        <f ca="1">IF(L95="",64,INDEX(OFFSET(Arb!$I$2,,,Arb!$AJ$5,),L95))</f>
        <v>57</v>
      </c>
      <c r="N95" s="34">
        <f ca="1">IF(L95="",60,INDEX(OFFSET(Arb!$H$2,,,Arb!$AJ$5,),L95))</f>
        <v>22.1</v>
      </c>
      <c r="O95" s="33">
        <f t="shared" ca="1" si="12"/>
        <v>2.5791855203619907</v>
      </c>
      <c r="P95" s="33">
        <f ca="1">IF(L95="","",INDEX(OFFSET(Arb!$X$2,,,Arb!$AJ$5,),L95)/N95)</f>
        <v>3.5294117647058822</v>
      </c>
      <c r="Q95" s="33">
        <f ca="1">IF(L95="","",(INDEX(OFFSET(Arb!$U$2,,,Arb!$AJ$5,),L95)+INDEX(OFFSET(Arb!$V$2,,,Arb!$AJ$5,),L95))/N95)</f>
        <v>3.9819004524886874</v>
      </c>
      <c r="R95" s="33">
        <f t="shared" ca="1" si="13"/>
        <v>3.385259843559477</v>
      </c>
      <c r="S95" s="21">
        <f t="shared" ca="1" si="14"/>
        <v>45.411580529770653</v>
      </c>
      <c r="T95" s="74">
        <f ca="1">IF(L95="","",DATE(INDEX(OFFSET(Arb!$C$2,,,Arb!$AJ$5,),L95),INDEX(OFFSET(Arb!$B$2,,,Arb!$AJ$5,),L95),INDEX(OFFSET(Arb!$A$2,,,Arb!$AJ$5,),L95))+ROW()*0.001)</f>
        <v>43935.095000000001</v>
      </c>
      <c r="U95" s="11">
        <v>94</v>
      </c>
      <c r="V95" s="11">
        <v>3399</v>
      </c>
      <c r="W95" s="433">
        <f ca="1">IF(V95="",164,INDEX(OFFSET(Arb!$I$2,,,Arb!$AJ$5,),V95))</f>
        <v>161</v>
      </c>
      <c r="X95" s="34">
        <f ca="1">IF(V95="",240,INDEX(OFFSET(Arb!$H$2,,,Arb!$AJ$5,),V95))</f>
        <v>67.06</v>
      </c>
      <c r="Y95" s="33">
        <f t="shared" ca="1" si="15"/>
        <v>2.4008350730688934</v>
      </c>
      <c r="Z95" s="33">
        <f ca="1">IF(V95="","",INDEX(OFFSET(Arb!$X$2,,,Arb!$AJ$5,),V95)/X95)</f>
        <v>2.728899492991351</v>
      </c>
      <c r="AA95" s="33">
        <f ca="1">IF(V95="","",(INDEX(OFFSET(Arb!$U$2,,,Arb!$AJ$5,),V95)+INDEX(OFFSET(Arb!$V$2,,,Arb!$AJ$5,),V95))/X95)</f>
        <v>2.9227557411273484</v>
      </c>
      <c r="AB95" s="33">
        <f t="shared" ca="1" si="16"/>
        <v>7.9097390771392115</v>
      </c>
      <c r="AC95" s="21">
        <f t="shared" ca="1" si="17"/>
        <v>54.995619420271801</v>
      </c>
      <c r="AD95" s="74">
        <f ca="1">IF(V95="","",DATE(INDEX(OFFSET(Arb!$C$2,,,Arb!$AJ$5,),V95),INDEX(OFFSET(Arb!$B$2,,,Arb!$AJ$5,),V95),INDEX(OFFSET(Arb!$A$2,,,Arb!$AJ$5,),V95))+ROW()*0.001)</f>
        <v>44144.095000000001</v>
      </c>
    </row>
    <row r="96" spans="1:30" x14ac:dyDescent="0.25">
      <c r="A96" s="11">
        <v>95</v>
      </c>
      <c r="B96" s="11">
        <v>367</v>
      </c>
      <c r="C96" s="433">
        <f ca="1">IF(B96="",16,INDEX(OFFSET(Arb!$I$2,,,Arb!$AJ$5,),B96))</f>
        <v>11</v>
      </c>
      <c r="D96" s="34">
        <f ca="1">IF(B96="",10,INDEX(OFFSET(Arb!$H$2,,,Arb!$AJ$5,),B96))</f>
        <v>3.96</v>
      </c>
      <c r="E96" s="33">
        <f t="shared" ca="1" si="9"/>
        <v>2.7777777777777777</v>
      </c>
      <c r="F96" s="33">
        <f ca="1">IF(B96="","",INDEX(OFFSET(Arb!$X$2,,,Arb!$AJ$5,),B96)/D96)</f>
        <v>3.0303030303030303</v>
      </c>
      <c r="G96" s="33">
        <f ca="1">IF(B96="","",(INDEX(OFFSET(Arb!$U$2,,,Arb!$AJ$5,),B96)+INDEX(OFFSET(Arb!$V$2,,,Arb!$AJ$5,),B96))/D96)</f>
        <v>3.5353535353535355</v>
      </c>
      <c r="H96" s="33">
        <f t="shared" ca="1" si="10"/>
        <v>0.94338535692909609</v>
      </c>
      <c r="I96" s="21">
        <f t="shared" ca="1" si="11"/>
        <v>50.137517667189044</v>
      </c>
      <c r="J96" s="74">
        <f ca="1">IF(B96="","",DATE(INDEX(OFFSET(Arb!$C$2,,,Arb!$AJ$5,),B96),INDEX(OFFSET(Arb!$B$2,,,Arb!$AJ$5,),B96),INDEX(OFFSET(Arb!$A$2,,,Arb!$AJ$5,),B96))+ROW()*0.001)</f>
        <v>43781.095999999998</v>
      </c>
      <c r="K96" s="11">
        <v>95</v>
      </c>
      <c r="L96" s="11">
        <v>2036</v>
      </c>
      <c r="M96" s="433">
        <f ca="1">IF(L96="",64,INDEX(OFFSET(Arb!$I$2,,,Arb!$AJ$5,),L96))</f>
        <v>59</v>
      </c>
      <c r="N96" s="34">
        <f ca="1">IF(L96="",60,INDEX(OFFSET(Arb!$H$2,,,Arb!$AJ$5,),L96))</f>
        <v>22.16</v>
      </c>
      <c r="O96" s="33">
        <f t="shared" ca="1" si="12"/>
        <v>2.6624548736462095</v>
      </c>
      <c r="P96" s="33">
        <f ca="1">IF(L96="","",INDEX(OFFSET(Arb!$X$2,,,Arb!$AJ$5,),L96)/N96)</f>
        <v>3.2039711191335738</v>
      </c>
      <c r="Q96" s="33">
        <f ca="1">IF(L96="","",(INDEX(OFFSET(Arb!$U$2,,,Arb!$AJ$5,),L96)+INDEX(OFFSET(Arb!$V$2,,,Arb!$AJ$5,),L96))/N96)</f>
        <v>3.6552346570397112</v>
      </c>
      <c r="R96" s="33">
        <f t="shared" ca="1" si="13"/>
        <v>3.2856142517431404</v>
      </c>
      <c r="S96" s="21">
        <f t="shared" ca="1" si="14"/>
        <v>46.788815795536713</v>
      </c>
      <c r="T96" s="74">
        <f ca="1">IF(L96="","",DATE(INDEX(OFFSET(Arb!$C$2,,,Arb!$AJ$5,),L96),INDEX(OFFSET(Arb!$B$2,,,Arb!$AJ$5,),L96),INDEX(OFFSET(Arb!$A$2,,,Arb!$AJ$5,),L96))+ROW()*0.001)</f>
        <v>43797.095999999998</v>
      </c>
      <c r="U96" s="11">
        <v>95</v>
      </c>
      <c r="V96" s="11">
        <v>3415</v>
      </c>
      <c r="W96" s="433">
        <f ca="1">IF(V96="",164,INDEX(OFFSET(Arb!$I$2,,,Arb!$AJ$5,),V96))</f>
        <v>154</v>
      </c>
      <c r="X96" s="34">
        <f ca="1">IF(V96="",240,INDEX(OFFSET(Arb!$H$2,,,Arb!$AJ$5,),V96))</f>
        <v>67.069999999999993</v>
      </c>
      <c r="Y96" s="33">
        <f t="shared" ca="1" si="15"/>
        <v>2.2961085433129567</v>
      </c>
      <c r="Z96" s="33">
        <f ca="1">IF(V96="","",INDEX(OFFSET(Arb!$X$2,,,Arb!$AJ$5,),V96)/X96)</f>
        <v>2.4750260921425378</v>
      </c>
      <c r="AA96" s="33">
        <f ca="1">IF(V96="","",(INDEX(OFFSET(Arb!$U$2,,,Arb!$AJ$5,),V96)+INDEX(OFFSET(Arb!$V$2,,,Arb!$AJ$5,),V96))/X96)</f>
        <v>2.728492619651111</v>
      </c>
      <c r="AB96" s="33">
        <f t="shared" ca="1" si="16"/>
        <v>8.271369077345625</v>
      </c>
      <c r="AC96" s="21">
        <f t="shared" ca="1" si="17"/>
        <v>52.591172746893875</v>
      </c>
      <c r="AD96" s="74">
        <f ca="1">IF(V96="","",DATE(INDEX(OFFSET(Arb!$C$2,,,Arb!$AJ$5,),V96),INDEX(OFFSET(Arb!$B$2,,,Arb!$AJ$5,),V96),INDEX(OFFSET(Arb!$A$2,,,Arb!$AJ$5,),V96))+ROW()*0.001)</f>
        <v>44147.095999999998</v>
      </c>
    </row>
    <row r="97" spans="1:30" x14ac:dyDescent="0.25">
      <c r="A97" s="11">
        <v>96</v>
      </c>
      <c r="B97" s="11">
        <v>521</v>
      </c>
      <c r="C97" s="433">
        <f ca="1">IF(B97="",16,INDEX(OFFSET(Arb!$I$2,,,Arb!$AJ$5,),B97))</f>
        <v>10</v>
      </c>
      <c r="D97" s="34">
        <f ca="1">IF(B97="",10,INDEX(OFFSET(Arb!$H$2,,,Arb!$AJ$5,),B97))</f>
        <v>3.97</v>
      </c>
      <c r="E97" s="33">
        <f t="shared" ca="1" si="9"/>
        <v>2.5188916876574305</v>
      </c>
      <c r="F97" s="33">
        <f ca="1">IF(B97="","",INDEX(OFFSET(Arb!$X$2,,,Arb!$AJ$5,),B97)/D97)</f>
        <v>2.5188916876574305</v>
      </c>
      <c r="G97" s="33">
        <f ca="1">IF(B97="","",(INDEX(OFFSET(Arb!$U$2,,,Arb!$AJ$5,),B97)+INDEX(OFFSET(Arb!$V$2,,,Arb!$AJ$5,),B97))/D97)</f>
        <v>3.2745591939546599</v>
      </c>
      <c r="H97" s="33">
        <f t="shared" ca="1" si="10"/>
        <v>1.0421827043149221</v>
      </c>
      <c r="I97" s="21">
        <f t="shared" ca="1" si="11"/>
        <v>45.384556665706668</v>
      </c>
      <c r="J97" s="74">
        <f ca="1">IF(B97="","",DATE(INDEX(OFFSET(Arb!$C$2,,,Arb!$AJ$5,),B97),INDEX(OFFSET(Arb!$B$2,,,Arb!$AJ$5,),B97),INDEX(OFFSET(Arb!$A$2,,,Arb!$AJ$5,),B97))+ROW()*0.001)</f>
        <v>43790.097000000002</v>
      </c>
      <c r="K97" s="11">
        <v>96</v>
      </c>
      <c r="L97" s="11">
        <v>2407</v>
      </c>
      <c r="M97" s="433">
        <f ca="1">IF(L97="",64,INDEX(OFFSET(Arb!$I$2,,,Arb!$AJ$5,),L97))</f>
        <v>59</v>
      </c>
      <c r="N97" s="34">
        <f ca="1">IF(L97="",60,INDEX(OFFSET(Arb!$H$2,,,Arb!$AJ$5,),L97))</f>
        <v>22.2</v>
      </c>
      <c r="O97" s="33">
        <f t="shared" ca="1" si="12"/>
        <v>2.6576576576576576</v>
      </c>
      <c r="P97" s="33">
        <f ca="1">IF(L97="","",INDEX(OFFSET(Arb!$X$2,,,Arb!$AJ$5,),L97)/N97)</f>
        <v>3.1981981981981984</v>
      </c>
      <c r="Q97" s="33">
        <f ca="1">IF(L97="","",(INDEX(OFFSET(Arb!$U$2,,,Arb!$AJ$5,),L97)+INDEX(OFFSET(Arb!$V$2,,,Arb!$AJ$5,),L97))/N97)</f>
        <v>3.5585585585585586</v>
      </c>
      <c r="R97" s="33">
        <f t="shared" ca="1" si="13"/>
        <v>3.295702830018961</v>
      </c>
      <c r="S97" s="21">
        <f t="shared" ca="1" si="14"/>
        <v>46.645589098552172</v>
      </c>
      <c r="T97" s="74">
        <f ca="1">IF(L97="","",DATE(INDEX(OFFSET(Arb!$C$2,,,Arb!$AJ$5,),L97),INDEX(OFFSET(Arb!$B$2,,,Arb!$AJ$5,),L97),INDEX(OFFSET(Arb!$A$2,,,Arb!$AJ$5,),L97))+ROW()*0.001)</f>
        <v>44168.097000000002</v>
      </c>
      <c r="U97" s="11">
        <v>96</v>
      </c>
      <c r="V97" s="11">
        <v>3336</v>
      </c>
      <c r="W97" s="433">
        <f ca="1">IF(V97="",164,INDEX(OFFSET(Arb!$I$2,,,Arb!$AJ$5,),V97))</f>
        <v>139</v>
      </c>
      <c r="X97" s="34">
        <f ca="1">IF(V97="",240,INDEX(OFFSET(Arb!$H$2,,,Arb!$AJ$5,),V97))</f>
        <v>67.08</v>
      </c>
      <c r="Y97" s="33">
        <f t="shared" ca="1" si="15"/>
        <v>2.0721526535480024</v>
      </c>
      <c r="Z97" s="33">
        <f ca="1">IF(V97="","",INDEX(OFFSET(Arb!$X$2,,,Arb!$AJ$5,),V97)/X97)</f>
        <v>2.7429934406678593</v>
      </c>
      <c r="AA97" s="33">
        <f ca="1">IF(V97="","",(INDEX(OFFSET(Arb!$U$2,,,Arb!$AJ$5,),V97)+INDEX(OFFSET(Arb!$V$2,,,Arb!$AJ$5,),V97))/X97)</f>
        <v>3.0709600477042338</v>
      </c>
      <c r="AB97" s="33">
        <f t="shared" ca="1" si="16"/>
        <v>9.1662857417253605</v>
      </c>
      <c r="AC97" s="21">
        <f t="shared" ca="1" si="17"/>
        <v>47.456626626841356</v>
      </c>
      <c r="AD97" s="74">
        <f ca="1">IF(V97="","",DATE(INDEX(OFFSET(Arb!$C$2,,,Arb!$AJ$5,),V97),INDEX(OFFSET(Arb!$B$2,,,Arb!$AJ$5,),V97),INDEX(OFFSET(Arb!$A$2,,,Arb!$AJ$5,),V97))+ROW()*0.001)</f>
        <v>44096.097000000002</v>
      </c>
    </row>
    <row r="98" spans="1:30" x14ac:dyDescent="0.25">
      <c r="A98" s="11">
        <v>97</v>
      </c>
      <c r="B98" s="11">
        <v>129</v>
      </c>
      <c r="C98" s="433">
        <f ca="1">IF(B98="",16,INDEX(OFFSET(Arb!$I$2,,,Arb!$AJ$5,),B98))</f>
        <v>11</v>
      </c>
      <c r="D98" s="34">
        <f ca="1">IF(B98="",10,INDEX(OFFSET(Arb!$H$2,,,Arb!$AJ$5,),B98))</f>
        <v>3.97</v>
      </c>
      <c r="E98" s="33">
        <f t="shared" ca="1" si="9"/>
        <v>2.7707808564231735</v>
      </c>
      <c r="F98" s="33">
        <f ca="1">IF(B98="","",INDEX(OFFSET(Arb!$X$2,,,Arb!$AJ$5,),B98)/D98)</f>
        <v>4.2821158690176322</v>
      </c>
      <c r="G98" s="33">
        <f ca="1">IF(B98="","",(INDEX(OFFSET(Arb!$U$2,,,Arb!$AJ$5,),B98)+INDEX(OFFSET(Arb!$V$2,,,Arb!$AJ$5,),B98))/D98)</f>
        <v>5.0377833753148611</v>
      </c>
      <c r="H98" s="33">
        <f t="shared" ca="1" si="10"/>
        <v>0.94743882210447472</v>
      </c>
      <c r="I98" s="21">
        <f t="shared" ca="1" si="11"/>
        <v>49.923012332277331</v>
      </c>
      <c r="J98" s="74">
        <f ca="1">IF(B98="","",DATE(INDEX(OFFSET(Arb!$C$2,,,Arb!$AJ$5,),B98),INDEX(OFFSET(Arb!$B$2,,,Arb!$AJ$5,),B98),INDEX(OFFSET(Arb!$A$2,,,Arb!$AJ$5,),B98))+ROW()*0.001)</f>
        <v>43771.097999999998</v>
      </c>
      <c r="K98" s="11">
        <v>97</v>
      </c>
      <c r="L98" s="11">
        <v>2386</v>
      </c>
      <c r="M98" s="433">
        <f ca="1">IF(L98="",64,INDEX(OFFSET(Arb!$I$2,,,Arb!$AJ$5,),L98))</f>
        <v>46</v>
      </c>
      <c r="N98" s="34">
        <f ca="1">IF(L98="",60,INDEX(OFFSET(Arb!$H$2,,,Arb!$AJ$5,),L98))</f>
        <v>22.22</v>
      </c>
      <c r="O98" s="33">
        <f t="shared" ca="1" si="12"/>
        <v>2.0702070207020702</v>
      </c>
      <c r="P98" s="33">
        <f ca="1">IF(L98="","",INDEX(OFFSET(Arb!$X$2,,,Arb!$AJ$5,),L98)/N98)</f>
        <v>2.7902790279027903</v>
      </c>
      <c r="Q98" s="33">
        <f ca="1">IF(L98="","",(INDEX(OFFSET(Arb!$U$2,,,Arb!$AJ$5,),L98)+INDEX(OFFSET(Arb!$V$2,,,Arb!$AJ$5,),L98))/N98)</f>
        <v>3.5103510351035103</v>
      </c>
      <c r="R98" s="33">
        <f t="shared" ca="1" si="13"/>
        <v>4.2335730817218664</v>
      </c>
      <c r="S98" s="21">
        <f t="shared" ca="1" si="14"/>
        <v>36.312116746895832</v>
      </c>
      <c r="T98" s="74">
        <f ca="1">IF(L98="","",DATE(INDEX(OFFSET(Arb!$C$2,,,Arb!$AJ$5,),L98),INDEX(OFFSET(Arb!$B$2,,,Arb!$AJ$5,),L98),INDEX(OFFSET(Arb!$A$2,,,Arb!$AJ$5,),L98))+ROW()*0.001)</f>
        <v>44117.097999999998</v>
      </c>
      <c r="U98" s="11">
        <v>97</v>
      </c>
      <c r="V98" s="11">
        <v>3067</v>
      </c>
      <c r="W98" s="433">
        <f ca="1">IF(V98="",164,INDEX(OFFSET(Arb!$I$2,,,Arb!$AJ$5,),V98))</f>
        <v>126</v>
      </c>
      <c r="X98" s="34">
        <f ca="1">IF(V98="",240,INDEX(OFFSET(Arb!$H$2,,,Arb!$AJ$5,),V98))</f>
        <v>67.11</v>
      </c>
      <c r="Y98" s="33">
        <f t="shared" ca="1" si="15"/>
        <v>1.8775145283862316</v>
      </c>
      <c r="Z98" s="33">
        <f ca="1">IF(V98="","",INDEX(OFFSET(Arb!$X$2,,,Arb!$AJ$5,),V98)/X98)</f>
        <v>2.3245417970496201</v>
      </c>
      <c r="AA98" s="33">
        <f ca="1">IF(V98="","",(INDEX(OFFSET(Arb!$U$2,,,Arb!$AJ$5,),V98)+INDEX(OFFSET(Arb!$V$2,,,Arb!$AJ$5,),V98))/X98)</f>
        <v>2.5629563403367608</v>
      </c>
      <c r="AB98" s="33">
        <f t="shared" ca="1" si="16"/>
        <v>10.119702863740192</v>
      </c>
      <c r="AC98" s="21">
        <f t="shared" ca="1" si="17"/>
        <v>42.985550648789086</v>
      </c>
      <c r="AD98" s="74">
        <f ca="1">IF(V98="","",DATE(INDEX(OFFSET(Arb!$C$2,,,Arb!$AJ$5,),V98),INDEX(OFFSET(Arb!$B$2,,,Arb!$AJ$5,),V98),INDEX(OFFSET(Arb!$A$2,,,Arb!$AJ$5,),V98))+ROW()*0.001)</f>
        <v>44003.097999999998</v>
      </c>
    </row>
    <row r="99" spans="1:30" x14ac:dyDescent="0.25">
      <c r="A99" s="11">
        <v>98</v>
      </c>
      <c r="B99" s="11">
        <v>825</v>
      </c>
      <c r="C99" s="433">
        <f ca="1">IF(B99="",16,INDEX(OFFSET(Arb!$I$2,,,Arb!$AJ$5,),B99))</f>
        <v>12</v>
      </c>
      <c r="D99" s="34">
        <f ca="1">IF(B99="",10,INDEX(OFFSET(Arb!$H$2,,,Arb!$AJ$5,),B99))</f>
        <v>3.98</v>
      </c>
      <c r="E99" s="33">
        <f t="shared" ca="1" si="9"/>
        <v>3.0150753768844223</v>
      </c>
      <c r="F99" s="33">
        <f ca="1">IF(B99="","",INDEX(OFFSET(Arb!$X$2,,,Arb!$AJ$5,),B99)/D99)</f>
        <v>4.0201005025125625</v>
      </c>
      <c r="G99" s="33">
        <f ca="1">IF(B99="","",(INDEX(OFFSET(Arb!$U$2,,,Arb!$AJ$5,),B99)+INDEX(OFFSET(Arb!$V$2,,,Arb!$AJ$5,),B99))/D99)</f>
        <v>4.7738693467336688</v>
      </c>
      <c r="H99" s="33">
        <f t="shared" ca="1" si="10"/>
        <v>0.87220782069421443</v>
      </c>
      <c r="I99" s="21">
        <f t="shared" ca="1" si="11"/>
        <v>54.229048258651716</v>
      </c>
      <c r="J99" s="74">
        <f ca="1">IF(B99="","",DATE(INDEX(OFFSET(Arb!$C$2,,,Arb!$AJ$5,),B99),INDEX(OFFSET(Arb!$B$2,,,Arb!$AJ$5,),B99),INDEX(OFFSET(Arb!$A$2,,,Arb!$AJ$5,),B99))+ROW()*0.001)</f>
        <v>43812.099000000002</v>
      </c>
      <c r="K99" s="11">
        <v>98</v>
      </c>
      <c r="L99" s="11">
        <v>2285</v>
      </c>
      <c r="M99" s="433">
        <f ca="1">IF(L99="",64,INDEX(OFFSET(Arb!$I$2,,,Arb!$AJ$5,),L99))</f>
        <v>59</v>
      </c>
      <c r="N99" s="34">
        <f ca="1">IF(L99="",60,INDEX(OFFSET(Arb!$H$2,,,Arb!$AJ$5,),L99))</f>
        <v>22.23</v>
      </c>
      <c r="O99" s="33">
        <f t="shared" ca="1" si="12"/>
        <v>2.6540710751237064</v>
      </c>
      <c r="P99" s="33">
        <f ca="1">IF(L99="","",INDEX(OFFSET(Arb!$X$2,,,Arb!$AJ$5,),L99)/N99)</f>
        <v>3.1938821412505622</v>
      </c>
      <c r="Q99" s="33">
        <f ca="1">IF(L99="","",(INDEX(OFFSET(Arb!$U$2,,,Arb!$AJ$5,),L99)+INDEX(OFFSET(Arb!$V$2,,,Arb!$AJ$5,),L99))/N99)</f>
        <v>3.5087719298245612</v>
      </c>
      <c r="R99" s="33">
        <f t="shared" ca="1" si="13"/>
        <v>3.3032776197166807</v>
      </c>
      <c r="S99" s="21">
        <f t="shared" ca="1" si="14"/>
        <v>46.538625479860599</v>
      </c>
      <c r="T99" s="74">
        <f ca="1">IF(L99="","",DATE(INDEX(OFFSET(Arb!$C$2,,,Arb!$AJ$5,),L99),INDEX(OFFSET(Arb!$B$2,,,Arb!$AJ$5,),L99),INDEX(OFFSET(Arb!$A$2,,,Arb!$AJ$5,),L99))+ROW()*0.001)</f>
        <v>43935.099000000002</v>
      </c>
      <c r="U99" s="11">
        <v>98</v>
      </c>
      <c r="V99" s="11">
        <v>2612</v>
      </c>
      <c r="W99" s="433">
        <f ca="1">IF(V99="",164,INDEX(OFFSET(Arb!$I$2,,,Arb!$AJ$5,),V99))</f>
        <v>133</v>
      </c>
      <c r="X99" s="34">
        <f ca="1">IF(V99="",240,INDEX(OFFSET(Arb!$H$2,,,Arb!$AJ$5,),V99))</f>
        <v>67.12</v>
      </c>
      <c r="Y99" s="33">
        <f t="shared" ca="1" si="15"/>
        <v>1.9815256257449343</v>
      </c>
      <c r="Z99" s="33">
        <f ca="1">IF(V99="","",INDEX(OFFSET(Arb!$X$2,,,Arb!$AJ$5,),V99)/X99)</f>
        <v>2.7115613825983313</v>
      </c>
      <c r="AA99" s="33">
        <f ca="1">IF(V99="","",(INDEX(OFFSET(Arb!$U$2,,,Arb!$AJ$5,),V99)+INDEX(OFFSET(Arb!$V$2,,,Arb!$AJ$5,),V99))/X99)</f>
        <v>3.0989272943980928</v>
      </c>
      <c r="AB99" s="33">
        <f t="shared" ca="1" si="16"/>
        <v>9.5895156074581696</v>
      </c>
      <c r="AC99" s="21">
        <f t="shared" ca="1" si="17"/>
        <v>45.362145264321946</v>
      </c>
      <c r="AD99" s="74">
        <f ca="1">IF(V99="","",DATE(INDEX(OFFSET(Arb!$C$2,,,Arb!$AJ$5,),V99),INDEX(OFFSET(Arb!$B$2,,,Arb!$AJ$5,),V99),INDEX(OFFSET(Arb!$A$2,,,Arb!$AJ$5,),V99))+ROW()*0.001)</f>
        <v>43811.099000000002</v>
      </c>
    </row>
    <row r="100" spans="1:30" x14ac:dyDescent="0.25">
      <c r="A100" s="11">
        <v>99</v>
      </c>
      <c r="B100" s="11">
        <v>1697</v>
      </c>
      <c r="C100" s="433">
        <f ca="1">IF(B100="",16,INDEX(OFFSET(Arb!$I$2,,,Arb!$AJ$5,),B100))</f>
        <v>11</v>
      </c>
      <c r="D100" s="34">
        <f ca="1">IF(B100="",10,INDEX(OFFSET(Arb!$H$2,,,Arb!$AJ$5,),B100))</f>
        <v>3.99</v>
      </c>
      <c r="E100" s="33">
        <f t="shared" ca="1" si="9"/>
        <v>2.7568922305764412</v>
      </c>
      <c r="F100" s="33">
        <f ca="1">IF(B100="","",INDEX(OFFSET(Arb!$X$2,,,Arb!$AJ$5,),B100)/D100)</f>
        <v>4.0100250626566414</v>
      </c>
      <c r="G100" s="33">
        <f ca="1">IF(B100="","",(INDEX(OFFSET(Arb!$U$2,,,Arb!$AJ$5,),B100)+INDEX(OFFSET(Arb!$V$2,,,Arb!$AJ$5,),B100))/D100)</f>
        <v>4.7619047619047619</v>
      </c>
      <c r="H100" s="33">
        <f t="shared" ca="1" si="10"/>
        <v>0.95556720749082236</v>
      </c>
      <c r="I100" s="21">
        <f t="shared" ca="1" si="11"/>
        <v>49.498349911148743</v>
      </c>
      <c r="J100" s="74">
        <f ca="1">IF(B100="","",DATE(INDEX(OFFSET(Arb!$C$2,,,Arb!$AJ$5,),B100),INDEX(OFFSET(Arb!$B$2,,,Arb!$AJ$5,),B100),INDEX(OFFSET(Arb!$A$2,,,Arb!$AJ$5,),B100))+ROW()*0.001)</f>
        <v>44106.1</v>
      </c>
      <c r="K100" s="11">
        <v>99</v>
      </c>
      <c r="L100" s="11">
        <v>2053</v>
      </c>
      <c r="M100" s="433">
        <f ca="1">IF(L100="",64,INDEX(OFFSET(Arb!$I$2,,,Arb!$AJ$5,),L100))</f>
        <v>47</v>
      </c>
      <c r="N100" s="34">
        <f ca="1">IF(L100="",60,INDEX(OFFSET(Arb!$H$2,,,Arb!$AJ$5,),L100))</f>
        <v>22.31</v>
      </c>
      <c r="O100" s="33">
        <f t="shared" ca="1" si="12"/>
        <v>2.1066786194531599</v>
      </c>
      <c r="P100" s="33">
        <f ca="1">IF(L100="","",INDEX(OFFSET(Arb!$X$2,,,Arb!$AJ$5,),L100)/N100)</f>
        <v>2.9583146571044376</v>
      </c>
      <c r="Q100" s="33">
        <f ca="1">IF(L100="","",(INDEX(OFFSET(Arb!$U$2,,,Arb!$AJ$5,),L100)+INDEX(OFFSET(Arb!$V$2,,,Arb!$AJ$5,),L100))/N100)</f>
        <v>3.4961900493052447</v>
      </c>
      <c r="R100" s="33">
        <f t="shared" ca="1" si="13"/>
        <v>4.1720683191744374</v>
      </c>
      <c r="S100" s="21">
        <f t="shared" ca="1" si="14"/>
        <v>36.847431115514389</v>
      </c>
      <c r="T100" s="74">
        <f ca="1">IF(L100="","",DATE(INDEX(OFFSET(Arb!$C$2,,,Arb!$AJ$5,),L100),INDEX(OFFSET(Arb!$B$2,,,Arb!$AJ$5,),L100),INDEX(OFFSET(Arb!$A$2,,,Arb!$AJ$5,),L100))+ROW()*0.001)</f>
        <v>43800.1</v>
      </c>
      <c r="U100" s="11">
        <v>99</v>
      </c>
      <c r="V100" s="11">
        <v>2988</v>
      </c>
      <c r="W100" s="433">
        <f ca="1">IF(V100="",164,INDEX(OFFSET(Arb!$I$2,,,Arb!$AJ$5,),V100))</f>
        <v>132</v>
      </c>
      <c r="X100" s="34">
        <f ca="1">IF(V100="",240,INDEX(OFFSET(Arb!$H$2,,,Arb!$AJ$5,),V100))</f>
        <v>67.14</v>
      </c>
      <c r="Y100" s="33">
        <f t="shared" ca="1" si="15"/>
        <v>1.9660411081322609</v>
      </c>
      <c r="Z100" s="33">
        <f ca="1">IF(V100="","",INDEX(OFFSET(Arb!$X$2,,,Arb!$AJ$5,),V100)/X100)</f>
        <v>2.5915996425379801</v>
      </c>
      <c r="AA100" s="33">
        <f ca="1">IF(V100="","",(INDEX(OFFSET(Arb!$U$2,,,Arb!$AJ$5,),V100)+INDEX(OFFSET(Arb!$V$2,,,Arb!$AJ$5,),V100))/X100)</f>
        <v>2.8894846589216563</v>
      </c>
      <c r="AB100" s="33">
        <f t="shared" ca="1" si="16"/>
        <v>9.667058384693421</v>
      </c>
      <c r="AC100" s="21">
        <f t="shared" ca="1" si="17"/>
        <v>44.998280003022401</v>
      </c>
      <c r="AD100" s="74">
        <f ca="1">IF(V100="","",DATE(INDEX(OFFSET(Arb!$C$2,,,Arb!$AJ$5,),V100),INDEX(OFFSET(Arb!$B$2,,,Arb!$AJ$5,),V100),INDEX(OFFSET(Arb!$A$2,,,Arb!$AJ$5,),V100))+ROW()*0.001)</f>
        <v>43956.1</v>
      </c>
    </row>
    <row r="101" spans="1:30" x14ac:dyDescent="0.25">
      <c r="A101" s="11">
        <v>100</v>
      </c>
      <c r="B101" s="11">
        <v>1495</v>
      </c>
      <c r="C101" s="433">
        <f ca="1">IF(B101="",16,INDEX(OFFSET(Arb!$I$2,,,Arb!$AJ$5,),B101))</f>
        <v>12</v>
      </c>
      <c r="D101" s="34">
        <f ca="1">IF(B101="",10,INDEX(OFFSET(Arb!$H$2,,,Arb!$AJ$5,),B101))</f>
        <v>3.99</v>
      </c>
      <c r="E101" s="33">
        <f t="shared" ca="1" si="9"/>
        <v>3.007518796992481</v>
      </c>
      <c r="F101" s="33">
        <f ca="1">IF(B101="","",INDEX(OFFSET(Arb!$X$2,,,Arb!$AJ$5,),B101)/D101)</f>
        <v>3.5087719298245612</v>
      </c>
      <c r="G101" s="33">
        <f ca="1">IF(B101="","",(INDEX(OFFSET(Arb!$U$2,,,Arb!$AJ$5,),B101)+INDEX(OFFSET(Arb!$V$2,,,Arb!$AJ$5,),B101))/D101)</f>
        <v>4.0100250626566414</v>
      </c>
      <c r="H101" s="33">
        <f t="shared" ca="1" si="10"/>
        <v>0.87593660686658714</v>
      </c>
      <c r="I101" s="21">
        <f t="shared" ca="1" si="11"/>
        <v>53.99819990307136</v>
      </c>
      <c r="J101" s="74">
        <f ca="1">IF(B101="","",DATE(INDEX(OFFSET(Arb!$C$2,,,Arb!$AJ$5,),B101),INDEX(OFFSET(Arb!$B$2,,,Arb!$AJ$5,),B101),INDEX(OFFSET(Arb!$A$2,,,Arb!$AJ$5,),B101))+ROW()*0.001)</f>
        <v>43978.101000000002</v>
      </c>
      <c r="K101" s="11">
        <v>100</v>
      </c>
      <c r="L101" s="11">
        <v>2195</v>
      </c>
      <c r="M101" s="433">
        <f ca="1">IF(L101="",64,INDEX(OFFSET(Arb!$I$2,,,Arb!$AJ$5,),L101))</f>
        <v>57</v>
      </c>
      <c r="N101" s="34">
        <f ca="1">IF(L101="",60,INDEX(OFFSET(Arb!$H$2,,,Arb!$AJ$5,),L101))</f>
        <v>22.33</v>
      </c>
      <c r="O101" s="33">
        <f t="shared" ca="1" si="12"/>
        <v>2.5526197939991047</v>
      </c>
      <c r="P101" s="33">
        <f ca="1">IF(L101="","",INDEX(OFFSET(Arb!$X$2,,,Arb!$AJ$5,),L101)/N101)</f>
        <v>2.8660994178235559</v>
      </c>
      <c r="Q101" s="33">
        <f ca="1">IF(L101="","",(INDEX(OFFSET(Arb!$U$2,,,Arb!$AJ$5,),L101)+INDEX(OFFSET(Arb!$V$2,,,Arb!$AJ$5,),L101))/N101)</f>
        <v>3.3139274518584867</v>
      </c>
      <c r="R101" s="33">
        <f t="shared" ca="1" si="13"/>
        <v>3.4453708385466419</v>
      </c>
      <c r="S101" s="21">
        <f t="shared" ca="1" si="14"/>
        <v>44.619289825082454</v>
      </c>
      <c r="T101" s="74">
        <f ca="1">IF(L101="","",DATE(INDEX(OFFSET(Arb!$C$2,,,Arb!$AJ$5,),L101),INDEX(OFFSET(Arb!$B$2,,,Arb!$AJ$5,),L101),INDEX(OFFSET(Arb!$A$2,,,Arb!$AJ$5,),L101))+ROW()*0.001)</f>
        <v>43852.101000000002</v>
      </c>
      <c r="U101" s="11">
        <v>100</v>
      </c>
      <c r="V101" s="11">
        <v>3411</v>
      </c>
      <c r="W101" s="433">
        <f ca="1">IF(V101="",164,INDEX(OFFSET(Arb!$I$2,,,Arb!$AJ$5,),V101))</f>
        <v>144</v>
      </c>
      <c r="X101" s="34">
        <f ca="1">IF(V101="",240,INDEX(OFFSET(Arb!$H$2,,,Arb!$AJ$5,),V101))</f>
        <v>67.150000000000006</v>
      </c>
      <c r="Y101" s="33">
        <f t="shared" ca="1" si="15"/>
        <v>2.1444527177959789</v>
      </c>
      <c r="Z101" s="33">
        <f ca="1">IF(V101="","",INDEX(OFFSET(Arb!$X$2,,,Arb!$AJ$5,),V101)/X101)</f>
        <v>2.3827252419955323</v>
      </c>
      <c r="AA101" s="33">
        <f ca="1">IF(V101="","",(INDEX(OFFSET(Arb!$U$2,,,Arb!$AJ$5,),V101)+INDEX(OFFSET(Arb!$V$2,,,Arb!$AJ$5,),V101))/X101)</f>
        <v>2.6656738644825015</v>
      </c>
      <c r="AB101" s="33">
        <f t="shared" ca="1" si="16"/>
        <v>8.8637140472461429</v>
      </c>
      <c r="AC101" s="21">
        <f t="shared" ca="1" si="17"/>
        <v>49.076605775109584</v>
      </c>
      <c r="AD101" s="74">
        <f ca="1">IF(V101="","",DATE(INDEX(OFFSET(Arb!$C$2,,,Arb!$AJ$5,),V101),INDEX(OFFSET(Arb!$B$2,,,Arb!$AJ$5,),V101),INDEX(OFFSET(Arb!$A$2,,,Arb!$AJ$5,),V101))+ROW()*0.001)</f>
        <v>44147.101000000002</v>
      </c>
    </row>
    <row r="102" spans="1:30" x14ac:dyDescent="0.25">
      <c r="A102" s="11">
        <v>101</v>
      </c>
      <c r="B102" s="11">
        <v>1390</v>
      </c>
      <c r="C102" s="433">
        <f ca="1">IF(B102="",16,INDEX(OFFSET(Arb!$I$2,,,Arb!$AJ$5,),B102))</f>
        <v>11</v>
      </c>
      <c r="D102" s="34">
        <f ca="1">IF(B102="",10,INDEX(OFFSET(Arb!$H$2,,,Arb!$AJ$5,),B102))</f>
        <v>3.99</v>
      </c>
      <c r="E102" s="33">
        <f t="shared" ca="1" si="9"/>
        <v>2.7568922305764412</v>
      </c>
      <c r="F102" s="33">
        <f ca="1">IF(B102="","",INDEX(OFFSET(Arb!$X$2,,,Arb!$AJ$5,),B102)/D102)</f>
        <v>4.511278195488722</v>
      </c>
      <c r="G102" s="33">
        <f ca="1">IF(B102="","",(INDEX(OFFSET(Arb!$U$2,,,Arb!$AJ$5,),B102)+INDEX(OFFSET(Arb!$V$2,,,Arb!$AJ$5,),B102))/D102)</f>
        <v>4.7619047619047619</v>
      </c>
      <c r="H102" s="33">
        <f t="shared" ca="1" si="10"/>
        <v>0.95556720749082236</v>
      </c>
      <c r="I102" s="21">
        <f t="shared" ca="1" si="11"/>
        <v>49.498349911148743</v>
      </c>
      <c r="J102" s="74">
        <f ca="1">IF(B102="","",DATE(INDEX(OFFSET(Arb!$C$2,,,Arb!$AJ$5,),B102),INDEX(OFFSET(Arb!$B$2,,,Arb!$AJ$5,),B102),INDEX(OFFSET(Arb!$A$2,,,Arb!$AJ$5,),B102))+ROW()*0.001)</f>
        <v>43940.101999999999</v>
      </c>
      <c r="K102" s="11">
        <v>101</v>
      </c>
      <c r="L102" s="11">
        <v>2085</v>
      </c>
      <c r="M102" s="433">
        <f ca="1">IF(L102="",64,INDEX(OFFSET(Arb!$I$2,,,Arb!$AJ$5,),L102))</f>
        <v>50</v>
      </c>
      <c r="N102" s="34">
        <f ca="1">IF(L102="",60,INDEX(OFFSET(Arb!$H$2,,,Arb!$AJ$5,),L102))</f>
        <v>22.34</v>
      </c>
      <c r="O102" s="33">
        <f t="shared" ca="1" si="12"/>
        <v>2.2381378692927485</v>
      </c>
      <c r="P102" s="33">
        <f ca="1">IF(L102="","",INDEX(OFFSET(Arb!$X$2,,,Arb!$AJ$5,),L102)/N102)</f>
        <v>2.7305282005371532</v>
      </c>
      <c r="Q102" s="33">
        <f ca="1">IF(L102="","",(INDEX(OFFSET(Arb!$U$2,,,Arb!$AJ$5,),L102)+INDEX(OFFSET(Arb!$V$2,,,Arb!$AJ$5,),L102))/N102)</f>
        <v>3.1333930170098476</v>
      </c>
      <c r="R102" s="33">
        <f t="shared" ca="1" si="13"/>
        <v>3.9307134300184661</v>
      </c>
      <c r="S102" s="21">
        <f t="shared" ca="1" si="14"/>
        <v>39.10994854673946</v>
      </c>
      <c r="T102" s="74">
        <f ca="1">IF(L102="","",DATE(INDEX(OFFSET(Arb!$C$2,,,Arb!$AJ$5,),L102),INDEX(OFFSET(Arb!$B$2,,,Arb!$AJ$5,),L102),INDEX(OFFSET(Arb!$A$2,,,Arb!$AJ$5,),L102))+ROW()*0.001)</f>
        <v>43809.101999999999</v>
      </c>
      <c r="U102" s="11">
        <v>101</v>
      </c>
      <c r="V102" s="11">
        <v>2948</v>
      </c>
      <c r="W102" s="433">
        <f ca="1">IF(V102="",164,INDEX(OFFSET(Arb!$I$2,,,Arb!$AJ$5,),V102))</f>
        <v>149</v>
      </c>
      <c r="X102" s="34">
        <f ca="1">IF(V102="",240,INDEX(OFFSET(Arb!$H$2,,,Arb!$AJ$5,),V102))</f>
        <v>67.239999999999995</v>
      </c>
      <c r="Y102" s="33">
        <f t="shared" ca="1" si="15"/>
        <v>2.2159428911362284</v>
      </c>
      <c r="Z102" s="33">
        <f ca="1">IF(V102="","",INDEX(OFFSET(Arb!$X$2,,,Arb!$AJ$5,),V102)/X102)</f>
        <v>2.9446757882212973</v>
      </c>
      <c r="AA102" s="33">
        <f ca="1">IF(V102="","",(INDEX(OFFSET(Arb!$U$2,,,Arb!$AJ$5,),V102)+INDEX(OFFSET(Arb!$V$2,,,Arb!$AJ$5,),V102))/X102)</f>
        <v>3.2421177870315292</v>
      </c>
      <c r="AB102" s="33">
        <f t="shared" ca="1" si="16"/>
        <v>8.5858012258476943</v>
      </c>
      <c r="AC102" s="21">
        <f t="shared" ca="1" si="17"/>
        <v>50.665160834427702</v>
      </c>
      <c r="AD102" s="74">
        <f ca="1">IF(V102="","",DATE(INDEX(OFFSET(Arb!$C$2,,,Arb!$AJ$5,),V102),INDEX(OFFSET(Arb!$B$2,,,Arb!$AJ$5,),V102),INDEX(OFFSET(Arb!$A$2,,,Arb!$AJ$5,),V102))+ROW()*0.001)</f>
        <v>43948.101999999999</v>
      </c>
    </row>
    <row r="103" spans="1:30" x14ac:dyDescent="0.25">
      <c r="A103" s="11">
        <v>102</v>
      </c>
      <c r="B103" s="11">
        <v>959</v>
      </c>
      <c r="C103" s="433">
        <f ca="1">IF(B103="",16,INDEX(OFFSET(Arb!$I$2,,,Arb!$AJ$5,),B103))</f>
        <v>10</v>
      </c>
      <c r="D103" s="34">
        <f ca="1">IF(B103="",10,INDEX(OFFSET(Arb!$H$2,,,Arb!$AJ$5,),B103))</f>
        <v>4</v>
      </c>
      <c r="E103" s="33">
        <f t="shared" ca="1" si="9"/>
        <v>2.5</v>
      </c>
      <c r="F103" s="33">
        <f ca="1">IF(B103="","",INDEX(OFFSET(Arb!$X$2,,,Arb!$AJ$5,),B103)/D103)</f>
        <v>3.75</v>
      </c>
      <c r="G103" s="33">
        <f ca="1">IF(B103="","",(INDEX(OFFSET(Arb!$U$2,,,Arb!$AJ$5,),B103)+INDEX(OFFSET(Arb!$V$2,,,Arb!$AJ$5,),B103))/D103)</f>
        <v>4.5</v>
      </c>
      <c r="H103" s="33">
        <f t="shared" ca="1" si="10"/>
        <v>1.0556063286183153</v>
      </c>
      <c r="I103" s="21">
        <f t="shared" ca="1" si="11"/>
        <v>44.807423674609581</v>
      </c>
      <c r="J103" s="74">
        <f ca="1">IF(B103="","",DATE(INDEX(OFFSET(Arb!$C$2,,,Arb!$AJ$5,),B103),INDEX(OFFSET(Arb!$B$2,,,Arb!$AJ$5,),B103),INDEX(OFFSET(Arb!$A$2,,,Arb!$AJ$5,),B103))+ROW()*0.001)</f>
        <v>43822.103000000003</v>
      </c>
      <c r="K103" s="11">
        <v>102</v>
      </c>
      <c r="L103" s="11">
        <v>2404</v>
      </c>
      <c r="M103" s="433">
        <f ca="1">IF(L103="",64,INDEX(OFFSET(Arb!$I$2,,,Arb!$AJ$5,),L103))</f>
        <v>59</v>
      </c>
      <c r="N103" s="34">
        <f ca="1">IF(L103="",60,INDEX(OFFSET(Arb!$H$2,,,Arb!$AJ$5,),L103))</f>
        <v>22.43</v>
      </c>
      <c r="O103" s="33">
        <f t="shared" ca="1" si="12"/>
        <v>2.6304057066428892</v>
      </c>
      <c r="P103" s="33">
        <f ca="1">IF(L103="","",INDEX(OFFSET(Arb!$X$2,,,Arb!$AJ$5,),L103)/N103)</f>
        <v>3.0316540347748551</v>
      </c>
      <c r="Q103" s="33">
        <f ca="1">IF(L103="","",(INDEX(OFFSET(Arb!$U$2,,,Arb!$AJ$5,),L103)+INDEX(OFFSET(Arb!$V$2,,,Arb!$AJ$5,),L103))/N103)</f>
        <v>3.4329023629068214</v>
      </c>
      <c r="R103" s="33">
        <f t="shared" ca="1" si="13"/>
        <v>3.3539590318038397</v>
      </c>
      <c r="S103" s="21">
        <f t="shared" ca="1" si="14"/>
        <v>45.835383957364648</v>
      </c>
      <c r="T103" s="74">
        <f ca="1">IF(L103="","",DATE(INDEX(OFFSET(Arb!$C$2,,,Arb!$AJ$5,),L103),INDEX(OFFSET(Arb!$B$2,,,Arb!$AJ$5,),L103),INDEX(OFFSET(Arb!$A$2,,,Arb!$AJ$5,),L103))+ROW()*0.001)</f>
        <v>44168.103000000003</v>
      </c>
      <c r="U103" s="11">
        <v>102</v>
      </c>
      <c r="V103" s="11">
        <v>3446</v>
      </c>
      <c r="W103" s="433">
        <f ca="1">IF(V103="",164,INDEX(OFFSET(Arb!$I$2,,,Arb!$AJ$5,),V103))</f>
        <v>138</v>
      </c>
      <c r="X103" s="34">
        <f ca="1">IF(V103="",240,INDEX(OFFSET(Arb!$H$2,,,Arb!$AJ$5,),V103))</f>
        <v>67.290000000000006</v>
      </c>
      <c r="Y103" s="33">
        <f t="shared" ca="1" si="15"/>
        <v>2.0508247882300488</v>
      </c>
      <c r="Z103" s="33">
        <f ca="1">IF(V103="","",INDEX(OFFSET(Arb!$X$2,,,Arb!$AJ$5,),V103)/X103)</f>
        <v>2.199435280130777</v>
      </c>
      <c r="AA103" s="33">
        <f ca="1">IF(V103="","",(INDEX(OFFSET(Arb!$U$2,,,Arb!$AJ$5,),V103)+INDEX(OFFSET(Arb!$V$2,,,Arb!$AJ$5,),V103))/X103)</f>
        <v>2.4372120671719419</v>
      </c>
      <c r="AB103" s="33">
        <f t="shared" ca="1" si="16"/>
        <v>9.2818984300820038</v>
      </c>
      <c r="AC103" s="21">
        <f t="shared" ca="1" si="17"/>
        <v>46.865520375679957</v>
      </c>
      <c r="AD103" s="74">
        <f ca="1">IF(V103="","",DATE(INDEX(OFFSET(Arb!$C$2,,,Arb!$AJ$5,),V103),INDEX(OFFSET(Arb!$B$2,,,Arb!$AJ$5,),V103),INDEX(OFFSET(Arb!$A$2,,,Arb!$AJ$5,),V103))+ROW()*0.001)</f>
        <v>44177.103000000003</v>
      </c>
    </row>
    <row r="104" spans="1:30" x14ac:dyDescent="0.25">
      <c r="A104" s="11">
        <v>103</v>
      </c>
      <c r="B104" s="11">
        <v>826</v>
      </c>
      <c r="C104" s="433">
        <f ca="1">IF(B104="",16,INDEX(OFFSET(Arb!$I$2,,,Arb!$AJ$5,),B104))</f>
        <v>11</v>
      </c>
      <c r="D104" s="34">
        <f ca="1">IF(B104="",10,INDEX(OFFSET(Arb!$H$2,,,Arb!$AJ$5,),B104))</f>
        <v>4</v>
      </c>
      <c r="E104" s="33">
        <f t="shared" ca="1" si="9"/>
        <v>2.75</v>
      </c>
      <c r="F104" s="33">
        <f ca="1">IF(B104="","",INDEX(OFFSET(Arb!$X$2,,,Arb!$AJ$5,),B104)/D104)</f>
        <v>3</v>
      </c>
      <c r="G104" s="33">
        <f ca="1">IF(B104="","",(INDEX(OFFSET(Arb!$U$2,,,Arb!$AJ$5,),B104)+INDEX(OFFSET(Arb!$V$2,,,Arb!$AJ$5,),B104))/D104)</f>
        <v>4</v>
      </c>
      <c r="H104" s="33">
        <f t="shared" ca="1" si="10"/>
        <v>0.95964211692574108</v>
      </c>
      <c r="I104" s="21">
        <f t="shared" ca="1" si="11"/>
        <v>49.288166042070543</v>
      </c>
      <c r="J104" s="74">
        <f ca="1">IF(B104="","",DATE(INDEX(OFFSET(Arb!$C$2,,,Arb!$AJ$5,),B104),INDEX(OFFSET(Arb!$B$2,,,Arb!$AJ$5,),B104),INDEX(OFFSET(Arb!$A$2,,,Arb!$AJ$5,),B104))+ROW()*0.001)</f>
        <v>43812.103999999999</v>
      </c>
      <c r="K104" s="11">
        <v>103</v>
      </c>
      <c r="L104" s="11">
        <v>2201</v>
      </c>
      <c r="M104" s="433">
        <f ca="1">IF(L104="",64,INDEX(OFFSET(Arb!$I$2,,,Arb!$AJ$5,),L104))</f>
        <v>54</v>
      </c>
      <c r="N104" s="34">
        <f ca="1">IF(L104="",60,INDEX(OFFSET(Arb!$H$2,,,Arb!$AJ$5,),L104))</f>
        <v>22.43</v>
      </c>
      <c r="O104" s="33">
        <f t="shared" ca="1" si="12"/>
        <v>2.4074899687917966</v>
      </c>
      <c r="P104" s="33">
        <f ca="1">IF(L104="","",INDEX(OFFSET(Arb!$X$2,,,Arb!$AJ$5,),L104)/N104)</f>
        <v>2.7641551493535443</v>
      </c>
      <c r="Q104" s="33">
        <f ca="1">IF(L104="","",(INDEX(OFFSET(Arb!$U$2,,,Arb!$AJ$5,),L104)+INDEX(OFFSET(Arb!$V$2,,,Arb!$AJ$5,),L104))/N104)</f>
        <v>3.2545697726259473</v>
      </c>
      <c r="R104" s="33">
        <f t="shared" ca="1" si="13"/>
        <v>3.6645107940078989</v>
      </c>
      <c r="S104" s="21">
        <f t="shared" ca="1" si="14"/>
        <v>41.951029384706629</v>
      </c>
      <c r="T104" s="74">
        <f ca="1">IF(L104="","",DATE(INDEX(OFFSET(Arb!$C$2,,,Arb!$AJ$5,),L104),INDEX(OFFSET(Arb!$B$2,,,Arb!$AJ$5,),L104),INDEX(OFFSET(Arb!$A$2,,,Arb!$AJ$5,),L104))+ROW()*0.001)</f>
        <v>43854.103999999999</v>
      </c>
      <c r="U104" s="11">
        <v>103</v>
      </c>
      <c r="V104" s="11">
        <v>3000</v>
      </c>
      <c r="W104" s="433">
        <f ca="1">IF(V104="",164,INDEX(OFFSET(Arb!$I$2,,,Arb!$AJ$5,),V104))</f>
        <v>157</v>
      </c>
      <c r="X104" s="34">
        <f ca="1">IF(V104="",240,INDEX(OFFSET(Arb!$H$2,,,Arb!$AJ$5,),V104))</f>
        <v>67.290000000000006</v>
      </c>
      <c r="Y104" s="33">
        <f t="shared" ca="1" si="15"/>
        <v>2.3331847228414322</v>
      </c>
      <c r="Z104" s="33">
        <f ca="1">IF(V104="","",INDEX(OFFSET(Arb!$X$2,,,Arb!$AJ$5,),V104)/X104)</f>
        <v>2.9127656412542722</v>
      </c>
      <c r="AA104" s="33">
        <f ca="1">IF(V104="","",(INDEX(OFFSET(Arb!$U$2,,,Arb!$AJ$5,),V104)+INDEX(OFFSET(Arb!$V$2,,,Arb!$AJ$5,),V104))/X104)</f>
        <v>3.2842918710060927</v>
      </c>
      <c r="AB104" s="33">
        <f t="shared" ca="1" si="16"/>
        <v>8.1586113589255831</v>
      </c>
      <c r="AC104" s="21">
        <f t="shared" ca="1" si="17"/>
        <v>53.318019557838795</v>
      </c>
      <c r="AD104" s="74">
        <f ca="1">IF(V104="","",DATE(INDEX(OFFSET(Arb!$C$2,,,Arb!$AJ$5,),V104),INDEX(OFFSET(Arb!$B$2,,,Arb!$AJ$5,),V104),INDEX(OFFSET(Arb!$A$2,,,Arb!$AJ$5,),V104))+ROW()*0.001)</f>
        <v>43957.103999999999</v>
      </c>
    </row>
    <row r="105" spans="1:30" x14ac:dyDescent="0.25">
      <c r="A105" s="11">
        <v>104</v>
      </c>
      <c r="B105" s="11">
        <v>127</v>
      </c>
      <c r="C105" s="433">
        <f ca="1">IF(B105="",16,INDEX(OFFSET(Arb!$I$2,,,Arb!$AJ$5,),B105))</f>
        <v>10</v>
      </c>
      <c r="D105" s="34">
        <f ca="1">IF(B105="",10,INDEX(OFFSET(Arb!$H$2,,,Arb!$AJ$5,),B105))</f>
        <v>4</v>
      </c>
      <c r="E105" s="33">
        <f t="shared" ca="1" si="9"/>
        <v>2.5</v>
      </c>
      <c r="F105" s="33">
        <f ca="1">IF(B105="","",INDEX(OFFSET(Arb!$X$2,,,Arb!$AJ$5,),B105)/D105)</f>
        <v>3.25</v>
      </c>
      <c r="G105" s="33">
        <f ca="1">IF(B105="","",(INDEX(OFFSET(Arb!$U$2,,,Arb!$AJ$5,),B105)+INDEX(OFFSET(Arb!$V$2,,,Arb!$AJ$5,),B105))/D105)</f>
        <v>4.25</v>
      </c>
      <c r="H105" s="33">
        <f t="shared" ca="1" si="10"/>
        <v>1.0556063286183153</v>
      </c>
      <c r="I105" s="21">
        <f t="shared" ca="1" si="11"/>
        <v>44.807423674609581</v>
      </c>
      <c r="J105" s="74">
        <f ca="1">IF(B105="","",DATE(INDEX(OFFSET(Arb!$C$2,,,Arb!$AJ$5,),B105),INDEX(OFFSET(Arb!$B$2,,,Arb!$AJ$5,),B105),INDEX(OFFSET(Arb!$A$2,,,Arb!$AJ$5,),B105))+ROW()*0.001)</f>
        <v>43770.105000000003</v>
      </c>
      <c r="K105" s="11">
        <v>104</v>
      </c>
      <c r="L105" s="11">
        <v>2072</v>
      </c>
      <c r="M105" s="433">
        <f ca="1">IF(L105="",64,INDEX(OFFSET(Arb!$I$2,,,Arb!$AJ$5,),L105))</f>
        <v>47</v>
      </c>
      <c r="N105" s="34">
        <f ca="1">IF(L105="",60,INDEX(OFFSET(Arb!$H$2,,,Arb!$AJ$5,),L105))</f>
        <v>22.44</v>
      </c>
      <c r="O105" s="33">
        <f t="shared" ca="1" si="12"/>
        <v>2.0944741532976825</v>
      </c>
      <c r="P105" s="33">
        <f ca="1">IF(L105="","",INDEX(OFFSET(Arb!$X$2,,,Arb!$AJ$5,),L105)/N105)</f>
        <v>2.7629233511586451</v>
      </c>
      <c r="Q105" s="33">
        <f ca="1">IF(L105="","",(INDEX(OFFSET(Arb!$U$2,,,Arb!$AJ$5,),L105)+INDEX(OFFSET(Arb!$V$2,,,Arb!$AJ$5,),L105))/N105)</f>
        <v>3.2085561497326203</v>
      </c>
      <c r="R105" s="33">
        <f t="shared" ca="1" si="13"/>
        <v>4.2134805301875238</v>
      </c>
      <c r="S105" s="21">
        <f t="shared" ca="1" si="14"/>
        <v>36.485275984687682</v>
      </c>
      <c r="T105" s="74">
        <f ca="1">IF(L105="","",DATE(INDEX(OFFSET(Arb!$C$2,,,Arb!$AJ$5,),L105),INDEX(OFFSET(Arb!$B$2,,,Arb!$AJ$5,),L105),INDEX(OFFSET(Arb!$A$2,,,Arb!$AJ$5,),L105))+ROW()*0.001)</f>
        <v>43805.105000000003</v>
      </c>
      <c r="U105" s="11">
        <v>104</v>
      </c>
      <c r="V105" s="11">
        <v>3208</v>
      </c>
      <c r="W105" s="433">
        <f ca="1">IF(V105="",164,INDEX(OFFSET(Arb!$I$2,,,Arb!$AJ$5,),V105))</f>
        <v>170</v>
      </c>
      <c r="X105" s="34">
        <f ca="1">IF(V105="",240,INDEX(OFFSET(Arb!$H$2,,,Arb!$AJ$5,),V105))</f>
        <v>67.31</v>
      </c>
      <c r="Y105" s="33">
        <f t="shared" ca="1" si="15"/>
        <v>2.5256276927648194</v>
      </c>
      <c r="Z105" s="33">
        <f ca="1">IF(V105="","",INDEX(OFFSET(Arb!$X$2,,,Arb!$AJ$5,),V105)/X105)</f>
        <v>2.8673302629624127</v>
      </c>
      <c r="AA105" s="33">
        <f ca="1">IF(V105="","",(INDEX(OFFSET(Arb!$U$2,,,Arb!$AJ$5,),V105)+INDEX(OFFSET(Arb!$V$2,,,Arb!$AJ$5,),V105))/X105)</f>
        <v>3.0901797652651908</v>
      </c>
      <c r="AB105" s="33">
        <f t="shared" ca="1" si="16"/>
        <v>7.5385250546335545</v>
      </c>
      <c r="AC105" s="21">
        <f t="shared" ca="1" si="17"/>
        <v>57.703728096337173</v>
      </c>
      <c r="AD105" s="74">
        <f ca="1">IF(V105="","",DATE(INDEX(OFFSET(Arb!$C$2,,,Arb!$AJ$5,),V105),INDEX(OFFSET(Arb!$B$2,,,Arb!$AJ$5,),V105),INDEX(OFFSET(Arb!$A$2,,,Arb!$AJ$5,),V105))+ROW()*0.001)</f>
        <v>44059.105000000003</v>
      </c>
    </row>
    <row r="106" spans="1:30" x14ac:dyDescent="0.25">
      <c r="A106" s="11">
        <v>105</v>
      </c>
      <c r="B106" s="11">
        <v>256</v>
      </c>
      <c r="C106" s="433">
        <f ca="1">IF(B106="",16,INDEX(OFFSET(Arb!$I$2,,,Arb!$AJ$5,),B106))</f>
        <v>14</v>
      </c>
      <c r="D106" s="34">
        <f ca="1">IF(B106="",10,INDEX(OFFSET(Arb!$H$2,,,Arb!$AJ$5,),B106))</f>
        <v>4.01</v>
      </c>
      <c r="E106" s="33">
        <f t="shared" ca="1" si="9"/>
        <v>3.491271820448878</v>
      </c>
      <c r="F106" s="33">
        <f ca="1">IF(B106="","",INDEX(OFFSET(Arb!$X$2,,,Arb!$AJ$5,),B106)/D106)</f>
        <v>3.9900249376558605</v>
      </c>
      <c r="G106" s="33">
        <f ca="1">IF(B106="","",(INDEX(OFFSET(Arb!$U$2,,,Arb!$AJ$5,),B106)+INDEX(OFFSET(Arb!$V$2,,,Arb!$AJ$5,),B106))/D106)</f>
        <v>4.2394014962593518</v>
      </c>
      <c r="H106" s="33">
        <f t="shared" ca="1" si="10"/>
        <v>0.75721184290742138</v>
      </c>
      <c r="I106" s="21">
        <f t="shared" ca="1" si="11"/>
        <v>62.464685996442995</v>
      </c>
      <c r="J106" s="74">
        <f ca="1">IF(B106="","",DATE(INDEX(OFFSET(Arb!$C$2,,,Arb!$AJ$5,),B106),INDEX(OFFSET(Arb!$B$2,,,Arb!$AJ$5,),B106),INDEX(OFFSET(Arb!$A$2,,,Arb!$AJ$5,),B106))+ROW()*0.001)</f>
        <v>43776.106</v>
      </c>
      <c r="K106" s="11">
        <v>105</v>
      </c>
      <c r="L106" s="11">
        <v>2262</v>
      </c>
      <c r="M106" s="433">
        <f ca="1">IF(L106="",64,INDEX(OFFSET(Arb!$I$2,,,Arb!$AJ$5,),L106))</f>
        <v>55</v>
      </c>
      <c r="N106" s="34">
        <f ca="1">IF(L106="",60,INDEX(OFFSET(Arb!$H$2,,,Arb!$AJ$5,),L106))</f>
        <v>22.45</v>
      </c>
      <c r="O106" s="33">
        <f t="shared" ca="1" si="12"/>
        <v>2.4498886414253898</v>
      </c>
      <c r="P106" s="33">
        <f ca="1">IF(L106="","",INDEX(OFFSET(Arb!$X$2,,,Arb!$AJ$5,),L106)/N106)</f>
        <v>3.0734966592427617</v>
      </c>
      <c r="Q106" s="33">
        <f ca="1">IF(L106="","",(INDEX(OFFSET(Arb!$U$2,,,Arb!$AJ$5,),L106)+INDEX(OFFSET(Arb!$V$2,,,Arb!$AJ$5,),L106))/N106)</f>
        <v>3.5189309576837418</v>
      </c>
      <c r="R106" s="33">
        <f t="shared" ca="1" si="13"/>
        <v>3.603338795646938</v>
      </c>
      <c r="S106" s="21">
        <f t="shared" ca="1" si="14"/>
        <v>42.663210072201814</v>
      </c>
      <c r="T106" s="74">
        <f ca="1">IF(L106="","",DATE(INDEX(OFFSET(Arb!$C$2,,,Arb!$AJ$5,),L106),INDEX(OFFSET(Arb!$B$2,,,Arb!$AJ$5,),L106),INDEX(OFFSET(Arb!$A$2,,,Arb!$AJ$5,),L106))+ROW()*0.001)</f>
        <v>43905.106</v>
      </c>
      <c r="U106" s="11">
        <v>105</v>
      </c>
      <c r="V106" s="11">
        <v>2961</v>
      </c>
      <c r="W106" s="433">
        <f ca="1">IF(V106="",164,INDEX(OFFSET(Arb!$I$2,,,Arb!$AJ$5,),V106))</f>
        <v>154</v>
      </c>
      <c r="X106" s="34">
        <f ca="1">IF(V106="",240,INDEX(OFFSET(Arb!$H$2,,,Arb!$AJ$5,),V106))</f>
        <v>67.31</v>
      </c>
      <c r="Y106" s="33">
        <f t="shared" ca="1" si="15"/>
        <v>2.2879215569751894</v>
      </c>
      <c r="Z106" s="33">
        <f ca="1">IF(V106="","",INDEX(OFFSET(Arb!$X$2,,,Arb!$AJ$5,),V106)/X106)</f>
        <v>2.92675679690982</v>
      </c>
      <c r="AA106" s="33">
        <f ca="1">IF(V106="","",(INDEX(OFFSET(Arb!$U$2,,,Arb!$AJ$5,),V106)+INDEX(OFFSET(Arb!$V$2,,,Arb!$AJ$5,),V106))/X106)</f>
        <v>3.2536027336205615</v>
      </c>
      <c r="AB106" s="33">
        <f t="shared" ca="1" si="16"/>
        <v>8.3217484369331451</v>
      </c>
      <c r="AC106" s="21">
        <f t="shared" ca="1" si="17"/>
        <v>52.272788981387791</v>
      </c>
      <c r="AD106" s="74">
        <f ca="1">IF(V106="","",DATE(INDEX(OFFSET(Arb!$C$2,,,Arb!$AJ$5,),V106),INDEX(OFFSET(Arb!$B$2,,,Arb!$AJ$5,),V106),INDEX(OFFSET(Arb!$A$2,,,Arb!$AJ$5,),V106))+ROW()*0.001)</f>
        <v>43951.106</v>
      </c>
    </row>
    <row r="107" spans="1:30" x14ac:dyDescent="0.25">
      <c r="A107" s="11">
        <v>106</v>
      </c>
      <c r="B107" s="11">
        <v>1784</v>
      </c>
      <c r="C107" s="433">
        <f ca="1">IF(B107="",16,INDEX(OFFSET(Arb!$I$2,,,Arb!$AJ$5,),B107))</f>
        <v>15</v>
      </c>
      <c r="D107" s="34">
        <f ca="1">IF(B107="",10,INDEX(OFFSET(Arb!$H$2,,,Arb!$AJ$5,),B107))</f>
        <v>4.03</v>
      </c>
      <c r="E107" s="33">
        <f t="shared" ca="1" si="9"/>
        <v>3.7220843672456572</v>
      </c>
      <c r="F107" s="33">
        <f ca="1">IF(B107="","",INDEX(OFFSET(Arb!$X$2,,,Arb!$AJ$5,),B107)/D107)</f>
        <v>3.7220843672456572</v>
      </c>
      <c r="G107" s="33">
        <f ca="1">IF(B107="","",(INDEX(OFFSET(Arb!$U$2,,,Arb!$AJ$5,),B107)+INDEX(OFFSET(Arb!$V$2,,,Arb!$AJ$5,),B107))/D107)</f>
        <v>4.4665012406947886</v>
      </c>
      <c r="H107" s="33">
        <f t="shared" ca="1" si="10"/>
        <v>0.71273374179967142</v>
      </c>
      <c r="I107" s="21">
        <f t="shared" ca="1" si="11"/>
        <v>66.362790514966761</v>
      </c>
      <c r="J107" s="74">
        <f ca="1">IF(B107="","",DATE(INDEX(OFFSET(Arb!$C$2,,,Arb!$AJ$5,),B107),INDEX(OFFSET(Arb!$B$2,,,Arb!$AJ$5,),B107),INDEX(OFFSET(Arb!$A$2,,,Arb!$AJ$5,),B107))+ROW()*0.001)</f>
        <v>44168.107000000004</v>
      </c>
      <c r="K107" s="11">
        <v>106</v>
      </c>
      <c r="L107" s="11">
        <v>2070</v>
      </c>
      <c r="M107" s="433">
        <f ca="1">IF(L107="",64,INDEX(OFFSET(Arb!$I$2,,,Arb!$AJ$5,),L107))</f>
        <v>49</v>
      </c>
      <c r="N107" s="34">
        <f ca="1">IF(L107="",60,INDEX(OFFSET(Arb!$H$2,,,Arb!$AJ$5,),L107))</f>
        <v>22.48</v>
      </c>
      <c r="O107" s="33">
        <f t="shared" ca="1" si="12"/>
        <v>2.1797153024911031</v>
      </c>
      <c r="P107" s="33">
        <f ca="1">IF(L107="","",INDEX(OFFSET(Arb!$X$2,,,Arb!$AJ$5,),L107)/N107)</f>
        <v>2.7135231316725976</v>
      </c>
      <c r="Q107" s="33">
        <f ca="1">IF(L107="","",(INDEX(OFFSET(Arb!$U$2,,,Arb!$AJ$5,),L107)+INDEX(OFFSET(Arb!$V$2,,,Arb!$AJ$5,),L107))/N107)</f>
        <v>2.9804270462633453</v>
      </c>
      <c r="R107" s="33">
        <f t="shared" ca="1" si="13"/>
        <v>4.0537563473396245</v>
      </c>
      <c r="S107" s="21">
        <f t="shared" ca="1" si="14"/>
        <v>37.922851505589136</v>
      </c>
      <c r="T107" s="74">
        <f ca="1">IF(L107="","",DATE(INDEX(OFFSET(Arb!$C$2,,,Arb!$AJ$5,),L107),INDEX(OFFSET(Arb!$B$2,,,Arb!$AJ$5,),L107),INDEX(OFFSET(Arb!$A$2,,,Arb!$AJ$5,),L107))+ROW()*0.001)</f>
        <v>43805.107000000004</v>
      </c>
      <c r="U107" s="11">
        <v>106</v>
      </c>
      <c r="V107" s="11">
        <v>3316</v>
      </c>
      <c r="W107" s="433">
        <f ca="1">IF(V107="",164,INDEX(OFFSET(Arb!$I$2,,,Arb!$AJ$5,),V107))</f>
        <v>145</v>
      </c>
      <c r="X107" s="34">
        <f ca="1">IF(V107="",240,INDEX(OFFSET(Arb!$H$2,,,Arb!$AJ$5,),V107))</f>
        <v>67.319999999999993</v>
      </c>
      <c r="Y107" s="33">
        <f t="shared" ca="1" si="15"/>
        <v>2.1538918597742129</v>
      </c>
      <c r="Z107" s="33">
        <f ca="1">IF(V107="","",INDEX(OFFSET(Arb!$X$2,,,Arb!$AJ$5,),V107)/X107)</f>
        <v>2.5698158051099229</v>
      </c>
      <c r="AA107" s="33">
        <f ca="1">IF(V107="","",(INDEX(OFFSET(Arb!$U$2,,,Arb!$AJ$5,),V107)+INDEX(OFFSET(Arb!$V$2,,,Arb!$AJ$5,),V107))/X107)</f>
        <v>2.8371954842543081</v>
      </c>
      <c r="AB107" s="33">
        <f t="shared" ca="1" si="16"/>
        <v>8.8405030879151081</v>
      </c>
      <c r="AC107" s="21">
        <f t="shared" ca="1" si="17"/>
        <v>49.20545761639319</v>
      </c>
      <c r="AD107" s="74">
        <f ca="1">IF(V107="","",DATE(INDEX(OFFSET(Arb!$C$2,,,Arb!$AJ$5,),V107),INDEX(OFFSET(Arb!$B$2,,,Arb!$AJ$5,),V107),INDEX(OFFSET(Arb!$A$2,,,Arb!$AJ$5,),V107))+ROW()*0.001)</f>
        <v>44094.107000000004</v>
      </c>
    </row>
    <row r="108" spans="1:30" x14ac:dyDescent="0.25">
      <c r="A108" s="11">
        <v>107</v>
      </c>
      <c r="B108" s="11">
        <v>1431</v>
      </c>
      <c r="C108" s="433">
        <f ca="1">IF(B108="",16,INDEX(OFFSET(Arb!$I$2,,,Arb!$AJ$5,),B108))</f>
        <v>12</v>
      </c>
      <c r="D108" s="34">
        <f ca="1">IF(B108="",10,INDEX(OFFSET(Arb!$H$2,,,Arb!$AJ$5,),B108))</f>
        <v>4.03</v>
      </c>
      <c r="E108" s="33">
        <f t="shared" ca="1" si="9"/>
        <v>2.9776674937965257</v>
      </c>
      <c r="F108" s="33">
        <f ca="1">IF(B108="","",INDEX(OFFSET(Arb!$X$2,,,Arb!$AJ$5,),B108)/D108)</f>
        <v>3.7220843672456572</v>
      </c>
      <c r="G108" s="33">
        <f ca="1">IF(B108="","",(INDEX(OFFSET(Arb!$U$2,,,Arb!$AJ$5,),B108)+INDEX(OFFSET(Arb!$V$2,,,Arb!$AJ$5,),B108))/D108)</f>
        <v>3.9702233250620345</v>
      </c>
      <c r="H108" s="33">
        <f t="shared" ca="1" si="10"/>
        <v>0.8909171772495893</v>
      </c>
      <c r="I108" s="21">
        <f t="shared" ca="1" si="11"/>
        <v>53.090232411973403</v>
      </c>
      <c r="J108" s="74">
        <f ca="1">IF(B108="","",DATE(INDEX(OFFSET(Arb!$C$2,,,Arb!$AJ$5,),B108),INDEX(OFFSET(Arb!$B$2,,,Arb!$AJ$5,),B108),INDEX(OFFSET(Arb!$A$2,,,Arb!$AJ$5,),B108))+ROW()*0.001)</f>
        <v>43940.108</v>
      </c>
      <c r="K108" s="11">
        <v>107</v>
      </c>
      <c r="L108" s="11">
        <v>2057</v>
      </c>
      <c r="M108" s="433">
        <f ca="1">IF(L108="",64,INDEX(OFFSET(Arb!$I$2,,,Arb!$AJ$5,),L108))</f>
        <v>62</v>
      </c>
      <c r="N108" s="34">
        <f ca="1">IF(L108="",60,INDEX(OFFSET(Arb!$H$2,,,Arb!$AJ$5,),L108))</f>
        <v>22.48</v>
      </c>
      <c r="O108" s="33">
        <f t="shared" ca="1" si="12"/>
        <v>2.7580071174377223</v>
      </c>
      <c r="P108" s="33">
        <f ca="1">IF(L108="","",INDEX(OFFSET(Arb!$X$2,,,Arb!$AJ$5,),L108)/N108)</f>
        <v>3.2028469750889679</v>
      </c>
      <c r="Q108" s="33">
        <f ca="1">IF(L108="","",(INDEX(OFFSET(Arb!$U$2,,,Arb!$AJ$5,),L108)+INDEX(OFFSET(Arb!$V$2,,,Arb!$AJ$5,),L108))/N108)</f>
        <v>3.6921708185053381</v>
      </c>
      <c r="R108" s="33">
        <f t="shared" ca="1" si="13"/>
        <v>3.2037751777361545</v>
      </c>
      <c r="S108" s="21">
        <f t="shared" ca="1" si="14"/>
        <v>47.984016190745443</v>
      </c>
      <c r="T108" s="74">
        <f ca="1">IF(L108="","",DATE(INDEX(OFFSET(Arb!$C$2,,,Arb!$AJ$5,),L108),INDEX(OFFSET(Arb!$B$2,,,Arb!$AJ$5,),L108),INDEX(OFFSET(Arb!$A$2,,,Arb!$AJ$5,),L108))+ROW()*0.001)</f>
        <v>43800.108</v>
      </c>
      <c r="U108" s="11">
        <v>107</v>
      </c>
      <c r="V108" s="11">
        <v>2876</v>
      </c>
      <c r="W108" s="433">
        <f ca="1">IF(V108="",164,INDEX(OFFSET(Arb!$I$2,,,Arb!$AJ$5,),V108))</f>
        <v>155</v>
      </c>
      <c r="X108" s="34">
        <f ca="1">IF(V108="",240,INDEX(OFFSET(Arb!$H$2,,,Arb!$AJ$5,),V108))</f>
        <v>67.34</v>
      </c>
      <c r="Y108" s="33">
        <f t="shared" ca="1" si="15"/>
        <v>2.3017523017523018</v>
      </c>
      <c r="Z108" s="33">
        <f ca="1">IF(V108="","",INDEX(OFFSET(Arb!$X$2,,,Arb!$AJ$5,),V108)/X108)</f>
        <v>2.6878526878526876</v>
      </c>
      <c r="AA108" s="33">
        <f ca="1">IF(V108="","",(INDEX(OFFSET(Arb!$U$2,,,Arb!$AJ$5,),V108)+INDEX(OFFSET(Arb!$V$2,,,Arb!$AJ$5,),V108))/X108)</f>
        <v>3.0888030888030888</v>
      </c>
      <c r="AB108" s="33">
        <f t="shared" ca="1" si="16"/>
        <v>8.2743253267338872</v>
      </c>
      <c r="AC108" s="21">
        <f t="shared" ca="1" si="17"/>
        <v>52.572382982638572</v>
      </c>
      <c r="AD108" s="74">
        <f ca="1">IF(V108="","",DATE(INDEX(OFFSET(Arb!$C$2,,,Arb!$AJ$5,),V108),INDEX(OFFSET(Arb!$B$2,,,Arb!$AJ$5,),V108),INDEX(OFFSET(Arb!$A$2,,,Arb!$AJ$5,),V108))+ROW()*0.001)</f>
        <v>43916.108</v>
      </c>
    </row>
    <row r="109" spans="1:30" x14ac:dyDescent="0.25">
      <c r="A109" s="11">
        <v>108</v>
      </c>
      <c r="B109" s="11">
        <v>797</v>
      </c>
      <c r="C109" s="433">
        <f ca="1">IF(B109="",16,INDEX(OFFSET(Arb!$I$2,,,Arb!$AJ$5,),B109))</f>
        <v>14</v>
      </c>
      <c r="D109" s="34">
        <f ca="1">IF(B109="",10,INDEX(OFFSET(Arb!$H$2,,,Arb!$AJ$5,),B109))</f>
        <v>4.03</v>
      </c>
      <c r="E109" s="33">
        <f t="shared" ca="1" si="9"/>
        <v>3.4739454094292803</v>
      </c>
      <c r="F109" s="33">
        <f ca="1">IF(B109="","",INDEX(OFFSET(Arb!$X$2,,,Arb!$AJ$5,),B109)/D109)</f>
        <v>3.4739454094292803</v>
      </c>
      <c r="G109" s="33">
        <f ca="1">IF(B109="","",(INDEX(OFFSET(Arb!$U$2,,,Arb!$AJ$5,),B109)+INDEX(OFFSET(Arb!$V$2,,,Arb!$AJ$5,),B109))/D109)</f>
        <v>4.2183622828784113</v>
      </c>
      <c r="H109" s="33">
        <f t="shared" ca="1" si="10"/>
        <v>0.7636432947853623</v>
      </c>
      <c r="I109" s="21">
        <f t="shared" ca="1" si="11"/>
        <v>61.938604480635632</v>
      </c>
      <c r="J109" s="74">
        <f ca="1">IF(B109="","",DATE(INDEX(OFFSET(Arb!$C$2,,,Arb!$AJ$5,),B109),INDEX(OFFSET(Arb!$B$2,,,Arb!$AJ$5,),B109),INDEX(OFFSET(Arb!$A$2,,,Arb!$AJ$5,),B109))+ROW()*0.001)</f>
        <v>43811.108999999997</v>
      </c>
      <c r="K109" s="11">
        <v>108</v>
      </c>
      <c r="L109" s="11">
        <v>2312</v>
      </c>
      <c r="M109" s="433">
        <f ca="1">IF(L109="",64,INDEX(OFFSET(Arb!$I$2,,,Arb!$AJ$5,),L109))</f>
        <v>58</v>
      </c>
      <c r="N109" s="34">
        <f ca="1">IF(L109="",60,INDEX(OFFSET(Arb!$H$2,,,Arb!$AJ$5,),L109))</f>
        <v>22.5</v>
      </c>
      <c r="O109" s="33">
        <f t="shared" ca="1" si="12"/>
        <v>2.5777777777777779</v>
      </c>
      <c r="P109" s="33">
        <f ca="1">IF(L109="","",INDEX(OFFSET(Arb!$X$2,,,Arb!$AJ$5,),L109)/N109)</f>
        <v>2.9777777777777779</v>
      </c>
      <c r="Q109" s="33">
        <f ca="1">IF(L109="","",(INDEX(OFFSET(Arb!$U$2,,,Arb!$AJ$5,),L109)+INDEX(OFFSET(Arb!$V$2,,,Arb!$AJ$5,),L109))/N109)</f>
        <v>3.3777777777777778</v>
      </c>
      <c r="R109" s="33">
        <f t="shared" ca="1" si="13"/>
        <v>3.4299065472645696</v>
      </c>
      <c r="S109" s="21">
        <f t="shared" ca="1" si="14"/>
        <v>44.820463147196605</v>
      </c>
      <c r="T109" s="74">
        <f ca="1">IF(L109="","",DATE(INDEX(OFFSET(Arb!$C$2,,,Arb!$AJ$5,),L109),INDEX(OFFSET(Arb!$B$2,,,Arb!$AJ$5,),L109),INDEX(OFFSET(Arb!$A$2,,,Arb!$AJ$5,),L109))+ROW()*0.001)</f>
        <v>43952.108999999997</v>
      </c>
      <c r="U109" s="11">
        <v>108</v>
      </c>
      <c r="V109" s="11">
        <v>2834</v>
      </c>
      <c r="W109" s="433">
        <f ca="1">IF(V109="",164,INDEX(OFFSET(Arb!$I$2,,,Arb!$AJ$5,),V109))</f>
        <v>135</v>
      </c>
      <c r="X109" s="34">
        <f ca="1">IF(V109="",240,INDEX(OFFSET(Arb!$H$2,,,Arb!$AJ$5,),V109))</f>
        <v>67.37</v>
      </c>
      <c r="Y109" s="33">
        <f t="shared" ca="1" si="15"/>
        <v>2.0038592845480183</v>
      </c>
      <c r="Z109" s="33">
        <f ca="1">IF(V109="","",INDEX(OFFSET(Arb!$X$2,,,Arb!$AJ$5,),V109)/X109)</f>
        <v>2.2265103161644646</v>
      </c>
      <c r="AA109" s="33">
        <f ca="1">IF(V109="","",(INDEX(OFFSET(Arb!$U$2,,,Arb!$AJ$5,),V109)+INDEX(OFFSET(Arb!$V$2,,,Arb!$AJ$5,),V109))/X109)</f>
        <v>2.5085349562119634</v>
      </c>
      <c r="AB109" s="33">
        <f t="shared" ca="1" si="16"/>
        <v>9.5073473696708763</v>
      </c>
      <c r="AC109" s="21">
        <f t="shared" ca="1" si="17"/>
        <v>45.754192319477518</v>
      </c>
      <c r="AD109" s="74">
        <f ca="1">IF(V109="","",DATE(INDEX(OFFSET(Arb!$C$2,,,Arb!$AJ$5,),V109),INDEX(OFFSET(Arb!$B$2,,,Arb!$AJ$5,),V109),INDEX(OFFSET(Arb!$A$2,,,Arb!$AJ$5,),V109))+ROW()*0.001)</f>
        <v>43902.108999999997</v>
      </c>
    </row>
    <row r="110" spans="1:30" x14ac:dyDescent="0.25">
      <c r="A110" s="11">
        <v>109</v>
      </c>
      <c r="B110" s="11">
        <v>213</v>
      </c>
      <c r="C110" s="433">
        <f ca="1">IF(B110="",16,INDEX(OFFSET(Arb!$I$2,,,Arb!$AJ$5,),B110))</f>
        <v>16</v>
      </c>
      <c r="D110" s="34">
        <f ca="1">IF(B110="",10,INDEX(OFFSET(Arb!$H$2,,,Arb!$AJ$5,),B110))</f>
        <v>4.03</v>
      </c>
      <c r="E110" s="33">
        <f t="shared" ca="1" si="9"/>
        <v>3.9702233250620345</v>
      </c>
      <c r="F110" s="33">
        <f ca="1">IF(B110="","",INDEX(OFFSET(Arb!$X$2,,,Arb!$AJ$5,),B110)/D110)</f>
        <v>3.9702233250620345</v>
      </c>
      <c r="G110" s="33">
        <f ca="1">IF(B110="","",(INDEX(OFFSET(Arb!$U$2,,,Arb!$AJ$5,),B110)+INDEX(OFFSET(Arb!$V$2,,,Arb!$AJ$5,),B110))/D110)</f>
        <v>4.2183622828784113</v>
      </c>
      <c r="H110" s="33">
        <f t="shared" ca="1" si="10"/>
        <v>0.668187882937192</v>
      </c>
      <c r="I110" s="21">
        <f t="shared" ca="1" si="11"/>
        <v>70.786976549297862</v>
      </c>
      <c r="J110" s="74">
        <f ca="1">IF(B110="","",DATE(INDEX(OFFSET(Arb!$C$2,,,Arb!$AJ$5,),B110),INDEX(OFFSET(Arb!$B$2,,,Arb!$AJ$5,),B110),INDEX(OFFSET(Arb!$A$2,,,Arb!$AJ$5,),B110))+ROW()*0.001)</f>
        <v>43774.11</v>
      </c>
      <c r="K110" s="11">
        <v>109</v>
      </c>
      <c r="L110" s="11">
        <v>2306</v>
      </c>
      <c r="M110" s="433">
        <f ca="1">IF(L110="",64,INDEX(OFFSET(Arb!$I$2,,,Arb!$AJ$5,),L110))</f>
        <v>64</v>
      </c>
      <c r="N110" s="34">
        <f ca="1">IF(L110="",60,INDEX(OFFSET(Arb!$H$2,,,Arb!$AJ$5,),L110))</f>
        <v>22.52</v>
      </c>
      <c r="O110" s="33">
        <f t="shared" ca="1" si="12"/>
        <v>2.8419182948490231</v>
      </c>
      <c r="P110" s="33">
        <f ca="1">IF(L110="","",INDEX(OFFSET(Arb!$X$2,,,Arb!$AJ$5,),L110)/N110)</f>
        <v>3.374777975133215</v>
      </c>
      <c r="Q110" s="33">
        <f ca="1">IF(L110="","",(INDEX(OFFSET(Arb!$U$2,,,Arb!$AJ$5,),L110)+INDEX(OFFSET(Arb!$V$2,,,Arb!$AJ$5,),L110))/N110)</f>
        <v>3.7744227353463589</v>
      </c>
      <c r="R110" s="33">
        <f t="shared" ca="1" si="13"/>
        <v>3.1130513361043426</v>
      </c>
      <c r="S110" s="21">
        <f t="shared" ca="1" si="14"/>
        <v>49.382417249943899</v>
      </c>
      <c r="T110" s="74">
        <f ca="1">IF(L110="","",DATE(INDEX(OFFSET(Arb!$C$2,,,Arb!$AJ$5,),L110),INDEX(OFFSET(Arb!$B$2,,,Arb!$AJ$5,),L110),INDEX(OFFSET(Arb!$A$2,,,Arb!$AJ$5,),L110))+ROW()*0.001)</f>
        <v>43950.11</v>
      </c>
      <c r="U110" s="11">
        <v>109</v>
      </c>
      <c r="V110" s="11">
        <v>2710</v>
      </c>
      <c r="W110" s="433">
        <f ca="1">IF(V110="",164,INDEX(OFFSET(Arb!$I$2,,,Arb!$AJ$5,),V110))</f>
        <v>145</v>
      </c>
      <c r="X110" s="34">
        <f ca="1">IF(V110="",240,INDEX(OFFSET(Arb!$H$2,,,Arb!$AJ$5,),V110))</f>
        <v>67.39</v>
      </c>
      <c r="Y110" s="33">
        <f t="shared" ca="1" si="15"/>
        <v>2.1516545481525449</v>
      </c>
      <c r="Z110" s="33">
        <f ca="1">IF(V110="","",INDEX(OFFSET(Arb!$X$2,,,Arb!$AJ$5,),V110)/X110)</f>
        <v>2.6413414453182966</v>
      </c>
      <c r="AA110" s="33">
        <f ca="1">IF(V110="","",(INDEX(OFFSET(Arb!$U$2,,,Arb!$AJ$5,),V110)+INDEX(OFFSET(Arb!$V$2,,,Arb!$AJ$5,),V110))/X110)</f>
        <v>3.0271553642973736</v>
      </c>
      <c r="AB110" s="33">
        <f t="shared" ca="1" si="16"/>
        <v>8.8561359264903761</v>
      </c>
      <c r="AC110" s="21">
        <f t="shared" ca="1" si="17"/>
        <v>49.118600212405255</v>
      </c>
      <c r="AD110" s="74">
        <f ca="1">IF(V110="","",DATE(INDEX(OFFSET(Arb!$C$2,,,Arb!$AJ$5,),V110),INDEX(OFFSET(Arb!$B$2,,,Arb!$AJ$5,),V110),INDEX(OFFSET(Arb!$A$2,,,Arb!$AJ$5,),V110))+ROW()*0.001)</f>
        <v>43850.11</v>
      </c>
    </row>
    <row r="111" spans="1:30" x14ac:dyDescent="0.25">
      <c r="A111" s="11">
        <v>110</v>
      </c>
      <c r="B111" s="11">
        <v>1075</v>
      </c>
      <c r="C111" s="433">
        <f ca="1">IF(B111="",16,INDEX(OFFSET(Arb!$I$2,,,Arb!$AJ$5,),B111))</f>
        <v>10</v>
      </c>
      <c r="D111" s="34">
        <f ca="1">IF(B111="",10,INDEX(OFFSET(Arb!$H$2,,,Arb!$AJ$5,),B111))</f>
        <v>4.05</v>
      </c>
      <c r="E111" s="33">
        <f t="shared" ca="1" si="9"/>
        <v>2.4691358024691361</v>
      </c>
      <c r="F111" s="33">
        <f ca="1">IF(B111="","",INDEX(OFFSET(Arb!$X$2,,,Arb!$AJ$5,),B111)/D111)</f>
        <v>3.7037037037037037</v>
      </c>
      <c r="G111" s="33">
        <f ca="1">IF(B111="","",(INDEX(OFFSET(Arb!$U$2,,,Arb!$AJ$5,),B111)+INDEX(OFFSET(Arb!$V$2,,,Arb!$AJ$5,),B111))/D111)</f>
        <v>4.1975308641975309</v>
      </c>
      <c r="H111" s="33">
        <f t="shared" ca="1" si="10"/>
        <v>1.0781359793248302</v>
      </c>
      <c r="I111" s="21">
        <f t="shared" ca="1" si="11"/>
        <v>43.871089460923507</v>
      </c>
      <c r="J111" s="74">
        <f ca="1">IF(B111="","",DATE(INDEX(OFFSET(Arb!$C$2,,,Arb!$AJ$5,),B111),INDEX(OFFSET(Arb!$B$2,,,Arb!$AJ$5,),B111),INDEX(OFFSET(Arb!$A$2,,,Arb!$AJ$5,),B111))+ROW()*0.001)</f>
        <v>43841.110999999997</v>
      </c>
      <c r="K111" s="11">
        <v>110</v>
      </c>
      <c r="L111" s="11">
        <v>2316</v>
      </c>
      <c r="M111" s="433">
        <f ca="1">IF(L111="",64,INDEX(OFFSET(Arb!$I$2,,,Arb!$AJ$5,),L111))</f>
        <v>67</v>
      </c>
      <c r="N111" s="34">
        <f ca="1">IF(L111="",60,INDEX(OFFSET(Arb!$H$2,,,Arb!$AJ$5,),L111))</f>
        <v>22.6</v>
      </c>
      <c r="O111" s="33">
        <f t="shared" ca="1" si="12"/>
        <v>2.9646017699115044</v>
      </c>
      <c r="P111" s="33">
        <f ca="1">IF(L111="","",INDEX(OFFSET(Arb!$X$2,,,Arb!$AJ$5,),L111)/N111)</f>
        <v>3.4513274336283182</v>
      </c>
      <c r="Q111" s="33">
        <f ca="1">IF(L111="","",(INDEX(OFFSET(Arb!$U$2,,,Arb!$AJ$5,),L111)+INDEX(OFFSET(Arb!$V$2,,,Arb!$AJ$5,),L111))/N111)</f>
        <v>3.8495575221238933</v>
      </c>
      <c r="R111" s="33">
        <f t="shared" ca="1" si="13"/>
        <v>2.99164146370379</v>
      </c>
      <c r="S111" s="21">
        <f t="shared" ca="1" si="14"/>
        <v>51.386505323293378</v>
      </c>
      <c r="T111" s="74">
        <f ca="1">IF(L111="","",DATE(INDEX(OFFSET(Arb!$C$2,,,Arb!$AJ$5,),L111),INDEX(OFFSET(Arb!$B$2,,,Arb!$AJ$5,),L111),INDEX(OFFSET(Arb!$A$2,,,Arb!$AJ$5,),L111))+ROW()*0.001)</f>
        <v>43967.110999999997</v>
      </c>
      <c r="U111" s="11">
        <v>110</v>
      </c>
      <c r="V111" s="11">
        <v>2801</v>
      </c>
      <c r="W111" s="433">
        <f ca="1">IF(V111="",164,INDEX(OFFSET(Arb!$I$2,,,Arb!$AJ$5,),V111))</f>
        <v>148</v>
      </c>
      <c r="X111" s="34">
        <f ca="1">IF(V111="",240,INDEX(OFFSET(Arb!$H$2,,,Arb!$AJ$5,),V111))</f>
        <v>67.400000000000006</v>
      </c>
      <c r="Y111" s="33">
        <f t="shared" ca="1" si="15"/>
        <v>2.1958456973293767</v>
      </c>
      <c r="Z111" s="33">
        <f ca="1">IF(V111="","",INDEX(OFFSET(Arb!$X$2,,,Arb!$AJ$5,),V111)/X111)</f>
        <v>2.7448071216617209</v>
      </c>
      <c r="AA111" s="33">
        <f ca="1">IF(V111="","",(INDEX(OFFSET(Arb!$U$2,,,Arb!$AJ$5,),V111)+INDEX(OFFSET(Arb!$V$2,,,Arb!$AJ$5,),V111))/X111)</f>
        <v>3.0860534124629075</v>
      </c>
      <c r="AB111" s="33">
        <f t="shared" ca="1" si="16"/>
        <v>8.6788085610315928</v>
      </c>
      <c r="AC111" s="21">
        <f t="shared" ca="1" si="17"/>
        <v>50.122202482168163</v>
      </c>
      <c r="AD111" s="74">
        <f ca="1">IF(V111="","",DATE(INDEX(OFFSET(Arb!$C$2,,,Arb!$AJ$5,),V111),INDEX(OFFSET(Arb!$B$2,,,Arb!$AJ$5,),V111),INDEX(OFFSET(Arb!$A$2,,,Arb!$AJ$5,),V111))+ROW()*0.001)</f>
        <v>43896.110999999997</v>
      </c>
    </row>
    <row r="112" spans="1:30" x14ac:dyDescent="0.25">
      <c r="A112" s="11">
        <v>111</v>
      </c>
      <c r="B112" s="11">
        <v>1624</v>
      </c>
      <c r="C112" s="433">
        <f ca="1">IF(B112="",16,INDEX(OFFSET(Arb!$I$2,,,Arb!$AJ$5,),B112))</f>
        <v>13</v>
      </c>
      <c r="D112" s="34">
        <f ca="1">IF(B112="",10,INDEX(OFFSET(Arb!$H$2,,,Arb!$AJ$5,),B112))</f>
        <v>4.0599999999999996</v>
      </c>
      <c r="E112" s="33">
        <f t="shared" ca="1" si="9"/>
        <v>3.201970443349754</v>
      </c>
      <c r="F112" s="33">
        <f ca="1">IF(B112="","",INDEX(OFFSET(Arb!$X$2,,,Arb!$AJ$5,),B112)/D112)</f>
        <v>3.9408866995073897</v>
      </c>
      <c r="G112" s="33">
        <f ca="1">IF(B112="","",(INDEX(OFFSET(Arb!$U$2,,,Arb!$AJ$5,),B112)+INDEX(OFFSET(Arb!$V$2,,,Arb!$AJ$5,),B112))/D112)</f>
        <v>4.4334975369458132</v>
      </c>
      <c r="H112" s="33">
        <f t="shared" ca="1" si="10"/>
        <v>0.83281953718669632</v>
      </c>
      <c r="I112" s="21">
        <f t="shared" ca="1" si="11"/>
        <v>56.793816532904899</v>
      </c>
      <c r="J112" s="74">
        <f ca="1">IF(B112="","",DATE(INDEX(OFFSET(Arb!$C$2,,,Arb!$AJ$5,),B112),INDEX(OFFSET(Arb!$B$2,,,Arb!$AJ$5,),B112),INDEX(OFFSET(Arb!$A$2,,,Arb!$AJ$5,),B112))+ROW()*0.001)</f>
        <v>44093.112000000001</v>
      </c>
      <c r="K112" s="11">
        <v>111</v>
      </c>
      <c r="L112" s="11">
        <v>2183</v>
      </c>
      <c r="M112" s="433">
        <f ca="1">IF(L112="",64,INDEX(OFFSET(Arb!$I$2,,,Arb!$AJ$5,),L112))</f>
        <v>50</v>
      </c>
      <c r="N112" s="34">
        <f ca="1">IF(L112="",60,INDEX(OFFSET(Arb!$H$2,,,Arb!$AJ$5,),L112))</f>
        <v>22.6</v>
      </c>
      <c r="O112" s="33">
        <f t="shared" ca="1" si="12"/>
        <v>2.2123893805309733</v>
      </c>
      <c r="P112" s="33">
        <f ca="1">IF(L112="","",INDEX(OFFSET(Arb!$X$2,,,Arb!$AJ$5,),L112)/N112)</f>
        <v>3.2743362831858405</v>
      </c>
      <c r="Q112" s="33">
        <f ca="1">IF(L112="","",(INDEX(OFFSET(Arb!$U$2,,,Arb!$AJ$5,),L112)+INDEX(OFFSET(Arb!$V$2,,,Arb!$AJ$5,),L112))/N112)</f>
        <v>3.9823008849557517</v>
      </c>
      <c r="R112" s="33">
        <f t="shared" ca="1" si="13"/>
        <v>4.0087995613630785</v>
      </c>
      <c r="S112" s="21">
        <f t="shared" ca="1" si="14"/>
        <v>38.348138300965203</v>
      </c>
      <c r="T112" s="74">
        <f ca="1">IF(L112="","",DATE(INDEX(OFFSET(Arb!$C$2,,,Arb!$AJ$5,),L112),INDEX(OFFSET(Arb!$B$2,,,Arb!$AJ$5,),L112),INDEX(OFFSET(Arb!$A$2,,,Arb!$AJ$5,),L112))+ROW()*0.001)</f>
        <v>43840.112000000001</v>
      </c>
      <c r="U112" s="11">
        <v>111</v>
      </c>
      <c r="V112" s="11">
        <v>2952</v>
      </c>
      <c r="W112" s="433">
        <f ca="1">IF(V112="",164,INDEX(OFFSET(Arb!$I$2,,,Arb!$AJ$5,),V112))</f>
        <v>156</v>
      </c>
      <c r="X112" s="34">
        <f ca="1">IF(V112="",240,INDEX(OFFSET(Arb!$H$2,,,Arb!$AJ$5,),V112))</f>
        <v>67.42</v>
      </c>
      <c r="Y112" s="33">
        <f t="shared" ca="1" si="15"/>
        <v>2.3138534559477901</v>
      </c>
      <c r="Z112" s="33">
        <f ca="1">IF(V112="","",INDEX(OFFSET(Arb!$X$2,,,Arb!$AJ$5,),V112)/X112)</f>
        <v>2.8626520320379707</v>
      </c>
      <c r="AA112" s="33">
        <f ca="1">IF(V112="","",(INDEX(OFFSET(Arb!$U$2,,,Arb!$AJ$5,),V112)+INDEX(OFFSET(Arb!$V$2,,,Arb!$AJ$5,),V112))/X112)</f>
        <v>3.1296351231088697</v>
      </c>
      <c r="AB112" s="33">
        <f t="shared" ca="1" si="16"/>
        <v>8.2378954061277998</v>
      </c>
      <c r="AC112" s="21">
        <f t="shared" ca="1" si="17"/>
        <v>52.804870486267923</v>
      </c>
      <c r="AD112" s="74">
        <f ca="1">IF(V112="","",DATE(INDEX(OFFSET(Arb!$C$2,,,Arb!$AJ$5,),V112),INDEX(OFFSET(Arb!$B$2,,,Arb!$AJ$5,),V112),INDEX(OFFSET(Arb!$A$2,,,Arb!$AJ$5,),V112))+ROW()*0.001)</f>
        <v>43949.112000000001</v>
      </c>
    </row>
    <row r="113" spans="1:30" x14ac:dyDescent="0.25">
      <c r="A113" s="11">
        <v>112</v>
      </c>
      <c r="B113" s="11">
        <v>657</v>
      </c>
      <c r="C113" s="433">
        <f ca="1">IF(B113="",16,INDEX(OFFSET(Arb!$I$2,,,Arb!$AJ$5,),B113))</f>
        <v>11</v>
      </c>
      <c r="D113" s="34">
        <f ca="1">IF(B113="",10,INDEX(OFFSET(Arb!$H$2,,,Arb!$AJ$5,),B113))</f>
        <v>4.0599999999999996</v>
      </c>
      <c r="E113" s="33">
        <f t="shared" ca="1" si="9"/>
        <v>2.7093596059113305</v>
      </c>
      <c r="F113" s="33">
        <f ca="1">IF(B113="","",INDEX(OFFSET(Arb!$X$2,,,Arb!$AJ$5,),B113)/D113)</f>
        <v>3.9408866995073897</v>
      </c>
      <c r="G113" s="33">
        <f ca="1">IF(B113="","",(INDEX(OFFSET(Arb!$U$2,,,Arb!$AJ$5,),B113)+INDEX(OFFSET(Arb!$V$2,,,Arb!$AJ$5,),B113))/D113)</f>
        <v>4.9261083743842367</v>
      </c>
      <c r="H113" s="33">
        <f t="shared" ca="1" si="10"/>
        <v>0.98424127122064109</v>
      </c>
      <c r="I113" s="21">
        <f t="shared" ca="1" si="11"/>
        <v>48.056306297073377</v>
      </c>
      <c r="J113" s="74">
        <f ca="1">IF(B113="","",DATE(INDEX(OFFSET(Arb!$C$2,,,Arb!$AJ$5,),B113),INDEX(OFFSET(Arb!$B$2,,,Arb!$AJ$5,),B113),INDEX(OFFSET(Arb!$A$2,,,Arb!$AJ$5,),B113))+ROW()*0.001)</f>
        <v>43800.112999999998</v>
      </c>
      <c r="K113" s="11">
        <v>112</v>
      </c>
      <c r="L113" s="11">
        <v>2366</v>
      </c>
      <c r="M113" s="433">
        <f ca="1">IF(L113="",64,INDEX(OFFSET(Arb!$I$2,,,Arb!$AJ$5,),L113))</f>
        <v>49</v>
      </c>
      <c r="N113" s="34">
        <f ca="1">IF(L113="",60,INDEX(OFFSET(Arb!$H$2,,,Arb!$AJ$5,),L113))</f>
        <v>22.66</v>
      </c>
      <c r="O113" s="33">
        <f t="shared" ca="1" si="12"/>
        <v>2.1624007060900263</v>
      </c>
      <c r="P113" s="33">
        <f ca="1">IF(L113="","",INDEX(OFFSET(Arb!$X$2,,,Arb!$AJ$5,),L113)/N113)</f>
        <v>3.0450132391879965</v>
      </c>
      <c r="Q113" s="33">
        <f ca="1">IF(L113="","",(INDEX(OFFSET(Arb!$U$2,,,Arb!$AJ$5,),L113)+INDEX(OFFSET(Arb!$V$2,,,Arb!$AJ$5,),L113))/N113)</f>
        <v>3.3980582524271843</v>
      </c>
      <c r="R113" s="33">
        <f t="shared" ca="1" si="13"/>
        <v>4.1090910010084798</v>
      </c>
      <c r="S113" s="21">
        <f t="shared" ca="1" si="14"/>
        <v>37.412167304708163</v>
      </c>
      <c r="T113" s="74">
        <f ca="1">IF(L113="","",DATE(INDEX(OFFSET(Arb!$C$2,,,Arb!$AJ$5,),L113),INDEX(OFFSET(Arb!$B$2,,,Arb!$AJ$5,),L113),INDEX(OFFSET(Arb!$A$2,,,Arb!$AJ$5,),L113))+ROW()*0.001)</f>
        <v>44114.112999999998</v>
      </c>
      <c r="U113" s="11">
        <v>112</v>
      </c>
      <c r="V113" s="11">
        <v>3267</v>
      </c>
      <c r="W113" s="433">
        <f ca="1">IF(V113="",164,INDEX(OFFSET(Arb!$I$2,,,Arb!$AJ$5,),V113))</f>
        <v>178</v>
      </c>
      <c r="X113" s="34">
        <f ca="1">IF(V113="",240,INDEX(OFFSET(Arb!$H$2,,,Arb!$AJ$5,),V113))</f>
        <v>67.459999999999994</v>
      </c>
      <c r="Y113" s="33">
        <f t="shared" ca="1" si="15"/>
        <v>2.6386006522383636</v>
      </c>
      <c r="Z113" s="33">
        <f ca="1">IF(V113="","",INDEX(OFFSET(Arb!$X$2,,,Arb!$AJ$5,),V113)/X113)</f>
        <v>3.0833086273347172</v>
      </c>
      <c r="AA113" s="33">
        <f ca="1">IF(V113="","",(INDEX(OFFSET(Arb!$U$2,,,Arb!$AJ$5,),V113)+INDEX(OFFSET(Arb!$V$2,,,Arb!$AJ$5,),V113))/X113)</f>
        <v>3.4835458049214352</v>
      </c>
      <c r="AB113" s="33">
        <f t="shared" ca="1" si="16"/>
        <v>7.2270119085449824</v>
      </c>
      <c r="AC113" s="21">
        <f t="shared" ca="1" si="17"/>
        <v>60.190989790077559</v>
      </c>
      <c r="AD113" s="74">
        <f ca="1">IF(V113="","",DATE(INDEX(OFFSET(Arb!$C$2,,,Arb!$AJ$5,),V113),INDEX(OFFSET(Arb!$B$2,,,Arb!$AJ$5,),V113),INDEX(OFFSET(Arb!$A$2,,,Arb!$AJ$5,),V113))+ROW()*0.001)</f>
        <v>44073.112999999998</v>
      </c>
    </row>
    <row r="114" spans="1:30" x14ac:dyDescent="0.25">
      <c r="A114" s="11">
        <v>113</v>
      </c>
      <c r="B114" s="11">
        <v>637</v>
      </c>
      <c r="C114" s="433">
        <f ca="1">IF(B114="",16,INDEX(OFFSET(Arb!$I$2,,,Arb!$AJ$5,),B114))</f>
        <v>11</v>
      </c>
      <c r="D114" s="34">
        <f ca="1">IF(B114="",10,INDEX(OFFSET(Arb!$H$2,,,Arb!$AJ$5,),B114))</f>
        <v>4.0599999999999996</v>
      </c>
      <c r="E114" s="33">
        <f t="shared" ca="1" si="9"/>
        <v>2.7093596059113305</v>
      </c>
      <c r="F114" s="33">
        <f ca="1">IF(B114="","",INDEX(OFFSET(Arb!$X$2,,,Arb!$AJ$5,),B114)/D114)</f>
        <v>3.201970443349754</v>
      </c>
      <c r="G114" s="33">
        <f ca="1">IF(B114="","",(INDEX(OFFSET(Arb!$U$2,,,Arb!$AJ$5,),B114)+INDEX(OFFSET(Arb!$V$2,,,Arb!$AJ$5,),B114))/D114)</f>
        <v>4.1871921182266014</v>
      </c>
      <c r="H114" s="33">
        <f t="shared" ca="1" si="10"/>
        <v>0.98424127122064109</v>
      </c>
      <c r="I114" s="21">
        <f t="shared" ca="1" si="11"/>
        <v>48.056306297073377</v>
      </c>
      <c r="J114" s="74">
        <f ca="1">IF(B114="","",DATE(INDEX(OFFSET(Arb!$C$2,,,Arb!$AJ$5,),B114),INDEX(OFFSET(Arb!$B$2,,,Arb!$AJ$5,),B114),INDEX(OFFSET(Arb!$A$2,,,Arb!$AJ$5,),B114))+ROW()*0.001)</f>
        <v>43800.114000000001</v>
      </c>
      <c r="K114" s="11">
        <v>113</v>
      </c>
      <c r="L114" s="11">
        <v>2246</v>
      </c>
      <c r="M114" s="433">
        <f ca="1">IF(L114="",64,INDEX(OFFSET(Arb!$I$2,,,Arb!$AJ$5,),L114))</f>
        <v>51</v>
      </c>
      <c r="N114" s="34">
        <f ca="1">IF(L114="",60,INDEX(OFFSET(Arb!$H$2,,,Arb!$AJ$5,),L114))</f>
        <v>22.67</v>
      </c>
      <c r="O114" s="33">
        <f t="shared" ca="1" si="12"/>
        <v>2.2496691662990735</v>
      </c>
      <c r="P114" s="33">
        <f ca="1">IF(L114="","",INDEX(OFFSET(Arb!$X$2,,,Arb!$AJ$5,),L114)/N114)</f>
        <v>3.0436700485222761</v>
      </c>
      <c r="Q114" s="33">
        <f ca="1">IF(L114="","",(INDEX(OFFSET(Arb!$U$2,,,Arb!$AJ$5,),L114)+INDEX(OFFSET(Arb!$V$2,,,Arb!$AJ$5,),L114))/N114)</f>
        <v>3.4847816497573882</v>
      </c>
      <c r="R114" s="33">
        <f t="shared" ca="1" si="13"/>
        <v>3.9509124686565218</v>
      </c>
      <c r="S114" s="21">
        <f t="shared" ca="1" si="14"/>
        <v>38.909998948236563</v>
      </c>
      <c r="T114" s="74">
        <f ca="1">IF(L114="","",DATE(INDEX(OFFSET(Arb!$C$2,,,Arb!$AJ$5,),L114),INDEX(OFFSET(Arb!$B$2,,,Arb!$AJ$5,),L114),INDEX(OFFSET(Arb!$A$2,,,Arb!$AJ$5,),L114))+ROW()*0.001)</f>
        <v>43892.114000000001</v>
      </c>
      <c r="U114" s="11">
        <v>113</v>
      </c>
      <c r="V114" s="11">
        <v>3419</v>
      </c>
      <c r="W114" s="433">
        <f ca="1">IF(V114="",164,INDEX(OFFSET(Arb!$I$2,,,Arb!$AJ$5,),V114))</f>
        <v>142</v>
      </c>
      <c r="X114" s="34">
        <f ca="1">IF(V114="",240,INDEX(OFFSET(Arb!$H$2,,,Arb!$AJ$5,),V114))</f>
        <v>67.489999999999995</v>
      </c>
      <c r="Y114" s="33">
        <f t="shared" ca="1" si="15"/>
        <v>2.1040154096903247</v>
      </c>
      <c r="Z114" s="33">
        <f ca="1">IF(V114="","",INDEX(OFFSET(Arb!$X$2,,,Arb!$AJ$5,),V114)/X114)</f>
        <v>2.4151726181656543</v>
      </c>
      <c r="AA114" s="33">
        <f ca="1">IF(V114="","",(INDEX(OFFSET(Arb!$U$2,,,Arb!$AJ$5,),V114)+INDEX(OFFSET(Arb!$V$2,,,Arb!$AJ$5,),V114))/X114)</f>
        <v>2.7263298266409839</v>
      </c>
      <c r="AB114" s="33">
        <f t="shared" ca="1" si="16"/>
        <v>9.0660619732493064</v>
      </c>
      <c r="AC114" s="21">
        <f t="shared" ca="1" si="17"/>
        <v>47.981251538267855</v>
      </c>
      <c r="AD114" s="74">
        <f ca="1">IF(V114="","",DATE(INDEX(OFFSET(Arb!$C$2,,,Arb!$AJ$5,),V114),INDEX(OFFSET(Arb!$B$2,,,Arb!$AJ$5,),V114),INDEX(OFFSET(Arb!$A$2,,,Arb!$AJ$5,),V114))+ROW()*0.001)</f>
        <v>44148.114000000001</v>
      </c>
    </row>
    <row r="115" spans="1:30" x14ac:dyDescent="0.25">
      <c r="A115" s="11">
        <v>114</v>
      </c>
      <c r="B115" s="11">
        <v>554</v>
      </c>
      <c r="C115" s="433">
        <f ca="1">IF(B115="",16,INDEX(OFFSET(Arb!$I$2,,,Arb!$AJ$5,),B115))</f>
        <v>13</v>
      </c>
      <c r="D115" s="34">
        <f ca="1">IF(B115="",10,INDEX(OFFSET(Arb!$H$2,,,Arb!$AJ$5,),B115))</f>
        <v>4.0599999999999996</v>
      </c>
      <c r="E115" s="33">
        <f t="shared" ca="1" si="9"/>
        <v>3.201970443349754</v>
      </c>
      <c r="F115" s="33">
        <f ca="1">IF(B115="","",INDEX(OFFSET(Arb!$X$2,,,Arb!$AJ$5,),B115)/D115)</f>
        <v>4.1871921182266014</v>
      </c>
      <c r="G115" s="33">
        <f ca="1">IF(B115="","",(INDEX(OFFSET(Arb!$U$2,,,Arb!$AJ$5,),B115)+INDEX(OFFSET(Arb!$V$2,,,Arb!$AJ$5,),B115))/D115)</f>
        <v>4.6798029556650249</v>
      </c>
      <c r="H115" s="33">
        <f t="shared" ca="1" si="10"/>
        <v>0.83281953718669632</v>
      </c>
      <c r="I115" s="21">
        <f t="shared" ca="1" si="11"/>
        <v>56.793816532904899</v>
      </c>
      <c r="J115" s="74">
        <f ca="1">IF(B115="","",DATE(INDEX(OFFSET(Arb!$C$2,,,Arb!$AJ$5,),B115),INDEX(OFFSET(Arb!$B$2,,,Arb!$AJ$5,),B115),INDEX(OFFSET(Arb!$A$2,,,Arb!$AJ$5,),B115))+ROW()*0.001)</f>
        <v>43797.114999999998</v>
      </c>
      <c r="K115" s="11">
        <v>114</v>
      </c>
      <c r="L115" s="11">
        <v>1941</v>
      </c>
      <c r="M115" s="433">
        <f ca="1">IF(L115="",64,INDEX(OFFSET(Arb!$I$2,,,Arb!$AJ$5,),L115))</f>
        <v>66</v>
      </c>
      <c r="N115" s="34">
        <f ca="1">IF(L115="",60,INDEX(OFFSET(Arb!$H$2,,,Arb!$AJ$5,),L115))</f>
        <v>22.67</v>
      </c>
      <c r="O115" s="33">
        <f t="shared" ca="1" si="12"/>
        <v>2.911336568151742</v>
      </c>
      <c r="P115" s="33">
        <f ca="1">IF(L115="","",INDEX(OFFSET(Arb!$X$2,,,Arb!$AJ$5,),L115)/N115)</f>
        <v>3.3524481693868546</v>
      </c>
      <c r="Q115" s="33">
        <f ca="1">IF(L115="","",(INDEX(OFFSET(Arb!$U$2,,,Arb!$AJ$5,),L115)+INDEX(OFFSET(Arb!$V$2,,,Arb!$AJ$5,),L115))/N115)</f>
        <v>3.6612262902514332</v>
      </c>
      <c r="R115" s="33">
        <f t="shared" ca="1" si="13"/>
        <v>3.0529778166891304</v>
      </c>
      <c r="S115" s="21">
        <f t="shared" ca="1" si="14"/>
        <v>50.354116285953204</v>
      </c>
      <c r="T115" s="74">
        <f ca="1">IF(L115="","",DATE(INDEX(OFFSET(Arb!$C$2,,,Arb!$AJ$5,),L115),INDEX(OFFSET(Arb!$B$2,,,Arb!$AJ$5,),L115),INDEX(OFFSET(Arb!$A$2,,,Arb!$AJ$5,),L115))+ROW()*0.001)</f>
        <v>43773.114999999998</v>
      </c>
      <c r="U115" s="11">
        <v>114</v>
      </c>
      <c r="V115" s="11">
        <v>2909</v>
      </c>
      <c r="W115" s="433">
        <f ca="1">IF(V115="",164,INDEX(OFFSET(Arb!$I$2,,,Arb!$AJ$5,),V115))</f>
        <v>139</v>
      </c>
      <c r="X115" s="34">
        <f ca="1">IF(V115="",240,INDEX(OFFSET(Arb!$H$2,,,Arb!$AJ$5,),V115))</f>
        <v>67.5</v>
      </c>
      <c r="Y115" s="33">
        <f t="shared" ca="1" si="15"/>
        <v>2.0592592592592593</v>
      </c>
      <c r="Z115" s="33">
        <f ca="1">IF(V115="","",INDEX(OFFSET(Arb!$X$2,,,Arb!$AJ$5,),V115)/X115)</f>
        <v>2.5777777777777779</v>
      </c>
      <c r="AA115" s="33">
        <f ca="1">IF(V115="","",(INDEX(OFFSET(Arb!$U$2,,,Arb!$AJ$5,),V115)+INDEX(OFFSET(Arb!$V$2,,,Arb!$AJ$5,),V115))/X115)</f>
        <v>2.8148148148148149</v>
      </c>
      <c r="AB115" s="33">
        <f t="shared" ca="1" si="16"/>
        <v>9.2640654266019293</v>
      </c>
      <c r="AC115" s="21">
        <f t="shared" ca="1" si="17"/>
        <v>46.955734871095238</v>
      </c>
      <c r="AD115" s="74">
        <f ca="1">IF(V115="","",DATE(INDEX(OFFSET(Arb!$C$2,,,Arb!$AJ$5,),V115),INDEX(OFFSET(Arb!$B$2,,,Arb!$AJ$5,),V115),INDEX(OFFSET(Arb!$A$2,,,Arb!$AJ$5,),V115))+ROW()*0.001)</f>
        <v>43929.114999999998</v>
      </c>
    </row>
    <row r="116" spans="1:30" x14ac:dyDescent="0.25">
      <c r="A116" s="11">
        <v>115</v>
      </c>
      <c r="B116" s="11">
        <v>1805</v>
      </c>
      <c r="C116" s="433">
        <f ca="1">IF(B116="",16,INDEX(OFFSET(Arb!$I$2,,,Arb!$AJ$5,),B116))</f>
        <v>10</v>
      </c>
      <c r="D116" s="34">
        <f ca="1">IF(B116="",10,INDEX(OFFSET(Arb!$H$2,,,Arb!$AJ$5,),B116))</f>
        <v>4.07</v>
      </c>
      <c r="E116" s="33">
        <f t="shared" ca="1" si="9"/>
        <v>2.4570024570024569</v>
      </c>
      <c r="F116" s="33">
        <f ca="1">IF(B116="","",INDEX(OFFSET(Arb!$X$2,,,Arb!$AJ$5,),B116)/D116)</f>
        <v>3.1941031941031941</v>
      </c>
      <c r="G116" s="33">
        <f ca="1">IF(B116="","",(INDEX(OFFSET(Arb!$U$2,,,Arb!$AJ$5,),B116)+INDEX(OFFSET(Arb!$V$2,,,Arb!$AJ$5,),B116))/D116)</f>
        <v>3.9312039312039309</v>
      </c>
      <c r="H116" s="33">
        <f t="shared" ca="1" si="10"/>
        <v>1.0872026334449196</v>
      </c>
      <c r="I116" s="21">
        <f t="shared" ca="1" si="11"/>
        <v>43.505229425473317</v>
      </c>
      <c r="J116" s="74">
        <f ca="1">IF(B116="","",DATE(INDEX(OFFSET(Arb!$C$2,,,Arb!$AJ$5,),B116),INDEX(OFFSET(Arb!$B$2,,,Arb!$AJ$5,),B116),INDEX(OFFSET(Arb!$A$2,,,Arb!$AJ$5,),B116))+ROW()*0.001)</f>
        <v>44168.116000000002</v>
      </c>
      <c r="K116" s="11">
        <v>115</v>
      </c>
      <c r="L116" s="11">
        <v>2290</v>
      </c>
      <c r="M116" s="433">
        <f ca="1">IF(L116="",64,INDEX(OFFSET(Arb!$I$2,,,Arb!$AJ$5,),L116))</f>
        <v>44</v>
      </c>
      <c r="N116" s="34">
        <f ca="1">IF(L116="",60,INDEX(OFFSET(Arb!$H$2,,,Arb!$AJ$5,),L116))</f>
        <v>22.68</v>
      </c>
      <c r="O116" s="33">
        <f t="shared" ca="1" si="12"/>
        <v>1.9400352733686068</v>
      </c>
      <c r="P116" s="33">
        <f ca="1">IF(L116="","",INDEX(OFFSET(Arb!$X$2,,,Arb!$AJ$5,),L116)/N116)</f>
        <v>2.6014109347442682</v>
      </c>
      <c r="Q116" s="33">
        <f ca="1">IF(L116="","",(INDEX(OFFSET(Arb!$U$2,,,Arb!$AJ$5,),L116)+INDEX(OFFSET(Arb!$V$2,,,Arb!$AJ$5,),L116))/N116)</f>
        <v>2.9100529100529102</v>
      </c>
      <c r="R116" s="33">
        <f t="shared" ca="1" si="13"/>
        <v>4.5829013502268161</v>
      </c>
      <c r="S116" s="21">
        <f t="shared" ca="1" si="14"/>
        <v>33.544252483722261</v>
      </c>
      <c r="T116" s="74">
        <f ca="1">IF(L116="","",DATE(INDEX(OFFSET(Arb!$C$2,,,Arb!$AJ$5,),L116),INDEX(OFFSET(Arb!$B$2,,,Arb!$AJ$5,),L116),INDEX(OFFSET(Arb!$A$2,,,Arb!$AJ$5,),L116))+ROW()*0.001)</f>
        <v>43937.116000000002</v>
      </c>
      <c r="U116" s="11">
        <v>115</v>
      </c>
      <c r="V116" s="11">
        <v>2852</v>
      </c>
      <c r="W116" s="433">
        <f ca="1">IF(V116="",164,INDEX(OFFSET(Arb!$I$2,,,Arb!$AJ$5,),V116))</f>
        <v>138</v>
      </c>
      <c r="X116" s="34">
        <f ca="1">IF(V116="",240,INDEX(OFFSET(Arb!$H$2,,,Arb!$AJ$5,),V116))</f>
        <v>67.52</v>
      </c>
      <c r="Y116" s="33">
        <f t="shared" ca="1" si="15"/>
        <v>2.0438388625592419</v>
      </c>
      <c r="Z116" s="33">
        <f ca="1">IF(V116="","",INDEX(OFFSET(Arb!$X$2,,,Arb!$AJ$5,),V116)/X116)</f>
        <v>2.9768957345971567</v>
      </c>
      <c r="AA116" s="33">
        <f ca="1">IF(V116="","",(INDEX(OFFSET(Arb!$U$2,,,Arb!$AJ$5,),V116)+INDEX(OFFSET(Arb!$V$2,,,Arb!$AJ$5,),V116))/X116)</f>
        <v>3.5693127962085311</v>
      </c>
      <c r="AB116" s="33">
        <f t="shared" ca="1" si="16"/>
        <v>9.3358969810538923</v>
      </c>
      <c r="AC116" s="21">
        <f t="shared" ca="1" si="17"/>
        <v>46.594451597182733</v>
      </c>
      <c r="AD116" s="74">
        <f ca="1">IF(V116="","",DATE(INDEX(OFFSET(Arb!$C$2,,,Arb!$AJ$5,),V116),INDEX(OFFSET(Arb!$B$2,,,Arb!$AJ$5,),V116),INDEX(OFFSET(Arb!$A$2,,,Arb!$AJ$5,),V116))+ROW()*0.001)</f>
        <v>43905.116000000002</v>
      </c>
    </row>
    <row r="117" spans="1:30" x14ac:dyDescent="0.25">
      <c r="A117" s="11">
        <v>116</v>
      </c>
      <c r="B117" s="11">
        <v>1137</v>
      </c>
      <c r="C117" s="433">
        <f ca="1">IF(B117="",16,INDEX(OFFSET(Arb!$I$2,,,Arb!$AJ$5,),B117))</f>
        <v>10</v>
      </c>
      <c r="D117" s="34">
        <f ca="1">IF(B117="",10,INDEX(OFFSET(Arb!$H$2,,,Arb!$AJ$5,),B117))</f>
        <v>4.07</v>
      </c>
      <c r="E117" s="33">
        <f t="shared" ca="1" si="9"/>
        <v>2.4570024570024569</v>
      </c>
      <c r="F117" s="33">
        <f ca="1">IF(B117="","",INDEX(OFFSET(Arb!$X$2,,,Arb!$AJ$5,),B117)/D117)</f>
        <v>3.4398034398034394</v>
      </c>
      <c r="G117" s="33">
        <f ca="1">IF(B117="","",(INDEX(OFFSET(Arb!$U$2,,,Arb!$AJ$5,),B117)+INDEX(OFFSET(Arb!$V$2,,,Arb!$AJ$5,),B117))/D117)</f>
        <v>4.6683046683046676</v>
      </c>
      <c r="H117" s="33">
        <f t="shared" ca="1" si="10"/>
        <v>1.0872026334449196</v>
      </c>
      <c r="I117" s="21">
        <f t="shared" ca="1" si="11"/>
        <v>43.505229425473317</v>
      </c>
      <c r="J117" s="74">
        <f ca="1">IF(B117="","",DATE(INDEX(OFFSET(Arb!$C$2,,,Arb!$AJ$5,),B117),INDEX(OFFSET(Arb!$B$2,,,Arb!$AJ$5,),B117),INDEX(OFFSET(Arb!$A$2,,,Arb!$AJ$5,),B117))+ROW()*0.001)</f>
        <v>43860.116999999998</v>
      </c>
      <c r="K117" s="11">
        <v>116</v>
      </c>
      <c r="L117" s="11">
        <v>1918</v>
      </c>
      <c r="M117" s="433">
        <f ca="1">IF(L117="",64,INDEX(OFFSET(Arb!$I$2,,,Arb!$AJ$5,),L117))</f>
        <v>58</v>
      </c>
      <c r="N117" s="34">
        <f ca="1">IF(L117="",60,INDEX(OFFSET(Arb!$H$2,,,Arb!$AJ$5,),L117))</f>
        <v>22.69</v>
      </c>
      <c r="O117" s="33">
        <f t="shared" ca="1" si="12"/>
        <v>2.5561921551344202</v>
      </c>
      <c r="P117" s="33">
        <f ca="1">IF(L117="","",INDEX(OFFSET(Arb!$X$2,,,Arb!$AJ$5,),L117)/N117)</f>
        <v>3.2613486117232258</v>
      </c>
      <c r="Q117" s="33">
        <f ca="1">IF(L117="","",(INDEX(OFFSET(Arb!$U$2,,,Arb!$AJ$5,),L117)+INDEX(OFFSET(Arb!$V$2,,,Arb!$AJ$5,),L117))/N117)</f>
        <v>3.7902159541648301</v>
      </c>
      <c r="R117" s="33">
        <f t="shared" ca="1" si="13"/>
        <v>3.479290164978194</v>
      </c>
      <c r="S117" s="21">
        <f t="shared" ca="1" si="14"/>
        <v>44.184299874558889</v>
      </c>
      <c r="T117" s="74">
        <f ca="1">IF(L117="","",DATE(INDEX(OFFSET(Arb!$C$2,,,Arb!$AJ$5,),L117),INDEX(OFFSET(Arb!$B$2,,,Arb!$AJ$5,),L117),INDEX(OFFSET(Arb!$A$2,,,Arb!$AJ$5,),L117))+ROW()*0.001)</f>
        <v>43769.116999999998</v>
      </c>
      <c r="U117" s="11">
        <v>116</v>
      </c>
      <c r="V117" s="11">
        <v>2939</v>
      </c>
      <c r="W117" s="433">
        <f ca="1">IF(V117="",164,INDEX(OFFSET(Arb!$I$2,,,Arb!$AJ$5,),V117))</f>
        <v>146</v>
      </c>
      <c r="X117" s="34">
        <f ca="1">IF(V117="",240,INDEX(OFFSET(Arb!$H$2,,,Arb!$AJ$5,),V117))</f>
        <v>67.55</v>
      </c>
      <c r="Y117" s="33">
        <f t="shared" ca="1" si="15"/>
        <v>2.161361954108068</v>
      </c>
      <c r="Z117" s="33">
        <f ca="1">IF(V117="","",INDEX(OFFSET(Arb!$X$2,,,Arb!$AJ$5,),V117)/X117)</f>
        <v>2.7979274611398965</v>
      </c>
      <c r="AA117" s="33">
        <f ca="1">IF(V117="","",(INDEX(OFFSET(Arb!$U$2,,,Arb!$AJ$5,),V117)+INDEX(OFFSET(Arb!$V$2,,,Arb!$AJ$5,),V117))/X117)</f>
        <v>3.2568467801628427</v>
      </c>
      <c r="AB117" s="33">
        <f t="shared" ca="1" si="16"/>
        <v>8.8310073235120488</v>
      </c>
      <c r="AC117" s="21">
        <f t="shared" ca="1" si="17"/>
        <v>49.25836703156557</v>
      </c>
      <c r="AD117" s="74">
        <f ca="1">IF(V117="","",DATE(INDEX(OFFSET(Arb!$C$2,,,Arb!$AJ$5,),V117),INDEX(OFFSET(Arb!$B$2,,,Arb!$AJ$5,),V117),INDEX(OFFSET(Arb!$A$2,,,Arb!$AJ$5,),V117))+ROW()*0.001)</f>
        <v>43940.116999999998</v>
      </c>
    </row>
    <row r="118" spans="1:30" x14ac:dyDescent="0.25">
      <c r="A118" s="11">
        <v>117</v>
      </c>
      <c r="B118" s="11">
        <v>1824</v>
      </c>
      <c r="C118" s="433">
        <f ca="1">IF(B118="",16,INDEX(OFFSET(Arb!$I$2,,,Arb!$AJ$5,),B118))</f>
        <v>10</v>
      </c>
      <c r="D118" s="34">
        <f ca="1">IF(B118="",10,INDEX(OFFSET(Arb!$H$2,,,Arb!$AJ$5,),B118))</f>
        <v>4.08</v>
      </c>
      <c r="E118" s="33">
        <f t="shared" ca="1" si="9"/>
        <v>2.4509803921568629</v>
      </c>
      <c r="F118" s="33">
        <f ca="1">IF(B118="","",INDEX(OFFSET(Arb!$X$2,,,Arb!$AJ$5,),B118)/D118)</f>
        <v>3.4313725490196076</v>
      </c>
      <c r="G118" s="33">
        <f ca="1">IF(B118="","",(INDEX(OFFSET(Arb!$U$2,,,Arb!$AJ$5,),B118)+INDEX(OFFSET(Arb!$V$2,,,Arb!$AJ$5,),B118))/D118)</f>
        <v>3.9215686274509802</v>
      </c>
      <c r="H118" s="33">
        <f t="shared" ca="1" si="10"/>
        <v>1.0917476788652616</v>
      </c>
      <c r="I118" s="21">
        <f t="shared" ca="1" si="11"/>
        <v>43.324113177104742</v>
      </c>
      <c r="J118" s="74">
        <f ca="1">IF(B118="","",DATE(INDEX(OFFSET(Arb!$C$2,,,Arb!$AJ$5,),B118),INDEX(OFFSET(Arb!$B$2,,,Arb!$AJ$5,),B118),INDEX(OFFSET(Arb!$A$2,,,Arb!$AJ$5,),B118))+ROW()*0.001)</f>
        <v>44168.118000000002</v>
      </c>
      <c r="K118" s="11">
        <v>117</v>
      </c>
      <c r="L118" s="11">
        <v>2018</v>
      </c>
      <c r="M118" s="433">
        <f ca="1">IF(L118="",64,INDEX(OFFSET(Arb!$I$2,,,Arb!$AJ$5,),L118))</f>
        <v>58</v>
      </c>
      <c r="N118" s="34">
        <f ca="1">IF(L118="",60,INDEX(OFFSET(Arb!$H$2,,,Arb!$AJ$5,),L118))</f>
        <v>22.7</v>
      </c>
      <c r="O118" s="33">
        <f t="shared" ca="1" si="12"/>
        <v>2.5550660792951541</v>
      </c>
      <c r="P118" s="33">
        <f ca="1">IF(L118="","",INDEX(OFFSET(Arb!$X$2,,,Arb!$AJ$5,),L118)/N118)</f>
        <v>3.1718061674008813</v>
      </c>
      <c r="Q118" s="33">
        <f ca="1">IF(L118="","",(INDEX(OFFSET(Arb!$U$2,,,Arb!$AJ$5,),L118)+INDEX(OFFSET(Arb!$V$2,,,Arb!$AJ$5,),L118))/N118)</f>
        <v>3.4361233480176212</v>
      </c>
      <c r="R118" s="33">
        <f t="shared" ca="1" si="13"/>
        <v>3.4818973512341289</v>
      </c>
      <c r="S118" s="21">
        <f t="shared" ca="1" si="14"/>
        <v>44.151215412916095</v>
      </c>
      <c r="T118" s="74">
        <f ca="1">IF(L118="","",DATE(INDEX(OFFSET(Arb!$C$2,,,Arb!$AJ$5,),L118),INDEX(OFFSET(Arb!$B$2,,,Arb!$AJ$5,),L118),INDEX(OFFSET(Arb!$A$2,,,Arb!$AJ$5,),L118))+ROW()*0.001)</f>
        <v>43795.118000000002</v>
      </c>
      <c r="U118" s="11">
        <v>117</v>
      </c>
      <c r="V118" s="11">
        <v>2413</v>
      </c>
      <c r="W118" s="433">
        <f ca="1">IF(V118="",164,INDEX(OFFSET(Arb!$I$2,,,Arb!$AJ$5,),V118))</f>
        <v>138</v>
      </c>
      <c r="X118" s="34">
        <f ca="1">IF(V118="",240,INDEX(OFFSET(Arb!$H$2,,,Arb!$AJ$5,),V118))</f>
        <v>67.569999999999993</v>
      </c>
      <c r="Y118" s="33">
        <f t="shared" ca="1" si="15"/>
        <v>2.0423264762468554</v>
      </c>
      <c r="Z118" s="33">
        <f ca="1">IF(V118="","",INDEX(OFFSET(Arb!$X$2,,,Arb!$AJ$5,),V118)/X118)</f>
        <v>2.6195056977948799</v>
      </c>
      <c r="AA118" s="33">
        <f ca="1">IF(V118="","",(INDEX(OFFSET(Arb!$U$2,,,Arb!$AJ$5,),V118)+INDEX(OFFSET(Arb!$V$2,,,Arb!$AJ$5,),V118))/X118)</f>
        <v>2.9598934438360223</v>
      </c>
      <c r="AB118" s="33">
        <f t="shared" ca="1" si="16"/>
        <v>9.3476528593526069</v>
      </c>
      <c r="AC118" s="21">
        <f t="shared" ca="1" si="17"/>
        <v>46.53585306869504</v>
      </c>
      <c r="AD118" s="74">
        <f ca="1">IF(V118="","",DATE(INDEX(OFFSET(Arb!$C$2,,,Arb!$AJ$5,),V118),INDEX(OFFSET(Arb!$B$2,,,Arb!$AJ$5,),V118),INDEX(OFFSET(Arb!$A$2,,,Arb!$AJ$5,),V118))+ROW()*0.001)</f>
        <v>43764.118000000002</v>
      </c>
    </row>
    <row r="119" spans="1:30" x14ac:dyDescent="0.25">
      <c r="A119" s="11">
        <v>118</v>
      </c>
      <c r="B119" s="11">
        <v>1360</v>
      </c>
      <c r="C119" s="433">
        <f ca="1">IF(B119="",16,INDEX(OFFSET(Arb!$I$2,,,Arb!$AJ$5,),B119))</f>
        <v>10</v>
      </c>
      <c r="D119" s="34">
        <f ca="1">IF(B119="",10,INDEX(OFFSET(Arb!$H$2,,,Arb!$AJ$5,),B119))</f>
        <v>4.08</v>
      </c>
      <c r="E119" s="33">
        <f t="shared" ca="1" si="9"/>
        <v>2.4509803921568629</v>
      </c>
      <c r="F119" s="33">
        <f ca="1">IF(B119="","",INDEX(OFFSET(Arb!$X$2,,,Arb!$AJ$5,),B119)/D119)</f>
        <v>3.4313725490196076</v>
      </c>
      <c r="G119" s="33">
        <f ca="1">IF(B119="","",(INDEX(OFFSET(Arb!$U$2,,,Arb!$AJ$5,),B119)+INDEX(OFFSET(Arb!$V$2,,,Arb!$AJ$5,),B119))/D119)</f>
        <v>4.6568627450980395</v>
      </c>
      <c r="H119" s="33">
        <f t="shared" ca="1" si="10"/>
        <v>1.0917476788652616</v>
      </c>
      <c r="I119" s="21">
        <f t="shared" ca="1" si="11"/>
        <v>43.324113177104742</v>
      </c>
      <c r="J119" s="74">
        <f ca="1">IF(B119="","",DATE(INDEX(OFFSET(Arb!$C$2,,,Arb!$AJ$5,),B119),INDEX(OFFSET(Arb!$B$2,,,Arb!$AJ$5,),B119),INDEX(OFFSET(Arb!$A$2,,,Arb!$AJ$5,),B119))+ROW()*0.001)</f>
        <v>43935.118999999999</v>
      </c>
      <c r="K119" s="11">
        <v>118</v>
      </c>
      <c r="L119" s="11">
        <v>1952</v>
      </c>
      <c r="M119" s="433">
        <f ca="1">IF(L119="",64,INDEX(OFFSET(Arb!$I$2,,,Arb!$AJ$5,),L119))</f>
        <v>45</v>
      </c>
      <c r="N119" s="34">
        <f ca="1">IF(L119="",60,INDEX(OFFSET(Arb!$H$2,,,Arb!$AJ$5,),L119))</f>
        <v>22.7</v>
      </c>
      <c r="O119" s="33">
        <f t="shared" ca="1" si="12"/>
        <v>1.9823788546255507</v>
      </c>
      <c r="P119" s="33">
        <f ca="1">IF(L119="","",INDEX(OFFSET(Arb!$X$2,,,Arb!$AJ$5,),L119)/N119)</f>
        <v>2.4229074889867843</v>
      </c>
      <c r="Q119" s="33">
        <f ca="1">IF(L119="","",(INDEX(OFFSET(Arb!$U$2,,,Arb!$AJ$5,),L119)+INDEX(OFFSET(Arb!$V$2,,,Arb!$AJ$5,),L119))/N119)</f>
        <v>2.8193832599118944</v>
      </c>
      <c r="R119" s="33">
        <f t="shared" ca="1" si="13"/>
        <v>4.487778808257322</v>
      </c>
      <c r="S119" s="21">
        <f t="shared" ca="1" si="14"/>
        <v>34.255253337607314</v>
      </c>
      <c r="T119" s="74">
        <f ca="1">IF(L119="","",DATE(INDEX(OFFSET(Arb!$C$2,,,Arb!$AJ$5,),L119),INDEX(OFFSET(Arb!$B$2,,,Arb!$AJ$5,),L119),INDEX(OFFSET(Arb!$A$2,,,Arb!$AJ$5,),L119))+ROW()*0.001)</f>
        <v>43777.118999999999</v>
      </c>
      <c r="U119" s="11">
        <v>118</v>
      </c>
      <c r="V119" s="11">
        <v>2774</v>
      </c>
      <c r="W119" s="433">
        <f ca="1">IF(V119="",164,INDEX(OFFSET(Arb!$I$2,,,Arb!$AJ$5,),V119))</f>
        <v>156</v>
      </c>
      <c r="X119" s="34">
        <f ca="1">IF(V119="",240,INDEX(OFFSET(Arb!$H$2,,,Arb!$AJ$5,),V119))</f>
        <v>67.58</v>
      </c>
      <c r="Y119" s="33">
        <f t="shared" ca="1" si="15"/>
        <v>2.3083752589523527</v>
      </c>
      <c r="Z119" s="33">
        <f ca="1">IF(V119="","",INDEX(OFFSET(Arb!$X$2,,,Arb!$AJ$5,),V119)/X119)</f>
        <v>2.7374963006806747</v>
      </c>
      <c r="AA119" s="33">
        <f ca="1">IF(V119="","",(INDEX(OFFSET(Arb!$U$2,,,Arb!$AJ$5,),V119)+INDEX(OFFSET(Arb!$V$2,,,Arb!$AJ$5,),V119))/X119)</f>
        <v>2.9446581828943477</v>
      </c>
      <c r="AB119" s="33">
        <f t="shared" ca="1" si="16"/>
        <v>8.2711580621989587</v>
      </c>
      <c r="AC119" s="21">
        <f t="shared" ca="1" si="17"/>
        <v>52.592514461554273</v>
      </c>
      <c r="AD119" s="74">
        <f ca="1">IF(V119="","",DATE(INDEX(OFFSET(Arb!$C$2,,,Arb!$AJ$5,),V119),INDEX(OFFSET(Arb!$B$2,,,Arb!$AJ$5,),V119),INDEX(OFFSET(Arb!$A$2,,,Arb!$AJ$5,),V119))+ROW()*0.001)</f>
        <v>43889.118999999999</v>
      </c>
    </row>
    <row r="120" spans="1:30" x14ac:dyDescent="0.25">
      <c r="A120" s="11">
        <v>119</v>
      </c>
      <c r="B120" s="11">
        <v>1574</v>
      </c>
      <c r="C120" s="433">
        <f ca="1">IF(B120="",16,INDEX(OFFSET(Arb!$I$2,,,Arb!$AJ$5,),B120))</f>
        <v>13</v>
      </c>
      <c r="D120" s="34">
        <f ca="1">IF(B120="",10,INDEX(OFFSET(Arb!$H$2,,,Arb!$AJ$5,),B120))</f>
        <v>4.09</v>
      </c>
      <c r="E120" s="33">
        <f t="shared" ca="1" si="9"/>
        <v>3.1784841075794623</v>
      </c>
      <c r="F120" s="33">
        <f ca="1">IF(B120="","",INDEX(OFFSET(Arb!$X$2,,,Arb!$AJ$5,),B120)/D120)</f>
        <v>3.6674816625916873</v>
      </c>
      <c r="G120" s="33">
        <f ca="1">IF(B120="","",(INDEX(OFFSET(Arb!$U$2,,,Arb!$AJ$5,),B120)+INDEX(OFFSET(Arb!$V$2,,,Arb!$AJ$5,),B120))/D120)</f>
        <v>4.1564792176039118</v>
      </c>
      <c r="H120" s="33">
        <f t="shared" ca="1" si="10"/>
        <v>0.8433080991199311</v>
      </c>
      <c r="I120" s="21">
        <f t="shared" ca="1" si="11"/>
        <v>56.087448999198301</v>
      </c>
      <c r="J120" s="74">
        <f ca="1">IF(B120="","",DATE(INDEX(OFFSET(Arb!$C$2,,,Arb!$AJ$5,),B120),INDEX(OFFSET(Arb!$B$2,,,Arb!$AJ$5,),B120),INDEX(OFFSET(Arb!$A$2,,,Arb!$AJ$5,),B120))+ROW()*0.001)</f>
        <v>44006.12</v>
      </c>
      <c r="K120" s="11">
        <v>119</v>
      </c>
      <c r="L120" s="11">
        <v>2184</v>
      </c>
      <c r="M120" s="433">
        <f ca="1">IF(L120="",64,INDEX(OFFSET(Arb!$I$2,,,Arb!$AJ$5,),L120))</f>
        <v>59</v>
      </c>
      <c r="N120" s="34">
        <f ca="1">IF(L120="",60,INDEX(OFFSET(Arb!$H$2,,,Arb!$AJ$5,),L120))</f>
        <v>22.74</v>
      </c>
      <c r="O120" s="33">
        <f t="shared" ca="1" si="12"/>
        <v>2.5945470536499564</v>
      </c>
      <c r="P120" s="33">
        <f ca="1">IF(L120="","",INDEX(OFFSET(Arb!$X$2,,,Arb!$AJ$5,),L120)/N120)</f>
        <v>2.8583992963940195</v>
      </c>
      <c r="Q120" s="33">
        <f ca="1">IF(L120="","",(INDEX(OFFSET(Arb!$U$2,,,Arb!$AJ$5,),L120)+INDEX(OFFSET(Arb!$V$2,,,Arb!$AJ$5,),L120))/N120)</f>
        <v>3.0343007915567286</v>
      </c>
      <c r="R120" s="33">
        <f t="shared" ca="1" si="13"/>
        <v>3.4331420322134254</v>
      </c>
      <c r="S120" s="21">
        <f t="shared" ca="1" si="14"/>
        <v>44.778223142980991</v>
      </c>
      <c r="T120" s="74">
        <f ca="1">IF(L120="","",DATE(INDEX(OFFSET(Arb!$C$2,,,Arb!$AJ$5,),L120),INDEX(OFFSET(Arb!$B$2,,,Arb!$AJ$5,),L120),INDEX(OFFSET(Arb!$A$2,,,Arb!$AJ$5,),L120))+ROW()*0.001)</f>
        <v>43840.12</v>
      </c>
      <c r="U120" s="11">
        <v>119</v>
      </c>
      <c r="V120" s="11">
        <v>2966</v>
      </c>
      <c r="W120" s="433">
        <f ca="1">IF(V120="",164,INDEX(OFFSET(Arb!$I$2,,,Arb!$AJ$5,),V120))</f>
        <v>162</v>
      </c>
      <c r="X120" s="34">
        <f ca="1">IF(V120="",240,INDEX(OFFSET(Arb!$H$2,,,Arb!$AJ$5,),V120))</f>
        <v>67.61</v>
      </c>
      <c r="Y120" s="33">
        <f t="shared" ca="1" si="15"/>
        <v>2.3960952521816301</v>
      </c>
      <c r="Z120" s="33">
        <f ca="1">IF(V120="","",INDEX(OFFSET(Arb!$X$2,,,Arb!$AJ$5,),V120)/X120)</f>
        <v>2.9433515752107677</v>
      </c>
      <c r="AA120" s="33">
        <f ca="1">IF(V120="","",(INDEX(OFFSET(Arb!$U$2,,,Arb!$AJ$5,),V120)+INDEX(OFFSET(Arb!$V$2,,,Arb!$AJ$5,),V120))/X120)</f>
        <v>3.2243750924419463</v>
      </c>
      <c r="AB120" s="33">
        <f t="shared" ca="1" si="16"/>
        <v>7.9708305478762993</v>
      </c>
      <c r="AC120" s="21">
        <f t="shared" ca="1" si="17"/>
        <v>54.574112118830456</v>
      </c>
      <c r="AD120" s="74">
        <f ca="1">IF(V120="","",DATE(INDEX(OFFSET(Arb!$C$2,,,Arb!$AJ$5,),V120),INDEX(OFFSET(Arb!$B$2,,,Arb!$AJ$5,),V120),INDEX(OFFSET(Arb!$A$2,,,Arb!$AJ$5,),V120))+ROW()*0.001)</f>
        <v>43952.12</v>
      </c>
    </row>
    <row r="121" spans="1:30" x14ac:dyDescent="0.25">
      <c r="A121" s="11">
        <v>120</v>
      </c>
      <c r="B121" s="11">
        <v>1291</v>
      </c>
      <c r="C121" s="433">
        <f ca="1">IF(B121="",16,INDEX(OFFSET(Arb!$I$2,,,Arb!$AJ$5,),B121))</f>
        <v>13</v>
      </c>
      <c r="D121" s="34">
        <f ca="1">IF(B121="",10,INDEX(OFFSET(Arb!$H$2,,,Arb!$AJ$5,),B121))</f>
        <v>4.09</v>
      </c>
      <c r="E121" s="33">
        <f t="shared" ca="1" si="9"/>
        <v>3.1784841075794623</v>
      </c>
      <c r="F121" s="33">
        <f ca="1">IF(B121="","",INDEX(OFFSET(Arb!$X$2,,,Arb!$AJ$5,),B121)/D121)</f>
        <v>3.9119804400977998</v>
      </c>
      <c r="G121" s="33">
        <f ca="1">IF(B121="","",(INDEX(OFFSET(Arb!$U$2,,,Arb!$AJ$5,),B121)+INDEX(OFFSET(Arb!$V$2,,,Arb!$AJ$5,),B121))/D121)</f>
        <v>4.6454767726161368</v>
      </c>
      <c r="H121" s="33">
        <f t="shared" ca="1" si="10"/>
        <v>0.8433080991199311</v>
      </c>
      <c r="I121" s="21">
        <f t="shared" ca="1" si="11"/>
        <v>56.087448999198301</v>
      </c>
      <c r="J121" s="74">
        <f ca="1">IF(B121="","",DATE(INDEX(OFFSET(Arb!$C$2,,,Arb!$AJ$5,),B121),INDEX(OFFSET(Arb!$B$2,,,Arb!$AJ$5,),B121),INDEX(OFFSET(Arb!$A$2,,,Arb!$AJ$5,),B121))+ROW()*0.001)</f>
        <v>43906.120999999999</v>
      </c>
      <c r="K121" s="11">
        <v>120</v>
      </c>
      <c r="L121" s="11">
        <v>2122</v>
      </c>
      <c r="M121" s="433">
        <f ca="1">IF(L121="",64,INDEX(OFFSET(Arb!$I$2,,,Arb!$AJ$5,),L121))</f>
        <v>51</v>
      </c>
      <c r="N121" s="34">
        <f ca="1">IF(L121="",60,INDEX(OFFSET(Arb!$H$2,,,Arb!$AJ$5,),L121))</f>
        <v>22.74</v>
      </c>
      <c r="O121" s="33">
        <f t="shared" ca="1" si="12"/>
        <v>2.2427440633245386</v>
      </c>
      <c r="P121" s="33">
        <f ca="1">IF(L121="","",INDEX(OFFSET(Arb!$X$2,,,Arb!$AJ$5,),L121)/N121)</f>
        <v>2.6824978012313108</v>
      </c>
      <c r="Q121" s="33">
        <f ca="1">IF(L121="","",(INDEX(OFFSET(Arb!$U$2,,,Arb!$AJ$5,),L121)+INDEX(OFFSET(Arb!$V$2,,,Arb!$AJ$5,),L121))/N121)</f>
        <v>3.0343007915567286</v>
      </c>
      <c r="R121" s="33">
        <f t="shared" ca="1" si="13"/>
        <v>3.9716741156978843</v>
      </c>
      <c r="S121" s="21">
        <f t="shared" ca="1" si="14"/>
        <v>38.706599665966614</v>
      </c>
      <c r="T121" s="74">
        <f ca="1">IF(L121="","",DATE(INDEX(OFFSET(Arb!$C$2,,,Arb!$AJ$5,),L121),INDEX(OFFSET(Arb!$B$2,,,Arb!$AJ$5,),L121),INDEX(OFFSET(Arb!$A$2,,,Arb!$AJ$5,),L121))+ROW()*0.001)</f>
        <v>43811.120999999999</v>
      </c>
      <c r="U121" s="11">
        <v>120</v>
      </c>
      <c r="V121" s="11">
        <v>3338</v>
      </c>
      <c r="W121" s="433">
        <f ca="1">IF(V121="",164,INDEX(OFFSET(Arb!$I$2,,,Arb!$AJ$5,),V121))</f>
        <v>174</v>
      </c>
      <c r="X121" s="34">
        <f ca="1">IF(V121="",240,INDEX(OFFSET(Arb!$H$2,,,Arb!$AJ$5,),V121))</f>
        <v>67.67</v>
      </c>
      <c r="Y121" s="33">
        <f t="shared" ca="1" si="15"/>
        <v>2.5713019063100337</v>
      </c>
      <c r="Z121" s="33">
        <f ca="1">IF(V121="","",INDEX(OFFSET(Arb!$X$2,,,Arb!$AJ$5,),V121)/X121)</f>
        <v>3.0294074183537756</v>
      </c>
      <c r="AA121" s="33">
        <f ca="1">IF(V121="","",(INDEX(OFFSET(Arb!$U$2,,,Arb!$AJ$5,),V121)+INDEX(OFFSET(Arb!$V$2,,,Arb!$AJ$5,),V121))/X121)</f>
        <v>3.3545145559332052</v>
      </c>
      <c r="AB121" s="33">
        <f t="shared" ca="1" si="16"/>
        <v>7.4323174623484709</v>
      </c>
      <c r="AC121" s="21">
        <f t="shared" ca="1" si="17"/>
        <v>58.528312629765942</v>
      </c>
      <c r="AD121" s="74">
        <f ca="1">IF(V121="","",DATE(INDEX(OFFSET(Arb!$C$2,,,Arb!$AJ$5,),V121),INDEX(OFFSET(Arb!$B$2,,,Arb!$AJ$5,),V121),INDEX(OFFSET(Arb!$A$2,,,Arb!$AJ$5,),V121))+ROW()*0.001)</f>
        <v>44096.120999999999</v>
      </c>
    </row>
    <row r="122" spans="1:30" x14ac:dyDescent="0.25">
      <c r="A122" s="11">
        <v>121</v>
      </c>
      <c r="B122" s="11">
        <v>216</v>
      </c>
      <c r="C122" s="433">
        <f ca="1">IF(B122="",16,INDEX(OFFSET(Arb!$I$2,,,Arb!$AJ$5,),B122))</f>
        <v>15</v>
      </c>
      <c r="D122" s="34">
        <f ca="1">IF(B122="",10,INDEX(OFFSET(Arb!$H$2,,,Arb!$AJ$5,),B122))</f>
        <v>4.09</v>
      </c>
      <c r="E122" s="33">
        <f t="shared" ca="1" si="9"/>
        <v>3.6674816625916873</v>
      </c>
      <c r="F122" s="33">
        <f ca="1">IF(B122="","",INDEX(OFFSET(Arb!$X$2,,,Arb!$AJ$5,),B122)/D122)</f>
        <v>4.4009779951100247</v>
      </c>
      <c r="G122" s="33">
        <f ca="1">IF(B122="","",(INDEX(OFFSET(Arb!$U$2,,,Arb!$AJ$5,),B122)+INDEX(OFFSET(Arb!$V$2,,,Arb!$AJ$5,),B122))/D122)</f>
        <v>5.1344743276283618</v>
      </c>
      <c r="H122" s="33">
        <f t="shared" ca="1" si="10"/>
        <v>0.7308670192372736</v>
      </c>
      <c r="I122" s="21">
        <f t="shared" ca="1" si="11"/>
        <v>64.716287306767271</v>
      </c>
      <c r="J122" s="74">
        <f ca="1">IF(B122="","",DATE(INDEX(OFFSET(Arb!$C$2,,,Arb!$AJ$5,),B122),INDEX(OFFSET(Arb!$B$2,,,Arb!$AJ$5,),B122),INDEX(OFFSET(Arb!$A$2,,,Arb!$AJ$5,),B122))+ROW()*0.001)</f>
        <v>43774.122000000003</v>
      </c>
      <c r="K122" s="11">
        <v>121</v>
      </c>
      <c r="L122" s="11">
        <v>2219</v>
      </c>
      <c r="M122" s="433">
        <f ca="1">IF(L122="",64,INDEX(OFFSET(Arb!$I$2,,,Arb!$AJ$5,),L122))</f>
        <v>46</v>
      </c>
      <c r="N122" s="34">
        <f ca="1">IF(L122="",60,INDEX(OFFSET(Arb!$H$2,,,Arb!$AJ$5,),L122))</f>
        <v>22.76</v>
      </c>
      <c r="O122" s="33">
        <f t="shared" ca="1" si="12"/>
        <v>2.0210896309314585</v>
      </c>
      <c r="P122" s="33">
        <f ca="1">IF(L122="","",INDEX(OFFSET(Arb!$X$2,,,Arb!$AJ$5,),L122)/N122)</f>
        <v>2.8119507908611596</v>
      </c>
      <c r="Q122" s="33">
        <f ca="1">IF(L122="","",(INDEX(OFFSET(Arb!$U$2,,,Arb!$AJ$5,),L122)+INDEX(OFFSET(Arb!$V$2,,,Arb!$AJ$5,),L122))/N122)</f>
        <v>3.1634446397188047</v>
      </c>
      <c r="R122" s="33">
        <f t="shared" ca="1" si="13"/>
        <v>4.4099636167282705</v>
      </c>
      <c r="S122" s="21">
        <f t="shared" ca="1" si="14"/>
        <v>34.859698029448026</v>
      </c>
      <c r="T122" s="74">
        <f ca="1">IF(L122="","",DATE(INDEX(OFFSET(Arb!$C$2,,,Arb!$AJ$5,),L122),INDEX(OFFSET(Arb!$B$2,,,Arb!$AJ$5,),L122),INDEX(OFFSET(Arb!$A$2,,,Arb!$AJ$5,),L122))+ROW()*0.001)</f>
        <v>43870.122000000003</v>
      </c>
      <c r="U122" s="11">
        <v>121</v>
      </c>
      <c r="V122" s="11">
        <v>3011</v>
      </c>
      <c r="W122" s="433">
        <f ca="1">IF(V122="",164,INDEX(OFFSET(Arb!$I$2,,,Arb!$AJ$5,),V122))</f>
        <v>175</v>
      </c>
      <c r="X122" s="34">
        <f ca="1">IF(V122="",240,INDEX(OFFSET(Arb!$H$2,,,Arb!$AJ$5,),V122))</f>
        <v>67.790000000000006</v>
      </c>
      <c r="Y122" s="33">
        <f t="shared" ca="1" si="15"/>
        <v>2.5815016964154003</v>
      </c>
      <c r="Z122" s="33">
        <f ca="1">IF(V122="","",INDEX(OFFSET(Arb!$X$2,,,Arb!$AJ$5,),V122)/X122)</f>
        <v>3.1125534739637111</v>
      </c>
      <c r="AA122" s="33">
        <f ca="1">IF(V122="","",(INDEX(OFFSET(Arb!$U$2,,,Arb!$AJ$5,),V122)+INDEX(OFFSET(Arb!$V$2,,,Arb!$AJ$5,),V122))/X122)</f>
        <v>3.3633279244726357</v>
      </c>
      <c r="AB122" s="33">
        <f t="shared" ca="1" si="16"/>
        <v>7.4121385545985889</v>
      </c>
      <c r="AC122" s="21">
        <f t="shared" ca="1" si="17"/>
        <v>58.687650911506452</v>
      </c>
      <c r="AD122" s="74">
        <f ca="1">IF(V122="","",DATE(INDEX(OFFSET(Arb!$C$2,,,Arb!$AJ$5,),V122),INDEX(OFFSET(Arb!$B$2,,,Arb!$AJ$5,),V122),INDEX(OFFSET(Arb!$A$2,,,Arb!$AJ$5,),V122))+ROW()*0.001)</f>
        <v>43957.122000000003</v>
      </c>
    </row>
    <row r="123" spans="1:30" x14ac:dyDescent="0.25">
      <c r="A123" s="11">
        <v>122</v>
      </c>
      <c r="B123" s="11">
        <v>1052</v>
      </c>
      <c r="C123" s="433">
        <f ca="1">IF(B123="",16,INDEX(OFFSET(Arb!$I$2,,,Arb!$AJ$5,),B123))</f>
        <v>10</v>
      </c>
      <c r="D123" s="34">
        <f ca="1">IF(B123="",10,INDEX(OFFSET(Arb!$H$2,,,Arb!$AJ$5,),B123))</f>
        <v>4.0999999999999996</v>
      </c>
      <c r="E123" s="33">
        <f t="shared" ca="1" si="9"/>
        <v>2.4390243902439028</v>
      </c>
      <c r="F123" s="33">
        <f ca="1">IF(B123="","",INDEX(OFFSET(Arb!$X$2,,,Arb!$AJ$5,),B123)/D123)</f>
        <v>2.9268292682926833</v>
      </c>
      <c r="G123" s="33">
        <f ca="1">IF(B123="","",(INDEX(OFFSET(Arb!$U$2,,,Arb!$AJ$5,),B123)+INDEX(OFFSET(Arb!$V$2,,,Arb!$AJ$5,),B123))/D123)</f>
        <v>3.1707317073170733</v>
      </c>
      <c r="H123" s="33">
        <f t="shared" ca="1" si="10"/>
        <v>1.1008611776873287</v>
      </c>
      <c r="I123" s="21">
        <f t="shared" ca="1" si="11"/>
        <v>42.965453736287593</v>
      </c>
      <c r="J123" s="74">
        <f ca="1">IF(B123="","",DATE(INDEX(OFFSET(Arb!$C$2,,,Arb!$AJ$5,),B123),INDEX(OFFSET(Arb!$B$2,,,Arb!$AJ$5,),B123),INDEX(OFFSET(Arb!$A$2,,,Arb!$AJ$5,),B123))+ROW()*0.001)</f>
        <v>43841.123</v>
      </c>
      <c r="K123" s="11">
        <v>122</v>
      </c>
      <c r="L123" s="11">
        <v>2310</v>
      </c>
      <c r="M123" s="433">
        <f ca="1">IF(L123="",64,INDEX(OFFSET(Arb!$I$2,,,Arb!$AJ$5,),L123))</f>
        <v>52</v>
      </c>
      <c r="N123" s="34">
        <f ca="1">IF(L123="",60,INDEX(OFFSET(Arb!$H$2,,,Arb!$AJ$5,),L123))</f>
        <v>22.77</v>
      </c>
      <c r="O123" s="33">
        <f t="shared" ca="1" si="12"/>
        <v>2.2837066315327186</v>
      </c>
      <c r="P123" s="33">
        <f ca="1">IF(L123="","",INDEX(OFFSET(Arb!$X$2,,,Arb!$AJ$5,),L123)/N123)</f>
        <v>2.9863855950812472</v>
      </c>
      <c r="Q123" s="33">
        <f ca="1">IF(L123="","",(INDEX(OFFSET(Arb!$U$2,,,Arb!$AJ$5,),L123)+INDEX(OFFSET(Arb!$V$2,,,Arb!$AJ$5,),L123))/N123)</f>
        <v>3.3377250768555116</v>
      </c>
      <c r="R123" s="33">
        <f t="shared" ca="1" si="13"/>
        <v>3.9040359520872054</v>
      </c>
      <c r="S123" s="21">
        <f t="shared" ca="1" si="14"/>
        <v>39.377198849260516</v>
      </c>
      <c r="T123" s="74">
        <f ca="1">IF(L123="","",DATE(INDEX(OFFSET(Arb!$C$2,,,Arb!$AJ$5,),L123),INDEX(OFFSET(Arb!$B$2,,,Arb!$AJ$5,),L123),INDEX(OFFSET(Arb!$A$2,,,Arb!$AJ$5,),L123))+ROW()*0.001)</f>
        <v>43950.123</v>
      </c>
      <c r="U123" s="11">
        <v>122</v>
      </c>
      <c r="V123" s="11">
        <v>3347</v>
      </c>
      <c r="W123" s="433">
        <f ca="1">IF(V123="",164,INDEX(OFFSET(Arb!$I$2,,,Arb!$AJ$5,),V123))</f>
        <v>173</v>
      </c>
      <c r="X123" s="34">
        <f ca="1">IF(V123="",240,INDEX(OFFSET(Arb!$H$2,,,Arb!$AJ$5,),V123))</f>
        <v>67.84</v>
      </c>
      <c r="Y123" s="33">
        <f t="shared" ca="1" si="15"/>
        <v>2.5501179245283017</v>
      </c>
      <c r="Z123" s="33">
        <f ca="1">IF(V123="","",INDEX(OFFSET(Arb!$X$2,,,Arb!$AJ$5,),V123)/X123)</f>
        <v>3.0365566037735849</v>
      </c>
      <c r="AA123" s="33">
        <f ca="1">IF(V123="","",(INDEX(OFFSET(Arb!$U$2,,,Arb!$AJ$5,),V123)+INDEX(OFFSET(Arb!$V$2,,,Arb!$AJ$5,),V123))/X123)</f>
        <v>3.3166273584905657</v>
      </c>
      <c r="AB123" s="33">
        <f t="shared" ca="1" si="16"/>
        <v>7.5072317629362297</v>
      </c>
      <c r="AC123" s="21">
        <f t="shared" ca="1" si="17"/>
        <v>57.944261445028616</v>
      </c>
      <c r="AD123" s="74">
        <f ca="1">IF(V123="","",DATE(INDEX(OFFSET(Arb!$C$2,,,Arb!$AJ$5,),V123),INDEX(OFFSET(Arb!$B$2,,,Arb!$AJ$5,),V123),INDEX(OFFSET(Arb!$A$2,,,Arb!$AJ$5,),V123))+ROW()*0.001)</f>
        <v>44098.123</v>
      </c>
    </row>
    <row r="124" spans="1:30" x14ac:dyDescent="0.25">
      <c r="A124" s="11">
        <v>123</v>
      </c>
      <c r="B124" s="11">
        <v>231</v>
      </c>
      <c r="C124" s="433">
        <f ca="1">IF(B124="",16,INDEX(OFFSET(Arb!$I$2,,,Arb!$AJ$5,),B124))</f>
        <v>11</v>
      </c>
      <c r="D124" s="34">
        <f ca="1">IF(B124="",10,INDEX(OFFSET(Arb!$H$2,,,Arb!$AJ$5,),B124))</f>
        <v>4.0999999999999996</v>
      </c>
      <c r="E124" s="33">
        <f t="shared" ca="1" si="9"/>
        <v>2.6829268292682928</v>
      </c>
      <c r="F124" s="33">
        <f ca="1">IF(B124="","",INDEX(OFFSET(Arb!$X$2,,,Arb!$AJ$5,),B124)/D124)</f>
        <v>3.4146341463414638</v>
      </c>
      <c r="G124" s="33">
        <f ca="1">IF(B124="","",(INDEX(OFFSET(Arb!$U$2,,,Arb!$AJ$5,),B124)+INDEX(OFFSET(Arb!$V$2,,,Arb!$AJ$5,),B124))/D124)</f>
        <v>4.1463414634146343</v>
      </c>
      <c r="H124" s="33">
        <f t="shared" ca="1" si="10"/>
        <v>1.0007828888066626</v>
      </c>
      <c r="I124" s="21">
        <f t="shared" ca="1" si="11"/>
        <v>47.261999109916353</v>
      </c>
      <c r="J124" s="74">
        <f ca="1">IF(B124="","",DATE(INDEX(OFFSET(Arb!$C$2,,,Arb!$AJ$5,),B124),INDEX(OFFSET(Arb!$B$2,,,Arb!$AJ$5,),B124),INDEX(OFFSET(Arb!$A$2,,,Arb!$AJ$5,),B124))+ROW()*0.001)</f>
        <v>43776.124000000003</v>
      </c>
      <c r="K124" s="11">
        <v>123</v>
      </c>
      <c r="L124" s="11">
        <v>2062</v>
      </c>
      <c r="M124" s="433">
        <f ca="1">IF(L124="",64,INDEX(OFFSET(Arb!$I$2,,,Arb!$AJ$5,),L124))</f>
        <v>52</v>
      </c>
      <c r="N124" s="34">
        <f ca="1">IF(L124="",60,INDEX(OFFSET(Arb!$H$2,,,Arb!$AJ$5,),L124))</f>
        <v>22.79</v>
      </c>
      <c r="O124" s="33">
        <f t="shared" ca="1" si="12"/>
        <v>2.2817025010969725</v>
      </c>
      <c r="P124" s="33">
        <f ca="1">IF(L124="","",INDEX(OFFSET(Arb!$X$2,,,Arb!$AJ$5,),L124)/N124)</f>
        <v>3.247038174637999</v>
      </c>
      <c r="Q124" s="33">
        <f ca="1">IF(L124="","",(INDEX(OFFSET(Arb!$U$2,,,Arb!$AJ$5,),L124)+INDEX(OFFSET(Arb!$V$2,,,Arb!$AJ$5,),L124))/N124)</f>
        <v>3.5103115401491882</v>
      </c>
      <c r="R124" s="33">
        <f t="shared" ca="1" si="13"/>
        <v>3.9098672224050071</v>
      </c>
      <c r="S124" s="21">
        <f t="shared" ca="1" si="14"/>
        <v>39.318470744753014</v>
      </c>
      <c r="T124" s="74">
        <f ca="1">IF(L124="","",DATE(INDEX(OFFSET(Arb!$C$2,,,Arb!$AJ$5,),L124),INDEX(OFFSET(Arb!$B$2,,,Arb!$AJ$5,),L124),INDEX(OFFSET(Arb!$A$2,,,Arb!$AJ$5,),L124))+ROW()*0.001)</f>
        <v>43800.124000000003</v>
      </c>
      <c r="U124" s="11">
        <v>123</v>
      </c>
      <c r="V124" s="11">
        <v>3431</v>
      </c>
      <c r="W124" s="433">
        <f ca="1">IF(V124="",164,INDEX(OFFSET(Arb!$I$2,,,Arb!$AJ$5,),V124))</f>
        <v>156</v>
      </c>
      <c r="X124" s="34">
        <f ca="1">IF(V124="",240,INDEX(OFFSET(Arb!$H$2,,,Arb!$AJ$5,),V124))</f>
        <v>67.89</v>
      </c>
      <c r="Y124" s="33">
        <f t="shared" ca="1" si="15"/>
        <v>2.2978347326557667</v>
      </c>
      <c r="Z124" s="33">
        <f ca="1">IF(V124="","",INDEX(OFFSET(Arb!$X$2,,,Arb!$AJ$5,),V124)/X124)</f>
        <v>2.7544557372219769</v>
      </c>
      <c r="AA124" s="33">
        <f ca="1">IF(V124="","",(INDEX(OFFSET(Arb!$U$2,,,Arb!$AJ$5,),V124)+INDEX(OFFSET(Arb!$V$2,,,Arb!$AJ$5,),V124))/X124)</f>
        <v>3.0048608042421563</v>
      </c>
      <c r="AB124" s="33">
        <f t="shared" ca="1" si="16"/>
        <v>8.335761426031155</v>
      </c>
      <c r="AC124" s="21">
        <f t="shared" ca="1" si="17"/>
        <v>52.184914822725894</v>
      </c>
      <c r="AD124" s="74">
        <f ca="1">IF(V124="","",DATE(INDEX(OFFSET(Arb!$C$2,,,Arb!$AJ$5,),V124),INDEX(OFFSET(Arb!$B$2,,,Arb!$AJ$5,),V124),INDEX(OFFSET(Arb!$A$2,,,Arb!$AJ$5,),V124))+ROW()*0.001)</f>
        <v>44153.124000000003</v>
      </c>
    </row>
    <row r="125" spans="1:30" x14ac:dyDescent="0.25">
      <c r="A125" s="11">
        <v>124</v>
      </c>
      <c r="B125" s="11">
        <v>205</v>
      </c>
      <c r="C125" s="433">
        <f ca="1">IF(B125="",16,INDEX(OFFSET(Arb!$I$2,,,Arb!$AJ$5,),B125))</f>
        <v>11</v>
      </c>
      <c r="D125" s="34">
        <f ca="1">IF(B125="",10,INDEX(OFFSET(Arb!$H$2,,,Arb!$AJ$5,),B125))</f>
        <v>4.0999999999999996</v>
      </c>
      <c r="E125" s="33">
        <f t="shared" ca="1" si="9"/>
        <v>2.6829268292682928</v>
      </c>
      <c r="F125" s="33">
        <f ca="1">IF(B125="","",INDEX(OFFSET(Arb!$X$2,,,Arb!$AJ$5,),B125)/D125)</f>
        <v>3.4146341463414638</v>
      </c>
      <c r="G125" s="33">
        <f ca="1">IF(B125="","",(INDEX(OFFSET(Arb!$U$2,,,Arb!$AJ$5,),B125)+INDEX(OFFSET(Arb!$V$2,,,Arb!$AJ$5,),B125))/D125)</f>
        <v>4.8780487804878057</v>
      </c>
      <c r="H125" s="33">
        <f t="shared" ca="1" si="10"/>
        <v>1.0007828888066626</v>
      </c>
      <c r="I125" s="21">
        <f t="shared" ca="1" si="11"/>
        <v>47.261999109916353</v>
      </c>
      <c r="J125" s="74">
        <f ca="1">IF(B125="","",DATE(INDEX(OFFSET(Arb!$C$2,,,Arb!$AJ$5,),B125),INDEX(OFFSET(Arb!$B$2,,,Arb!$AJ$5,),B125),INDEX(OFFSET(Arb!$A$2,,,Arb!$AJ$5,),B125))+ROW()*0.001)</f>
        <v>43774.125</v>
      </c>
      <c r="K125" s="11">
        <v>124</v>
      </c>
      <c r="L125" s="11">
        <v>2314</v>
      </c>
      <c r="M125" s="433">
        <f ca="1">IF(L125="",64,INDEX(OFFSET(Arb!$I$2,,,Arb!$AJ$5,),L125))</f>
        <v>69</v>
      </c>
      <c r="N125" s="34">
        <f ca="1">IF(L125="",60,INDEX(OFFSET(Arb!$H$2,,,Arb!$AJ$5,),L125))</f>
        <v>22.8</v>
      </c>
      <c r="O125" s="33">
        <f t="shared" ca="1" si="12"/>
        <v>3.0263157894736841</v>
      </c>
      <c r="P125" s="33">
        <f ca="1">IF(L125="","",INDEX(OFFSET(Arb!$X$2,,,Arb!$AJ$5,),L125)/N125)</f>
        <v>3.4210526315789473</v>
      </c>
      <c r="Q125" s="33">
        <f ca="1">IF(L125="","",(INDEX(OFFSET(Arb!$U$2,,,Arb!$AJ$5,),L125)+INDEX(OFFSET(Arb!$V$2,,,Arb!$AJ$5,),L125))/N125)</f>
        <v>3.8596491228070176</v>
      </c>
      <c r="R125" s="33">
        <f t="shared" ca="1" si="13"/>
        <v>2.9487649053663869</v>
      </c>
      <c r="S125" s="21">
        <f t="shared" ca="1" si="14"/>
        <v>52.133691539881809</v>
      </c>
      <c r="T125" s="74">
        <f ca="1">IF(L125="","",DATE(INDEX(OFFSET(Arb!$C$2,,,Arb!$AJ$5,),L125),INDEX(OFFSET(Arb!$B$2,,,Arb!$AJ$5,),L125),INDEX(OFFSET(Arb!$A$2,,,Arb!$AJ$5,),L125))+ROW()*0.001)</f>
        <v>43952.125</v>
      </c>
      <c r="U125" s="11">
        <v>124</v>
      </c>
      <c r="V125" s="11">
        <v>3038</v>
      </c>
      <c r="W125" s="433">
        <f ca="1">IF(V125="",164,INDEX(OFFSET(Arb!$I$2,,,Arb!$AJ$5,),V125))</f>
        <v>191</v>
      </c>
      <c r="X125" s="34">
        <f ca="1">IF(V125="",240,INDEX(OFFSET(Arb!$H$2,,,Arb!$AJ$5,),V125))</f>
        <v>67.900000000000006</v>
      </c>
      <c r="Y125" s="33">
        <f t="shared" ca="1" si="15"/>
        <v>2.8129602356406478</v>
      </c>
      <c r="Z125" s="33">
        <f ca="1">IF(V125="","",INDEX(OFFSET(Arb!$X$2,,,Arb!$AJ$5,),V125)/X125)</f>
        <v>3.1369661266568483</v>
      </c>
      <c r="AA125" s="33">
        <f ca="1">IF(V125="","",(INDEX(OFFSET(Arb!$U$2,,,Arb!$AJ$5,),V125)+INDEX(OFFSET(Arb!$V$2,,,Arb!$AJ$5,),V125))/X125)</f>
        <v>3.3873343151693662</v>
      </c>
      <c r="AB125" s="33">
        <f t="shared" ca="1" si="16"/>
        <v>6.8099707889207757</v>
      </c>
      <c r="AC125" s="21">
        <f t="shared" ca="1" si="17"/>
        <v>63.87707282206091</v>
      </c>
      <c r="AD125" s="74">
        <f ca="1">IF(V125="","",DATE(INDEX(OFFSET(Arb!$C$2,,,Arb!$AJ$5,),V125),INDEX(OFFSET(Arb!$B$2,,,Arb!$AJ$5,),V125),INDEX(OFFSET(Arb!$A$2,,,Arb!$AJ$5,),V125))+ROW()*0.001)</f>
        <v>43979.125</v>
      </c>
    </row>
    <row r="126" spans="1:30" x14ac:dyDescent="0.25">
      <c r="A126" s="11">
        <v>125</v>
      </c>
      <c r="B126" s="11">
        <v>1561</v>
      </c>
      <c r="C126" s="433">
        <f ca="1">IF(B126="",16,INDEX(OFFSET(Arb!$I$2,,,Arb!$AJ$5,),B126))</f>
        <v>11</v>
      </c>
      <c r="D126" s="34">
        <f ca="1">IF(B126="",10,INDEX(OFFSET(Arb!$H$2,,,Arb!$AJ$5,),B126))</f>
        <v>4.1100000000000003</v>
      </c>
      <c r="E126" s="33">
        <f t="shared" ca="1" si="9"/>
        <v>2.6763990267639901</v>
      </c>
      <c r="F126" s="33">
        <f ca="1">IF(B126="","",INDEX(OFFSET(Arb!$X$2,,,Arb!$AJ$5,),B126)/D126)</f>
        <v>3.4063260340632602</v>
      </c>
      <c r="G126" s="33">
        <f ca="1">IF(B126="","",(INDEX(OFFSET(Arb!$U$2,,,Arb!$AJ$5,),B126)+INDEX(OFFSET(Arb!$V$2,,,Arb!$AJ$5,),B126))/D126)</f>
        <v>4.1362530413625302</v>
      </c>
      <c r="H126" s="33">
        <f t="shared" ca="1" si="10"/>
        <v>1.004936017861966</v>
      </c>
      <c r="I126" s="21">
        <f t="shared" ca="1" si="11"/>
        <v>47.066678036508392</v>
      </c>
      <c r="J126" s="74">
        <f ca="1">IF(B126="","",DATE(INDEX(OFFSET(Arb!$C$2,,,Arb!$AJ$5,),B126),INDEX(OFFSET(Arb!$B$2,,,Arb!$AJ$5,),B126),INDEX(OFFSET(Arb!$A$2,,,Arb!$AJ$5,),B126))+ROW()*0.001)</f>
        <v>43989.125999999997</v>
      </c>
      <c r="K126" s="11">
        <v>125</v>
      </c>
      <c r="L126" s="11">
        <v>2401</v>
      </c>
      <c r="M126" s="433">
        <f ca="1">IF(L126="",64,INDEX(OFFSET(Arb!$I$2,,,Arb!$AJ$5,),L126))</f>
        <v>53</v>
      </c>
      <c r="N126" s="34">
        <f ca="1">IF(L126="",60,INDEX(OFFSET(Arb!$H$2,,,Arb!$AJ$5,),L126))</f>
        <v>22.82</v>
      </c>
      <c r="O126" s="33">
        <f t="shared" ca="1" si="12"/>
        <v>2.3225241016652061</v>
      </c>
      <c r="P126" s="33">
        <f ca="1">IF(L126="","",INDEX(OFFSET(Arb!$X$2,,,Arb!$AJ$5,),L126)/N126)</f>
        <v>2.8921998247151621</v>
      </c>
      <c r="Q126" s="33">
        <f ca="1">IF(L126="","",(INDEX(OFFSET(Arb!$U$2,,,Arb!$AJ$5,),L126)+INDEX(OFFSET(Arb!$V$2,,,Arb!$AJ$5,),L126))/N126)</f>
        <v>3.2427695004382122</v>
      </c>
      <c r="R126" s="33">
        <f t="shared" ca="1" si="13"/>
        <v>3.8446846038487736</v>
      </c>
      <c r="S126" s="21">
        <f t="shared" ca="1" si="14"/>
        <v>39.985074418355794</v>
      </c>
      <c r="T126" s="74">
        <f ca="1">IF(L126="","",DATE(INDEX(OFFSET(Arb!$C$2,,,Arb!$AJ$5,),L126),INDEX(OFFSET(Arb!$B$2,,,Arb!$AJ$5,),L126),INDEX(OFFSET(Arb!$A$2,,,Arb!$AJ$5,),L126))+ROW()*0.001)</f>
        <v>44168.125999999997</v>
      </c>
      <c r="U126" s="11">
        <v>125</v>
      </c>
      <c r="V126" s="11">
        <v>3324</v>
      </c>
      <c r="W126" s="433">
        <f ca="1">IF(V126="",164,INDEX(OFFSET(Arb!$I$2,,,Arb!$AJ$5,),V126))</f>
        <v>157</v>
      </c>
      <c r="X126" s="34">
        <f ca="1">IF(V126="",240,INDEX(OFFSET(Arb!$H$2,,,Arb!$AJ$5,),V126))</f>
        <v>67.930000000000007</v>
      </c>
      <c r="Y126" s="33">
        <f t="shared" ca="1" si="15"/>
        <v>2.3112027086706903</v>
      </c>
      <c r="Z126" s="33">
        <f ca="1">IF(V126="","",INDEX(OFFSET(Arb!$X$2,,,Arb!$AJ$5,),V126)/X126)</f>
        <v>2.7675548358604445</v>
      </c>
      <c r="AA126" s="33">
        <f ca="1">IF(V126="","",(INDEX(OFFSET(Arb!$U$2,,,Arb!$AJ$5,),V126)+INDEX(OFFSET(Arb!$V$2,,,Arb!$AJ$5,),V126))/X126)</f>
        <v>2.9736493449138814</v>
      </c>
      <c r="AB126" s="33">
        <f t="shared" ca="1" si="16"/>
        <v>8.2909652024398248</v>
      </c>
      <c r="AC126" s="21">
        <f t="shared" ca="1" si="17"/>
        <v>52.466870789903929</v>
      </c>
      <c r="AD126" s="74">
        <f ca="1">IF(V126="","",DATE(INDEX(OFFSET(Arb!$C$2,,,Arb!$AJ$5,),V126),INDEX(OFFSET(Arb!$B$2,,,Arb!$AJ$5,),V126),INDEX(OFFSET(Arb!$A$2,,,Arb!$AJ$5,),V126))+ROW()*0.001)</f>
        <v>44095.125999999997</v>
      </c>
    </row>
    <row r="127" spans="1:30" x14ac:dyDescent="0.25">
      <c r="A127" s="11">
        <v>126</v>
      </c>
      <c r="B127" s="11">
        <v>1519</v>
      </c>
      <c r="C127" s="433">
        <f ca="1">IF(B127="",16,INDEX(OFFSET(Arb!$I$2,,,Arb!$AJ$5,),B127))</f>
        <v>14</v>
      </c>
      <c r="D127" s="34">
        <f ca="1">IF(B127="",10,INDEX(OFFSET(Arb!$H$2,,,Arb!$AJ$5,),B127))</f>
        <v>4.1100000000000003</v>
      </c>
      <c r="E127" s="33">
        <f t="shared" ca="1" si="9"/>
        <v>3.4063260340632602</v>
      </c>
      <c r="F127" s="33">
        <f ca="1">IF(B127="","",INDEX(OFFSET(Arb!$X$2,,,Arb!$AJ$5,),B127)/D127)</f>
        <v>3.6496350364963499</v>
      </c>
      <c r="G127" s="33">
        <f ca="1">IF(B127="","",(INDEX(OFFSET(Arb!$U$2,,,Arb!$AJ$5,),B127)+INDEX(OFFSET(Arb!$V$2,,,Arb!$AJ$5,),B127))/D127)</f>
        <v>4.1362530413625302</v>
      </c>
      <c r="H127" s="33">
        <f t="shared" ca="1" si="10"/>
        <v>0.78959258546297328</v>
      </c>
      <c r="I127" s="21">
        <f t="shared" ca="1" si="11"/>
        <v>59.903044773737953</v>
      </c>
      <c r="J127" s="74">
        <f ca="1">IF(B127="","",DATE(INDEX(OFFSET(Arb!$C$2,,,Arb!$AJ$5,),B127),INDEX(OFFSET(Arb!$B$2,,,Arb!$AJ$5,),B127),INDEX(OFFSET(Arb!$A$2,,,Arb!$AJ$5,),B127))+ROW()*0.001)</f>
        <v>43984.127</v>
      </c>
      <c r="K127" s="11">
        <v>126</v>
      </c>
      <c r="L127" s="11">
        <v>2403</v>
      </c>
      <c r="M127" s="433">
        <f ca="1">IF(L127="",64,INDEX(OFFSET(Arb!$I$2,,,Arb!$AJ$5,),L127))</f>
        <v>65</v>
      </c>
      <c r="N127" s="34">
        <f ca="1">IF(L127="",60,INDEX(OFFSET(Arb!$H$2,,,Arb!$AJ$5,),L127))</f>
        <v>22.84</v>
      </c>
      <c r="O127" s="33">
        <f t="shared" ca="1" si="12"/>
        <v>2.8458844133099825</v>
      </c>
      <c r="P127" s="33">
        <f ca="1">IF(L127="","",INDEX(OFFSET(Arb!$X$2,,,Arb!$AJ$5,),L127)/N127)</f>
        <v>3.3712784588441331</v>
      </c>
      <c r="Q127" s="33">
        <f ca="1">IF(L127="","",(INDEX(OFFSET(Arb!$U$2,,,Arb!$AJ$5,),L127)+INDEX(OFFSET(Arb!$V$2,,,Arb!$AJ$5,),L127))/N127)</f>
        <v>3.8528896672504378</v>
      </c>
      <c r="R127" s="33">
        <f t="shared" ca="1" si="13"/>
        <v>3.1395688583776473</v>
      </c>
      <c r="S127" s="21">
        <f t="shared" ca="1" si="14"/>
        <v>48.965321970813221</v>
      </c>
      <c r="T127" s="74">
        <f ca="1">IF(L127="","",DATE(INDEX(OFFSET(Arb!$C$2,,,Arb!$AJ$5,),L127),INDEX(OFFSET(Arb!$B$2,,,Arb!$AJ$5,),L127),INDEX(OFFSET(Arb!$A$2,,,Arb!$AJ$5,),L127))+ROW()*0.001)</f>
        <v>44168.127</v>
      </c>
      <c r="U127" s="11">
        <v>126</v>
      </c>
      <c r="V127" s="11">
        <v>3108</v>
      </c>
      <c r="W127" s="433">
        <f ca="1">IF(V127="",164,INDEX(OFFSET(Arb!$I$2,,,Arb!$AJ$5,),V127))</f>
        <v>152</v>
      </c>
      <c r="X127" s="34">
        <f ca="1">IF(V127="",240,INDEX(OFFSET(Arb!$H$2,,,Arb!$AJ$5,),V127))</f>
        <v>67.930000000000007</v>
      </c>
      <c r="Y127" s="33">
        <f t="shared" ca="1" si="15"/>
        <v>2.237597526865891</v>
      </c>
      <c r="Z127" s="33">
        <f ca="1">IF(V127="","",INDEX(OFFSET(Arb!$X$2,,,Arb!$AJ$5,),V127)/X127)</f>
        <v>2.7381127631385245</v>
      </c>
      <c r="AA127" s="33">
        <f ca="1">IF(V127="","",(INDEX(OFFSET(Arb!$U$2,,,Arb!$AJ$5,),V127)+INDEX(OFFSET(Arb!$V$2,,,Arb!$AJ$5,),V127))/X127)</f>
        <v>2.9442072721919619</v>
      </c>
      <c r="AB127" s="33">
        <f t="shared" ca="1" si="16"/>
        <v>8.5636943209411349</v>
      </c>
      <c r="AC127" s="21">
        <f t="shared" ca="1" si="17"/>
        <v>50.795951337996165</v>
      </c>
      <c r="AD127" s="74">
        <f ca="1">IF(V127="","",DATE(INDEX(OFFSET(Arb!$C$2,,,Arb!$AJ$5,),V127),INDEX(OFFSET(Arb!$B$2,,,Arb!$AJ$5,),V127),INDEX(OFFSET(Arb!$A$2,,,Arb!$AJ$5,),V127))+ROW()*0.001)</f>
        <v>44007.127</v>
      </c>
    </row>
    <row r="128" spans="1:30" x14ac:dyDescent="0.25">
      <c r="A128" s="11">
        <v>127</v>
      </c>
      <c r="B128" s="11">
        <v>984</v>
      </c>
      <c r="C128" s="433">
        <f ca="1">IF(B128="",16,INDEX(OFFSET(Arb!$I$2,,,Arb!$AJ$5,),B128))</f>
        <v>10</v>
      </c>
      <c r="D128" s="34">
        <f ca="1">IF(B128="",10,INDEX(OFFSET(Arb!$H$2,,,Arb!$AJ$5,),B128))</f>
        <v>4.1100000000000003</v>
      </c>
      <c r="E128" s="33">
        <f t="shared" ca="1" si="9"/>
        <v>2.4330900243308999</v>
      </c>
      <c r="F128" s="33">
        <f ca="1">IF(B128="","",INDEX(OFFSET(Arb!$X$2,,,Arb!$AJ$5,),B128)/D128)</f>
        <v>2.6763990267639901</v>
      </c>
      <c r="G128" s="33">
        <f ca="1">IF(B128="","",(INDEX(OFFSET(Arb!$U$2,,,Arb!$AJ$5,),B128)+INDEX(OFFSET(Arb!$V$2,,,Arb!$AJ$5,),B128))/D128)</f>
        <v>3.6496350364963499</v>
      </c>
      <c r="H128" s="33">
        <f t="shared" ca="1" si="10"/>
        <v>1.1054296196481626</v>
      </c>
      <c r="I128" s="21">
        <f t="shared" ca="1" si="11"/>
        <v>42.787889124098541</v>
      </c>
      <c r="J128" s="74">
        <f ca="1">IF(B128="","",DATE(INDEX(OFFSET(Arb!$C$2,,,Arb!$AJ$5,),B128),INDEX(OFFSET(Arb!$B$2,,,Arb!$AJ$5,),B128),INDEX(OFFSET(Arb!$A$2,,,Arb!$AJ$5,),B128))+ROW()*0.001)</f>
        <v>43822.127999999997</v>
      </c>
      <c r="K128" s="11">
        <v>127</v>
      </c>
      <c r="L128" s="11">
        <v>2139</v>
      </c>
      <c r="M128" s="433">
        <f ca="1">IF(L128="",64,INDEX(OFFSET(Arb!$I$2,,,Arb!$AJ$5,),L128))</f>
        <v>71</v>
      </c>
      <c r="N128" s="34">
        <f ca="1">IF(L128="",60,INDEX(OFFSET(Arb!$H$2,,,Arb!$AJ$5,),L128))</f>
        <v>22.85</v>
      </c>
      <c r="O128" s="33">
        <f t="shared" ca="1" si="12"/>
        <v>3.1072210065645511</v>
      </c>
      <c r="P128" s="33">
        <f ca="1">IF(L128="","",INDEX(OFFSET(Arb!$X$2,,,Arb!$AJ$5,),L128)/N128)</f>
        <v>3.7636761487964985</v>
      </c>
      <c r="Q128" s="33">
        <f ca="1">IF(L128="","",(INDEX(OFFSET(Arb!$U$2,,,Arb!$AJ$5,),L128)+INDEX(OFFSET(Arb!$V$2,,,Arb!$AJ$5,),L128))/N128)</f>
        <v>4.288840262582057</v>
      </c>
      <c r="R128" s="33">
        <f t="shared" ca="1" si="13"/>
        <v>2.8763928383218662</v>
      </c>
      <c r="S128" s="21">
        <f t="shared" ca="1" si="14"/>
        <v>53.445411889458235</v>
      </c>
      <c r="T128" s="74">
        <f ca="1">IF(L128="","",DATE(INDEX(OFFSET(Arb!$C$2,,,Arb!$AJ$5,),L128),INDEX(OFFSET(Arb!$B$2,,,Arb!$AJ$5,),L128),INDEX(OFFSET(Arb!$A$2,,,Arb!$AJ$5,),L128))+ROW()*0.001)</f>
        <v>43817.127999999997</v>
      </c>
      <c r="U128" s="11">
        <v>127</v>
      </c>
      <c r="V128" s="11">
        <v>3194</v>
      </c>
      <c r="W128" s="433">
        <f ca="1">IF(V128="",164,INDEX(OFFSET(Arb!$I$2,,,Arb!$AJ$5,),V128))</f>
        <v>159</v>
      </c>
      <c r="X128" s="34">
        <f ca="1">IF(V128="",240,INDEX(OFFSET(Arb!$H$2,,,Arb!$AJ$5,),V128))</f>
        <v>67.94</v>
      </c>
      <c r="Y128" s="33">
        <f t="shared" ca="1" si="15"/>
        <v>2.3403002649396529</v>
      </c>
      <c r="Z128" s="33">
        <f ca="1">IF(V128="","",INDEX(OFFSET(Arb!$X$2,,,Arb!$AJ$5,),V128)/X128)</f>
        <v>2.826022961436562</v>
      </c>
      <c r="AA128" s="33">
        <f ca="1">IF(V128="","",(INDEX(OFFSET(Arb!$U$2,,,Arb!$AJ$5,),V128)+INDEX(OFFSET(Arb!$V$2,,,Arb!$AJ$5,),V128))/X128)</f>
        <v>3.0762437444804238</v>
      </c>
      <c r="AB128" s="33">
        <f t="shared" ca="1" si="16"/>
        <v>8.1887252156471</v>
      </c>
      <c r="AC128" s="21">
        <f t="shared" ca="1" si="17"/>
        <v>53.121943714608427</v>
      </c>
      <c r="AD128" s="74">
        <f ca="1">IF(V128="","",DATE(INDEX(OFFSET(Arb!$C$2,,,Arb!$AJ$5,),V128),INDEX(OFFSET(Arb!$B$2,,,Arb!$AJ$5,),V128),INDEX(OFFSET(Arb!$A$2,,,Arb!$AJ$5,),V128))+ROW()*0.001)</f>
        <v>44057.127999999997</v>
      </c>
    </row>
    <row r="129" spans="1:30" x14ac:dyDescent="0.25">
      <c r="A129" s="11">
        <v>128</v>
      </c>
      <c r="B129" s="11">
        <v>409</v>
      </c>
      <c r="C129" s="433">
        <f ca="1">IF(B129="",16,INDEX(OFFSET(Arb!$I$2,,,Arb!$AJ$5,),B129))</f>
        <v>13</v>
      </c>
      <c r="D129" s="34">
        <f ca="1">IF(B129="",10,INDEX(OFFSET(Arb!$H$2,,,Arb!$AJ$5,),B129))</f>
        <v>4.1100000000000003</v>
      </c>
      <c r="E129" s="33">
        <f t="shared" ca="1" si="9"/>
        <v>3.16301703163017</v>
      </c>
      <c r="F129" s="33">
        <f ca="1">IF(B129="","",INDEX(OFFSET(Arb!$X$2,,,Arb!$AJ$5,),B129)/D129)</f>
        <v>3.16301703163017</v>
      </c>
      <c r="G129" s="33">
        <f ca="1">IF(B129="","",(INDEX(OFFSET(Arb!$U$2,,,Arb!$AJ$5,),B129)+INDEX(OFFSET(Arb!$V$2,,,Arb!$AJ$5,),B129))/D129)</f>
        <v>3.4063260340632602</v>
      </c>
      <c r="H129" s="33">
        <f t="shared" ca="1" si="10"/>
        <v>0.85033047665243278</v>
      </c>
      <c r="I129" s="21">
        <f t="shared" ca="1" si="11"/>
        <v>55.624255861328095</v>
      </c>
      <c r="J129" s="74">
        <f ca="1">IF(B129="","",DATE(INDEX(OFFSET(Arb!$C$2,,,Arb!$AJ$5,),B129),INDEX(OFFSET(Arb!$B$2,,,Arb!$AJ$5,),B129),INDEX(OFFSET(Arb!$A$2,,,Arb!$AJ$5,),B129))+ROW()*0.001)</f>
        <v>43781.129000000001</v>
      </c>
      <c r="K129" s="11">
        <v>128</v>
      </c>
      <c r="L129" s="11">
        <v>2363</v>
      </c>
      <c r="M129" s="433">
        <f ca="1">IF(L129="",64,INDEX(OFFSET(Arb!$I$2,,,Arb!$AJ$5,),L129))</f>
        <v>62</v>
      </c>
      <c r="N129" s="34">
        <f ca="1">IF(L129="",60,INDEX(OFFSET(Arb!$H$2,,,Arb!$AJ$5,),L129))</f>
        <v>22.87</v>
      </c>
      <c r="O129" s="33">
        <f t="shared" ca="1" si="12"/>
        <v>2.7109750765194578</v>
      </c>
      <c r="P129" s="33">
        <f ca="1">IF(L129="","",INDEX(OFFSET(Arb!$X$2,,,Arb!$AJ$5,),L129)/N129)</f>
        <v>3.2356799300393528</v>
      </c>
      <c r="Q129" s="33">
        <f ca="1">IF(L129="","",(INDEX(OFFSET(Arb!$U$2,,,Arb!$AJ$5,),L129)+INDEX(OFFSET(Arb!$V$2,,,Arb!$AJ$5,),L129))/N129)</f>
        <v>3.9790118058592041</v>
      </c>
      <c r="R129" s="33">
        <f t="shared" ca="1" si="13"/>
        <v>3.2988364936281913</v>
      </c>
      <c r="S129" s="21">
        <f t="shared" ca="1" si="14"/>
        <v>46.601279056095812</v>
      </c>
      <c r="T129" s="74">
        <f ca="1">IF(L129="","",DATE(INDEX(OFFSET(Arb!$C$2,,,Arb!$AJ$5,),L129),INDEX(OFFSET(Arb!$B$2,,,Arb!$AJ$5,),L129),INDEX(OFFSET(Arb!$A$2,,,Arb!$AJ$5,),L129))+ROW()*0.001)</f>
        <v>44114.129000000001</v>
      </c>
      <c r="U129" s="11">
        <v>128</v>
      </c>
      <c r="V129" s="11">
        <v>3286</v>
      </c>
      <c r="W129" s="433">
        <f ca="1">IF(V129="",164,INDEX(OFFSET(Arb!$I$2,,,Arb!$AJ$5,),V129))</f>
        <v>171</v>
      </c>
      <c r="X129" s="34">
        <f ca="1">IF(V129="",240,INDEX(OFFSET(Arb!$H$2,,,Arb!$AJ$5,),V129))</f>
        <v>67.95</v>
      </c>
      <c r="Y129" s="33">
        <f t="shared" ca="1" si="15"/>
        <v>2.5165562913907285</v>
      </c>
      <c r="Z129" s="33">
        <f ca="1">IF(V129="","",INDEX(OFFSET(Arb!$X$2,,,Arb!$AJ$5,),V129)/X129)</f>
        <v>2.9286239882266369</v>
      </c>
      <c r="AA129" s="33">
        <f ca="1">IF(V129="","",(INDEX(OFFSET(Arb!$U$2,,,Arb!$AJ$5,),V129)+INDEX(OFFSET(Arb!$V$2,,,Arb!$AJ$5,),V129))/X129)</f>
        <v>3.252391464311994</v>
      </c>
      <c r="AB129" s="33">
        <f t="shared" ca="1" si="16"/>
        <v>7.6159831307571686</v>
      </c>
      <c r="AC129" s="21">
        <f t="shared" ca="1" si="17"/>
        <v>57.116854453530401</v>
      </c>
      <c r="AD129" s="74">
        <f ca="1">IF(V129="","",DATE(INDEX(OFFSET(Arb!$C$2,,,Arb!$AJ$5,),V129),INDEX(OFFSET(Arb!$B$2,,,Arb!$AJ$5,),V129),INDEX(OFFSET(Arb!$A$2,,,Arb!$AJ$5,),V129))+ROW()*0.001)</f>
        <v>44084.129000000001</v>
      </c>
    </row>
    <row r="130" spans="1:30" x14ac:dyDescent="0.25">
      <c r="A130" s="11">
        <v>129</v>
      </c>
      <c r="B130" s="11">
        <v>1050</v>
      </c>
      <c r="C130" s="433">
        <f ca="1">IF(B130="",16,INDEX(OFFSET(Arb!$I$2,,,Arb!$AJ$5,),B130))</f>
        <v>11</v>
      </c>
      <c r="D130" s="34">
        <f ca="1">IF(B130="",10,INDEX(OFFSET(Arb!$H$2,,,Arb!$AJ$5,),B130))</f>
        <v>4.12</v>
      </c>
      <c r="E130" s="33">
        <f t="shared" ca="1" si="9"/>
        <v>2.6699029126213594</v>
      </c>
      <c r="F130" s="33">
        <f ca="1">IF(B130="","",INDEX(OFFSET(Arb!$X$2,,,Arb!$AJ$5,),B130)/D130)</f>
        <v>3.3980582524271843</v>
      </c>
      <c r="G130" s="33">
        <f ca="1">IF(B130="","",(INDEX(OFFSET(Arb!$U$2,,,Arb!$AJ$5,),B130)+INDEX(OFFSET(Arb!$V$2,,,Arb!$AJ$5,),B130))/D130)</f>
        <v>4.6116504854368934</v>
      </c>
      <c r="H130" s="33">
        <f t="shared" ca="1" si="10"/>
        <v>1.0090962264046708</v>
      </c>
      <c r="I130" s="21">
        <f t="shared" ca="1" si="11"/>
        <v>46.872635891744991</v>
      </c>
      <c r="J130" s="74">
        <f ca="1">IF(B130="","",DATE(INDEX(OFFSET(Arb!$C$2,,,Arb!$AJ$5,),B130),INDEX(OFFSET(Arb!$B$2,,,Arb!$AJ$5,),B130),INDEX(OFFSET(Arb!$A$2,,,Arb!$AJ$5,),B130))+ROW()*0.001)</f>
        <v>43841.13</v>
      </c>
      <c r="K130" s="11">
        <v>129</v>
      </c>
      <c r="L130" s="11">
        <v>2390</v>
      </c>
      <c r="M130" s="433">
        <f ca="1">IF(L130="",64,INDEX(OFFSET(Arb!$I$2,,,Arb!$AJ$5,),L130))</f>
        <v>54</v>
      </c>
      <c r="N130" s="34">
        <f ca="1">IF(L130="",60,INDEX(OFFSET(Arb!$H$2,,,Arb!$AJ$5,),L130))</f>
        <v>22.91</v>
      </c>
      <c r="O130" s="33">
        <f t="shared" ca="1" si="12"/>
        <v>2.3570493234395462</v>
      </c>
      <c r="P130" s="33">
        <f ca="1">IF(L130="","",INDEX(OFFSET(Arb!$X$2,,,Arb!$AJ$5,),L130)/N130)</f>
        <v>2.6625927542557837</v>
      </c>
      <c r="Q130" s="33">
        <f ca="1">IF(L130="","",(INDEX(OFFSET(Arb!$U$2,,,Arb!$AJ$5,),L130)+INDEX(OFFSET(Arb!$V$2,,,Arb!$AJ$5,),L130))/N130)</f>
        <v>2.8371890004364908</v>
      </c>
      <c r="R130" s="33">
        <f t="shared" ca="1" si="13"/>
        <v>3.7988215394099747</v>
      </c>
      <c r="S130" s="21">
        <f t="shared" ca="1" si="14"/>
        <v>40.467813084969769</v>
      </c>
      <c r="T130" s="74">
        <f ca="1">IF(L130="","",DATE(INDEX(OFFSET(Arb!$C$2,,,Arb!$AJ$5,),L130),INDEX(OFFSET(Arb!$B$2,,,Arb!$AJ$5,),L130),INDEX(OFFSET(Arb!$A$2,,,Arb!$AJ$5,),L130))+ROW()*0.001)</f>
        <v>44117.13</v>
      </c>
      <c r="U130" s="11">
        <v>129</v>
      </c>
      <c r="V130" s="11">
        <v>2775</v>
      </c>
      <c r="W130" s="433">
        <f ca="1">IF(V130="",164,INDEX(OFFSET(Arb!$I$2,,,Arb!$AJ$5,),V130))</f>
        <v>148</v>
      </c>
      <c r="X130" s="34">
        <f ca="1">IF(V130="",240,INDEX(OFFSET(Arb!$H$2,,,Arb!$AJ$5,),V130))</f>
        <v>67.95</v>
      </c>
      <c r="Y130" s="33">
        <f t="shared" ca="1" si="15"/>
        <v>2.1780721118469462</v>
      </c>
      <c r="Z130" s="33">
        <f ca="1">IF(V130="","",INDEX(OFFSET(Arb!$X$2,,,Arb!$AJ$5,),V130)/X130)</f>
        <v>2.7961736571008093</v>
      </c>
      <c r="AA130" s="33">
        <f ca="1">IF(V130="","",(INDEX(OFFSET(Arb!$U$2,,,Arb!$AJ$5,),V130)+INDEX(OFFSET(Arb!$V$2,,,Arb!$AJ$5,),V130))/X130)</f>
        <v>3.0905077262693155</v>
      </c>
      <c r="AB130" s="33">
        <f t="shared" ca="1" si="16"/>
        <v>8.799548076753215</v>
      </c>
      <c r="AC130" s="21">
        <f t="shared" ca="1" si="17"/>
        <v>49.434470521184203</v>
      </c>
      <c r="AD130" s="74">
        <f ca="1">IF(V130="","",DATE(INDEX(OFFSET(Arb!$C$2,,,Arb!$AJ$5,),V130),INDEX(OFFSET(Arb!$B$2,,,Arb!$AJ$5,),V130),INDEX(OFFSET(Arb!$A$2,,,Arb!$AJ$5,),V130))+ROW()*0.001)</f>
        <v>43889.13</v>
      </c>
    </row>
    <row r="131" spans="1:30" x14ac:dyDescent="0.25">
      <c r="A131" s="11">
        <v>130</v>
      </c>
      <c r="B131" s="11">
        <v>680</v>
      </c>
      <c r="C131" s="433">
        <f ca="1">IF(B131="",16,INDEX(OFFSET(Arb!$I$2,,,Arb!$AJ$5,),B131))</f>
        <v>15</v>
      </c>
      <c r="D131" s="34">
        <f ca="1">IF(B131="",10,INDEX(OFFSET(Arb!$H$2,,,Arb!$AJ$5,),B131))</f>
        <v>4.12</v>
      </c>
      <c r="E131" s="33">
        <f t="shared" ref="E131:E194" ca="1" si="18">C131/D131</f>
        <v>3.6407766990291259</v>
      </c>
      <c r="F131" s="33">
        <f ca="1">IF(B131="","",INDEX(OFFSET(Arb!$X$2,,,Arb!$AJ$5,),B131)/D131)</f>
        <v>3.6407766990291259</v>
      </c>
      <c r="G131" s="33">
        <f ca="1">IF(B131="","",(INDEX(OFFSET(Arb!$U$2,,,Arb!$AJ$5,),B131)+INDEX(OFFSET(Arb!$V$2,,,Arb!$AJ$5,),B131))/D131)</f>
        <v>4.1262135922330092</v>
      </c>
      <c r="H131" s="33">
        <f t="shared" ref="H131:H194" ca="1" si="19">D131^1.7/C131</f>
        <v>0.74000389936342537</v>
      </c>
      <c r="I131" s="21">
        <f t="shared" ref="I131:I194" ca="1" si="20">47.299/H131</f>
        <v>63.917230761470428</v>
      </c>
      <c r="J131" s="74">
        <f ca="1">IF(B131="","",DATE(INDEX(OFFSET(Arb!$C$2,,,Arb!$AJ$5,),B131),INDEX(OFFSET(Arb!$B$2,,,Arb!$AJ$5,),B131),INDEX(OFFSET(Arb!$A$2,,,Arb!$AJ$5,),B131))+ROW()*0.001)</f>
        <v>43801.131000000001</v>
      </c>
      <c r="K131" s="11">
        <v>130</v>
      </c>
      <c r="L131" s="11">
        <v>2377</v>
      </c>
      <c r="M131" s="433">
        <f ca="1">IF(L131="",64,INDEX(OFFSET(Arb!$I$2,,,Arb!$AJ$5,),L131))</f>
        <v>53</v>
      </c>
      <c r="N131" s="34">
        <f ca="1">IF(L131="",60,INDEX(OFFSET(Arb!$H$2,,,Arb!$AJ$5,),L131))</f>
        <v>22.92</v>
      </c>
      <c r="O131" s="33">
        <f t="shared" ref="O131:O194" ca="1" si="21">M131/N131</f>
        <v>2.3123909249563699</v>
      </c>
      <c r="P131" s="33">
        <f ca="1">IF(L131="","",INDEX(OFFSET(Arb!$X$2,,,Arb!$AJ$5,),L131)/N131)</f>
        <v>3.1413612565445024</v>
      </c>
      <c r="Q131" s="33">
        <f ca="1">IF(L131="","",(INDEX(OFFSET(Arb!$U$2,,,Arb!$AJ$5,),L131)+INDEX(OFFSET(Arb!$V$2,,,Arb!$AJ$5,),L131))/N131)</f>
        <v>3.6212914485165792</v>
      </c>
      <c r="R131" s="33">
        <f t="shared" ref="R131:R194" ca="1" si="22">N131^1.7/M131</f>
        <v>3.8733698971192947</v>
      </c>
      <c r="S131" s="21">
        <f t="shared" ref="S131:S194" ca="1" si="23">153.73/R131</f>
        <v>39.688954084744701</v>
      </c>
      <c r="T131" s="74">
        <f ca="1">IF(L131="","",DATE(INDEX(OFFSET(Arb!$C$2,,,Arb!$AJ$5,),L131),INDEX(OFFSET(Arb!$B$2,,,Arb!$AJ$5,),L131),INDEX(OFFSET(Arb!$A$2,,,Arb!$AJ$5,),L131))+ROW()*0.001)</f>
        <v>44114.131000000001</v>
      </c>
      <c r="U131" s="11">
        <v>130</v>
      </c>
      <c r="V131" s="11">
        <v>3396</v>
      </c>
      <c r="W131" s="433">
        <f ca="1">IF(V131="",164,INDEX(OFFSET(Arb!$I$2,,,Arb!$AJ$5,),V131))</f>
        <v>149</v>
      </c>
      <c r="X131" s="34">
        <f ca="1">IF(V131="",240,INDEX(OFFSET(Arb!$H$2,,,Arb!$AJ$5,),V131))</f>
        <v>68.040000000000006</v>
      </c>
      <c r="Y131" s="33">
        <f t="shared" ref="Y131:Y194" ca="1" si="24">W131/X131</f>
        <v>2.1898883009994119</v>
      </c>
      <c r="Z131" s="33">
        <f ca="1">IF(V131="","",INDEX(OFFSET(Arb!$X$2,,,Arb!$AJ$5,),V131)/X131)</f>
        <v>2.3956496178718401</v>
      </c>
      <c r="AA131" s="33">
        <f ca="1">IF(V131="","",(INDEX(OFFSET(Arb!$U$2,,,Arb!$AJ$5,),V131)+INDEX(OFFSET(Arb!$V$2,,,Arb!$AJ$5,),V131))/X131)</f>
        <v>2.6161081716637269</v>
      </c>
      <c r="AB131" s="33">
        <f t="shared" ref="AB131:AB194" ca="1" si="25">X131^1.7/W131</f>
        <v>8.7601804044501979</v>
      </c>
      <c r="AC131" s="21">
        <f t="shared" ref="AC131:AC194" ca="1" si="26">435.001/AB131</f>
        <v>49.656625767549052</v>
      </c>
      <c r="AD131" s="74">
        <f ca="1">IF(V131="","",DATE(INDEX(OFFSET(Arb!$C$2,,,Arb!$AJ$5,),V131),INDEX(OFFSET(Arb!$B$2,,,Arb!$AJ$5,),V131),INDEX(OFFSET(Arb!$A$2,,,Arb!$AJ$5,),V131))+ROW()*0.001)</f>
        <v>44144.131000000001</v>
      </c>
    </row>
    <row r="132" spans="1:30" x14ac:dyDescent="0.25">
      <c r="A132" s="11">
        <v>131</v>
      </c>
      <c r="B132" s="11">
        <v>1877</v>
      </c>
      <c r="C132" s="433">
        <f ca="1">IF(B132="",16,INDEX(OFFSET(Arb!$I$2,,,Arb!$AJ$5,),B132))</f>
        <v>11</v>
      </c>
      <c r="D132" s="34">
        <f ca="1">IF(B132="",10,INDEX(OFFSET(Arb!$H$2,,,Arb!$AJ$5,),B132))</f>
        <v>4.13</v>
      </c>
      <c r="E132" s="33">
        <f t="shared" ca="1" si="18"/>
        <v>2.6634382566585959</v>
      </c>
      <c r="F132" s="33">
        <f ca="1">IF(B132="","",INDEX(OFFSET(Arb!$X$2,,,Arb!$AJ$5,),B132)/D132)</f>
        <v>2.9055690072639226</v>
      </c>
      <c r="G132" s="33">
        <f ca="1">IF(B132="","",(INDEX(OFFSET(Arb!$U$2,,,Arb!$AJ$5,),B132)+INDEX(OFFSET(Arb!$V$2,,,Arb!$AJ$5,),B132))/D132)</f>
        <v>3.3898305084745766</v>
      </c>
      <c r="H132" s="33">
        <f t="shared" ca="1" si="19"/>
        <v>1.0132635092754188</v>
      </c>
      <c r="I132" s="21">
        <f t="shared" ca="1" si="20"/>
        <v>46.679861227632038</v>
      </c>
      <c r="J132" s="74">
        <f ca="1">IF(B132="","",DATE(INDEX(OFFSET(Arb!$C$2,,,Arb!$AJ$5,),B132),INDEX(OFFSET(Arb!$B$2,,,Arb!$AJ$5,),B132),INDEX(OFFSET(Arb!$A$2,,,Arb!$AJ$5,),B132))+ROW()*0.001)</f>
        <v>44168.131999999998</v>
      </c>
      <c r="K132" s="11">
        <v>131</v>
      </c>
      <c r="L132" s="11">
        <v>2289</v>
      </c>
      <c r="M132" s="433">
        <f ca="1">IF(L132="",64,INDEX(OFFSET(Arb!$I$2,,,Arb!$AJ$5,),L132))</f>
        <v>58</v>
      </c>
      <c r="N132" s="34">
        <f ca="1">IF(L132="",60,INDEX(OFFSET(Arb!$H$2,,,Arb!$AJ$5,),L132))</f>
        <v>22.94</v>
      </c>
      <c r="O132" s="33">
        <f t="shared" ca="1" si="21"/>
        <v>2.5283347863993022</v>
      </c>
      <c r="P132" s="33">
        <f ca="1">IF(L132="","",INDEX(OFFSET(Arb!$X$2,,,Arb!$AJ$5,),L132)/N132)</f>
        <v>3.400174367916303</v>
      </c>
      <c r="Q132" s="33">
        <f ca="1">IF(L132="","",(INDEX(OFFSET(Arb!$U$2,,,Arb!$AJ$5,),L132)+INDEX(OFFSET(Arb!$V$2,,,Arb!$AJ$5,),L132))/N132)</f>
        <v>3.7925021795989537</v>
      </c>
      <c r="R132" s="33">
        <f t="shared" ca="1" si="22"/>
        <v>3.5447108084331473</v>
      </c>
      <c r="S132" s="21">
        <f t="shared" ca="1" si="23"/>
        <v>43.368841157440592</v>
      </c>
      <c r="T132" s="74">
        <f ca="1">IF(L132="","",DATE(INDEX(OFFSET(Arb!$C$2,,,Arb!$AJ$5,),L132),INDEX(OFFSET(Arb!$B$2,,,Arb!$AJ$5,),L132),INDEX(OFFSET(Arb!$A$2,,,Arb!$AJ$5,),L132))+ROW()*0.001)</f>
        <v>43937.131999999998</v>
      </c>
      <c r="U132" s="11">
        <v>131</v>
      </c>
      <c r="V132" s="11">
        <v>2576</v>
      </c>
      <c r="W132" s="433">
        <f ca="1">IF(V132="",164,INDEX(OFFSET(Arb!$I$2,,,Arb!$AJ$5,),V132))</f>
        <v>142</v>
      </c>
      <c r="X132" s="34">
        <f ca="1">IF(V132="",240,INDEX(OFFSET(Arb!$H$2,,,Arb!$AJ$5,),V132))</f>
        <v>68.09</v>
      </c>
      <c r="Y132" s="33">
        <f t="shared" ca="1" si="24"/>
        <v>2.0854751064767219</v>
      </c>
      <c r="Z132" s="33">
        <f ca="1">IF(V132="","",INDEX(OFFSET(Arb!$X$2,,,Arb!$AJ$5,),V132)/X132)</f>
        <v>2.5848142164781907</v>
      </c>
      <c r="AA132" s="33">
        <f ca="1">IF(V132="","",(INDEX(OFFSET(Arb!$U$2,,,Arb!$AJ$5,),V132)+INDEX(OFFSET(Arb!$V$2,,,Arb!$AJ$5,),V132))/X132)</f>
        <v>2.9372888823615799</v>
      </c>
      <c r="AB132" s="33">
        <f t="shared" ca="1" si="25"/>
        <v>9.2035065073313334</v>
      </c>
      <c r="AC132" s="21">
        <f t="shared" ca="1" si="26"/>
        <v>47.264702823156227</v>
      </c>
      <c r="AD132" s="74">
        <f ca="1">IF(V132="","",DATE(INDEX(OFFSET(Arb!$C$2,,,Arb!$AJ$5,),V132),INDEX(OFFSET(Arb!$B$2,,,Arb!$AJ$5,),V132),INDEX(OFFSET(Arb!$A$2,,,Arb!$AJ$5,),V132))+ROW()*0.001)</f>
        <v>43801.131999999998</v>
      </c>
    </row>
    <row r="133" spans="1:30" x14ac:dyDescent="0.25">
      <c r="A133" s="11">
        <v>132</v>
      </c>
      <c r="B133" s="11">
        <v>1596</v>
      </c>
      <c r="C133" s="433">
        <f ca="1">IF(B133="",16,INDEX(OFFSET(Arb!$I$2,,,Arb!$AJ$5,),B133))</f>
        <v>14</v>
      </c>
      <c r="D133" s="34">
        <f ca="1">IF(B133="",10,INDEX(OFFSET(Arb!$H$2,,,Arb!$AJ$5,),B133))</f>
        <v>4.13</v>
      </c>
      <c r="E133" s="33">
        <f t="shared" ca="1" si="18"/>
        <v>3.3898305084745766</v>
      </c>
      <c r="F133" s="33">
        <f ca="1">IF(B133="","",INDEX(OFFSET(Arb!$X$2,,,Arb!$AJ$5,),B133)/D133)</f>
        <v>4.1162227602905572</v>
      </c>
      <c r="G133" s="33">
        <f ca="1">IF(B133="","",(INDEX(OFFSET(Arb!$U$2,,,Arb!$AJ$5,),B133)+INDEX(OFFSET(Arb!$V$2,,,Arb!$AJ$5,),B133))/D133)</f>
        <v>4.8426150121065374</v>
      </c>
      <c r="H133" s="33">
        <f t="shared" ca="1" si="19"/>
        <v>0.79613561443068626</v>
      </c>
      <c r="I133" s="21">
        <f t="shared" ca="1" si="20"/>
        <v>59.410732471531681</v>
      </c>
      <c r="J133" s="74">
        <f ca="1">IF(B133="","",DATE(INDEX(OFFSET(Arb!$C$2,,,Arb!$AJ$5,),B133),INDEX(OFFSET(Arb!$B$2,,,Arb!$AJ$5,),B133),INDEX(OFFSET(Arb!$A$2,,,Arb!$AJ$5,),B133))+ROW()*0.001)</f>
        <v>44054.133000000002</v>
      </c>
      <c r="K133" s="11">
        <v>132</v>
      </c>
      <c r="L133" s="11">
        <v>2400</v>
      </c>
      <c r="M133" s="433">
        <f ca="1">IF(L133="",64,INDEX(OFFSET(Arb!$I$2,,,Arb!$AJ$5,),L133))</f>
        <v>65</v>
      </c>
      <c r="N133" s="34">
        <f ca="1">IF(L133="",60,INDEX(OFFSET(Arb!$H$2,,,Arb!$AJ$5,),L133))</f>
        <v>22.95</v>
      </c>
      <c r="O133" s="33">
        <f t="shared" ca="1" si="21"/>
        <v>2.8322440087145972</v>
      </c>
      <c r="P133" s="33">
        <f ca="1">IF(L133="","",INDEX(OFFSET(Arb!$X$2,,,Arb!$AJ$5,),L133)/N133)</f>
        <v>3.0065359477124183</v>
      </c>
      <c r="Q133" s="33">
        <f ca="1">IF(L133="","",(INDEX(OFFSET(Arb!$U$2,,,Arb!$AJ$5,),L133)+INDEX(OFFSET(Arb!$V$2,,,Arb!$AJ$5,),L133))/N133)</f>
        <v>3.3551198257080612</v>
      </c>
      <c r="R133" s="33">
        <f t="shared" ca="1" si="22"/>
        <v>3.165317043070333</v>
      </c>
      <c r="S133" s="21">
        <f t="shared" ca="1" si="23"/>
        <v>48.567014901888967</v>
      </c>
      <c r="T133" s="74">
        <f ca="1">IF(L133="","",DATE(INDEX(OFFSET(Arb!$C$2,,,Arb!$AJ$5,),L133),INDEX(OFFSET(Arb!$B$2,,,Arb!$AJ$5,),L133),INDEX(OFFSET(Arb!$A$2,,,Arb!$AJ$5,),L133))+ROW()*0.001)</f>
        <v>44168.133000000002</v>
      </c>
      <c r="U133" s="11">
        <v>132</v>
      </c>
      <c r="V133" s="11">
        <v>3165</v>
      </c>
      <c r="W133" s="433">
        <f ca="1">IF(V133="",164,INDEX(OFFSET(Arb!$I$2,,,Arb!$AJ$5,),V133))</f>
        <v>132</v>
      </c>
      <c r="X133" s="34">
        <f ca="1">IF(V133="",240,INDEX(OFFSET(Arb!$H$2,,,Arb!$AJ$5,),V133))</f>
        <v>68.099999999999994</v>
      </c>
      <c r="Y133" s="33">
        <f t="shared" ca="1" si="24"/>
        <v>1.9383259911894275</v>
      </c>
      <c r="Z133" s="33">
        <f ca="1">IF(V133="","",INDEX(OFFSET(Arb!$X$2,,,Arb!$AJ$5,),V133)/X133)</f>
        <v>2.643171806167401</v>
      </c>
      <c r="AA133" s="33">
        <f ca="1">IF(V133="","",(INDEX(OFFSET(Arb!$U$2,,,Arb!$AJ$5,),V133)+INDEX(OFFSET(Arb!$V$2,,,Arb!$AJ$5,),V133))/X133)</f>
        <v>3.0249632892804703</v>
      </c>
      <c r="AB133" s="33">
        <f t="shared" ca="1" si="25"/>
        <v>9.9032138896682245</v>
      </c>
      <c r="AC133" s="21">
        <f t="shared" ca="1" si="26"/>
        <v>43.925235266687075</v>
      </c>
      <c r="AD133" s="74">
        <f ca="1">IF(V133="","",DATE(INDEX(OFFSET(Arb!$C$2,,,Arb!$AJ$5,),V133),INDEX(OFFSET(Arb!$B$2,,,Arb!$AJ$5,),V133),INDEX(OFFSET(Arb!$A$2,,,Arb!$AJ$5,),V133))+ROW()*0.001)</f>
        <v>44032.133000000002</v>
      </c>
    </row>
    <row r="134" spans="1:30" x14ac:dyDescent="0.25">
      <c r="A134" s="11">
        <v>133</v>
      </c>
      <c r="B134" s="11">
        <v>400</v>
      </c>
      <c r="C134" s="433">
        <f ca="1">IF(B134="",16,INDEX(OFFSET(Arb!$I$2,,,Arb!$AJ$5,),B134))</f>
        <v>10</v>
      </c>
      <c r="D134" s="34">
        <f ca="1">IF(B134="",10,INDEX(OFFSET(Arb!$H$2,,,Arb!$AJ$5,),B134))</f>
        <v>4.13</v>
      </c>
      <c r="E134" s="33">
        <f t="shared" ca="1" si="18"/>
        <v>2.4213075060532687</v>
      </c>
      <c r="F134" s="33">
        <f ca="1">IF(B134="","",INDEX(OFFSET(Arb!$X$2,,,Arb!$AJ$5,),B134)/D134)</f>
        <v>2.6634382566585959</v>
      </c>
      <c r="G134" s="33">
        <f ca="1">IF(B134="","",(INDEX(OFFSET(Arb!$U$2,,,Arb!$AJ$5,),B134)+INDEX(OFFSET(Arb!$V$2,,,Arb!$AJ$5,),B134))/D134)</f>
        <v>3.1476997578692494</v>
      </c>
      <c r="H134" s="33">
        <f t="shared" ca="1" si="19"/>
        <v>1.1145898602029607</v>
      </c>
      <c r="I134" s="21">
        <f t="shared" ca="1" si="20"/>
        <v>42.436237479665493</v>
      </c>
      <c r="J134" s="74">
        <f ca="1">IF(B134="","",DATE(INDEX(OFFSET(Arb!$C$2,,,Arb!$AJ$5,),B134),INDEX(OFFSET(Arb!$B$2,,,Arb!$AJ$5,),B134),INDEX(OFFSET(Arb!$A$2,,,Arb!$AJ$5,),B134))+ROW()*0.001)</f>
        <v>43781.133999999998</v>
      </c>
      <c r="K134" s="11">
        <v>133</v>
      </c>
      <c r="L134" s="11">
        <v>2340</v>
      </c>
      <c r="M134" s="433">
        <f ca="1">IF(L134="",64,INDEX(OFFSET(Arb!$I$2,,,Arb!$AJ$5,),L134))</f>
        <v>44</v>
      </c>
      <c r="N134" s="34">
        <f ca="1">IF(L134="",60,INDEX(OFFSET(Arb!$H$2,,,Arb!$AJ$5,),L134))</f>
        <v>22.95</v>
      </c>
      <c r="O134" s="33">
        <f t="shared" ca="1" si="21"/>
        <v>1.9172113289760349</v>
      </c>
      <c r="P134" s="33">
        <f ca="1">IF(L134="","",INDEX(OFFSET(Arb!$X$2,,,Arb!$AJ$5,),L134)/N134)</f>
        <v>3.0501089324618738</v>
      </c>
      <c r="Q134" s="33">
        <f ca="1">IF(L134="","",(INDEX(OFFSET(Arb!$U$2,,,Arb!$AJ$5,),L134)+INDEX(OFFSET(Arb!$V$2,,,Arb!$AJ$5,),L134))/N134)</f>
        <v>3.4422657952069717</v>
      </c>
      <c r="R134" s="33">
        <f t="shared" ca="1" si="22"/>
        <v>4.6760365408993554</v>
      </c>
      <c r="S134" s="21">
        <f t="shared" ca="1" si="23"/>
        <v>32.876133164355608</v>
      </c>
      <c r="T134" s="74">
        <f ca="1">IF(L134="","",DATE(INDEX(OFFSET(Arb!$C$2,,,Arb!$AJ$5,),L134),INDEX(OFFSET(Arb!$B$2,,,Arb!$AJ$5,),L134),INDEX(OFFSET(Arb!$A$2,,,Arb!$AJ$5,),L134))+ROW()*0.001)</f>
        <v>44106.133999999998</v>
      </c>
      <c r="U134" s="11">
        <v>133</v>
      </c>
      <c r="V134" s="11">
        <v>3329</v>
      </c>
      <c r="W134" s="433">
        <f ca="1">IF(V134="",164,INDEX(OFFSET(Arb!$I$2,,,Arb!$AJ$5,),V134))</f>
        <v>171</v>
      </c>
      <c r="X134" s="34">
        <f ca="1">IF(V134="",240,INDEX(OFFSET(Arb!$H$2,,,Arb!$AJ$5,),V134))</f>
        <v>68.11</v>
      </c>
      <c r="Y134" s="33">
        <f t="shared" ca="1" si="24"/>
        <v>2.5106445455880193</v>
      </c>
      <c r="Z134" s="33">
        <f ca="1">IF(V134="","",INDEX(OFFSET(Arb!$X$2,,,Arb!$AJ$5,),V134)/X134)</f>
        <v>3.0098370283365146</v>
      </c>
      <c r="AA134" s="33">
        <f ca="1">IF(V134="","",(INDEX(OFFSET(Arb!$U$2,,,Arb!$AJ$5,),V134)+INDEX(OFFSET(Arb!$V$2,,,Arb!$AJ$5,),V134))/X134)</f>
        <v>3.28879753340185</v>
      </c>
      <c r="AB134" s="33">
        <f t="shared" ca="1" si="25"/>
        <v>7.6464945986808779</v>
      </c>
      <c r="AC134" s="21">
        <f t="shared" ca="1" si="26"/>
        <v>56.888943604961604</v>
      </c>
      <c r="AD134" s="74">
        <f ca="1">IF(V134="","",DATE(INDEX(OFFSET(Arb!$C$2,,,Arb!$AJ$5,),V134),INDEX(OFFSET(Arb!$B$2,,,Arb!$AJ$5,),V134),INDEX(OFFSET(Arb!$A$2,,,Arb!$AJ$5,),V134))+ROW()*0.001)</f>
        <v>44096.133999999998</v>
      </c>
    </row>
    <row r="135" spans="1:30" x14ac:dyDescent="0.25">
      <c r="A135" s="11">
        <v>134</v>
      </c>
      <c r="B135" s="11">
        <v>109</v>
      </c>
      <c r="C135" s="433">
        <f ca="1">IF(B135="",16,INDEX(OFFSET(Arb!$I$2,,,Arb!$AJ$5,),B135))</f>
        <v>12</v>
      </c>
      <c r="D135" s="34">
        <f ca="1">IF(B135="",10,INDEX(OFFSET(Arb!$H$2,,,Arb!$AJ$5,),B135))</f>
        <v>4.13</v>
      </c>
      <c r="E135" s="33">
        <f t="shared" ca="1" si="18"/>
        <v>2.9055690072639226</v>
      </c>
      <c r="F135" s="33">
        <f ca="1">IF(B135="","",INDEX(OFFSET(Arb!$X$2,,,Arb!$AJ$5,),B135)/D135)</f>
        <v>3.87409200968523</v>
      </c>
      <c r="G135" s="33">
        <f ca="1">IF(B135="","",(INDEX(OFFSET(Arb!$U$2,,,Arb!$AJ$5,),B135)+INDEX(OFFSET(Arb!$V$2,,,Arb!$AJ$5,),B135))/D135)</f>
        <v>4.8426150121065374</v>
      </c>
      <c r="H135" s="33">
        <f t="shared" ca="1" si="19"/>
        <v>0.92882488350246728</v>
      </c>
      <c r="I135" s="21">
        <f t="shared" ca="1" si="20"/>
        <v>50.923484975598583</v>
      </c>
      <c r="J135" s="74">
        <f ca="1">IF(B135="","",DATE(INDEX(OFFSET(Arb!$C$2,,,Arb!$AJ$5,),B135),INDEX(OFFSET(Arb!$B$2,,,Arb!$AJ$5,),B135),INDEX(OFFSET(Arb!$A$2,,,Arb!$AJ$5,),B135))+ROW()*0.001)</f>
        <v>43770.135000000002</v>
      </c>
      <c r="K135" s="11">
        <v>134</v>
      </c>
      <c r="L135" s="11">
        <v>2387</v>
      </c>
      <c r="M135" s="433">
        <f ca="1">IF(L135="",64,INDEX(OFFSET(Arb!$I$2,,,Arb!$AJ$5,),L135))</f>
        <v>45</v>
      </c>
      <c r="N135" s="34">
        <f ca="1">IF(L135="",60,INDEX(OFFSET(Arb!$H$2,,,Arb!$AJ$5,),L135))</f>
        <v>23</v>
      </c>
      <c r="O135" s="33">
        <f t="shared" ca="1" si="21"/>
        <v>1.9565217391304348</v>
      </c>
      <c r="P135" s="33">
        <f ca="1">IF(L135="","",INDEX(OFFSET(Arb!$X$2,,,Arb!$AJ$5,),L135)/N135)</f>
        <v>2.6086956521739131</v>
      </c>
      <c r="Q135" s="33">
        <f ca="1">IF(L135="","",(INDEX(OFFSET(Arb!$U$2,,,Arb!$AJ$5,),L135)+INDEX(OFFSET(Arb!$V$2,,,Arb!$AJ$5,),L135))/N135)</f>
        <v>3.1304347826086958</v>
      </c>
      <c r="R135" s="33">
        <f t="shared" ca="1" si="22"/>
        <v>4.5890713223174533</v>
      </c>
      <c r="S135" s="21">
        <f t="shared" ca="1" si="23"/>
        <v>33.499152486993225</v>
      </c>
      <c r="T135" s="74">
        <f ca="1">IF(L135="","",DATE(INDEX(OFFSET(Arb!$C$2,,,Arb!$AJ$5,),L135),INDEX(OFFSET(Arb!$B$2,,,Arb!$AJ$5,),L135),INDEX(OFFSET(Arb!$A$2,,,Arb!$AJ$5,),L135))+ROW()*0.001)</f>
        <v>44117.135000000002</v>
      </c>
      <c r="U135" s="11">
        <v>134</v>
      </c>
      <c r="V135" s="11">
        <v>3183</v>
      </c>
      <c r="W135" s="433">
        <f ca="1">IF(V135="",164,INDEX(OFFSET(Arb!$I$2,,,Arb!$AJ$5,),V135))</f>
        <v>151</v>
      </c>
      <c r="X135" s="34">
        <f ca="1">IF(V135="",240,INDEX(OFFSET(Arb!$H$2,,,Arb!$AJ$5,),V135))</f>
        <v>68.25</v>
      </c>
      <c r="Y135" s="33">
        <f t="shared" ca="1" si="24"/>
        <v>2.2124542124542126</v>
      </c>
      <c r="Z135" s="33">
        <f ca="1">IF(V135="","",INDEX(OFFSET(Arb!$X$2,,,Arb!$AJ$5,),V135)/X135)</f>
        <v>2.7106227106227108</v>
      </c>
      <c r="AA135" s="33">
        <f ca="1">IF(V135="","",(INDEX(OFFSET(Arb!$U$2,,,Arb!$AJ$5,),V135)+INDEX(OFFSET(Arb!$V$2,,,Arb!$AJ$5,),V135))/X135)</f>
        <v>2.9304029304029302</v>
      </c>
      <c r="AB135" s="33">
        <f t="shared" ca="1" si="25"/>
        <v>8.6895556205643025</v>
      </c>
      <c r="AC135" s="21">
        <f t="shared" ca="1" si="26"/>
        <v>50.060212396885589</v>
      </c>
      <c r="AD135" s="74">
        <f ca="1">IF(V135="","",DATE(INDEX(OFFSET(Arb!$C$2,,,Arb!$AJ$5,),V135),INDEX(OFFSET(Arb!$B$2,,,Arb!$AJ$5,),V135),INDEX(OFFSET(Arb!$A$2,,,Arb!$AJ$5,),V135))+ROW()*0.001)</f>
        <v>44052.135000000002</v>
      </c>
    </row>
    <row r="136" spans="1:30" x14ac:dyDescent="0.25">
      <c r="A136" s="11">
        <v>135</v>
      </c>
      <c r="B136" s="11">
        <v>1450</v>
      </c>
      <c r="C136" s="433">
        <f ca="1">IF(B136="",16,INDEX(OFFSET(Arb!$I$2,,,Arb!$AJ$5,),B136))</f>
        <v>11</v>
      </c>
      <c r="D136" s="34">
        <f ca="1">IF(B136="",10,INDEX(OFFSET(Arb!$H$2,,,Arb!$AJ$5,),B136))</f>
        <v>4.1500000000000004</v>
      </c>
      <c r="E136" s="33">
        <f t="shared" ca="1" si="18"/>
        <v>2.6506024096385539</v>
      </c>
      <c r="F136" s="33">
        <f ca="1">IF(B136="","",INDEX(OFFSET(Arb!$X$2,,,Arb!$AJ$5,),B136)/D136)</f>
        <v>3.1325301204819276</v>
      </c>
      <c r="G136" s="33">
        <f ca="1">IF(B136="","",(INDEX(OFFSET(Arb!$U$2,,,Arb!$AJ$5,),B136)+INDEX(OFFSET(Arb!$V$2,,,Arb!$AJ$5,),B136))/D136)</f>
        <v>3.8554216867469875</v>
      </c>
      <c r="H136" s="33">
        <f t="shared" ca="1" si="19"/>
        <v>1.0216192774447899</v>
      </c>
      <c r="I136" s="21">
        <f t="shared" ca="1" si="20"/>
        <v>46.298069196874685</v>
      </c>
      <c r="J136" s="74">
        <f ca="1">IF(B136="","",DATE(INDEX(OFFSET(Arb!$C$2,,,Arb!$AJ$5,),B136),INDEX(OFFSET(Arb!$B$2,,,Arb!$AJ$5,),B136),INDEX(OFFSET(Arb!$A$2,,,Arb!$AJ$5,),B136))+ROW()*0.001)</f>
        <v>43950.135999999999</v>
      </c>
      <c r="K136" s="11">
        <v>135</v>
      </c>
      <c r="L136" s="11">
        <v>2043</v>
      </c>
      <c r="M136" s="433">
        <f ca="1">IF(L136="",64,INDEX(OFFSET(Arb!$I$2,,,Arb!$AJ$5,),L136))</f>
        <v>60</v>
      </c>
      <c r="N136" s="34">
        <f ca="1">IF(L136="",60,INDEX(OFFSET(Arb!$H$2,,,Arb!$AJ$5,),L136))</f>
        <v>23.01</v>
      </c>
      <c r="O136" s="33">
        <f t="shared" ca="1" si="21"/>
        <v>2.6075619295958279</v>
      </c>
      <c r="P136" s="33">
        <f ca="1">IF(L136="","",INDEX(OFFSET(Arb!$X$2,,,Arb!$AJ$5,),L136)/N136)</f>
        <v>3.3029117774880485</v>
      </c>
      <c r="Q136" s="33">
        <f ca="1">IF(L136="","",(INDEX(OFFSET(Arb!$U$2,,,Arb!$AJ$5,),L136)+INDEX(OFFSET(Arb!$V$2,,,Arb!$AJ$5,),L136))/N136)</f>
        <v>3.6505867014341589</v>
      </c>
      <c r="R136" s="33">
        <f t="shared" ca="1" si="22"/>
        <v>3.4443478205541109</v>
      </c>
      <c r="S136" s="21">
        <f t="shared" ca="1" si="23"/>
        <v>44.632542358996893</v>
      </c>
      <c r="T136" s="74">
        <f ca="1">IF(L136="","",DATE(INDEX(OFFSET(Arb!$C$2,,,Arb!$AJ$5,),L136),INDEX(OFFSET(Arb!$B$2,,,Arb!$AJ$5,),L136),INDEX(OFFSET(Arb!$A$2,,,Arb!$AJ$5,),L136))+ROW()*0.001)</f>
        <v>43797.135999999999</v>
      </c>
      <c r="U136" s="11">
        <v>135</v>
      </c>
      <c r="V136" s="11">
        <v>3348</v>
      </c>
      <c r="W136" s="433">
        <f ca="1">IF(V136="",164,INDEX(OFFSET(Arb!$I$2,,,Arb!$AJ$5,),V136))</f>
        <v>161</v>
      </c>
      <c r="X136" s="34">
        <f ca="1">IF(V136="",240,INDEX(OFFSET(Arb!$H$2,,,Arb!$AJ$5,),V136))</f>
        <v>68.27</v>
      </c>
      <c r="Y136" s="33">
        <f t="shared" ca="1" si="24"/>
        <v>2.3582832869488795</v>
      </c>
      <c r="Z136" s="33">
        <f ca="1">IF(V136="","",INDEX(OFFSET(Arb!$X$2,,,Arb!$AJ$5,),V136)/X136)</f>
        <v>2.7537717884868904</v>
      </c>
      <c r="AA136" s="33">
        <f ca="1">IF(V136="","",(INDEX(OFFSET(Arb!$U$2,,,Arb!$AJ$5,),V136)+INDEX(OFFSET(Arb!$V$2,,,Arb!$AJ$5,),V136))/X136)</f>
        <v>3.0320785117914166</v>
      </c>
      <c r="AB136" s="33">
        <f t="shared" ca="1" si="25"/>
        <v>8.1538920747762944</v>
      </c>
      <c r="AC136" s="21">
        <f t="shared" ca="1" si="26"/>
        <v>53.348878794417253</v>
      </c>
      <c r="AD136" s="74">
        <f ca="1">IF(V136="","",DATE(INDEX(OFFSET(Arb!$C$2,,,Arb!$AJ$5,),V136),INDEX(OFFSET(Arb!$B$2,,,Arb!$AJ$5,),V136),INDEX(OFFSET(Arb!$A$2,,,Arb!$AJ$5,),V136))+ROW()*0.001)</f>
        <v>44098.135999999999</v>
      </c>
    </row>
    <row r="137" spans="1:30" x14ac:dyDescent="0.25">
      <c r="A137" s="11">
        <v>136</v>
      </c>
      <c r="B137" s="11">
        <v>1346</v>
      </c>
      <c r="C137" s="433">
        <f ca="1">IF(B137="",16,INDEX(OFFSET(Arb!$I$2,,,Arb!$AJ$5,),B137))</f>
        <v>10</v>
      </c>
      <c r="D137" s="34">
        <f ca="1">IF(B137="",10,INDEX(OFFSET(Arb!$H$2,,,Arb!$AJ$5,),B137))</f>
        <v>4.1500000000000004</v>
      </c>
      <c r="E137" s="33">
        <f t="shared" ca="1" si="18"/>
        <v>2.4096385542168672</v>
      </c>
      <c r="F137" s="33">
        <f ca="1">IF(B137="","",INDEX(OFFSET(Arb!$X$2,,,Arb!$AJ$5,),B137)/D137)</f>
        <v>3.6144578313253009</v>
      </c>
      <c r="G137" s="33">
        <f ca="1">IF(B137="","",(INDEX(OFFSET(Arb!$U$2,,,Arb!$AJ$5,),B137)+INDEX(OFFSET(Arb!$V$2,,,Arb!$AJ$5,),B137))/D137)</f>
        <v>4.5783132530120474</v>
      </c>
      <c r="H137" s="33">
        <f t="shared" ca="1" si="19"/>
        <v>1.1237812051892688</v>
      </c>
      <c r="I137" s="21">
        <f t="shared" ca="1" si="20"/>
        <v>42.089153815340623</v>
      </c>
      <c r="J137" s="74">
        <f ca="1">IF(B137="","",DATE(INDEX(OFFSET(Arb!$C$2,,,Arb!$AJ$5,),B137),INDEX(OFFSET(Arb!$B$2,,,Arb!$AJ$5,),B137),INDEX(OFFSET(Arb!$A$2,,,Arb!$AJ$5,),B137))+ROW()*0.001)</f>
        <v>43935.137000000002</v>
      </c>
      <c r="K137" s="11">
        <v>136</v>
      </c>
      <c r="L137" s="11">
        <v>1888</v>
      </c>
      <c r="M137" s="433">
        <f ca="1">IF(L137="",64,INDEX(OFFSET(Arb!$I$2,,,Arb!$AJ$5,),L137))</f>
        <v>60</v>
      </c>
      <c r="N137" s="34">
        <f ca="1">IF(L137="",60,INDEX(OFFSET(Arb!$H$2,,,Arb!$AJ$5,),L137))</f>
        <v>23.04</v>
      </c>
      <c r="O137" s="33">
        <f t="shared" ca="1" si="21"/>
        <v>2.604166666666667</v>
      </c>
      <c r="P137" s="33">
        <f ca="1">IF(L137="","",INDEX(OFFSET(Arb!$X$2,,,Arb!$AJ$5,),L137)/N137)</f>
        <v>3.385416666666667</v>
      </c>
      <c r="Q137" s="33">
        <f ca="1">IF(L137="","",(INDEX(OFFSET(Arb!$U$2,,,Arb!$AJ$5,),L137)+INDEX(OFFSET(Arb!$V$2,,,Arb!$AJ$5,),L137))/N137)</f>
        <v>3.7326388888888888</v>
      </c>
      <c r="R137" s="33">
        <f t="shared" ca="1" si="22"/>
        <v>3.4519854514516677</v>
      </c>
      <c r="S137" s="21">
        <f t="shared" ca="1" si="23"/>
        <v>44.533791396876175</v>
      </c>
      <c r="T137" s="74">
        <f ca="1">IF(L137="","",DATE(INDEX(OFFSET(Arb!$C$2,,,Arb!$AJ$5,),L137),INDEX(OFFSET(Arb!$B$2,,,Arb!$AJ$5,),L137),INDEX(OFFSET(Arb!$A$2,,,Arb!$AJ$5,),L137))+ROW()*0.001)</f>
        <v>43764.137000000002</v>
      </c>
      <c r="U137" s="11">
        <v>136</v>
      </c>
      <c r="V137" s="11">
        <v>3330</v>
      </c>
      <c r="W137" s="433">
        <f ca="1">IF(V137="",164,INDEX(OFFSET(Arb!$I$2,,,Arb!$AJ$5,),V137))</f>
        <v>169</v>
      </c>
      <c r="X137" s="34">
        <f ca="1">IF(V137="",240,INDEX(OFFSET(Arb!$H$2,,,Arb!$AJ$5,),V137))</f>
        <v>68.27</v>
      </c>
      <c r="Y137" s="33">
        <f t="shared" ca="1" si="24"/>
        <v>2.4754650651823642</v>
      </c>
      <c r="Z137" s="33">
        <f ca="1">IF(V137="","",INDEX(OFFSET(Arb!$X$2,,,Arb!$AJ$5,),V137)/X137)</f>
        <v>3.0613739563497879</v>
      </c>
      <c r="AA137" s="33">
        <f ca="1">IF(V137="","",(INDEX(OFFSET(Arb!$U$2,,,Arb!$AJ$5,),V137)+INDEX(OFFSET(Arb!$V$2,,,Arb!$AJ$5,),V137))/X137)</f>
        <v>3.368976124212685</v>
      </c>
      <c r="AB137" s="33">
        <f t="shared" ca="1" si="25"/>
        <v>7.7679090179821495</v>
      </c>
      <c r="AC137" s="21">
        <f t="shared" ca="1" si="26"/>
        <v>55.999754759357252</v>
      </c>
      <c r="AD137" s="74">
        <f ca="1">IF(V137="","",DATE(INDEX(OFFSET(Arb!$C$2,,,Arb!$AJ$5,),V137),INDEX(OFFSET(Arb!$B$2,,,Arb!$AJ$5,),V137),INDEX(OFFSET(Arb!$A$2,,,Arb!$AJ$5,),V137))+ROW()*0.001)</f>
        <v>44096.137000000002</v>
      </c>
    </row>
    <row r="138" spans="1:30" x14ac:dyDescent="0.25">
      <c r="A138" s="11">
        <v>137</v>
      </c>
      <c r="B138" s="11">
        <v>964</v>
      </c>
      <c r="C138" s="433">
        <f ca="1">IF(B138="",16,INDEX(OFFSET(Arb!$I$2,,,Arb!$AJ$5,),B138))</f>
        <v>12</v>
      </c>
      <c r="D138" s="34">
        <f ca="1">IF(B138="",10,INDEX(OFFSET(Arb!$H$2,,,Arb!$AJ$5,),B138))</f>
        <v>4.16</v>
      </c>
      <c r="E138" s="33">
        <f t="shared" ca="1" si="18"/>
        <v>2.8846153846153846</v>
      </c>
      <c r="F138" s="33">
        <f ca="1">IF(B138="","",INDEX(OFFSET(Arb!$X$2,,,Arb!$AJ$5,),B138)/D138)</f>
        <v>3.8461538461538458</v>
      </c>
      <c r="G138" s="33">
        <f ca="1">IF(B138="","",(INDEX(OFFSET(Arb!$U$2,,,Arb!$AJ$5,),B138)+INDEX(OFFSET(Arb!$V$2,,,Arb!$AJ$5,),B138))/D138)</f>
        <v>5.2884615384615383</v>
      </c>
      <c r="H138" s="33">
        <f t="shared" ca="1" si="19"/>
        <v>0.9403237731301376</v>
      </c>
      <c r="I138" s="21">
        <f t="shared" ca="1" si="20"/>
        <v>50.300759537910757</v>
      </c>
      <c r="J138" s="74">
        <f ca="1">IF(B138="","",DATE(INDEX(OFFSET(Arb!$C$2,,,Arb!$AJ$5,),B138),INDEX(OFFSET(Arb!$B$2,,,Arb!$AJ$5,),B138),INDEX(OFFSET(Arb!$A$2,,,Arb!$AJ$5,),B138))+ROW()*0.001)</f>
        <v>43822.137999999999</v>
      </c>
      <c r="K138" s="11">
        <v>137</v>
      </c>
      <c r="L138" s="11">
        <v>2353</v>
      </c>
      <c r="M138" s="433">
        <f ca="1">IF(L138="",64,INDEX(OFFSET(Arb!$I$2,,,Arb!$AJ$5,),L138))</f>
        <v>63</v>
      </c>
      <c r="N138" s="34">
        <f ca="1">IF(L138="",60,INDEX(OFFSET(Arb!$H$2,,,Arb!$AJ$5,),L138))</f>
        <v>23.05</v>
      </c>
      <c r="O138" s="33">
        <f t="shared" ca="1" si="21"/>
        <v>2.7331887201735356</v>
      </c>
      <c r="P138" s="33">
        <f ca="1">IF(L138="","",INDEX(OFFSET(Arb!$X$2,,,Arb!$AJ$5,),L138)/N138)</f>
        <v>3.2537960954446854</v>
      </c>
      <c r="Q138" s="33">
        <f ca="1">IF(L138="","",(INDEX(OFFSET(Arb!$U$2,,,Arb!$AJ$5,),L138)+INDEX(OFFSET(Arb!$V$2,,,Arb!$AJ$5,),L138))/N138)</f>
        <v>3.68763557483731</v>
      </c>
      <c r="R138" s="33">
        <f t="shared" ca="1" si="22"/>
        <v>3.2900313106963779</v>
      </c>
      <c r="S138" s="21">
        <f t="shared" ca="1" si="23"/>
        <v>46.725999080981708</v>
      </c>
      <c r="T138" s="74">
        <f ca="1">IF(L138="","",DATE(INDEX(OFFSET(Arb!$C$2,,,Arb!$AJ$5,),L138),INDEX(OFFSET(Arb!$B$2,,,Arb!$AJ$5,),L138),INDEX(OFFSET(Arb!$A$2,,,Arb!$AJ$5,),L138))+ROW()*0.001)</f>
        <v>44114.137999999999</v>
      </c>
      <c r="U138" s="11">
        <v>137</v>
      </c>
      <c r="V138" s="11">
        <v>3310</v>
      </c>
      <c r="W138" s="433">
        <f ca="1">IF(V138="",164,INDEX(OFFSET(Arb!$I$2,,,Arb!$AJ$5,),V138))</f>
        <v>157</v>
      </c>
      <c r="X138" s="34">
        <f ca="1">IF(V138="",240,INDEX(OFFSET(Arb!$H$2,,,Arb!$AJ$5,),V138))</f>
        <v>68.290000000000006</v>
      </c>
      <c r="Y138" s="33">
        <f t="shared" ca="1" si="24"/>
        <v>2.2990188900278223</v>
      </c>
      <c r="Z138" s="33">
        <f ca="1">IF(V138="","",INDEX(OFFSET(Arb!$X$2,,,Arb!$AJ$5,),V138)/X138)</f>
        <v>2.7676087274857224</v>
      </c>
      <c r="AA138" s="33">
        <f ca="1">IF(V138="","",(INDEX(OFFSET(Arb!$U$2,,,Arb!$AJ$5,),V138)+INDEX(OFFSET(Arb!$V$2,,,Arb!$AJ$5,),V138))/X138)</f>
        <v>3.1044076731585881</v>
      </c>
      <c r="AB138" s="33">
        <f t="shared" ca="1" si="25"/>
        <v>8.3657992576097016</v>
      </c>
      <c r="AC138" s="21">
        <f t="shared" ca="1" si="26"/>
        <v>51.9975422078547</v>
      </c>
      <c r="AD138" s="74">
        <f ca="1">IF(V138="","",DATE(INDEX(OFFSET(Arb!$C$2,,,Arb!$AJ$5,),V138),INDEX(OFFSET(Arb!$B$2,,,Arb!$AJ$5,),V138),INDEX(OFFSET(Arb!$A$2,,,Arb!$AJ$5,),V138))+ROW()*0.001)</f>
        <v>44093.137999999999</v>
      </c>
    </row>
    <row r="139" spans="1:30" x14ac:dyDescent="0.25">
      <c r="A139" s="11">
        <v>138</v>
      </c>
      <c r="B139" s="11">
        <v>15</v>
      </c>
      <c r="C139" s="433">
        <f ca="1">IF(B139="",16,INDEX(OFFSET(Arb!$I$2,,,Arb!$AJ$5,),B139))</f>
        <v>16</v>
      </c>
      <c r="D139" s="34">
        <f ca="1">IF(B139="",10,INDEX(OFFSET(Arb!$H$2,,,Arb!$AJ$5,),B139))</f>
        <v>4.16</v>
      </c>
      <c r="E139" s="33">
        <f t="shared" ca="1" si="18"/>
        <v>3.8461538461538458</v>
      </c>
      <c r="F139" s="33">
        <f ca="1">IF(B139="","",INDEX(OFFSET(Arb!$X$2,,,Arb!$AJ$5,),B139)/D139)</f>
        <v>4.5673076923076925</v>
      </c>
      <c r="G139" s="33">
        <f ca="1">IF(B139="","",(INDEX(OFFSET(Arb!$U$2,,,Arb!$AJ$5,),B139)+INDEX(OFFSET(Arb!$V$2,,,Arb!$AJ$5,),B139))/D139)</f>
        <v>5.2884615384615383</v>
      </c>
      <c r="H139" s="33">
        <f t="shared" ca="1" si="19"/>
        <v>0.70524282984760323</v>
      </c>
      <c r="I139" s="21">
        <f t="shared" ca="1" si="20"/>
        <v>67.067679383881</v>
      </c>
      <c r="J139" s="74">
        <f ca="1">IF(B139="","",DATE(INDEX(OFFSET(Arb!$C$2,,,Arb!$AJ$5,),B139),INDEX(OFFSET(Arb!$B$2,,,Arb!$AJ$5,),B139),INDEX(OFFSET(Arb!$A$2,,,Arb!$AJ$5,),B139))+ROW()*0.001)</f>
        <v>43765.139000000003</v>
      </c>
      <c r="K139" s="11">
        <v>138</v>
      </c>
      <c r="L139" s="11">
        <v>2216</v>
      </c>
      <c r="M139" s="433">
        <f ca="1">IF(L139="",64,INDEX(OFFSET(Arb!$I$2,,,Arb!$AJ$5,),L139))</f>
        <v>54</v>
      </c>
      <c r="N139" s="34">
        <f ca="1">IF(L139="",60,INDEX(OFFSET(Arb!$H$2,,,Arb!$AJ$5,),L139))</f>
        <v>23.07</v>
      </c>
      <c r="O139" s="33">
        <f t="shared" ca="1" si="21"/>
        <v>2.3407022106631987</v>
      </c>
      <c r="P139" s="33">
        <f ca="1">IF(L139="","",INDEX(OFFSET(Arb!$X$2,,,Arb!$AJ$5,),L139)/N139)</f>
        <v>2.990897269180754</v>
      </c>
      <c r="Q139" s="33">
        <f ca="1">IF(L139="","",(INDEX(OFFSET(Arb!$U$2,,,Arb!$AJ$5,),L139)+INDEX(OFFSET(Arb!$V$2,,,Arb!$AJ$5,),L139))/N139)</f>
        <v>3.4677069787602948</v>
      </c>
      <c r="R139" s="33">
        <f t="shared" ca="1" si="22"/>
        <v>3.8440333854514401</v>
      </c>
      <c r="S139" s="21">
        <f t="shared" ca="1" si="23"/>
        <v>39.991848297109954</v>
      </c>
      <c r="T139" s="74">
        <f ca="1">IF(L139="","",DATE(INDEX(OFFSET(Arb!$C$2,,,Arb!$AJ$5,),L139),INDEX(OFFSET(Arb!$B$2,,,Arb!$AJ$5,),L139),INDEX(OFFSET(Arb!$A$2,,,Arb!$AJ$5,),L139))+ROW()*0.001)</f>
        <v>43870.139000000003</v>
      </c>
      <c r="U139" s="11">
        <v>138</v>
      </c>
      <c r="V139" s="11">
        <v>3117</v>
      </c>
      <c r="W139" s="433">
        <f ca="1">IF(V139="",164,INDEX(OFFSET(Arb!$I$2,,,Arb!$AJ$5,),V139))</f>
        <v>161</v>
      </c>
      <c r="X139" s="34">
        <f ca="1">IF(V139="",240,INDEX(OFFSET(Arb!$H$2,,,Arb!$AJ$5,),V139))</f>
        <v>68.3</v>
      </c>
      <c r="Y139" s="33">
        <f t="shared" ca="1" si="24"/>
        <v>2.3572474377745243</v>
      </c>
      <c r="Z139" s="33">
        <f ca="1">IF(V139="","",INDEX(OFFSET(Arb!$X$2,,,Arb!$AJ$5,),V139)/X139)</f>
        <v>2.9136163982430454</v>
      </c>
      <c r="AA139" s="33">
        <f ca="1">IF(V139="","",(INDEX(OFFSET(Arb!$U$2,,,Arb!$AJ$5,),V139)+INDEX(OFFSET(Arb!$V$2,,,Arb!$AJ$5,),V139))/X139)</f>
        <v>3.2064421669106884</v>
      </c>
      <c r="AB139" s="33">
        <f t="shared" ca="1" si="25"/>
        <v>8.1599842448502997</v>
      </c>
      <c r="AC139" s="21">
        <f t="shared" ca="1" si="26"/>
        <v>53.309049006378366</v>
      </c>
      <c r="AD139" s="74">
        <f ca="1">IF(V139="","",DATE(INDEX(OFFSET(Arb!$C$2,,,Arb!$AJ$5,),V139),INDEX(OFFSET(Arb!$B$2,,,Arb!$AJ$5,),V139),INDEX(OFFSET(Arb!$A$2,,,Arb!$AJ$5,),V139))+ROW()*0.001)</f>
        <v>44012.139000000003</v>
      </c>
    </row>
    <row r="140" spans="1:30" x14ac:dyDescent="0.25">
      <c r="A140" s="11">
        <v>139</v>
      </c>
      <c r="B140" s="11">
        <v>1662</v>
      </c>
      <c r="C140" s="433">
        <f ca="1">IF(B140="",16,INDEX(OFFSET(Arb!$I$2,,,Arb!$AJ$5,),B140))</f>
        <v>14</v>
      </c>
      <c r="D140" s="34">
        <f ca="1">IF(B140="",10,INDEX(OFFSET(Arb!$H$2,,,Arb!$AJ$5,),B140))</f>
        <v>4.17</v>
      </c>
      <c r="E140" s="33">
        <f t="shared" ca="1" si="18"/>
        <v>3.3573141486810552</v>
      </c>
      <c r="F140" s="33">
        <f ca="1">IF(B140="","",INDEX(OFFSET(Arb!$X$2,,,Arb!$AJ$5,),B140)/D140)</f>
        <v>3.5971223021582732</v>
      </c>
      <c r="G140" s="33">
        <f ca="1">IF(B140="","",(INDEX(OFFSET(Arb!$U$2,,,Arb!$AJ$5,),B140)+INDEX(OFFSET(Arb!$V$2,,,Arb!$AJ$5,),B140))/D140)</f>
        <v>3.8369304556354917</v>
      </c>
      <c r="H140" s="33">
        <f t="shared" ca="1" si="19"/>
        <v>0.80928829254323897</v>
      </c>
      <c r="I140" s="21">
        <f t="shared" ca="1" si="20"/>
        <v>58.445180087011934</v>
      </c>
      <c r="J140" s="74">
        <f ca="1">IF(B140="","",DATE(INDEX(OFFSET(Arb!$C$2,,,Arb!$AJ$5,),B140),INDEX(OFFSET(Arb!$B$2,,,Arb!$AJ$5,),B140),INDEX(OFFSET(Arb!$A$2,,,Arb!$AJ$5,),B140))+ROW()*0.001)</f>
        <v>44096.14</v>
      </c>
      <c r="K140" s="11">
        <v>139</v>
      </c>
      <c r="L140" s="11">
        <v>2113</v>
      </c>
      <c r="M140" s="433">
        <f ca="1">IF(L140="",64,INDEX(OFFSET(Arb!$I$2,,,Arb!$AJ$5,),L140))</f>
        <v>59</v>
      </c>
      <c r="N140" s="34">
        <f ca="1">IF(L140="",60,INDEX(OFFSET(Arb!$H$2,,,Arb!$AJ$5,),L140))</f>
        <v>23.09</v>
      </c>
      <c r="O140" s="33">
        <f t="shared" ca="1" si="21"/>
        <v>2.5552187093980079</v>
      </c>
      <c r="P140" s="33">
        <f ca="1">IF(L140="","",INDEX(OFFSET(Arb!$X$2,,,Arb!$AJ$5,),L140)/N140)</f>
        <v>3.2048505846686877</v>
      </c>
      <c r="Q140" s="33">
        <f ca="1">IF(L140="","",(INDEX(OFFSET(Arb!$U$2,,,Arb!$AJ$5,),L140)+INDEX(OFFSET(Arb!$V$2,,,Arb!$AJ$5,),L140))/N140)</f>
        <v>3.8111736682546558</v>
      </c>
      <c r="R140" s="33">
        <f t="shared" ca="1" si="22"/>
        <v>3.5234545543036306</v>
      </c>
      <c r="S140" s="21">
        <f t="shared" ca="1" si="23"/>
        <v>43.630476179189124</v>
      </c>
      <c r="T140" s="74">
        <f ca="1">IF(L140="","",DATE(INDEX(OFFSET(Arb!$C$2,,,Arb!$AJ$5,),L140),INDEX(OFFSET(Arb!$B$2,,,Arb!$AJ$5,),L140),INDEX(OFFSET(Arb!$A$2,,,Arb!$AJ$5,),L140))+ROW()*0.001)</f>
        <v>43811.14</v>
      </c>
      <c r="U140" s="11">
        <v>139</v>
      </c>
      <c r="V140" s="11">
        <v>2587</v>
      </c>
      <c r="W140" s="433">
        <f ca="1">IF(V140="",164,INDEX(OFFSET(Arb!$I$2,,,Arb!$AJ$5,),V140))</f>
        <v>134</v>
      </c>
      <c r="X140" s="34">
        <f ca="1">IF(V140="",240,INDEX(OFFSET(Arb!$H$2,,,Arb!$AJ$5,),V140))</f>
        <v>68.31</v>
      </c>
      <c r="Y140" s="33">
        <f t="shared" ca="1" si="24"/>
        <v>1.9616454399063095</v>
      </c>
      <c r="Z140" s="33">
        <f ca="1">IF(V140="","",INDEX(OFFSET(Arb!$X$2,,,Arb!$AJ$5,),V140)/X140)</f>
        <v>2.3715415019762847</v>
      </c>
      <c r="AA140" s="33">
        <f ca="1">IF(V140="","",(INDEX(OFFSET(Arb!$U$2,,,Arb!$AJ$5,),V140)+INDEX(OFFSET(Arb!$V$2,,,Arb!$AJ$5,),V140))/X140)</f>
        <v>2.7521592738984042</v>
      </c>
      <c r="AB140" s="33">
        <f t="shared" ca="1" si="25"/>
        <v>9.8066005739600595</v>
      </c>
      <c r="AC140" s="21">
        <f t="shared" ca="1" si="26"/>
        <v>44.357980802754334</v>
      </c>
      <c r="AD140" s="74">
        <f ca="1">IF(V140="","",DATE(INDEX(OFFSET(Arb!$C$2,,,Arb!$AJ$5,),V140),INDEX(OFFSET(Arb!$B$2,,,Arb!$AJ$5,),V140),INDEX(OFFSET(Arb!$A$2,,,Arb!$AJ$5,),V140))+ROW()*0.001)</f>
        <v>43805.14</v>
      </c>
    </row>
    <row r="141" spans="1:30" x14ac:dyDescent="0.25">
      <c r="A141" s="11">
        <v>140</v>
      </c>
      <c r="B141" s="11">
        <v>481</v>
      </c>
      <c r="C141" s="433">
        <f ca="1">IF(B141="",16,INDEX(OFFSET(Arb!$I$2,,,Arb!$AJ$5,),B141))</f>
        <v>11</v>
      </c>
      <c r="D141" s="34">
        <f ca="1">IF(B141="",10,INDEX(OFFSET(Arb!$H$2,,,Arb!$AJ$5,),B141))</f>
        <v>4.17</v>
      </c>
      <c r="E141" s="33">
        <f t="shared" ca="1" si="18"/>
        <v>2.6378896882494005</v>
      </c>
      <c r="F141" s="33">
        <f ca="1">IF(B141="","",INDEX(OFFSET(Arb!$X$2,,,Arb!$AJ$5,),B141)/D141)</f>
        <v>3.5971223021582732</v>
      </c>
      <c r="G141" s="33">
        <f ca="1">IF(B141="","",(INDEX(OFFSET(Arb!$U$2,,,Arb!$AJ$5,),B141)+INDEX(OFFSET(Arb!$V$2,,,Arb!$AJ$5,),B141))/D141)</f>
        <v>4.7961630695443649</v>
      </c>
      <c r="H141" s="33">
        <f t="shared" ca="1" si="19"/>
        <v>1.0300032814186677</v>
      </c>
      <c r="I141" s="21">
        <f t="shared" ca="1" si="20"/>
        <v>45.92121292550938</v>
      </c>
      <c r="J141" s="74">
        <f ca="1">IF(B141="","",DATE(INDEX(OFFSET(Arb!$C$2,,,Arb!$AJ$5,),B141),INDEX(OFFSET(Arb!$B$2,,,Arb!$AJ$5,),B141),INDEX(OFFSET(Arb!$A$2,,,Arb!$AJ$5,),B141))+ROW()*0.001)</f>
        <v>43786.141000000003</v>
      </c>
      <c r="K141" s="11">
        <v>140</v>
      </c>
      <c r="L141" s="11">
        <v>2214</v>
      </c>
      <c r="M141" s="433">
        <f ca="1">IF(L141="",64,INDEX(OFFSET(Arb!$I$2,,,Arb!$AJ$5,),L141))</f>
        <v>52</v>
      </c>
      <c r="N141" s="34">
        <f ca="1">IF(L141="",60,INDEX(OFFSET(Arb!$H$2,,,Arb!$AJ$5,),L141))</f>
        <v>23.11</v>
      </c>
      <c r="O141" s="33">
        <f t="shared" ca="1" si="21"/>
        <v>2.2501081782778019</v>
      </c>
      <c r="P141" s="33">
        <f ca="1">IF(L141="","",INDEX(OFFSET(Arb!$X$2,,,Arb!$AJ$5,),L141)/N141)</f>
        <v>3.2020770229337949</v>
      </c>
      <c r="Q141" s="33">
        <f ca="1">IF(L141="","",(INDEX(OFFSET(Arb!$U$2,,,Arb!$AJ$5,),L141)+INDEX(OFFSET(Arb!$V$2,,,Arb!$AJ$5,),L141))/N141)</f>
        <v>3.8078753786239723</v>
      </c>
      <c r="R141" s="33">
        <f t="shared" ca="1" si="22"/>
        <v>4.0036542345043244</v>
      </c>
      <c r="S141" s="21">
        <f t="shared" ca="1" si="23"/>
        <v>38.397421704182868</v>
      </c>
      <c r="T141" s="74">
        <f ca="1">IF(L141="","",DATE(INDEX(OFFSET(Arb!$C$2,,,Arb!$AJ$5,),L141),INDEX(OFFSET(Arb!$B$2,,,Arb!$AJ$5,),L141),INDEX(OFFSET(Arb!$A$2,,,Arb!$AJ$5,),L141))+ROW()*0.001)</f>
        <v>43870.141000000003</v>
      </c>
      <c r="U141" s="11">
        <v>140</v>
      </c>
      <c r="V141" s="11">
        <v>3273</v>
      </c>
      <c r="W141" s="433">
        <f ca="1">IF(V141="",164,INDEX(OFFSET(Arb!$I$2,,,Arb!$AJ$5,),V141))</f>
        <v>170</v>
      </c>
      <c r="X141" s="34">
        <f ca="1">IF(V141="",240,INDEX(OFFSET(Arb!$H$2,,,Arb!$AJ$5,),V141))</f>
        <v>68.34</v>
      </c>
      <c r="Y141" s="33">
        <f t="shared" ca="1" si="24"/>
        <v>2.4875621890547261</v>
      </c>
      <c r="Z141" s="33">
        <f ca="1">IF(V141="","",INDEX(OFFSET(Arb!$X$2,,,Arb!$AJ$5,),V141)/X141)</f>
        <v>2.9850746268656714</v>
      </c>
      <c r="AA141" s="33">
        <f ca="1">IF(V141="","",(INDEX(OFFSET(Arb!$U$2,,,Arb!$AJ$5,),V141)+INDEX(OFFSET(Arb!$V$2,,,Arb!$AJ$5,),V141))/X141)</f>
        <v>3.1899326894937077</v>
      </c>
      <c r="AB141" s="33">
        <f t="shared" ca="1" si="25"/>
        <v>7.7356806967448755</v>
      </c>
      <c r="AC141" s="21">
        <f t="shared" ca="1" si="26"/>
        <v>56.233060418722502</v>
      </c>
      <c r="AD141" s="74">
        <f ca="1">IF(V141="","",DATE(INDEX(OFFSET(Arb!$C$2,,,Arb!$AJ$5,),V141),INDEX(OFFSET(Arb!$B$2,,,Arb!$AJ$5,),V141),INDEX(OFFSET(Arb!$A$2,,,Arb!$AJ$5,),V141))+ROW()*0.001)</f>
        <v>44075.141000000003</v>
      </c>
    </row>
    <row r="142" spans="1:30" x14ac:dyDescent="0.25">
      <c r="A142" s="11">
        <v>141</v>
      </c>
      <c r="B142" s="11">
        <v>257</v>
      </c>
      <c r="C142" s="433">
        <f ca="1">IF(B142="",16,INDEX(OFFSET(Arb!$I$2,,,Arb!$AJ$5,),B142))</f>
        <v>11</v>
      </c>
      <c r="D142" s="34">
        <f ca="1">IF(B142="",10,INDEX(OFFSET(Arb!$H$2,,,Arb!$AJ$5,),B142))</f>
        <v>4.18</v>
      </c>
      <c r="E142" s="33">
        <f t="shared" ca="1" si="18"/>
        <v>2.6315789473684212</v>
      </c>
      <c r="F142" s="33">
        <f ca="1">IF(B142="","",INDEX(OFFSET(Arb!$X$2,,,Arb!$AJ$5,),B142)/D142)</f>
        <v>3.5885167464114835</v>
      </c>
      <c r="G142" s="33">
        <f ca="1">IF(B142="","",(INDEX(OFFSET(Arb!$U$2,,,Arb!$AJ$5,),B142)+INDEX(OFFSET(Arb!$V$2,,,Arb!$AJ$5,),B142))/D142)</f>
        <v>4.0669856459330145</v>
      </c>
      <c r="H142" s="33">
        <f t="shared" ca="1" si="19"/>
        <v>1.0342058591049947</v>
      </c>
      <c r="I142" s="21">
        <f t="shared" ca="1" si="20"/>
        <v>45.73460842789337</v>
      </c>
      <c r="J142" s="74">
        <f ca="1">IF(B142="","",DATE(INDEX(OFFSET(Arb!$C$2,,,Arb!$AJ$5,),B142),INDEX(OFFSET(Arb!$B$2,,,Arb!$AJ$5,),B142),INDEX(OFFSET(Arb!$A$2,,,Arb!$AJ$5,),B142))+ROW()*0.001)</f>
        <v>43776.142</v>
      </c>
      <c r="K142" s="11">
        <v>141</v>
      </c>
      <c r="L142" s="11">
        <v>2410</v>
      </c>
      <c r="M142" s="433">
        <f ca="1">IF(L142="",64,INDEX(OFFSET(Arb!$I$2,,,Arb!$AJ$5,),L142))</f>
        <v>65</v>
      </c>
      <c r="N142" s="34">
        <f ca="1">IF(L142="",60,INDEX(OFFSET(Arb!$H$2,,,Arb!$AJ$5,),L142))</f>
        <v>23.13</v>
      </c>
      <c r="O142" s="33">
        <f t="shared" ca="1" si="21"/>
        <v>2.8102031993082579</v>
      </c>
      <c r="P142" s="33">
        <f ca="1">IF(L142="","",INDEX(OFFSET(Arb!$X$2,,,Arb!$AJ$5,),L142)/N142)</f>
        <v>3.1993082576740166</v>
      </c>
      <c r="Q142" s="33">
        <f ca="1">IF(L142="","",(INDEX(OFFSET(Arb!$U$2,,,Arb!$AJ$5,),L142)+INDEX(OFFSET(Arb!$V$2,,,Arb!$AJ$5,),L142))/N142)</f>
        <v>3.3722438391699092</v>
      </c>
      <c r="R142" s="33">
        <f t="shared" ca="1" si="22"/>
        <v>3.2076370344170422</v>
      </c>
      <c r="S142" s="21">
        <f t="shared" ca="1" si="23"/>
        <v>47.926245504251376</v>
      </c>
      <c r="T142" s="74">
        <f ca="1">IF(L142="","",DATE(INDEX(OFFSET(Arb!$C$2,,,Arb!$AJ$5,),L142),INDEX(OFFSET(Arb!$B$2,,,Arb!$AJ$5,),L142),INDEX(OFFSET(Arb!$A$2,,,Arb!$AJ$5,),L142))+ROW()*0.001)</f>
        <v>44168.142</v>
      </c>
      <c r="U142" s="11">
        <v>141</v>
      </c>
      <c r="V142" s="11">
        <v>3226</v>
      </c>
      <c r="W142" s="433">
        <f ca="1">IF(V142="",164,INDEX(OFFSET(Arb!$I$2,,,Arb!$AJ$5,),V142))</f>
        <v>162</v>
      </c>
      <c r="X142" s="34">
        <f ca="1">IF(V142="",240,INDEX(OFFSET(Arb!$H$2,,,Arb!$AJ$5,),V142))</f>
        <v>68.34</v>
      </c>
      <c r="Y142" s="33">
        <f t="shared" ca="1" si="24"/>
        <v>2.3705004389815625</v>
      </c>
      <c r="Z142" s="33">
        <f ca="1">IF(V142="","",INDEX(OFFSET(Arb!$X$2,,,Arb!$AJ$5,),V142)/X142)</f>
        <v>2.9411764705882351</v>
      </c>
      <c r="AA142" s="33">
        <f ca="1">IF(V142="","",(INDEX(OFFSET(Arb!$U$2,,,Arb!$AJ$5,),V142)+INDEX(OFFSET(Arb!$V$2,,,Arb!$AJ$5,),V142))/X142)</f>
        <v>3.2484635645302897</v>
      </c>
      <c r="AB142" s="33">
        <f t="shared" ca="1" si="25"/>
        <v>8.1176896200409185</v>
      </c>
      <c r="AC142" s="21">
        <f t="shared" ca="1" si="26"/>
        <v>53.586798751959094</v>
      </c>
      <c r="AD142" s="74">
        <f ca="1">IF(V142="","",DATE(INDEX(OFFSET(Arb!$C$2,,,Arb!$AJ$5,),V142),INDEX(OFFSET(Arb!$B$2,,,Arb!$AJ$5,),V142),INDEX(OFFSET(Arb!$A$2,,,Arb!$AJ$5,),V142))+ROW()*0.001)</f>
        <v>44061.142</v>
      </c>
    </row>
    <row r="143" spans="1:30" x14ac:dyDescent="0.25">
      <c r="A143" s="11">
        <v>142</v>
      </c>
      <c r="B143" s="11">
        <v>55</v>
      </c>
      <c r="C143" s="433">
        <f ca="1">IF(B143="",16,INDEX(OFFSET(Arb!$I$2,,,Arb!$AJ$5,),B143))</f>
        <v>10</v>
      </c>
      <c r="D143" s="34">
        <f ca="1">IF(B143="",10,INDEX(OFFSET(Arb!$H$2,,,Arb!$AJ$5,),B143))</f>
        <v>4.18</v>
      </c>
      <c r="E143" s="33">
        <f t="shared" ca="1" si="18"/>
        <v>2.3923444976076556</v>
      </c>
      <c r="F143" s="33">
        <f ca="1">IF(B143="","",INDEX(OFFSET(Arb!$X$2,,,Arb!$AJ$5,),B143)/D143)</f>
        <v>3.1100478468899522</v>
      </c>
      <c r="G143" s="33">
        <f ca="1">IF(B143="","",(INDEX(OFFSET(Arb!$U$2,,,Arb!$AJ$5,),B143)+INDEX(OFFSET(Arb!$V$2,,,Arb!$AJ$5,),B143))/D143)</f>
        <v>3.5885167464114835</v>
      </c>
      <c r="H143" s="33">
        <f t="shared" ca="1" si="19"/>
        <v>1.1376264450154943</v>
      </c>
      <c r="I143" s="21">
        <f t="shared" ca="1" si="20"/>
        <v>41.576916752630339</v>
      </c>
      <c r="J143" s="74">
        <f ca="1">IF(B143="","",DATE(INDEX(OFFSET(Arb!$C$2,,,Arb!$AJ$5,),B143),INDEX(OFFSET(Arb!$B$2,,,Arb!$AJ$5,),B143),INDEX(OFFSET(Arb!$A$2,,,Arb!$AJ$5,),B143))+ROW()*0.001)</f>
        <v>43766.142999999996</v>
      </c>
      <c r="K143" s="11">
        <v>142</v>
      </c>
      <c r="L143" s="11">
        <v>2129</v>
      </c>
      <c r="M143" s="433">
        <f ca="1">IF(L143="",64,INDEX(OFFSET(Arb!$I$2,,,Arb!$AJ$5,),L143))</f>
        <v>66</v>
      </c>
      <c r="N143" s="34">
        <f ca="1">IF(L143="",60,INDEX(OFFSET(Arb!$H$2,,,Arb!$AJ$5,),L143))</f>
        <v>23.16</v>
      </c>
      <c r="O143" s="33">
        <f t="shared" ca="1" si="21"/>
        <v>2.849740932642487</v>
      </c>
      <c r="P143" s="33">
        <f ca="1">IF(L143="","",INDEX(OFFSET(Arb!$X$2,,,Arb!$AJ$5,),L143)/N143)</f>
        <v>3.4974093264248705</v>
      </c>
      <c r="Q143" s="33">
        <f ca="1">IF(L143="","",(INDEX(OFFSET(Arb!$U$2,,,Arb!$AJ$5,),L143)+INDEX(OFFSET(Arb!$V$2,,,Arb!$AJ$5,),L143))/N143)</f>
        <v>3.8860103626943006</v>
      </c>
      <c r="R143" s="33">
        <f t="shared" ca="1" si="22"/>
        <v>3.1660050849575403</v>
      </c>
      <c r="S143" s="21">
        <f t="shared" ca="1" si="23"/>
        <v>48.556460231352311</v>
      </c>
      <c r="T143" s="74">
        <f ca="1">IF(L143="","",DATE(INDEX(OFFSET(Arb!$C$2,,,Arb!$AJ$5,),L143),INDEX(OFFSET(Arb!$B$2,,,Arb!$AJ$5,),L143),INDEX(OFFSET(Arb!$A$2,,,Arb!$AJ$5,),L143))+ROW()*0.001)</f>
        <v>43811.142999999996</v>
      </c>
      <c r="U143" s="11">
        <v>142</v>
      </c>
      <c r="V143" s="11">
        <v>3447</v>
      </c>
      <c r="W143" s="433">
        <f ca="1">IF(V143="",164,INDEX(OFFSET(Arb!$I$2,,,Arb!$AJ$5,),V143))</f>
        <v>181</v>
      </c>
      <c r="X143" s="34">
        <f ca="1">IF(V143="",240,INDEX(OFFSET(Arb!$H$2,,,Arb!$AJ$5,),V143))</f>
        <v>68.349999999999994</v>
      </c>
      <c r="Y143" s="33">
        <f t="shared" ca="1" si="24"/>
        <v>2.6481346013167522</v>
      </c>
      <c r="Z143" s="33">
        <f ca="1">IF(V143="","",INDEX(OFFSET(Arb!$X$2,,,Arb!$AJ$5,),V143)/X143)</f>
        <v>2.8675932699341629</v>
      </c>
      <c r="AA143" s="33">
        <f ca="1">IF(V143="","",(INDEX(OFFSET(Arb!$U$2,,,Arb!$AJ$5,),V143)+INDEX(OFFSET(Arb!$V$2,,,Arb!$AJ$5,),V143))/X143)</f>
        <v>3.1894659839063646</v>
      </c>
      <c r="AB143" s="33">
        <f t="shared" ca="1" si="25"/>
        <v>7.2673639004196833</v>
      </c>
      <c r="AC143" s="21">
        <f t="shared" ca="1" si="26"/>
        <v>59.856779701767664</v>
      </c>
      <c r="AD143" s="74">
        <f ca="1">IF(V143="","",DATE(INDEX(OFFSET(Arb!$C$2,,,Arb!$AJ$5,),V143),INDEX(OFFSET(Arb!$B$2,,,Arb!$AJ$5,),V143),INDEX(OFFSET(Arb!$A$2,,,Arb!$AJ$5,),V143))+ROW()*0.001)</f>
        <v>44177.142999999996</v>
      </c>
    </row>
    <row r="144" spans="1:30" x14ac:dyDescent="0.25">
      <c r="A144" s="11">
        <v>143</v>
      </c>
      <c r="B144" s="11">
        <v>1819</v>
      </c>
      <c r="C144" s="433">
        <f ca="1">IF(B144="",16,INDEX(OFFSET(Arb!$I$2,,,Arb!$AJ$5,),B144))</f>
        <v>11</v>
      </c>
      <c r="D144" s="34">
        <f ca="1">IF(B144="",10,INDEX(OFFSET(Arb!$H$2,,,Arb!$AJ$5,),B144))</f>
        <v>4.1900000000000004</v>
      </c>
      <c r="E144" s="33">
        <f t="shared" ca="1" si="18"/>
        <v>2.6252983293556085</v>
      </c>
      <c r="F144" s="33">
        <f ca="1">IF(B144="","",INDEX(OFFSET(Arb!$X$2,,,Arb!$AJ$5,),B144)/D144)</f>
        <v>3.1026252983293552</v>
      </c>
      <c r="G144" s="33">
        <f ca="1">IF(B144="","",(INDEX(OFFSET(Arb!$U$2,,,Arb!$AJ$5,),B144)+INDEX(OFFSET(Arb!$V$2,,,Arb!$AJ$5,),B144))/D144)</f>
        <v>3.5799522673031023</v>
      </c>
      <c r="H144" s="33">
        <f t="shared" ca="1" si="19"/>
        <v>1.0384154805014087</v>
      </c>
      <c r="I144" s="21">
        <f t="shared" ca="1" si="20"/>
        <v>45.549205388541807</v>
      </c>
      <c r="J144" s="74">
        <f ca="1">IF(B144="","",DATE(INDEX(OFFSET(Arb!$C$2,,,Arb!$AJ$5,),B144),INDEX(OFFSET(Arb!$B$2,,,Arb!$AJ$5,),B144),INDEX(OFFSET(Arb!$A$2,,,Arb!$AJ$5,),B144))+ROW()*0.001)</f>
        <v>44168.144</v>
      </c>
      <c r="K144" s="11">
        <v>143</v>
      </c>
      <c r="L144" s="11">
        <v>2367</v>
      </c>
      <c r="M144" s="433">
        <f ca="1">IF(L144="",64,INDEX(OFFSET(Arb!$I$2,,,Arb!$AJ$5,),L144))</f>
        <v>65</v>
      </c>
      <c r="N144" s="34">
        <f ca="1">IF(L144="",60,INDEX(OFFSET(Arb!$H$2,,,Arb!$AJ$5,),L144))</f>
        <v>23.19</v>
      </c>
      <c r="O144" s="33">
        <f t="shared" ca="1" si="21"/>
        <v>2.8029322984044844</v>
      </c>
      <c r="P144" s="33">
        <f ca="1">IF(L144="","",INDEX(OFFSET(Arb!$X$2,,,Arb!$AJ$5,),L144)/N144)</f>
        <v>3.4928848641655885</v>
      </c>
      <c r="Q144" s="33">
        <f ca="1">IF(L144="","",(INDEX(OFFSET(Arb!$U$2,,,Arb!$AJ$5,),L144)+INDEX(OFFSET(Arb!$V$2,,,Arb!$AJ$5,),L144))/N144)</f>
        <v>3.8378611470461403</v>
      </c>
      <c r="R144" s="33">
        <f t="shared" ca="1" si="22"/>
        <v>3.2217950953844041</v>
      </c>
      <c r="S144" s="21">
        <f t="shared" ca="1" si="23"/>
        <v>47.715635367449678</v>
      </c>
      <c r="T144" s="74">
        <f ca="1">IF(L144="","",DATE(INDEX(OFFSET(Arb!$C$2,,,Arb!$AJ$5,),L144),INDEX(OFFSET(Arb!$B$2,,,Arb!$AJ$5,),L144),INDEX(OFFSET(Arb!$A$2,,,Arb!$AJ$5,),L144))+ROW()*0.001)</f>
        <v>44114.144</v>
      </c>
      <c r="U144" s="11">
        <v>143</v>
      </c>
      <c r="V144" s="11">
        <v>2868</v>
      </c>
      <c r="W144" s="433">
        <f ca="1">IF(V144="",164,INDEX(OFFSET(Arb!$I$2,,,Arb!$AJ$5,),V144))</f>
        <v>157</v>
      </c>
      <c r="X144" s="34">
        <f ca="1">IF(V144="",240,INDEX(OFFSET(Arb!$H$2,,,Arb!$AJ$5,),V144))</f>
        <v>68.37</v>
      </c>
      <c r="Y144" s="33">
        <f t="shared" ca="1" si="24"/>
        <v>2.2963287991809271</v>
      </c>
      <c r="Z144" s="33">
        <f ca="1">IF(V144="","",INDEX(OFFSET(Arb!$X$2,,,Arb!$AJ$5,),V144)/X144)</f>
        <v>2.8375018282872602</v>
      </c>
      <c r="AA144" s="33">
        <f ca="1">IF(V144="","",(INDEX(OFFSET(Arb!$U$2,,,Arb!$AJ$5,),V144)+INDEX(OFFSET(Arb!$V$2,,,Arb!$AJ$5,),V144))/X144)</f>
        <v>3.2177855784700888</v>
      </c>
      <c r="AB144" s="33">
        <f t="shared" ca="1" si="25"/>
        <v>8.3824666340879475</v>
      </c>
      <c r="AC144" s="21">
        <f t="shared" ca="1" si="26"/>
        <v>51.894152281028454</v>
      </c>
      <c r="AD144" s="74">
        <f ca="1">IF(V144="","",DATE(INDEX(OFFSET(Arb!$C$2,,,Arb!$AJ$5,),V144),INDEX(OFFSET(Arb!$B$2,,,Arb!$AJ$5,),V144),INDEX(OFFSET(Arb!$A$2,,,Arb!$AJ$5,),V144))+ROW()*0.001)</f>
        <v>43911.144</v>
      </c>
    </row>
    <row r="145" spans="1:30" x14ac:dyDescent="0.25">
      <c r="A145" s="11">
        <v>144</v>
      </c>
      <c r="B145" s="11">
        <v>848</v>
      </c>
      <c r="C145" s="433">
        <f ca="1">IF(B145="",16,INDEX(OFFSET(Arb!$I$2,,,Arb!$AJ$5,),B145))</f>
        <v>12</v>
      </c>
      <c r="D145" s="34">
        <f ca="1">IF(B145="",10,INDEX(OFFSET(Arb!$H$2,,,Arb!$AJ$5,),B145))</f>
        <v>4.1900000000000004</v>
      </c>
      <c r="E145" s="33">
        <f t="shared" ca="1" si="18"/>
        <v>2.8639618138424821</v>
      </c>
      <c r="F145" s="33">
        <f ca="1">IF(B145="","",INDEX(OFFSET(Arb!$X$2,,,Arb!$AJ$5,),B145)/D145)</f>
        <v>2.8639618138424821</v>
      </c>
      <c r="G145" s="33">
        <f ca="1">IF(B145="","",(INDEX(OFFSET(Arb!$U$2,,,Arb!$AJ$5,),B145)+INDEX(OFFSET(Arb!$V$2,,,Arb!$AJ$5,),B145))/D145)</f>
        <v>3.3412887828162288</v>
      </c>
      <c r="H145" s="33">
        <f t="shared" ca="1" si="19"/>
        <v>0.95188085712629134</v>
      </c>
      <c r="I145" s="21">
        <f t="shared" ca="1" si="20"/>
        <v>49.690042242045614</v>
      </c>
      <c r="J145" s="74">
        <f ca="1">IF(B145="","",DATE(INDEX(OFFSET(Arb!$C$2,,,Arb!$AJ$5,),B145),INDEX(OFFSET(Arb!$B$2,,,Arb!$AJ$5,),B145),INDEX(OFFSET(Arb!$A$2,,,Arb!$AJ$5,),B145))+ROW()*0.001)</f>
        <v>43815.144999999997</v>
      </c>
      <c r="K145" s="11">
        <v>144</v>
      </c>
      <c r="L145" s="11">
        <v>2165</v>
      </c>
      <c r="M145" s="433">
        <f ca="1">IF(L145="",64,INDEX(OFFSET(Arb!$I$2,,,Arb!$AJ$5,),L145))</f>
        <v>51</v>
      </c>
      <c r="N145" s="34">
        <f ca="1">IF(L145="",60,INDEX(OFFSET(Arb!$H$2,,,Arb!$AJ$5,),L145))</f>
        <v>23.19</v>
      </c>
      <c r="O145" s="33">
        <f t="shared" ca="1" si="21"/>
        <v>2.1992238033635187</v>
      </c>
      <c r="P145" s="33">
        <f ca="1">IF(L145="","",INDEX(OFFSET(Arb!$X$2,,,Arb!$AJ$5,),L145)/N145)</f>
        <v>2.8029322984044844</v>
      </c>
      <c r="Q145" s="33">
        <f ca="1">IF(L145="","",(INDEX(OFFSET(Arb!$U$2,,,Arb!$AJ$5,),L145)+INDEX(OFFSET(Arb!$V$2,,,Arb!$AJ$5,),L145))/N145)</f>
        <v>3.2772746873652436</v>
      </c>
      <c r="R145" s="33">
        <f t="shared" ca="1" si="22"/>
        <v>4.1062094352938487</v>
      </c>
      <c r="S145" s="21">
        <f t="shared" ca="1" si="23"/>
        <v>37.438421595998975</v>
      </c>
      <c r="T145" s="74">
        <f ca="1">IF(L145="","",DATE(INDEX(OFFSET(Arb!$C$2,,,Arb!$AJ$5,),L145),INDEX(OFFSET(Arb!$B$2,,,Arb!$AJ$5,),L145),INDEX(OFFSET(Arb!$A$2,,,Arb!$AJ$5,),L145))+ROW()*0.001)</f>
        <v>43823.144999999997</v>
      </c>
      <c r="U145" s="11">
        <v>144</v>
      </c>
      <c r="V145" s="11">
        <v>3124</v>
      </c>
      <c r="W145" s="433">
        <f ca="1">IF(V145="",164,INDEX(OFFSET(Arb!$I$2,,,Arb!$AJ$5,),V145))</f>
        <v>163</v>
      </c>
      <c r="X145" s="34">
        <f ca="1">IF(V145="",240,INDEX(OFFSET(Arb!$H$2,,,Arb!$AJ$5,),V145))</f>
        <v>68.38</v>
      </c>
      <c r="Y145" s="33">
        <f t="shared" ca="1" si="24"/>
        <v>2.3837379350687335</v>
      </c>
      <c r="Z145" s="33">
        <f ca="1">IF(V145="","",INDEX(OFFSET(Arb!$X$2,,,Arb!$AJ$5,),V145)/X145)</f>
        <v>2.9394559812810765</v>
      </c>
      <c r="AA145" s="33">
        <f ca="1">IF(V145="","",(INDEX(OFFSET(Arb!$U$2,,,Arb!$AJ$5,),V145)+INDEX(OFFSET(Arb!$V$2,,,Arb!$AJ$5,),V145))/X145)</f>
        <v>3.3343082772740571</v>
      </c>
      <c r="AB145" s="33">
        <f t="shared" ca="1" si="25"/>
        <v>8.0759172367814891</v>
      </c>
      <c r="AC145" s="21">
        <f t="shared" ca="1" si="26"/>
        <v>53.863974486861103</v>
      </c>
      <c r="AD145" s="74">
        <f ca="1">IF(V145="","",DATE(INDEX(OFFSET(Arb!$C$2,,,Arb!$AJ$5,),V145),INDEX(OFFSET(Arb!$B$2,,,Arb!$AJ$5,),V145),INDEX(OFFSET(Arb!$A$2,,,Arb!$AJ$5,),V145))+ROW()*0.001)</f>
        <v>44014.144999999997</v>
      </c>
    </row>
    <row r="146" spans="1:30" x14ac:dyDescent="0.25">
      <c r="A146" s="11">
        <v>145</v>
      </c>
      <c r="B146" s="11">
        <v>1727</v>
      </c>
      <c r="C146" s="433">
        <f ca="1">IF(B146="",16,INDEX(OFFSET(Arb!$I$2,,,Arb!$AJ$5,),B146))</f>
        <v>15</v>
      </c>
      <c r="D146" s="34">
        <f ca="1">IF(B146="",10,INDEX(OFFSET(Arb!$H$2,,,Arb!$AJ$5,),B146))</f>
        <v>4.2</v>
      </c>
      <c r="E146" s="33">
        <f t="shared" ca="1" si="18"/>
        <v>3.5714285714285712</v>
      </c>
      <c r="F146" s="33">
        <f ca="1">IF(B146="","",INDEX(OFFSET(Arb!$X$2,,,Arb!$AJ$5,),B146)/D146)</f>
        <v>4.0476190476190474</v>
      </c>
      <c r="G146" s="33">
        <f ca="1">IF(B146="","",(INDEX(OFFSET(Arb!$U$2,,,Arb!$AJ$5,),B146)+INDEX(OFFSET(Arb!$V$2,,,Arb!$AJ$5,),B146))/D146)</f>
        <v>4.2857142857142856</v>
      </c>
      <c r="H146" s="33">
        <f t="shared" ca="1" si="19"/>
        <v>0.76459690307766737</v>
      </c>
      <c r="I146" s="21">
        <f t="shared" ca="1" si="20"/>
        <v>61.861354407284843</v>
      </c>
      <c r="J146" s="74">
        <f ca="1">IF(B146="","",DATE(INDEX(OFFSET(Arb!$C$2,,,Arb!$AJ$5,),B146),INDEX(OFFSET(Arb!$B$2,,,Arb!$AJ$5,),B146),INDEX(OFFSET(Arb!$A$2,,,Arb!$AJ$5,),B146))+ROW()*0.001)</f>
        <v>44107.146000000001</v>
      </c>
      <c r="K146" s="11">
        <v>145</v>
      </c>
      <c r="L146" s="11">
        <v>2235</v>
      </c>
      <c r="M146" s="433">
        <f ca="1">IF(L146="",64,INDEX(OFFSET(Arb!$I$2,,,Arb!$AJ$5,),L146))</f>
        <v>68</v>
      </c>
      <c r="N146" s="34">
        <f ca="1">IF(L146="",60,INDEX(OFFSET(Arb!$H$2,,,Arb!$AJ$5,),L146))</f>
        <v>23.25</v>
      </c>
      <c r="O146" s="33">
        <f t="shared" ca="1" si="21"/>
        <v>2.924731182795699</v>
      </c>
      <c r="P146" s="33">
        <f ca="1">IF(L146="","",INDEX(OFFSET(Arb!$X$2,,,Arb!$AJ$5,),L146)/N146)</f>
        <v>3.5268817204301075</v>
      </c>
      <c r="Q146" s="33">
        <f ca="1">IF(L146="","",(INDEX(OFFSET(Arb!$U$2,,,Arb!$AJ$5,),L146)+INDEX(OFFSET(Arb!$V$2,,,Arb!$AJ$5,),L146))/N146)</f>
        <v>3.870967741935484</v>
      </c>
      <c r="R146" s="33">
        <f t="shared" ca="1" si="22"/>
        <v>3.0932150500874243</v>
      </c>
      <c r="S146" s="21">
        <f t="shared" ca="1" si="23"/>
        <v>49.699098675876122</v>
      </c>
      <c r="T146" s="74">
        <f ca="1">IF(L146="","",DATE(INDEX(OFFSET(Arb!$C$2,,,Arb!$AJ$5,),L146),INDEX(OFFSET(Arb!$B$2,,,Arb!$AJ$5,),L146),INDEX(OFFSET(Arb!$A$2,,,Arb!$AJ$5,),L146))+ROW()*0.001)</f>
        <v>43890.146000000001</v>
      </c>
      <c r="U146" s="11">
        <v>145</v>
      </c>
      <c r="V146" s="11">
        <v>3309</v>
      </c>
      <c r="W146" s="433">
        <f ca="1">IF(V146="",164,INDEX(OFFSET(Arb!$I$2,,,Arb!$AJ$5,),V146))</f>
        <v>170</v>
      </c>
      <c r="X146" s="34">
        <f ca="1">IF(V146="",240,INDEX(OFFSET(Arb!$H$2,,,Arb!$AJ$5,),V146))</f>
        <v>68.41</v>
      </c>
      <c r="Y146" s="33">
        <f t="shared" ca="1" si="24"/>
        <v>2.4850168104078354</v>
      </c>
      <c r="Z146" s="33">
        <f ca="1">IF(V146="","",INDEX(OFFSET(Arb!$X$2,,,Arb!$AJ$5,),V146)/X146)</f>
        <v>3.1281976319251572</v>
      </c>
      <c r="AA146" s="33">
        <f ca="1">IF(V146="","",(INDEX(OFFSET(Arb!$U$2,,,Arb!$AJ$5,),V146)+INDEX(OFFSET(Arb!$V$2,,,Arb!$AJ$5,),V146))/X146)</f>
        <v>3.4497880426838181</v>
      </c>
      <c r="AB146" s="33">
        <f t="shared" ca="1" si="25"/>
        <v>7.7491556160651047</v>
      </c>
      <c r="AC146" s="21">
        <f t="shared" ca="1" si="26"/>
        <v>56.135277384052124</v>
      </c>
      <c r="AD146" s="74">
        <f ca="1">IF(V146="","",DATE(INDEX(OFFSET(Arb!$C$2,,,Arb!$AJ$5,),V146),INDEX(OFFSET(Arb!$B$2,,,Arb!$AJ$5,),V146),INDEX(OFFSET(Arb!$A$2,,,Arb!$AJ$5,),V146))+ROW()*0.001)</f>
        <v>44092.146000000001</v>
      </c>
    </row>
    <row r="147" spans="1:30" x14ac:dyDescent="0.25">
      <c r="A147" s="11">
        <v>146</v>
      </c>
      <c r="B147" s="11">
        <v>523</v>
      </c>
      <c r="C147" s="433">
        <f ca="1">IF(B147="",16,INDEX(OFFSET(Arb!$I$2,,,Arb!$AJ$5,),B147))</f>
        <v>10</v>
      </c>
      <c r="D147" s="34">
        <f ca="1">IF(B147="",10,INDEX(OFFSET(Arb!$H$2,,,Arb!$AJ$5,),B147))</f>
        <v>4.2</v>
      </c>
      <c r="E147" s="33">
        <f t="shared" ca="1" si="18"/>
        <v>2.3809523809523809</v>
      </c>
      <c r="F147" s="33">
        <f ca="1">IF(B147="","",INDEX(OFFSET(Arb!$X$2,,,Arb!$AJ$5,),B147)/D147)</f>
        <v>3.8095238095238093</v>
      </c>
      <c r="G147" s="33">
        <f ca="1">IF(B147="","",(INDEX(OFFSET(Arb!$U$2,,,Arb!$AJ$5,),B147)+INDEX(OFFSET(Arb!$V$2,,,Arb!$AJ$5,),B147))/D147)</f>
        <v>4.5238095238095237</v>
      </c>
      <c r="H147" s="33">
        <f t="shared" ca="1" si="19"/>
        <v>1.1468953546165011</v>
      </c>
      <c r="I147" s="21">
        <f t="shared" ca="1" si="20"/>
        <v>41.240902938189897</v>
      </c>
      <c r="J147" s="74">
        <f ca="1">IF(B147="","",DATE(INDEX(OFFSET(Arb!$C$2,,,Arb!$AJ$5,),B147),INDEX(OFFSET(Arb!$B$2,,,Arb!$AJ$5,),B147),INDEX(OFFSET(Arb!$A$2,,,Arb!$AJ$5,),B147))+ROW()*0.001)</f>
        <v>43795.146999999997</v>
      </c>
      <c r="K147" s="11">
        <v>146</v>
      </c>
      <c r="L147" s="11">
        <v>2252</v>
      </c>
      <c r="M147" s="433">
        <f ca="1">IF(L147="",64,INDEX(OFFSET(Arb!$I$2,,,Arb!$AJ$5,),L147))</f>
        <v>63</v>
      </c>
      <c r="N147" s="34">
        <f ca="1">IF(L147="",60,INDEX(OFFSET(Arb!$H$2,,,Arb!$AJ$5,),L147))</f>
        <v>23.3</v>
      </c>
      <c r="O147" s="33">
        <f t="shared" ca="1" si="21"/>
        <v>2.703862660944206</v>
      </c>
      <c r="P147" s="33">
        <f ca="1">IF(L147="","",INDEX(OFFSET(Arb!$X$2,,,Arb!$AJ$5,),L147)/N147)</f>
        <v>3.3047210300429182</v>
      </c>
      <c r="Q147" s="33">
        <f ca="1">IF(L147="","",(INDEX(OFFSET(Arb!$U$2,,,Arb!$AJ$5,),L147)+INDEX(OFFSET(Arb!$V$2,,,Arb!$AJ$5,),L147))/N147)</f>
        <v>3.6909871244635193</v>
      </c>
      <c r="R147" s="33">
        <f t="shared" ca="1" si="22"/>
        <v>3.3509235237646129</v>
      </c>
      <c r="S147" s="21">
        <f t="shared" ca="1" si="23"/>
        <v>45.876904951650822</v>
      </c>
      <c r="T147" s="74">
        <f ca="1">IF(L147="","",DATE(INDEX(OFFSET(Arb!$C$2,,,Arb!$AJ$5,),L147),INDEX(OFFSET(Arb!$B$2,,,Arb!$AJ$5,),L147),INDEX(OFFSET(Arb!$A$2,,,Arb!$AJ$5,),L147))+ROW()*0.001)</f>
        <v>43901.146999999997</v>
      </c>
      <c r="U147" s="11">
        <v>146</v>
      </c>
      <c r="V147" s="11">
        <v>2630</v>
      </c>
      <c r="W147" s="433">
        <f ca="1">IF(V147="",164,INDEX(OFFSET(Arb!$I$2,,,Arb!$AJ$5,),V147))</f>
        <v>161</v>
      </c>
      <c r="X147" s="34">
        <f ca="1">IF(V147="",240,INDEX(OFFSET(Arb!$H$2,,,Arb!$AJ$5,),V147))</f>
        <v>68.42</v>
      </c>
      <c r="Y147" s="33">
        <f t="shared" ca="1" si="24"/>
        <v>2.3531131248173049</v>
      </c>
      <c r="Z147" s="33">
        <f ca="1">IF(V147="","",INDEX(OFFSET(Arb!$X$2,,,Arb!$AJ$5,),V147)/X147)</f>
        <v>2.8061970184156677</v>
      </c>
      <c r="AA147" s="33">
        <f ca="1">IF(V147="","",(INDEX(OFFSET(Arb!$U$2,,,Arb!$AJ$5,),V147)+INDEX(OFFSET(Arb!$V$2,,,Arb!$AJ$5,),V147))/X147)</f>
        <v>3.215434083601286</v>
      </c>
      <c r="AB147" s="33">
        <f t="shared" ca="1" si="25"/>
        <v>8.1843716569754932</v>
      </c>
      <c r="AC147" s="21">
        <f t="shared" ca="1" si="26"/>
        <v>53.150201167764799</v>
      </c>
      <c r="AD147" s="74">
        <f ca="1">IF(V147="","",DATE(INDEX(OFFSET(Arb!$C$2,,,Arb!$AJ$5,),V147),INDEX(OFFSET(Arb!$B$2,,,Arb!$AJ$5,),V147),INDEX(OFFSET(Arb!$A$2,,,Arb!$AJ$5,),V147))+ROW()*0.001)</f>
        <v>43815.146999999997</v>
      </c>
    </row>
    <row r="148" spans="1:30" x14ac:dyDescent="0.25">
      <c r="A148" s="11">
        <v>147</v>
      </c>
      <c r="B148" s="11">
        <v>480</v>
      </c>
      <c r="C148" s="433">
        <f ca="1">IF(B148="",16,INDEX(OFFSET(Arb!$I$2,,,Arb!$AJ$5,),B148))</f>
        <v>10</v>
      </c>
      <c r="D148" s="34">
        <f ca="1">IF(B148="",10,INDEX(OFFSET(Arb!$H$2,,,Arb!$AJ$5,),B148))</f>
        <v>4.2</v>
      </c>
      <c r="E148" s="33">
        <f t="shared" ca="1" si="18"/>
        <v>2.3809523809523809</v>
      </c>
      <c r="F148" s="33">
        <f ca="1">IF(B148="","",INDEX(OFFSET(Arb!$X$2,,,Arb!$AJ$5,),B148)/D148)</f>
        <v>3.333333333333333</v>
      </c>
      <c r="G148" s="33">
        <f ca="1">IF(B148="","",(INDEX(OFFSET(Arb!$U$2,,,Arb!$AJ$5,),B148)+INDEX(OFFSET(Arb!$V$2,,,Arb!$AJ$5,),B148))/D148)</f>
        <v>3.8095238095238093</v>
      </c>
      <c r="H148" s="33">
        <f t="shared" ca="1" si="19"/>
        <v>1.1468953546165011</v>
      </c>
      <c r="I148" s="21">
        <f t="shared" ca="1" si="20"/>
        <v>41.240902938189897</v>
      </c>
      <c r="J148" s="74">
        <f ca="1">IF(B148="","",DATE(INDEX(OFFSET(Arb!$C$2,,,Arb!$AJ$5,),B148),INDEX(OFFSET(Arb!$B$2,,,Arb!$AJ$5,),B148),INDEX(OFFSET(Arb!$A$2,,,Arb!$AJ$5,),B148))+ROW()*0.001)</f>
        <v>43786.148000000001</v>
      </c>
      <c r="K148" s="11">
        <v>147</v>
      </c>
      <c r="L148" s="11">
        <v>2116</v>
      </c>
      <c r="M148" s="433">
        <f ca="1">IF(L148="",64,INDEX(OFFSET(Arb!$I$2,,,Arb!$AJ$5,),L148))</f>
        <v>48</v>
      </c>
      <c r="N148" s="34">
        <f ca="1">IF(L148="",60,INDEX(OFFSET(Arb!$H$2,,,Arb!$AJ$5,),L148))</f>
        <v>23.3</v>
      </c>
      <c r="O148" s="33">
        <f t="shared" ca="1" si="21"/>
        <v>2.0600858369098711</v>
      </c>
      <c r="P148" s="33">
        <f ca="1">IF(L148="","",INDEX(OFFSET(Arb!$X$2,,,Arb!$AJ$5,),L148)/N148)</f>
        <v>2.9184549356223175</v>
      </c>
      <c r="Q148" s="33">
        <f ca="1">IF(L148="","",(INDEX(OFFSET(Arb!$U$2,,,Arb!$AJ$5,),L148)+INDEX(OFFSET(Arb!$V$2,,,Arb!$AJ$5,),L148))/N148)</f>
        <v>3.5193133047210301</v>
      </c>
      <c r="R148" s="33">
        <f t="shared" ca="1" si="22"/>
        <v>4.3980871249410542</v>
      </c>
      <c r="S148" s="21">
        <f t="shared" ca="1" si="23"/>
        <v>34.953832344114915</v>
      </c>
      <c r="T148" s="74">
        <f ca="1">IF(L148="","",DATE(INDEX(OFFSET(Arb!$C$2,,,Arb!$AJ$5,),L148),INDEX(OFFSET(Arb!$B$2,,,Arb!$AJ$5,),L148),INDEX(OFFSET(Arb!$A$2,,,Arb!$AJ$5,),L148))+ROW()*0.001)</f>
        <v>43811.148000000001</v>
      </c>
      <c r="U148" s="11">
        <v>147</v>
      </c>
      <c r="V148" s="11">
        <v>2957</v>
      </c>
      <c r="W148" s="433">
        <f ca="1">IF(V148="",164,INDEX(OFFSET(Arb!$I$2,,,Arb!$AJ$5,),V148))</f>
        <v>168</v>
      </c>
      <c r="X148" s="34">
        <f ca="1">IF(V148="",240,INDEX(OFFSET(Arb!$H$2,,,Arb!$AJ$5,),V148))</f>
        <v>68.44</v>
      </c>
      <c r="Y148" s="33">
        <f t="shared" ca="1" si="24"/>
        <v>2.4547048509643483</v>
      </c>
      <c r="Z148" s="33">
        <f ca="1">IF(V148="","",INDEX(OFFSET(Arb!$X$2,,,Arb!$AJ$5,),V148)/X148)</f>
        <v>2.9368790181180597</v>
      </c>
      <c r="AA148" s="33">
        <f ca="1">IF(V148="","",(INDEX(OFFSET(Arb!$U$2,,,Arb!$AJ$5,),V148)+INDEX(OFFSET(Arb!$V$2,,,Arb!$AJ$5,),V148))/X148)</f>
        <v>3.1560490940970194</v>
      </c>
      <c r="AB148" s="33">
        <f t="shared" ca="1" si="25"/>
        <v>7.8472541746627673</v>
      </c>
      <c r="AC148" s="21">
        <f t="shared" ca="1" si="26"/>
        <v>55.433530037109314</v>
      </c>
      <c r="AD148" s="74">
        <f ca="1">IF(V148="","",DATE(INDEX(OFFSET(Arb!$C$2,,,Arb!$AJ$5,),V148),INDEX(OFFSET(Arb!$B$2,,,Arb!$AJ$5,),V148),INDEX(OFFSET(Arb!$A$2,,,Arb!$AJ$5,),V148))+ROW()*0.001)</f>
        <v>43950.148000000001</v>
      </c>
    </row>
    <row r="149" spans="1:30" x14ac:dyDescent="0.25">
      <c r="A149" s="11">
        <v>148</v>
      </c>
      <c r="B149" s="11">
        <v>1488</v>
      </c>
      <c r="C149" s="433">
        <f ca="1">IF(B149="",16,INDEX(OFFSET(Arb!$I$2,,,Arb!$AJ$5,),B149))</f>
        <v>10</v>
      </c>
      <c r="D149" s="34">
        <f ca="1">IF(B149="",10,INDEX(OFFSET(Arb!$H$2,,,Arb!$AJ$5,),B149))</f>
        <v>4.21</v>
      </c>
      <c r="E149" s="33">
        <f t="shared" ca="1" si="18"/>
        <v>2.3752969121140142</v>
      </c>
      <c r="F149" s="33">
        <f ca="1">IF(B149="","",INDEX(OFFSET(Arb!$X$2,,,Arb!$AJ$5,),B149)/D149)</f>
        <v>3.0878859857482186</v>
      </c>
      <c r="G149" s="33">
        <f ca="1">IF(B149="","",(INDEX(OFFSET(Arb!$U$2,,,Arb!$AJ$5,),B149)+INDEX(OFFSET(Arb!$V$2,,,Arb!$AJ$5,),B149))/D149)</f>
        <v>4.0380047505938244</v>
      </c>
      <c r="H149" s="33">
        <f t="shared" ca="1" si="19"/>
        <v>1.1515414176753496</v>
      </c>
      <c r="I149" s="21">
        <f t="shared" ca="1" si="20"/>
        <v>41.074510455285122</v>
      </c>
      <c r="J149" s="74">
        <f ca="1">IF(B149="","",DATE(INDEX(OFFSET(Arb!$C$2,,,Arb!$AJ$5,),B149),INDEX(OFFSET(Arb!$B$2,,,Arb!$AJ$5,),B149),INDEX(OFFSET(Arb!$A$2,,,Arb!$AJ$5,),B149))+ROW()*0.001)</f>
        <v>43978.148999999998</v>
      </c>
      <c r="K149" s="11">
        <v>148</v>
      </c>
      <c r="L149" s="11">
        <v>2379</v>
      </c>
      <c r="M149" s="433">
        <f ca="1">IF(L149="",64,INDEX(OFFSET(Arb!$I$2,,,Arb!$AJ$5,),L149))</f>
        <v>54</v>
      </c>
      <c r="N149" s="34">
        <f ca="1">IF(L149="",60,INDEX(OFFSET(Arb!$H$2,,,Arb!$AJ$5,),L149))</f>
        <v>23.32</v>
      </c>
      <c r="O149" s="33">
        <f t="shared" ca="1" si="21"/>
        <v>2.3156089193825045</v>
      </c>
      <c r="P149" s="33">
        <f ca="1">IF(L149="","",INDEX(OFFSET(Arb!$X$2,,,Arb!$AJ$5,),L149)/N149)</f>
        <v>2.7015437392795882</v>
      </c>
      <c r="Q149" s="33">
        <f ca="1">IF(L149="","",(INDEX(OFFSET(Arb!$U$2,,,Arb!$AJ$5,),L149)+INDEX(OFFSET(Arb!$V$2,,,Arb!$AJ$5,),L149))/N149)</f>
        <v>3.0874785591766725</v>
      </c>
      <c r="R149" s="33">
        <f t="shared" ca="1" si="22"/>
        <v>3.9151172110323795</v>
      </c>
      <c r="S149" s="21">
        <f t="shared" ca="1" si="23"/>
        <v>39.265746518853987</v>
      </c>
      <c r="T149" s="74">
        <f ca="1">IF(L149="","",DATE(INDEX(OFFSET(Arb!$C$2,,,Arb!$AJ$5,),L149),INDEX(OFFSET(Arb!$B$2,,,Arb!$AJ$5,),L149),INDEX(OFFSET(Arb!$A$2,,,Arb!$AJ$5,),L149))+ROW()*0.001)</f>
        <v>44114.148999999998</v>
      </c>
      <c r="U149" s="11">
        <v>148</v>
      </c>
      <c r="V149" s="11">
        <v>2692</v>
      </c>
      <c r="W149" s="433">
        <f ca="1">IF(V149="",164,INDEX(OFFSET(Arb!$I$2,,,Arb!$AJ$5,),V149))</f>
        <v>151</v>
      </c>
      <c r="X149" s="34">
        <f ca="1">IF(V149="",240,INDEX(OFFSET(Arb!$H$2,,,Arb!$AJ$5,),V149))</f>
        <v>68.58</v>
      </c>
      <c r="Y149" s="33">
        <f t="shared" ca="1" si="24"/>
        <v>2.2018081073199185</v>
      </c>
      <c r="Z149" s="33">
        <f ca="1">IF(V149="","",INDEX(OFFSET(Arb!$X$2,,,Arb!$AJ$5,),V149)/X149)</f>
        <v>2.7850685331000293</v>
      </c>
      <c r="AA149" s="33">
        <f ca="1">IF(V149="","",(INDEX(OFFSET(Arb!$U$2,,,Arb!$AJ$5,),V149)+INDEX(OFFSET(Arb!$V$2,,,Arb!$AJ$5,),V149))/X149)</f>
        <v>3.0766987459900847</v>
      </c>
      <c r="AB149" s="33">
        <f t="shared" ca="1" si="25"/>
        <v>8.76110267479039</v>
      </c>
      <c r="AC149" s="21">
        <f t="shared" ca="1" si="26"/>
        <v>49.651398476551627</v>
      </c>
      <c r="AD149" s="74">
        <f ca="1">IF(V149="","",DATE(INDEX(OFFSET(Arb!$C$2,,,Arb!$AJ$5,),V149),INDEX(OFFSET(Arb!$B$2,,,Arb!$AJ$5,),V149),INDEX(OFFSET(Arb!$A$2,,,Arb!$AJ$5,),V149))+ROW()*0.001)</f>
        <v>43839.148999999998</v>
      </c>
    </row>
    <row r="150" spans="1:30" x14ac:dyDescent="0.25">
      <c r="A150" s="11">
        <v>149</v>
      </c>
      <c r="B150" s="11">
        <v>1383</v>
      </c>
      <c r="C150" s="433">
        <f ca="1">IF(B150="",16,INDEX(OFFSET(Arb!$I$2,,,Arb!$AJ$5,),B150))</f>
        <v>10</v>
      </c>
      <c r="D150" s="34">
        <f ca="1">IF(B150="",10,INDEX(OFFSET(Arb!$H$2,,,Arb!$AJ$5,),B150))</f>
        <v>4.21</v>
      </c>
      <c r="E150" s="33">
        <f t="shared" ca="1" si="18"/>
        <v>2.3752969121140142</v>
      </c>
      <c r="F150" s="33">
        <f ca="1">IF(B150="","",INDEX(OFFSET(Arb!$X$2,,,Arb!$AJ$5,),B150)/D150)</f>
        <v>3.0878859857482186</v>
      </c>
      <c r="G150" s="33">
        <f ca="1">IF(B150="","",(INDEX(OFFSET(Arb!$U$2,,,Arb!$AJ$5,),B150)+INDEX(OFFSET(Arb!$V$2,,,Arb!$AJ$5,),B150))/D150)</f>
        <v>3.5629453681710213</v>
      </c>
      <c r="H150" s="33">
        <f t="shared" ca="1" si="19"/>
        <v>1.1515414176753496</v>
      </c>
      <c r="I150" s="21">
        <f t="shared" ca="1" si="20"/>
        <v>41.074510455285122</v>
      </c>
      <c r="J150" s="74">
        <f ca="1">IF(B150="","",DATE(INDEX(OFFSET(Arb!$C$2,,,Arb!$AJ$5,),B150),INDEX(OFFSET(Arb!$B$2,,,Arb!$AJ$5,),B150),INDEX(OFFSET(Arb!$A$2,,,Arb!$AJ$5,),B150))+ROW()*0.001)</f>
        <v>43937.15</v>
      </c>
      <c r="K150" s="11">
        <v>149</v>
      </c>
      <c r="L150" s="11">
        <v>2032</v>
      </c>
      <c r="M150" s="433">
        <f ca="1">IF(L150="",64,INDEX(OFFSET(Arb!$I$2,,,Arb!$AJ$5,),L150))</f>
        <v>46</v>
      </c>
      <c r="N150" s="34">
        <f ca="1">IF(L150="",60,INDEX(OFFSET(Arb!$H$2,,,Arb!$AJ$5,),L150))</f>
        <v>23.32</v>
      </c>
      <c r="O150" s="33">
        <f t="shared" ca="1" si="21"/>
        <v>1.9725557461406518</v>
      </c>
      <c r="P150" s="33">
        <f ca="1">IF(L150="","",INDEX(OFFSET(Arb!$X$2,,,Arb!$AJ$5,),L150)/N150)</f>
        <v>2.4442538593481991</v>
      </c>
      <c r="Q150" s="33">
        <f ca="1">IF(L150="","",(INDEX(OFFSET(Arb!$U$2,,,Arb!$AJ$5,),L150)+INDEX(OFFSET(Arb!$V$2,,,Arb!$AJ$5,),L150))/N150)</f>
        <v>2.7873070325900513</v>
      </c>
      <c r="R150" s="33">
        <f t="shared" ca="1" si="22"/>
        <v>4.5960071607771411</v>
      </c>
      <c r="S150" s="21">
        <f t="shared" ca="1" si="23"/>
        <v>33.448598886431178</v>
      </c>
      <c r="T150" s="74">
        <f ca="1">IF(L150="","",DATE(INDEX(OFFSET(Arb!$C$2,,,Arb!$AJ$5,),L150),INDEX(OFFSET(Arb!$B$2,,,Arb!$AJ$5,),L150),INDEX(OFFSET(Arb!$A$2,,,Arb!$AJ$5,),L150))+ROW()*0.001)</f>
        <v>43797.15</v>
      </c>
      <c r="U150" s="11">
        <v>149</v>
      </c>
      <c r="V150" s="11">
        <v>3349</v>
      </c>
      <c r="W150" s="433">
        <f ca="1">IF(V150="",164,INDEX(OFFSET(Arb!$I$2,,,Arb!$AJ$5,),V150))</f>
        <v>181</v>
      </c>
      <c r="X150" s="34">
        <f ca="1">IF(V150="",240,INDEX(OFFSET(Arb!$H$2,,,Arb!$AJ$5,),V150))</f>
        <v>68.599999999999994</v>
      </c>
      <c r="Y150" s="33">
        <f t="shared" ca="1" si="24"/>
        <v>2.6384839650145775</v>
      </c>
      <c r="Z150" s="33">
        <f ca="1">IF(V150="","",INDEX(OFFSET(Arb!$X$2,,,Arb!$AJ$5,),V150)/X150)</f>
        <v>3.0320699708454812</v>
      </c>
      <c r="AA150" s="33">
        <f ca="1">IF(V150="","",(INDEX(OFFSET(Arb!$U$2,,,Arb!$AJ$5,),V150)+INDEX(OFFSET(Arb!$V$2,,,Arb!$AJ$5,),V150))/X150)</f>
        <v>3.4110787172011663</v>
      </c>
      <c r="AB150" s="33">
        <f t="shared" ca="1" si="25"/>
        <v>7.3126101652534672</v>
      </c>
      <c r="AC150" s="21">
        <f t="shared" ca="1" si="26"/>
        <v>59.486420056541071</v>
      </c>
      <c r="AD150" s="74">
        <f ca="1">IF(V150="","",DATE(INDEX(OFFSET(Arb!$C$2,,,Arb!$AJ$5,),V150),INDEX(OFFSET(Arb!$B$2,,,Arb!$AJ$5,),V150),INDEX(OFFSET(Arb!$A$2,,,Arb!$AJ$5,),V150))+ROW()*0.001)</f>
        <v>44098.15</v>
      </c>
    </row>
    <row r="151" spans="1:30" x14ac:dyDescent="0.25">
      <c r="A151" s="11">
        <v>150</v>
      </c>
      <c r="B151" s="11">
        <v>1149</v>
      </c>
      <c r="C151" s="433">
        <f ca="1">IF(B151="",16,INDEX(OFFSET(Arb!$I$2,,,Arb!$AJ$5,),B151))</f>
        <v>12</v>
      </c>
      <c r="D151" s="34">
        <f ca="1">IF(B151="",10,INDEX(OFFSET(Arb!$H$2,,,Arb!$AJ$5,),B151))</f>
        <v>4.21</v>
      </c>
      <c r="E151" s="33">
        <f t="shared" ca="1" si="18"/>
        <v>2.8503562945368173</v>
      </c>
      <c r="F151" s="33">
        <f ca="1">IF(B151="","",INDEX(OFFSET(Arb!$X$2,,,Arb!$AJ$5,),B151)/D151)</f>
        <v>3.5629453681710213</v>
      </c>
      <c r="G151" s="33">
        <f ca="1">IF(B151="","",(INDEX(OFFSET(Arb!$U$2,,,Arb!$AJ$5,),B151)+INDEX(OFFSET(Arb!$V$2,,,Arb!$AJ$5,),B151))/D151)</f>
        <v>4.0380047505938244</v>
      </c>
      <c r="H151" s="33">
        <f t="shared" ca="1" si="19"/>
        <v>0.95961784806279127</v>
      </c>
      <c r="I151" s="21">
        <f t="shared" ca="1" si="20"/>
        <v>49.289412546342149</v>
      </c>
      <c r="J151" s="74">
        <f ca="1">IF(B151="","",DATE(INDEX(OFFSET(Arb!$C$2,,,Arb!$AJ$5,),B151),INDEX(OFFSET(Arb!$B$2,,,Arb!$AJ$5,),B151),INDEX(OFFSET(Arb!$A$2,,,Arb!$AJ$5,),B151))+ROW()*0.001)</f>
        <v>43869.150999999998</v>
      </c>
      <c r="K151" s="11">
        <v>150</v>
      </c>
      <c r="L151" s="11">
        <v>2370</v>
      </c>
      <c r="M151" s="433">
        <f ca="1">IF(L151="",64,INDEX(OFFSET(Arb!$I$2,,,Arb!$AJ$5,),L151))</f>
        <v>75</v>
      </c>
      <c r="N151" s="34">
        <f ca="1">IF(L151="",60,INDEX(OFFSET(Arb!$H$2,,,Arb!$AJ$5,),L151))</f>
        <v>23.35</v>
      </c>
      <c r="O151" s="33">
        <f t="shared" ca="1" si="21"/>
        <v>3.2119914346895073</v>
      </c>
      <c r="P151" s="33">
        <f ca="1">IF(L151="","",INDEX(OFFSET(Arb!$X$2,,,Arb!$AJ$5,),L151)/N151)</f>
        <v>3.1263383297644536</v>
      </c>
      <c r="Q151" s="33">
        <f ca="1">IF(L151="","",(INDEX(OFFSET(Arb!$U$2,,,Arb!$AJ$5,),L151)+INDEX(OFFSET(Arb!$V$2,,,Arb!$AJ$5,),L151))/N151)</f>
        <v>3.6402569593147751</v>
      </c>
      <c r="R151" s="33">
        <f t="shared" ca="1" si="22"/>
        <v>2.8250519659592186</v>
      </c>
      <c r="S151" s="21">
        <f t="shared" ca="1" si="23"/>
        <v>54.416698118260094</v>
      </c>
      <c r="T151" s="74">
        <f ca="1">IF(L151="","",DATE(INDEX(OFFSET(Arb!$C$2,,,Arb!$AJ$5,),L151),INDEX(OFFSET(Arb!$B$2,,,Arb!$AJ$5,),L151),INDEX(OFFSET(Arb!$A$2,,,Arb!$AJ$5,),L151))+ROW()*0.001)</f>
        <v>44114.150999999998</v>
      </c>
      <c r="U151" s="11">
        <v>150</v>
      </c>
      <c r="V151" s="11">
        <v>3392</v>
      </c>
      <c r="W151" s="433">
        <f ca="1">IF(V151="",164,INDEX(OFFSET(Arb!$I$2,,,Arb!$AJ$5,),V151))</f>
        <v>164</v>
      </c>
      <c r="X151" s="34">
        <f ca="1">IF(V151="",240,INDEX(OFFSET(Arb!$H$2,,,Arb!$AJ$5,),V151))</f>
        <v>68.61</v>
      </c>
      <c r="Y151" s="33">
        <f t="shared" ca="1" si="24"/>
        <v>2.3903221104795218</v>
      </c>
      <c r="Z151" s="33">
        <f ca="1">IF(V151="","",INDEX(OFFSET(Arb!$X$2,,,Arb!$AJ$5,),V151)/X151)</f>
        <v>2.5506485934994898</v>
      </c>
      <c r="AA151" s="33">
        <f ca="1">IF(V151="","",(INDEX(OFFSET(Arb!$U$2,,,Arb!$AJ$5,),V151)+INDEX(OFFSET(Arb!$V$2,,,Arb!$AJ$5,),V151))/X151)</f>
        <v>2.8130010202594375</v>
      </c>
      <c r="AB151" s="33">
        <f t="shared" ca="1" si="25"/>
        <v>8.0726247446626935</v>
      </c>
      <c r="AC151" s="21">
        <f t="shared" ca="1" si="26"/>
        <v>53.885943390048666</v>
      </c>
      <c r="AD151" s="74">
        <f ca="1">IF(V151="","",DATE(INDEX(OFFSET(Arb!$C$2,,,Arb!$AJ$5,),V151),INDEX(OFFSET(Arb!$B$2,,,Arb!$AJ$5,),V151),INDEX(OFFSET(Arb!$A$2,,,Arb!$AJ$5,),V151))+ROW()*0.001)</f>
        <v>44141.150999999998</v>
      </c>
    </row>
    <row r="152" spans="1:30" x14ac:dyDescent="0.25">
      <c r="A152" s="11">
        <v>151</v>
      </c>
      <c r="B152" s="11">
        <v>1058</v>
      </c>
      <c r="C152" s="433">
        <f ca="1">IF(B152="",16,INDEX(OFFSET(Arb!$I$2,,,Arb!$AJ$5,),B152))</f>
        <v>13</v>
      </c>
      <c r="D152" s="34">
        <f ca="1">IF(B152="",10,INDEX(OFFSET(Arb!$H$2,,,Arb!$AJ$5,),B152))</f>
        <v>4.22</v>
      </c>
      <c r="E152" s="33">
        <f t="shared" ca="1" si="18"/>
        <v>3.080568720379147</v>
      </c>
      <c r="F152" s="33">
        <f ca="1">IF(B152="","",INDEX(OFFSET(Arb!$X$2,,,Arb!$AJ$5,),B152)/D152)</f>
        <v>3.7914691943127963</v>
      </c>
      <c r="G152" s="33">
        <f ca="1">IF(B152="","",(INDEX(OFFSET(Arb!$U$2,,,Arb!$AJ$5,),B152)+INDEX(OFFSET(Arb!$V$2,,,Arb!$AJ$5,),B152))/D152)</f>
        <v>4.2654028436018958</v>
      </c>
      <c r="H152" s="33">
        <f t="shared" ca="1" si="19"/>
        <v>0.88938093246938599</v>
      </c>
      <c r="I152" s="21">
        <f t="shared" ca="1" si="20"/>
        <v>53.181936190911209</v>
      </c>
      <c r="J152" s="74">
        <f ca="1">IF(B152="","",DATE(INDEX(OFFSET(Arb!$C$2,,,Arb!$AJ$5,),B152),INDEX(OFFSET(Arb!$B$2,,,Arb!$AJ$5,),B152),INDEX(OFFSET(Arb!$A$2,,,Arb!$AJ$5,),B152))+ROW()*0.001)</f>
        <v>43841.152000000002</v>
      </c>
      <c r="K152" s="11">
        <v>151</v>
      </c>
      <c r="L152" s="11">
        <v>1891</v>
      </c>
      <c r="M152" s="433">
        <f ca="1">IF(L152="",64,INDEX(OFFSET(Arb!$I$2,,,Arb!$AJ$5,),L152))</f>
        <v>47</v>
      </c>
      <c r="N152" s="34">
        <f ca="1">IF(L152="",60,INDEX(OFFSET(Arb!$H$2,,,Arb!$AJ$5,),L152))</f>
        <v>23.36</v>
      </c>
      <c r="O152" s="33">
        <f t="shared" ca="1" si="21"/>
        <v>2.0119863013698631</v>
      </c>
      <c r="P152" s="33">
        <f ca="1">IF(L152="","",INDEX(OFFSET(Arb!$X$2,,,Arb!$AJ$5,),L152)/N152)</f>
        <v>3.0821917808219177</v>
      </c>
      <c r="Q152" s="33">
        <f ca="1">IF(L152="","",(INDEX(OFFSET(Arb!$U$2,,,Arb!$AJ$5,),L152)+INDEX(OFFSET(Arb!$V$2,,,Arb!$AJ$5,),L152))/N152)</f>
        <v>3.724315068493151</v>
      </c>
      <c r="R152" s="33">
        <f t="shared" ca="1" si="22"/>
        <v>4.5113442403071673</v>
      </c>
      <c r="S152" s="21">
        <f t="shared" ca="1" si="23"/>
        <v>34.076317791597489</v>
      </c>
      <c r="T152" s="74">
        <f ca="1">IF(L152="","",DATE(INDEX(OFFSET(Arb!$C$2,,,Arb!$AJ$5,),L152),INDEX(OFFSET(Arb!$B$2,,,Arb!$AJ$5,),L152),INDEX(OFFSET(Arb!$A$2,,,Arb!$AJ$5,),L152))+ROW()*0.001)</f>
        <v>43764.152000000002</v>
      </c>
      <c r="U152" s="11">
        <v>151</v>
      </c>
      <c r="V152" s="11">
        <v>2734</v>
      </c>
      <c r="W152" s="433">
        <f ca="1">IF(V152="",164,INDEX(OFFSET(Arb!$I$2,,,Arb!$AJ$5,),V152))</f>
        <v>141</v>
      </c>
      <c r="X152" s="34">
        <f ca="1">IF(V152="",240,INDEX(OFFSET(Arb!$H$2,,,Arb!$AJ$5,),V152))</f>
        <v>68.61</v>
      </c>
      <c r="Y152" s="33">
        <f t="shared" ca="1" si="24"/>
        <v>2.0550940096195891</v>
      </c>
      <c r="Z152" s="33">
        <f ca="1">IF(V152="","",INDEX(OFFSET(Arb!$X$2,,,Arb!$AJ$5,),V152)/X152)</f>
        <v>2.5214983238594959</v>
      </c>
      <c r="AA152" s="33">
        <f ca="1">IF(V152="","",(INDEX(OFFSET(Arb!$U$2,,,Arb!$AJ$5,),V152)+INDEX(OFFSET(Arb!$V$2,,,Arb!$AJ$5,),V152))/X152)</f>
        <v>2.7838507506194432</v>
      </c>
      <c r="AB152" s="33">
        <f t="shared" ca="1" si="25"/>
        <v>9.3894358732246932</v>
      </c>
      <c r="AC152" s="21">
        <f t="shared" ca="1" si="26"/>
        <v>46.32876840241989</v>
      </c>
      <c r="AD152" s="74">
        <f ca="1">IF(V152="","",DATE(INDEX(OFFSET(Arb!$C$2,,,Arb!$AJ$5,),V152),INDEX(OFFSET(Arb!$B$2,,,Arb!$AJ$5,),V152),INDEX(OFFSET(Arb!$A$2,,,Arb!$AJ$5,),V152))+ROW()*0.001)</f>
        <v>43869.152000000002</v>
      </c>
    </row>
    <row r="153" spans="1:30" x14ac:dyDescent="0.25">
      <c r="A153" s="11">
        <v>152</v>
      </c>
      <c r="B153" s="11">
        <v>396</v>
      </c>
      <c r="C153" s="433">
        <f ca="1">IF(B153="",16,INDEX(OFFSET(Arb!$I$2,,,Arb!$AJ$5,),B153))</f>
        <v>11</v>
      </c>
      <c r="D153" s="34">
        <f ca="1">IF(B153="",10,INDEX(OFFSET(Arb!$H$2,,,Arb!$AJ$5,),B153))</f>
        <v>4.22</v>
      </c>
      <c r="E153" s="33">
        <f t="shared" ca="1" si="18"/>
        <v>2.6066350710900474</v>
      </c>
      <c r="F153" s="33">
        <f ca="1">IF(B153="","",INDEX(OFFSET(Arb!$X$2,,,Arb!$AJ$5,),B153)/D153)</f>
        <v>3.080568720379147</v>
      </c>
      <c r="G153" s="33">
        <f ca="1">IF(B153="","",(INDEX(OFFSET(Arb!$U$2,,,Arb!$AJ$5,),B153)+INDEX(OFFSET(Arb!$V$2,,,Arb!$AJ$5,),B153))/D153)</f>
        <v>4.2654028436018958</v>
      </c>
      <c r="H153" s="33">
        <f t="shared" ca="1" si="19"/>
        <v>1.0510865565547289</v>
      </c>
      <c r="I153" s="21">
        <f t="shared" ca="1" si="20"/>
        <v>45.000099853847949</v>
      </c>
      <c r="J153" s="74">
        <f ca="1">IF(B153="","",DATE(INDEX(OFFSET(Arb!$C$2,,,Arb!$AJ$5,),B153),INDEX(OFFSET(Arb!$B$2,,,Arb!$AJ$5,),B153),INDEX(OFFSET(Arb!$A$2,,,Arb!$AJ$5,),B153))+ROW()*0.001)</f>
        <v>43781.152999999998</v>
      </c>
      <c r="K153" s="11">
        <v>152</v>
      </c>
      <c r="L153" s="11">
        <v>2097</v>
      </c>
      <c r="M153" s="433">
        <f ca="1">IF(L153="",64,INDEX(OFFSET(Arb!$I$2,,,Arb!$AJ$5,),L153))</f>
        <v>51</v>
      </c>
      <c r="N153" s="34">
        <f ca="1">IF(L153="",60,INDEX(OFFSET(Arb!$H$2,,,Arb!$AJ$5,),L153))</f>
        <v>23.38</v>
      </c>
      <c r="O153" s="33">
        <f t="shared" ca="1" si="21"/>
        <v>2.1813515825491874</v>
      </c>
      <c r="P153" s="33">
        <f ca="1">IF(L153="","",INDEX(OFFSET(Arb!$X$2,,,Arb!$AJ$5,),L153)/N153)</f>
        <v>3.1223267750213859</v>
      </c>
      <c r="Q153" s="33">
        <f ca="1">IF(L153="","",(INDEX(OFFSET(Arb!$U$2,,,Arb!$AJ$5,),L153)+INDEX(OFFSET(Arb!$V$2,,,Arb!$AJ$5,),L153))/N153)</f>
        <v>3.6355859709153124</v>
      </c>
      <c r="R153" s="33">
        <f t="shared" ca="1" si="22"/>
        <v>4.1635663078319798</v>
      </c>
      <c r="S153" s="21">
        <f t="shared" ca="1" si="23"/>
        <v>36.922673648987491</v>
      </c>
      <c r="T153" s="74">
        <f ca="1">IF(L153="","",DATE(INDEX(OFFSET(Arb!$C$2,,,Arb!$AJ$5,),L153),INDEX(OFFSET(Arb!$B$2,,,Arb!$AJ$5,),L153),INDEX(OFFSET(Arb!$A$2,,,Arb!$AJ$5,),L153))+ROW()*0.001)</f>
        <v>43810.152999999998</v>
      </c>
      <c r="U153" s="11">
        <v>152</v>
      </c>
      <c r="V153" s="11">
        <v>2847</v>
      </c>
      <c r="W153" s="433">
        <f ca="1">IF(V153="",164,INDEX(OFFSET(Arb!$I$2,,,Arb!$AJ$5,),V153))</f>
        <v>167</v>
      </c>
      <c r="X153" s="34">
        <f ca="1">IF(V153="",240,INDEX(OFFSET(Arb!$H$2,,,Arb!$AJ$5,),V153))</f>
        <v>68.67</v>
      </c>
      <c r="Y153" s="33">
        <f t="shared" ca="1" si="24"/>
        <v>2.4319207805446337</v>
      </c>
      <c r="Z153" s="33">
        <f ca="1">IF(V153="","",INDEX(OFFSET(Arb!$X$2,,,Arb!$AJ$5,),V153)/X153)</f>
        <v>2.9561671763506627</v>
      </c>
      <c r="AA153" s="33">
        <f ca="1">IF(V153="","",(INDEX(OFFSET(Arb!$U$2,,,Arb!$AJ$5,),V153)+INDEX(OFFSET(Arb!$V$2,,,Arb!$AJ$5,),V153))/X153)</f>
        <v>3.2765399737876799</v>
      </c>
      <c r="AB153" s="33">
        <f t="shared" ca="1" si="25"/>
        <v>7.9393968274603441</v>
      </c>
      <c r="AC153" s="21">
        <f t="shared" ca="1" si="26"/>
        <v>54.790182359375549</v>
      </c>
      <c r="AD153" s="74">
        <f ca="1">IF(V153="","",DATE(INDEX(OFFSET(Arb!$C$2,,,Arb!$AJ$5,),V153),INDEX(OFFSET(Arb!$B$2,,,Arb!$AJ$5,),V153),INDEX(OFFSET(Arb!$A$2,,,Arb!$AJ$5,),V153))+ROW()*0.001)</f>
        <v>43904.152999999998</v>
      </c>
    </row>
    <row r="154" spans="1:30" x14ac:dyDescent="0.25">
      <c r="A154" s="11">
        <v>153</v>
      </c>
      <c r="B154" s="11">
        <v>119</v>
      </c>
      <c r="C154" s="433">
        <f ca="1">IF(B154="",16,INDEX(OFFSET(Arb!$I$2,,,Arb!$AJ$5,),B154))</f>
        <v>15</v>
      </c>
      <c r="D154" s="34">
        <f ca="1">IF(B154="",10,INDEX(OFFSET(Arb!$H$2,,,Arb!$AJ$5,),B154))</f>
        <v>4.22</v>
      </c>
      <c r="E154" s="33">
        <f t="shared" ca="1" si="18"/>
        <v>3.5545023696682465</v>
      </c>
      <c r="F154" s="33">
        <f ca="1">IF(B154="","",INDEX(OFFSET(Arb!$X$2,,,Arb!$AJ$5,),B154)/D154)</f>
        <v>3.7914691943127963</v>
      </c>
      <c r="G154" s="33">
        <f ca="1">IF(B154="","",(INDEX(OFFSET(Arb!$U$2,,,Arb!$AJ$5,),B154)+INDEX(OFFSET(Arb!$V$2,,,Arb!$AJ$5,),B154))/D154)</f>
        <v>4.2654028436018958</v>
      </c>
      <c r="H154" s="33">
        <f t="shared" ca="1" si="19"/>
        <v>0.77079680814013452</v>
      </c>
      <c r="I154" s="21">
        <f t="shared" ca="1" si="20"/>
        <v>61.363772527974476</v>
      </c>
      <c r="J154" s="74">
        <f ca="1">IF(B154="","",DATE(INDEX(OFFSET(Arb!$C$2,,,Arb!$AJ$5,),B154),INDEX(OFFSET(Arb!$B$2,,,Arb!$AJ$5,),B154),INDEX(OFFSET(Arb!$A$2,,,Arb!$AJ$5,),B154))+ROW()*0.001)</f>
        <v>43770.154000000002</v>
      </c>
      <c r="K154" s="11">
        <v>153</v>
      </c>
      <c r="L154" s="11">
        <v>2133</v>
      </c>
      <c r="M154" s="433">
        <f ca="1">IF(L154="",64,INDEX(OFFSET(Arb!$I$2,,,Arb!$AJ$5,),L154))</f>
        <v>60</v>
      </c>
      <c r="N154" s="34">
        <f ca="1">IF(L154="",60,INDEX(OFFSET(Arb!$H$2,,,Arb!$AJ$5,),L154))</f>
        <v>23.39</v>
      </c>
      <c r="O154" s="33">
        <f t="shared" ca="1" si="21"/>
        <v>2.5651988029072252</v>
      </c>
      <c r="P154" s="33">
        <f ca="1">IF(L154="","",INDEX(OFFSET(Arb!$X$2,,,Arb!$AJ$5,),L154)/N154)</f>
        <v>3.4202650705429671</v>
      </c>
      <c r="Q154" s="33">
        <f ca="1">IF(L154="","",(INDEX(OFFSET(Arb!$U$2,,,Arb!$AJ$5,),L154)+INDEX(OFFSET(Arb!$V$2,,,Arb!$AJ$5,),L154))/N154)</f>
        <v>3.9760581445061991</v>
      </c>
      <c r="R154" s="33">
        <f t="shared" ca="1" si="22"/>
        <v>3.5416050374176589</v>
      </c>
      <c r="S154" s="21">
        <f t="shared" ca="1" si="23"/>
        <v>43.406872978724735</v>
      </c>
      <c r="T154" s="74">
        <f ca="1">IF(L154="","",DATE(INDEX(OFFSET(Arb!$C$2,,,Arb!$AJ$5,),L154),INDEX(OFFSET(Arb!$B$2,,,Arb!$AJ$5,),L154),INDEX(OFFSET(Arb!$A$2,,,Arb!$AJ$5,),L154))+ROW()*0.001)</f>
        <v>43815.154000000002</v>
      </c>
      <c r="U154" s="11">
        <v>153</v>
      </c>
      <c r="V154" s="11">
        <v>3234</v>
      </c>
      <c r="W154" s="433">
        <f ca="1">IF(V154="",164,INDEX(OFFSET(Arb!$I$2,,,Arb!$AJ$5,),V154))</f>
        <v>176</v>
      </c>
      <c r="X154" s="34">
        <f ca="1">IF(V154="",240,INDEX(OFFSET(Arb!$H$2,,,Arb!$AJ$5,),V154))</f>
        <v>68.680000000000007</v>
      </c>
      <c r="Y154" s="33">
        <f t="shared" ca="1" si="24"/>
        <v>2.56260920209668</v>
      </c>
      <c r="Z154" s="33">
        <f ca="1">IF(V154="","",INDEX(OFFSET(Arb!$X$2,,,Arb!$AJ$5,),V154)/X154)</f>
        <v>3.0867792661619098</v>
      </c>
      <c r="AA154" s="33">
        <f ca="1">IF(V154="","",(INDEX(OFFSET(Arb!$U$2,,,Arb!$AJ$5,),V154)+INDEX(OFFSET(Arb!$V$2,,,Arb!$AJ$5,),V154))/X154)</f>
        <v>3.3634245777518923</v>
      </c>
      <c r="AB154" s="33">
        <f t="shared" ca="1" si="25"/>
        <v>7.5352700150311795</v>
      </c>
      <c r="AC154" s="21">
        <f t="shared" ca="1" si="26"/>
        <v>57.72865459794675</v>
      </c>
      <c r="AD154" s="74">
        <f ca="1">IF(V154="","",DATE(INDEX(OFFSET(Arb!$C$2,,,Arb!$AJ$5,),V154),INDEX(OFFSET(Arb!$B$2,,,Arb!$AJ$5,),V154),INDEX(OFFSET(Arb!$A$2,,,Arb!$AJ$5,),V154))+ROW()*0.001)</f>
        <v>44063.154000000002</v>
      </c>
    </row>
    <row r="155" spans="1:30" x14ac:dyDescent="0.25">
      <c r="A155" s="11">
        <v>154</v>
      </c>
      <c r="B155" s="11">
        <v>1679</v>
      </c>
      <c r="C155" s="433">
        <f ca="1">IF(B155="",16,INDEX(OFFSET(Arb!$I$2,,,Arb!$AJ$5,),B155))</f>
        <v>13</v>
      </c>
      <c r="D155" s="34">
        <f ca="1">IF(B155="",10,INDEX(OFFSET(Arb!$H$2,,,Arb!$AJ$5,),B155))</f>
        <v>4.24</v>
      </c>
      <c r="E155" s="33">
        <f t="shared" ca="1" si="18"/>
        <v>3.0660377358490565</v>
      </c>
      <c r="F155" s="33">
        <f ca="1">IF(B155="","",INDEX(OFFSET(Arb!$X$2,,,Arb!$AJ$5,),B155)/D155)</f>
        <v>3.773584905660377</v>
      </c>
      <c r="G155" s="33">
        <f ca="1">IF(B155="","",(INDEX(OFFSET(Arb!$U$2,,,Arb!$AJ$5,),B155)+INDEX(OFFSET(Arb!$V$2,,,Arb!$AJ$5,),B155))/D155)</f>
        <v>4.0094339622641506</v>
      </c>
      <c r="H155" s="33">
        <f t="shared" ca="1" si="19"/>
        <v>0.89655844132408502</v>
      </c>
      <c r="I155" s="21">
        <f t="shared" ca="1" si="20"/>
        <v>52.756181660780896</v>
      </c>
      <c r="J155" s="74">
        <f ca="1">IF(B155="","",DATE(INDEX(OFFSET(Arb!$C$2,,,Arb!$AJ$5,),B155),INDEX(OFFSET(Arb!$B$2,,,Arb!$AJ$5,),B155),INDEX(OFFSET(Arb!$A$2,,,Arb!$AJ$5,),B155))+ROW()*0.001)</f>
        <v>44100.154999999999</v>
      </c>
      <c r="K155" s="11">
        <v>154</v>
      </c>
      <c r="L155" s="11">
        <v>2268</v>
      </c>
      <c r="M155" s="433">
        <f ca="1">IF(L155="",64,INDEX(OFFSET(Arb!$I$2,,,Arb!$AJ$5,),L155))</f>
        <v>63</v>
      </c>
      <c r="N155" s="34">
        <f ca="1">IF(L155="",60,INDEX(OFFSET(Arb!$H$2,,,Arb!$AJ$5,),L155))</f>
        <v>23.42</v>
      </c>
      <c r="O155" s="33">
        <f t="shared" ca="1" si="21"/>
        <v>2.6900085397096496</v>
      </c>
      <c r="P155" s="33">
        <f ca="1">IF(L155="","",INDEX(OFFSET(Arb!$X$2,,,Arb!$AJ$5,),L155)/N155)</f>
        <v>3.5439795046968401</v>
      </c>
      <c r="Q155" s="33">
        <f ca="1">IF(L155="","",(INDEX(OFFSET(Arb!$U$2,,,Arb!$AJ$5,),L155)+INDEX(OFFSET(Arb!$V$2,,,Arb!$AJ$5,),L155))/N155)</f>
        <v>4.0563620836891543</v>
      </c>
      <c r="R155" s="33">
        <f t="shared" ca="1" si="22"/>
        <v>3.3803149394178194</v>
      </c>
      <c r="S155" s="21">
        <f t="shared" ca="1" si="23"/>
        <v>45.478011000500565</v>
      </c>
      <c r="T155" s="74">
        <f ca="1">IF(L155="","",DATE(INDEX(OFFSET(Arb!$C$2,,,Arb!$AJ$5,),L155),INDEX(OFFSET(Arb!$B$2,,,Arb!$AJ$5,),L155),INDEX(OFFSET(Arb!$A$2,,,Arb!$AJ$5,),L155))+ROW()*0.001)</f>
        <v>43912.154999999999</v>
      </c>
      <c r="U155" s="11">
        <v>154</v>
      </c>
      <c r="V155" s="11">
        <v>3376</v>
      </c>
      <c r="W155" s="433">
        <f ca="1">IF(V155="",164,INDEX(OFFSET(Arb!$I$2,,,Arb!$AJ$5,),V155))</f>
        <v>162</v>
      </c>
      <c r="X155" s="34">
        <f ca="1">IF(V155="",240,INDEX(OFFSET(Arb!$H$2,,,Arb!$AJ$5,),V155))</f>
        <v>68.69</v>
      </c>
      <c r="Y155" s="33">
        <f t="shared" ca="1" si="24"/>
        <v>2.3584218954724125</v>
      </c>
      <c r="Z155" s="33">
        <f ca="1">IF(V155="","",INDEX(OFFSET(Arb!$X$2,,,Arb!$AJ$5,),V155)/X155)</f>
        <v>2.6059106128985299</v>
      </c>
      <c r="AA155" s="33">
        <f ca="1">IF(V155="","",(INDEX(OFFSET(Arb!$U$2,,,Arb!$AJ$5,),V155)+INDEX(OFFSET(Arb!$V$2,,,Arb!$AJ$5,),V155))/X155)</f>
        <v>3.1154462075993594</v>
      </c>
      <c r="AB155" s="33">
        <f t="shared" ca="1" si="25"/>
        <v>8.188492645450232</v>
      </c>
      <c r="AC155" s="21">
        <f t="shared" ca="1" si="26"/>
        <v>53.123452488132763</v>
      </c>
      <c r="AD155" s="74">
        <f ca="1">IF(V155="","",DATE(INDEX(OFFSET(Arb!$C$2,,,Arb!$AJ$5,),V155),INDEX(OFFSET(Arb!$B$2,,,Arb!$AJ$5,),V155),INDEX(OFFSET(Arb!$A$2,,,Arb!$AJ$5,),V155))+ROW()*0.001)</f>
        <v>44129.154999999999</v>
      </c>
    </row>
    <row r="156" spans="1:30" x14ac:dyDescent="0.25">
      <c r="A156" s="11">
        <v>155</v>
      </c>
      <c r="B156" s="11">
        <v>1644</v>
      </c>
      <c r="C156" s="433">
        <f ca="1">IF(B156="",16,INDEX(OFFSET(Arb!$I$2,,,Arb!$AJ$5,),B156))</f>
        <v>13</v>
      </c>
      <c r="D156" s="34">
        <f ca="1">IF(B156="",10,INDEX(OFFSET(Arb!$H$2,,,Arb!$AJ$5,),B156))</f>
        <v>4.24</v>
      </c>
      <c r="E156" s="33">
        <f t="shared" ca="1" si="18"/>
        <v>3.0660377358490565</v>
      </c>
      <c r="F156" s="33">
        <f ca="1">IF(B156="","",INDEX(OFFSET(Arb!$X$2,,,Arb!$AJ$5,),B156)/D156)</f>
        <v>3.5377358490566038</v>
      </c>
      <c r="G156" s="33">
        <f ca="1">IF(B156="","",(INDEX(OFFSET(Arb!$U$2,,,Arb!$AJ$5,),B156)+INDEX(OFFSET(Arb!$V$2,,,Arb!$AJ$5,),B156))/D156)</f>
        <v>3.773584905660377</v>
      </c>
      <c r="H156" s="33">
        <f t="shared" ca="1" si="19"/>
        <v>0.89655844132408502</v>
      </c>
      <c r="I156" s="21">
        <f t="shared" ca="1" si="20"/>
        <v>52.756181660780896</v>
      </c>
      <c r="J156" s="74">
        <f ca="1">IF(B156="","",DATE(INDEX(OFFSET(Arb!$C$2,,,Arb!$AJ$5,),B156),INDEX(OFFSET(Arb!$B$2,,,Arb!$AJ$5,),B156),INDEX(OFFSET(Arb!$A$2,,,Arb!$AJ$5,),B156))+ROW()*0.001)</f>
        <v>44093.156000000003</v>
      </c>
      <c r="K156" s="11">
        <v>155</v>
      </c>
      <c r="L156" s="11">
        <v>1935</v>
      </c>
      <c r="M156" s="433">
        <f ca="1">IF(L156="",64,INDEX(OFFSET(Arb!$I$2,,,Arb!$AJ$5,),L156))</f>
        <v>51</v>
      </c>
      <c r="N156" s="34">
        <f ca="1">IF(L156="",60,INDEX(OFFSET(Arb!$H$2,,,Arb!$AJ$5,),L156))</f>
        <v>23.46</v>
      </c>
      <c r="O156" s="33">
        <f t="shared" ca="1" si="21"/>
        <v>2.1739130434782608</v>
      </c>
      <c r="P156" s="33">
        <f ca="1">IF(L156="","",INDEX(OFFSET(Arb!$X$2,,,Arb!$AJ$5,),L156)/N156)</f>
        <v>3.0264279624893433</v>
      </c>
      <c r="Q156" s="33">
        <f ca="1">IF(L156="","",(INDEX(OFFSET(Arb!$U$2,,,Arb!$AJ$5,),L156)+INDEX(OFFSET(Arb!$V$2,,,Arb!$AJ$5,),L156))/N156)</f>
        <v>3.4953111679454389</v>
      </c>
      <c r="R156" s="33">
        <f t="shared" ca="1" si="22"/>
        <v>4.1878145081668148</v>
      </c>
      <c r="S156" s="21">
        <f t="shared" ca="1" si="23"/>
        <v>36.70888471784157</v>
      </c>
      <c r="T156" s="74">
        <f ca="1">IF(L156="","",DATE(INDEX(OFFSET(Arb!$C$2,,,Arb!$AJ$5,),L156),INDEX(OFFSET(Arb!$B$2,,,Arb!$AJ$5,),L156),INDEX(OFFSET(Arb!$A$2,,,Arb!$AJ$5,),L156))+ROW()*0.001)</f>
        <v>43772.156000000003</v>
      </c>
      <c r="U156" s="11">
        <v>155</v>
      </c>
      <c r="V156" s="11">
        <v>3048</v>
      </c>
      <c r="W156" s="433">
        <f ca="1">IF(V156="",164,INDEX(OFFSET(Arb!$I$2,,,Arb!$AJ$5,),V156))</f>
        <v>142</v>
      </c>
      <c r="X156" s="34">
        <f ca="1">IF(V156="",240,INDEX(OFFSET(Arb!$H$2,,,Arb!$AJ$5,),V156))</f>
        <v>68.69</v>
      </c>
      <c r="Y156" s="33">
        <f t="shared" ca="1" si="24"/>
        <v>2.0672586985005097</v>
      </c>
      <c r="Z156" s="33">
        <f ca="1">IF(V156="","",INDEX(OFFSET(Arb!$X$2,,,Arb!$AJ$5,),V156)/X156)</f>
        <v>2.5040034939583635</v>
      </c>
      <c r="AA156" s="33">
        <f ca="1">IF(V156="","",(INDEX(OFFSET(Arb!$U$2,,,Arb!$AJ$5,),V156)+INDEX(OFFSET(Arb!$V$2,,,Arb!$AJ$5,),V156))/X156)</f>
        <v>2.7514922113844813</v>
      </c>
      <c r="AB156" s="33">
        <f t="shared" ca="1" si="25"/>
        <v>9.341801468753081</v>
      </c>
      <c r="AC156" s="21">
        <f t="shared" ca="1" si="26"/>
        <v>46.565001563671935</v>
      </c>
      <c r="AD156" s="74">
        <f ca="1">IF(V156="","",DATE(INDEX(OFFSET(Arb!$C$2,,,Arb!$AJ$5,),V156),INDEX(OFFSET(Arb!$B$2,,,Arb!$AJ$5,),V156),INDEX(OFFSET(Arb!$A$2,,,Arb!$AJ$5,),V156))+ROW()*0.001)</f>
        <v>43981.156000000003</v>
      </c>
    </row>
    <row r="157" spans="1:30" x14ac:dyDescent="0.25">
      <c r="A157" s="11">
        <v>156</v>
      </c>
      <c r="B157" s="11">
        <v>84</v>
      </c>
      <c r="C157" s="433">
        <f ca="1">IF(B157="",16,INDEX(OFFSET(Arb!$I$2,,,Arb!$AJ$5,),B157))</f>
        <v>15</v>
      </c>
      <c r="D157" s="34">
        <f ca="1">IF(B157="",10,INDEX(OFFSET(Arb!$H$2,,,Arb!$AJ$5,),B157))</f>
        <v>4.24</v>
      </c>
      <c r="E157" s="33">
        <f t="shared" ca="1" si="18"/>
        <v>3.5377358490566038</v>
      </c>
      <c r="F157" s="33">
        <f ca="1">IF(B157="","",INDEX(OFFSET(Arb!$X$2,,,Arb!$AJ$5,),B157)/D157)</f>
        <v>4.2452830188679247</v>
      </c>
      <c r="G157" s="33">
        <f ca="1">IF(B157="","",(INDEX(OFFSET(Arb!$U$2,,,Arb!$AJ$5,),B157)+INDEX(OFFSET(Arb!$V$2,,,Arb!$AJ$5,),B157))/D157)</f>
        <v>4.9528301886792452</v>
      </c>
      <c r="H157" s="33">
        <f t="shared" ca="1" si="19"/>
        <v>0.77701731581420708</v>
      </c>
      <c r="I157" s="21">
        <f t="shared" ca="1" si="20"/>
        <v>60.872517300901031</v>
      </c>
      <c r="J157" s="74">
        <f ca="1">IF(B157="","",DATE(INDEX(OFFSET(Arb!$C$2,,,Arb!$AJ$5,),B157),INDEX(OFFSET(Arb!$B$2,,,Arb!$AJ$5,),B157),INDEX(OFFSET(Arb!$A$2,,,Arb!$AJ$5,),B157))+ROW()*0.001)</f>
        <v>43767.156999999999</v>
      </c>
      <c r="K157" s="11">
        <v>156</v>
      </c>
      <c r="L157" s="11">
        <v>2358</v>
      </c>
      <c r="M157" s="433">
        <f ca="1">IF(L157="",64,INDEX(OFFSET(Arb!$I$2,,,Arb!$AJ$5,),L157))</f>
        <v>65</v>
      </c>
      <c r="N157" s="34">
        <f ca="1">IF(L157="",60,INDEX(OFFSET(Arb!$H$2,,,Arb!$AJ$5,),L157))</f>
        <v>23.49</v>
      </c>
      <c r="O157" s="33">
        <f t="shared" ca="1" si="21"/>
        <v>2.7671349510429972</v>
      </c>
      <c r="P157" s="33">
        <f ca="1">IF(L157="","",INDEX(OFFSET(Arb!$X$2,,,Arb!$AJ$5,),L157)/N157)</f>
        <v>2.9799914857386125</v>
      </c>
      <c r="Q157" s="33">
        <f ca="1">IF(L157="","",(INDEX(OFFSET(Arb!$U$2,,,Arb!$AJ$5,),L157)+INDEX(OFFSET(Arb!$V$2,,,Arb!$AJ$5,),L157))/N157)</f>
        <v>3.3205619412515968</v>
      </c>
      <c r="R157" s="33">
        <f t="shared" ca="1" si="22"/>
        <v>3.2929699826324139</v>
      </c>
      <c r="S157" s="21">
        <f t="shared" ca="1" si="23"/>
        <v>46.68430043723253</v>
      </c>
      <c r="T157" s="74">
        <f ca="1">IF(L157="","",DATE(INDEX(OFFSET(Arb!$C$2,,,Arb!$AJ$5,),L157),INDEX(OFFSET(Arb!$B$2,,,Arb!$AJ$5,),L157),INDEX(OFFSET(Arb!$A$2,,,Arb!$AJ$5,),L157))+ROW()*0.001)</f>
        <v>44114.156999999999</v>
      </c>
      <c r="U157" s="11">
        <v>156</v>
      </c>
      <c r="V157" s="11">
        <v>3317</v>
      </c>
      <c r="W157" s="433">
        <f ca="1">IF(V157="",164,INDEX(OFFSET(Arb!$I$2,,,Arb!$AJ$5,),V157))</f>
        <v>141</v>
      </c>
      <c r="X157" s="34">
        <f ca="1">IF(V157="",240,INDEX(OFFSET(Arb!$H$2,,,Arb!$AJ$5,),V157))</f>
        <v>68.7</v>
      </c>
      <c r="Y157" s="33">
        <f t="shared" ca="1" si="24"/>
        <v>2.052401746724891</v>
      </c>
      <c r="Z157" s="33">
        <f ca="1">IF(V157="","",INDEX(OFFSET(Arb!$X$2,,,Arb!$AJ$5,),V157)/X157)</f>
        <v>2.6637554585152836</v>
      </c>
      <c r="AA157" s="33">
        <f ca="1">IF(V157="","",(INDEX(OFFSET(Arb!$U$2,,,Arb!$AJ$5,),V157)+INDEX(OFFSET(Arb!$V$2,,,Arb!$AJ$5,),V157))/X157)</f>
        <v>2.9839883551673942</v>
      </c>
      <c r="AB157" s="33">
        <f t="shared" ca="1" si="25"/>
        <v>9.4103838860763371</v>
      </c>
      <c r="AC157" s="21">
        <f t="shared" ca="1" si="26"/>
        <v>46.225638110643942</v>
      </c>
      <c r="AD157" s="74">
        <f ca="1">IF(V157="","",DATE(INDEX(OFFSET(Arb!$C$2,,,Arb!$AJ$5,),V157),INDEX(OFFSET(Arb!$B$2,,,Arb!$AJ$5,),V157),INDEX(OFFSET(Arb!$A$2,,,Arb!$AJ$5,),V157))+ROW()*0.001)</f>
        <v>44094.156999999999</v>
      </c>
    </row>
    <row r="158" spans="1:30" x14ac:dyDescent="0.25">
      <c r="A158" s="11">
        <v>157</v>
      </c>
      <c r="B158" s="11">
        <v>1348</v>
      </c>
      <c r="C158" s="433">
        <f ca="1">IF(B158="",16,INDEX(OFFSET(Arb!$I$2,,,Arb!$AJ$5,),B158))</f>
        <v>12</v>
      </c>
      <c r="D158" s="34">
        <f ca="1">IF(B158="",10,INDEX(OFFSET(Arb!$H$2,,,Arb!$AJ$5,),B158))</f>
        <v>4.25</v>
      </c>
      <c r="E158" s="33">
        <f t="shared" ca="1" si="18"/>
        <v>2.8235294117647061</v>
      </c>
      <c r="F158" s="33">
        <f ca="1">IF(B158="","",INDEX(OFFSET(Arb!$X$2,,,Arb!$AJ$5,),B158)/D158)</f>
        <v>3.7647058823529411</v>
      </c>
      <c r="G158" s="33">
        <f ca="1">IF(B158="","",(INDEX(OFFSET(Arb!$U$2,,,Arb!$AJ$5,),B158)+INDEX(OFFSET(Arb!$V$2,,,Arb!$AJ$5,),B158))/D158)</f>
        <v>4.7058823529411766</v>
      </c>
      <c r="H158" s="33">
        <f t="shared" ca="1" si="19"/>
        <v>0.97516910812205981</v>
      </c>
      <c r="I158" s="21">
        <f t="shared" ca="1" si="20"/>
        <v>48.503382240118796</v>
      </c>
      <c r="J158" s="74">
        <f ca="1">IF(B158="","",DATE(INDEX(OFFSET(Arb!$C$2,,,Arb!$AJ$5,),B158),INDEX(OFFSET(Arb!$B$2,,,Arb!$AJ$5,),B158),INDEX(OFFSET(Arb!$A$2,,,Arb!$AJ$5,),B158))+ROW()*0.001)</f>
        <v>43935.158000000003</v>
      </c>
      <c r="K158" s="11">
        <v>157</v>
      </c>
      <c r="L158" s="11">
        <v>2086</v>
      </c>
      <c r="M158" s="433">
        <f ca="1">IF(L158="",64,INDEX(OFFSET(Arb!$I$2,,,Arb!$AJ$5,),L158))</f>
        <v>58</v>
      </c>
      <c r="N158" s="34">
        <f ca="1">IF(L158="",60,INDEX(OFFSET(Arb!$H$2,,,Arb!$AJ$5,),L158))</f>
        <v>23.5</v>
      </c>
      <c r="O158" s="33">
        <f t="shared" ca="1" si="21"/>
        <v>2.4680851063829787</v>
      </c>
      <c r="P158" s="33">
        <f ca="1">IF(L158="","",INDEX(OFFSET(Arb!$X$2,,,Arb!$AJ$5,),L158)/N158)</f>
        <v>3.1914893617021276</v>
      </c>
      <c r="Q158" s="33">
        <f ca="1">IF(L158="","",(INDEX(OFFSET(Arb!$U$2,,,Arb!$AJ$5,),L158)+INDEX(OFFSET(Arb!$V$2,,,Arb!$AJ$5,),L158))/N158)</f>
        <v>3.7872340425531914</v>
      </c>
      <c r="R158" s="33">
        <f t="shared" ca="1" si="22"/>
        <v>3.6930685779418466</v>
      </c>
      <c r="S158" s="21">
        <f t="shared" ca="1" si="23"/>
        <v>41.626630200751372</v>
      </c>
      <c r="T158" s="74">
        <f ca="1">IF(L158="","",DATE(INDEX(OFFSET(Arb!$C$2,,,Arb!$AJ$5,),L158),INDEX(OFFSET(Arb!$B$2,,,Arb!$AJ$5,),L158),INDEX(OFFSET(Arb!$A$2,,,Arb!$AJ$5,),L158))+ROW()*0.001)</f>
        <v>43809.158000000003</v>
      </c>
      <c r="U158" s="11">
        <v>157</v>
      </c>
      <c r="V158" s="11">
        <v>3297</v>
      </c>
      <c r="W158" s="433">
        <f ca="1">IF(V158="",164,INDEX(OFFSET(Arb!$I$2,,,Arb!$AJ$5,),V158))</f>
        <v>155</v>
      </c>
      <c r="X158" s="34">
        <f ca="1">IF(V158="",240,INDEX(OFFSET(Arb!$H$2,,,Arb!$AJ$5,),V158))</f>
        <v>68.77</v>
      </c>
      <c r="Y158" s="33">
        <f t="shared" ca="1" si="24"/>
        <v>2.2538897775192672</v>
      </c>
      <c r="Z158" s="33">
        <f ca="1">IF(V158="","",INDEX(OFFSET(Arb!$X$2,,,Arb!$AJ$5,),V158)/X158)</f>
        <v>2.9809509960738696</v>
      </c>
      <c r="AA158" s="33">
        <f ca="1">IF(V158="","",(INDEX(OFFSET(Arb!$U$2,,,Arb!$AJ$5,),V158)+INDEX(OFFSET(Arb!$V$2,,,Arb!$AJ$5,),V158))/X158)</f>
        <v>3.2863167078668027</v>
      </c>
      <c r="AB158" s="33">
        <f t="shared" ca="1" si="25"/>
        <v>8.5752470981251729</v>
      </c>
      <c r="AC158" s="21">
        <f t="shared" ca="1" si="26"/>
        <v>50.727517822210082</v>
      </c>
      <c r="AD158" s="74">
        <f ca="1">IF(V158="","",DATE(INDEX(OFFSET(Arb!$C$2,,,Arb!$AJ$5,),V158),INDEX(OFFSET(Arb!$B$2,,,Arb!$AJ$5,),V158),INDEX(OFFSET(Arb!$A$2,,,Arb!$AJ$5,),V158))+ROW()*0.001)</f>
        <v>44089.158000000003</v>
      </c>
    </row>
    <row r="159" spans="1:30" x14ac:dyDescent="0.25">
      <c r="A159" s="11">
        <v>158</v>
      </c>
      <c r="B159" s="11">
        <v>1287</v>
      </c>
      <c r="C159" s="433">
        <f ca="1">IF(B159="",16,INDEX(OFFSET(Arb!$I$2,,,Arb!$AJ$5,),B159))</f>
        <v>14</v>
      </c>
      <c r="D159" s="34">
        <f ca="1">IF(B159="",10,INDEX(OFFSET(Arb!$H$2,,,Arb!$AJ$5,),B159))</f>
        <v>4.25</v>
      </c>
      <c r="E159" s="33">
        <f t="shared" ca="1" si="18"/>
        <v>3.2941176470588234</v>
      </c>
      <c r="F159" s="33">
        <f ca="1">IF(B159="","",INDEX(OFFSET(Arb!$X$2,,,Arb!$AJ$5,),B159)/D159)</f>
        <v>4.2352941176470589</v>
      </c>
      <c r="G159" s="33">
        <f ca="1">IF(B159="","",(INDEX(OFFSET(Arb!$U$2,,,Arb!$AJ$5,),B159)+INDEX(OFFSET(Arb!$V$2,,,Arb!$AJ$5,),B159))/D159)</f>
        <v>4.9411764705882355</v>
      </c>
      <c r="H159" s="33">
        <f t="shared" ca="1" si="19"/>
        <v>0.83585923553319408</v>
      </c>
      <c r="I159" s="21">
        <f t="shared" ca="1" si="20"/>
        <v>56.587279280138596</v>
      </c>
      <c r="J159" s="74">
        <f ca="1">IF(B159="","",DATE(INDEX(OFFSET(Arb!$C$2,,,Arb!$AJ$5,),B159),INDEX(OFFSET(Arb!$B$2,,,Arb!$AJ$5,),B159),INDEX(OFFSET(Arb!$A$2,,,Arb!$AJ$5,),B159))+ROW()*0.001)</f>
        <v>43906.159</v>
      </c>
      <c r="K159" s="11">
        <v>158</v>
      </c>
      <c r="L159" s="11">
        <v>2369</v>
      </c>
      <c r="M159" s="433">
        <f ca="1">IF(L159="",64,INDEX(OFFSET(Arb!$I$2,,,Arb!$AJ$5,),L159))</f>
        <v>59</v>
      </c>
      <c r="N159" s="34">
        <f ca="1">IF(L159="",60,INDEX(OFFSET(Arb!$H$2,,,Arb!$AJ$5,),L159))</f>
        <v>23.52</v>
      </c>
      <c r="O159" s="33">
        <f t="shared" ca="1" si="21"/>
        <v>2.5085034013605441</v>
      </c>
      <c r="P159" s="33">
        <f ca="1">IF(L159="","",INDEX(OFFSET(Arb!$X$2,,,Arb!$AJ$5,),L159)/N159)</f>
        <v>2.9336734693877551</v>
      </c>
      <c r="Q159" s="33">
        <f ca="1">IF(L159="","",(INDEX(OFFSET(Arb!$U$2,,,Arb!$AJ$5,),L159)+INDEX(OFFSET(Arb!$V$2,,,Arb!$AJ$5,),L159))/N159)</f>
        <v>3.4863945578231292</v>
      </c>
      <c r="R159" s="33">
        <f t="shared" ca="1" si="22"/>
        <v>3.6357283606996469</v>
      </c>
      <c r="S159" s="21">
        <f t="shared" ca="1" si="23"/>
        <v>42.283136898163846</v>
      </c>
      <c r="T159" s="74">
        <f ca="1">IF(L159="","",DATE(INDEX(OFFSET(Arb!$C$2,,,Arb!$AJ$5,),L159),INDEX(OFFSET(Arb!$B$2,,,Arb!$AJ$5,),L159),INDEX(OFFSET(Arb!$A$2,,,Arb!$AJ$5,),L159))+ROW()*0.001)</f>
        <v>44114.159</v>
      </c>
      <c r="U159" s="11">
        <v>158</v>
      </c>
      <c r="V159" s="11">
        <v>2695</v>
      </c>
      <c r="W159" s="433">
        <f ca="1">IF(V159="",164,INDEX(OFFSET(Arb!$I$2,,,Arb!$AJ$5,),V159))</f>
        <v>133</v>
      </c>
      <c r="X159" s="34">
        <f ca="1">IF(V159="",240,INDEX(OFFSET(Arb!$H$2,,,Arb!$AJ$5,),V159))</f>
        <v>68.8</v>
      </c>
      <c r="Y159" s="33">
        <f t="shared" ca="1" si="24"/>
        <v>1.933139534883721</v>
      </c>
      <c r="Z159" s="33">
        <f ca="1">IF(V159="","",INDEX(OFFSET(Arb!$X$2,,,Arb!$AJ$5,),V159)/X159)</f>
        <v>2.3691860465116279</v>
      </c>
      <c r="AA159" s="33">
        <f ca="1">IF(V159="","",(INDEX(OFFSET(Arb!$U$2,,,Arb!$AJ$5,),V159)+INDEX(OFFSET(Arb!$V$2,,,Arb!$AJ$5,),V159))/X159)</f>
        <v>2.7470930232558142</v>
      </c>
      <c r="AB159" s="33">
        <f t="shared" ca="1" si="25"/>
        <v>10.001121514695125</v>
      </c>
      <c r="AC159" s="21">
        <f t="shared" ca="1" si="26"/>
        <v>43.495221946941875</v>
      </c>
      <c r="AD159" s="74">
        <f ca="1">IF(V159="","",DATE(INDEX(OFFSET(Arb!$C$2,,,Arb!$AJ$5,),V159),INDEX(OFFSET(Arb!$B$2,,,Arb!$AJ$5,),V159),INDEX(OFFSET(Arb!$A$2,,,Arb!$AJ$5,),V159))+ROW()*0.001)</f>
        <v>43839.159</v>
      </c>
    </row>
    <row r="160" spans="1:30" x14ac:dyDescent="0.25">
      <c r="A160" s="11">
        <v>159</v>
      </c>
      <c r="B160" s="11">
        <v>1290</v>
      </c>
      <c r="C160" s="433">
        <f ca="1">IF(B160="",16,INDEX(OFFSET(Arb!$I$2,,,Arb!$AJ$5,),B160))</f>
        <v>13</v>
      </c>
      <c r="D160" s="34">
        <f ca="1">IF(B160="",10,INDEX(OFFSET(Arb!$H$2,,,Arb!$AJ$5,),B160))</f>
        <v>4.26</v>
      </c>
      <c r="E160" s="33">
        <f t="shared" ca="1" si="18"/>
        <v>3.051643192488263</v>
      </c>
      <c r="F160" s="33">
        <f ca="1">IF(B160="","",INDEX(OFFSET(Arb!$X$2,,,Arb!$AJ$5,),B160)/D160)</f>
        <v>3.755868544600939</v>
      </c>
      <c r="G160" s="33">
        <f ca="1">IF(B160="","",(INDEX(OFFSET(Arb!$U$2,,,Arb!$AJ$5,),B160)+INDEX(OFFSET(Arb!$V$2,,,Arb!$AJ$5,),B160))/D160)</f>
        <v>4.2253521126760569</v>
      </c>
      <c r="H160" s="33">
        <f t="shared" ca="1" si="19"/>
        <v>0.90375968872712598</v>
      </c>
      <c r="I160" s="21">
        <f t="shared" ca="1" si="20"/>
        <v>52.335815139771171</v>
      </c>
      <c r="J160" s="74">
        <f ca="1">IF(B160="","",DATE(INDEX(OFFSET(Arb!$C$2,,,Arb!$AJ$5,),B160),INDEX(OFFSET(Arb!$B$2,,,Arb!$AJ$5,),B160),INDEX(OFFSET(Arb!$A$2,,,Arb!$AJ$5,),B160))+ROW()*0.001)</f>
        <v>43906.16</v>
      </c>
      <c r="K160" s="11">
        <v>159</v>
      </c>
      <c r="L160" s="11">
        <v>2245</v>
      </c>
      <c r="M160" s="433">
        <f ca="1">IF(L160="",64,INDEX(OFFSET(Arb!$I$2,,,Arb!$AJ$5,),L160))</f>
        <v>59</v>
      </c>
      <c r="N160" s="34">
        <f ca="1">IF(L160="",60,INDEX(OFFSET(Arb!$H$2,,,Arb!$AJ$5,),L160))</f>
        <v>23.56</v>
      </c>
      <c r="O160" s="33">
        <f t="shared" ca="1" si="21"/>
        <v>2.5042444821731751</v>
      </c>
      <c r="P160" s="33">
        <f ca="1">IF(L160="","",INDEX(OFFSET(Arb!$X$2,,,Arb!$AJ$5,),L160)/N160)</f>
        <v>3.268251273344652</v>
      </c>
      <c r="Q160" s="33">
        <f ca="1">IF(L160="","",(INDEX(OFFSET(Arb!$U$2,,,Arb!$AJ$5,),L160)+INDEX(OFFSET(Arb!$V$2,,,Arb!$AJ$5,),L160))/N160)</f>
        <v>3.5229202037351444</v>
      </c>
      <c r="R160" s="33">
        <f t="shared" ca="1" si="22"/>
        <v>3.6462460760035484</v>
      </c>
      <c r="S160" s="21">
        <f t="shared" ca="1" si="23"/>
        <v>42.161169815640932</v>
      </c>
      <c r="T160" s="74">
        <f ca="1">IF(L160="","",DATE(INDEX(OFFSET(Arb!$C$2,,,Arb!$AJ$5,),L160),INDEX(OFFSET(Arb!$B$2,,,Arb!$AJ$5,),L160),INDEX(OFFSET(Arb!$A$2,,,Arb!$AJ$5,),L160))+ROW()*0.001)</f>
        <v>43892.160000000003</v>
      </c>
      <c r="U160" s="11">
        <v>159</v>
      </c>
      <c r="V160" s="11">
        <v>2625</v>
      </c>
      <c r="W160" s="433">
        <f ca="1">IF(V160="",164,INDEX(OFFSET(Arb!$I$2,,,Arb!$AJ$5,),V160))</f>
        <v>139</v>
      </c>
      <c r="X160" s="34">
        <f ca="1">IF(V160="",240,INDEX(OFFSET(Arb!$H$2,,,Arb!$AJ$5,),V160))</f>
        <v>68.83</v>
      </c>
      <c r="Y160" s="33">
        <f t="shared" ca="1" si="24"/>
        <v>2.0194682551213132</v>
      </c>
      <c r="Z160" s="33">
        <f ca="1">IF(V160="","",INDEX(OFFSET(Arb!$X$2,,,Arb!$AJ$5,),V160)/X160)</f>
        <v>2.368153421473195</v>
      </c>
      <c r="AA160" s="33">
        <f ca="1">IF(V160="","",(INDEX(OFFSET(Arb!$U$2,,,Arb!$AJ$5,),V160)+INDEX(OFFSET(Arb!$V$2,,,Arb!$AJ$5,),V160))/X160)</f>
        <v>2.7313671364230716</v>
      </c>
      <c r="AB160" s="33">
        <f t="shared" ca="1" si="25"/>
        <v>9.5765131198732956</v>
      </c>
      <c r="AC160" s="21">
        <f t="shared" ca="1" si="26"/>
        <v>45.423735607616997</v>
      </c>
      <c r="AD160" s="74">
        <f ca="1">IF(V160="","",DATE(INDEX(OFFSET(Arb!$C$2,,,Arb!$AJ$5,),V160),INDEX(OFFSET(Arb!$B$2,,,Arb!$AJ$5,),V160),INDEX(OFFSET(Arb!$A$2,,,Arb!$AJ$5,),V160))+ROW()*0.001)</f>
        <v>43814.16</v>
      </c>
    </row>
    <row r="161" spans="1:30" x14ac:dyDescent="0.25">
      <c r="A161" s="11">
        <v>160</v>
      </c>
      <c r="B161" s="11">
        <v>784</v>
      </c>
      <c r="C161" s="433">
        <f ca="1">IF(B161="",16,INDEX(OFFSET(Arb!$I$2,,,Arb!$AJ$5,),B161))</f>
        <v>12</v>
      </c>
      <c r="D161" s="34">
        <f ca="1">IF(B161="",10,INDEX(OFFSET(Arb!$H$2,,,Arb!$AJ$5,),B161))</f>
        <v>4.26</v>
      </c>
      <c r="E161" s="33">
        <f t="shared" ca="1" si="18"/>
        <v>2.8169014084507045</v>
      </c>
      <c r="F161" s="33">
        <f ca="1">IF(B161="","",INDEX(OFFSET(Arb!$X$2,,,Arb!$AJ$5,),B161)/D161)</f>
        <v>3.990610328638498</v>
      </c>
      <c r="G161" s="33">
        <f ca="1">IF(B161="","",(INDEX(OFFSET(Arb!$U$2,,,Arb!$AJ$5,),B161)+INDEX(OFFSET(Arb!$V$2,,,Arb!$AJ$5,),B161))/D161)</f>
        <v>4.460093896713615</v>
      </c>
      <c r="H161" s="33">
        <f t="shared" ca="1" si="19"/>
        <v>0.97907299612105314</v>
      </c>
      <c r="I161" s="21">
        <f t="shared" ca="1" si="20"/>
        <v>48.309983205942615</v>
      </c>
      <c r="J161" s="74">
        <f ca="1">IF(B161="","",DATE(INDEX(OFFSET(Arb!$C$2,,,Arb!$AJ$5,),B161),INDEX(OFFSET(Arb!$B$2,,,Arb!$AJ$5,),B161),INDEX(OFFSET(Arb!$A$2,,,Arb!$AJ$5,),B161))+ROW()*0.001)</f>
        <v>43811.161</v>
      </c>
      <c r="K161" s="11">
        <v>160</v>
      </c>
      <c r="L161" s="11">
        <v>1965</v>
      </c>
      <c r="M161" s="433">
        <f ca="1">IF(L161="",64,INDEX(OFFSET(Arb!$I$2,,,Arb!$AJ$5,),L161))</f>
        <v>53</v>
      </c>
      <c r="N161" s="34">
        <f ca="1">IF(L161="",60,INDEX(OFFSET(Arb!$H$2,,,Arb!$AJ$5,),L161))</f>
        <v>23.57</v>
      </c>
      <c r="O161" s="33">
        <f t="shared" ca="1" si="21"/>
        <v>2.2486211285532458</v>
      </c>
      <c r="P161" s="33">
        <f ca="1">IF(L161="","",INDEX(OFFSET(Arb!$X$2,,,Arb!$AJ$5,),L161)/N161)</f>
        <v>2.8850233347475602</v>
      </c>
      <c r="Q161" s="33">
        <f ca="1">IF(L161="","",(INDEX(OFFSET(Arb!$U$2,,,Arb!$AJ$5,),L161)+INDEX(OFFSET(Arb!$V$2,,,Arb!$AJ$5,),L161))/N161)</f>
        <v>3.3517182859567245</v>
      </c>
      <c r="R161" s="33">
        <f t="shared" ca="1" si="22"/>
        <v>4.0619579264335899</v>
      </c>
      <c r="S161" s="21">
        <f t="shared" ca="1" si="23"/>
        <v>37.846280730675943</v>
      </c>
      <c r="T161" s="74">
        <f ca="1">IF(L161="","",DATE(INDEX(OFFSET(Arb!$C$2,,,Arb!$AJ$5,),L161),INDEX(OFFSET(Arb!$B$2,,,Arb!$AJ$5,),L161),INDEX(OFFSET(Arb!$A$2,,,Arb!$AJ$5,),L161))+ROW()*0.001)</f>
        <v>43779.161</v>
      </c>
      <c r="U161" s="11">
        <v>160</v>
      </c>
      <c r="V161" s="11">
        <v>2989</v>
      </c>
      <c r="W161" s="433">
        <f ca="1">IF(V161="",164,INDEX(OFFSET(Arb!$I$2,,,Arb!$AJ$5,),V161))</f>
        <v>180</v>
      </c>
      <c r="X161" s="34">
        <f ca="1">IF(V161="",240,INDEX(OFFSET(Arb!$H$2,,,Arb!$AJ$5,),V161))</f>
        <v>68.84</v>
      </c>
      <c r="Y161" s="33">
        <f t="shared" ca="1" si="24"/>
        <v>2.6147588611272514</v>
      </c>
      <c r="Z161" s="33">
        <f ca="1">IF(V161="","",INDEX(OFFSET(Arb!$X$2,,,Arb!$AJ$5,),V161)/X161)</f>
        <v>3.1231841952353281</v>
      </c>
      <c r="AA161" s="33">
        <f ca="1">IF(V161="","",(INDEX(OFFSET(Arb!$U$2,,,Arb!$AJ$5,),V161)+INDEX(OFFSET(Arb!$V$2,,,Arb!$AJ$5,),V161))/X161)</f>
        <v>3.471818710052295</v>
      </c>
      <c r="AB161" s="33">
        <f t="shared" ca="1" si="25"/>
        <v>7.3970228404011298</v>
      </c>
      <c r="AC161" s="21">
        <f t="shared" ca="1" si="26"/>
        <v>58.807578317063907</v>
      </c>
      <c r="AD161" s="74">
        <f ca="1">IF(V161="","",DATE(INDEX(OFFSET(Arb!$C$2,,,Arb!$AJ$5,),V161),INDEX(OFFSET(Arb!$B$2,,,Arb!$AJ$5,),V161),INDEX(OFFSET(Arb!$A$2,,,Arb!$AJ$5,),V161))+ROW()*0.001)</f>
        <v>43956.161</v>
      </c>
    </row>
    <row r="162" spans="1:30" x14ac:dyDescent="0.25">
      <c r="A162" s="11">
        <v>161</v>
      </c>
      <c r="B162" s="11">
        <v>98</v>
      </c>
      <c r="C162" s="433">
        <f ca="1">IF(B162="",16,INDEX(OFFSET(Arb!$I$2,,,Arb!$AJ$5,),B162))</f>
        <v>11</v>
      </c>
      <c r="D162" s="34">
        <f ca="1">IF(B162="",10,INDEX(OFFSET(Arb!$H$2,,,Arb!$AJ$5,),B162))</f>
        <v>4.26</v>
      </c>
      <c r="E162" s="33">
        <f t="shared" ca="1" si="18"/>
        <v>2.5821596244131455</v>
      </c>
      <c r="F162" s="33">
        <f ca="1">IF(B162="","",INDEX(OFFSET(Arb!$X$2,,,Arb!$AJ$5,),B162)/D162)</f>
        <v>2.8169014084507045</v>
      </c>
      <c r="G162" s="33">
        <f ca="1">IF(B162="","",(INDEX(OFFSET(Arb!$U$2,,,Arb!$AJ$5,),B162)+INDEX(OFFSET(Arb!$V$2,,,Arb!$AJ$5,),B162))/D162)</f>
        <v>3.755868544600939</v>
      </c>
      <c r="H162" s="33">
        <f t="shared" ca="1" si="19"/>
        <v>1.068079632132058</v>
      </c>
      <c r="I162" s="21">
        <f t="shared" ca="1" si="20"/>
        <v>44.284151272114066</v>
      </c>
      <c r="J162" s="74">
        <f ca="1">IF(B162="","",DATE(INDEX(OFFSET(Arb!$C$2,,,Arb!$AJ$5,),B162),INDEX(OFFSET(Arb!$B$2,,,Arb!$AJ$5,),B162),INDEX(OFFSET(Arb!$A$2,,,Arb!$AJ$5,),B162))+ROW()*0.001)</f>
        <v>43769.161999999997</v>
      </c>
      <c r="K162" s="11">
        <v>161</v>
      </c>
      <c r="L162" s="11">
        <v>2103</v>
      </c>
      <c r="M162" s="433">
        <f ca="1">IF(L162="",64,INDEX(OFFSET(Arb!$I$2,,,Arb!$AJ$5,),L162))</f>
        <v>58</v>
      </c>
      <c r="N162" s="34">
        <f ca="1">IF(L162="",60,INDEX(OFFSET(Arb!$H$2,,,Arb!$AJ$5,),L162))</f>
        <v>23.58</v>
      </c>
      <c r="O162" s="33">
        <f t="shared" ca="1" si="21"/>
        <v>2.4597116200169635</v>
      </c>
      <c r="P162" s="33">
        <f ca="1">IF(L162="","",INDEX(OFFSET(Arb!$X$2,,,Arb!$AJ$5,),L162)/N162)</f>
        <v>3.0958439355385923</v>
      </c>
      <c r="Q162" s="33">
        <f ca="1">IF(L162="","",(INDEX(OFFSET(Arb!$U$2,,,Arb!$AJ$5,),L162)+INDEX(OFFSET(Arb!$V$2,,,Arb!$AJ$5,),L162))/N162)</f>
        <v>3.4775233248515693</v>
      </c>
      <c r="R162" s="33">
        <f t="shared" ca="1" si="22"/>
        <v>3.7144666867658551</v>
      </c>
      <c r="S162" s="21">
        <f t="shared" ca="1" si="23"/>
        <v>41.386829648444362</v>
      </c>
      <c r="T162" s="74">
        <f ca="1">IF(L162="","",DATE(INDEX(OFFSET(Arb!$C$2,,,Arb!$AJ$5,),L162),INDEX(OFFSET(Arb!$B$2,,,Arb!$AJ$5,),L162),INDEX(OFFSET(Arb!$A$2,,,Arb!$AJ$5,),L162))+ROW()*0.001)</f>
        <v>43810.161999999997</v>
      </c>
      <c r="U162" s="11">
        <v>161</v>
      </c>
      <c r="V162" s="11">
        <v>3397</v>
      </c>
      <c r="W162" s="433">
        <f ca="1">IF(V162="",164,INDEX(OFFSET(Arb!$I$2,,,Arb!$AJ$5,),V162))</f>
        <v>153</v>
      </c>
      <c r="X162" s="34">
        <f ca="1">IF(V162="",240,INDEX(OFFSET(Arb!$H$2,,,Arb!$AJ$5,),V162))</f>
        <v>68.849999999999994</v>
      </c>
      <c r="Y162" s="33">
        <f t="shared" ca="1" si="24"/>
        <v>2.2222222222222223</v>
      </c>
      <c r="Z162" s="33">
        <f ca="1">IF(V162="","",INDEX(OFFSET(Arb!$X$2,,,Arb!$AJ$5,),V162)/X162)</f>
        <v>2.6870007262164126</v>
      </c>
      <c r="AA162" s="33">
        <f ca="1">IF(V162="","",(INDEX(OFFSET(Arb!$U$2,,,Arb!$AJ$5,),V162)+INDEX(OFFSET(Arb!$V$2,,,Arb!$AJ$5,),V162))/X162)</f>
        <v>2.9920116194626001</v>
      </c>
      <c r="AB162" s="33">
        <f t="shared" ca="1" si="25"/>
        <v>8.7045289693889618</v>
      </c>
      <c r="AC162" s="21">
        <f t="shared" ca="1" si="26"/>
        <v>49.974099865685901</v>
      </c>
      <c r="AD162" s="74">
        <f ca="1">IF(V162="","",DATE(INDEX(OFFSET(Arb!$C$2,,,Arb!$AJ$5,),V162),INDEX(OFFSET(Arb!$B$2,,,Arb!$AJ$5,),V162),INDEX(OFFSET(Arb!$A$2,,,Arb!$AJ$5,),V162))+ROW()*0.001)</f>
        <v>44144.161999999997</v>
      </c>
    </row>
    <row r="163" spans="1:30" x14ac:dyDescent="0.25">
      <c r="A163" s="11">
        <v>162</v>
      </c>
      <c r="B163" s="11">
        <v>149</v>
      </c>
      <c r="C163" s="433">
        <f ca="1">IF(B163="",16,INDEX(OFFSET(Arb!$I$2,,,Arb!$AJ$5,),B163))</f>
        <v>12</v>
      </c>
      <c r="D163" s="34">
        <f ca="1">IF(B163="",10,INDEX(OFFSET(Arb!$H$2,,,Arb!$AJ$5,),B163))</f>
        <v>4.2699999999999996</v>
      </c>
      <c r="E163" s="33">
        <f t="shared" ca="1" si="18"/>
        <v>2.8103044496487124</v>
      </c>
      <c r="F163" s="33">
        <f ca="1">IF(B163="","",INDEX(OFFSET(Arb!$X$2,,,Arb!$AJ$5,),B163)/D163)</f>
        <v>4.2154566744730682</v>
      </c>
      <c r="G163" s="33">
        <f ca="1">IF(B163="","",(INDEX(OFFSET(Arb!$U$2,,,Arb!$AJ$5,),B163)+INDEX(OFFSET(Arb!$V$2,,,Arb!$AJ$5,),B163))/D163)</f>
        <v>4.4496487119437944</v>
      </c>
      <c r="H163" s="33">
        <f t="shared" ca="1" si="19"/>
        <v>0.9829833042366124</v>
      </c>
      <c r="I163" s="21">
        <f t="shared" ca="1" si="20"/>
        <v>48.117806066637655</v>
      </c>
      <c r="J163" s="74">
        <f ca="1">IF(B163="","",DATE(INDEX(OFFSET(Arb!$C$2,,,Arb!$AJ$5,),B163),INDEX(OFFSET(Arb!$B$2,,,Arb!$AJ$5,),B163),INDEX(OFFSET(Arb!$A$2,,,Arb!$AJ$5,),B163))+ROW()*0.001)</f>
        <v>43772.163</v>
      </c>
      <c r="K163" s="11">
        <v>162</v>
      </c>
      <c r="L163" s="11">
        <v>1969</v>
      </c>
      <c r="M163" s="433">
        <f ca="1">IF(L163="",64,INDEX(OFFSET(Arb!$I$2,,,Arb!$AJ$5,),L163))</f>
        <v>57</v>
      </c>
      <c r="N163" s="34">
        <f ca="1">IF(L163="",60,INDEX(OFFSET(Arb!$H$2,,,Arb!$AJ$5,),L163))</f>
        <v>23.58</v>
      </c>
      <c r="O163" s="33">
        <f t="shared" ca="1" si="21"/>
        <v>2.4173027989821882</v>
      </c>
      <c r="P163" s="33">
        <f ca="1">IF(L163="","",INDEX(OFFSET(Arb!$X$2,,,Arb!$AJ$5,),L163)/N163)</f>
        <v>3.0958439355385923</v>
      </c>
      <c r="Q163" s="33">
        <f ca="1">IF(L163="","",(INDEX(OFFSET(Arb!$U$2,,,Arb!$AJ$5,),L163)+INDEX(OFFSET(Arb!$V$2,,,Arb!$AJ$5,),L163))/N163)</f>
        <v>3.6471586089906705</v>
      </c>
      <c r="R163" s="33">
        <f t="shared" ca="1" si="22"/>
        <v>3.7796327689898175</v>
      </c>
      <c r="S163" s="21">
        <f t="shared" ca="1" si="23"/>
        <v>40.673263620022908</v>
      </c>
      <c r="T163" s="74">
        <f ca="1">IF(L163="","",DATE(INDEX(OFFSET(Arb!$C$2,,,Arb!$AJ$5,),L163),INDEX(OFFSET(Arb!$B$2,,,Arb!$AJ$5,),L163),INDEX(OFFSET(Arb!$A$2,,,Arb!$AJ$5,),L163))+ROW()*0.001)</f>
        <v>43779.163</v>
      </c>
      <c r="U163" s="11">
        <v>162</v>
      </c>
      <c r="V163" s="11">
        <v>2809</v>
      </c>
      <c r="W163" s="433">
        <f ca="1">IF(V163="",164,INDEX(OFFSET(Arb!$I$2,,,Arb!$AJ$5,),V163))</f>
        <v>172</v>
      </c>
      <c r="X163" s="34">
        <f ca="1">IF(V163="",240,INDEX(OFFSET(Arb!$H$2,,,Arb!$AJ$5,),V163))</f>
        <v>68.849999999999994</v>
      </c>
      <c r="Y163" s="33">
        <f t="shared" ca="1" si="24"/>
        <v>2.4981844589687729</v>
      </c>
      <c r="Z163" s="33">
        <f ca="1">IF(V163="","",INDEX(OFFSET(Arb!$X$2,,,Arb!$AJ$5,),V163)/X163)</f>
        <v>3.0355846042120556</v>
      </c>
      <c r="AA163" s="33">
        <f ca="1">IF(V163="","",(INDEX(OFFSET(Arb!$U$2,,,Arb!$AJ$5,),V163)+INDEX(OFFSET(Arb!$V$2,,,Arb!$AJ$5,),V163))/X163)</f>
        <v>3.3260711692084244</v>
      </c>
      <c r="AB163" s="33">
        <f t="shared" ca="1" si="25"/>
        <v>7.7429821646308783</v>
      </c>
      <c r="AC163" s="21">
        <f t="shared" ca="1" si="26"/>
        <v>56.180033835934481</v>
      </c>
      <c r="AD163" s="74">
        <f ca="1">IF(V163="","",DATE(INDEX(OFFSET(Arb!$C$2,,,Arb!$AJ$5,),V163),INDEX(OFFSET(Arb!$B$2,,,Arb!$AJ$5,),V163),INDEX(OFFSET(Arb!$A$2,,,Arb!$AJ$5,),V163))+ROW()*0.001)</f>
        <v>43897.163</v>
      </c>
    </row>
    <row r="164" spans="1:30" x14ac:dyDescent="0.25">
      <c r="A164" s="11">
        <v>163</v>
      </c>
      <c r="B164" s="11">
        <v>1130</v>
      </c>
      <c r="C164" s="433">
        <f ca="1">IF(B164="",16,INDEX(OFFSET(Arb!$I$2,,,Arb!$AJ$5,),B164))</f>
        <v>12</v>
      </c>
      <c r="D164" s="34">
        <f ca="1">IF(B164="",10,INDEX(OFFSET(Arb!$H$2,,,Arb!$AJ$5,),B164))</f>
        <v>4.28</v>
      </c>
      <c r="E164" s="33">
        <f t="shared" ca="1" si="18"/>
        <v>2.8037383177570092</v>
      </c>
      <c r="F164" s="33">
        <f ca="1">IF(B164="","",INDEX(OFFSET(Arb!$X$2,,,Arb!$AJ$5,),B164)/D164)</f>
        <v>3.7383177570093458</v>
      </c>
      <c r="G164" s="33">
        <f ca="1">IF(B164="","",(INDEX(OFFSET(Arb!$U$2,,,Arb!$AJ$5,),B164)+INDEX(OFFSET(Arb!$V$2,,,Arb!$AJ$5,),B164))/D164)</f>
        <v>4.4392523364485976</v>
      </c>
      <c r="H164" s="33">
        <f t="shared" ca="1" si="19"/>
        <v>0.98690002795441101</v>
      </c>
      <c r="I164" s="21">
        <f t="shared" ca="1" si="20"/>
        <v>47.926840267740815</v>
      </c>
      <c r="J164" s="74">
        <f ca="1">IF(B164="","",DATE(INDEX(OFFSET(Arb!$C$2,,,Arb!$AJ$5,),B164),INDEX(OFFSET(Arb!$B$2,,,Arb!$AJ$5,),B164),INDEX(OFFSET(Arb!$A$2,,,Arb!$AJ$5,),B164))+ROW()*0.001)</f>
        <v>43854.163999999997</v>
      </c>
      <c r="K164" s="11">
        <v>163</v>
      </c>
      <c r="L164" s="11">
        <v>2130</v>
      </c>
      <c r="M164" s="433">
        <f ca="1">IF(L164="",64,INDEX(OFFSET(Arb!$I$2,,,Arb!$AJ$5,),L164))</f>
        <v>58</v>
      </c>
      <c r="N164" s="34">
        <f ca="1">IF(L164="",60,INDEX(OFFSET(Arb!$H$2,,,Arb!$AJ$5,),L164))</f>
        <v>23.59</v>
      </c>
      <c r="O164" s="33">
        <f t="shared" ca="1" si="21"/>
        <v>2.4586689275116576</v>
      </c>
      <c r="P164" s="33">
        <f ca="1">IF(L164="","",INDEX(OFFSET(Arb!$X$2,,,Arb!$AJ$5,),L164)/N164)</f>
        <v>2.8825773632895295</v>
      </c>
      <c r="Q164" s="33">
        <f ca="1">IF(L164="","",(INDEX(OFFSET(Arb!$U$2,,,Arb!$AJ$5,),L164)+INDEX(OFFSET(Arb!$V$2,,,Arb!$AJ$5,),L164))/N164)</f>
        <v>3.2640949554896141</v>
      </c>
      <c r="R164" s="33">
        <f t="shared" ca="1" si="22"/>
        <v>3.717145028838956</v>
      </c>
      <c r="S164" s="21">
        <f t="shared" ca="1" si="23"/>
        <v>41.357008889162792</v>
      </c>
      <c r="T164" s="74">
        <f ca="1">IF(L164="","",DATE(INDEX(OFFSET(Arb!$C$2,,,Arb!$AJ$5,),L164),INDEX(OFFSET(Arb!$B$2,,,Arb!$AJ$5,),L164),INDEX(OFFSET(Arb!$A$2,,,Arb!$AJ$5,),L164))+ROW()*0.001)</f>
        <v>43813.163999999997</v>
      </c>
      <c r="U164" s="11">
        <v>163</v>
      </c>
      <c r="V164" s="11">
        <v>3044</v>
      </c>
      <c r="W164" s="433">
        <f ca="1">IF(V164="",164,INDEX(OFFSET(Arb!$I$2,,,Arb!$AJ$5,),V164))</f>
        <v>155</v>
      </c>
      <c r="X164" s="34">
        <f ca="1">IF(V164="",240,INDEX(OFFSET(Arb!$H$2,,,Arb!$AJ$5,),V164))</f>
        <v>68.900000000000006</v>
      </c>
      <c r="Y164" s="33">
        <f t="shared" ca="1" si="24"/>
        <v>2.2496371552975325</v>
      </c>
      <c r="Z164" s="33">
        <f ca="1">IF(V164="","",INDEX(OFFSET(Arb!$X$2,,,Arb!$AJ$5,),V164)/X164)</f>
        <v>2.8011611030478951</v>
      </c>
      <c r="AA164" s="33">
        <f ca="1">IF(V164="","",(INDEX(OFFSET(Arb!$U$2,,,Arb!$AJ$5,),V164)+INDEX(OFFSET(Arb!$V$2,,,Arb!$AJ$5,),V164))/X164)</f>
        <v>3.0478955007256889</v>
      </c>
      <c r="AB164" s="33">
        <f t="shared" ca="1" si="25"/>
        <v>8.6028228322865221</v>
      </c>
      <c r="AC164" s="21">
        <f t="shared" ca="1" si="26"/>
        <v>50.564914386872495</v>
      </c>
      <c r="AD164" s="74">
        <f ca="1">IF(V164="","",DATE(INDEX(OFFSET(Arb!$C$2,,,Arb!$AJ$5,),V164),INDEX(OFFSET(Arb!$B$2,,,Arb!$AJ$5,),V164),INDEX(OFFSET(Arb!$A$2,,,Arb!$AJ$5,),V164))+ROW()*0.001)</f>
        <v>43980.163999999997</v>
      </c>
    </row>
    <row r="165" spans="1:30" x14ac:dyDescent="0.25">
      <c r="A165" s="11">
        <v>164</v>
      </c>
      <c r="B165" s="11">
        <v>872</v>
      </c>
      <c r="C165" s="433">
        <f ca="1">IF(B165="",16,INDEX(OFFSET(Arb!$I$2,,,Arb!$AJ$5,),B165))</f>
        <v>11</v>
      </c>
      <c r="D165" s="34">
        <f ca="1">IF(B165="",10,INDEX(OFFSET(Arb!$H$2,,,Arb!$AJ$5,),B165))</f>
        <v>4.28</v>
      </c>
      <c r="E165" s="33">
        <f t="shared" ca="1" si="18"/>
        <v>2.570093457943925</v>
      </c>
      <c r="F165" s="33">
        <f ca="1">IF(B165="","",INDEX(OFFSET(Arb!$X$2,,,Arb!$AJ$5,),B165)/D165)</f>
        <v>3.7383177570093458</v>
      </c>
      <c r="G165" s="33">
        <f ca="1">IF(B165="","",(INDEX(OFFSET(Arb!$U$2,,,Arb!$AJ$5,),B165)+INDEX(OFFSET(Arb!$V$2,,,Arb!$AJ$5,),B165))/D165)</f>
        <v>4.9065420560747661</v>
      </c>
      <c r="H165" s="33">
        <f t="shared" ca="1" si="19"/>
        <v>1.076618212313903</v>
      </c>
      <c r="I165" s="21">
        <f t="shared" ca="1" si="20"/>
        <v>43.932936912095741</v>
      </c>
      <c r="J165" s="74">
        <f ca="1">IF(B165="","",DATE(INDEX(OFFSET(Arb!$C$2,,,Arb!$AJ$5,),B165),INDEX(OFFSET(Arb!$B$2,,,Arb!$AJ$5,),B165),INDEX(OFFSET(Arb!$A$2,,,Arb!$AJ$5,),B165))+ROW()*0.001)</f>
        <v>43818.165000000001</v>
      </c>
      <c r="K165" s="11">
        <v>164</v>
      </c>
      <c r="L165" s="11">
        <v>2034</v>
      </c>
      <c r="M165" s="433">
        <f ca="1">IF(L165="",64,INDEX(OFFSET(Arb!$I$2,,,Arb!$AJ$5,),L165))</f>
        <v>53</v>
      </c>
      <c r="N165" s="34">
        <f ca="1">IF(L165="",60,INDEX(OFFSET(Arb!$H$2,,,Arb!$AJ$5,),L165))</f>
        <v>23.59</v>
      </c>
      <c r="O165" s="33">
        <f t="shared" ca="1" si="21"/>
        <v>2.2467147096227214</v>
      </c>
      <c r="P165" s="33">
        <f ca="1">IF(L165="","",INDEX(OFFSET(Arb!$X$2,,,Arb!$AJ$5,),L165)/N165)</f>
        <v>2.755404832556168</v>
      </c>
      <c r="Q165" s="33">
        <f ca="1">IF(L165="","",(INDEX(OFFSET(Arb!$U$2,,,Arb!$AJ$5,),L165)+INDEX(OFFSET(Arb!$V$2,,,Arb!$AJ$5,),L165))/N165)</f>
        <v>3.433658329800763</v>
      </c>
      <c r="R165" s="33">
        <f t="shared" ca="1" si="22"/>
        <v>4.067819088163386</v>
      </c>
      <c r="S165" s="21">
        <f t="shared" ca="1" si="23"/>
        <v>37.791749502165999</v>
      </c>
      <c r="T165" s="74">
        <f ca="1">IF(L165="","",DATE(INDEX(OFFSET(Arb!$C$2,,,Arb!$AJ$5,),L165),INDEX(OFFSET(Arb!$B$2,,,Arb!$AJ$5,),L165),INDEX(OFFSET(Arb!$A$2,,,Arb!$AJ$5,),L165))+ROW()*0.001)</f>
        <v>43797.165000000001</v>
      </c>
      <c r="U165" s="11">
        <v>164</v>
      </c>
      <c r="V165" s="11">
        <v>2844</v>
      </c>
      <c r="W165" s="433">
        <f ca="1">IF(V165="",164,INDEX(OFFSET(Arb!$I$2,,,Arb!$AJ$5,),V165))</f>
        <v>165</v>
      </c>
      <c r="X165" s="34">
        <f ca="1">IF(V165="",240,INDEX(OFFSET(Arb!$H$2,,,Arb!$AJ$5,),V165))</f>
        <v>68.930000000000007</v>
      </c>
      <c r="Y165" s="33">
        <f t="shared" ca="1" si="24"/>
        <v>2.3937327723777742</v>
      </c>
      <c r="Z165" s="33">
        <f ca="1">IF(V165="","",INDEX(OFFSET(Arb!$X$2,,,Arb!$AJ$5,),V165)/X165)</f>
        <v>3.0175540403307699</v>
      </c>
      <c r="AA165" s="33">
        <f ca="1">IF(V165="","",(INDEX(OFFSET(Arb!$U$2,,,Arb!$AJ$5,),V165)+INDEX(OFFSET(Arb!$V$2,,,Arb!$AJ$5,),V165))/X165)</f>
        <v>3.4092557667198604</v>
      </c>
      <c r="AB165" s="33">
        <f t="shared" ca="1" si="25"/>
        <v>8.0874224493201901</v>
      </c>
      <c r="AC165" s="21">
        <f t="shared" ca="1" si="26"/>
        <v>53.787347294633427</v>
      </c>
      <c r="AD165" s="74">
        <f ca="1">IF(V165="","",DATE(INDEX(OFFSET(Arb!$C$2,,,Arb!$AJ$5,),V165),INDEX(OFFSET(Arb!$B$2,,,Arb!$AJ$5,),V165),INDEX(OFFSET(Arb!$A$2,,,Arb!$AJ$5,),V165))+ROW()*0.001)</f>
        <v>43904.165000000001</v>
      </c>
    </row>
    <row r="166" spans="1:30" x14ac:dyDescent="0.25">
      <c r="A166" s="11">
        <v>165</v>
      </c>
      <c r="B166" s="11">
        <v>598</v>
      </c>
      <c r="C166" s="433">
        <f ca="1">IF(B166="",16,INDEX(OFFSET(Arb!$I$2,,,Arb!$AJ$5,),B166))</f>
        <v>11</v>
      </c>
      <c r="D166" s="34">
        <f ca="1">IF(B166="",10,INDEX(OFFSET(Arb!$H$2,,,Arb!$AJ$5,),B166))</f>
        <v>4.28</v>
      </c>
      <c r="E166" s="33">
        <f t="shared" ca="1" si="18"/>
        <v>2.570093457943925</v>
      </c>
      <c r="F166" s="33">
        <f ca="1">IF(B166="","",INDEX(OFFSET(Arb!$X$2,,,Arb!$AJ$5,),B166)/D166)</f>
        <v>3.9719626168224296</v>
      </c>
      <c r="G166" s="33">
        <f ca="1">IF(B166="","",(INDEX(OFFSET(Arb!$U$2,,,Arb!$AJ$5,),B166)+INDEX(OFFSET(Arb!$V$2,,,Arb!$AJ$5,),B166))/D166)</f>
        <v>4.2056074766355138</v>
      </c>
      <c r="H166" s="33">
        <f t="shared" ca="1" si="19"/>
        <v>1.076618212313903</v>
      </c>
      <c r="I166" s="21">
        <f t="shared" ca="1" si="20"/>
        <v>43.932936912095741</v>
      </c>
      <c r="J166" s="74">
        <f ca="1">IF(B166="","",DATE(INDEX(OFFSET(Arb!$C$2,,,Arb!$AJ$5,),B166),INDEX(OFFSET(Arb!$B$2,,,Arb!$AJ$5,),B166),INDEX(OFFSET(Arb!$A$2,,,Arb!$AJ$5,),B166))+ROW()*0.001)</f>
        <v>43798.165999999997</v>
      </c>
      <c r="K166" s="11">
        <v>165</v>
      </c>
      <c r="L166" s="11">
        <v>2093</v>
      </c>
      <c r="M166" s="433">
        <f ca="1">IF(L166="",64,INDEX(OFFSET(Arb!$I$2,,,Arb!$AJ$5,),L166))</f>
        <v>51</v>
      </c>
      <c r="N166" s="34">
        <f ca="1">IF(L166="",60,INDEX(OFFSET(Arb!$H$2,,,Arb!$AJ$5,),L166))</f>
        <v>23.6</v>
      </c>
      <c r="O166" s="33">
        <f t="shared" ca="1" si="21"/>
        <v>2.1610169491525424</v>
      </c>
      <c r="P166" s="33">
        <f ca="1">IF(L166="","",INDEX(OFFSET(Arb!$X$2,,,Arb!$AJ$5,),L166)/N166)</f>
        <v>3.0932203389830506</v>
      </c>
      <c r="Q166" s="33">
        <f ca="1">IF(L166="","",(INDEX(OFFSET(Arb!$U$2,,,Arb!$AJ$5,),L166)+INDEX(OFFSET(Arb!$V$2,,,Arb!$AJ$5,),L166))/N166)</f>
        <v>3.6864406779661016</v>
      </c>
      <c r="R166" s="33">
        <f t="shared" ca="1" si="22"/>
        <v>4.23038826697716</v>
      </c>
      <c r="S166" s="21">
        <f t="shared" ca="1" si="23"/>
        <v>36.339454040195783</v>
      </c>
      <c r="T166" s="74">
        <f ca="1">IF(L166="","",DATE(INDEX(OFFSET(Arb!$C$2,,,Arb!$AJ$5,),L166),INDEX(OFFSET(Arb!$B$2,,,Arb!$AJ$5,),L166),INDEX(OFFSET(Arb!$A$2,,,Arb!$AJ$5,),L166))+ROW()*0.001)</f>
        <v>43809.165999999997</v>
      </c>
      <c r="U166" s="11">
        <v>165</v>
      </c>
      <c r="V166" s="11">
        <v>2703</v>
      </c>
      <c r="W166" s="433">
        <f ca="1">IF(V166="",164,INDEX(OFFSET(Arb!$I$2,,,Arb!$AJ$5,),V166))</f>
        <v>146</v>
      </c>
      <c r="X166" s="34">
        <f ca="1">IF(V166="",240,INDEX(OFFSET(Arb!$H$2,,,Arb!$AJ$5,),V166))</f>
        <v>68.959999999999994</v>
      </c>
      <c r="Y166" s="33">
        <f t="shared" ca="1" si="24"/>
        <v>2.117169373549884</v>
      </c>
      <c r="Z166" s="33">
        <f ca="1">IF(V166="","",INDEX(OFFSET(Arb!$X$2,,,Arb!$AJ$5,),V166)/X166)</f>
        <v>2.653712296983759</v>
      </c>
      <c r="AA166" s="33">
        <f ca="1">IF(V166="","",(INDEX(OFFSET(Arb!$U$2,,,Arb!$AJ$5,),V166)+INDEX(OFFSET(Arb!$V$2,,,Arb!$AJ$5,),V166))/X166)</f>
        <v>3.0017401392111371</v>
      </c>
      <c r="AB166" s="33">
        <f t="shared" ca="1" si="25"/>
        <v>9.146658699066716</v>
      </c>
      <c r="AC166" s="21">
        <f t="shared" ca="1" si="26"/>
        <v>47.558459795202104</v>
      </c>
      <c r="AD166" s="74">
        <f ca="1">IF(V166="","",DATE(INDEX(OFFSET(Arb!$C$2,,,Arb!$AJ$5,),V166),INDEX(OFFSET(Arb!$B$2,,,Arb!$AJ$5,),V166),INDEX(OFFSET(Arb!$A$2,,,Arb!$AJ$5,),V166))+ROW()*0.001)</f>
        <v>43841.165999999997</v>
      </c>
    </row>
    <row r="167" spans="1:30" x14ac:dyDescent="0.25">
      <c r="A167" s="11">
        <v>166</v>
      </c>
      <c r="B167" s="11">
        <v>495</v>
      </c>
      <c r="C167" s="433">
        <f ca="1">IF(B167="",16,INDEX(OFFSET(Arb!$I$2,,,Arb!$AJ$5,),B167))</f>
        <v>14</v>
      </c>
      <c r="D167" s="34">
        <f ca="1">IF(B167="",10,INDEX(OFFSET(Arb!$H$2,,,Arb!$AJ$5,),B167))</f>
        <v>4.28</v>
      </c>
      <c r="E167" s="33">
        <f t="shared" ca="1" si="18"/>
        <v>3.2710280373831773</v>
      </c>
      <c r="F167" s="33">
        <f ca="1">IF(B167="","",INDEX(OFFSET(Arb!$X$2,,,Arb!$AJ$5,),B167)/D167)</f>
        <v>3.7383177570093458</v>
      </c>
      <c r="G167" s="33">
        <f ca="1">IF(B167="","",(INDEX(OFFSET(Arb!$U$2,,,Arb!$AJ$5,),B167)+INDEX(OFFSET(Arb!$V$2,,,Arb!$AJ$5,),B167))/D167)</f>
        <v>4.9065420560747661</v>
      </c>
      <c r="H167" s="33">
        <f t="shared" ca="1" si="19"/>
        <v>0.84591430967520942</v>
      </c>
      <c r="I167" s="21">
        <f t="shared" ca="1" si="20"/>
        <v>55.914646979030948</v>
      </c>
      <c r="J167" s="74">
        <f ca="1">IF(B167="","",DATE(INDEX(OFFSET(Arb!$C$2,,,Arb!$AJ$5,),B167),INDEX(OFFSET(Arb!$B$2,,,Arb!$AJ$5,),B167),INDEX(OFFSET(Arb!$A$2,,,Arb!$AJ$5,),B167))+ROW()*0.001)</f>
        <v>43788.167000000001</v>
      </c>
      <c r="K167" s="11">
        <v>166</v>
      </c>
      <c r="L167" s="11">
        <v>2259</v>
      </c>
      <c r="M167" s="433">
        <f ca="1">IF(L167="",64,INDEX(OFFSET(Arb!$I$2,,,Arb!$AJ$5,),L167))</f>
        <v>55</v>
      </c>
      <c r="N167" s="34">
        <f ca="1">IF(L167="",60,INDEX(OFFSET(Arb!$H$2,,,Arb!$AJ$5,),L167))</f>
        <v>23.62</v>
      </c>
      <c r="O167" s="33">
        <f t="shared" ca="1" si="21"/>
        <v>2.3285351397121081</v>
      </c>
      <c r="P167" s="33">
        <f ca="1">IF(L167="","",INDEX(OFFSET(Arb!$X$2,,,Arb!$AJ$5,),L167)/N167)</f>
        <v>3.1752751905165111</v>
      </c>
      <c r="Q167" s="33">
        <f ca="1">IF(L167="","",(INDEX(OFFSET(Arb!$U$2,,,Arb!$AJ$5,),L167)+INDEX(OFFSET(Arb!$V$2,,,Arb!$AJ$5,),L167))/N167)</f>
        <v>3.6833192209991532</v>
      </c>
      <c r="R167" s="33">
        <f t="shared" ca="1" si="22"/>
        <v>3.9283767234100186</v>
      </c>
      <c r="S167" s="21">
        <f t="shared" ca="1" si="23"/>
        <v>39.133212220684122</v>
      </c>
      <c r="T167" s="74">
        <f ca="1">IF(L167="","",DATE(INDEX(OFFSET(Arb!$C$2,,,Arb!$AJ$5,),L167),INDEX(OFFSET(Arb!$B$2,,,Arb!$AJ$5,),L167),INDEX(OFFSET(Arb!$A$2,,,Arb!$AJ$5,),L167))+ROW()*0.001)</f>
        <v>43901.167000000001</v>
      </c>
      <c r="U167" s="11">
        <v>166</v>
      </c>
      <c r="V167" s="11">
        <v>3320</v>
      </c>
      <c r="W167" s="433">
        <f ca="1">IF(V167="",164,INDEX(OFFSET(Arb!$I$2,,,Arb!$AJ$5,),V167))</f>
        <v>180</v>
      </c>
      <c r="X167" s="34">
        <f ca="1">IF(V167="",240,INDEX(OFFSET(Arb!$H$2,,,Arb!$AJ$5,),V167))</f>
        <v>68.98</v>
      </c>
      <c r="Y167" s="33">
        <f t="shared" ca="1" si="24"/>
        <v>2.6094520150768337</v>
      </c>
      <c r="Z167" s="33">
        <f ca="1">IF(V167="","",INDEX(OFFSET(Arb!$X$2,,,Arb!$AJ$5,),V167)/X167)</f>
        <v>3.203827196288779</v>
      </c>
      <c r="AA167" s="33">
        <f ca="1">IF(V167="","",(INDEX(OFFSET(Arb!$U$2,,,Arb!$AJ$5,),V167)+INDEX(OFFSET(Arb!$V$2,,,Arb!$AJ$5,),V167))/X167)</f>
        <v>3.5952449985503043</v>
      </c>
      <c r="AB167" s="33">
        <f t="shared" ca="1" si="25"/>
        <v>7.4226147098253668</v>
      </c>
      <c r="AC167" s="21">
        <f t="shared" ca="1" si="26"/>
        <v>58.60482013490288</v>
      </c>
      <c r="AD167" s="74">
        <f ca="1">IF(V167="","",DATE(INDEX(OFFSET(Arb!$C$2,,,Arb!$AJ$5,),V167),INDEX(OFFSET(Arb!$B$2,,,Arb!$AJ$5,),V167),INDEX(OFFSET(Arb!$A$2,,,Arb!$AJ$5,),V167))+ROW()*0.001)</f>
        <v>44095.167000000001</v>
      </c>
    </row>
    <row r="168" spans="1:30" x14ac:dyDescent="0.25">
      <c r="A168" s="11">
        <v>167</v>
      </c>
      <c r="B168" s="11">
        <v>1725</v>
      </c>
      <c r="C168" s="433">
        <f ca="1">IF(B168="",16,INDEX(OFFSET(Arb!$I$2,,,Arb!$AJ$5,),B168))</f>
        <v>14</v>
      </c>
      <c r="D168" s="34">
        <f ca="1">IF(B168="",10,INDEX(OFFSET(Arb!$H$2,,,Arb!$AJ$5,),B168))</f>
        <v>4.29</v>
      </c>
      <c r="E168" s="33">
        <f t="shared" ca="1" si="18"/>
        <v>3.2634032634032635</v>
      </c>
      <c r="F168" s="33">
        <f ca="1">IF(B168="","",INDEX(OFFSET(Arb!$X$2,,,Arb!$AJ$5,),B168)/D168)</f>
        <v>4.895104895104895</v>
      </c>
      <c r="G168" s="33">
        <f ca="1">IF(B168="","",(INDEX(OFFSET(Arb!$U$2,,,Arb!$AJ$5,),B168)+INDEX(OFFSET(Arb!$V$2,,,Arb!$AJ$5,),B168))/D168)</f>
        <v>5.5944055944055942</v>
      </c>
      <c r="H168" s="33">
        <f t="shared" ca="1" si="19"/>
        <v>0.84927699666329382</v>
      </c>
      <c r="I168" s="21">
        <f t="shared" ca="1" si="20"/>
        <v>55.693254598713999</v>
      </c>
      <c r="J168" s="74">
        <f ca="1">IF(B168="","",DATE(INDEX(OFFSET(Arb!$C$2,,,Arb!$AJ$5,),B168),INDEX(OFFSET(Arb!$B$2,,,Arb!$AJ$5,),B168),INDEX(OFFSET(Arb!$A$2,,,Arb!$AJ$5,),B168))+ROW()*0.001)</f>
        <v>44107.167999999998</v>
      </c>
      <c r="K168" s="11">
        <v>167</v>
      </c>
      <c r="L168" s="11">
        <v>1987</v>
      </c>
      <c r="M168" s="433">
        <f ca="1">IF(L168="",64,INDEX(OFFSET(Arb!$I$2,,,Arb!$AJ$5,),L168))</f>
        <v>64</v>
      </c>
      <c r="N168" s="34">
        <f ca="1">IF(L168="",60,INDEX(OFFSET(Arb!$H$2,,,Arb!$AJ$5,),L168))</f>
        <v>23.62</v>
      </c>
      <c r="O168" s="33">
        <f t="shared" ca="1" si="21"/>
        <v>2.7095681625740897</v>
      </c>
      <c r="P168" s="33">
        <f ca="1">IF(L168="","",INDEX(OFFSET(Arb!$X$2,,,Arb!$AJ$5,),L168)/N168)</f>
        <v>3.2176121930567314</v>
      </c>
      <c r="Q168" s="33">
        <f ca="1">IF(L168="","",(INDEX(OFFSET(Arb!$U$2,,,Arb!$AJ$5,),L168)+INDEX(OFFSET(Arb!$V$2,,,Arb!$AJ$5,),L168))/N168)</f>
        <v>3.5563082133784927</v>
      </c>
      <c r="R168" s="33">
        <f t="shared" ca="1" si="22"/>
        <v>3.3759487466804847</v>
      </c>
      <c r="S168" s="21">
        <f t="shared" ca="1" si="23"/>
        <v>45.53682876588698</v>
      </c>
      <c r="T168" s="74">
        <f ca="1">IF(L168="","",DATE(INDEX(OFFSET(Arb!$C$2,,,Arb!$AJ$5,),L168),INDEX(OFFSET(Arb!$B$2,,,Arb!$AJ$5,),L168),INDEX(OFFSET(Arb!$A$2,,,Arb!$AJ$5,),L168))+ROW()*0.001)</f>
        <v>43784.167999999998</v>
      </c>
      <c r="U168" s="11">
        <v>167</v>
      </c>
      <c r="V168" s="11">
        <v>3259</v>
      </c>
      <c r="W168" s="433">
        <f ca="1">IF(V168="",164,INDEX(OFFSET(Arb!$I$2,,,Arb!$AJ$5,),V168))</f>
        <v>160</v>
      </c>
      <c r="X168" s="34">
        <f ca="1">IF(V168="",240,INDEX(OFFSET(Arb!$H$2,,,Arb!$AJ$5,),V168))</f>
        <v>68.989999999999995</v>
      </c>
      <c r="Y168" s="33">
        <f t="shared" ca="1" si="24"/>
        <v>2.3191766922742429</v>
      </c>
      <c r="Z168" s="33">
        <f ca="1">IF(V168="","",INDEX(OFFSET(Arb!$X$2,,,Arb!$AJ$5,),V168)/X168)</f>
        <v>2.6380634874619511</v>
      </c>
      <c r="AA168" s="33">
        <f ca="1">IF(V168="","",(INDEX(OFFSET(Arb!$U$2,,,Arb!$AJ$5,),V168)+INDEX(OFFSET(Arb!$V$2,,,Arb!$AJ$5,),V168))/X168)</f>
        <v>2.9424554283229454</v>
      </c>
      <c r="AB168" s="33">
        <f t="shared" ca="1" si="25"/>
        <v>8.352499604643004</v>
      </c>
      <c r="AC168" s="21">
        <f t="shared" ca="1" si="26"/>
        <v>52.080337694142571</v>
      </c>
      <c r="AD168" s="74">
        <f ca="1">IF(V168="","",DATE(INDEX(OFFSET(Arb!$C$2,,,Arb!$AJ$5,),V168),INDEX(OFFSET(Arb!$B$2,,,Arb!$AJ$5,),V168),INDEX(OFFSET(Arb!$A$2,,,Arb!$AJ$5,),V168))+ROW()*0.001)</f>
        <v>44071.167999999998</v>
      </c>
    </row>
    <row r="169" spans="1:30" x14ac:dyDescent="0.25">
      <c r="A169" s="11">
        <v>168</v>
      </c>
      <c r="B169" s="11">
        <v>1654</v>
      </c>
      <c r="C169" s="433">
        <f ca="1">IF(B169="",16,INDEX(OFFSET(Arb!$I$2,,,Arb!$AJ$5,),B169))</f>
        <v>14</v>
      </c>
      <c r="D169" s="34">
        <f ca="1">IF(B169="",10,INDEX(OFFSET(Arb!$H$2,,,Arb!$AJ$5,),B169))</f>
        <v>4.29</v>
      </c>
      <c r="E169" s="33">
        <f t="shared" ca="1" si="18"/>
        <v>3.2634032634032635</v>
      </c>
      <c r="F169" s="33">
        <f ca="1">IF(B169="","",INDEX(OFFSET(Arb!$X$2,,,Arb!$AJ$5,),B169)/D169)</f>
        <v>3.9627039627039626</v>
      </c>
      <c r="G169" s="33">
        <f ca="1">IF(B169="","",(INDEX(OFFSET(Arb!$U$2,,,Arb!$AJ$5,),B169)+INDEX(OFFSET(Arb!$V$2,,,Arb!$AJ$5,),B169))/D169)</f>
        <v>4.1958041958041958</v>
      </c>
      <c r="H169" s="33">
        <f t="shared" ca="1" si="19"/>
        <v>0.84927699666329382</v>
      </c>
      <c r="I169" s="21">
        <f t="shared" ca="1" si="20"/>
        <v>55.693254598713999</v>
      </c>
      <c r="J169" s="74">
        <f ca="1">IF(B169="","",DATE(INDEX(OFFSET(Arb!$C$2,,,Arb!$AJ$5,),B169),INDEX(OFFSET(Arb!$B$2,,,Arb!$AJ$5,),B169),INDEX(OFFSET(Arb!$A$2,,,Arb!$AJ$5,),B169))+ROW()*0.001)</f>
        <v>44096.169000000002</v>
      </c>
      <c r="K169" s="11">
        <v>168</v>
      </c>
      <c r="L169" s="11">
        <v>1991</v>
      </c>
      <c r="M169" s="433">
        <f ca="1">IF(L169="",64,INDEX(OFFSET(Arb!$I$2,,,Arb!$AJ$5,),L169))</f>
        <v>56</v>
      </c>
      <c r="N169" s="34">
        <f ca="1">IF(L169="",60,INDEX(OFFSET(Arb!$H$2,,,Arb!$AJ$5,),L169))</f>
        <v>23.66</v>
      </c>
      <c r="O169" s="33">
        <f t="shared" ca="1" si="21"/>
        <v>2.3668639053254439</v>
      </c>
      <c r="P169" s="33">
        <f ca="1">IF(L169="","",INDEX(OFFSET(Arb!$X$2,,,Arb!$AJ$5,),L169)/N169)</f>
        <v>2.9585798816568047</v>
      </c>
      <c r="Q169" s="33">
        <f ca="1">IF(L169="","",(INDEX(OFFSET(Arb!$U$2,,,Arb!$AJ$5,),L169)+INDEX(OFFSET(Arb!$V$2,,,Arb!$AJ$5,),L169))/N169)</f>
        <v>3.1699070160608622</v>
      </c>
      <c r="R169" s="33">
        <f t="shared" ca="1" si="22"/>
        <v>3.8693412340808302</v>
      </c>
      <c r="S169" s="21">
        <f t="shared" ca="1" si="23"/>
        <v>39.730277248736598</v>
      </c>
      <c r="T169" s="74">
        <f ca="1">IF(L169="","",DATE(INDEX(OFFSET(Arb!$C$2,,,Arb!$AJ$5,),L169),INDEX(OFFSET(Arb!$B$2,,,Arb!$AJ$5,),L169),INDEX(OFFSET(Arb!$A$2,,,Arb!$AJ$5,),L169))+ROW()*0.001)</f>
        <v>43784.169000000002</v>
      </c>
      <c r="U169" s="11">
        <v>168</v>
      </c>
      <c r="V169" s="11">
        <v>3163</v>
      </c>
      <c r="W169" s="433">
        <f ca="1">IF(V169="",164,INDEX(OFFSET(Arb!$I$2,,,Arb!$AJ$5,),V169))</f>
        <v>148</v>
      </c>
      <c r="X169" s="34">
        <f ca="1">IF(V169="",240,INDEX(OFFSET(Arb!$H$2,,,Arb!$AJ$5,),V169))</f>
        <v>69.06</v>
      </c>
      <c r="Y169" s="33">
        <f t="shared" ca="1" si="24"/>
        <v>2.1430640023168257</v>
      </c>
      <c r="Z169" s="33">
        <f ca="1">IF(V169="","",INDEX(OFFSET(Arb!$X$2,,,Arb!$AJ$5,),V169)/X169)</f>
        <v>2.8091514624963798</v>
      </c>
      <c r="AA169" s="33">
        <f ca="1">IF(V169="","",(INDEX(OFFSET(Arb!$U$2,,,Arb!$AJ$5,),V169)+INDEX(OFFSET(Arb!$V$2,,,Arb!$AJ$5,),V169))/X169)</f>
        <v>3.1566753547639732</v>
      </c>
      <c r="AB169" s="33">
        <f t="shared" ca="1" si="25"/>
        <v>9.0453101015971455</v>
      </c>
      <c r="AC169" s="21">
        <f t="shared" ca="1" si="26"/>
        <v>48.091330768548346</v>
      </c>
      <c r="AD169" s="74">
        <f ca="1">IF(V169="","",DATE(INDEX(OFFSET(Arb!$C$2,,,Arb!$AJ$5,),V169),INDEX(OFFSET(Arb!$B$2,,,Arb!$AJ$5,),V169),INDEX(OFFSET(Arb!$A$2,,,Arb!$AJ$5,),V169))+ROW()*0.001)</f>
        <v>44032.169000000002</v>
      </c>
    </row>
    <row r="170" spans="1:30" x14ac:dyDescent="0.25">
      <c r="A170" s="11">
        <v>169</v>
      </c>
      <c r="B170" s="11">
        <v>1011</v>
      </c>
      <c r="C170" s="433">
        <f ca="1">IF(B170="",16,INDEX(OFFSET(Arb!$I$2,,,Arb!$AJ$5,),B170))</f>
        <v>11</v>
      </c>
      <c r="D170" s="34">
        <f ca="1">IF(B170="",10,INDEX(OFFSET(Arb!$H$2,,,Arb!$AJ$5,),B170))</f>
        <v>4.29</v>
      </c>
      <c r="E170" s="33">
        <f t="shared" ca="1" si="18"/>
        <v>2.5641025641025639</v>
      </c>
      <c r="F170" s="33">
        <f ca="1">IF(B170="","",INDEX(OFFSET(Arb!$X$2,,,Arb!$AJ$5,),B170)/D170)</f>
        <v>2.7972027972027971</v>
      </c>
      <c r="G170" s="33">
        <f ca="1">IF(B170="","",(INDEX(OFFSET(Arb!$U$2,,,Arb!$AJ$5,),B170)+INDEX(OFFSET(Arb!$V$2,,,Arb!$AJ$5,),B170))/D170)</f>
        <v>3.2634032634032635</v>
      </c>
      <c r="H170" s="33">
        <f t="shared" ca="1" si="19"/>
        <v>1.0808979957532829</v>
      </c>
      <c r="I170" s="21">
        <f t="shared" ca="1" si="20"/>
        <v>43.758985756132432</v>
      </c>
      <c r="J170" s="74">
        <f ca="1">IF(B170="","",DATE(INDEX(OFFSET(Arb!$C$2,,,Arb!$AJ$5,),B170),INDEX(OFFSET(Arb!$B$2,,,Arb!$AJ$5,),B170),INDEX(OFFSET(Arb!$A$2,,,Arb!$AJ$5,),B170))+ROW()*0.001)</f>
        <v>43838.17</v>
      </c>
      <c r="K170" s="11">
        <v>169</v>
      </c>
      <c r="L170" s="11">
        <v>2140</v>
      </c>
      <c r="M170" s="433">
        <f ca="1">IF(L170="",64,INDEX(OFFSET(Arb!$I$2,,,Arb!$AJ$5,),L170))</f>
        <v>52</v>
      </c>
      <c r="N170" s="34">
        <f ca="1">IF(L170="",60,INDEX(OFFSET(Arb!$H$2,,,Arb!$AJ$5,),L170))</f>
        <v>23.69</v>
      </c>
      <c r="O170" s="33">
        <f t="shared" ca="1" si="21"/>
        <v>2.1950189953566905</v>
      </c>
      <c r="P170" s="33">
        <f ca="1">IF(L170="","",INDEX(OFFSET(Arb!$X$2,,,Arb!$AJ$5,),L170)/N170)</f>
        <v>2.7859856479527223</v>
      </c>
      <c r="Q170" s="33">
        <f ca="1">IF(L170="","",(INDEX(OFFSET(Arb!$U$2,,,Arb!$AJ$5,),L170)+INDEX(OFFSET(Arb!$V$2,,,Arb!$AJ$5,),L170))/N170)</f>
        <v>3.4613761080624736</v>
      </c>
      <c r="R170" s="33">
        <f t="shared" ca="1" si="22"/>
        <v>4.1759689378933862</v>
      </c>
      <c r="S170" s="21">
        <f t="shared" ca="1" si="23"/>
        <v>36.813013287773828</v>
      </c>
      <c r="T170" s="74">
        <f ca="1">IF(L170="","",DATE(INDEX(OFFSET(Arb!$C$2,,,Arb!$AJ$5,),L170),INDEX(OFFSET(Arb!$B$2,,,Arb!$AJ$5,),L170),INDEX(OFFSET(Arb!$A$2,,,Arb!$AJ$5,),L170))+ROW()*0.001)</f>
        <v>43817.17</v>
      </c>
      <c r="U170" s="11">
        <v>169</v>
      </c>
      <c r="V170" s="11">
        <v>3445</v>
      </c>
      <c r="W170" s="433">
        <f ca="1">IF(V170="",164,INDEX(OFFSET(Arb!$I$2,,,Arb!$AJ$5,),V170))</f>
        <v>165</v>
      </c>
      <c r="X170" s="34">
        <f ca="1">IF(V170="",240,INDEX(OFFSET(Arb!$H$2,,,Arb!$AJ$5,),V170))</f>
        <v>69.09</v>
      </c>
      <c r="Y170" s="33">
        <f t="shared" ca="1" si="24"/>
        <v>2.3881893182805034</v>
      </c>
      <c r="Z170" s="33">
        <f ca="1">IF(V170="","",INDEX(OFFSET(Arb!$X$2,,,Arb!$AJ$5,),V170)/X170)</f>
        <v>2.735562310030395</v>
      </c>
      <c r="AA170" s="33">
        <f ca="1">IF(V170="","",(INDEX(OFFSET(Arb!$U$2,,,Arb!$AJ$5,),V170)+INDEX(OFFSET(Arb!$V$2,,,Arb!$AJ$5,),V170))/X170)</f>
        <v>3.1697785497177593</v>
      </c>
      <c r="AB170" s="33">
        <f t="shared" ca="1" si="25"/>
        <v>8.1193615996545407</v>
      </c>
      <c r="AC170" s="21">
        <f t="shared" ca="1" si="26"/>
        <v>53.575763889923095</v>
      </c>
      <c r="AD170" s="74">
        <f ca="1">IF(V170="","",DATE(INDEX(OFFSET(Arb!$C$2,,,Arb!$AJ$5,),V170),INDEX(OFFSET(Arb!$B$2,,,Arb!$AJ$5,),V170),INDEX(OFFSET(Arb!$A$2,,,Arb!$AJ$5,),V170))+ROW()*0.001)</f>
        <v>44177.17</v>
      </c>
    </row>
    <row r="171" spans="1:30" x14ac:dyDescent="0.25">
      <c r="A171" s="11">
        <v>170</v>
      </c>
      <c r="B171" s="11">
        <v>632</v>
      </c>
      <c r="C171" s="433">
        <f ca="1">IF(B171="",16,INDEX(OFFSET(Arb!$I$2,,,Arb!$AJ$5,),B171))</f>
        <v>10</v>
      </c>
      <c r="D171" s="34">
        <f ca="1">IF(B171="",10,INDEX(OFFSET(Arb!$H$2,,,Arb!$AJ$5,),B171))</f>
        <v>4.29</v>
      </c>
      <c r="E171" s="33">
        <f t="shared" ca="1" si="18"/>
        <v>2.3310023310023311</v>
      </c>
      <c r="F171" s="33">
        <f ca="1">IF(B171="","",INDEX(OFFSET(Arb!$X$2,,,Arb!$AJ$5,),B171)/D171)</f>
        <v>3.0303030303030303</v>
      </c>
      <c r="G171" s="33">
        <f ca="1">IF(B171="","",(INDEX(OFFSET(Arb!$U$2,,,Arb!$AJ$5,),B171)+INDEX(OFFSET(Arb!$V$2,,,Arb!$AJ$5,),B171))/D171)</f>
        <v>3.4965034965034967</v>
      </c>
      <c r="H171" s="33">
        <f t="shared" ca="1" si="19"/>
        <v>1.1889877953286114</v>
      </c>
      <c r="I171" s="21">
        <f t="shared" ca="1" si="20"/>
        <v>39.780896141938562</v>
      </c>
      <c r="J171" s="74">
        <f ca="1">IF(B171="","",DATE(INDEX(OFFSET(Arb!$C$2,,,Arb!$AJ$5,),B171),INDEX(OFFSET(Arb!$B$2,,,Arb!$AJ$5,),B171),INDEX(OFFSET(Arb!$A$2,,,Arb!$AJ$5,),B171))+ROW()*0.001)</f>
        <v>43799.171000000002</v>
      </c>
      <c r="K171" s="11">
        <v>170</v>
      </c>
      <c r="L171" s="11">
        <v>2123</v>
      </c>
      <c r="M171" s="433">
        <f ca="1">IF(L171="",64,INDEX(OFFSET(Arb!$I$2,,,Arb!$AJ$5,),L171))</f>
        <v>74</v>
      </c>
      <c r="N171" s="34">
        <f ca="1">IF(L171="",60,INDEX(OFFSET(Arb!$H$2,,,Arb!$AJ$5,),L171))</f>
        <v>23.7</v>
      </c>
      <c r="O171" s="33">
        <f t="shared" ca="1" si="21"/>
        <v>3.1223628691983123</v>
      </c>
      <c r="P171" s="33">
        <f ca="1">IF(L171="","",INDEX(OFFSET(Arb!$X$2,,,Arb!$AJ$5,),L171)/N171)</f>
        <v>3.5864978902953588</v>
      </c>
      <c r="Q171" s="33">
        <f ca="1">IF(L171="","",(INDEX(OFFSET(Arb!$U$2,,,Arb!$AJ$5,),L171)+INDEX(OFFSET(Arb!$V$2,,,Arb!$AJ$5,),L171))/N171)</f>
        <v>3.9240506329113924</v>
      </c>
      <c r="R171" s="33">
        <f t="shared" ca="1" si="22"/>
        <v>2.9365707489343689</v>
      </c>
      <c r="S171" s="21">
        <f t="shared" ca="1" si="23"/>
        <v>52.350177517700182</v>
      </c>
      <c r="T171" s="74">
        <f ca="1">IF(L171="","",DATE(INDEX(OFFSET(Arb!$C$2,,,Arb!$AJ$5,),L171),INDEX(OFFSET(Arb!$B$2,,,Arb!$AJ$5,),L171),INDEX(OFFSET(Arb!$A$2,,,Arb!$AJ$5,),L171))+ROW()*0.001)</f>
        <v>43811.171000000002</v>
      </c>
      <c r="U171" s="11">
        <v>170</v>
      </c>
      <c r="V171" s="11">
        <v>3115</v>
      </c>
      <c r="W171" s="433">
        <f ca="1">IF(V171="",164,INDEX(OFFSET(Arb!$I$2,,,Arb!$AJ$5,),V171))</f>
        <v>164</v>
      </c>
      <c r="X171" s="34">
        <f ca="1">IF(V171="",240,INDEX(OFFSET(Arb!$H$2,,,Arb!$AJ$5,),V171))</f>
        <v>69.099999999999994</v>
      </c>
      <c r="Y171" s="33">
        <f t="shared" ca="1" si="24"/>
        <v>2.3733719247467442</v>
      </c>
      <c r="Z171" s="33">
        <f ca="1">IF(V171="","",INDEX(OFFSET(Arb!$X$2,,,Arb!$AJ$5,),V171)/X171)</f>
        <v>2.8798842257597688</v>
      </c>
      <c r="AA171" s="33">
        <f ca="1">IF(V171="","",(INDEX(OFFSET(Arb!$U$2,,,Arb!$AJ$5,),V171)+INDEX(OFFSET(Arb!$V$2,,,Arb!$AJ$5,),V171))/X171)</f>
        <v>3.1982633863965271</v>
      </c>
      <c r="AB171" s="33">
        <f t="shared" ca="1" si="25"/>
        <v>8.1708800022973929</v>
      </c>
      <c r="AC171" s="21">
        <f t="shared" ca="1" si="26"/>
        <v>53.237962113957302</v>
      </c>
      <c r="AD171" s="74">
        <f ca="1">IF(V171="","",DATE(INDEX(OFFSET(Arb!$C$2,,,Arb!$AJ$5,),V171),INDEX(OFFSET(Arb!$B$2,,,Arb!$AJ$5,),V171),INDEX(OFFSET(Arb!$A$2,,,Arb!$AJ$5,),V171))+ROW()*0.001)</f>
        <v>44012.171000000002</v>
      </c>
    </row>
    <row r="172" spans="1:30" x14ac:dyDescent="0.25">
      <c r="A172" s="11">
        <v>171</v>
      </c>
      <c r="B172" s="11">
        <v>1808</v>
      </c>
      <c r="C172" s="433">
        <f ca="1">IF(B172="",16,INDEX(OFFSET(Arb!$I$2,,,Arb!$AJ$5,),B172))</f>
        <v>15</v>
      </c>
      <c r="D172" s="34">
        <f ca="1">IF(B172="",10,INDEX(OFFSET(Arb!$H$2,,,Arb!$AJ$5,),B172))</f>
        <v>4.3</v>
      </c>
      <c r="E172" s="33">
        <f t="shared" ca="1" si="18"/>
        <v>3.4883720930232558</v>
      </c>
      <c r="F172" s="33">
        <f ca="1">IF(B172="","",INDEX(OFFSET(Arb!$X$2,,,Arb!$AJ$5,),B172)/D172)</f>
        <v>3.4883720930232558</v>
      </c>
      <c r="G172" s="33">
        <f ca="1">IF(B172="","",(INDEX(OFFSET(Arb!$U$2,,,Arb!$AJ$5,),B172)+INDEX(OFFSET(Arb!$V$2,,,Arb!$AJ$5,),B172))/D172)</f>
        <v>3.7209302325581395</v>
      </c>
      <c r="H172" s="33">
        <f t="shared" ca="1" si="19"/>
        <v>0.79580216336636178</v>
      </c>
      <c r="I172" s="21">
        <f t="shared" ca="1" si="20"/>
        <v>59.435626311843862</v>
      </c>
      <c r="J172" s="74">
        <f ca="1">IF(B172="","",DATE(INDEX(OFFSET(Arb!$C$2,,,Arb!$AJ$5,),B172),INDEX(OFFSET(Arb!$B$2,,,Arb!$AJ$5,),B172),INDEX(OFFSET(Arb!$A$2,,,Arb!$AJ$5,),B172))+ROW()*0.001)</f>
        <v>44168.171999999999</v>
      </c>
      <c r="K172" s="11">
        <v>171</v>
      </c>
      <c r="L172" s="11">
        <v>2325</v>
      </c>
      <c r="M172" s="433">
        <f ca="1">IF(L172="",64,INDEX(OFFSET(Arb!$I$2,,,Arb!$AJ$5,),L172))</f>
        <v>57</v>
      </c>
      <c r="N172" s="34">
        <f ca="1">IF(L172="",60,INDEX(OFFSET(Arb!$H$2,,,Arb!$AJ$5,),L172))</f>
        <v>23.72</v>
      </c>
      <c r="O172" s="33">
        <f t="shared" ca="1" si="21"/>
        <v>2.4030354131534573</v>
      </c>
      <c r="P172" s="33">
        <f ca="1">IF(L172="","",INDEX(OFFSET(Arb!$X$2,,,Arb!$AJ$5,),L172)/N172)</f>
        <v>3.1197301854974708</v>
      </c>
      <c r="Q172" s="33">
        <f ca="1">IF(L172="","",(INDEX(OFFSET(Arb!$U$2,,,Arb!$AJ$5,),L172)+INDEX(OFFSET(Arb!$V$2,,,Arb!$AJ$5,),L172))/N172)</f>
        <v>3.5413153456998314</v>
      </c>
      <c r="R172" s="33">
        <f t="shared" ca="1" si="22"/>
        <v>3.8178609619755011</v>
      </c>
      <c r="S172" s="21">
        <f t="shared" ca="1" si="23"/>
        <v>40.266002751565487</v>
      </c>
      <c r="T172" s="74">
        <f ca="1">IF(L172="","",DATE(INDEX(OFFSET(Arb!$C$2,,,Arb!$AJ$5,),L172),INDEX(OFFSET(Arb!$B$2,,,Arb!$AJ$5,),L172),INDEX(OFFSET(Arb!$A$2,,,Arb!$AJ$5,),L172))+ROW()*0.001)</f>
        <v>44003.171999999999</v>
      </c>
      <c r="U172" s="11">
        <v>171</v>
      </c>
      <c r="V172" s="11">
        <v>3345</v>
      </c>
      <c r="W172" s="433">
        <f ca="1">IF(V172="",164,INDEX(OFFSET(Arb!$I$2,,,Arb!$AJ$5,),V172))</f>
        <v>158</v>
      </c>
      <c r="X172" s="34">
        <f ca="1">IF(V172="",240,INDEX(OFFSET(Arb!$H$2,,,Arb!$AJ$5,),V172))</f>
        <v>69.16</v>
      </c>
      <c r="Y172" s="33">
        <f t="shared" ca="1" si="24"/>
        <v>2.2845575477154427</v>
      </c>
      <c r="Z172" s="33">
        <f ca="1">IF(V172="","",INDEX(OFFSET(Arb!$X$2,,,Arb!$AJ$5,),V172)/X172)</f>
        <v>2.9496818970503185</v>
      </c>
      <c r="AA172" s="33">
        <f ca="1">IF(V172="","",(INDEX(OFFSET(Arb!$U$2,,,Arb!$AJ$5,),V172)+INDEX(OFFSET(Arb!$V$2,,,Arb!$AJ$5,),V172))/X172)</f>
        <v>3.1665702718334301</v>
      </c>
      <c r="AB172" s="33">
        <f t="shared" ca="1" si="25"/>
        <v>8.4936896218947258</v>
      </c>
      <c r="AC172" s="21">
        <f t="shared" ca="1" si="26"/>
        <v>51.214609829710533</v>
      </c>
      <c r="AD172" s="74">
        <f ca="1">IF(V172="","",DATE(INDEX(OFFSET(Arb!$C$2,,,Arb!$AJ$5,),V172),INDEX(OFFSET(Arb!$B$2,,,Arb!$AJ$5,),V172),INDEX(OFFSET(Arb!$A$2,,,Arb!$AJ$5,),V172))+ROW()*0.001)</f>
        <v>44097.171999999999</v>
      </c>
    </row>
    <row r="173" spans="1:30" x14ac:dyDescent="0.25">
      <c r="A173" s="11">
        <v>172</v>
      </c>
      <c r="B173" s="11">
        <v>1245</v>
      </c>
      <c r="C173" s="433">
        <f ca="1">IF(B173="",16,INDEX(OFFSET(Arb!$I$2,,,Arb!$AJ$5,),B173))</f>
        <v>11</v>
      </c>
      <c r="D173" s="34">
        <f ca="1">IF(B173="",10,INDEX(OFFSET(Arb!$H$2,,,Arb!$AJ$5,),B173))</f>
        <v>4.3</v>
      </c>
      <c r="E173" s="33">
        <f t="shared" ca="1" si="18"/>
        <v>2.558139534883721</v>
      </c>
      <c r="F173" s="33">
        <f ca="1">IF(B173="","",INDEX(OFFSET(Arb!$X$2,,,Arb!$AJ$5,),B173)/D173)</f>
        <v>3.0232558139534884</v>
      </c>
      <c r="G173" s="33">
        <f ca="1">IF(B173="","",(INDEX(OFFSET(Arb!$U$2,,,Arb!$AJ$5,),B173)+INDEX(OFFSET(Arb!$V$2,,,Arb!$AJ$5,),B173))/D173)</f>
        <v>3.7209302325581395</v>
      </c>
      <c r="H173" s="33">
        <f t="shared" ca="1" si="19"/>
        <v>1.0851847682268569</v>
      </c>
      <c r="I173" s="21">
        <f t="shared" ca="1" si="20"/>
        <v>43.586125962018833</v>
      </c>
      <c r="J173" s="74">
        <f ca="1">IF(B173="","",DATE(INDEX(OFFSET(Arb!$C$2,,,Arb!$AJ$5,),B173),INDEX(OFFSET(Arb!$B$2,,,Arb!$AJ$5,),B173),INDEX(OFFSET(Arb!$A$2,,,Arb!$AJ$5,),B173))+ROW()*0.001)</f>
        <v>43901.173000000003</v>
      </c>
      <c r="K173" s="11">
        <v>172</v>
      </c>
      <c r="L173" s="11">
        <v>2261</v>
      </c>
      <c r="M173" s="433">
        <f ca="1">IF(L173="",64,INDEX(OFFSET(Arb!$I$2,,,Arb!$AJ$5,),L173))</f>
        <v>57</v>
      </c>
      <c r="N173" s="34">
        <f ca="1">IF(L173="",60,INDEX(OFFSET(Arb!$H$2,,,Arb!$AJ$5,),L173))</f>
        <v>23.75</v>
      </c>
      <c r="O173" s="33">
        <f t="shared" ca="1" si="21"/>
        <v>2.4</v>
      </c>
      <c r="P173" s="33">
        <f ca="1">IF(L173="","",INDEX(OFFSET(Arb!$X$2,,,Arb!$AJ$5,),L173)/N173)</f>
        <v>3.2421052631578946</v>
      </c>
      <c r="Q173" s="33">
        <f ca="1">IF(L173="","",(INDEX(OFFSET(Arb!$U$2,,,Arb!$AJ$5,),L173)+INDEX(OFFSET(Arb!$V$2,,,Arb!$AJ$5,),L173))/N173)</f>
        <v>3.6210526315789475</v>
      </c>
      <c r="R173" s="33">
        <f t="shared" ca="1" si="22"/>
        <v>3.8260733182046511</v>
      </c>
      <c r="S173" s="21">
        <f t="shared" ca="1" si="23"/>
        <v>40.17957504069377</v>
      </c>
      <c r="T173" s="74">
        <f ca="1">IF(L173="","",DATE(INDEX(OFFSET(Arb!$C$2,,,Arb!$AJ$5,),L173),INDEX(OFFSET(Arb!$B$2,,,Arb!$AJ$5,),L173),INDEX(OFFSET(Arb!$A$2,,,Arb!$AJ$5,),L173))+ROW()*0.001)</f>
        <v>43901.173000000003</v>
      </c>
      <c r="U173" s="11">
        <v>172</v>
      </c>
      <c r="V173" s="11">
        <v>3051</v>
      </c>
      <c r="W173" s="433">
        <f ca="1">IF(V173="",164,INDEX(OFFSET(Arb!$I$2,,,Arb!$AJ$5,),V173))</f>
        <v>133</v>
      </c>
      <c r="X173" s="34">
        <f ca="1">IF(V173="",240,INDEX(OFFSET(Arb!$H$2,,,Arb!$AJ$5,),V173))</f>
        <v>69.16</v>
      </c>
      <c r="Y173" s="33">
        <f t="shared" ca="1" si="24"/>
        <v>1.9230769230769231</v>
      </c>
      <c r="Z173" s="33">
        <f ca="1">IF(V173="","",INDEX(OFFSET(Arb!$X$2,,,Arb!$AJ$5,),V173)/X173)</f>
        <v>2.3857721226142279</v>
      </c>
      <c r="AA173" s="33">
        <f ca="1">IF(V173="","",(INDEX(OFFSET(Arb!$U$2,,,Arb!$AJ$5,),V173)+INDEX(OFFSET(Arb!$V$2,,,Arb!$AJ$5,),V173))/X173)</f>
        <v>2.718334297281666</v>
      </c>
      <c r="AB173" s="33">
        <f t="shared" ca="1" si="25"/>
        <v>10.090247821498997</v>
      </c>
      <c r="AC173" s="21">
        <f t="shared" ca="1" si="26"/>
        <v>43.111032325009504</v>
      </c>
      <c r="AD173" s="74">
        <f ca="1">IF(V173="","",DATE(INDEX(OFFSET(Arb!$C$2,,,Arb!$AJ$5,),V173),INDEX(OFFSET(Arb!$B$2,,,Arb!$AJ$5,),V173),INDEX(OFFSET(Arb!$A$2,,,Arb!$AJ$5,),V173))+ROW()*0.001)</f>
        <v>43982.173000000003</v>
      </c>
    </row>
    <row r="174" spans="1:30" x14ac:dyDescent="0.25">
      <c r="A174" s="11">
        <v>173</v>
      </c>
      <c r="B174" s="11">
        <v>1108</v>
      </c>
      <c r="C174" s="433">
        <f ca="1">IF(B174="",16,INDEX(OFFSET(Arb!$I$2,,,Arb!$AJ$5,),B174))</f>
        <v>12</v>
      </c>
      <c r="D174" s="34">
        <f ca="1">IF(B174="",10,INDEX(OFFSET(Arb!$H$2,,,Arb!$AJ$5,),B174))</f>
        <v>4.3</v>
      </c>
      <c r="E174" s="33">
        <f t="shared" ca="1" si="18"/>
        <v>2.7906976744186047</v>
      </c>
      <c r="F174" s="33">
        <f ca="1">IF(B174="","",INDEX(OFFSET(Arb!$X$2,,,Arb!$AJ$5,),B174)/D174)</f>
        <v>3.0232558139534884</v>
      </c>
      <c r="G174" s="33">
        <f ca="1">IF(B174="","",(INDEX(OFFSET(Arb!$U$2,,,Arb!$AJ$5,),B174)+INDEX(OFFSET(Arb!$V$2,,,Arb!$AJ$5,),B174))/D174)</f>
        <v>3.2558139534883721</v>
      </c>
      <c r="H174" s="33">
        <f t="shared" ca="1" si="19"/>
        <v>0.99475270420795214</v>
      </c>
      <c r="I174" s="21">
        <f t="shared" ca="1" si="20"/>
        <v>47.548501049475092</v>
      </c>
      <c r="J174" s="74">
        <f ca="1">IF(B174="","",DATE(INDEX(OFFSET(Arb!$C$2,,,Arb!$AJ$5,),B174),INDEX(OFFSET(Arb!$B$2,,,Arb!$AJ$5,),B174),INDEX(OFFSET(Arb!$A$2,,,Arb!$AJ$5,),B174))+ROW()*0.001)</f>
        <v>43846.173999999999</v>
      </c>
      <c r="K174" s="11">
        <v>173</v>
      </c>
      <c r="L174" s="11">
        <v>2049</v>
      </c>
      <c r="M174" s="433">
        <f ca="1">IF(L174="",64,INDEX(OFFSET(Arb!$I$2,,,Arb!$AJ$5,),L174))</f>
        <v>64</v>
      </c>
      <c r="N174" s="34">
        <f ca="1">IF(L174="",60,INDEX(OFFSET(Arb!$H$2,,,Arb!$AJ$5,),L174))</f>
        <v>23.75</v>
      </c>
      <c r="O174" s="33">
        <f t="shared" ca="1" si="21"/>
        <v>2.6947368421052631</v>
      </c>
      <c r="P174" s="33">
        <f ca="1">IF(L174="","",INDEX(OFFSET(Arb!$X$2,,,Arb!$AJ$5,),L174)/N174)</f>
        <v>3.5789473684210527</v>
      </c>
      <c r="Q174" s="33">
        <f ca="1">IF(L174="","",(INDEX(OFFSET(Arb!$U$2,,,Arb!$AJ$5,),L174)+INDEX(OFFSET(Arb!$V$2,,,Arb!$AJ$5,),L174))/N174)</f>
        <v>4.1263157894736846</v>
      </c>
      <c r="R174" s="33">
        <f t="shared" ca="1" si="22"/>
        <v>3.4075965490260174</v>
      </c>
      <c r="S174" s="21">
        <f t="shared" ca="1" si="23"/>
        <v>45.113908817621073</v>
      </c>
      <c r="T174" s="74">
        <f ca="1">IF(L174="","",DATE(INDEX(OFFSET(Arb!$C$2,,,Arb!$AJ$5,),L174),INDEX(OFFSET(Arb!$B$2,,,Arb!$AJ$5,),L174),INDEX(OFFSET(Arb!$A$2,,,Arb!$AJ$5,),L174))+ROW()*0.001)</f>
        <v>43798.173999999999</v>
      </c>
      <c r="U174" s="11">
        <v>173</v>
      </c>
      <c r="V174" s="11">
        <v>3285</v>
      </c>
      <c r="W174" s="433">
        <f ca="1">IF(V174="",164,INDEX(OFFSET(Arb!$I$2,,,Arb!$AJ$5,),V174))</f>
        <v>145</v>
      </c>
      <c r="X174" s="34">
        <f ca="1">IF(V174="",240,INDEX(OFFSET(Arb!$H$2,,,Arb!$AJ$5,),V174))</f>
        <v>69.17</v>
      </c>
      <c r="Y174" s="33">
        <f t="shared" ca="1" si="24"/>
        <v>2.0962845164088475</v>
      </c>
      <c r="Z174" s="33">
        <f ca="1">IF(V174="","",INDEX(OFFSET(Arb!$X$2,,,Arb!$AJ$5,),V174)/X174)</f>
        <v>2.5878270926702327</v>
      </c>
      <c r="AA174" s="33">
        <f ca="1">IF(V174="","",(INDEX(OFFSET(Arb!$U$2,,,Arb!$AJ$5,),V174)+INDEX(OFFSET(Arb!$V$2,,,Arb!$AJ$5,),V174))/X174)</f>
        <v>3.0070839959520024</v>
      </c>
      <c r="AB174" s="33">
        <f t="shared" ca="1" si="25"/>
        <v>9.2574679340662094</v>
      </c>
      <c r="AC174" s="21">
        <f t="shared" ca="1" si="26"/>
        <v>46.989198677022266</v>
      </c>
      <c r="AD174" s="74">
        <f ca="1">IF(V174="","",DATE(INDEX(OFFSET(Arb!$C$2,,,Arb!$AJ$5,),V174),INDEX(OFFSET(Arb!$B$2,,,Arb!$AJ$5,),V174),INDEX(OFFSET(Arb!$A$2,,,Arb!$AJ$5,),V174))+ROW()*0.001)</f>
        <v>44083.173999999999</v>
      </c>
    </row>
    <row r="175" spans="1:30" x14ac:dyDescent="0.25">
      <c r="A175" s="11">
        <v>174</v>
      </c>
      <c r="B175" s="11">
        <v>815</v>
      </c>
      <c r="C175" s="433">
        <f ca="1">IF(B175="",16,INDEX(OFFSET(Arb!$I$2,,,Arb!$AJ$5,),B175))</f>
        <v>15</v>
      </c>
      <c r="D175" s="34">
        <f ca="1">IF(B175="",10,INDEX(OFFSET(Arb!$H$2,,,Arb!$AJ$5,),B175))</f>
        <v>4.3</v>
      </c>
      <c r="E175" s="33">
        <f t="shared" ca="1" si="18"/>
        <v>3.4883720930232558</v>
      </c>
      <c r="F175" s="33">
        <f ca="1">IF(B175="","",INDEX(OFFSET(Arb!$X$2,,,Arb!$AJ$5,),B175)/D175)</f>
        <v>3.4883720930232558</v>
      </c>
      <c r="G175" s="33">
        <f ca="1">IF(B175="","",(INDEX(OFFSET(Arb!$U$2,,,Arb!$AJ$5,),B175)+INDEX(OFFSET(Arb!$V$2,,,Arb!$AJ$5,),B175))/D175)</f>
        <v>3.9534883720930236</v>
      </c>
      <c r="H175" s="33">
        <f t="shared" ca="1" si="19"/>
        <v>0.79580216336636178</v>
      </c>
      <c r="I175" s="21">
        <f t="shared" ca="1" si="20"/>
        <v>59.435626311843862</v>
      </c>
      <c r="J175" s="74">
        <f ca="1">IF(B175="","",DATE(INDEX(OFFSET(Arb!$C$2,,,Arb!$AJ$5,),B175),INDEX(OFFSET(Arb!$B$2,,,Arb!$AJ$5,),B175),INDEX(OFFSET(Arb!$A$2,,,Arb!$AJ$5,),B175))+ROW()*0.001)</f>
        <v>43811.175000000003</v>
      </c>
      <c r="K175" s="11">
        <v>174</v>
      </c>
      <c r="L175" s="11">
        <v>1902</v>
      </c>
      <c r="M175" s="433">
        <f ca="1">IF(L175="",64,INDEX(OFFSET(Arb!$I$2,,,Arb!$AJ$5,),L175))</f>
        <v>52</v>
      </c>
      <c r="N175" s="34">
        <f ca="1">IF(L175="",60,INDEX(OFFSET(Arb!$H$2,,,Arb!$AJ$5,),L175))</f>
        <v>23.83</v>
      </c>
      <c r="O175" s="33">
        <f t="shared" ca="1" si="21"/>
        <v>2.1821233738984476</v>
      </c>
      <c r="P175" s="33">
        <f ca="1">IF(L175="","",INDEX(OFFSET(Arb!$X$2,,,Arb!$AJ$5,),L175)/N175)</f>
        <v>2.895509861519094</v>
      </c>
      <c r="Q175" s="33">
        <f ca="1">IF(L175="","",(INDEX(OFFSET(Arb!$U$2,,,Arb!$AJ$5,),L175)+INDEX(OFFSET(Arb!$V$2,,,Arb!$AJ$5,),L175))/N175)</f>
        <v>3.2731850608476711</v>
      </c>
      <c r="R175" s="33">
        <f t="shared" ca="1" si="22"/>
        <v>4.2180092553570585</v>
      </c>
      <c r="S175" s="21">
        <f t="shared" ca="1" si="23"/>
        <v>36.446103053177538</v>
      </c>
      <c r="T175" s="74">
        <f ca="1">IF(L175="","",DATE(INDEX(OFFSET(Arb!$C$2,,,Arb!$AJ$5,),L175),INDEX(OFFSET(Arb!$B$2,,,Arb!$AJ$5,),L175),INDEX(OFFSET(Arb!$A$2,,,Arb!$AJ$5,),L175))+ROW()*0.001)</f>
        <v>43765.175000000003</v>
      </c>
      <c r="U175" s="11">
        <v>174</v>
      </c>
      <c r="V175" s="11">
        <v>2654</v>
      </c>
      <c r="W175" s="433">
        <f ca="1">IF(V175="",164,INDEX(OFFSET(Arb!$I$2,,,Arb!$AJ$5,),V175))</f>
        <v>151</v>
      </c>
      <c r="X175" s="34">
        <f ca="1">IF(V175="",240,INDEX(OFFSET(Arb!$H$2,,,Arb!$AJ$5,),V175))</f>
        <v>69.239999999999995</v>
      </c>
      <c r="Y175" s="33">
        <f t="shared" ca="1" si="24"/>
        <v>2.1808203350664357</v>
      </c>
      <c r="Z175" s="33">
        <f ca="1">IF(V175="","",INDEX(OFFSET(Arb!$X$2,,,Arb!$AJ$5,),V175)/X175)</f>
        <v>2.7729636048526864</v>
      </c>
      <c r="AA175" s="33">
        <f ca="1">IF(V175="","",(INDEX(OFFSET(Arb!$U$2,,,Arb!$AJ$5,),V175)+INDEX(OFFSET(Arb!$V$2,,,Arb!$AJ$5,),V175))/X175)</f>
        <v>3.1773541305603699</v>
      </c>
      <c r="AB175" s="33">
        <f t="shared" ca="1" si="25"/>
        <v>8.9049206387003519</v>
      </c>
      <c r="AC175" s="21">
        <f t="shared" ca="1" si="26"/>
        <v>48.849508900675296</v>
      </c>
      <c r="AD175" s="74">
        <f ca="1">IF(V175="","",DATE(INDEX(OFFSET(Arb!$C$2,,,Arb!$AJ$5,),V175),INDEX(OFFSET(Arb!$B$2,,,Arb!$AJ$5,),V175),INDEX(OFFSET(Arb!$A$2,,,Arb!$AJ$5,),V175))+ROW()*0.001)</f>
        <v>43818.175000000003</v>
      </c>
    </row>
    <row r="176" spans="1:30" x14ac:dyDescent="0.25">
      <c r="A176" s="11">
        <v>175</v>
      </c>
      <c r="B176" s="11">
        <v>1581</v>
      </c>
      <c r="C176" s="433">
        <f ca="1">IF(B176="",16,INDEX(OFFSET(Arb!$I$2,,,Arb!$AJ$5,),B176))</f>
        <v>12</v>
      </c>
      <c r="D176" s="34">
        <f ca="1">IF(B176="",10,INDEX(OFFSET(Arb!$H$2,,,Arb!$AJ$5,),B176))</f>
        <v>4.3099999999999996</v>
      </c>
      <c r="E176" s="33">
        <f t="shared" ca="1" si="18"/>
        <v>2.7842227378190256</v>
      </c>
      <c r="F176" s="33">
        <f ca="1">IF(B176="","",INDEX(OFFSET(Arb!$X$2,,,Arb!$AJ$5,),B176)/D176)</f>
        <v>3.712296983758701</v>
      </c>
      <c r="G176" s="33">
        <f ca="1">IF(B176="","",(INDEX(OFFSET(Arb!$U$2,,,Arb!$AJ$5,),B176)+INDEX(OFFSET(Arb!$V$2,,,Arb!$AJ$5,),B176))/D176)</f>
        <v>4.6403712296983759</v>
      </c>
      <c r="H176" s="33">
        <f t="shared" ca="1" si="19"/>
        <v>0.99868864778335986</v>
      </c>
      <c r="I176" s="21">
        <f t="shared" ca="1" si="20"/>
        <v>47.361107092768634</v>
      </c>
      <c r="J176" s="74">
        <f ca="1">IF(B176="","",DATE(INDEX(OFFSET(Arb!$C$2,,,Arb!$AJ$5,),B176),INDEX(OFFSET(Arb!$B$2,,,Arb!$AJ$5,),B176),INDEX(OFFSET(Arb!$A$2,,,Arb!$AJ$5,),B176))+ROW()*0.001)</f>
        <v>44023.175999999999</v>
      </c>
      <c r="K176" s="11">
        <v>175</v>
      </c>
      <c r="L176" s="11">
        <v>2230</v>
      </c>
      <c r="M176" s="433">
        <f ca="1">IF(L176="",64,INDEX(OFFSET(Arb!$I$2,,,Arb!$AJ$5,),L176))</f>
        <v>51</v>
      </c>
      <c r="N176" s="34">
        <f ca="1">IF(L176="",60,INDEX(OFFSET(Arb!$H$2,,,Arb!$AJ$5,),L176))</f>
        <v>23.87</v>
      </c>
      <c r="O176" s="33">
        <f t="shared" ca="1" si="21"/>
        <v>2.1365731043150396</v>
      </c>
      <c r="P176" s="33">
        <f ca="1">IF(L176="","",INDEX(OFFSET(Arb!$X$2,,,Arb!$AJ$5,),L176)/N176)</f>
        <v>2.5974025974025974</v>
      </c>
      <c r="Q176" s="33">
        <f ca="1">IF(L176="","",(INDEX(OFFSET(Arb!$U$2,,,Arb!$AJ$5,),L176)+INDEX(OFFSET(Arb!$V$2,,,Arb!$AJ$5,),L176))/N176)</f>
        <v>2.7230833682446582</v>
      </c>
      <c r="R176" s="33">
        <f t="shared" ca="1" si="22"/>
        <v>4.3129948166665564</v>
      </c>
      <c r="S176" s="21">
        <f t="shared" ca="1" si="23"/>
        <v>35.643446499389817</v>
      </c>
      <c r="T176" s="74">
        <f ca="1">IF(L176="","",DATE(INDEX(OFFSET(Arb!$C$2,,,Arb!$AJ$5,),L176),INDEX(OFFSET(Arb!$B$2,,,Arb!$AJ$5,),L176),INDEX(OFFSET(Arb!$A$2,,,Arb!$AJ$5,),L176))+ROW()*0.001)</f>
        <v>43885.175999999999</v>
      </c>
      <c r="U176" s="11">
        <v>175</v>
      </c>
      <c r="V176" s="11">
        <v>2622</v>
      </c>
      <c r="W176" s="433">
        <f ca="1">IF(V176="",164,INDEX(OFFSET(Arb!$I$2,,,Arb!$AJ$5,),V176))</f>
        <v>152</v>
      </c>
      <c r="X176" s="34">
        <f ca="1">IF(V176="",240,INDEX(OFFSET(Arb!$H$2,,,Arb!$AJ$5,),V176))</f>
        <v>69.239999999999995</v>
      </c>
      <c r="Y176" s="33">
        <f t="shared" ca="1" si="24"/>
        <v>2.1952628538417103</v>
      </c>
      <c r="Z176" s="33">
        <f ca="1">IF(V176="","",INDEX(OFFSET(Arb!$X$2,,,Arb!$AJ$5,),V176)/X176)</f>
        <v>2.715193529751589</v>
      </c>
      <c r="AA176" s="33">
        <f ca="1">IF(V176="","",(INDEX(OFFSET(Arb!$U$2,,,Arb!$AJ$5,),V176)+INDEX(OFFSET(Arb!$V$2,,,Arb!$AJ$5,),V176))/X176)</f>
        <v>3.1051415366839978</v>
      </c>
      <c r="AB176" s="33">
        <f t="shared" ca="1" si="25"/>
        <v>8.8463356344983755</v>
      </c>
      <c r="AC176" s="21">
        <f t="shared" ca="1" si="26"/>
        <v>49.173015582136721</v>
      </c>
      <c r="AD176" s="74">
        <f ca="1">IF(V176="","",DATE(INDEX(OFFSET(Arb!$C$2,,,Arb!$AJ$5,),V176),INDEX(OFFSET(Arb!$B$2,,,Arb!$AJ$5,),V176),INDEX(OFFSET(Arb!$A$2,,,Arb!$AJ$5,),V176))+ROW()*0.001)</f>
        <v>43814.175999999999</v>
      </c>
    </row>
    <row r="177" spans="1:30" x14ac:dyDescent="0.25">
      <c r="A177" s="11">
        <v>176</v>
      </c>
      <c r="B177" s="11">
        <v>1461</v>
      </c>
      <c r="C177" s="433">
        <f ca="1">IF(B177="",16,INDEX(OFFSET(Arb!$I$2,,,Arb!$AJ$5,),B177))</f>
        <v>14</v>
      </c>
      <c r="D177" s="34">
        <f ca="1">IF(B177="",10,INDEX(OFFSET(Arb!$H$2,,,Arb!$AJ$5,),B177))</f>
        <v>4.3099999999999996</v>
      </c>
      <c r="E177" s="33">
        <f t="shared" ca="1" si="18"/>
        <v>3.2482598607888633</v>
      </c>
      <c r="F177" s="33">
        <f ca="1">IF(B177="","",INDEX(OFFSET(Arb!$X$2,,,Arb!$AJ$5,),B177)/D177)</f>
        <v>4.4083526682134577</v>
      </c>
      <c r="G177" s="33">
        <f ca="1">IF(B177="","",(INDEX(OFFSET(Arb!$U$2,,,Arb!$AJ$5,),B177)+INDEX(OFFSET(Arb!$V$2,,,Arb!$AJ$5,),B177))/D177)</f>
        <v>4.6403712296983759</v>
      </c>
      <c r="H177" s="33">
        <f t="shared" ca="1" si="19"/>
        <v>0.85601884095716563</v>
      </c>
      <c r="I177" s="21">
        <f t="shared" ca="1" si="20"/>
        <v>55.254624941563399</v>
      </c>
      <c r="J177" s="74">
        <f ca="1">IF(B177="","",DATE(INDEX(OFFSET(Arb!$C$2,,,Arb!$AJ$5,),B177),INDEX(OFFSET(Arb!$B$2,,,Arb!$AJ$5,),B177),INDEX(OFFSET(Arb!$A$2,,,Arb!$AJ$5,),B177))+ROW()*0.001)</f>
        <v>43952.177000000003</v>
      </c>
      <c r="K177" s="11">
        <v>176</v>
      </c>
      <c r="L177" s="11">
        <v>2223</v>
      </c>
      <c r="M177" s="433">
        <f ca="1">IF(L177="",64,INDEX(OFFSET(Arb!$I$2,,,Arb!$AJ$5,),L177))</f>
        <v>67</v>
      </c>
      <c r="N177" s="34">
        <f ca="1">IF(L177="",60,INDEX(OFFSET(Arb!$H$2,,,Arb!$AJ$5,),L177))</f>
        <v>23.87</v>
      </c>
      <c r="O177" s="33">
        <f t="shared" ca="1" si="21"/>
        <v>2.8068705488060326</v>
      </c>
      <c r="P177" s="33">
        <f ca="1">IF(L177="","",INDEX(OFFSET(Arb!$X$2,,,Arb!$AJ$5,),L177)/N177)</f>
        <v>3.3095936321742774</v>
      </c>
      <c r="Q177" s="33">
        <f ca="1">IF(L177="","",(INDEX(OFFSET(Arb!$U$2,,,Arb!$AJ$5,),L177)+INDEX(OFFSET(Arb!$V$2,,,Arb!$AJ$5,),L177))/N177)</f>
        <v>3.8123167155425217</v>
      </c>
      <c r="R177" s="33">
        <f t="shared" ca="1" si="22"/>
        <v>3.2830259052237962</v>
      </c>
      <c r="S177" s="21">
        <f t="shared" ca="1" si="23"/>
        <v>46.825704224688586</v>
      </c>
      <c r="T177" s="74">
        <f ca="1">IF(L177="","",DATE(INDEX(OFFSET(Arb!$C$2,,,Arb!$AJ$5,),L177),INDEX(OFFSET(Arb!$B$2,,,Arb!$AJ$5,),L177),INDEX(OFFSET(Arb!$A$2,,,Arb!$AJ$5,),L177))+ROW()*0.001)</f>
        <v>43870.177000000003</v>
      </c>
      <c r="U177" s="11">
        <v>176</v>
      </c>
      <c r="V177" s="11">
        <v>3395</v>
      </c>
      <c r="W177" s="433">
        <f ca="1">IF(V177="",164,INDEX(OFFSET(Arb!$I$2,,,Arb!$AJ$5,),V177))</f>
        <v>153</v>
      </c>
      <c r="X177" s="34">
        <f ca="1">IF(V177="",240,INDEX(OFFSET(Arb!$H$2,,,Arb!$AJ$5,),V177))</f>
        <v>69.27</v>
      </c>
      <c r="Y177" s="33">
        <f t="shared" ca="1" si="24"/>
        <v>2.2087483759203121</v>
      </c>
      <c r="Z177" s="33">
        <f ca="1">IF(V177="","",INDEX(OFFSET(Arb!$X$2,,,Arb!$AJ$5,),V177)/X177)</f>
        <v>2.5119099177132957</v>
      </c>
      <c r="AA177" s="33">
        <f ca="1">IF(V177="","",(INDEX(OFFSET(Arb!$U$2,,,Arb!$AJ$5,),V177)+INDEX(OFFSET(Arb!$V$2,,,Arb!$AJ$5,),V177))/X177)</f>
        <v>2.8872527789808</v>
      </c>
      <c r="AB177" s="33">
        <f t="shared" ca="1" si="25"/>
        <v>8.7949907729655621</v>
      </c>
      <c r="AC177" s="21">
        <f t="shared" ca="1" si="26"/>
        <v>49.46008599999054</v>
      </c>
      <c r="AD177" s="74">
        <f ca="1">IF(V177="","",DATE(INDEX(OFFSET(Arb!$C$2,,,Arb!$AJ$5,),V177),INDEX(OFFSET(Arb!$B$2,,,Arb!$AJ$5,),V177),INDEX(OFFSET(Arb!$A$2,,,Arb!$AJ$5,),V177))+ROW()*0.001)</f>
        <v>44144.177000000003</v>
      </c>
    </row>
    <row r="178" spans="1:30" x14ac:dyDescent="0.25">
      <c r="A178" s="11">
        <v>177</v>
      </c>
      <c r="B178" s="11">
        <v>1393</v>
      </c>
      <c r="C178" s="433">
        <f ca="1">IF(B178="",16,INDEX(OFFSET(Arb!$I$2,,,Arb!$AJ$5,),B178))</f>
        <v>15</v>
      </c>
      <c r="D178" s="34">
        <f ca="1">IF(B178="",10,INDEX(OFFSET(Arb!$H$2,,,Arb!$AJ$5,),B178))</f>
        <v>4.3099999999999996</v>
      </c>
      <c r="E178" s="33">
        <f t="shared" ca="1" si="18"/>
        <v>3.4802784222737824</v>
      </c>
      <c r="F178" s="33">
        <f ca="1">IF(B178="","",INDEX(OFFSET(Arb!$X$2,,,Arb!$AJ$5,),B178)/D178)</f>
        <v>3.4802784222737824</v>
      </c>
      <c r="G178" s="33">
        <f ca="1">IF(B178="","",(INDEX(OFFSET(Arb!$U$2,,,Arb!$AJ$5,),B178)+INDEX(OFFSET(Arb!$V$2,,,Arb!$AJ$5,),B178))/D178)</f>
        <v>4.4083526682134577</v>
      </c>
      <c r="H178" s="33">
        <f t="shared" ca="1" si="19"/>
        <v>0.79895091822668785</v>
      </c>
      <c r="I178" s="21">
        <f t="shared" ca="1" si="20"/>
        <v>59.201383865960793</v>
      </c>
      <c r="J178" s="74">
        <f ca="1">IF(B178="","",DATE(INDEX(OFFSET(Arb!$C$2,,,Arb!$AJ$5,),B178),INDEX(OFFSET(Arb!$B$2,,,Arb!$AJ$5,),B178),INDEX(OFFSET(Arb!$A$2,,,Arb!$AJ$5,),B178))+ROW()*0.001)</f>
        <v>43940.178</v>
      </c>
      <c r="K178" s="11">
        <v>177</v>
      </c>
      <c r="L178" s="11">
        <v>2095</v>
      </c>
      <c r="M178" s="433">
        <f ca="1">IF(L178="",64,INDEX(OFFSET(Arb!$I$2,,,Arb!$AJ$5,),L178))</f>
        <v>62</v>
      </c>
      <c r="N178" s="34">
        <f ca="1">IF(L178="",60,INDEX(OFFSET(Arb!$H$2,,,Arb!$AJ$5,),L178))</f>
        <v>23.87</v>
      </c>
      <c r="O178" s="33">
        <f t="shared" ca="1" si="21"/>
        <v>2.5974025974025974</v>
      </c>
      <c r="P178" s="33">
        <f ca="1">IF(L178="","",INDEX(OFFSET(Arb!$X$2,,,Arb!$AJ$5,),L178)/N178)</f>
        <v>3.3514872224549643</v>
      </c>
      <c r="Q178" s="33">
        <f ca="1">IF(L178="","",(INDEX(OFFSET(Arb!$U$2,,,Arb!$AJ$5,),L178)+INDEX(OFFSET(Arb!$V$2,,,Arb!$AJ$5,),L178))/N178)</f>
        <v>3.8961038961038961</v>
      </c>
      <c r="R178" s="33">
        <f t="shared" ca="1" si="22"/>
        <v>3.5477860588708769</v>
      </c>
      <c r="S178" s="21">
        <f t="shared" ca="1" si="23"/>
        <v>43.331248685532721</v>
      </c>
      <c r="T178" s="74">
        <f ca="1">IF(L178="","",DATE(INDEX(OFFSET(Arb!$C$2,,,Arb!$AJ$5,),L178),INDEX(OFFSET(Arb!$B$2,,,Arb!$AJ$5,),L178),INDEX(OFFSET(Arb!$A$2,,,Arb!$AJ$5,),L178))+ROW()*0.001)</f>
        <v>43809.178</v>
      </c>
      <c r="U178" s="11">
        <v>177</v>
      </c>
      <c r="V178" s="11">
        <v>3001</v>
      </c>
      <c r="W178" s="433">
        <f ca="1">IF(V178="",164,INDEX(OFFSET(Arb!$I$2,,,Arb!$AJ$5,),V178))</f>
        <v>143</v>
      </c>
      <c r="X178" s="34">
        <f ca="1">IF(V178="",240,INDEX(OFFSET(Arb!$H$2,,,Arb!$AJ$5,),V178))</f>
        <v>69.27</v>
      </c>
      <c r="Y178" s="33">
        <f t="shared" ca="1" si="24"/>
        <v>2.0643857369712721</v>
      </c>
      <c r="Z178" s="33">
        <f ca="1">IF(V178="","",INDEX(OFFSET(Arb!$X$2,,,Arb!$AJ$5,),V178)/X178)</f>
        <v>2.4830373899234881</v>
      </c>
      <c r="AA178" s="33">
        <f ca="1">IF(V178="","",(INDEX(OFFSET(Arb!$U$2,,,Arb!$AJ$5,),V178)+INDEX(OFFSET(Arb!$V$2,,,Arb!$AJ$5,),V178))/X178)</f>
        <v>2.74289014003176</v>
      </c>
      <c r="AB178" s="33">
        <f t="shared" ca="1" si="25"/>
        <v>9.4100250927533651</v>
      </c>
      <c r="AC178" s="21">
        <f t="shared" ca="1" si="26"/>
        <v>46.227400640514027</v>
      </c>
      <c r="AD178" s="74">
        <f ca="1">IF(V178="","",DATE(INDEX(OFFSET(Arb!$C$2,,,Arb!$AJ$5,),V178),INDEX(OFFSET(Arb!$B$2,,,Arb!$AJ$5,),V178),INDEX(OFFSET(Arb!$A$2,,,Arb!$AJ$5,),V178))+ROW()*0.001)</f>
        <v>43957.178</v>
      </c>
    </row>
    <row r="179" spans="1:30" x14ac:dyDescent="0.25">
      <c r="A179" s="11">
        <v>178</v>
      </c>
      <c r="B179" s="11">
        <v>1372</v>
      </c>
      <c r="C179" s="433">
        <f ca="1">IF(B179="",16,INDEX(OFFSET(Arb!$I$2,,,Arb!$AJ$5,),B179))</f>
        <v>14</v>
      </c>
      <c r="D179" s="34">
        <f ca="1">IF(B179="",10,INDEX(OFFSET(Arb!$H$2,,,Arb!$AJ$5,),B179))</f>
        <v>4.3099999999999996</v>
      </c>
      <c r="E179" s="33">
        <f t="shared" ca="1" si="18"/>
        <v>3.2482598607888633</v>
      </c>
      <c r="F179" s="33">
        <f ca="1">IF(B179="","",INDEX(OFFSET(Arb!$X$2,,,Arb!$AJ$5,),B179)/D179)</f>
        <v>3.712296983758701</v>
      </c>
      <c r="G179" s="33">
        <f ca="1">IF(B179="","",(INDEX(OFFSET(Arb!$U$2,,,Arb!$AJ$5,),B179)+INDEX(OFFSET(Arb!$V$2,,,Arb!$AJ$5,),B179))/D179)</f>
        <v>4.1763341067285387</v>
      </c>
      <c r="H179" s="33">
        <f t="shared" ca="1" si="19"/>
        <v>0.85601884095716563</v>
      </c>
      <c r="I179" s="21">
        <f t="shared" ca="1" si="20"/>
        <v>55.254624941563399</v>
      </c>
      <c r="J179" s="74">
        <f ca="1">IF(B179="","",DATE(INDEX(OFFSET(Arb!$C$2,,,Arb!$AJ$5,),B179),INDEX(OFFSET(Arb!$B$2,,,Arb!$AJ$5,),B179),INDEX(OFFSET(Arb!$A$2,,,Arb!$AJ$5,),B179))+ROW()*0.001)</f>
        <v>43935.178999999996</v>
      </c>
      <c r="K179" s="11">
        <v>178</v>
      </c>
      <c r="L179" s="11">
        <v>2066</v>
      </c>
      <c r="M179" s="433">
        <f ca="1">IF(L179="",64,INDEX(OFFSET(Arb!$I$2,,,Arb!$AJ$5,),L179))</f>
        <v>61</v>
      </c>
      <c r="N179" s="34">
        <f ca="1">IF(L179="",60,INDEX(OFFSET(Arb!$H$2,,,Arb!$AJ$5,),L179))</f>
        <v>23.87</v>
      </c>
      <c r="O179" s="33">
        <f t="shared" ca="1" si="21"/>
        <v>2.5555090071219104</v>
      </c>
      <c r="P179" s="33">
        <f ca="1">IF(L179="","",INDEX(OFFSET(Arb!$X$2,,,Arb!$AJ$5,),L179)/N179)</f>
        <v>3.26770004189359</v>
      </c>
      <c r="Q179" s="33">
        <f ca="1">IF(L179="","",(INDEX(OFFSET(Arb!$U$2,,,Arb!$AJ$5,),L179)+INDEX(OFFSET(Arb!$V$2,,,Arb!$AJ$5,),L179))/N179)</f>
        <v>3.6028487641390865</v>
      </c>
      <c r="R179" s="33">
        <f t="shared" ca="1" si="22"/>
        <v>3.6059464860654811</v>
      </c>
      <c r="S179" s="21">
        <f t="shared" ca="1" si="23"/>
        <v>42.632357577701548</v>
      </c>
      <c r="T179" s="74">
        <f ca="1">IF(L179="","",DATE(INDEX(OFFSET(Arb!$C$2,,,Arb!$AJ$5,),L179),INDEX(OFFSET(Arb!$B$2,,,Arb!$AJ$5,),L179),INDEX(OFFSET(Arb!$A$2,,,Arb!$AJ$5,),L179))+ROW()*0.001)</f>
        <v>43800.178999999996</v>
      </c>
      <c r="U179" s="11">
        <v>178</v>
      </c>
      <c r="V179" s="11">
        <v>3364</v>
      </c>
      <c r="W179" s="433">
        <f ca="1">IF(V179="",164,INDEX(OFFSET(Arb!$I$2,,,Arb!$AJ$5,),V179))</f>
        <v>160</v>
      </c>
      <c r="X179" s="34">
        <f ca="1">IF(V179="",240,INDEX(OFFSET(Arb!$H$2,,,Arb!$AJ$5,),V179))</f>
        <v>69.28</v>
      </c>
      <c r="Y179" s="33">
        <f t="shared" ca="1" si="24"/>
        <v>2.3094688221709005</v>
      </c>
      <c r="Z179" s="33">
        <f ca="1">IF(V179="","",INDEX(OFFSET(Arb!$X$2,,,Arb!$AJ$5,),V179)/X179)</f>
        <v>2.5404157043879909</v>
      </c>
      <c r="AA179" s="33">
        <f ca="1">IF(V179="","",(INDEX(OFFSET(Arb!$U$2,,,Arb!$AJ$5,),V179)+INDEX(OFFSET(Arb!$V$2,,,Arb!$AJ$5,),V179))/X179)</f>
        <v>2.9590069284064664</v>
      </c>
      <c r="AB179" s="33">
        <f t="shared" ca="1" si="25"/>
        <v>8.4122740351031062</v>
      </c>
      <c r="AC179" s="21">
        <f t="shared" ca="1" si="26"/>
        <v>51.710274556535929</v>
      </c>
      <c r="AD179" s="74">
        <f ca="1">IF(V179="","",DATE(INDEX(OFFSET(Arb!$C$2,,,Arb!$AJ$5,),V179),INDEX(OFFSET(Arb!$B$2,,,Arb!$AJ$5,),V179),INDEX(OFFSET(Arb!$A$2,,,Arb!$AJ$5,),V179))+ROW()*0.001)</f>
        <v>44107.178999999996</v>
      </c>
    </row>
    <row r="180" spans="1:30" x14ac:dyDescent="0.25">
      <c r="A180" s="11">
        <v>179</v>
      </c>
      <c r="B180" s="11">
        <v>1118</v>
      </c>
      <c r="C180" s="433">
        <f ca="1">IF(B180="",16,INDEX(OFFSET(Arb!$I$2,,,Arb!$AJ$5,),B180))</f>
        <v>14</v>
      </c>
      <c r="D180" s="34">
        <f ca="1">IF(B180="",10,INDEX(OFFSET(Arb!$H$2,,,Arb!$AJ$5,),B180))</f>
        <v>4.3099999999999996</v>
      </c>
      <c r="E180" s="33">
        <f t="shared" ca="1" si="18"/>
        <v>3.2482598607888633</v>
      </c>
      <c r="F180" s="33">
        <f ca="1">IF(B180="","",INDEX(OFFSET(Arb!$X$2,,,Arb!$AJ$5,),B180)/D180)</f>
        <v>4.6403712296983759</v>
      </c>
      <c r="G180" s="33">
        <f ca="1">IF(B180="","",(INDEX(OFFSET(Arb!$U$2,,,Arb!$AJ$5,),B180)+INDEX(OFFSET(Arb!$V$2,,,Arb!$AJ$5,),B180))/D180)</f>
        <v>5.104408352668214</v>
      </c>
      <c r="H180" s="33">
        <f t="shared" ca="1" si="19"/>
        <v>0.85601884095716563</v>
      </c>
      <c r="I180" s="21">
        <f t="shared" ca="1" si="20"/>
        <v>55.254624941563399</v>
      </c>
      <c r="J180" s="74">
        <f ca="1">IF(B180="","",DATE(INDEX(OFFSET(Arb!$C$2,,,Arb!$AJ$5,),B180),INDEX(OFFSET(Arb!$B$2,,,Arb!$AJ$5,),B180),INDEX(OFFSET(Arb!$A$2,,,Arb!$AJ$5,),B180))+ROW()*0.001)</f>
        <v>43846.18</v>
      </c>
      <c r="K180" s="11">
        <v>179</v>
      </c>
      <c r="L180" s="11">
        <v>2206</v>
      </c>
      <c r="M180" s="433">
        <f ca="1">IF(L180="",64,INDEX(OFFSET(Arb!$I$2,,,Arb!$AJ$5,),L180))</f>
        <v>54</v>
      </c>
      <c r="N180" s="34">
        <f ca="1">IF(L180="",60,INDEX(OFFSET(Arb!$H$2,,,Arb!$AJ$5,),L180))</f>
        <v>23.88</v>
      </c>
      <c r="O180" s="33">
        <f t="shared" ca="1" si="21"/>
        <v>2.2613065326633168</v>
      </c>
      <c r="P180" s="33">
        <f ca="1">IF(L180="","",INDEX(OFFSET(Arb!$X$2,,,Arb!$AJ$5,),L180)/N180)</f>
        <v>3.0150753768844223</v>
      </c>
      <c r="Q180" s="33">
        <f ca="1">IF(L180="","",(INDEX(OFFSET(Arb!$U$2,,,Arb!$AJ$5,),L180)+INDEX(OFFSET(Arb!$V$2,,,Arb!$AJ$5,),L180))/N180)</f>
        <v>3.391959798994975</v>
      </c>
      <c r="R180" s="33">
        <f t="shared" ca="1" si="22"/>
        <v>4.076285446432574</v>
      </c>
      <c r="S180" s="21">
        <f t="shared" ca="1" si="23"/>
        <v>37.713256841357676</v>
      </c>
      <c r="T180" s="74">
        <f ca="1">IF(L180="","",DATE(INDEX(OFFSET(Arb!$C$2,,,Arb!$AJ$5,),L180),INDEX(OFFSET(Arb!$B$2,,,Arb!$AJ$5,),L180),INDEX(OFFSET(Arb!$A$2,,,Arb!$AJ$5,),L180))+ROW()*0.001)</f>
        <v>43869.18</v>
      </c>
      <c r="U180" s="11">
        <v>179</v>
      </c>
      <c r="V180" s="11">
        <v>3314</v>
      </c>
      <c r="W180" s="433">
        <f ca="1">IF(V180="",164,INDEX(OFFSET(Arb!$I$2,,,Arb!$AJ$5,),V180))</f>
        <v>181</v>
      </c>
      <c r="X180" s="34">
        <f ca="1">IF(V180="",240,INDEX(OFFSET(Arb!$H$2,,,Arb!$AJ$5,),V180))</f>
        <v>69.28</v>
      </c>
      <c r="Y180" s="33">
        <f t="shared" ca="1" si="24"/>
        <v>2.6125866050808315</v>
      </c>
      <c r="Z180" s="33">
        <f ca="1">IF(V180="","",INDEX(OFFSET(Arb!$X$2,,,Arb!$AJ$5,),V180)/X180)</f>
        <v>3.1899538106235563</v>
      </c>
      <c r="AA180" s="33">
        <f ca="1">IF(V180="","",(INDEX(OFFSET(Arb!$U$2,,,Arb!$AJ$5,),V180)+INDEX(OFFSET(Arb!$V$2,,,Arb!$AJ$5,),V180))/X180)</f>
        <v>3.464203233256351</v>
      </c>
      <c r="AB180" s="33">
        <f t="shared" ca="1" si="25"/>
        <v>7.4362643404226345</v>
      </c>
      <c r="AC180" s="21">
        <f t="shared" ca="1" si="26"/>
        <v>58.497248092081271</v>
      </c>
      <c r="AD180" s="74">
        <f ca="1">IF(V180="","",DATE(INDEX(OFFSET(Arb!$C$2,,,Arb!$AJ$5,),V180),INDEX(OFFSET(Arb!$B$2,,,Arb!$AJ$5,),V180),INDEX(OFFSET(Arb!$A$2,,,Arb!$AJ$5,),V180))+ROW()*0.001)</f>
        <v>44094.18</v>
      </c>
    </row>
    <row r="181" spans="1:30" x14ac:dyDescent="0.25">
      <c r="A181" s="11">
        <v>180</v>
      </c>
      <c r="B181" s="11">
        <v>766</v>
      </c>
      <c r="C181" s="433">
        <f ca="1">IF(B181="",16,INDEX(OFFSET(Arb!$I$2,,,Arb!$AJ$5,),B181))</f>
        <v>10</v>
      </c>
      <c r="D181" s="34">
        <f ca="1">IF(B181="",10,INDEX(OFFSET(Arb!$H$2,,,Arb!$AJ$5,),B181))</f>
        <v>4.3099999999999996</v>
      </c>
      <c r="E181" s="33">
        <f t="shared" ca="1" si="18"/>
        <v>2.3201856148491879</v>
      </c>
      <c r="F181" s="33">
        <f ca="1">IF(B181="","",INDEX(OFFSET(Arb!$X$2,,,Arb!$AJ$5,),B181)/D181)</f>
        <v>3.0162412993039447</v>
      </c>
      <c r="G181" s="33">
        <f ca="1">IF(B181="","",(INDEX(OFFSET(Arb!$U$2,,,Arb!$AJ$5,),B181)+INDEX(OFFSET(Arb!$V$2,,,Arb!$AJ$5,),B181))/D181)</f>
        <v>3.94431554524362</v>
      </c>
      <c r="H181" s="33">
        <f t="shared" ca="1" si="19"/>
        <v>1.1984263773400319</v>
      </c>
      <c r="I181" s="21">
        <f t="shared" ca="1" si="20"/>
        <v>39.467589243973862</v>
      </c>
      <c r="J181" s="74">
        <f ca="1">IF(B181="","",DATE(INDEX(OFFSET(Arb!$C$2,,,Arb!$AJ$5,),B181),INDEX(OFFSET(Arb!$B$2,,,Arb!$AJ$5,),B181),INDEX(OFFSET(Arb!$A$2,,,Arb!$AJ$5,),B181))+ROW()*0.001)</f>
        <v>43809.180999999997</v>
      </c>
      <c r="K181" s="11">
        <v>180</v>
      </c>
      <c r="L181" s="11">
        <v>2170</v>
      </c>
      <c r="M181" s="433">
        <f ca="1">IF(L181="",64,INDEX(OFFSET(Arb!$I$2,,,Arb!$AJ$5,),L181))</f>
        <v>47</v>
      </c>
      <c r="N181" s="34">
        <f ca="1">IF(L181="",60,INDEX(OFFSET(Arb!$H$2,,,Arb!$AJ$5,),L181))</f>
        <v>23.9</v>
      </c>
      <c r="O181" s="33">
        <f t="shared" ca="1" si="21"/>
        <v>1.9665271966527198</v>
      </c>
      <c r="P181" s="33">
        <f ca="1">IF(L181="","",INDEX(OFFSET(Arb!$X$2,,,Arb!$AJ$5,),L181)/N181)</f>
        <v>2.5941422594142263</v>
      </c>
      <c r="Q181" s="33">
        <f ca="1">IF(L181="","",(INDEX(OFFSET(Arb!$U$2,,,Arb!$AJ$5,),L181)+INDEX(OFFSET(Arb!$V$2,,,Arb!$AJ$5,),L181))/N181)</f>
        <v>3.0543933054393309</v>
      </c>
      <c r="R181" s="33">
        <f t="shared" ca="1" si="22"/>
        <v>4.6900618897676809</v>
      </c>
      <c r="S181" s="21">
        <f t="shared" ca="1" si="23"/>
        <v>32.777819059358919</v>
      </c>
      <c r="T181" s="74">
        <f ca="1">IF(L181="","",DATE(INDEX(OFFSET(Arb!$C$2,,,Arb!$AJ$5,),L181),INDEX(OFFSET(Arb!$B$2,,,Arb!$AJ$5,),L181),INDEX(OFFSET(Arb!$A$2,,,Arb!$AJ$5,),L181))+ROW()*0.001)</f>
        <v>43838.180999999997</v>
      </c>
      <c r="U181" s="11">
        <v>180</v>
      </c>
      <c r="V181" s="11">
        <v>3198</v>
      </c>
      <c r="W181" s="433">
        <f ca="1">IF(V181="",164,INDEX(OFFSET(Arb!$I$2,,,Arb!$AJ$5,),V181))</f>
        <v>157</v>
      </c>
      <c r="X181" s="34">
        <f ca="1">IF(V181="",240,INDEX(OFFSET(Arb!$H$2,,,Arb!$AJ$5,),V181))</f>
        <v>69.3</v>
      </c>
      <c r="Y181" s="33">
        <f t="shared" ca="1" si="24"/>
        <v>2.2655122655122657</v>
      </c>
      <c r="Z181" s="33">
        <f ca="1">IF(V181="","",INDEX(OFFSET(Arb!$X$2,,,Arb!$AJ$5,),V181)/X181)</f>
        <v>3.0303030303030303</v>
      </c>
      <c r="AA181" s="33">
        <f ca="1">IF(V181="","",(INDEX(OFFSET(Arb!$U$2,,,Arb!$AJ$5,),V181)+INDEX(OFFSET(Arb!$V$2,,,Arb!$AJ$5,),V181))/X181)</f>
        <v>3.3910533910533913</v>
      </c>
      <c r="AB181" s="33">
        <f t="shared" ca="1" si="25"/>
        <v>8.5772258626275093</v>
      </c>
      <c r="AC181" s="21">
        <f t="shared" ca="1" si="26"/>
        <v>50.715814992744484</v>
      </c>
      <c r="AD181" s="74">
        <f ca="1">IF(V181="","",DATE(INDEX(OFFSET(Arb!$C$2,,,Arb!$AJ$5,),V181),INDEX(OFFSET(Arb!$B$2,,,Arb!$AJ$5,),V181),INDEX(OFFSET(Arb!$A$2,,,Arb!$AJ$5,),V181))+ROW()*0.001)</f>
        <v>44057.180999999997</v>
      </c>
    </row>
    <row r="182" spans="1:30" x14ac:dyDescent="0.25">
      <c r="A182" s="11">
        <v>181</v>
      </c>
      <c r="B182" s="11">
        <v>211</v>
      </c>
      <c r="C182" s="433">
        <f ca="1">IF(B182="",16,INDEX(OFFSET(Arb!$I$2,,,Arb!$AJ$5,),B182))</f>
        <v>11</v>
      </c>
      <c r="D182" s="34">
        <f ca="1">IF(B182="",10,INDEX(OFFSET(Arb!$H$2,,,Arb!$AJ$5,),B182))</f>
        <v>4.3099999999999996</v>
      </c>
      <c r="E182" s="33">
        <f t="shared" ca="1" si="18"/>
        <v>2.552204176334107</v>
      </c>
      <c r="F182" s="33">
        <f ca="1">IF(B182="","",INDEX(OFFSET(Arb!$X$2,,,Arb!$AJ$5,),B182)/D182)</f>
        <v>3.4802784222737824</v>
      </c>
      <c r="G182" s="33">
        <f ca="1">IF(B182="","",(INDEX(OFFSET(Arb!$U$2,,,Arb!$AJ$5,),B182)+INDEX(OFFSET(Arb!$V$2,,,Arb!$AJ$5,),B182))/D182)</f>
        <v>4.1763341067285387</v>
      </c>
      <c r="H182" s="33">
        <f t="shared" ca="1" si="19"/>
        <v>1.0894785248545744</v>
      </c>
      <c r="I182" s="21">
        <f t="shared" ca="1" si="20"/>
        <v>43.414348168371248</v>
      </c>
      <c r="J182" s="74">
        <f ca="1">IF(B182="","",DATE(INDEX(OFFSET(Arb!$C$2,,,Arb!$AJ$5,),B182),INDEX(OFFSET(Arb!$B$2,,,Arb!$AJ$5,),B182),INDEX(OFFSET(Arb!$A$2,,,Arb!$AJ$5,),B182))+ROW()*0.001)</f>
        <v>43774.182000000001</v>
      </c>
      <c r="K182" s="11">
        <v>181</v>
      </c>
      <c r="L182" s="11">
        <v>2175</v>
      </c>
      <c r="M182" s="433">
        <f ca="1">IF(L182="",64,INDEX(OFFSET(Arb!$I$2,,,Arb!$AJ$5,),L182))</f>
        <v>60</v>
      </c>
      <c r="N182" s="34">
        <f ca="1">IF(L182="",60,INDEX(OFFSET(Arb!$H$2,,,Arb!$AJ$5,),L182))</f>
        <v>23.91</v>
      </c>
      <c r="O182" s="33">
        <f t="shared" ca="1" si="21"/>
        <v>2.509410288582183</v>
      </c>
      <c r="P182" s="33">
        <f ca="1">IF(L182="","",INDEX(OFFSET(Arb!$X$2,,,Arb!$AJ$5,),L182)/N182)</f>
        <v>3.3040568799665411</v>
      </c>
      <c r="Q182" s="33">
        <f ca="1">IF(L182="","",(INDEX(OFFSET(Arb!$U$2,,,Arb!$AJ$5,),L182)+INDEX(OFFSET(Arb!$V$2,,,Arb!$AJ$5,),L182))/N182)</f>
        <v>3.5549979088247596</v>
      </c>
      <c r="R182" s="33">
        <f t="shared" ca="1" si="22"/>
        <v>3.6764954176983897</v>
      </c>
      <c r="S182" s="21">
        <f t="shared" ca="1" si="23"/>
        <v>41.81427760251097</v>
      </c>
      <c r="T182" s="74">
        <f ca="1">IF(L182="","",DATE(INDEX(OFFSET(Arb!$C$2,,,Arb!$AJ$5,),L182),INDEX(OFFSET(Arb!$B$2,,,Arb!$AJ$5,),L182),INDEX(OFFSET(Arb!$A$2,,,Arb!$AJ$5,),L182))+ROW()*0.001)</f>
        <v>43840.182000000001</v>
      </c>
      <c r="U182" s="11">
        <v>181</v>
      </c>
      <c r="V182" s="11">
        <v>2889</v>
      </c>
      <c r="W182" s="433">
        <f ca="1">IF(V182="",164,INDEX(OFFSET(Arb!$I$2,,,Arb!$AJ$5,),V182))</f>
        <v>149</v>
      </c>
      <c r="X182" s="34">
        <f ca="1">IF(V182="",240,INDEX(OFFSET(Arb!$H$2,,,Arb!$AJ$5,),V182))</f>
        <v>69.3</v>
      </c>
      <c r="Y182" s="33">
        <f t="shared" ca="1" si="24"/>
        <v>2.15007215007215</v>
      </c>
      <c r="Z182" s="33">
        <f ca="1">IF(V182="","",INDEX(OFFSET(Arb!$X$2,,,Arb!$AJ$5,),V182)/X182)</f>
        <v>2.8138528138528138</v>
      </c>
      <c r="AA182" s="33">
        <f ca="1">IF(V182="","",(INDEX(OFFSET(Arb!$U$2,,,Arb!$AJ$5,),V182)+INDEX(OFFSET(Arb!$V$2,,,Arb!$AJ$5,),V182))/X182)</f>
        <v>3.1890331890331893</v>
      </c>
      <c r="AB182" s="33">
        <f t="shared" ca="1" si="25"/>
        <v>9.0377480565940882</v>
      </c>
      <c r="AC182" s="21">
        <f t="shared" ca="1" si="26"/>
        <v>48.131569642795711</v>
      </c>
      <c r="AD182" s="74">
        <f ca="1">IF(V182="","",DATE(INDEX(OFFSET(Arb!$C$2,,,Arb!$AJ$5,),V182),INDEX(OFFSET(Arb!$B$2,,,Arb!$AJ$5,),V182),INDEX(OFFSET(Arb!$A$2,,,Arb!$AJ$5,),V182))+ROW()*0.001)</f>
        <v>43919.182000000001</v>
      </c>
    </row>
    <row r="183" spans="1:30" x14ac:dyDescent="0.25">
      <c r="A183" s="11">
        <v>182</v>
      </c>
      <c r="B183" s="11">
        <v>100</v>
      </c>
      <c r="C183" s="433">
        <f ca="1">IF(B183="",16,INDEX(OFFSET(Arb!$I$2,,,Arb!$AJ$5,),B183))</f>
        <v>13</v>
      </c>
      <c r="D183" s="34">
        <f ca="1">IF(B183="",10,INDEX(OFFSET(Arb!$H$2,,,Arb!$AJ$5,),B183))</f>
        <v>4.3099999999999996</v>
      </c>
      <c r="E183" s="33">
        <f t="shared" ca="1" si="18"/>
        <v>3.0162412993039447</v>
      </c>
      <c r="F183" s="33">
        <f ca="1">IF(B183="","",INDEX(OFFSET(Arb!$X$2,,,Arb!$AJ$5,),B183)/D183)</f>
        <v>3.2482598607888633</v>
      </c>
      <c r="G183" s="33">
        <f ca="1">IF(B183="","",(INDEX(OFFSET(Arb!$U$2,,,Arb!$AJ$5,),B183)+INDEX(OFFSET(Arb!$V$2,,,Arb!$AJ$5,),B183))/D183)</f>
        <v>3.4802784222737824</v>
      </c>
      <c r="H183" s="33">
        <f t="shared" ca="1" si="19"/>
        <v>0.92186644410771679</v>
      </c>
      <c r="I183" s="21">
        <f t="shared" ca="1" si="20"/>
        <v>51.30786601716602</v>
      </c>
      <c r="J183" s="74">
        <f ca="1">IF(B183="","",DATE(INDEX(OFFSET(Arb!$C$2,,,Arb!$AJ$5,),B183),INDEX(OFFSET(Arb!$B$2,,,Arb!$AJ$5,),B183),INDEX(OFFSET(Arb!$A$2,,,Arb!$AJ$5,),B183))+ROW()*0.001)</f>
        <v>43769.182999999997</v>
      </c>
      <c r="K183" s="11">
        <v>182</v>
      </c>
      <c r="L183" s="11">
        <v>2361</v>
      </c>
      <c r="M183" s="433">
        <f ca="1">IF(L183="",64,INDEX(OFFSET(Arb!$I$2,,,Arb!$AJ$5,),L183))</f>
        <v>59</v>
      </c>
      <c r="N183" s="34">
        <f ca="1">IF(L183="",60,INDEX(OFFSET(Arb!$H$2,,,Arb!$AJ$5,),L183))</f>
        <v>23.93</v>
      </c>
      <c r="O183" s="33">
        <f t="shared" ca="1" si="21"/>
        <v>2.4655244463017132</v>
      </c>
      <c r="P183" s="33">
        <f ca="1">IF(L183="","",INDEX(OFFSET(Arb!$X$2,,,Arb!$AJ$5,),L183)/N183)</f>
        <v>3.0505641454241537</v>
      </c>
      <c r="Q183" s="33">
        <f ca="1">IF(L183="","",(INDEX(OFFSET(Arb!$U$2,,,Arb!$AJ$5,),L183)+INDEX(OFFSET(Arb!$V$2,,,Arb!$AJ$5,),L183))/N183)</f>
        <v>3.4684496447973254</v>
      </c>
      <c r="R183" s="33">
        <f t="shared" ca="1" si="22"/>
        <v>3.7441270388585921</v>
      </c>
      <c r="S183" s="21">
        <f t="shared" ca="1" si="23"/>
        <v>41.058970062849426</v>
      </c>
      <c r="T183" s="74">
        <f ca="1">IF(L183="","",DATE(INDEX(OFFSET(Arb!$C$2,,,Arb!$AJ$5,),L183),INDEX(OFFSET(Arb!$B$2,,,Arb!$AJ$5,),L183),INDEX(OFFSET(Arb!$A$2,,,Arb!$AJ$5,),L183))+ROW()*0.001)</f>
        <v>44114.182999999997</v>
      </c>
      <c r="U183" s="11">
        <v>182</v>
      </c>
      <c r="V183" s="11">
        <v>3222</v>
      </c>
      <c r="W183" s="433">
        <f ca="1">IF(V183="",164,INDEX(OFFSET(Arb!$I$2,,,Arb!$AJ$5,),V183))</f>
        <v>166</v>
      </c>
      <c r="X183" s="34">
        <f ca="1">IF(V183="",240,INDEX(OFFSET(Arb!$H$2,,,Arb!$AJ$5,),V183))</f>
        <v>69.31</v>
      </c>
      <c r="Y183" s="33">
        <f t="shared" ca="1" si="24"/>
        <v>2.3950367912278168</v>
      </c>
      <c r="Z183" s="33">
        <f ca="1">IF(V183="","",INDEX(OFFSET(Arb!$X$2,,,Arb!$AJ$5,),V183)/X183)</f>
        <v>2.9288702928870292</v>
      </c>
      <c r="AA183" s="33">
        <f ca="1">IF(V183="","",(INDEX(OFFSET(Arb!$U$2,,,Arb!$AJ$5,),V183)+INDEX(OFFSET(Arb!$V$2,,,Arb!$AJ$5,),V183))/X183)</f>
        <v>3.3472803347280333</v>
      </c>
      <c r="AB183" s="33">
        <f t="shared" ca="1" si="25"/>
        <v>8.1141856499571343</v>
      </c>
      <c r="AC183" s="21">
        <f t="shared" ca="1" si="26"/>
        <v>53.609939279895329</v>
      </c>
      <c r="AD183" s="74">
        <f ca="1">IF(V183="","",DATE(INDEX(OFFSET(Arb!$C$2,,,Arb!$AJ$5,),V183),INDEX(OFFSET(Arb!$B$2,,,Arb!$AJ$5,),V183),INDEX(OFFSET(Arb!$A$2,,,Arb!$AJ$5,),V183))+ROW()*0.001)</f>
        <v>44060.182999999997</v>
      </c>
    </row>
    <row r="184" spans="1:30" x14ac:dyDescent="0.25">
      <c r="A184" s="11">
        <v>183</v>
      </c>
      <c r="B184" s="11">
        <v>963</v>
      </c>
      <c r="C184" s="433">
        <f ca="1">IF(B184="",16,INDEX(OFFSET(Arb!$I$2,,,Arb!$AJ$5,),B184))</f>
        <v>11</v>
      </c>
      <c r="D184" s="34">
        <f ca="1">IF(B184="",10,INDEX(OFFSET(Arb!$H$2,,,Arb!$AJ$5,),B184))</f>
        <v>4.32</v>
      </c>
      <c r="E184" s="33">
        <f t="shared" ca="1" si="18"/>
        <v>2.5462962962962963</v>
      </c>
      <c r="F184" s="33">
        <f ca="1">IF(B184="","",INDEX(OFFSET(Arb!$X$2,,,Arb!$AJ$5,),B184)/D184)</f>
        <v>3.4722222222222219</v>
      </c>
      <c r="G184" s="33">
        <f ca="1">IF(B184="","",(INDEX(OFFSET(Arb!$U$2,,,Arb!$AJ$5,),B184)+INDEX(OFFSET(Arb!$V$2,,,Arb!$AJ$5,),B184))/D184)</f>
        <v>3.9351851851851851</v>
      </c>
      <c r="H184" s="33">
        <f t="shared" ca="1" si="19"/>
        <v>1.0937792607711174</v>
      </c>
      <c r="I184" s="21">
        <f t="shared" ca="1" si="20"/>
        <v>43.243643115571665</v>
      </c>
      <c r="J184" s="74">
        <f ca="1">IF(B184="","",DATE(INDEX(OFFSET(Arb!$C$2,,,Arb!$AJ$5,),B184),INDEX(OFFSET(Arb!$B$2,,,Arb!$AJ$5,),B184),INDEX(OFFSET(Arb!$A$2,,,Arb!$AJ$5,),B184))+ROW()*0.001)</f>
        <v>43822.184000000001</v>
      </c>
      <c r="K184" s="11">
        <v>183</v>
      </c>
      <c r="L184" s="11">
        <v>2082</v>
      </c>
      <c r="M184" s="433">
        <f ca="1">IF(L184="",64,INDEX(OFFSET(Arb!$I$2,,,Arb!$AJ$5,),L184))</f>
        <v>55</v>
      </c>
      <c r="N184" s="34">
        <f ca="1">IF(L184="",60,INDEX(OFFSET(Arb!$H$2,,,Arb!$AJ$5,),L184))</f>
        <v>23.93</v>
      </c>
      <c r="O184" s="33">
        <f t="shared" ca="1" si="21"/>
        <v>2.2983702465524445</v>
      </c>
      <c r="P184" s="33">
        <f ca="1">IF(L184="","",INDEX(OFFSET(Arb!$X$2,,,Arb!$AJ$5,),L184)/N184)</f>
        <v>3.0087755954868367</v>
      </c>
      <c r="Q184" s="33">
        <f ca="1">IF(L184="","",(INDEX(OFFSET(Arb!$U$2,,,Arb!$AJ$5,),L184)+INDEX(OFFSET(Arb!$V$2,,,Arb!$AJ$5,),L184))/N184)</f>
        <v>3.5520267446719598</v>
      </c>
      <c r="R184" s="33">
        <f t="shared" ca="1" si="22"/>
        <v>4.0164271871392172</v>
      </c>
      <c r="S184" s="21">
        <f t="shared" ca="1" si="23"/>
        <v>38.275311075537594</v>
      </c>
      <c r="T184" s="74">
        <f ca="1">IF(L184="","",DATE(INDEX(OFFSET(Arb!$C$2,,,Arb!$AJ$5,),L184),INDEX(OFFSET(Arb!$B$2,,,Arb!$AJ$5,),L184),INDEX(OFFSET(Arb!$A$2,,,Arb!$AJ$5,),L184))+ROW()*0.001)</f>
        <v>43809.184000000001</v>
      </c>
      <c r="U184" s="11">
        <v>183</v>
      </c>
      <c r="V184" s="11">
        <v>3429</v>
      </c>
      <c r="W184" s="433">
        <f ca="1">IF(V184="",164,INDEX(OFFSET(Arb!$I$2,,,Arb!$AJ$5,),V184))</f>
        <v>160</v>
      </c>
      <c r="X184" s="34">
        <f ca="1">IF(V184="",240,INDEX(OFFSET(Arb!$H$2,,,Arb!$AJ$5,),V184))</f>
        <v>69.319999999999993</v>
      </c>
      <c r="Y184" s="33">
        <f t="shared" ca="1" si="24"/>
        <v>2.3081361800346221</v>
      </c>
      <c r="Z184" s="33">
        <f ca="1">IF(V184="","",INDEX(OFFSET(Arb!$X$2,,,Arb!$AJ$5,),V184)/X184)</f>
        <v>2.3946912867859207</v>
      </c>
      <c r="AA184" s="33">
        <f ca="1">IF(V184="","",(INDEX(OFFSET(Arb!$U$2,,,Arb!$AJ$5,),V184)+INDEX(OFFSET(Arb!$V$2,,,Arb!$AJ$5,),V184))/X184)</f>
        <v>2.8707443739180616</v>
      </c>
      <c r="AB184" s="33">
        <f t="shared" ca="1" si="25"/>
        <v>8.4205325544972602</v>
      </c>
      <c r="AC184" s="21">
        <f t="shared" ca="1" si="26"/>
        <v>51.659559200643848</v>
      </c>
      <c r="AD184" s="74">
        <f ca="1">IF(V184="","",DATE(INDEX(OFFSET(Arb!$C$2,,,Arb!$AJ$5,),V184),INDEX(OFFSET(Arb!$B$2,,,Arb!$AJ$5,),V184),INDEX(OFFSET(Arb!$A$2,,,Arb!$AJ$5,),V184))+ROW()*0.001)</f>
        <v>44150.184000000001</v>
      </c>
    </row>
    <row r="185" spans="1:30" x14ac:dyDescent="0.25">
      <c r="A185" s="11">
        <v>184</v>
      </c>
      <c r="B185" s="11">
        <v>676</v>
      </c>
      <c r="C185" s="433">
        <f ca="1">IF(B185="",16,INDEX(OFFSET(Arb!$I$2,,,Arb!$AJ$5,),B185))</f>
        <v>17</v>
      </c>
      <c r="D185" s="34">
        <f ca="1">IF(B185="",10,INDEX(OFFSET(Arb!$H$2,,,Arb!$AJ$5,),B185))</f>
        <v>4.32</v>
      </c>
      <c r="E185" s="33">
        <f t="shared" ca="1" si="18"/>
        <v>3.9351851851851851</v>
      </c>
      <c r="F185" s="33">
        <f ca="1">IF(B185="","",INDEX(OFFSET(Arb!$X$2,,,Arb!$AJ$5,),B185)/D185)</f>
        <v>3.9351851851851851</v>
      </c>
      <c r="G185" s="33">
        <f ca="1">IF(B185="","",(INDEX(OFFSET(Arb!$U$2,,,Arb!$AJ$5,),B185)+INDEX(OFFSET(Arb!$V$2,,,Arb!$AJ$5,),B185))/D185)</f>
        <v>4.3981481481481479</v>
      </c>
      <c r="H185" s="33">
        <f t="shared" ca="1" si="19"/>
        <v>0.70773952167542897</v>
      </c>
      <c r="I185" s="21">
        <f t="shared" ca="1" si="20"/>
        <v>66.831084814974389</v>
      </c>
      <c r="J185" s="74">
        <f ca="1">IF(B185="","",DATE(INDEX(OFFSET(Arb!$C$2,,,Arb!$AJ$5,),B185),INDEX(OFFSET(Arb!$B$2,,,Arb!$AJ$5,),B185),INDEX(OFFSET(Arb!$A$2,,,Arb!$AJ$5,),B185))+ROW()*0.001)</f>
        <v>43801.184999999998</v>
      </c>
      <c r="K185" s="11">
        <v>184</v>
      </c>
      <c r="L185" s="11">
        <v>1972</v>
      </c>
      <c r="M185" s="433">
        <f ca="1">IF(L185="",64,INDEX(OFFSET(Arb!$I$2,,,Arb!$AJ$5,),L185))</f>
        <v>54</v>
      </c>
      <c r="N185" s="34">
        <f ca="1">IF(L185="",60,INDEX(OFFSET(Arb!$H$2,,,Arb!$AJ$5,),L185))</f>
        <v>23.93</v>
      </c>
      <c r="O185" s="33">
        <f t="shared" ca="1" si="21"/>
        <v>2.2565816966151275</v>
      </c>
      <c r="P185" s="33">
        <f ca="1">IF(L185="","",INDEX(OFFSET(Arb!$X$2,,,Arb!$AJ$5,),L185)/N185)</f>
        <v>3.0087755954868367</v>
      </c>
      <c r="Q185" s="33">
        <f ca="1">IF(L185="","",(INDEX(OFFSET(Arb!$U$2,,,Arb!$AJ$5,),L185)+INDEX(OFFSET(Arb!$V$2,,,Arb!$AJ$5,),L185))/N185)</f>
        <v>3.5520267446719598</v>
      </c>
      <c r="R185" s="33">
        <f t="shared" ca="1" si="22"/>
        <v>4.0908054683825359</v>
      </c>
      <c r="S185" s="21">
        <f t="shared" ca="1" si="23"/>
        <v>37.579396328709642</v>
      </c>
      <c r="T185" s="74">
        <f ca="1">IF(L185="","",DATE(INDEX(OFFSET(Arb!$C$2,,,Arb!$AJ$5,),L185),INDEX(OFFSET(Arb!$B$2,,,Arb!$AJ$5,),L185),INDEX(OFFSET(Arb!$A$2,,,Arb!$AJ$5,),L185))+ROW()*0.001)</f>
        <v>43779.184999999998</v>
      </c>
      <c r="U185" s="11">
        <v>184</v>
      </c>
      <c r="V185" s="11">
        <v>2540</v>
      </c>
      <c r="W185" s="433">
        <f ca="1">IF(V185="",164,INDEX(OFFSET(Arb!$I$2,,,Arb!$AJ$5,),V185))</f>
        <v>174</v>
      </c>
      <c r="X185" s="34">
        <f ca="1">IF(V185="",240,INDEX(OFFSET(Arb!$H$2,,,Arb!$AJ$5,),V185))</f>
        <v>69.38</v>
      </c>
      <c r="Y185" s="33">
        <f t="shared" ca="1" si="24"/>
        <v>2.5079273565869129</v>
      </c>
      <c r="Z185" s="33">
        <f ca="1">IF(V185="","",INDEX(OFFSET(Arb!$X$2,,,Arb!$AJ$5,),V185)/X185)</f>
        <v>2.9259152493513985</v>
      </c>
      <c r="AA185" s="33">
        <f ca="1">IF(V185="","",(INDEX(OFFSET(Arb!$U$2,,,Arb!$AJ$5,),V185)+INDEX(OFFSET(Arb!$V$2,,,Arb!$AJ$5,),V185))/X185)</f>
        <v>3.1565292591524936</v>
      </c>
      <c r="AB185" s="33">
        <f t="shared" ca="1" si="25"/>
        <v>7.7544152545477356</v>
      </c>
      <c r="AC185" s="21">
        <f t="shared" ca="1" si="26"/>
        <v>56.097202138470045</v>
      </c>
      <c r="AD185" s="74">
        <f ca="1">IF(V185="","",DATE(INDEX(OFFSET(Arb!$C$2,,,Arb!$AJ$5,),V185),INDEX(OFFSET(Arb!$B$2,,,Arb!$AJ$5,),V185),INDEX(OFFSET(Arb!$A$2,,,Arb!$AJ$5,),V185))+ROW()*0.001)</f>
        <v>43796.184999999998</v>
      </c>
    </row>
    <row r="186" spans="1:30" x14ac:dyDescent="0.25">
      <c r="A186" s="11">
        <v>185</v>
      </c>
      <c r="B186" s="11">
        <v>24</v>
      </c>
      <c r="C186" s="433">
        <f ca="1">IF(B186="",16,INDEX(OFFSET(Arb!$I$2,,,Arb!$AJ$5,),B186))</f>
        <v>12</v>
      </c>
      <c r="D186" s="34">
        <f ca="1">IF(B186="",10,INDEX(OFFSET(Arb!$H$2,,,Arb!$AJ$5,),B186))</f>
        <v>4.32</v>
      </c>
      <c r="E186" s="33">
        <f t="shared" ca="1" si="18"/>
        <v>2.7777777777777777</v>
      </c>
      <c r="F186" s="33">
        <f ca="1">IF(B186="","",INDEX(OFFSET(Arb!$X$2,,,Arb!$AJ$5,),B186)/D186)</f>
        <v>3.9351851851851851</v>
      </c>
      <c r="G186" s="33">
        <f ca="1">IF(B186="","",(INDEX(OFFSET(Arb!$U$2,,,Arb!$AJ$5,),B186)+INDEX(OFFSET(Arb!$V$2,,,Arb!$AJ$5,),B186))/D186)</f>
        <v>4.8611111111111107</v>
      </c>
      <c r="H186" s="33">
        <f t="shared" ca="1" si="19"/>
        <v>1.002630989040191</v>
      </c>
      <c r="I186" s="21">
        <f t="shared" ca="1" si="20"/>
        <v>47.174883398805456</v>
      </c>
      <c r="J186" s="74">
        <f ca="1">IF(B186="","",DATE(INDEX(OFFSET(Arb!$C$2,,,Arb!$AJ$5,),B186),INDEX(OFFSET(Arb!$B$2,,,Arb!$AJ$5,),B186),INDEX(OFFSET(Arb!$A$2,,,Arb!$AJ$5,),B186))+ROW()*0.001)</f>
        <v>43765.186000000002</v>
      </c>
      <c r="K186" s="11">
        <v>185</v>
      </c>
      <c r="L186" s="11">
        <v>2287</v>
      </c>
      <c r="M186" s="433">
        <f ca="1">IF(L186="",64,INDEX(OFFSET(Arb!$I$2,,,Arb!$AJ$5,),L186))</f>
        <v>54</v>
      </c>
      <c r="N186" s="34">
        <f ca="1">IF(L186="",60,INDEX(OFFSET(Arb!$H$2,,,Arb!$AJ$5,),L186))</f>
        <v>23.98</v>
      </c>
      <c r="O186" s="33">
        <f t="shared" ca="1" si="21"/>
        <v>2.2518765638031693</v>
      </c>
      <c r="P186" s="33">
        <f ca="1">IF(L186="","",INDEX(OFFSET(Arb!$X$2,,,Arb!$AJ$5,),L186)/N186)</f>
        <v>3.2527105921601334</v>
      </c>
      <c r="Q186" s="33">
        <f ca="1">IF(L186="","",(INDEX(OFFSET(Arb!$U$2,,,Arb!$AJ$5,),L186)+INDEX(OFFSET(Arb!$V$2,,,Arb!$AJ$5,),L186))/N186)</f>
        <v>3.9199332777314426</v>
      </c>
      <c r="R186" s="33">
        <f t="shared" ca="1" si="22"/>
        <v>4.1053467428539028</v>
      </c>
      <c r="S186" s="21">
        <f t="shared" ca="1" si="23"/>
        <v>37.446288859179752</v>
      </c>
      <c r="T186" s="74">
        <f ca="1">IF(L186="","",DATE(INDEX(OFFSET(Arb!$C$2,,,Arb!$AJ$5,),L186),INDEX(OFFSET(Arb!$B$2,,,Arb!$AJ$5,),L186),INDEX(OFFSET(Arb!$A$2,,,Arb!$AJ$5,),L186))+ROW()*0.001)</f>
        <v>43935.186000000002</v>
      </c>
      <c r="U186" s="11">
        <v>185</v>
      </c>
      <c r="V186" s="11">
        <v>3354</v>
      </c>
      <c r="W186" s="433">
        <f ca="1">IF(V186="",164,INDEX(OFFSET(Arb!$I$2,,,Arb!$AJ$5,),V186))</f>
        <v>157</v>
      </c>
      <c r="X186" s="34">
        <f ca="1">IF(V186="",240,INDEX(OFFSET(Arb!$H$2,,,Arb!$AJ$5,),V186))</f>
        <v>69.459999999999994</v>
      </c>
      <c r="Y186" s="33">
        <f t="shared" ca="1" si="24"/>
        <v>2.2602936942124967</v>
      </c>
      <c r="Z186" s="33">
        <f ca="1">IF(V186="","",INDEX(OFFSET(Arb!$X$2,,,Arb!$AJ$5,),V186)/X186)</f>
        <v>2.8793550244745179</v>
      </c>
      <c r="AA186" s="33">
        <f ca="1">IF(V186="","",(INDEX(OFFSET(Arb!$U$2,,,Arb!$AJ$5,),V186)+INDEX(OFFSET(Arb!$V$2,,,Arb!$AJ$5,),V186))/X186)</f>
        <v>3.3256550532680684</v>
      </c>
      <c r="AB186" s="33">
        <f t="shared" ca="1" si="25"/>
        <v>8.6109183627228774</v>
      </c>
      <c r="AC186" s="21">
        <f t="shared" ca="1" si="26"/>
        <v>50.517375926259199</v>
      </c>
      <c r="AD186" s="74">
        <f ca="1">IF(V186="","",DATE(INDEX(OFFSET(Arb!$C$2,,,Arb!$AJ$5,),V186),INDEX(OFFSET(Arb!$B$2,,,Arb!$AJ$5,),V186),INDEX(OFFSET(Arb!$A$2,,,Arb!$AJ$5,),V186))+ROW()*0.001)</f>
        <v>44098.186000000002</v>
      </c>
    </row>
    <row r="187" spans="1:30" x14ac:dyDescent="0.25">
      <c r="A187" s="11">
        <v>186</v>
      </c>
      <c r="B187" s="11">
        <v>1633</v>
      </c>
      <c r="C187" s="433">
        <f ca="1">IF(B187="",16,INDEX(OFFSET(Arb!$I$2,,,Arb!$AJ$5,),B187))</f>
        <v>12</v>
      </c>
      <c r="D187" s="34">
        <f ca="1">IF(B187="",10,INDEX(OFFSET(Arb!$H$2,,,Arb!$AJ$5,),B187))</f>
        <v>4.33</v>
      </c>
      <c r="E187" s="33">
        <f t="shared" ca="1" si="18"/>
        <v>2.7713625866050808</v>
      </c>
      <c r="F187" s="33">
        <f ca="1">IF(B187="","",INDEX(OFFSET(Arb!$X$2,,,Arb!$AJ$5,),B187)/D187)</f>
        <v>3.9260969976905313</v>
      </c>
      <c r="G187" s="33">
        <f ca="1">IF(B187="","",(INDEX(OFFSET(Arb!$U$2,,,Arb!$AJ$5,),B187)+INDEX(OFFSET(Arb!$V$2,,,Arb!$AJ$5,),B187))/D187)</f>
        <v>4.3879907621247112</v>
      </c>
      <c r="H187" s="33">
        <f t="shared" ca="1" si="19"/>
        <v>1.0065797235320011</v>
      </c>
      <c r="I187" s="21">
        <f t="shared" ca="1" si="20"/>
        <v>46.989819975741121</v>
      </c>
      <c r="J187" s="74">
        <f ca="1">IF(B187="","",DATE(INDEX(OFFSET(Arb!$C$2,,,Arb!$AJ$5,),B187),INDEX(OFFSET(Arb!$B$2,,,Arb!$AJ$5,),B187),INDEX(OFFSET(Arb!$A$2,,,Arb!$AJ$5,),B187))+ROW()*0.001)</f>
        <v>44093.186999999998</v>
      </c>
      <c r="K187" s="11">
        <v>186</v>
      </c>
      <c r="L187" s="11">
        <v>2396</v>
      </c>
      <c r="M187" s="433">
        <f ca="1">IF(L187="",64,INDEX(OFFSET(Arb!$I$2,,,Arb!$AJ$5,),L187))</f>
        <v>51</v>
      </c>
      <c r="N187" s="34">
        <f ca="1">IF(L187="",60,INDEX(OFFSET(Arb!$H$2,,,Arb!$AJ$5,),L187))</f>
        <v>24</v>
      </c>
      <c r="O187" s="33">
        <f t="shared" ca="1" si="21"/>
        <v>2.125</v>
      </c>
      <c r="P187" s="33">
        <f ca="1">IF(L187="","",INDEX(OFFSET(Arb!$X$2,,,Arb!$AJ$5,),L187)/N187)</f>
        <v>2.9166666666666665</v>
      </c>
      <c r="Q187" s="33">
        <f ca="1">IF(L187="","",(INDEX(OFFSET(Arb!$U$2,,,Arb!$AJ$5,),L187)+INDEX(OFFSET(Arb!$V$2,,,Arb!$AJ$5,),L187))/N187)</f>
        <v>3.6666666666666665</v>
      </c>
      <c r="R187" s="33">
        <f t="shared" ca="1" si="22"/>
        <v>4.3530026827417609</v>
      </c>
      <c r="S187" s="21">
        <f t="shared" ca="1" si="23"/>
        <v>35.315852344748009</v>
      </c>
      <c r="T187" s="74">
        <f ca="1">IF(L187="","",DATE(INDEX(OFFSET(Arb!$C$2,,,Arb!$AJ$5,),L187),INDEX(OFFSET(Arb!$B$2,,,Arb!$AJ$5,),L187),INDEX(OFFSET(Arb!$A$2,,,Arb!$AJ$5,),L187))+ROW()*0.001)</f>
        <v>44133.186999999998</v>
      </c>
      <c r="U187" s="11">
        <v>186</v>
      </c>
      <c r="V187" s="11">
        <v>3082</v>
      </c>
      <c r="W187" s="433">
        <f ca="1">IF(V187="",164,INDEX(OFFSET(Arb!$I$2,,,Arb!$AJ$5,),V187))</f>
        <v>160</v>
      </c>
      <c r="X187" s="34">
        <f ca="1">IF(V187="",240,INDEX(OFFSET(Arb!$H$2,,,Arb!$AJ$5,),V187))</f>
        <v>69.489999999999995</v>
      </c>
      <c r="Y187" s="33">
        <f t="shared" ca="1" si="24"/>
        <v>2.3024895668441503</v>
      </c>
      <c r="Z187" s="33">
        <f ca="1">IF(V187="","",INDEX(OFFSET(Arb!$X$2,,,Arb!$AJ$5,),V187)/X187)</f>
        <v>2.9644553173118435</v>
      </c>
      <c r="AA187" s="33">
        <f ca="1">IF(V187="","",(INDEX(OFFSET(Arb!$U$2,,,Arb!$AJ$5,),V187)+INDEX(OFFSET(Arb!$V$2,,,Arb!$AJ$5,),V187))/X187)</f>
        <v>3.3386098719240183</v>
      </c>
      <c r="AB187" s="33">
        <f t="shared" ca="1" si="25"/>
        <v>8.455668477627329</v>
      </c>
      <c r="AC187" s="21">
        <f t="shared" ca="1" si="26"/>
        <v>51.444897721683361</v>
      </c>
      <c r="AD187" s="74">
        <f ca="1">IF(V187="","",DATE(INDEX(OFFSET(Arb!$C$2,,,Arb!$AJ$5,),V187),INDEX(OFFSET(Arb!$B$2,,,Arb!$AJ$5,),V187),INDEX(OFFSET(Arb!$A$2,,,Arb!$AJ$5,),V187))+ROW()*0.001)</f>
        <v>44003.186999999998</v>
      </c>
    </row>
    <row r="188" spans="1:30" x14ac:dyDescent="0.25">
      <c r="A188" s="11">
        <v>187</v>
      </c>
      <c r="B188" s="11">
        <v>452</v>
      </c>
      <c r="C188" s="433">
        <f ca="1">IF(B188="",16,INDEX(OFFSET(Arb!$I$2,,,Arb!$AJ$5,),B188))</f>
        <v>13</v>
      </c>
      <c r="D188" s="34">
        <f ca="1">IF(B188="",10,INDEX(OFFSET(Arb!$H$2,,,Arb!$AJ$5,),B188))</f>
        <v>4.33</v>
      </c>
      <c r="E188" s="33">
        <f t="shared" ca="1" si="18"/>
        <v>3.0023094688221708</v>
      </c>
      <c r="F188" s="33">
        <f ca="1">IF(B188="","",INDEX(OFFSET(Arb!$X$2,,,Arb!$AJ$5,),B188)/D188)</f>
        <v>3.695150115473441</v>
      </c>
      <c r="G188" s="33">
        <f ca="1">IF(B188="","",(INDEX(OFFSET(Arb!$U$2,,,Arb!$AJ$5,),B188)+INDEX(OFFSET(Arb!$V$2,,,Arb!$AJ$5,),B188))/D188)</f>
        <v>3.9260969976905313</v>
      </c>
      <c r="H188" s="33">
        <f t="shared" ca="1" si="19"/>
        <v>0.92915051402953941</v>
      </c>
      <c r="I188" s="21">
        <f t="shared" ca="1" si="20"/>
        <v>50.905638307052882</v>
      </c>
      <c r="J188" s="74">
        <f ca="1">IF(B188="","",DATE(INDEX(OFFSET(Arb!$C$2,,,Arb!$AJ$5,),B188),INDEX(OFFSET(Arb!$B$2,,,Arb!$AJ$5,),B188),INDEX(OFFSET(Arb!$A$2,,,Arb!$AJ$5,),B188))+ROW()*0.001)</f>
        <v>43784.188000000002</v>
      </c>
      <c r="K188" s="11">
        <v>187</v>
      </c>
      <c r="L188" s="11">
        <v>1986</v>
      </c>
      <c r="M188" s="433">
        <f ca="1">IF(L188="",64,INDEX(OFFSET(Arb!$I$2,,,Arb!$AJ$5,),L188))</f>
        <v>60</v>
      </c>
      <c r="N188" s="34">
        <f ca="1">IF(L188="",60,INDEX(OFFSET(Arb!$H$2,,,Arb!$AJ$5,),L188))</f>
        <v>24</v>
      </c>
      <c r="O188" s="33">
        <f t="shared" ca="1" si="21"/>
        <v>2.5</v>
      </c>
      <c r="P188" s="33">
        <f ca="1">IF(L188="","",INDEX(OFFSET(Arb!$X$2,,,Arb!$AJ$5,),L188)/N188)</f>
        <v>3.1666666666666665</v>
      </c>
      <c r="Q188" s="33">
        <f ca="1">IF(L188="","",(INDEX(OFFSET(Arb!$U$2,,,Arb!$AJ$5,),L188)+INDEX(OFFSET(Arb!$V$2,,,Arb!$AJ$5,),L188))/N188)</f>
        <v>3.9166666666666665</v>
      </c>
      <c r="R188" s="33">
        <f t="shared" ca="1" si="22"/>
        <v>3.7000522803304969</v>
      </c>
      <c r="S188" s="21">
        <f t="shared" ca="1" si="23"/>
        <v>41.548061582056476</v>
      </c>
      <c r="T188" s="74">
        <f ca="1">IF(L188="","",DATE(INDEX(OFFSET(Arb!$C$2,,,Arb!$AJ$5,),L188),INDEX(OFFSET(Arb!$B$2,,,Arb!$AJ$5,),L188),INDEX(OFFSET(Arb!$A$2,,,Arb!$AJ$5,),L188))+ROW()*0.001)</f>
        <v>43784.188000000002</v>
      </c>
      <c r="U188" s="11">
        <v>187</v>
      </c>
      <c r="V188" s="11">
        <v>3344</v>
      </c>
      <c r="W188" s="433">
        <f ca="1">IF(V188="",164,INDEX(OFFSET(Arb!$I$2,,,Arb!$AJ$5,),V188))</f>
        <v>160</v>
      </c>
      <c r="X188" s="34">
        <f ca="1">IF(V188="",240,INDEX(OFFSET(Arb!$H$2,,,Arb!$AJ$5,),V188))</f>
        <v>69.53</v>
      </c>
      <c r="Y188" s="33">
        <f t="shared" ca="1" si="24"/>
        <v>2.3011649647634114</v>
      </c>
      <c r="Z188" s="33">
        <f ca="1">IF(V188="","",INDEX(OFFSET(Arb!$X$2,,,Arb!$AJ$5,),V188)/X188)</f>
        <v>2.7613979577160936</v>
      </c>
      <c r="AA188" s="33">
        <f ca="1">IF(V188="","",(INDEX(OFFSET(Arb!$U$2,,,Arb!$AJ$5,),V188)+INDEX(OFFSET(Arb!$V$2,,,Arb!$AJ$5,),V188))/X188)</f>
        <v>3.0634258593412915</v>
      </c>
      <c r="AB188" s="33">
        <f t="shared" ca="1" si="25"/>
        <v>8.463944507140754</v>
      </c>
      <c r="AC188" s="21">
        <f t="shared" ca="1" si="26"/>
        <v>51.394594994450145</v>
      </c>
      <c r="AD188" s="74">
        <f ca="1">IF(V188="","",DATE(INDEX(OFFSET(Arb!$C$2,,,Arb!$AJ$5,),V188),INDEX(OFFSET(Arb!$B$2,,,Arb!$AJ$5,),V188),INDEX(OFFSET(Arb!$A$2,,,Arb!$AJ$5,),V188))+ROW()*0.001)</f>
        <v>44097.188000000002</v>
      </c>
    </row>
    <row r="189" spans="1:30" x14ac:dyDescent="0.25">
      <c r="A189" s="11">
        <v>188</v>
      </c>
      <c r="B189" s="11">
        <v>800</v>
      </c>
      <c r="C189" s="433">
        <f ca="1">IF(B189="",16,INDEX(OFFSET(Arb!$I$2,,,Arb!$AJ$5,),B189))</f>
        <v>14</v>
      </c>
      <c r="D189" s="34">
        <f ca="1">IF(B189="",10,INDEX(OFFSET(Arb!$H$2,,,Arb!$AJ$5,),B189))</f>
        <v>4.34</v>
      </c>
      <c r="E189" s="33">
        <f t="shared" ca="1" si="18"/>
        <v>3.2258064516129035</v>
      </c>
      <c r="F189" s="33">
        <f ca="1">IF(B189="","",INDEX(OFFSET(Arb!$X$2,,,Arb!$AJ$5,),B189)/D189)</f>
        <v>3.9170506912442398</v>
      </c>
      <c r="G189" s="33">
        <f ca="1">IF(B189="","",(INDEX(OFFSET(Arb!$U$2,,,Arb!$AJ$5,),B189)+INDEX(OFFSET(Arb!$V$2,,,Arb!$AJ$5,),B189))/D189)</f>
        <v>4.3778801843317972</v>
      </c>
      <c r="H189" s="33">
        <f t="shared" ca="1" si="19"/>
        <v>0.86617272585060567</v>
      </c>
      <c r="I189" s="21">
        <f t="shared" ca="1" si="20"/>
        <v>54.606891429825467</v>
      </c>
      <c r="J189" s="74">
        <f ca="1">IF(B189="","",DATE(INDEX(OFFSET(Arb!$C$2,,,Arb!$AJ$5,),B189),INDEX(OFFSET(Arb!$B$2,,,Arb!$AJ$5,),B189),INDEX(OFFSET(Arb!$A$2,,,Arb!$AJ$5,),B189))+ROW()*0.001)</f>
        <v>43811.188999999998</v>
      </c>
      <c r="K189" s="11">
        <v>188</v>
      </c>
      <c r="L189" s="11">
        <v>2115</v>
      </c>
      <c r="M189" s="433">
        <f ca="1">IF(L189="",64,INDEX(OFFSET(Arb!$I$2,,,Arb!$AJ$5,),L189))</f>
        <v>64</v>
      </c>
      <c r="N189" s="34">
        <f ca="1">IF(L189="",60,INDEX(OFFSET(Arb!$H$2,,,Arb!$AJ$5,),L189))</f>
        <v>24.02</v>
      </c>
      <c r="O189" s="33">
        <f t="shared" ca="1" si="21"/>
        <v>2.6644462947543714</v>
      </c>
      <c r="P189" s="33">
        <f ca="1">IF(L189="","",INDEX(OFFSET(Arb!$X$2,,,Arb!$AJ$5,),L189)/N189)</f>
        <v>3.4970857618651126</v>
      </c>
      <c r="Q189" s="33">
        <f ca="1">IF(L189="","",(INDEX(OFFSET(Arb!$U$2,,,Arb!$AJ$5,),L189)+INDEX(OFFSET(Arb!$V$2,,,Arb!$AJ$5,),L189))/N189)</f>
        <v>3.9134054954204829</v>
      </c>
      <c r="R189" s="33">
        <f t="shared" ca="1" si="22"/>
        <v>3.4737145779137268</v>
      </c>
      <c r="S189" s="21">
        <f t="shared" ca="1" si="23"/>
        <v>44.255219175873819</v>
      </c>
      <c r="T189" s="74">
        <f ca="1">IF(L189="","",DATE(INDEX(OFFSET(Arb!$C$2,,,Arb!$AJ$5,),L189),INDEX(OFFSET(Arb!$B$2,,,Arb!$AJ$5,),L189),INDEX(OFFSET(Arb!$A$2,,,Arb!$AJ$5,),L189))+ROW()*0.001)</f>
        <v>43811.188999999998</v>
      </c>
      <c r="U189" s="11">
        <v>188</v>
      </c>
      <c r="V189" s="11">
        <v>3280</v>
      </c>
      <c r="W189" s="433">
        <f ca="1">IF(V189="",164,INDEX(OFFSET(Arb!$I$2,,,Arb!$AJ$5,),V189))</f>
        <v>165</v>
      </c>
      <c r="X189" s="34">
        <f ca="1">IF(V189="",240,INDEX(OFFSET(Arb!$H$2,,,Arb!$AJ$5,),V189))</f>
        <v>69.53</v>
      </c>
      <c r="Y189" s="33">
        <f t="shared" ca="1" si="24"/>
        <v>2.3730763699122681</v>
      </c>
      <c r="Z189" s="33">
        <f ca="1">IF(V189="","",INDEX(OFFSET(Arb!$X$2,,,Arb!$AJ$5,),V189)/X189)</f>
        <v>2.8620739249244931</v>
      </c>
      <c r="AA189" s="33">
        <f ca="1">IF(V189="","",(INDEX(OFFSET(Arb!$U$2,,,Arb!$AJ$5,),V189)+INDEX(OFFSET(Arb!$V$2,,,Arb!$AJ$5,),V189))/X189)</f>
        <v>3.1928663886092332</v>
      </c>
      <c r="AB189" s="33">
        <f t="shared" ca="1" si="25"/>
        <v>8.2074613402576997</v>
      </c>
      <c r="AC189" s="21">
        <f t="shared" ca="1" si="26"/>
        <v>53.000676088026715</v>
      </c>
      <c r="AD189" s="74">
        <f ca="1">IF(V189="","",DATE(INDEX(OFFSET(Arb!$C$2,,,Arb!$AJ$5,),V189),INDEX(OFFSET(Arb!$B$2,,,Arb!$AJ$5,),V189),INDEX(OFFSET(Arb!$A$2,,,Arb!$AJ$5,),V189))+ROW()*0.001)</f>
        <v>44082.188999999998</v>
      </c>
    </row>
    <row r="190" spans="1:30" x14ac:dyDescent="0.25">
      <c r="A190" s="11">
        <v>189</v>
      </c>
      <c r="B190" s="11">
        <v>182</v>
      </c>
      <c r="C190" s="433">
        <f ca="1">IF(B190="",16,INDEX(OFFSET(Arb!$I$2,,,Arb!$AJ$5,),B190))</f>
        <v>11</v>
      </c>
      <c r="D190" s="34">
        <f ca="1">IF(B190="",10,INDEX(OFFSET(Arb!$H$2,,,Arb!$AJ$5,),B190))</f>
        <v>4.34</v>
      </c>
      <c r="E190" s="33">
        <f t="shared" ca="1" si="18"/>
        <v>2.5345622119815667</v>
      </c>
      <c r="F190" s="33">
        <f ca="1">IF(B190="","",INDEX(OFFSET(Arb!$X$2,,,Arb!$AJ$5,),B190)/D190)</f>
        <v>2.9953917050691246</v>
      </c>
      <c r="G190" s="33">
        <f ca="1">IF(B190="","",(INDEX(OFFSET(Arb!$U$2,,,Arb!$AJ$5,),B190)+INDEX(OFFSET(Arb!$V$2,,,Arb!$AJ$5,),B190))/D190)</f>
        <v>3.6866359447004609</v>
      </c>
      <c r="H190" s="33">
        <f t="shared" ca="1" si="19"/>
        <v>1.1024016510825889</v>
      </c>
      <c r="I190" s="21">
        <f t="shared" ca="1" si="20"/>
        <v>42.90541469486287</v>
      </c>
      <c r="J190" s="74">
        <f ca="1">IF(B190="","",DATE(INDEX(OFFSET(Arb!$C$2,,,Arb!$AJ$5,),B190),INDEX(OFFSET(Arb!$B$2,,,Arb!$AJ$5,),B190),INDEX(OFFSET(Arb!$A$2,,,Arb!$AJ$5,),B190))+ROW()*0.001)</f>
        <v>43774.19</v>
      </c>
      <c r="K190" s="11">
        <v>189</v>
      </c>
      <c r="L190" s="11">
        <v>2067</v>
      </c>
      <c r="M190" s="433">
        <f ca="1">IF(L190="",64,INDEX(OFFSET(Arb!$I$2,,,Arb!$AJ$5,),L190))</f>
        <v>60</v>
      </c>
      <c r="N190" s="34">
        <f ca="1">IF(L190="",60,INDEX(OFFSET(Arb!$H$2,,,Arb!$AJ$5,),L190))</f>
        <v>24.04</v>
      </c>
      <c r="O190" s="33">
        <f t="shared" ca="1" si="21"/>
        <v>2.4958402662229617</v>
      </c>
      <c r="P190" s="33">
        <f ca="1">IF(L190="","",INDEX(OFFSET(Arb!$X$2,,,Arb!$AJ$5,),L190)/N190)</f>
        <v>3.2029950083194678</v>
      </c>
      <c r="Q190" s="33">
        <f ca="1">IF(L190="","",(INDEX(OFFSET(Arb!$U$2,,,Arb!$AJ$5,),L190)+INDEX(OFFSET(Arb!$V$2,,,Arb!$AJ$5,),L190))/N190)</f>
        <v>3.7853577371048255</v>
      </c>
      <c r="R190" s="33">
        <f t="shared" ca="1" si="22"/>
        <v>3.7105418761369418</v>
      </c>
      <c r="S190" s="21">
        <f t="shared" ca="1" si="23"/>
        <v>41.430606399744725</v>
      </c>
      <c r="T190" s="74">
        <f ca="1">IF(L190="","",DATE(INDEX(OFFSET(Arb!$C$2,,,Arb!$AJ$5,),L190),INDEX(OFFSET(Arb!$B$2,,,Arb!$AJ$5,),L190),INDEX(OFFSET(Arb!$A$2,,,Arb!$AJ$5,),L190))+ROW()*0.001)</f>
        <v>43800.19</v>
      </c>
      <c r="U190" s="11">
        <v>189</v>
      </c>
      <c r="V190" s="11">
        <v>3106</v>
      </c>
      <c r="W190" s="433">
        <f ca="1">IF(V190="",164,INDEX(OFFSET(Arb!$I$2,,,Arb!$AJ$5,),V190))</f>
        <v>169</v>
      </c>
      <c r="X190" s="34">
        <f ca="1">IF(V190="",240,INDEX(OFFSET(Arb!$H$2,,,Arb!$AJ$5,),V190))</f>
        <v>69.540000000000006</v>
      </c>
      <c r="Y190" s="33">
        <f t="shared" ca="1" si="24"/>
        <v>2.4302559677883231</v>
      </c>
      <c r="Z190" s="33">
        <f ca="1">IF(V190="","",INDEX(OFFSET(Arb!$X$2,,,Arb!$AJ$5,),V190)/X190)</f>
        <v>3.0198446937014665</v>
      </c>
      <c r="AA190" s="33">
        <f ca="1">IF(V190="","",(INDEX(OFFSET(Arb!$U$2,,,Arb!$AJ$5,),V190)+INDEX(OFFSET(Arb!$V$2,,,Arb!$AJ$5,),V190))/X190)</f>
        <v>3.4081104400345121</v>
      </c>
      <c r="AB190" s="33">
        <f t="shared" ca="1" si="25"/>
        <v>8.0151612169417916</v>
      </c>
      <c r="AC190" s="21">
        <f t="shared" ca="1" si="26"/>
        <v>54.2722707910766</v>
      </c>
      <c r="AD190" s="74">
        <f ca="1">IF(V190="","",DATE(INDEX(OFFSET(Arb!$C$2,,,Arb!$AJ$5,),V190),INDEX(OFFSET(Arb!$B$2,,,Arb!$AJ$5,),V190),INDEX(OFFSET(Arb!$A$2,,,Arb!$AJ$5,),V190))+ROW()*0.001)</f>
        <v>44006.19</v>
      </c>
    </row>
    <row r="191" spans="1:30" x14ac:dyDescent="0.25">
      <c r="A191" s="11">
        <v>190</v>
      </c>
      <c r="B191" s="11">
        <v>1747</v>
      </c>
      <c r="C191" s="433">
        <f ca="1">IF(B191="",16,INDEX(OFFSET(Arb!$I$2,,,Arb!$AJ$5,),B191))</f>
        <v>12</v>
      </c>
      <c r="D191" s="34">
        <f ca="1">IF(B191="",10,INDEX(OFFSET(Arb!$H$2,,,Arb!$AJ$5,),B191))</f>
        <v>4.3499999999999996</v>
      </c>
      <c r="E191" s="33">
        <f t="shared" ca="1" si="18"/>
        <v>2.7586206896551726</v>
      </c>
      <c r="F191" s="33">
        <f ca="1">IF(B191="","",INDEX(OFFSET(Arb!$X$2,,,Arb!$AJ$5,),B191)/D191)</f>
        <v>3.9080459770114944</v>
      </c>
      <c r="G191" s="33">
        <f ca="1">IF(B191="","",(INDEX(OFFSET(Arb!$U$2,,,Arb!$AJ$5,),B191)+INDEX(OFFSET(Arb!$V$2,,,Arb!$AJ$5,),B191))/D191)</f>
        <v>4.8275862068965525</v>
      </c>
      <c r="H191" s="33">
        <f t="shared" ca="1" si="19"/>
        <v>1.014496354501514</v>
      </c>
      <c r="I191" s="21">
        <f t="shared" ca="1" si="20"/>
        <v>46.623134514111662</v>
      </c>
      <c r="J191" s="74">
        <f ca="1">IF(B191="","",DATE(INDEX(OFFSET(Arb!$C$2,,,Arb!$AJ$5,),B191),INDEX(OFFSET(Arb!$B$2,,,Arb!$AJ$5,),B191),INDEX(OFFSET(Arb!$A$2,,,Arb!$AJ$5,),B191))+ROW()*0.001)</f>
        <v>44114.190999999999</v>
      </c>
      <c r="K191" s="11">
        <v>190</v>
      </c>
      <c r="L191" s="11">
        <v>2187</v>
      </c>
      <c r="M191" s="433">
        <f ca="1">IF(L191="",64,INDEX(OFFSET(Arb!$I$2,,,Arb!$AJ$5,),L191))</f>
        <v>55</v>
      </c>
      <c r="N191" s="34">
        <f ca="1">IF(L191="",60,INDEX(OFFSET(Arb!$H$2,,,Arb!$AJ$5,),L191))</f>
        <v>24.05</v>
      </c>
      <c r="O191" s="33">
        <f t="shared" ca="1" si="21"/>
        <v>2.2869022869022868</v>
      </c>
      <c r="P191" s="33">
        <f ca="1">IF(L191="","",INDEX(OFFSET(Arb!$X$2,,,Arb!$AJ$5,),L191)/N191)</f>
        <v>2.5363825363825363</v>
      </c>
      <c r="Q191" s="33">
        <f ca="1">IF(L191="","",(INDEX(OFFSET(Arb!$U$2,,,Arb!$AJ$5,),L191)+INDEX(OFFSET(Arb!$V$2,,,Arb!$AJ$5,),L191))/N191)</f>
        <v>2.7858627858627858</v>
      </c>
      <c r="R191" s="33">
        <f t="shared" ca="1" si="22"/>
        <v>4.0507267477351361</v>
      </c>
      <c r="S191" s="21">
        <f t="shared" ca="1" si="23"/>
        <v>37.951214577965381</v>
      </c>
      <c r="T191" s="74">
        <f ca="1">IF(L191="","",DATE(INDEX(OFFSET(Arb!$C$2,,,Arb!$AJ$5,),L191),INDEX(OFFSET(Arb!$B$2,,,Arb!$AJ$5,),L191),INDEX(OFFSET(Arb!$A$2,,,Arb!$AJ$5,),L191))+ROW()*0.001)</f>
        <v>43840.190999999999</v>
      </c>
      <c r="U191" s="11">
        <v>190</v>
      </c>
      <c r="V191" s="11">
        <v>2974</v>
      </c>
      <c r="W191" s="433">
        <f ca="1">IF(V191="",164,INDEX(OFFSET(Arb!$I$2,,,Arb!$AJ$5,),V191))</f>
        <v>165</v>
      </c>
      <c r="X191" s="34">
        <f ca="1">IF(V191="",240,INDEX(OFFSET(Arb!$H$2,,,Arb!$AJ$5,),V191))</f>
        <v>69.55</v>
      </c>
      <c r="Y191" s="33">
        <f t="shared" ca="1" si="24"/>
        <v>2.3723939611790081</v>
      </c>
      <c r="Z191" s="33">
        <f ca="1">IF(V191="","",INDEX(OFFSET(Arb!$X$2,,,Arb!$AJ$5,),V191)/X191)</f>
        <v>2.8756290438533432</v>
      </c>
      <c r="AA191" s="33">
        <f ca="1">IF(V191="","",(INDEX(OFFSET(Arb!$U$2,,,Arb!$AJ$5,),V191)+INDEX(OFFSET(Arb!$V$2,,,Arb!$AJ$5,),V191))/X191)</f>
        <v>3.2063263838964775</v>
      </c>
      <c r="AB191" s="33">
        <f t="shared" ca="1" si="25"/>
        <v>8.2114751728301183</v>
      </c>
      <c r="AC191" s="21">
        <f t="shared" ca="1" si="26"/>
        <v>52.974768947645146</v>
      </c>
      <c r="AD191" s="74">
        <f ca="1">IF(V191="","",DATE(INDEX(OFFSET(Arb!$C$2,,,Arb!$AJ$5,),V191),INDEX(OFFSET(Arb!$B$2,,,Arb!$AJ$5,),V191),INDEX(OFFSET(Arb!$A$2,,,Arb!$AJ$5,),V191))+ROW()*0.001)</f>
        <v>43954.190999999999</v>
      </c>
    </row>
    <row r="192" spans="1:30" x14ac:dyDescent="0.25">
      <c r="A192" s="11">
        <v>191</v>
      </c>
      <c r="B192" s="11">
        <v>1547</v>
      </c>
      <c r="C192" s="433">
        <f ca="1">IF(B192="",16,INDEX(OFFSET(Arb!$I$2,,,Arb!$AJ$5,),B192))</f>
        <v>15</v>
      </c>
      <c r="D192" s="34">
        <f ca="1">IF(B192="",10,INDEX(OFFSET(Arb!$H$2,,,Arb!$AJ$5,),B192))</f>
        <v>4.3499999999999996</v>
      </c>
      <c r="E192" s="33">
        <f t="shared" ca="1" si="18"/>
        <v>3.4482758620689657</v>
      </c>
      <c r="F192" s="33">
        <f ca="1">IF(B192="","",INDEX(OFFSET(Arb!$X$2,,,Arb!$AJ$5,),B192)/D192)</f>
        <v>3.4482758620689657</v>
      </c>
      <c r="G192" s="33">
        <f ca="1">IF(B192="","",(INDEX(OFFSET(Arb!$U$2,,,Arb!$AJ$5,),B192)+INDEX(OFFSET(Arb!$V$2,,,Arb!$AJ$5,),B192))/D192)</f>
        <v>4.3678160919540234</v>
      </c>
      <c r="H192" s="33">
        <f t="shared" ca="1" si="19"/>
        <v>0.8115970836012113</v>
      </c>
      <c r="I192" s="21">
        <f t="shared" ca="1" si="20"/>
        <v>58.278918142639576</v>
      </c>
      <c r="J192" s="74">
        <f ca="1">IF(B192="","",DATE(INDEX(OFFSET(Arb!$C$2,,,Arb!$AJ$5,),B192),INDEX(OFFSET(Arb!$B$2,,,Arb!$AJ$5,),B192),INDEX(OFFSET(Arb!$A$2,,,Arb!$AJ$5,),B192))+ROW()*0.001)</f>
        <v>43984.192000000003</v>
      </c>
      <c r="K192" s="11">
        <v>191</v>
      </c>
      <c r="L192" s="11">
        <v>1993</v>
      </c>
      <c r="M192" s="433">
        <f ca="1">IF(L192="",64,INDEX(OFFSET(Arb!$I$2,,,Arb!$AJ$5,),L192))</f>
        <v>51</v>
      </c>
      <c r="N192" s="34">
        <f ca="1">IF(L192="",60,INDEX(OFFSET(Arb!$H$2,,,Arb!$AJ$5,),L192))</f>
        <v>24.08</v>
      </c>
      <c r="O192" s="33">
        <f t="shared" ca="1" si="21"/>
        <v>2.1179401993355484</v>
      </c>
      <c r="P192" s="33">
        <f ca="1">IF(L192="","",INDEX(OFFSET(Arb!$X$2,,,Arb!$AJ$5,),L192)/N192)</f>
        <v>2.823920265780731</v>
      </c>
      <c r="Q192" s="33">
        <f ca="1">IF(L192="","",(INDEX(OFFSET(Arb!$U$2,,,Arb!$AJ$5,),L192)+INDEX(OFFSET(Arb!$V$2,,,Arb!$AJ$5,),L192))/N192)</f>
        <v>3.322259136212625</v>
      </c>
      <c r="R192" s="33">
        <f t="shared" ca="1" si="22"/>
        <v>4.3776984665460148</v>
      </c>
      <c r="S192" s="21">
        <f t="shared" ca="1" si="23"/>
        <v>35.116626047863065</v>
      </c>
      <c r="T192" s="74">
        <f ca="1">IF(L192="","",DATE(INDEX(OFFSET(Arb!$C$2,,,Arb!$AJ$5,),L192),INDEX(OFFSET(Arb!$B$2,,,Arb!$AJ$5,),L192),INDEX(OFFSET(Arb!$A$2,,,Arb!$AJ$5,),L192))+ROW()*0.001)</f>
        <v>43785.192000000003</v>
      </c>
      <c r="U192" s="11">
        <v>191</v>
      </c>
      <c r="V192" s="11">
        <v>3271</v>
      </c>
      <c r="W192" s="433">
        <f ca="1">IF(V192="",164,INDEX(OFFSET(Arb!$I$2,,,Arb!$AJ$5,),V192))</f>
        <v>175</v>
      </c>
      <c r="X192" s="34">
        <f ca="1">IF(V192="",240,INDEX(OFFSET(Arb!$H$2,,,Arb!$AJ$5,),V192))</f>
        <v>69.56</v>
      </c>
      <c r="Y192" s="33">
        <f t="shared" ca="1" si="24"/>
        <v>2.5158136860264517</v>
      </c>
      <c r="Z192" s="33">
        <f ca="1">IF(V192="","",INDEX(OFFSET(Arb!$X$2,,,Arb!$AJ$5,),V192)/X192)</f>
        <v>2.9614721104082804</v>
      </c>
      <c r="AA192" s="33">
        <f ca="1">IF(V192="","",(INDEX(OFFSET(Arb!$U$2,,,Arb!$AJ$5,),V192)+INDEX(OFFSET(Arb!$V$2,,,Arb!$AJ$5,),V192))/X192)</f>
        <v>3.2489936745255892</v>
      </c>
      <c r="AB192" s="33">
        <f t="shared" ca="1" si="25"/>
        <v>7.7441405411571722</v>
      </c>
      <c r="AC192" s="21">
        <f t="shared" ca="1" si="26"/>
        <v>56.171630368552137</v>
      </c>
      <c r="AD192" s="74">
        <f ca="1">IF(V192="","",DATE(INDEX(OFFSET(Arb!$C$2,,,Arb!$AJ$5,),V192),INDEX(OFFSET(Arb!$B$2,,,Arb!$AJ$5,),V192),INDEX(OFFSET(Arb!$A$2,,,Arb!$AJ$5,),V192))+ROW()*0.001)</f>
        <v>44074.192000000003</v>
      </c>
    </row>
    <row r="193" spans="1:30" x14ac:dyDescent="0.25">
      <c r="A193" s="11">
        <v>192</v>
      </c>
      <c r="B193" s="11">
        <v>1469</v>
      </c>
      <c r="C193" s="433">
        <f ca="1">IF(B193="",16,INDEX(OFFSET(Arb!$I$2,,,Arb!$AJ$5,),B193))</f>
        <v>13</v>
      </c>
      <c r="D193" s="34">
        <f ca="1">IF(B193="",10,INDEX(OFFSET(Arb!$H$2,,,Arb!$AJ$5,),B193))</f>
        <v>4.3499999999999996</v>
      </c>
      <c r="E193" s="33">
        <f t="shared" ca="1" si="18"/>
        <v>2.9885057471264371</v>
      </c>
      <c r="F193" s="33">
        <f ca="1">IF(B193="","",INDEX(OFFSET(Arb!$X$2,,,Arb!$AJ$5,),B193)/D193)</f>
        <v>3.4482758620689657</v>
      </c>
      <c r="G193" s="33">
        <f ca="1">IF(B193="","",(INDEX(OFFSET(Arb!$U$2,,,Arb!$AJ$5,),B193)+INDEX(OFFSET(Arb!$V$2,,,Arb!$AJ$5,),B193))/D193)</f>
        <v>3.6781609195402303</v>
      </c>
      <c r="H193" s="33">
        <f t="shared" ca="1" si="19"/>
        <v>0.936458173386013</v>
      </c>
      <c r="I193" s="21">
        <f t="shared" ca="1" si="20"/>
        <v>50.508395723620964</v>
      </c>
      <c r="J193" s="74">
        <f ca="1">IF(B193="","",DATE(INDEX(OFFSET(Arb!$C$2,,,Arb!$AJ$5,),B193),INDEX(OFFSET(Arb!$B$2,,,Arb!$AJ$5,),B193),INDEX(OFFSET(Arb!$A$2,,,Arb!$AJ$5,),B193))+ROW()*0.001)</f>
        <v>43952.192999999999</v>
      </c>
      <c r="K193" s="11">
        <v>192</v>
      </c>
      <c r="L193" s="11">
        <v>2380</v>
      </c>
      <c r="M193" s="433">
        <f ca="1">IF(L193="",64,INDEX(OFFSET(Arb!$I$2,,,Arb!$AJ$5,),L193))</f>
        <v>58</v>
      </c>
      <c r="N193" s="34">
        <f ca="1">IF(L193="",60,INDEX(OFFSET(Arb!$H$2,,,Arb!$AJ$5,),L193))</f>
        <v>24.1</v>
      </c>
      <c r="O193" s="33">
        <f t="shared" ca="1" si="21"/>
        <v>2.4066390041493775</v>
      </c>
      <c r="P193" s="33">
        <f ca="1">IF(L193="","",INDEX(OFFSET(Arb!$X$2,,,Arb!$AJ$5,),L193)/N193)</f>
        <v>3.4024896265560165</v>
      </c>
      <c r="Q193" s="33">
        <f ca="1">IF(L193="","",(INDEX(OFFSET(Arb!$U$2,,,Arb!$AJ$5,),L193)+INDEX(OFFSET(Arb!$V$2,,,Arb!$AJ$5,),L193))/N193)</f>
        <v>3.8589211618257258</v>
      </c>
      <c r="R193" s="33">
        <f t="shared" ca="1" si="22"/>
        <v>3.8547922645914774</v>
      </c>
      <c r="S193" s="21">
        <f t="shared" ca="1" si="23"/>
        <v>39.880229451558257</v>
      </c>
      <c r="T193" s="74">
        <f ca="1">IF(L193="","",DATE(INDEX(OFFSET(Arb!$C$2,,,Arb!$AJ$5,),L193),INDEX(OFFSET(Arb!$B$2,,,Arb!$AJ$5,),L193),INDEX(OFFSET(Arb!$A$2,,,Arb!$AJ$5,),L193))+ROW()*0.001)</f>
        <v>44114.192999999999</v>
      </c>
      <c r="U193" s="11">
        <v>192</v>
      </c>
      <c r="V193" s="11">
        <v>3426</v>
      </c>
      <c r="W193" s="433">
        <f ca="1">IF(V193="",164,INDEX(OFFSET(Arb!$I$2,,,Arb!$AJ$5,),V193))</f>
        <v>188</v>
      </c>
      <c r="X193" s="34">
        <f ca="1">IF(V193="",240,INDEX(OFFSET(Arb!$H$2,,,Arb!$AJ$5,),V193))</f>
        <v>69.58</v>
      </c>
      <c r="Y193" s="33">
        <f t="shared" ca="1" si="24"/>
        <v>2.7019258407588387</v>
      </c>
      <c r="Z193" s="33">
        <f ca="1">IF(V193="","",INDEX(OFFSET(Arb!$X$2,,,Arb!$AJ$5,),V193)/X193)</f>
        <v>2.644438056912906</v>
      </c>
      <c r="AA193" s="33">
        <f ca="1">IF(V193="","",(INDEX(OFFSET(Arb!$U$2,,,Arb!$AJ$5,),V193)+INDEX(OFFSET(Arb!$V$2,,,Arb!$AJ$5,),V193))/X193)</f>
        <v>2.9175050301810868</v>
      </c>
      <c r="AB193" s="33">
        <f t="shared" ca="1" si="25"/>
        <v>7.2121653035266275</v>
      </c>
      <c r="AC193" s="21">
        <f t="shared" ca="1" si="26"/>
        <v>60.314895969909593</v>
      </c>
      <c r="AD193" s="74">
        <f ca="1">IF(V193="","",DATE(INDEX(OFFSET(Arb!$C$2,,,Arb!$AJ$5,),V193),INDEX(OFFSET(Arb!$B$2,,,Arb!$AJ$5,),V193),INDEX(OFFSET(Arb!$A$2,,,Arb!$AJ$5,),V193))+ROW()*0.001)</f>
        <v>44149.192999999999</v>
      </c>
    </row>
    <row r="194" spans="1:30" x14ac:dyDescent="0.25">
      <c r="A194" s="11">
        <v>193</v>
      </c>
      <c r="B194" s="11">
        <v>1264</v>
      </c>
      <c r="C194" s="433">
        <f ca="1">IF(B194="",16,INDEX(OFFSET(Arb!$I$2,,,Arb!$AJ$5,),B194))</f>
        <v>10</v>
      </c>
      <c r="D194" s="34">
        <f ca="1">IF(B194="",10,INDEX(OFFSET(Arb!$H$2,,,Arb!$AJ$5,),B194))</f>
        <v>4.3499999999999996</v>
      </c>
      <c r="E194" s="33">
        <f t="shared" ca="1" si="18"/>
        <v>2.298850574712644</v>
      </c>
      <c r="F194" s="33">
        <f ca="1">IF(B194="","",INDEX(OFFSET(Arb!$X$2,,,Arb!$AJ$5,),B194)/D194)</f>
        <v>3.4482758620689657</v>
      </c>
      <c r="G194" s="33">
        <f ca="1">IF(B194="","",(INDEX(OFFSET(Arb!$U$2,,,Arb!$AJ$5,),B194)+INDEX(OFFSET(Arb!$V$2,,,Arb!$AJ$5,),B194))/D194)</f>
        <v>3.9080459770114944</v>
      </c>
      <c r="H194" s="33">
        <f t="shared" ca="1" si="19"/>
        <v>1.2173956254018168</v>
      </c>
      <c r="I194" s="21">
        <f t="shared" ca="1" si="20"/>
        <v>38.85261209509305</v>
      </c>
      <c r="J194" s="74">
        <f ca="1">IF(B194="","",DATE(INDEX(OFFSET(Arb!$C$2,,,Arb!$AJ$5,),B194),INDEX(OFFSET(Arb!$B$2,,,Arb!$AJ$5,),B194),INDEX(OFFSET(Arb!$A$2,,,Arb!$AJ$5,),B194))+ROW()*0.001)</f>
        <v>43901.194000000003</v>
      </c>
      <c r="K194" s="11">
        <v>193</v>
      </c>
      <c r="L194" s="11">
        <v>1896</v>
      </c>
      <c r="M194" s="433">
        <f ca="1">IF(L194="",64,INDEX(OFFSET(Arb!$I$2,,,Arb!$AJ$5,),L194))</f>
        <v>46</v>
      </c>
      <c r="N194" s="34">
        <f ca="1">IF(L194="",60,INDEX(OFFSET(Arb!$H$2,,,Arb!$AJ$5,),L194))</f>
        <v>24.13</v>
      </c>
      <c r="O194" s="33">
        <f t="shared" ca="1" si="21"/>
        <v>1.9063406547865729</v>
      </c>
      <c r="P194" s="33">
        <f ca="1">IF(L194="","",INDEX(OFFSET(Arb!$X$2,,,Arb!$AJ$5,),L194)/N194)</f>
        <v>2.6523000414421882</v>
      </c>
      <c r="Q194" s="33">
        <f ca="1">IF(L194="","",(INDEX(OFFSET(Arb!$U$2,,,Arb!$AJ$5,),L194)+INDEX(OFFSET(Arb!$V$2,,,Arb!$AJ$5,),L194))/N194)</f>
        <v>3.4397016162453378</v>
      </c>
      <c r="R194" s="33">
        <f t="shared" ca="1" si="22"/>
        <v>4.8706802004600327</v>
      </c>
      <c r="S194" s="21">
        <f t="shared" ca="1" si="23"/>
        <v>31.562326753762296</v>
      </c>
      <c r="T194" s="74">
        <f ca="1">IF(L194="","",DATE(INDEX(OFFSET(Arb!$C$2,,,Arb!$AJ$5,),L194),INDEX(OFFSET(Arb!$B$2,,,Arb!$AJ$5,),L194),INDEX(OFFSET(Arb!$A$2,,,Arb!$AJ$5,),L194))+ROW()*0.001)</f>
        <v>43765.194000000003</v>
      </c>
      <c r="U194" s="11">
        <v>193</v>
      </c>
      <c r="V194" s="11">
        <v>2905</v>
      </c>
      <c r="W194" s="433">
        <f ca="1">IF(V194="",164,INDEX(OFFSET(Arb!$I$2,,,Arb!$AJ$5,),V194))</f>
        <v>130</v>
      </c>
      <c r="X194" s="34">
        <f ca="1">IF(V194="",240,INDEX(OFFSET(Arb!$H$2,,,Arb!$AJ$5,),V194))</f>
        <v>69.58</v>
      </c>
      <c r="Y194" s="33">
        <f t="shared" ca="1" si="24"/>
        <v>1.8683529749928141</v>
      </c>
      <c r="Z194" s="33">
        <f ca="1">IF(V194="","",INDEX(OFFSET(Arb!$X$2,,,Arb!$AJ$5,),V194)/X194)</f>
        <v>2.6013222190284564</v>
      </c>
      <c r="AA194" s="33">
        <f ca="1">IF(V194="","",(INDEX(OFFSET(Arb!$U$2,,,Arb!$AJ$5,),V194)+INDEX(OFFSET(Arb!$V$2,,,Arb!$AJ$5,),V194))/X194)</f>
        <v>3.0755964357574017</v>
      </c>
      <c r="AB194" s="33">
        <f t="shared" ca="1" si="25"/>
        <v>10.429900592792354</v>
      </c>
      <c r="AC194" s="21">
        <f t="shared" ca="1" si="26"/>
        <v>41.707108915363015</v>
      </c>
      <c r="AD194" s="74">
        <f ca="1">IF(V194="","",DATE(INDEX(OFFSET(Arb!$C$2,,,Arb!$AJ$5,),V194),INDEX(OFFSET(Arb!$B$2,,,Arb!$AJ$5,),V194),INDEX(OFFSET(Arb!$A$2,,,Arb!$AJ$5,),V194))+ROW()*0.001)</f>
        <v>43927.194000000003</v>
      </c>
    </row>
    <row r="195" spans="1:30" x14ac:dyDescent="0.25">
      <c r="A195" s="11">
        <v>194</v>
      </c>
      <c r="B195" s="11">
        <v>1022</v>
      </c>
      <c r="C195" s="433">
        <f ca="1">IF(B195="",16,INDEX(OFFSET(Arb!$I$2,,,Arb!$AJ$5,),B195))</f>
        <v>13</v>
      </c>
      <c r="D195" s="34">
        <f ca="1">IF(B195="",10,INDEX(OFFSET(Arb!$H$2,,,Arb!$AJ$5,),B195))</f>
        <v>4.3499999999999996</v>
      </c>
      <c r="E195" s="33">
        <f t="shared" ref="E195:E201" ca="1" si="27">C195/D195</f>
        <v>2.9885057471264371</v>
      </c>
      <c r="F195" s="33">
        <f ca="1">IF(B195="","",INDEX(OFFSET(Arb!$X$2,,,Arb!$AJ$5,),B195)/D195)</f>
        <v>3.6781609195402303</v>
      </c>
      <c r="G195" s="33">
        <f ca="1">IF(B195="","",(INDEX(OFFSET(Arb!$U$2,,,Arb!$AJ$5,),B195)+INDEX(OFFSET(Arb!$V$2,,,Arb!$AJ$5,),B195))/D195)</f>
        <v>4.1379310344827589</v>
      </c>
      <c r="H195" s="33">
        <f t="shared" ref="H195:H201" ca="1" si="28">D195^1.7/C195</f>
        <v>0.936458173386013</v>
      </c>
      <c r="I195" s="21">
        <f t="shared" ref="I195:I201" ca="1" si="29">47.299/H195</f>
        <v>50.508395723620964</v>
      </c>
      <c r="J195" s="74">
        <f ca="1">IF(B195="","",DATE(INDEX(OFFSET(Arb!$C$2,,,Arb!$AJ$5,),B195),INDEX(OFFSET(Arb!$B$2,,,Arb!$AJ$5,),B195),INDEX(OFFSET(Arb!$A$2,,,Arb!$AJ$5,),B195))+ROW()*0.001)</f>
        <v>43839.195</v>
      </c>
      <c r="K195" s="11">
        <v>194</v>
      </c>
      <c r="L195" s="11">
        <v>2395</v>
      </c>
      <c r="M195" s="433">
        <f ca="1">IF(L195="",64,INDEX(OFFSET(Arb!$I$2,,,Arb!$AJ$5,),L195))</f>
        <v>58</v>
      </c>
      <c r="N195" s="34">
        <f ca="1">IF(L195="",60,INDEX(OFFSET(Arb!$H$2,,,Arb!$AJ$5,),L195))</f>
        <v>24.18</v>
      </c>
      <c r="O195" s="33">
        <f t="shared" ref="O195:O201" ca="1" si="30">M195/N195</f>
        <v>2.3986765922249793</v>
      </c>
      <c r="P195" s="33">
        <f ca="1">IF(L195="","",INDEX(OFFSET(Arb!$X$2,,,Arb!$AJ$5,),L195)/N195)</f>
        <v>2.9776674937965262</v>
      </c>
      <c r="Q195" s="33">
        <f ca="1">IF(L195="","",(INDEX(OFFSET(Arb!$U$2,,,Arb!$AJ$5,),L195)+INDEX(OFFSET(Arb!$V$2,,,Arb!$AJ$5,),L195))/N195)</f>
        <v>3.3498759305210917</v>
      </c>
      <c r="R195" s="33">
        <f t="shared" ref="R195:R201" ca="1" si="31">N195^1.7/M195</f>
        <v>3.8765707141841212</v>
      </c>
      <c r="S195" s="21">
        <f t="shared" ref="S195:S201" ca="1" si="32">153.73/R195</f>
        <v>39.656183605141493</v>
      </c>
      <c r="T195" s="74">
        <f ca="1">IF(L195="","",DATE(INDEX(OFFSET(Arb!$C$2,,,Arb!$AJ$5,),L195),INDEX(OFFSET(Arb!$B$2,,,Arb!$AJ$5,),L195),INDEX(OFFSET(Arb!$A$2,,,Arb!$AJ$5,),L195))+ROW()*0.001)</f>
        <v>44133.195</v>
      </c>
      <c r="U195" s="11">
        <v>194</v>
      </c>
      <c r="V195" s="11">
        <v>3172</v>
      </c>
      <c r="W195" s="433">
        <f ca="1">IF(V195="",164,INDEX(OFFSET(Arb!$I$2,,,Arb!$AJ$5,),V195))</f>
        <v>163</v>
      </c>
      <c r="X195" s="34">
        <f ca="1">IF(V195="",240,INDEX(OFFSET(Arb!$H$2,,,Arb!$AJ$5,),V195))</f>
        <v>69.59</v>
      </c>
      <c r="Y195" s="33">
        <f t="shared" ref="Y195:Y201" ca="1" si="33">W195/X195</f>
        <v>2.3422905589883602</v>
      </c>
      <c r="Z195" s="33">
        <f ca="1">IF(V195="","",INDEX(OFFSET(Arb!$X$2,,,Arb!$AJ$5,),V195)/X195)</f>
        <v>2.7159074579680986</v>
      </c>
      <c r="AA195" s="33">
        <f ca="1">IF(V195="","",(INDEX(OFFSET(Arb!$U$2,,,Arb!$AJ$5,),V195)+INDEX(OFFSET(Arb!$V$2,,,Arb!$AJ$5,),V195))/X195)</f>
        <v>3.1470038798677971</v>
      </c>
      <c r="AB195" s="33">
        <f t="shared" ref="AB195:AB201" ca="1" si="34">X195^1.7/W195</f>
        <v>8.3203580873318934</v>
      </c>
      <c r="AC195" s="21">
        <f t="shared" ref="AC195:AC201" ca="1" si="35">435.001/AB195</f>
        <v>52.281523876034605</v>
      </c>
      <c r="AD195" s="74">
        <f ca="1">IF(V195="","",DATE(INDEX(OFFSET(Arb!$C$2,,,Arb!$AJ$5,),V195),INDEX(OFFSET(Arb!$B$2,,,Arb!$AJ$5,),V195),INDEX(OFFSET(Arb!$A$2,,,Arb!$AJ$5,),V195))+ROW()*0.001)</f>
        <v>44041.195</v>
      </c>
    </row>
    <row r="196" spans="1:30" x14ac:dyDescent="0.25">
      <c r="A196" s="11">
        <v>195</v>
      </c>
      <c r="B196" s="11">
        <v>1622</v>
      </c>
      <c r="C196" s="433">
        <f ca="1">IF(B196="",16,INDEX(OFFSET(Arb!$I$2,,,Arb!$AJ$5,),B196))</f>
        <v>10</v>
      </c>
      <c r="D196" s="34">
        <f ca="1">IF(B196="",10,INDEX(OFFSET(Arb!$H$2,,,Arb!$AJ$5,),B196))</f>
        <v>4.3600000000000003</v>
      </c>
      <c r="E196" s="33">
        <f t="shared" ca="1" si="27"/>
        <v>2.2935779816513762</v>
      </c>
      <c r="F196" s="33">
        <f ca="1">IF(B196="","",INDEX(OFFSET(Arb!$X$2,,,Arb!$AJ$5,),B196)/D196)</f>
        <v>3.2110091743119265</v>
      </c>
      <c r="G196" s="33">
        <f ca="1">IF(B196="","",(INDEX(OFFSET(Arb!$U$2,,,Arb!$AJ$5,),B196)+INDEX(OFFSET(Arb!$V$2,,,Arb!$AJ$5,),B196))/D196)</f>
        <v>3.8990825688073389</v>
      </c>
      <c r="H196" s="33">
        <f t="shared" ca="1" si="28"/>
        <v>1.2221570905834196</v>
      </c>
      <c r="I196" s="21">
        <f t="shared" ca="1" si="29"/>
        <v>38.701244189010872</v>
      </c>
      <c r="J196" s="74">
        <f ca="1">IF(B196="","",DATE(INDEX(OFFSET(Arb!$C$2,,,Arb!$AJ$5,),B196),INDEX(OFFSET(Arb!$B$2,,,Arb!$AJ$5,),B196),INDEX(OFFSET(Arb!$A$2,,,Arb!$AJ$5,),B196))+ROW()*0.001)</f>
        <v>44093.196000000004</v>
      </c>
      <c r="K196" s="11">
        <v>195</v>
      </c>
      <c r="L196" s="11">
        <v>2348</v>
      </c>
      <c r="M196" s="433">
        <f ca="1">IF(L196="",64,INDEX(OFFSET(Arb!$I$2,,,Arb!$AJ$5,),L196))</f>
        <v>65</v>
      </c>
      <c r="N196" s="34">
        <f ca="1">IF(L196="",60,INDEX(OFFSET(Arb!$H$2,,,Arb!$AJ$5,),L196))</f>
        <v>24.22</v>
      </c>
      <c r="O196" s="33">
        <f t="shared" ca="1" si="30"/>
        <v>2.6837324525185799</v>
      </c>
      <c r="P196" s="33">
        <f ca="1">IF(L196="","",INDEX(OFFSET(Arb!$X$2,,,Arb!$AJ$5,),L196)/N196)</f>
        <v>3.3030553261767137</v>
      </c>
      <c r="Q196" s="33">
        <f ca="1">IF(L196="","",(INDEX(OFFSET(Arb!$U$2,,,Arb!$AJ$5,),L196)+INDEX(OFFSET(Arb!$V$2,,,Arb!$AJ$5,),L196))/N196)</f>
        <v>3.7572254335260116</v>
      </c>
      <c r="R196" s="33">
        <f t="shared" ca="1" si="31"/>
        <v>3.4688273068258857</v>
      </c>
      <c r="S196" s="21">
        <f t="shared" ca="1" si="32"/>
        <v>44.317570868256631</v>
      </c>
      <c r="T196" s="74">
        <f ca="1">IF(L196="","",DATE(INDEX(OFFSET(Arb!$C$2,,,Arb!$AJ$5,),L196),INDEX(OFFSET(Arb!$B$2,,,Arb!$AJ$5,),L196),INDEX(OFFSET(Arb!$A$2,,,Arb!$AJ$5,),L196))+ROW()*0.001)</f>
        <v>44106.196000000004</v>
      </c>
      <c r="U196" s="11">
        <v>195</v>
      </c>
      <c r="V196" s="11">
        <v>2983</v>
      </c>
      <c r="W196" s="433">
        <f ca="1">IF(V196="",164,INDEX(OFFSET(Arb!$I$2,,,Arb!$AJ$5,),V196))</f>
        <v>160</v>
      </c>
      <c r="X196" s="34">
        <f ca="1">IF(V196="",240,INDEX(OFFSET(Arb!$H$2,,,Arb!$AJ$5,),V196))</f>
        <v>69.650000000000006</v>
      </c>
      <c r="Y196" s="33">
        <f t="shared" ca="1" si="33"/>
        <v>2.2972002871500359</v>
      </c>
      <c r="Z196" s="33">
        <f ca="1">IF(V196="","",INDEX(OFFSET(Arb!$X$2,,,Arb!$AJ$5,),V196)/X196)</f>
        <v>2.9432878679109833</v>
      </c>
      <c r="AA196" s="33">
        <f ca="1">IF(V196="","",(INDEX(OFFSET(Arb!$U$2,,,Arb!$AJ$5,),V196)+INDEX(OFFSET(Arb!$V$2,,,Arb!$AJ$5,),V196))/X196)</f>
        <v>3.4027279253409906</v>
      </c>
      <c r="AB196" s="33">
        <f t="shared" ca="1" si="34"/>
        <v>8.4887925941433302</v>
      </c>
      <c r="AC196" s="21">
        <f t="shared" ca="1" si="35"/>
        <v>51.244154592741502</v>
      </c>
      <c r="AD196" s="74">
        <f ca="1">IF(V196="","",DATE(INDEX(OFFSET(Arb!$C$2,,,Arb!$AJ$5,),V196),INDEX(OFFSET(Arb!$B$2,,,Arb!$AJ$5,),V196),INDEX(OFFSET(Arb!$A$2,,,Arb!$AJ$5,),V196))+ROW()*0.001)</f>
        <v>43956.196000000004</v>
      </c>
    </row>
    <row r="197" spans="1:30" x14ac:dyDescent="0.25">
      <c r="A197" s="11">
        <v>196</v>
      </c>
      <c r="B197" s="11">
        <v>1600</v>
      </c>
      <c r="C197" s="433">
        <f ca="1">IF(B197="",16,INDEX(OFFSET(Arb!$I$2,,,Arb!$AJ$5,),B197))</f>
        <v>11</v>
      </c>
      <c r="D197" s="34">
        <f ca="1">IF(B197="",10,INDEX(OFFSET(Arb!$H$2,,,Arb!$AJ$5,),B197))</f>
        <v>4.3600000000000003</v>
      </c>
      <c r="E197" s="33">
        <f t="shared" ca="1" si="27"/>
        <v>2.5229357798165135</v>
      </c>
      <c r="F197" s="33">
        <f ca="1">IF(B197="","",INDEX(OFFSET(Arb!$X$2,,,Arb!$AJ$5,),B197)/D197)</f>
        <v>3.8990825688073389</v>
      </c>
      <c r="G197" s="33">
        <f ca="1">IF(B197="","",(INDEX(OFFSET(Arb!$U$2,,,Arb!$AJ$5,),B197)+INDEX(OFFSET(Arb!$V$2,,,Arb!$AJ$5,),B197))/D197)</f>
        <v>4.3577981651376145</v>
      </c>
      <c r="H197" s="33">
        <f t="shared" ca="1" si="28"/>
        <v>1.1110519005303816</v>
      </c>
      <c r="I197" s="21">
        <f t="shared" ca="1" si="29"/>
        <v>42.57136860791195</v>
      </c>
      <c r="J197" s="74">
        <f ca="1">IF(B197="","",DATE(INDEX(OFFSET(Arb!$C$2,,,Arb!$AJ$5,),B197),INDEX(OFFSET(Arb!$B$2,,,Arb!$AJ$5,),B197),INDEX(OFFSET(Arb!$A$2,,,Arb!$AJ$5,),B197))+ROW()*0.001)</f>
        <v>44054.197</v>
      </c>
      <c r="K197" s="11">
        <v>196</v>
      </c>
      <c r="L197" s="11">
        <v>1973</v>
      </c>
      <c r="M197" s="433">
        <f ca="1">IF(L197="",64,INDEX(OFFSET(Arb!$I$2,,,Arb!$AJ$5,),L197))</f>
        <v>64</v>
      </c>
      <c r="N197" s="34">
        <f ca="1">IF(L197="",60,INDEX(OFFSET(Arb!$H$2,,,Arb!$AJ$5,),L197))</f>
        <v>24.26</v>
      </c>
      <c r="O197" s="33">
        <f t="shared" ca="1" si="30"/>
        <v>2.6380873866446826</v>
      </c>
      <c r="P197" s="33">
        <f ca="1">IF(L197="","",INDEX(OFFSET(Arb!$X$2,,,Arb!$AJ$5,),L197)/N197)</f>
        <v>3.2563891178895297</v>
      </c>
      <c r="Q197" s="33">
        <f ca="1">IF(L197="","",(INDEX(OFFSET(Arb!$U$2,,,Arb!$AJ$5,),L197)+INDEX(OFFSET(Arb!$V$2,,,Arb!$AJ$5,),L197))/N197)</f>
        <v>3.4212695795548225</v>
      </c>
      <c r="R197" s="33">
        <f t="shared" ca="1" si="31"/>
        <v>3.5329246922238067</v>
      </c>
      <c r="S197" s="21">
        <f t="shared" ca="1" si="32"/>
        <v>43.513523041792979</v>
      </c>
      <c r="T197" s="74">
        <f ca="1">IF(L197="","",DATE(INDEX(OFFSET(Arb!$C$2,,,Arb!$AJ$5,),L197),INDEX(OFFSET(Arb!$B$2,,,Arb!$AJ$5,),L197),INDEX(OFFSET(Arb!$A$2,,,Arb!$AJ$5,),L197))+ROW()*0.001)</f>
        <v>43779.197</v>
      </c>
      <c r="U197" s="11">
        <v>196</v>
      </c>
      <c r="V197" s="11">
        <v>3068</v>
      </c>
      <c r="W197" s="433">
        <f ca="1">IF(V197="",164,INDEX(OFFSET(Arb!$I$2,,,Arb!$AJ$5,),V197))</f>
        <v>144</v>
      </c>
      <c r="X197" s="34">
        <f ca="1">IF(V197="",240,INDEX(OFFSET(Arb!$H$2,,,Arb!$AJ$5,),V197))</f>
        <v>69.680000000000007</v>
      </c>
      <c r="Y197" s="33">
        <f t="shared" ca="1" si="33"/>
        <v>2.0665901262916186</v>
      </c>
      <c r="Z197" s="33">
        <f ca="1">IF(V197="","",INDEX(OFFSET(Arb!$X$2,,,Arb!$AJ$5,),V197)/X197)</f>
        <v>2.5401836969001144</v>
      </c>
      <c r="AA197" s="33">
        <f ca="1">IF(V197="","",(INDEX(OFFSET(Arb!$U$2,,,Arb!$AJ$5,),V197)+INDEX(OFFSET(Arb!$V$2,,,Arb!$AJ$5,),V197))/X197)</f>
        <v>2.8989667049368539</v>
      </c>
      <c r="AB197" s="33">
        <f t="shared" ca="1" si="34"/>
        <v>9.4388992241710934</v>
      </c>
      <c r="AC197" s="21">
        <f t="shared" ca="1" si="35"/>
        <v>46.08598838369322</v>
      </c>
      <c r="AD197" s="74">
        <f ca="1">IF(V197="","",DATE(INDEX(OFFSET(Arb!$C$2,,,Arb!$AJ$5,),V197),INDEX(OFFSET(Arb!$B$2,,,Arb!$AJ$5,),V197),INDEX(OFFSET(Arb!$A$2,,,Arb!$AJ$5,),V197))+ROW()*0.001)</f>
        <v>44003.197</v>
      </c>
    </row>
    <row r="198" spans="1:30" x14ac:dyDescent="0.25">
      <c r="A198" s="11">
        <v>197</v>
      </c>
      <c r="B198" s="11">
        <v>1033</v>
      </c>
      <c r="C198" s="433">
        <f ca="1">IF(B198="",16,INDEX(OFFSET(Arb!$I$2,,,Arb!$AJ$5,),B198))</f>
        <v>14</v>
      </c>
      <c r="D198" s="34">
        <f ca="1">IF(B198="",10,INDEX(OFFSET(Arb!$H$2,,,Arb!$AJ$5,),B198))</f>
        <v>4.3600000000000003</v>
      </c>
      <c r="E198" s="33">
        <f t="shared" ca="1" si="27"/>
        <v>3.2110091743119265</v>
      </c>
      <c r="F198" s="33">
        <f ca="1">IF(B198="","",INDEX(OFFSET(Arb!$X$2,,,Arb!$AJ$5,),B198)/D198)</f>
        <v>3.4403669724770638</v>
      </c>
      <c r="G198" s="33">
        <f ca="1">IF(B198="","",(INDEX(OFFSET(Arb!$U$2,,,Arb!$AJ$5,),B198)+INDEX(OFFSET(Arb!$V$2,,,Arb!$AJ$5,),B198))/D198)</f>
        <v>3.8990825688073389</v>
      </c>
      <c r="H198" s="33">
        <f t="shared" ca="1" si="28"/>
        <v>0.8729693504167283</v>
      </c>
      <c r="I198" s="21">
        <f t="shared" ca="1" si="29"/>
        <v>54.181741864615219</v>
      </c>
      <c r="J198" s="74">
        <f ca="1">IF(B198="","",DATE(INDEX(OFFSET(Arb!$C$2,,,Arb!$AJ$5,),B198),INDEX(OFFSET(Arb!$B$2,,,Arb!$AJ$5,),B198),INDEX(OFFSET(Arb!$A$2,,,Arb!$AJ$5,),B198))+ROW()*0.001)</f>
        <v>43841.197999999997</v>
      </c>
      <c r="K198" s="11">
        <v>197</v>
      </c>
      <c r="L198" s="11">
        <v>2300</v>
      </c>
      <c r="M198" s="433">
        <f ca="1">IF(L198="",64,INDEX(OFFSET(Arb!$I$2,,,Arb!$AJ$5,),L198))</f>
        <v>67</v>
      </c>
      <c r="N198" s="34">
        <f ca="1">IF(L198="",60,INDEX(OFFSET(Arb!$H$2,,,Arb!$AJ$5,),L198))</f>
        <v>24.31</v>
      </c>
      <c r="O198" s="33">
        <f t="shared" ca="1" si="30"/>
        <v>2.7560674619498151</v>
      </c>
      <c r="P198" s="33">
        <f ca="1">IF(L198="","",INDEX(OFFSET(Arb!$X$2,,,Arb!$AJ$5,),L198)/N198)</f>
        <v>3.3319621554915675</v>
      </c>
      <c r="Q198" s="33">
        <f ca="1">IF(L198="","",(INDEX(OFFSET(Arb!$U$2,,,Arb!$AJ$5,),L198)+INDEX(OFFSET(Arb!$V$2,,,Arb!$AJ$5,),L198))/N198)</f>
        <v>3.9901275195392842</v>
      </c>
      <c r="R198" s="33">
        <f t="shared" ca="1" si="31"/>
        <v>3.3865666506802574</v>
      </c>
      <c r="S198" s="21">
        <f t="shared" ca="1" si="32"/>
        <v>45.394057125413532</v>
      </c>
      <c r="T198" s="74">
        <f ca="1">IF(L198="","",DATE(INDEX(OFFSET(Arb!$C$2,,,Arb!$AJ$5,),L198),INDEX(OFFSET(Arb!$B$2,,,Arb!$AJ$5,),L198),INDEX(OFFSET(Arb!$A$2,,,Arb!$AJ$5,),L198))+ROW()*0.001)</f>
        <v>43941.197999999997</v>
      </c>
      <c r="U198" s="11">
        <v>197</v>
      </c>
      <c r="V198" s="11">
        <v>2911</v>
      </c>
      <c r="W198" s="433">
        <f ca="1">IF(V198="",164,INDEX(OFFSET(Arb!$I$2,,,Arb!$AJ$5,),V198))</f>
        <v>164</v>
      </c>
      <c r="X198" s="34">
        <f ca="1">IF(V198="",240,INDEX(OFFSET(Arb!$H$2,,,Arb!$AJ$5,),V198))</f>
        <v>69.7</v>
      </c>
      <c r="Y198" s="33">
        <f t="shared" ca="1" si="33"/>
        <v>2.3529411764705883</v>
      </c>
      <c r="Z198" s="33">
        <f ca="1">IF(V198="","",INDEX(OFFSET(Arb!$X$2,,,Arb!$AJ$5,),V198)/X198)</f>
        <v>3.0272596843615496</v>
      </c>
      <c r="AA198" s="33">
        <f ca="1">IF(V198="","",(INDEX(OFFSET(Arb!$U$2,,,Arb!$AJ$5,),V198)+INDEX(OFFSET(Arb!$V$2,,,Arb!$AJ$5,),V198))/X198)</f>
        <v>3.3572453371592537</v>
      </c>
      <c r="AB198" s="33">
        <f t="shared" ca="1" si="34"/>
        <v>8.2918583556511951</v>
      </c>
      <c r="AC198" s="21">
        <f t="shared" ca="1" si="35"/>
        <v>52.461219348197304</v>
      </c>
      <c r="AD198" s="74">
        <f ca="1">IF(V198="","",DATE(INDEX(OFFSET(Arb!$C$2,,,Arb!$AJ$5,),V198),INDEX(OFFSET(Arb!$B$2,,,Arb!$AJ$5,),V198),INDEX(OFFSET(Arb!$A$2,,,Arb!$AJ$5,),V198))+ROW()*0.001)</f>
        <v>43929.197999999997</v>
      </c>
    </row>
    <row r="199" spans="1:30" x14ac:dyDescent="0.25">
      <c r="A199" s="11">
        <v>198</v>
      </c>
      <c r="B199" s="11">
        <v>130</v>
      </c>
      <c r="C199" s="433">
        <f ca="1">IF(B199="",16,INDEX(OFFSET(Arb!$I$2,,,Arb!$AJ$5,),B199))</f>
        <v>11</v>
      </c>
      <c r="D199" s="34">
        <f ca="1">IF(B199="",10,INDEX(OFFSET(Arb!$H$2,,,Arb!$AJ$5,),B199))</f>
        <v>4.3600000000000003</v>
      </c>
      <c r="E199" s="33">
        <f t="shared" ca="1" si="27"/>
        <v>2.5229357798165135</v>
      </c>
      <c r="F199" s="33">
        <f ca="1">IF(B199="","",INDEX(OFFSET(Arb!$X$2,,,Arb!$AJ$5,),B199)/D199)</f>
        <v>3.2110091743119265</v>
      </c>
      <c r="G199" s="33">
        <f ca="1">IF(B199="","",(INDEX(OFFSET(Arb!$U$2,,,Arb!$AJ$5,),B199)+INDEX(OFFSET(Arb!$V$2,,,Arb!$AJ$5,),B199))/D199)</f>
        <v>3.8990825688073389</v>
      </c>
      <c r="H199" s="33">
        <f t="shared" ca="1" si="28"/>
        <v>1.1110519005303816</v>
      </c>
      <c r="I199" s="21">
        <f t="shared" ca="1" si="29"/>
        <v>42.57136860791195</v>
      </c>
      <c r="J199" s="74">
        <f ca="1">IF(B199="","",DATE(INDEX(OFFSET(Arb!$C$2,,,Arb!$AJ$5,),B199),INDEX(OFFSET(Arb!$B$2,,,Arb!$AJ$5,),B199),INDEX(OFFSET(Arb!$A$2,,,Arb!$AJ$5,),B199))+ROW()*0.001)</f>
        <v>43771.199000000001</v>
      </c>
      <c r="K199" s="11">
        <v>198</v>
      </c>
      <c r="L199" s="11">
        <v>2270</v>
      </c>
      <c r="M199" s="433">
        <f ca="1">IF(L199="",64,INDEX(OFFSET(Arb!$I$2,,,Arb!$AJ$5,),L199))</f>
        <v>63</v>
      </c>
      <c r="N199" s="34">
        <f ca="1">IF(L199="",60,INDEX(OFFSET(Arb!$H$2,,,Arb!$AJ$5,),L199))</f>
        <v>24.32</v>
      </c>
      <c r="O199" s="33">
        <f t="shared" ca="1" si="30"/>
        <v>2.5904605263157894</v>
      </c>
      <c r="P199" s="33">
        <f ca="1">IF(L199="","",INDEX(OFFSET(Arb!$X$2,,,Arb!$AJ$5,),L199)/N199)</f>
        <v>2.9605263157894735</v>
      </c>
      <c r="Q199" s="33">
        <f ca="1">IF(L199="","",(INDEX(OFFSET(Arb!$U$2,,,Arb!$AJ$5,),L199)+INDEX(OFFSET(Arb!$V$2,,,Arb!$AJ$5,),L199))/N199)</f>
        <v>3.2894736842105261</v>
      </c>
      <c r="R199" s="33">
        <f t="shared" ca="1" si="31"/>
        <v>3.6041057102181044</v>
      </c>
      <c r="S199" s="21">
        <f t="shared" ca="1" si="32"/>
        <v>42.654131804224171</v>
      </c>
      <c r="T199" s="74">
        <f ca="1">IF(L199="","",DATE(INDEX(OFFSET(Arb!$C$2,,,Arb!$AJ$5,),L199),INDEX(OFFSET(Arb!$B$2,,,Arb!$AJ$5,),L199),INDEX(OFFSET(Arb!$A$2,,,Arb!$AJ$5,),L199))+ROW()*0.001)</f>
        <v>43934.199000000001</v>
      </c>
      <c r="U199" s="11">
        <v>198</v>
      </c>
      <c r="V199" s="11">
        <v>2783</v>
      </c>
      <c r="W199" s="433">
        <f ca="1">IF(V199="",164,INDEX(OFFSET(Arb!$I$2,,,Arb!$AJ$5,),V199))</f>
        <v>159</v>
      </c>
      <c r="X199" s="34">
        <f ca="1">IF(V199="",240,INDEX(OFFSET(Arb!$H$2,,,Arb!$AJ$5,),V199))</f>
        <v>69.72</v>
      </c>
      <c r="Y199" s="33">
        <f t="shared" ca="1" si="33"/>
        <v>2.2805507745266782</v>
      </c>
      <c r="Z199" s="33">
        <f ca="1">IF(V199="","",INDEX(OFFSET(Arb!$X$2,,,Arb!$AJ$5,),V199)/X199)</f>
        <v>2.9116465863453818</v>
      </c>
      <c r="AA199" s="33">
        <f ca="1">IF(V199="","",(INDEX(OFFSET(Arb!$U$2,,,Arb!$AJ$5,),V199)+INDEX(OFFSET(Arb!$V$2,,,Arb!$AJ$5,),V199))/X199)</f>
        <v>3.327596098680436</v>
      </c>
      <c r="AB199" s="33">
        <f t="shared" ca="1" si="34"/>
        <v>8.5567810415957108</v>
      </c>
      <c r="AC199" s="21">
        <f t="shared" ca="1" si="35"/>
        <v>50.836990906440072</v>
      </c>
      <c r="AD199" s="74">
        <f ca="1">IF(V199="","",DATE(INDEX(OFFSET(Arb!$C$2,,,Arb!$AJ$5,),V199),INDEX(OFFSET(Arb!$B$2,,,Arb!$AJ$5,),V199),INDEX(OFFSET(Arb!$A$2,,,Arb!$AJ$5,),V199))+ROW()*0.001)</f>
        <v>43891.199000000001</v>
      </c>
    </row>
    <row r="200" spans="1:30" x14ac:dyDescent="0.25">
      <c r="A200" s="11">
        <v>199</v>
      </c>
      <c r="B200" s="11">
        <v>81</v>
      </c>
      <c r="C200" s="433">
        <f ca="1">IF(B200="",16,INDEX(OFFSET(Arb!$I$2,,,Arb!$AJ$5,),B200))</f>
        <v>10</v>
      </c>
      <c r="D200" s="34">
        <f ca="1">IF(B200="",10,INDEX(OFFSET(Arb!$H$2,,,Arb!$AJ$5,),B200))</f>
        <v>4.3600000000000003</v>
      </c>
      <c r="E200" s="33">
        <f t="shared" ca="1" si="27"/>
        <v>2.2935779816513762</v>
      </c>
      <c r="F200" s="33">
        <f ca="1">IF(B200="","",INDEX(OFFSET(Arb!$X$2,,,Arb!$AJ$5,),B200)/D200)</f>
        <v>3.8990825688073389</v>
      </c>
      <c r="G200" s="33">
        <f ca="1">IF(B200="","",(INDEX(OFFSET(Arb!$U$2,,,Arb!$AJ$5,),B200)+INDEX(OFFSET(Arb!$V$2,,,Arb!$AJ$5,),B200))/D200)</f>
        <v>4.8165137614678892</v>
      </c>
      <c r="H200" s="33">
        <f t="shared" ca="1" si="28"/>
        <v>1.2221570905834196</v>
      </c>
      <c r="I200" s="21">
        <f t="shared" ca="1" si="29"/>
        <v>38.701244189010872</v>
      </c>
      <c r="J200" s="74">
        <f ca="1">IF(B200="","",DATE(INDEX(OFFSET(Arb!$C$2,,,Arb!$AJ$5,),B200),INDEX(OFFSET(Arb!$B$2,,,Arb!$AJ$5,),B200),INDEX(OFFSET(Arb!$A$2,,,Arb!$AJ$5,),B200))+ROW()*0.001)</f>
        <v>43767.199999999997</v>
      </c>
      <c r="K200" s="11">
        <v>199</v>
      </c>
      <c r="L200" s="11">
        <v>2294</v>
      </c>
      <c r="M200" s="433">
        <f ca="1">IF(L200="",64,INDEX(OFFSET(Arb!$I$2,,,Arb!$AJ$5,),L200))</f>
        <v>51</v>
      </c>
      <c r="N200" s="34">
        <f ca="1">IF(L200="",60,INDEX(OFFSET(Arb!$H$2,,,Arb!$AJ$5,),L200))</f>
        <v>24.43</v>
      </c>
      <c r="O200" s="33">
        <f t="shared" ca="1" si="30"/>
        <v>2.0875972165370444</v>
      </c>
      <c r="P200" s="33">
        <f ca="1">IF(L200="","",INDEX(OFFSET(Arb!$X$2,,,Arb!$AJ$5,),L200)/N200)</f>
        <v>2.9062627916496111</v>
      </c>
      <c r="Q200" s="33">
        <f ca="1">IF(L200="","",(INDEX(OFFSET(Arb!$U$2,,,Arb!$AJ$5,),L200)+INDEX(OFFSET(Arb!$V$2,,,Arb!$AJ$5,),L200))/N200)</f>
        <v>3.3155955792058944</v>
      </c>
      <c r="R200" s="33">
        <f t="shared" ca="1" si="31"/>
        <v>4.4864178281635168</v>
      </c>
      <c r="S200" s="21">
        <f t="shared" ca="1" si="32"/>
        <v>34.265644861465852</v>
      </c>
      <c r="T200" s="74">
        <f ca="1">IF(L200="","",DATE(INDEX(OFFSET(Arb!$C$2,,,Arb!$AJ$5,),L200),INDEX(OFFSET(Arb!$B$2,,,Arb!$AJ$5,),L200),INDEX(OFFSET(Arb!$A$2,,,Arb!$AJ$5,),L200))+ROW()*0.001)</f>
        <v>43937.2</v>
      </c>
      <c r="U200" s="11">
        <v>199</v>
      </c>
      <c r="V200" s="11">
        <v>2916</v>
      </c>
      <c r="W200" s="433">
        <f ca="1">IF(V200="",164,INDEX(OFFSET(Arb!$I$2,,,Arb!$AJ$5,),V200))</f>
        <v>171</v>
      </c>
      <c r="X200" s="34">
        <f ca="1">IF(V200="",240,INDEX(OFFSET(Arb!$H$2,,,Arb!$AJ$5,),V200))</f>
        <v>69.75</v>
      </c>
      <c r="Y200" s="33">
        <f t="shared" ca="1" si="33"/>
        <v>2.4516129032258065</v>
      </c>
      <c r="Z200" s="33">
        <f ca="1">IF(V200="","",INDEX(OFFSET(Arb!$X$2,,,Arb!$AJ$5,),V200)/X200)</f>
        <v>2.838709677419355</v>
      </c>
      <c r="AA200" s="33">
        <f ca="1">IF(V200="","",(INDEX(OFFSET(Arb!$U$2,,,Arb!$AJ$5,),V200)+INDEX(OFFSET(Arb!$V$2,,,Arb!$AJ$5,),V200))/X200)</f>
        <v>3.1254480286738353</v>
      </c>
      <c r="AB200" s="33">
        <f t="shared" ca="1" si="34"/>
        <v>7.9621260721956419</v>
      </c>
      <c r="AC200" s="21">
        <f t="shared" ca="1" si="35"/>
        <v>54.633774453667222</v>
      </c>
      <c r="AD200" s="74">
        <f ca="1">IF(V200="","",DATE(INDEX(OFFSET(Arb!$C$2,,,Arb!$AJ$5,),V200),INDEX(OFFSET(Arb!$B$2,,,Arb!$AJ$5,),V200),INDEX(OFFSET(Arb!$A$2,,,Arb!$AJ$5,),V200))+ROW()*0.001)</f>
        <v>43934.2</v>
      </c>
    </row>
    <row r="201" spans="1:30" x14ac:dyDescent="0.25">
      <c r="A201" s="11">
        <v>200</v>
      </c>
      <c r="B201" s="11">
        <v>1632</v>
      </c>
      <c r="C201" s="433">
        <f ca="1">IF(B201="",16,INDEX(OFFSET(Arb!$I$2,,,Arb!$AJ$5,),B201))</f>
        <v>11</v>
      </c>
      <c r="D201" s="34">
        <f ca="1">IF(B201="",10,INDEX(OFFSET(Arb!$H$2,,,Arb!$AJ$5,),B201))</f>
        <v>4.37</v>
      </c>
      <c r="E201" s="33">
        <f t="shared" ca="1" si="27"/>
        <v>2.5171624713958809</v>
      </c>
      <c r="F201" s="33">
        <f ca="1">IF(B201="","",INDEX(OFFSET(Arb!$X$2,,,Arb!$AJ$5,),B201)/D201)</f>
        <v>3.8901601830663615</v>
      </c>
      <c r="G201" s="33">
        <f ca="1">IF(B201="","",(INDEX(OFFSET(Arb!$U$2,,,Arb!$AJ$5,),B201)+INDEX(OFFSET(Arb!$V$2,,,Arb!$AJ$5,),B201))/D201)</f>
        <v>4.805491990846682</v>
      </c>
      <c r="H201" s="33">
        <f t="shared" ca="1" si="28"/>
        <v>1.1153874604214042</v>
      </c>
      <c r="I201" s="21">
        <f t="shared" ca="1" si="29"/>
        <v>42.405891834331698</v>
      </c>
      <c r="J201" s="74">
        <f ca="1">IF(B201="","",DATE(INDEX(OFFSET(Arb!$C$2,,,Arb!$AJ$5,),B201),INDEX(OFFSET(Arb!$B$2,,,Arb!$AJ$5,),B201),INDEX(OFFSET(Arb!$A$2,,,Arb!$AJ$5,),B201))+ROW()*0.001)</f>
        <v>44093.201000000001</v>
      </c>
      <c r="K201" s="11">
        <v>200</v>
      </c>
      <c r="L201" s="11">
        <v>1920</v>
      </c>
      <c r="M201" s="433">
        <f ca="1">IF(L201="",64,INDEX(OFFSET(Arb!$I$2,,,Arb!$AJ$5,),L201))</f>
        <v>57</v>
      </c>
      <c r="N201" s="34">
        <f ca="1">IF(L201="",60,INDEX(OFFSET(Arb!$H$2,,,Arb!$AJ$5,),L201))</f>
        <v>24.43</v>
      </c>
      <c r="O201" s="33">
        <f t="shared" ca="1" si="30"/>
        <v>2.3331968890708148</v>
      </c>
      <c r="P201" s="33">
        <f ca="1">IF(L201="","",INDEX(OFFSET(Arb!$X$2,,,Arb!$AJ$5,),L201)/N201)</f>
        <v>3.2746623004502662</v>
      </c>
      <c r="Q201" s="33">
        <f ca="1">IF(L201="","",(INDEX(OFFSET(Arb!$U$2,,,Arb!$AJ$5,),L201)+INDEX(OFFSET(Arb!$V$2,,,Arb!$AJ$5,),L201))/N201)</f>
        <v>3.7249283667621778</v>
      </c>
      <c r="R201" s="33">
        <f t="shared" ca="1" si="31"/>
        <v>4.0141633199357782</v>
      </c>
      <c r="S201" s="21">
        <f t="shared" ca="1" si="32"/>
        <v>38.296897198108894</v>
      </c>
      <c r="T201" s="74">
        <f ca="1">IF(L201="","",DATE(INDEX(OFFSET(Arb!$C$2,,,Arb!$AJ$5,),L201),INDEX(OFFSET(Arb!$B$2,,,Arb!$AJ$5,),L201),INDEX(OFFSET(Arb!$A$2,,,Arb!$AJ$5,),L201))+ROW()*0.001)</f>
        <v>43769.201000000001</v>
      </c>
      <c r="U201" s="11">
        <v>200</v>
      </c>
      <c r="V201" s="11">
        <v>2694</v>
      </c>
      <c r="W201" s="433">
        <f ca="1">IF(V201="",164,INDEX(OFFSET(Arb!$I$2,,,Arb!$AJ$5,),V201))</f>
        <v>136</v>
      </c>
      <c r="X201" s="34">
        <f ca="1">IF(V201="",240,INDEX(OFFSET(Arb!$H$2,,,Arb!$AJ$5,),V201))</f>
        <v>69.83</v>
      </c>
      <c r="Y201" s="33">
        <f t="shared" ca="1" si="33"/>
        <v>1.9475869969926967</v>
      </c>
      <c r="Z201" s="33">
        <f ca="1">IF(V201="","",INDEX(OFFSET(Arb!$X$2,,,Arb!$AJ$5,),V201)/X201)</f>
        <v>2.5776886724903338</v>
      </c>
      <c r="AA201" s="33">
        <f ca="1">IF(V201="","",(INDEX(OFFSET(Arb!$U$2,,,Arb!$AJ$5,),V201)+INDEX(OFFSET(Arb!$V$2,,,Arb!$AJ$5,),V201))/X201)</f>
        <v>2.9070600028640987</v>
      </c>
      <c r="AB201" s="33">
        <f t="shared" ca="1" si="34"/>
        <v>10.030730521016487</v>
      </c>
      <c r="AC201" s="21">
        <f t="shared" ca="1" si="35"/>
        <v>43.366831467417207</v>
      </c>
      <c r="AD201" s="74">
        <f ca="1">IF(V201="","",DATE(INDEX(OFFSET(Arb!$C$2,,,Arb!$AJ$5,),V201),INDEX(OFFSET(Arb!$B$2,,,Arb!$AJ$5,),V201),INDEX(OFFSET(Arb!$A$2,,,Arb!$AJ$5,),V201))+ROW()*0.001)</f>
        <v>43839.201000000001</v>
      </c>
    </row>
  </sheetData>
  <phoneticPr fontId="1" type="noConversion"/>
  <conditionalFormatting sqref="J1:J1048576">
    <cfRule type="expression" dxfId="142" priority="7">
      <formula>YEAR(NOW())-YEAR(J1)=0</formula>
    </cfRule>
    <cfRule type="expression" dxfId="141" priority="16">
      <formula>YEAR(NOW())-YEAR(J1)=1</formula>
    </cfRule>
    <cfRule type="expression" dxfId="140" priority="17">
      <formula>YEAR(NOW())-YEAR(J1)=2</formula>
    </cfRule>
  </conditionalFormatting>
  <conditionalFormatting sqref="T1:T1048576">
    <cfRule type="expression" dxfId="139" priority="4">
      <formula>YEAR(NOW())-YEAR(T1)=0</formula>
    </cfRule>
    <cfRule type="expression" dxfId="138" priority="5">
      <formula>YEAR(NOW())-YEAR(T1)=1</formula>
    </cfRule>
    <cfRule type="expression" dxfId="137" priority="6">
      <formula>YEAR(NOW())-YEAR(T1)=2</formula>
    </cfRule>
  </conditionalFormatting>
  <conditionalFormatting sqref="AD1:AD1048576">
    <cfRule type="expression" dxfId="136" priority="1">
      <formula>YEAR(NOW())-YEAR(AD1)=0</formula>
    </cfRule>
    <cfRule type="expression" dxfId="135" priority="2">
      <formula>YEAR(NOW())-YEAR(AD1)=1</formula>
    </cfRule>
    <cfRule type="expression" dxfId="134" priority="3">
      <formula>YEAR(NOW())-YEAR(AD1)=2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00B0F0"/>
  </sheetPr>
  <dimension ref="A1:AD201"/>
  <sheetViews>
    <sheetView workbookViewId="0">
      <pane ySplit="1" topLeftCell="A2" activePane="bottomLeft" state="frozen"/>
      <selection pane="bottomLeft"/>
    </sheetView>
  </sheetViews>
  <sheetFormatPr defaultColWidth="9" defaultRowHeight="13.2" x14ac:dyDescent="0.25"/>
  <cols>
    <col min="1" max="1" width="5.33203125" style="11" bestFit="1" customWidth="1"/>
    <col min="2" max="2" width="6.44140625" style="11" hidden="1" customWidth="1"/>
    <col min="3" max="3" width="3.5546875" style="433" bestFit="1" customWidth="1"/>
    <col min="4" max="4" width="5.6640625" style="34" bestFit="1" customWidth="1"/>
    <col min="5" max="8" width="6.6640625" style="33" bestFit="1" customWidth="1"/>
    <col min="9" max="9" width="5.6640625" style="21" bestFit="1" customWidth="1"/>
    <col min="10" max="10" width="8.6640625" style="74" bestFit="1" customWidth="1"/>
    <col min="11" max="11" width="5.33203125" style="11" bestFit="1" customWidth="1"/>
    <col min="12" max="12" width="6.44140625" style="11" hidden="1" customWidth="1"/>
    <col min="13" max="13" width="3.5546875" style="433" bestFit="1" customWidth="1"/>
    <col min="14" max="14" width="6.6640625" style="34" bestFit="1" customWidth="1"/>
    <col min="15" max="18" width="6.6640625" style="33" bestFit="1" customWidth="1"/>
    <col min="19" max="19" width="5.6640625" style="21" bestFit="1" customWidth="1"/>
    <col min="20" max="20" width="8.6640625" style="74" bestFit="1" customWidth="1"/>
    <col min="21" max="21" width="5.33203125" style="11" bestFit="1" customWidth="1"/>
    <col min="22" max="22" width="6.44140625" style="11" hidden="1" customWidth="1"/>
    <col min="23" max="23" width="4.5546875" style="433" bestFit="1" customWidth="1"/>
    <col min="24" max="24" width="6.6640625" style="34" bestFit="1" customWidth="1"/>
    <col min="25" max="28" width="6.6640625" style="33" bestFit="1" customWidth="1"/>
    <col min="29" max="29" width="5.6640625" style="21" bestFit="1" customWidth="1"/>
    <col min="30" max="30" width="8.6640625" style="74" bestFit="1" customWidth="1"/>
    <col min="31" max="16384" width="9" style="19"/>
  </cols>
  <sheetData>
    <row r="1" spans="1:30" x14ac:dyDescent="0.25">
      <c r="A1" s="24" t="str">
        <f>Time!A1</f>
        <v>排位</v>
      </c>
      <c r="B1" s="24" t="s">
        <v>7</v>
      </c>
      <c r="C1" s="433" t="s">
        <v>288</v>
      </c>
      <c r="D1" s="38" t="s">
        <v>6</v>
      </c>
      <c r="E1" s="64" t="s">
        <v>2</v>
      </c>
      <c r="F1" s="64" t="s">
        <v>34</v>
      </c>
      <c r="G1" s="64" t="s">
        <v>33</v>
      </c>
      <c r="H1" s="64" t="s">
        <v>0</v>
      </c>
      <c r="I1" s="18" t="s">
        <v>289</v>
      </c>
      <c r="J1" s="73" t="str">
        <f>IF(Arb!$AJ$28=1,"Date","日期")</f>
        <v>日期</v>
      </c>
      <c r="K1" s="24" t="str">
        <f>A1</f>
        <v>排位</v>
      </c>
      <c r="L1" s="24" t="s">
        <v>7</v>
      </c>
      <c r="M1" s="433" t="s">
        <v>288</v>
      </c>
      <c r="N1" s="38" t="s">
        <v>6</v>
      </c>
      <c r="O1" s="64" t="s">
        <v>2</v>
      </c>
      <c r="P1" s="64" t="s">
        <v>34</v>
      </c>
      <c r="Q1" s="64" t="s">
        <v>33</v>
      </c>
      <c r="R1" s="64" t="s">
        <v>0</v>
      </c>
      <c r="S1" s="18" t="s">
        <v>289</v>
      </c>
      <c r="T1" s="73" t="str">
        <f>IF(Arb!$AJ$28=1,"Date","日期")</f>
        <v>日期</v>
      </c>
      <c r="U1" s="24" t="str">
        <f>A1</f>
        <v>排位</v>
      </c>
      <c r="V1" s="24" t="s">
        <v>7</v>
      </c>
      <c r="W1" s="433" t="s">
        <v>288</v>
      </c>
      <c r="X1" s="38" t="s">
        <v>6</v>
      </c>
      <c r="Y1" s="64" t="s">
        <v>2</v>
      </c>
      <c r="Z1" s="64" t="s">
        <v>34</v>
      </c>
      <c r="AA1" s="64" t="s">
        <v>33</v>
      </c>
      <c r="AB1" s="64" t="s">
        <v>0</v>
      </c>
      <c r="AC1" s="18" t="s">
        <v>289</v>
      </c>
      <c r="AD1" s="73" t="str">
        <f>IF(Arb!$AJ$28=1,"Date","日期")</f>
        <v>日期</v>
      </c>
    </row>
    <row r="2" spans="1:30" x14ac:dyDescent="0.25">
      <c r="A2" s="11">
        <v>1</v>
      </c>
      <c r="B2" s="11">
        <v>1626</v>
      </c>
      <c r="C2" s="433">
        <f ca="1">IF(B2="",16,INDEX(OFFSET(Arb!$I$2,,,Arb!$AJ$5,),B2))</f>
        <v>18</v>
      </c>
      <c r="D2" s="560">
        <f ca="1">IF(B2="",10,INDEX(OFFSET(Arb!$H$2,,,Arb!$AJ$5,),B2))</f>
        <v>3.69</v>
      </c>
      <c r="E2" s="721">
        <f ca="1">C2/D2</f>
        <v>4.8780487804878048</v>
      </c>
      <c r="F2" s="721">
        <f ca="1">IF(B2="","",INDEX(OFFSET(Arb!$X$2,,,Arb!$AJ$5,),B2)/D2)</f>
        <v>4.8780487804878048</v>
      </c>
      <c r="G2" s="565">
        <f ca="1">IF(B2="","",(INDEX(OFFSET(Arb!$U$2,,,Arb!$AJ$5,),B2)+INDEX(OFFSET(Arb!$V$2,,,Arb!$AJ$5,),B2))/D2)</f>
        <v>5.1490514905149052</v>
      </c>
      <c r="H2" s="33">
        <f ca="1">D2^1.7/C2</f>
        <v>0.51129590843483819</v>
      </c>
      <c r="I2" s="321">
        <f ca="1">47.299/H2</f>
        <v>92.508074521445138</v>
      </c>
      <c r="J2" s="74">
        <f ca="1">IF(B2="","",DATE(INDEX(OFFSET(Arb!$C$2,,,Arb!$AJ$5,),B2),INDEX(OFFSET(Arb!$B$2,,,Arb!$AJ$5,),B2),INDEX(OFFSET(Arb!$A$2,,,Arb!$AJ$5,),B2))+ROW()*0.001)</f>
        <v>44093.002</v>
      </c>
      <c r="K2" s="11">
        <v>1</v>
      </c>
      <c r="L2" s="11">
        <v>2247</v>
      </c>
      <c r="M2" s="433">
        <f ca="1">IF(L2="",64,INDEX(OFFSET(Arb!$I$2,,,Arb!$AJ$5,),L2))</f>
        <v>97</v>
      </c>
      <c r="N2" s="682">
        <f ca="1">IF(L2="",60,INDEX(OFFSET(Arb!$H$2,,,Arb!$AJ$5,),L2))</f>
        <v>27.97</v>
      </c>
      <c r="O2" s="724">
        <f ca="1">M2/N2</f>
        <v>3.4680014301036826</v>
      </c>
      <c r="P2" s="723">
        <f ca="1">IF(L2="","",INDEX(OFFSET(Arb!$X$2,,,Arb!$AJ$5,),L2)/N2)</f>
        <v>3.8255273507329282</v>
      </c>
      <c r="Q2" s="563">
        <f ca="1">IF(L2="","",(INDEX(OFFSET(Arb!$U$2,,,Arb!$AJ$5,),L2)+INDEX(OFFSET(Arb!$V$2,,,Arb!$AJ$5,),L2))/N2)</f>
        <v>4.1115480872363248</v>
      </c>
      <c r="R2" s="33">
        <f ca="1">N2^1.7/M2</f>
        <v>2.9689676023851397</v>
      </c>
      <c r="S2" s="774">
        <f ca="1">153.73/R2</f>
        <v>51.778941567600796</v>
      </c>
      <c r="T2" s="74">
        <f ca="1">IF(L2="","",DATE(INDEX(OFFSET(Arb!$C$2,,,Arb!$AJ$5,),L2),INDEX(OFFSET(Arb!$B$2,,,Arb!$AJ$5,),L2),INDEX(OFFSET(Arb!$A$2,,,Arb!$AJ$5,),L2))+ROW()*0.001)</f>
        <v>43892.002</v>
      </c>
      <c r="U2" s="11">
        <v>1</v>
      </c>
      <c r="V2" s="11">
        <v>3213</v>
      </c>
      <c r="W2" s="433">
        <f ca="1">IF(V2="",164,INDEX(OFFSET(Arb!$I$2,,,Arb!$AJ$5,),V2))</f>
        <v>236</v>
      </c>
      <c r="X2" s="682">
        <f ca="1">IF(V2="",240,INDEX(OFFSET(Arb!$H$2,,,Arb!$AJ$5,),V2))</f>
        <v>83.1</v>
      </c>
      <c r="Y2" s="725">
        <f ca="1">W2/X2</f>
        <v>2.8399518652226234</v>
      </c>
      <c r="Z2" s="561">
        <f ca="1">IF(V2="","",INDEX(OFFSET(Arb!$X$2,,,Arb!$AJ$5,),V2)/X2)</f>
        <v>3.1648616125150424</v>
      </c>
      <c r="AA2" s="562">
        <f ca="1">IF(V2="","",(INDEX(OFFSET(Arb!$U$2,,,Arb!$AJ$5,),V2)+INDEX(OFFSET(Arb!$V$2,,,Arb!$AJ$5,),V2))/X2)</f>
        <v>3.5379061371841156</v>
      </c>
      <c r="AB2" s="33">
        <f ca="1">X2^1.7/W2</f>
        <v>7.7697981672305669</v>
      </c>
      <c r="AC2" s="774">
        <f ca="1">435.001/AB2</f>
        <v>55.986138975222552</v>
      </c>
      <c r="AD2" s="74">
        <f ca="1">IF(V2="","",DATE(INDEX(OFFSET(Arb!$C$2,,,Arb!$AJ$5,),V2),INDEX(OFFSET(Arb!$B$2,,,Arb!$AJ$5,),V2),INDEX(OFFSET(Arb!$A$2,,,Arb!$AJ$5,),V2))+ROW()*0.001)</f>
        <v>44059.002</v>
      </c>
    </row>
    <row r="3" spans="1:30" x14ac:dyDescent="0.25">
      <c r="A3" s="11">
        <v>2</v>
      </c>
      <c r="B3" s="11">
        <v>1620</v>
      </c>
      <c r="C3" s="433">
        <f ca="1">IF(B3="",16,INDEX(OFFSET(Arb!$I$2,,,Arb!$AJ$5,),B3))</f>
        <v>29</v>
      </c>
      <c r="D3" s="688">
        <f ca="1">IF(B3="",10,INDEX(OFFSET(Arb!$H$2,,,Arb!$AJ$5,),B3))</f>
        <v>6.04</v>
      </c>
      <c r="E3" s="721">
        <f t="shared" ref="E3:E66" ca="1" si="0">C3/D3</f>
        <v>4.8013245033112586</v>
      </c>
      <c r="F3" s="565">
        <f ca="1">IF(B3="","",INDEX(OFFSET(Arb!$X$2,,,Arb!$AJ$5,),B3)/D3)</f>
        <v>5.1324503311258276</v>
      </c>
      <c r="G3" s="770">
        <f ca="1">IF(B3="","",(INDEX(OFFSET(Arb!$U$2,,,Arb!$AJ$5,),B3)+INDEX(OFFSET(Arb!$V$2,,,Arb!$AJ$5,),B3))/D3)</f>
        <v>5.9602649006622519</v>
      </c>
      <c r="H3" s="33">
        <f t="shared" ref="H3:H66" ca="1" si="1">D3^1.7/C3</f>
        <v>0.73344034813385295</v>
      </c>
      <c r="I3" s="775">
        <f t="shared" ref="I3:I66" ca="1" si="2">47.299/H3</f>
        <v>64.489225497815028</v>
      </c>
      <c r="J3" s="74">
        <f ca="1">IF(B3="","",DATE(INDEX(OFFSET(Arb!$C$2,,,Arb!$AJ$5,),B3),INDEX(OFFSET(Arb!$B$2,,,Arb!$AJ$5,),B3),INDEX(OFFSET(Arb!$A$2,,,Arb!$AJ$5,),B3))+ROW()*0.001)</f>
        <v>44093.002999999997</v>
      </c>
      <c r="K3" s="11">
        <v>2</v>
      </c>
      <c r="L3" s="11">
        <v>2039</v>
      </c>
      <c r="M3" s="433">
        <f ca="1">IF(L3="",64,INDEX(OFFSET(Arb!$I$2,,,Arb!$AJ$5,),L3))</f>
        <v>84</v>
      </c>
      <c r="N3" s="680">
        <f ca="1">IF(L3="",60,INDEX(OFFSET(Arb!$H$2,,,Arb!$AJ$5,),L3))</f>
        <v>25.83</v>
      </c>
      <c r="O3" s="724">
        <f t="shared" ref="O3:O66" ca="1" si="3">M3/N3</f>
        <v>3.2520325203252036</v>
      </c>
      <c r="P3" s="724">
        <f ca="1">IF(L3="","",INDEX(OFFSET(Arb!$X$2,,,Arb!$AJ$5,),L3)/N3)</f>
        <v>3.4068912117692607</v>
      </c>
      <c r="Q3" s="562">
        <f ca="1">IF(L3="","",(INDEX(OFFSET(Arb!$U$2,,,Arb!$AJ$5,),L3)+INDEX(OFFSET(Arb!$V$2,,,Arb!$AJ$5,),L3))/N3)</f>
        <v>3.6004645760743323</v>
      </c>
      <c r="R3" s="33">
        <f t="shared" ref="R3:R66" ca="1" si="4">N3^1.7/M3</f>
        <v>2.994554382163396</v>
      </c>
      <c r="S3" s="774">
        <f t="shared" ref="S3:S66" ca="1" si="5">153.73/R3</f>
        <v>51.336519689096036</v>
      </c>
      <c r="T3" s="74">
        <f ca="1">IF(L3="","",DATE(INDEX(OFFSET(Arb!$C$2,,,Arb!$AJ$5,),L3),INDEX(OFFSET(Arb!$B$2,,,Arb!$AJ$5,),L3),INDEX(OFFSET(Arb!$A$2,,,Arb!$AJ$5,),L3))+ROW()*0.001)</f>
        <v>43797.002999999997</v>
      </c>
      <c r="U3" s="11">
        <v>2</v>
      </c>
      <c r="V3" s="11">
        <v>3333</v>
      </c>
      <c r="W3" s="433">
        <f ca="1">IF(V3="",164,INDEX(OFFSET(Arb!$I$2,,,Arb!$AJ$5,),V3))</f>
        <v>180</v>
      </c>
      <c r="X3" s="693">
        <f ca="1">IF(V3="",240,INDEX(OFFSET(Arb!$H$2,,,Arb!$AJ$5,),V3))</f>
        <v>63.73</v>
      </c>
      <c r="Y3" s="725">
        <f t="shared" ref="Y3:Y66" ca="1" si="6">W3/X3</f>
        <v>2.8244155029028715</v>
      </c>
      <c r="Z3" s="724">
        <f ca="1">IF(V3="","",INDEX(OFFSET(Arb!$X$2,,,Arb!$AJ$5,),V3)/X3)</f>
        <v>3.3108426172916996</v>
      </c>
      <c r="AA3" s="562">
        <f ca="1">IF(V3="","",(INDEX(OFFSET(Arb!$U$2,,,Arb!$AJ$5,),V3)+INDEX(OFFSET(Arb!$V$2,,,Arb!$AJ$5,),V3))/X3)</f>
        <v>3.5305193786285893</v>
      </c>
      <c r="AB3" s="33">
        <f t="shared" ref="AB3:AB66" ca="1" si="7">X3^1.7/W3</f>
        <v>6.4880196466748812</v>
      </c>
      <c r="AC3" s="775">
        <f t="shared" ref="AC3:AC66" ca="1" si="8">435.001/AB3</f>
        <v>67.046806836187457</v>
      </c>
      <c r="AD3" s="74">
        <f ca="1">IF(V3="","",DATE(INDEX(OFFSET(Arb!$C$2,,,Arb!$AJ$5,),V3),INDEX(OFFSET(Arb!$B$2,,,Arb!$AJ$5,),V3),INDEX(OFFSET(Arb!$A$2,,,Arb!$AJ$5,),V3))+ROW()*0.001)</f>
        <v>44096.002999999997</v>
      </c>
    </row>
    <row r="4" spans="1:30" x14ac:dyDescent="0.25">
      <c r="A4" s="11">
        <v>3</v>
      </c>
      <c r="B4" s="11">
        <v>1595</v>
      </c>
      <c r="C4" s="433">
        <f ca="1">IF(B4="",16,INDEX(OFFSET(Arb!$I$2,,,Arb!$AJ$5,),B4))</f>
        <v>24</v>
      </c>
      <c r="D4" s="684">
        <f ca="1">IF(B4="",10,INDEX(OFFSET(Arb!$H$2,,,Arb!$AJ$5,),B4))</f>
        <v>5.28</v>
      </c>
      <c r="E4" s="564">
        <f t="shared" ca="1" si="0"/>
        <v>4.545454545454545</v>
      </c>
      <c r="F4" s="564">
        <f ca="1">IF(B4="","",INDEX(OFFSET(Arb!$X$2,,,Arb!$AJ$5,),B4)/D4)</f>
        <v>4.7348484848484844</v>
      </c>
      <c r="G4" s="565">
        <f ca="1">IF(B4="","",(INDEX(OFFSET(Arb!$U$2,,,Arb!$AJ$5,),B4)+INDEX(OFFSET(Arb!$V$2,,,Arb!$AJ$5,),B4))/D4)</f>
        <v>5.1136363636363633</v>
      </c>
      <c r="H4" s="33">
        <f t="shared" ca="1" si="1"/>
        <v>0.70512550959045417</v>
      </c>
      <c r="I4" s="775">
        <f t="shared" ca="1" si="2"/>
        <v>67.078838244657831</v>
      </c>
      <c r="J4" s="74">
        <f ca="1">IF(B4="","",DATE(INDEX(OFFSET(Arb!$C$2,,,Arb!$AJ$5,),B4),INDEX(OFFSET(Arb!$B$2,,,Arb!$AJ$5,),B4),INDEX(OFFSET(Arb!$A$2,,,Arb!$AJ$5,),B4))+ROW()*0.001)</f>
        <v>44054.004000000001</v>
      </c>
      <c r="K4" s="11">
        <v>3</v>
      </c>
      <c r="L4" s="11">
        <v>2370</v>
      </c>
      <c r="M4" s="433">
        <f ca="1">IF(L4="",64,INDEX(OFFSET(Arb!$I$2,,,Arb!$AJ$5,),L4))</f>
        <v>75</v>
      </c>
      <c r="N4" s="679">
        <f ca="1">IF(L4="",60,INDEX(OFFSET(Arb!$H$2,,,Arb!$AJ$5,),L4))</f>
        <v>23.35</v>
      </c>
      <c r="O4" s="561">
        <f t="shared" ca="1" si="3"/>
        <v>3.2119914346895073</v>
      </c>
      <c r="P4" s="561">
        <f ca="1">IF(L4="","",INDEX(OFFSET(Arb!$X$2,,,Arb!$AJ$5,),L4)/N4)</f>
        <v>3.1263383297644536</v>
      </c>
      <c r="Q4" s="562">
        <f ca="1">IF(L4="","",(INDEX(OFFSET(Arb!$U$2,,,Arb!$AJ$5,),L4)+INDEX(OFFSET(Arb!$V$2,,,Arb!$AJ$5,),L4))/N4)</f>
        <v>3.6402569593147751</v>
      </c>
      <c r="R4" s="33">
        <f t="shared" ca="1" si="4"/>
        <v>2.8250519659592186</v>
      </c>
      <c r="S4" s="774">
        <f t="shared" ca="1" si="5"/>
        <v>54.416698118260094</v>
      </c>
      <c r="T4" s="74">
        <f ca="1">IF(L4="","",DATE(INDEX(OFFSET(Arb!$C$2,,,Arb!$AJ$5,),L4),INDEX(OFFSET(Arb!$B$2,,,Arb!$AJ$5,),L4),INDEX(OFFSET(Arb!$A$2,,,Arb!$AJ$5,),L4))+ROW()*0.001)</f>
        <v>44114.004000000001</v>
      </c>
      <c r="U4" s="11">
        <v>3</v>
      </c>
      <c r="V4" s="11">
        <v>3038</v>
      </c>
      <c r="W4" s="433">
        <f ca="1">IF(V4="",164,INDEX(OFFSET(Arb!$I$2,,,Arb!$AJ$5,),V4))</f>
        <v>191</v>
      </c>
      <c r="X4" s="692">
        <f ca="1">IF(V4="",240,INDEX(OFFSET(Arb!$H$2,,,Arb!$AJ$5,),V4))</f>
        <v>67.900000000000006</v>
      </c>
      <c r="Y4" s="725">
        <f t="shared" ca="1" si="6"/>
        <v>2.8129602356406478</v>
      </c>
      <c r="Z4" s="561">
        <f ca="1">IF(V4="","",INDEX(OFFSET(Arb!$X$2,,,Arb!$AJ$5,),V4)/X4)</f>
        <v>3.1369661266568483</v>
      </c>
      <c r="AA4" s="724">
        <f ca="1">IF(V4="","",(INDEX(OFFSET(Arb!$U$2,,,Arb!$AJ$5,),V4)+INDEX(OFFSET(Arb!$V$2,,,Arb!$AJ$5,),V4))/X4)</f>
        <v>3.3873343151693662</v>
      </c>
      <c r="AB4" s="33">
        <f t="shared" ca="1" si="7"/>
        <v>6.8099707889207757</v>
      </c>
      <c r="AC4" s="775">
        <f t="shared" ca="1" si="8"/>
        <v>63.87707282206091</v>
      </c>
      <c r="AD4" s="74">
        <f ca="1">IF(V4="","",DATE(INDEX(OFFSET(Arb!$C$2,,,Arb!$AJ$5,),V4),INDEX(OFFSET(Arb!$B$2,,,Arb!$AJ$5,),V4),INDEX(OFFSET(Arb!$A$2,,,Arb!$AJ$5,),V4))+ROW()*0.001)</f>
        <v>43979.004000000001</v>
      </c>
    </row>
    <row r="5" spans="1:30" x14ac:dyDescent="0.25">
      <c r="A5" s="11">
        <v>4</v>
      </c>
      <c r="B5" s="11">
        <v>1274</v>
      </c>
      <c r="C5" s="433">
        <f ca="1">IF(B5="",16,INDEX(OFFSET(Arb!$I$2,,,Arb!$AJ$5,),B5))</f>
        <v>27</v>
      </c>
      <c r="D5" s="688">
        <f ca="1">IF(B5="",10,INDEX(OFFSET(Arb!$H$2,,,Arb!$AJ$5,),B5))</f>
        <v>6.04</v>
      </c>
      <c r="E5" s="722">
        <f t="shared" ca="1" si="0"/>
        <v>4.4701986754966887</v>
      </c>
      <c r="F5" s="722">
        <f ca="1">IF(B5="","",INDEX(OFFSET(Arb!$X$2,,,Arb!$AJ$5,),B5)/D5)</f>
        <v>4.4701986754966887</v>
      </c>
      <c r="G5" s="721">
        <f ca="1">IF(B5="","",(INDEX(OFFSET(Arb!$U$2,,,Arb!$AJ$5,),B5)+INDEX(OFFSET(Arb!$V$2,,,Arb!$AJ$5,),B5))/D5)</f>
        <v>4.9668874172185431</v>
      </c>
      <c r="H5" s="33">
        <f t="shared" ca="1" si="1"/>
        <v>0.78776926281043469</v>
      </c>
      <c r="I5" s="776">
        <f t="shared" ca="1" si="2"/>
        <v>60.041692704862264</v>
      </c>
      <c r="J5" s="74">
        <f ca="1">IF(B5="","",DATE(INDEX(OFFSET(Arb!$C$2,,,Arb!$AJ$5,),B5),INDEX(OFFSET(Arb!$B$2,,,Arb!$AJ$5,),B5),INDEX(OFFSET(Arb!$A$2,,,Arb!$AJ$5,),B5))+ROW()*0.001)</f>
        <v>43906.004999999997</v>
      </c>
      <c r="K5" s="11">
        <v>4</v>
      </c>
      <c r="L5" s="11">
        <v>2375</v>
      </c>
      <c r="M5" s="433">
        <f ca="1">IF(L5="",64,INDEX(OFFSET(Arb!$I$2,,,Arb!$AJ$5,),L5))</f>
        <v>78</v>
      </c>
      <c r="N5" s="680">
        <f ca="1">IF(L5="",60,INDEX(OFFSET(Arb!$H$2,,,Arb!$AJ$5,),L5))</f>
        <v>24.71</v>
      </c>
      <c r="O5" s="561">
        <f t="shared" ca="1" si="3"/>
        <v>3.1566167543504653</v>
      </c>
      <c r="P5" s="724">
        <f ca="1">IF(L5="","",INDEX(OFFSET(Arb!$X$2,,,Arb!$AJ$5,),L5)/N5)</f>
        <v>3.4399028733306354</v>
      </c>
      <c r="Q5" s="563">
        <f ca="1">IF(L5="","",(INDEX(OFFSET(Arb!$U$2,,,Arb!$AJ$5,),L5)+INDEX(OFFSET(Arb!$V$2,,,Arb!$AJ$5,),L5))/N5)</f>
        <v>4.0064751112909756</v>
      </c>
      <c r="R5" s="33">
        <f t="shared" ca="1" si="4"/>
        <v>2.9908116556717697</v>
      </c>
      <c r="S5" s="774">
        <f t="shared" ca="1" si="5"/>
        <v>51.400762635275512</v>
      </c>
      <c r="T5" s="74">
        <f ca="1">IF(L5="","",DATE(INDEX(OFFSET(Arb!$C$2,,,Arb!$AJ$5,),L5),INDEX(OFFSET(Arb!$B$2,,,Arb!$AJ$5,),L5),INDEX(OFFSET(Arb!$A$2,,,Arb!$AJ$5,),L5))+ROW()*0.001)</f>
        <v>44114.004999999997</v>
      </c>
      <c r="U5" s="11">
        <v>4</v>
      </c>
      <c r="V5" s="11">
        <v>3238</v>
      </c>
      <c r="W5" s="433">
        <f ca="1">IF(V5="",164,INDEX(OFFSET(Arb!$I$2,,,Arb!$AJ$5,),V5))</f>
        <v>197</v>
      </c>
      <c r="X5" s="679">
        <f ca="1">IF(V5="",240,INDEX(OFFSET(Arb!$H$2,,,Arb!$AJ$5,),V5))</f>
        <v>70.430000000000007</v>
      </c>
      <c r="Y5" s="725">
        <f t="shared" ca="1" si="6"/>
        <v>2.7971035070282548</v>
      </c>
      <c r="Z5" s="561">
        <f ca="1">IF(V5="","",INDEX(OFFSET(Arb!$X$2,,,Arb!$AJ$5,),V5)/X5)</f>
        <v>3.2372568507738175</v>
      </c>
      <c r="AA5" s="562">
        <f ca="1">IF(V5="","",(INDEX(OFFSET(Arb!$U$2,,,Arb!$AJ$5,),V5)+INDEX(OFFSET(Arb!$V$2,,,Arb!$AJ$5,),V5))/X5)</f>
        <v>3.6064177197217093</v>
      </c>
      <c r="AB5" s="33">
        <f t="shared" ca="1" si="7"/>
        <v>7.0262216197358605</v>
      </c>
      <c r="AC5" s="776">
        <f t="shared" ca="1" si="8"/>
        <v>61.911084440907963</v>
      </c>
      <c r="AD5" s="74">
        <f ca="1">IF(V5="","",DATE(INDEX(OFFSET(Arb!$C$2,,,Arb!$AJ$5,),V5),INDEX(OFFSET(Arb!$B$2,,,Arb!$AJ$5,),V5),INDEX(OFFSET(Arb!$A$2,,,Arb!$AJ$5,),V5))+ROW()*0.001)</f>
        <v>44064.004999999997</v>
      </c>
    </row>
    <row r="6" spans="1:30" x14ac:dyDescent="0.25">
      <c r="A6" s="11">
        <v>5</v>
      </c>
      <c r="B6" s="11">
        <v>1238</v>
      </c>
      <c r="C6" s="433">
        <f ca="1">IF(B6="",16,INDEX(OFFSET(Arb!$I$2,,,Arb!$AJ$5,),B6))</f>
        <v>20</v>
      </c>
      <c r="D6" s="683">
        <f ca="1">IF(B6="",10,INDEX(OFFSET(Arb!$H$2,,,Arb!$AJ$5,),B6))</f>
        <v>4.4800000000000004</v>
      </c>
      <c r="E6" s="722">
        <f t="shared" ca="1" si="0"/>
        <v>4.4642857142857135</v>
      </c>
      <c r="F6" s="722">
        <f ca="1">IF(B6="","",INDEX(OFFSET(Arb!$X$2,,,Arb!$AJ$5,),B6)/D6)</f>
        <v>4.4642857142857135</v>
      </c>
      <c r="G6" s="721">
        <f ca="1">IF(B6="","",(INDEX(OFFSET(Arb!$U$2,,,Arb!$AJ$5,),B6)+INDEX(OFFSET(Arb!$V$2,,,Arb!$AJ$5,),B6))/D6)</f>
        <v>4.9107142857142856</v>
      </c>
      <c r="H6" s="33">
        <f t="shared" ca="1" si="1"/>
        <v>0.63994496748630658</v>
      </c>
      <c r="I6" s="773">
        <f t="shared" ca="1" si="2"/>
        <v>73.911042985133079</v>
      </c>
      <c r="J6" s="74">
        <f ca="1">IF(B6="","",DATE(INDEX(OFFSET(Arb!$C$2,,,Arb!$AJ$5,),B6),INDEX(OFFSET(Arb!$B$2,,,Arb!$AJ$5,),B6),INDEX(OFFSET(Arb!$A$2,,,Arb!$AJ$5,),B6))+ROW()*0.001)</f>
        <v>43901.006000000001</v>
      </c>
      <c r="K6" s="11">
        <v>5</v>
      </c>
      <c r="L6" s="11">
        <v>2123</v>
      </c>
      <c r="M6" s="433">
        <f ca="1">IF(L6="",64,INDEX(OFFSET(Arb!$I$2,,,Arb!$AJ$5,),L6))</f>
        <v>74</v>
      </c>
      <c r="N6" s="679">
        <f ca="1">IF(L6="",60,INDEX(OFFSET(Arb!$H$2,,,Arb!$AJ$5,),L6))</f>
        <v>23.7</v>
      </c>
      <c r="O6" s="561">
        <f t="shared" ca="1" si="3"/>
        <v>3.1223628691983123</v>
      </c>
      <c r="P6" s="562">
        <f ca="1">IF(L6="","",INDEX(OFFSET(Arb!$X$2,,,Arb!$AJ$5,),L6)/N6)</f>
        <v>3.5864978902953588</v>
      </c>
      <c r="Q6" s="723">
        <f ca="1">IF(L6="","",(INDEX(OFFSET(Arb!$U$2,,,Arb!$AJ$5,),L6)+INDEX(OFFSET(Arb!$V$2,,,Arb!$AJ$5,),L6))/N6)</f>
        <v>3.9240506329113924</v>
      </c>
      <c r="R6" s="33">
        <f t="shared" ca="1" si="4"/>
        <v>2.9365707489343689</v>
      </c>
      <c r="S6" s="774">
        <f t="shared" ca="1" si="5"/>
        <v>52.350177517700182</v>
      </c>
      <c r="T6" s="74">
        <f ca="1">IF(L6="","",DATE(INDEX(OFFSET(Arb!$C$2,,,Arb!$AJ$5,),L6),INDEX(OFFSET(Arb!$B$2,,,Arb!$AJ$5,),L6),INDEX(OFFSET(Arb!$A$2,,,Arb!$AJ$5,),L6))+ROW()*0.001)</f>
        <v>43811.006000000001</v>
      </c>
      <c r="U6" s="11">
        <v>5</v>
      </c>
      <c r="V6" s="11">
        <v>2873</v>
      </c>
      <c r="W6" s="433">
        <f ca="1">IF(V6="",164,INDEX(OFFSET(Arb!$I$2,,,Arb!$AJ$5,),V6))</f>
        <v>208</v>
      </c>
      <c r="X6" s="680">
        <f ca="1">IF(V6="",240,INDEX(OFFSET(Arb!$H$2,,,Arb!$AJ$5,),V6))</f>
        <v>74.819999999999993</v>
      </c>
      <c r="Y6" s="725">
        <f t="shared" ca="1" si="6"/>
        <v>2.7800053461641276</v>
      </c>
      <c r="Z6" s="561">
        <f ca="1">IF(V6="","",INDEX(OFFSET(Arb!$X$2,,,Arb!$AJ$5,),V6)/X6)</f>
        <v>3.2076984763432241</v>
      </c>
      <c r="AA6" s="724">
        <f ca="1">IF(V6="","",(INDEX(OFFSET(Arb!$U$2,,,Arb!$AJ$5,),V6)+INDEX(OFFSET(Arb!$V$2,,,Arb!$AJ$5,),V6))/X6)</f>
        <v>3.4883720930232562</v>
      </c>
      <c r="AB6" s="33">
        <f t="shared" ca="1" si="7"/>
        <v>7.3750804413100814</v>
      </c>
      <c r="AC6" s="776">
        <f t="shared" ca="1" si="8"/>
        <v>58.982543100604886</v>
      </c>
      <c r="AD6" s="74">
        <f ca="1">IF(V6="","",DATE(INDEX(OFFSET(Arb!$C$2,,,Arb!$AJ$5,),V6),INDEX(OFFSET(Arb!$B$2,,,Arb!$AJ$5,),V6),INDEX(OFFSET(Arb!$A$2,,,Arb!$AJ$5,),V6))+ROW()*0.001)</f>
        <v>43911.006000000001</v>
      </c>
    </row>
    <row r="7" spans="1:30" x14ac:dyDescent="0.25">
      <c r="A7" s="11">
        <v>6</v>
      </c>
      <c r="B7" s="11">
        <v>1712</v>
      </c>
      <c r="C7" s="433">
        <f ca="1">IF(B7="",16,INDEX(OFFSET(Arb!$I$2,,,Arb!$AJ$5,),B7))</f>
        <v>20</v>
      </c>
      <c r="D7" s="274">
        <f ca="1">IF(B7="",10,INDEX(OFFSET(Arb!$H$2,,,Arb!$AJ$5,),B7))</f>
        <v>4.51</v>
      </c>
      <c r="E7" s="722">
        <f t="shared" ca="1" si="0"/>
        <v>4.434589800443459</v>
      </c>
      <c r="F7" s="723">
        <f ca="1">IF(B7="","",INDEX(OFFSET(Arb!$X$2,,,Arb!$AJ$5,),B7)/D7)</f>
        <v>3.9911308203991132</v>
      </c>
      <c r="G7" s="564">
        <f ca="1">IF(B7="","",(INDEX(OFFSET(Arb!$U$2,,,Arb!$AJ$5,),B7)+INDEX(OFFSET(Arb!$V$2,,,Arb!$AJ$5,),B7))/D7)</f>
        <v>4.6563192904656319</v>
      </c>
      <c r="H7" s="33">
        <f t="shared" ca="1" si="1"/>
        <v>0.64724711830138693</v>
      </c>
      <c r="I7" s="773">
        <f t="shared" ca="1" si="2"/>
        <v>73.077189009554601</v>
      </c>
      <c r="J7" s="74">
        <f ca="1">IF(B7="","",DATE(INDEX(OFFSET(Arb!$C$2,,,Arb!$AJ$5,),B7),INDEX(OFFSET(Arb!$B$2,,,Arb!$AJ$5,),B7),INDEX(OFFSET(Arb!$A$2,,,Arb!$AJ$5,),B7))+ROW()*0.001)</f>
        <v>44107.006999999998</v>
      </c>
      <c r="K7" s="11">
        <v>6</v>
      </c>
      <c r="L7" s="11">
        <v>2139</v>
      </c>
      <c r="M7" s="433">
        <f ca="1">IF(L7="",64,INDEX(OFFSET(Arb!$I$2,,,Arb!$AJ$5,),L7))</f>
        <v>71</v>
      </c>
      <c r="N7" s="679">
        <f ca="1">IF(L7="",60,INDEX(OFFSET(Arb!$H$2,,,Arb!$AJ$5,),L7))</f>
        <v>22.85</v>
      </c>
      <c r="O7" s="561">
        <f t="shared" ca="1" si="3"/>
        <v>3.1072210065645511</v>
      </c>
      <c r="P7" s="723">
        <f ca="1">IF(L7="","",INDEX(OFFSET(Arb!$X$2,,,Arb!$AJ$5,),L7)/N7)</f>
        <v>3.7636761487964985</v>
      </c>
      <c r="Q7" s="722">
        <f ca="1">IF(L7="","",(INDEX(OFFSET(Arb!$U$2,,,Arb!$AJ$5,),L7)+INDEX(OFFSET(Arb!$V$2,,,Arb!$AJ$5,),L7))/N7)</f>
        <v>4.288840262582057</v>
      </c>
      <c r="R7" s="33">
        <f t="shared" ca="1" si="4"/>
        <v>2.8763928383218662</v>
      </c>
      <c r="S7" s="774">
        <f t="shared" ca="1" si="5"/>
        <v>53.445411889458235</v>
      </c>
      <c r="T7" s="74">
        <f ca="1">IF(L7="","",DATE(INDEX(OFFSET(Arb!$C$2,,,Arb!$AJ$5,),L7),INDEX(OFFSET(Arb!$B$2,,,Arb!$AJ$5,),L7),INDEX(OFFSET(Arb!$A$2,,,Arb!$AJ$5,),L7))+ROW()*0.001)</f>
        <v>43817.006999999998</v>
      </c>
      <c r="U7" s="11">
        <v>6</v>
      </c>
      <c r="V7" s="11">
        <v>2870</v>
      </c>
      <c r="W7" s="433">
        <f ca="1">IF(V7="",164,INDEX(OFFSET(Arb!$I$2,,,Arb!$AJ$5,),V7))</f>
        <v>214</v>
      </c>
      <c r="X7" s="680">
        <f ca="1">IF(V7="",240,INDEX(OFFSET(Arb!$H$2,,,Arb!$AJ$5,),V7))</f>
        <v>77.099999999999994</v>
      </c>
      <c r="Y7" s="725">
        <f t="shared" ca="1" si="6"/>
        <v>2.7756160830090795</v>
      </c>
      <c r="Z7" s="561">
        <f ca="1">IF(V7="","",INDEX(OFFSET(Arb!$X$2,,,Arb!$AJ$5,),V7)/X7)</f>
        <v>3.1776913099870301</v>
      </c>
      <c r="AA7" s="724">
        <f ca="1">IF(V7="","",(INDEX(OFFSET(Arb!$U$2,,,Arb!$AJ$5,),V7)+INDEX(OFFSET(Arb!$V$2,,,Arb!$AJ$5,),V7))/X7)</f>
        <v>3.476005188067445</v>
      </c>
      <c r="AB7" s="33">
        <f t="shared" ca="1" si="7"/>
        <v>7.543600303930571</v>
      </c>
      <c r="AC7" s="776">
        <f t="shared" ca="1" si="8"/>
        <v>57.664905678173852</v>
      </c>
      <c r="AD7" s="74">
        <f ca="1">IF(V7="","",DATE(INDEX(OFFSET(Arb!$C$2,,,Arb!$AJ$5,),V7),INDEX(OFFSET(Arb!$B$2,,,Arb!$AJ$5,),V7),INDEX(OFFSET(Arb!$A$2,,,Arb!$AJ$5,),V7))+ROW()*0.001)</f>
        <v>43911.006999999998</v>
      </c>
    </row>
    <row r="8" spans="1:30" x14ac:dyDescent="0.25">
      <c r="A8" s="11">
        <v>7</v>
      </c>
      <c r="B8" s="11">
        <v>1049</v>
      </c>
      <c r="C8" s="433">
        <f ca="1">IF(B8="",16,INDEX(OFFSET(Arb!$I$2,,,Arb!$AJ$5,),B8))</f>
        <v>17</v>
      </c>
      <c r="D8" s="560">
        <f ca="1">IF(B8="",10,INDEX(OFFSET(Arb!$H$2,,,Arb!$AJ$5,),B8))</f>
        <v>3.84</v>
      </c>
      <c r="E8" s="722">
        <f t="shared" ca="1" si="0"/>
        <v>4.4270833333333339</v>
      </c>
      <c r="F8" s="722">
        <f ca="1">IF(B8="","",INDEX(OFFSET(Arb!$X$2,,,Arb!$AJ$5,),B8)/D8)</f>
        <v>4.4270833333333339</v>
      </c>
      <c r="G8" s="564">
        <f ca="1">IF(B8="","",(INDEX(OFFSET(Arb!$U$2,,,Arb!$AJ$5,),B8)+INDEX(OFFSET(Arb!$V$2,,,Arb!$AJ$5,),B8))/D8)</f>
        <v>4.6875</v>
      </c>
      <c r="H8" s="33">
        <f t="shared" ca="1" si="1"/>
        <v>0.57931418146233005</v>
      </c>
      <c r="I8" s="761">
        <f t="shared" ca="1" si="2"/>
        <v>81.646542607684495</v>
      </c>
      <c r="J8" s="74">
        <f ca="1">IF(B8="","",DATE(INDEX(OFFSET(Arb!$C$2,,,Arb!$AJ$5,),B8),INDEX(OFFSET(Arb!$B$2,,,Arb!$AJ$5,),B8),INDEX(OFFSET(Arb!$A$2,,,Arb!$AJ$5,),B8))+ROW()*0.001)</f>
        <v>43841.008000000002</v>
      </c>
      <c r="K8" s="11">
        <v>7</v>
      </c>
      <c r="L8" s="11">
        <v>2265</v>
      </c>
      <c r="M8" s="433">
        <f ca="1">IF(L8="",64,INDEX(OFFSET(Arb!$I$2,,,Arb!$AJ$5,),L8))</f>
        <v>93</v>
      </c>
      <c r="N8" s="692">
        <f ca="1">IF(L8="",60,INDEX(OFFSET(Arb!$H$2,,,Arb!$AJ$5,),L8))</f>
        <v>30.15</v>
      </c>
      <c r="O8" s="561">
        <f t="shared" ca="1" si="3"/>
        <v>3.0845771144278609</v>
      </c>
      <c r="P8" s="562">
        <f ca="1">IF(L8="","",INDEX(OFFSET(Arb!$X$2,,,Arb!$AJ$5,),L8)/N8)</f>
        <v>3.5820895522388061</v>
      </c>
      <c r="Q8" s="723">
        <f ca="1">IF(L8="","",(INDEX(OFFSET(Arb!$U$2,,,Arb!$AJ$5,),L8)+INDEX(OFFSET(Arb!$V$2,,,Arb!$AJ$5,),L8))/N8)</f>
        <v>3.9469320066334994</v>
      </c>
      <c r="R8" s="33">
        <f t="shared" ca="1" si="4"/>
        <v>3.5180782057482438</v>
      </c>
      <c r="S8" s="777">
        <f t="shared" ca="1" si="5"/>
        <v>43.697152538797489</v>
      </c>
      <c r="T8" s="74">
        <f ca="1">IF(L8="","",DATE(INDEX(OFFSET(Arb!$C$2,,,Arb!$AJ$5,),L8),INDEX(OFFSET(Arb!$B$2,,,Arb!$AJ$5,),L8),INDEX(OFFSET(Arb!$A$2,,,Arb!$AJ$5,),L8))+ROW()*0.001)</f>
        <v>43906.008000000002</v>
      </c>
      <c r="U8" s="11">
        <v>7</v>
      </c>
      <c r="V8" s="11">
        <v>3237</v>
      </c>
      <c r="W8" s="433">
        <f ca="1">IF(V8="",164,INDEX(OFFSET(Arb!$I$2,,,Arb!$AJ$5,),V8))</f>
        <v>201</v>
      </c>
      <c r="X8" s="679">
        <f ca="1">IF(V8="",240,INDEX(OFFSET(Arb!$H$2,,,Arb!$AJ$5,),V8))</f>
        <v>72.66</v>
      </c>
      <c r="Y8" s="725">
        <f t="shared" ca="1" si="6"/>
        <v>2.7663088356729975</v>
      </c>
      <c r="Z8" s="561">
        <f ca="1">IF(V8="","",INDEX(OFFSET(Arb!$X$2,,,Arb!$AJ$5,),V8)/X8)</f>
        <v>3.2342416735480319</v>
      </c>
      <c r="AA8" s="724">
        <f ca="1">IF(V8="","",(INDEX(OFFSET(Arb!$U$2,,,Arb!$AJ$5,),V8)+INDEX(OFFSET(Arb!$V$2,,,Arb!$AJ$5,),V8))/X8)</f>
        <v>3.454445361959813</v>
      </c>
      <c r="AB8" s="33">
        <f t="shared" ca="1" si="7"/>
        <v>7.2611617557595283</v>
      </c>
      <c r="AC8" s="776">
        <f t="shared" ca="1" si="8"/>
        <v>59.90790656260463</v>
      </c>
      <c r="AD8" s="74">
        <f ca="1">IF(V8="","",DATE(INDEX(OFFSET(Arb!$C$2,,,Arb!$AJ$5,),V8),INDEX(OFFSET(Arb!$B$2,,,Arb!$AJ$5,),V8),INDEX(OFFSET(Arb!$A$2,,,Arb!$AJ$5,),V8))+ROW()*0.001)</f>
        <v>44064.008000000002</v>
      </c>
    </row>
    <row r="9" spans="1:30" x14ac:dyDescent="0.25">
      <c r="A9" s="11">
        <v>8</v>
      </c>
      <c r="B9" s="11">
        <v>689</v>
      </c>
      <c r="C9" s="433">
        <f ca="1">IF(B9="",16,INDEX(OFFSET(Arb!$I$2,,,Arb!$AJ$5,),B9))</f>
        <v>23</v>
      </c>
      <c r="D9" s="684">
        <f ca="1">IF(B9="",10,INDEX(OFFSET(Arb!$H$2,,,Arb!$AJ$5,),B9))</f>
        <v>5.25</v>
      </c>
      <c r="E9" s="722">
        <f t="shared" ca="1" si="0"/>
        <v>4.3809523809523814</v>
      </c>
      <c r="F9" s="564">
        <f ca="1">IF(B9="","",INDEX(OFFSET(Arb!$X$2,,,Arb!$AJ$5,),B9)/D9)</f>
        <v>4.5714285714285712</v>
      </c>
      <c r="G9" s="565">
        <f ca="1">IF(B9="","",(INDEX(OFFSET(Arb!$U$2,,,Arb!$AJ$5,),B9)+INDEX(OFFSET(Arb!$V$2,,,Arb!$AJ$5,),B9))/D9)</f>
        <v>5.1428571428571432</v>
      </c>
      <c r="H9" s="33">
        <f t="shared" ca="1" si="1"/>
        <v>0.72869028547558234</v>
      </c>
      <c r="I9" s="775">
        <f t="shared" ca="1" si="2"/>
        <v>64.909606924607402</v>
      </c>
      <c r="J9" s="74">
        <f ca="1">IF(B9="","",DATE(INDEX(OFFSET(Arb!$C$2,,,Arb!$AJ$5,),B9),INDEX(OFFSET(Arb!$B$2,,,Arb!$AJ$5,),B9),INDEX(OFFSET(Arb!$A$2,,,Arb!$AJ$5,),B9))+ROW()*0.001)</f>
        <v>43801.008999999998</v>
      </c>
      <c r="K9" s="11">
        <v>8</v>
      </c>
      <c r="L9" s="11">
        <v>1962</v>
      </c>
      <c r="M9" s="433">
        <f ca="1">IF(L9="",64,INDEX(OFFSET(Arb!$I$2,,,Arb!$AJ$5,),L9))</f>
        <v>97</v>
      </c>
      <c r="N9" s="682">
        <f ca="1">IF(L9="",60,INDEX(OFFSET(Arb!$H$2,,,Arb!$AJ$5,),L9))</f>
        <v>31.46</v>
      </c>
      <c r="O9" s="561">
        <f t="shared" ca="1" si="3"/>
        <v>3.0832803560076285</v>
      </c>
      <c r="P9" s="724">
        <f ca="1">IF(L9="","",INDEX(OFFSET(Arb!$X$2,,,Arb!$AJ$5,),L9)/N9)</f>
        <v>3.4965034965034962</v>
      </c>
      <c r="Q9" s="723">
        <f ca="1">IF(L9="","",(INDEX(OFFSET(Arb!$U$2,,,Arb!$AJ$5,),L9)+INDEX(OFFSET(Arb!$V$2,,,Arb!$AJ$5,),L9))/N9)</f>
        <v>3.909726636999364</v>
      </c>
      <c r="R9" s="33">
        <f t="shared" ca="1" si="4"/>
        <v>3.6259189059070001</v>
      </c>
      <c r="S9" s="777">
        <f t="shared" ca="1" si="5"/>
        <v>42.397528458112447</v>
      </c>
      <c r="T9" s="74">
        <f ca="1">IF(L9="","",DATE(INDEX(OFFSET(Arb!$C$2,,,Arb!$AJ$5,),L9),INDEX(OFFSET(Arb!$B$2,,,Arb!$AJ$5,),L9),INDEX(OFFSET(Arb!$A$2,,,Arb!$AJ$5,),L9))+ROW()*0.001)</f>
        <v>43779.008999999998</v>
      </c>
      <c r="U9" s="11">
        <v>8</v>
      </c>
      <c r="V9" s="11">
        <v>3299</v>
      </c>
      <c r="W9" s="433">
        <f ca="1">IF(V9="",164,INDEX(OFFSET(Arb!$I$2,,,Arb!$AJ$5,),V9))</f>
        <v>202</v>
      </c>
      <c r="X9" s="679">
        <f ca="1">IF(V9="",240,INDEX(OFFSET(Arb!$H$2,,,Arb!$AJ$5,),V9))</f>
        <v>73.099999999999994</v>
      </c>
      <c r="Y9" s="725">
        <f t="shared" ca="1" si="6"/>
        <v>2.7633378932968538</v>
      </c>
      <c r="Z9" s="724">
        <f ca="1">IF(V9="","",INDEX(OFFSET(Arb!$X$2,,,Arb!$AJ$5,),V9)/X9)</f>
        <v>3.2831737346101235</v>
      </c>
      <c r="AA9" s="562">
        <f ca="1">IF(V9="","",(INDEX(OFFSET(Arb!$U$2,,,Arb!$AJ$5,),V9)+INDEX(OFFSET(Arb!$V$2,,,Arb!$AJ$5,),V9))/X9)</f>
        <v>3.5294117647058827</v>
      </c>
      <c r="AB9" s="33">
        <f t="shared" ca="1" si="7"/>
        <v>7.2997531030584328</v>
      </c>
      <c r="AC9" s="776">
        <f t="shared" ca="1" si="8"/>
        <v>59.591193545675445</v>
      </c>
      <c r="AD9" s="74">
        <f ca="1">IF(V9="","",DATE(INDEX(OFFSET(Arb!$C$2,,,Arb!$AJ$5,),V9),INDEX(OFFSET(Arb!$B$2,,,Arb!$AJ$5,),V9),INDEX(OFFSET(Arb!$A$2,,,Arb!$AJ$5,),V9))+ROW()*0.001)</f>
        <v>44090.008999999998</v>
      </c>
    </row>
    <row r="10" spans="1:30" x14ac:dyDescent="0.25">
      <c r="A10" s="11">
        <v>9</v>
      </c>
      <c r="B10" s="11">
        <v>1696</v>
      </c>
      <c r="C10" s="433">
        <f ca="1">IF(B10="",16,INDEX(OFFSET(Arb!$I$2,,,Arb!$AJ$5,),B10))</f>
        <v>23</v>
      </c>
      <c r="D10" s="684">
        <f ca="1">IF(B10="",10,INDEX(OFFSET(Arb!$H$2,,,Arb!$AJ$5,),B10))</f>
        <v>5.28</v>
      </c>
      <c r="E10" s="722">
        <f t="shared" ca="1" si="0"/>
        <v>4.3560606060606055</v>
      </c>
      <c r="F10" s="722">
        <f ca="1">IF(B10="","",INDEX(OFFSET(Arb!$X$2,,,Arb!$AJ$5,),B10)/D10)</f>
        <v>4.3560606060606055</v>
      </c>
      <c r="G10" s="564">
        <f ca="1">IF(B10="","",(INDEX(OFFSET(Arb!$U$2,,,Arb!$AJ$5,),B10)+INDEX(OFFSET(Arb!$V$2,,,Arb!$AJ$5,),B10))/D10)</f>
        <v>4.7348484848484844</v>
      </c>
      <c r="H10" s="33">
        <f t="shared" ca="1" si="1"/>
        <v>0.73578314044221305</v>
      </c>
      <c r="I10" s="775">
        <f t="shared" ca="1" si="2"/>
        <v>64.283886651130416</v>
      </c>
      <c r="J10" s="74">
        <f ca="1">IF(B10="","",DATE(INDEX(OFFSET(Arb!$C$2,,,Arb!$AJ$5,),B10),INDEX(OFFSET(Arb!$B$2,,,Arb!$AJ$5,),B10),INDEX(OFFSET(Arb!$A$2,,,Arb!$AJ$5,),B10))+ROW()*0.001)</f>
        <v>44106.01</v>
      </c>
      <c r="K10" s="11">
        <v>9</v>
      </c>
      <c r="L10" s="11">
        <v>2399</v>
      </c>
      <c r="M10" s="433">
        <f ca="1">IF(L10="",64,INDEX(OFFSET(Arb!$I$2,,,Arb!$AJ$5,),L10))</f>
        <v>86</v>
      </c>
      <c r="N10" s="682">
        <f ca="1">IF(L10="",60,INDEX(OFFSET(Arb!$H$2,,,Arb!$AJ$5,),L10))</f>
        <v>27.92</v>
      </c>
      <c r="O10" s="561">
        <f t="shared" ca="1" si="3"/>
        <v>3.0802292263610314</v>
      </c>
      <c r="P10" s="724">
        <f ca="1">IF(L10="","",INDEX(OFFSET(Arb!$X$2,,,Arb!$AJ$5,),L10)/N10)</f>
        <v>3.2951289398280799</v>
      </c>
      <c r="Q10" s="562">
        <f ca="1">IF(L10="","",(INDEX(OFFSET(Arb!$U$2,,,Arb!$AJ$5,),L10)+INDEX(OFFSET(Arb!$V$2,,,Arb!$AJ$5,),L10))/N10)</f>
        <v>3.6891117478510025</v>
      </c>
      <c r="R10" s="33">
        <f t="shared" ca="1" si="4"/>
        <v>3.3385489823332164</v>
      </c>
      <c r="S10" s="777">
        <f t="shared" ca="1" si="5"/>
        <v>46.04695058047718</v>
      </c>
      <c r="T10" s="74">
        <f ca="1">IF(L10="","",DATE(INDEX(OFFSET(Arb!$C$2,,,Arb!$AJ$5,),L10),INDEX(OFFSET(Arb!$B$2,,,Arb!$AJ$5,),L10),INDEX(OFFSET(Arb!$A$2,,,Arb!$AJ$5,),L10))+ROW()*0.001)</f>
        <v>44168.01</v>
      </c>
      <c r="U10" s="11">
        <v>9</v>
      </c>
      <c r="V10" s="11">
        <v>3217</v>
      </c>
      <c r="W10" s="433">
        <f ca="1">IF(V10="",164,INDEX(OFFSET(Arb!$I$2,,,Arb!$AJ$5,),V10))</f>
        <v>194</v>
      </c>
      <c r="X10" s="679">
        <f ca="1">IF(V10="",240,INDEX(OFFSET(Arb!$H$2,,,Arb!$AJ$5,),V10))</f>
        <v>70.53</v>
      </c>
      <c r="Y10" s="725">
        <f t="shared" ca="1" si="6"/>
        <v>2.7506025804622145</v>
      </c>
      <c r="Z10" s="561">
        <f ca="1">IF(V10="","",INDEX(OFFSET(Arb!$X$2,,,Arb!$AJ$5,),V10)/X10)</f>
        <v>3.2184885864171275</v>
      </c>
      <c r="AA10" s="562">
        <f ca="1">IF(V10="","",(INDEX(OFFSET(Arb!$U$2,,,Arb!$AJ$5,),V10)+INDEX(OFFSET(Arb!$V$2,,,Arb!$AJ$5,),V10))/X10)</f>
        <v>3.5162342265702535</v>
      </c>
      <c r="AB10" s="33">
        <f t="shared" ca="1" si="7"/>
        <v>7.1521048500870341</v>
      </c>
      <c r="AC10" s="776">
        <f t="shared" ca="1" si="8"/>
        <v>60.821395815346087</v>
      </c>
      <c r="AD10" s="74">
        <f ca="1">IF(V10="","",DATE(INDEX(OFFSET(Arb!$C$2,,,Arb!$AJ$5,),V10),INDEX(OFFSET(Arb!$B$2,,,Arb!$AJ$5,),V10),INDEX(OFFSET(Arb!$A$2,,,Arb!$AJ$5,),V10))+ROW()*0.001)</f>
        <v>44059.01</v>
      </c>
    </row>
    <row r="11" spans="1:30" x14ac:dyDescent="0.25">
      <c r="A11" s="11">
        <v>10</v>
      </c>
      <c r="B11" s="11">
        <v>1776</v>
      </c>
      <c r="C11" s="433">
        <f ca="1">IF(B11="",16,INDEX(OFFSET(Arb!$I$2,,,Arb!$AJ$5,),B11))</f>
        <v>14</v>
      </c>
      <c r="D11" s="686">
        <f ca="1">IF(B11="",10,INDEX(OFFSET(Arb!$H$2,,,Arb!$AJ$5,),B11))</f>
        <v>3.23</v>
      </c>
      <c r="E11" s="722">
        <f t="shared" ca="1" si="0"/>
        <v>4.3343653250773997</v>
      </c>
      <c r="F11" s="722">
        <f ca="1">IF(B11="","",INDEX(OFFSET(Arb!$X$2,,,Arb!$AJ$5,),B11)/D11)</f>
        <v>4.3343653250773997</v>
      </c>
      <c r="G11" s="721">
        <f ca="1">IF(B11="","",(INDEX(OFFSET(Arb!$U$2,,,Arb!$AJ$5,),B11)+INDEX(OFFSET(Arb!$V$2,,,Arb!$AJ$5,),B11))/D11)</f>
        <v>4.9535603715170282</v>
      </c>
      <c r="H11" s="33">
        <f t="shared" ca="1" si="1"/>
        <v>0.52422321826333906</v>
      </c>
      <c r="I11" s="321">
        <f t="shared" ca="1" si="2"/>
        <v>90.226831533127083</v>
      </c>
      <c r="J11" s="74">
        <f ca="1">IF(B11="","",DATE(INDEX(OFFSET(Arb!$C$2,,,Arb!$AJ$5,),B11),INDEX(OFFSET(Arb!$B$2,,,Arb!$AJ$5,),B11),INDEX(OFFSET(Arb!$A$2,,,Arb!$AJ$5,),B11))+ROW()*0.001)</f>
        <v>44167.010999999999</v>
      </c>
      <c r="K11" s="11">
        <v>10</v>
      </c>
      <c r="L11" s="11">
        <v>2138</v>
      </c>
      <c r="M11" s="433">
        <f ca="1">IF(L11="",64,INDEX(OFFSET(Arb!$I$2,,,Arb!$AJ$5,),L11))</f>
        <v>93</v>
      </c>
      <c r="N11" s="690">
        <f ca="1">IF(L11="",60,INDEX(OFFSET(Arb!$H$2,,,Arb!$AJ$5,),L11))</f>
        <v>30.3</v>
      </c>
      <c r="O11" s="561">
        <f t="shared" ca="1" si="3"/>
        <v>3.0693069306930694</v>
      </c>
      <c r="P11" s="723">
        <f ca="1">IF(L11="","",INDEX(OFFSET(Arb!$X$2,,,Arb!$AJ$5,),L11)/N11)</f>
        <v>3.8613861386138613</v>
      </c>
      <c r="Q11" s="722">
        <f ca="1">IF(L11="","",(INDEX(OFFSET(Arb!$U$2,,,Arb!$AJ$5,),L11)+INDEX(OFFSET(Arb!$V$2,,,Arb!$AJ$5,),L11))/N11)</f>
        <v>4.455445544554455</v>
      </c>
      <c r="R11" s="33">
        <f t="shared" ca="1" si="4"/>
        <v>3.5478848823081166</v>
      </c>
      <c r="S11" s="777">
        <f t="shared" ca="1" si="5"/>
        <v>43.330041728972105</v>
      </c>
      <c r="T11" s="74">
        <f ca="1">IF(L11="","",DATE(INDEX(OFFSET(Arb!$C$2,,,Arb!$AJ$5,),L11),INDEX(OFFSET(Arb!$B$2,,,Arb!$AJ$5,),L11),INDEX(OFFSET(Arb!$A$2,,,Arb!$AJ$5,),L11))+ROW()*0.001)</f>
        <v>43817.010999999999</v>
      </c>
      <c r="U11" s="11">
        <v>10</v>
      </c>
      <c r="V11" s="11">
        <v>3353</v>
      </c>
      <c r="W11" s="433">
        <f ca="1">IF(V11="",164,INDEX(OFFSET(Arb!$I$2,,,Arb!$AJ$5,),V11))</f>
        <v>181</v>
      </c>
      <c r="X11" s="691">
        <f ca="1">IF(V11="",240,INDEX(OFFSET(Arb!$H$2,,,Arb!$AJ$5,),V11))</f>
        <v>65.95</v>
      </c>
      <c r="Y11" s="726">
        <f t="shared" ca="1" si="6"/>
        <v>2.7445034116755118</v>
      </c>
      <c r="Z11" s="724">
        <f ca="1">IF(V11="","",INDEX(OFFSET(Arb!$X$2,,,Arb!$AJ$5,),V11)/X11)</f>
        <v>3.3510235026535251</v>
      </c>
      <c r="AA11" s="723">
        <f ca="1">IF(V11="","",(INDEX(OFFSET(Arb!$U$2,,,Arb!$AJ$5,),V11)+INDEX(OFFSET(Arb!$V$2,,,Arb!$AJ$5,),V11))/X11)</f>
        <v>3.821076573161486</v>
      </c>
      <c r="AB11" s="33">
        <f t="shared" ca="1" si="7"/>
        <v>6.8389052202952882</v>
      </c>
      <c r="AC11" s="775">
        <f t="shared" ca="1" si="8"/>
        <v>63.60681804875454</v>
      </c>
      <c r="AD11" s="74">
        <f ca="1">IF(V11="","",DATE(INDEX(OFFSET(Arb!$C$2,,,Arb!$AJ$5,),V11),INDEX(OFFSET(Arb!$B$2,,,Arb!$AJ$5,),V11),INDEX(OFFSET(Arb!$A$2,,,Arb!$AJ$5,),V11))+ROW()*0.001)</f>
        <v>44098.010999999999</v>
      </c>
    </row>
    <row r="12" spans="1:30" x14ac:dyDescent="0.25">
      <c r="A12" s="11">
        <v>11</v>
      </c>
      <c r="B12" s="11">
        <v>1380</v>
      </c>
      <c r="C12" s="433">
        <f ca="1">IF(B12="",16,INDEX(OFFSET(Arb!$I$2,,,Arb!$AJ$5,),B12))</f>
        <v>16</v>
      </c>
      <c r="D12" s="560">
        <f ca="1">IF(B12="",10,INDEX(OFFSET(Arb!$H$2,,,Arb!$AJ$5,),B12))</f>
        <v>3.72</v>
      </c>
      <c r="E12" s="722">
        <f t="shared" ca="1" si="0"/>
        <v>4.301075268817204</v>
      </c>
      <c r="F12" s="722">
        <f ca="1">IF(B12="","",INDEX(OFFSET(Arb!$X$2,,,Arb!$AJ$5,),B12)/D12)</f>
        <v>4.301075268817204</v>
      </c>
      <c r="G12" s="564">
        <f ca="1">IF(B12="","",(INDEX(OFFSET(Arb!$U$2,,,Arb!$AJ$5,),B12)+INDEX(OFFSET(Arb!$V$2,,,Arb!$AJ$5,),B12))/D12)</f>
        <v>4.5698924731182791</v>
      </c>
      <c r="H12" s="33">
        <f t="shared" ca="1" si="1"/>
        <v>0.58318052852073199</v>
      </c>
      <c r="I12" s="280">
        <f t="shared" ca="1" si="2"/>
        <v>81.105245608896439</v>
      </c>
      <c r="J12" s="74">
        <f ca="1">IF(B12="","",DATE(INDEX(OFFSET(Arb!$C$2,,,Arb!$AJ$5,),B12),INDEX(OFFSET(Arb!$B$2,,,Arb!$AJ$5,),B12),INDEX(OFFSET(Arb!$A$2,,,Arb!$AJ$5,),B12))+ROW()*0.001)</f>
        <v>43937.012000000002</v>
      </c>
      <c r="K12" s="11">
        <v>11</v>
      </c>
      <c r="L12" s="11">
        <v>2136</v>
      </c>
      <c r="M12" s="433">
        <f ca="1">IF(L12="",64,INDEX(OFFSET(Arb!$I$2,,,Arb!$AJ$5,),L12))</f>
        <v>83</v>
      </c>
      <c r="N12" s="682">
        <f ca="1">IF(L12="",60,INDEX(OFFSET(Arb!$H$2,,,Arb!$AJ$5,),L12))</f>
        <v>27.34</v>
      </c>
      <c r="O12" s="561">
        <f t="shared" ca="1" si="3"/>
        <v>3.0358449158741769</v>
      </c>
      <c r="P12" s="562">
        <f ca="1">IF(L12="","",INDEX(OFFSET(Arb!$X$2,,,Arb!$AJ$5,),L12)/N12)</f>
        <v>3.5844915874177028</v>
      </c>
      <c r="Q12" s="723">
        <f ca="1">IF(L12="","",(INDEX(OFFSET(Arb!$U$2,,,Arb!$AJ$5,),L12)+INDEX(OFFSET(Arb!$V$2,,,Arb!$AJ$5,),L12))/N12)</f>
        <v>3.9868324798829553</v>
      </c>
      <c r="R12" s="33">
        <f t="shared" ca="1" si="4"/>
        <v>3.3379465262245152</v>
      </c>
      <c r="S12" s="777">
        <f t="shared" ca="1" si="5"/>
        <v>46.055261458571337</v>
      </c>
      <c r="T12" s="74">
        <f ca="1">IF(L12="","",DATE(INDEX(OFFSET(Arb!$C$2,,,Arb!$AJ$5,),L12),INDEX(OFFSET(Arb!$B$2,,,Arb!$AJ$5,),L12),INDEX(OFFSET(Arb!$A$2,,,Arb!$AJ$5,),L12))+ROW()*0.001)</f>
        <v>43817.012000000002</v>
      </c>
      <c r="U12" s="11">
        <v>11</v>
      </c>
      <c r="V12" s="11">
        <v>3441</v>
      </c>
      <c r="W12" s="433">
        <f ca="1">IF(V12="",164,INDEX(OFFSET(Arb!$I$2,,,Arb!$AJ$5,),V12))</f>
        <v>214</v>
      </c>
      <c r="X12" s="680">
        <f ca="1">IF(V12="",240,INDEX(OFFSET(Arb!$H$2,,,Arb!$AJ$5,),V12))</f>
        <v>78.17</v>
      </c>
      <c r="Y12" s="726">
        <f t="shared" ca="1" si="6"/>
        <v>2.7376231290776514</v>
      </c>
      <c r="Z12" s="726">
        <f ca="1">IF(V12="","",INDEX(OFFSET(Arb!$X$2,,,Arb!$AJ$5,),V12)/X12)</f>
        <v>2.6736599718562108</v>
      </c>
      <c r="AA12" s="725">
        <f ca="1">IF(V12="","",(INDEX(OFFSET(Arb!$U$2,,,Arb!$AJ$5,),V12)+INDEX(OFFSET(Arb!$V$2,,,Arb!$AJ$5,),V12))/X12)</f>
        <v>2.9806831265191249</v>
      </c>
      <c r="AB12" s="33">
        <f t="shared" ca="1" si="7"/>
        <v>7.7224377643325601</v>
      </c>
      <c r="AC12" s="776">
        <f t="shared" ca="1" si="8"/>
        <v>56.329492483465359</v>
      </c>
      <c r="AD12" s="74">
        <f ca="1">IF(V12="","",DATE(INDEX(OFFSET(Arb!$C$2,,,Arb!$AJ$5,),V12),INDEX(OFFSET(Arb!$B$2,,,Arb!$AJ$5,),V12),INDEX(OFFSET(Arb!$A$2,,,Arb!$AJ$5,),V12))+ROW()*0.001)</f>
        <v>44167.012000000002</v>
      </c>
    </row>
    <row r="13" spans="1:30" x14ac:dyDescent="0.25">
      <c r="A13" s="11">
        <v>12</v>
      </c>
      <c r="B13" s="11">
        <v>1397</v>
      </c>
      <c r="C13" s="433">
        <f ca="1">IF(B13="",16,INDEX(OFFSET(Arb!$I$2,,,Arb!$AJ$5,),B13))</f>
        <v>28</v>
      </c>
      <c r="D13" s="693">
        <f ca="1">IF(B13="",10,INDEX(OFFSET(Arb!$H$2,,,Arb!$AJ$5,),B13))</f>
        <v>6.58</v>
      </c>
      <c r="E13" s="722">
        <f t="shared" ca="1" si="0"/>
        <v>4.2553191489361701</v>
      </c>
      <c r="F13" s="721">
        <f ca="1">IF(B13="","",INDEX(OFFSET(Arb!$X$2,,,Arb!$AJ$5,),B13)/D13)</f>
        <v>4.86322188449848</v>
      </c>
      <c r="G13" s="565">
        <f ca="1">IF(B13="","",(INDEX(OFFSET(Arb!$U$2,,,Arb!$AJ$5,),B13)+INDEX(OFFSET(Arb!$V$2,,,Arb!$AJ$5,),B13))/D13)</f>
        <v>5.1671732522796354</v>
      </c>
      <c r="H13" s="33">
        <f t="shared" ca="1" si="1"/>
        <v>0.87867038249077312</v>
      </c>
      <c r="I13" s="774">
        <f t="shared" ca="1" si="2"/>
        <v>53.83019724179298</v>
      </c>
      <c r="J13" s="74">
        <f ca="1">IF(B13="","",DATE(INDEX(OFFSET(Arb!$C$2,,,Arb!$AJ$5,),B13),INDEX(OFFSET(Arb!$B$2,,,Arb!$AJ$5,),B13),INDEX(OFFSET(Arb!$A$2,,,Arb!$AJ$5,),B13))+ROW()*0.001)</f>
        <v>43940.012999999999</v>
      </c>
      <c r="K13" s="11">
        <v>12</v>
      </c>
      <c r="L13" s="11">
        <v>2275</v>
      </c>
      <c r="M13" s="433">
        <f ca="1">IF(L13="",64,INDEX(OFFSET(Arb!$I$2,,,Arb!$AJ$5,),L13))</f>
        <v>85</v>
      </c>
      <c r="N13" s="690">
        <f ca="1">IF(L13="",60,INDEX(OFFSET(Arb!$H$2,,,Arb!$AJ$5,),L13))</f>
        <v>28.03</v>
      </c>
      <c r="O13" s="561">
        <f t="shared" ca="1" si="3"/>
        <v>3.0324652158401713</v>
      </c>
      <c r="P13" s="562">
        <f ca="1">IF(L13="","",INDEX(OFFSET(Arb!$X$2,,,Arb!$AJ$5,),L13)/N13)</f>
        <v>3.6746343203710308</v>
      </c>
      <c r="Q13" s="563">
        <f ca="1">IF(L13="","",(INDEX(OFFSET(Arb!$U$2,,,Arb!$AJ$5,),L13)+INDEX(OFFSET(Arb!$V$2,,,Arb!$AJ$5,),L13))/N13)</f>
        <v>4.1027470567249376</v>
      </c>
      <c r="R13" s="33">
        <f t="shared" ca="1" si="4"/>
        <v>3.4004809051460905</v>
      </c>
      <c r="S13" s="777">
        <f t="shared" ca="1" si="5"/>
        <v>45.208311497163216</v>
      </c>
      <c r="T13" s="74">
        <f ca="1">IF(L13="","",DATE(INDEX(OFFSET(Arb!$C$2,,,Arb!$AJ$5,),L13),INDEX(OFFSET(Arb!$B$2,,,Arb!$AJ$5,),L13),INDEX(OFFSET(Arb!$A$2,,,Arb!$AJ$5,),L13))+ROW()*0.001)</f>
        <v>43934.012999999999</v>
      </c>
      <c r="U13" s="11">
        <v>12</v>
      </c>
      <c r="V13" s="11">
        <v>2927</v>
      </c>
      <c r="W13" s="433">
        <f ca="1">IF(V13="",164,INDEX(OFFSET(Arb!$I$2,,,Arb!$AJ$5,),V13))</f>
        <v>199</v>
      </c>
      <c r="X13" s="679">
        <f ca="1">IF(V13="",240,INDEX(OFFSET(Arb!$H$2,,,Arb!$AJ$5,),V13))</f>
        <v>73.11</v>
      </c>
      <c r="Y13" s="726">
        <f t="shared" ca="1" si="6"/>
        <v>2.7219258651347285</v>
      </c>
      <c r="Z13" s="561">
        <f ca="1">IF(V13="","",INDEX(OFFSET(Arb!$X$2,,,Arb!$AJ$5,),V13)/X13)</f>
        <v>3.2143345643550814</v>
      </c>
      <c r="AA13" s="562">
        <f ca="1">IF(V13="","",(INDEX(OFFSET(Arb!$U$2,,,Arb!$AJ$5,),V13)+INDEX(OFFSET(Arb!$V$2,,,Arb!$AJ$5,),V13))/X13)</f>
        <v>3.5289290110791955</v>
      </c>
      <c r="AB13" s="33">
        <f t="shared" ca="1" si="7"/>
        <v>7.4115229239725364</v>
      </c>
      <c r="AC13" s="776">
        <f t="shared" ca="1" si="8"/>
        <v>58.692525741638235</v>
      </c>
      <c r="AD13" s="74">
        <f ca="1">IF(V13="","",DATE(INDEX(OFFSET(Arb!$C$2,,,Arb!$AJ$5,),V13),INDEX(OFFSET(Arb!$B$2,,,Arb!$AJ$5,),V13),INDEX(OFFSET(Arb!$A$2,,,Arb!$AJ$5,),V13))+ROW()*0.001)</f>
        <v>43936.012999999999</v>
      </c>
    </row>
    <row r="14" spans="1:30" x14ac:dyDescent="0.25">
      <c r="A14" s="11">
        <v>13</v>
      </c>
      <c r="B14" s="11">
        <v>764</v>
      </c>
      <c r="C14" s="433">
        <f ca="1">IF(B14="",16,INDEX(OFFSET(Arb!$I$2,,,Arb!$AJ$5,),B14))</f>
        <v>26</v>
      </c>
      <c r="D14" s="688">
        <f ca="1">IF(B14="",10,INDEX(OFFSET(Arb!$H$2,,,Arb!$AJ$5,),B14))</f>
        <v>6.11</v>
      </c>
      <c r="E14" s="722">
        <f t="shared" ca="1" si="0"/>
        <v>4.2553191489361701</v>
      </c>
      <c r="F14" s="564">
        <f ca="1">IF(B14="","",INDEX(OFFSET(Arb!$X$2,,,Arb!$AJ$5,),B14)/D14)</f>
        <v>4.7463175122749588</v>
      </c>
      <c r="G14" s="565">
        <f ca="1">IF(B14="","",(INDEX(OFFSET(Arb!$U$2,,,Arb!$AJ$5,),B14)+INDEX(OFFSET(Arb!$V$2,,,Arb!$AJ$5,),B14))/D14)</f>
        <v>5.0736497545008179</v>
      </c>
      <c r="H14" s="33">
        <f t="shared" ca="1" si="1"/>
        <v>0.83425094916107634</v>
      </c>
      <c r="I14" s="776">
        <f t="shared" ca="1" si="2"/>
        <v>56.696369416857031</v>
      </c>
      <c r="J14" s="74">
        <f ca="1">IF(B14="","",DATE(INDEX(OFFSET(Arb!$C$2,,,Arb!$AJ$5,),B14),INDEX(OFFSET(Arb!$B$2,,,Arb!$AJ$5,),B14),INDEX(OFFSET(Arb!$A$2,,,Arb!$AJ$5,),B14))+ROW()*0.001)</f>
        <v>43809.014000000003</v>
      </c>
      <c r="K14" s="11">
        <v>13</v>
      </c>
      <c r="L14" s="11">
        <v>1930</v>
      </c>
      <c r="M14" s="433">
        <f ca="1">IF(L14="",64,INDEX(OFFSET(Arb!$I$2,,,Arb!$AJ$5,),L14))</f>
        <v>89</v>
      </c>
      <c r="N14" s="690">
        <f ca="1">IF(L14="",60,INDEX(OFFSET(Arb!$H$2,,,Arb!$AJ$5,),L14))</f>
        <v>29.4</v>
      </c>
      <c r="O14" s="561">
        <f t="shared" ca="1" si="3"/>
        <v>3.0272108843537415</v>
      </c>
      <c r="P14" s="562">
        <f ca="1">IF(L14="","",INDEX(OFFSET(Arb!$X$2,,,Arb!$AJ$5,),L14)/N14)</f>
        <v>3.7414965986394559</v>
      </c>
      <c r="Q14" s="563">
        <f ca="1">IF(L14="","",(INDEX(OFFSET(Arb!$U$2,,,Arb!$AJ$5,),L14)+INDEX(OFFSET(Arb!$V$2,,,Arb!$AJ$5,),L14))/N14)</f>
        <v>4.1836734693877551</v>
      </c>
      <c r="R14" s="33">
        <f t="shared" ca="1" si="4"/>
        <v>3.5220900466448861</v>
      </c>
      <c r="S14" s="777">
        <f t="shared" ca="1" si="5"/>
        <v>43.64737924473053</v>
      </c>
      <c r="T14" s="74">
        <f ca="1">IF(L14="","",DATE(INDEX(OFFSET(Arb!$C$2,,,Arb!$AJ$5,),L14),INDEX(OFFSET(Arb!$B$2,,,Arb!$AJ$5,),L14),INDEX(OFFSET(Arb!$A$2,,,Arb!$AJ$5,),L14))+ROW()*0.001)</f>
        <v>43771.014000000003</v>
      </c>
      <c r="U14" s="11">
        <v>13</v>
      </c>
      <c r="V14" s="11">
        <v>2869</v>
      </c>
      <c r="W14" s="433">
        <f ca="1">IF(V14="",164,INDEX(OFFSET(Arb!$I$2,,,Arb!$AJ$5,),V14))</f>
        <v>195</v>
      </c>
      <c r="X14" s="679">
        <f ca="1">IF(V14="",240,INDEX(OFFSET(Arb!$H$2,,,Arb!$AJ$5,),V14))</f>
        <v>71.650000000000006</v>
      </c>
      <c r="Y14" s="726">
        <f t="shared" ca="1" si="6"/>
        <v>2.7215631542219119</v>
      </c>
      <c r="Z14" s="561">
        <f ca="1">IF(V14="","",INDEX(OFFSET(Arb!$X$2,,,Arb!$AJ$5,),V14)/X14)</f>
        <v>3.1402651779483599</v>
      </c>
      <c r="AA14" s="724">
        <f ca="1">IF(V14="","",(INDEX(OFFSET(Arb!$U$2,,,Arb!$AJ$5,),V14)+INDEX(OFFSET(Arb!$V$2,,,Arb!$AJ$5,),V14))/X14)</f>
        <v>3.3775296580600136</v>
      </c>
      <c r="AB14" s="33">
        <f t="shared" ca="1" si="7"/>
        <v>7.3085785620843566</v>
      </c>
      <c r="AC14" s="776">
        <f t="shared" ca="1" si="8"/>
        <v>59.519234322349632</v>
      </c>
      <c r="AD14" s="74">
        <f ca="1">IF(V14="","",DATE(INDEX(OFFSET(Arb!$C$2,,,Arb!$AJ$5,),V14),INDEX(OFFSET(Arb!$B$2,,,Arb!$AJ$5,),V14),INDEX(OFFSET(Arb!$A$2,,,Arb!$AJ$5,),V14))+ROW()*0.001)</f>
        <v>43911.014000000003</v>
      </c>
    </row>
    <row r="15" spans="1:30" x14ac:dyDescent="0.25">
      <c r="A15" s="11">
        <v>14</v>
      </c>
      <c r="B15" s="11">
        <v>21</v>
      </c>
      <c r="C15" s="433">
        <f ca="1">IF(B15="",16,INDEX(OFFSET(Arb!$I$2,,,Arb!$AJ$5,),B15))</f>
        <v>26</v>
      </c>
      <c r="D15" s="688">
        <f ca="1">IF(B15="",10,INDEX(OFFSET(Arb!$H$2,,,Arb!$AJ$5,),B15))</f>
        <v>6.12</v>
      </c>
      <c r="E15" s="563">
        <f t="shared" ca="1" si="0"/>
        <v>4.2483660130718954</v>
      </c>
      <c r="F15" s="564">
        <f ca="1">IF(B15="","",INDEX(OFFSET(Arb!$X$2,,,Arb!$AJ$5,),B15)/D15)</f>
        <v>4.5751633986928102</v>
      </c>
      <c r="G15" s="772">
        <f ca="1">IF(B15="","",(INDEX(OFFSET(Arb!$U$2,,,Arb!$AJ$5,),B15)+INDEX(OFFSET(Arb!$V$2,,,Arb!$AJ$5,),B15))/D15)</f>
        <v>5.3921568627450975</v>
      </c>
      <c r="H15" s="33">
        <f t="shared" ca="1" si="1"/>
        <v>0.83657343506197934</v>
      </c>
      <c r="I15" s="776">
        <f t="shared" ca="1" si="2"/>
        <v>56.538969584296865</v>
      </c>
      <c r="J15" s="74">
        <f ca="1">IF(B15="","",DATE(INDEX(OFFSET(Arb!$C$2,,,Arb!$AJ$5,),B15),INDEX(OFFSET(Arb!$B$2,,,Arb!$AJ$5,),B15),INDEX(OFFSET(Arb!$A$2,,,Arb!$AJ$5,),B15))+ROW()*0.001)</f>
        <v>43765.014999999999</v>
      </c>
      <c r="K15" s="11">
        <v>14</v>
      </c>
      <c r="L15" s="11">
        <v>2314</v>
      </c>
      <c r="M15" s="433">
        <f ca="1">IF(L15="",64,INDEX(OFFSET(Arb!$I$2,,,Arb!$AJ$5,),L15))</f>
        <v>69</v>
      </c>
      <c r="N15" s="679">
        <f ca="1">IF(L15="",60,INDEX(OFFSET(Arb!$H$2,,,Arb!$AJ$5,),L15))</f>
        <v>22.8</v>
      </c>
      <c r="O15" s="561">
        <f t="shared" ca="1" si="3"/>
        <v>3.0263157894736841</v>
      </c>
      <c r="P15" s="724">
        <f ca="1">IF(L15="","",INDEX(OFFSET(Arb!$X$2,,,Arb!$AJ$5,),L15)/N15)</f>
        <v>3.4210526315789473</v>
      </c>
      <c r="Q15" s="723">
        <f ca="1">IF(L15="","",(INDEX(OFFSET(Arb!$U$2,,,Arb!$AJ$5,),L15)+INDEX(OFFSET(Arb!$V$2,,,Arb!$AJ$5,),L15))/N15)</f>
        <v>3.8596491228070176</v>
      </c>
      <c r="R15" s="33">
        <f t="shared" ca="1" si="4"/>
        <v>2.9487649053663869</v>
      </c>
      <c r="S15" s="774">
        <f t="shared" ca="1" si="5"/>
        <v>52.133691539881809</v>
      </c>
      <c r="T15" s="74">
        <f ca="1">IF(L15="","",DATE(INDEX(OFFSET(Arb!$C$2,,,Arb!$AJ$5,),L15),INDEX(OFFSET(Arb!$B$2,,,Arb!$AJ$5,),L15),INDEX(OFFSET(Arb!$A$2,,,Arb!$AJ$5,),L15))+ROW()*0.001)</f>
        <v>43952.014999999999</v>
      </c>
      <c r="U15" s="11">
        <v>14</v>
      </c>
      <c r="V15" s="11">
        <v>2913</v>
      </c>
      <c r="W15" s="433">
        <f ca="1">IF(V15="",164,INDEX(OFFSET(Arb!$I$2,,,Arb!$AJ$5,),V15))</f>
        <v>210</v>
      </c>
      <c r="X15" s="680">
        <f ca="1">IF(V15="",240,INDEX(OFFSET(Arb!$H$2,,,Arb!$AJ$5,),V15))</f>
        <v>77.400000000000006</v>
      </c>
      <c r="Y15" s="726">
        <f t="shared" ca="1" si="6"/>
        <v>2.7131782945736433</v>
      </c>
      <c r="Z15" s="561">
        <f ca="1">IF(V15="","",INDEX(OFFSET(Arb!$X$2,,,Arb!$AJ$5,),V15)/X15)</f>
        <v>3.0490956072351421</v>
      </c>
      <c r="AA15" s="724">
        <f ca="1">IF(V15="","",(INDEX(OFFSET(Arb!$U$2,,,Arb!$AJ$5,),V15)+INDEX(OFFSET(Arb!$V$2,,,Arb!$AJ$5,),V15))/X15)</f>
        <v>3.3462532299741601</v>
      </c>
      <c r="AB15" s="33">
        <f t="shared" ca="1" si="7"/>
        <v>7.7382069170169938</v>
      </c>
      <c r="AC15" s="774">
        <f t="shared" ca="1" si="8"/>
        <v>56.214702535725003</v>
      </c>
      <c r="AD15" s="74">
        <f ca="1">IF(V15="","",DATE(INDEX(OFFSET(Arb!$C$2,,,Arb!$AJ$5,),V15),INDEX(OFFSET(Arb!$B$2,,,Arb!$AJ$5,),V15),INDEX(OFFSET(Arb!$A$2,,,Arb!$AJ$5,),V15))+ROW()*0.001)</f>
        <v>43934.014999999999</v>
      </c>
    </row>
    <row r="16" spans="1:30" x14ac:dyDescent="0.25">
      <c r="A16" s="11">
        <v>15</v>
      </c>
      <c r="B16" s="11">
        <v>807</v>
      </c>
      <c r="C16" s="433">
        <f ca="1">IF(B16="",16,INDEX(OFFSET(Arb!$I$2,,,Arb!$AJ$5,),B16))</f>
        <v>25</v>
      </c>
      <c r="D16" s="559">
        <f ca="1">IF(B16="",10,INDEX(OFFSET(Arb!$H$2,,,Arb!$AJ$5,),B16))</f>
        <v>5.9</v>
      </c>
      <c r="E16" s="563">
        <f t="shared" ca="1" si="0"/>
        <v>4.2372881355932197</v>
      </c>
      <c r="F16" s="561">
        <f ca="1">IF(B16="","",INDEX(OFFSET(Arb!$X$2,,,Arb!$AJ$5,),B16)/D16)</f>
        <v>3.2203389830508473</v>
      </c>
      <c r="G16" s="563">
        <f ca="1">IF(B16="","",(INDEX(OFFSET(Arb!$U$2,,,Arb!$AJ$5,),B16)+INDEX(OFFSET(Arb!$V$2,,,Arb!$AJ$5,),B16))/D16)</f>
        <v>4.0677966101694913</v>
      </c>
      <c r="H16" s="33">
        <f t="shared" ca="1" si="1"/>
        <v>0.81753887132613268</v>
      </c>
      <c r="I16" s="776">
        <f t="shared" ca="1" si="2"/>
        <v>57.855353010036239</v>
      </c>
      <c r="J16" s="74">
        <f ca="1">IF(B16="","",DATE(INDEX(OFFSET(Arb!$C$2,,,Arb!$AJ$5,),B16),INDEX(OFFSET(Arb!$B$2,,,Arb!$AJ$5,),B16),INDEX(OFFSET(Arb!$A$2,,,Arb!$AJ$5,),B16))+ROW()*0.001)</f>
        <v>43811.016000000003</v>
      </c>
      <c r="K16" s="11">
        <v>15</v>
      </c>
      <c r="L16" s="11">
        <v>2055</v>
      </c>
      <c r="M16" s="433">
        <f ca="1">IF(L16="",64,INDEX(OFFSET(Arb!$I$2,,,Arb!$AJ$5,),L16))</f>
        <v>77</v>
      </c>
      <c r="N16" s="680">
        <f ca="1">IF(L16="",60,INDEX(OFFSET(Arb!$H$2,,,Arb!$AJ$5,),L16))</f>
        <v>25.45</v>
      </c>
      <c r="O16" s="561">
        <f t="shared" ca="1" si="3"/>
        <v>3.0255402750491158</v>
      </c>
      <c r="P16" s="723">
        <f ca="1">IF(L16="","",INDEX(OFFSET(Arb!$X$2,,,Arb!$AJ$5,),L16)/N16)</f>
        <v>3.7721021611001966</v>
      </c>
      <c r="Q16" s="563">
        <f ca="1">IF(L16="","",(INDEX(OFFSET(Arb!$U$2,,,Arb!$AJ$5,),L16)+INDEX(OFFSET(Arb!$V$2,,,Arb!$AJ$5,),L16))/N16)</f>
        <v>4.1650294695481334</v>
      </c>
      <c r="R16" s="33">
        <f t="shared" ca="1" si="4"/>
        <v>3.1855066215974697</v>
      </c>
      <c r="S16" s="777">
        <f t="shared" ca="1" si="5"/>
        <v>48.259199638049218</v>
      </c>
      <c r="T16" s="74">
        <f ca="1">IF(L16="","",DATE(INDEX(OFFSET(Arb!$C$2,,,Arb!$AJ$5,),L16),INDEX(OFFSET(Arb!$B$2,,,Arb!$AJ$5,),L16),INDEX(OFFSET(Arb!$A$2,,,Arb!$AJ$5,),L16))+ROW()*0.001)</f>
        <v>43800.016000000003</v>
      </c>
      <c r="U16" s="11">
        <v>15</v>
      </c>
      <c r="V16" s="11">
        <v>3400</v>
      </c>
      <c r="W16" s="433">
        <f ca="1">IF(V16="",164,INDEX(OFFSET(Arb!$I$2,,,Arb!$AJ$5,),V16))</f>
        <v>221</v>
      </c>
      <c r="X16" s="682">
        <f ca="1">IF(V16="",240,INDEX(OFFSET(Arb!$H$2,,,Arb!$AJ$5,),V16))</f>
        <v>81.510000000000005</v>
      </c>
      <c r="Y16" s="726">
        <f t="shared" ca="1" si="6"/>
        <v>2.7113237639553427</v>
      </c>
      <c r="Z16" s="725">
        <f ca="1">IF(V16="","",INDEX(OFFSET(Arb!$X$2,,,Arb!$AJ$5,),V16)/X16)</f>
        <v>2.7603974972396021</v>
      </c>
      <c r="AA16" s="561">
        <f ca="1">IF(V16="","",(INDEX(OFFSET(Arb!$U$2,,,Arb!$AJ$5,),V16)+INDEX(OFFSET(Arb!$V$2,,,Arb!$AJ$5,),V16))/X16)</f>
        <v>3.1284504968715492</v>
      </c>
      <c r="AB16" s="33">
        <f t="shared" ca="1" si="7"/>
        <v>8.0290884950058246</v>
      </c>
      <c r="AC16" s="774">
        <f t="shared" ca="1" si="8"/>
        <v>54.178129967128278</v>
      </c>
      <c r="AD16" s="74">
        <f ca="1">IF(V16="","",DATE(INDEX(OFFSET(Arb!$C$2,,,Arb!$AJ$5,),V16),INDEX(OFFSET(Arb!$B$2,,,Arb!$AJ$5,),V16),INDEX(OFFSET(Arb!$A$2,,,Arb!$AJ$5,),V16))+ROW()*0.001)</f>
        <v>44145.016000000003</v>
      </c>
    </row>
    <row r="17" spans="1:30" x14ac:dyDescent="0.25">
      <c r="A17" s="11">
        <v>16</v>
      </c>
      <c r="B17" s="11">
        <v>267</v>
      </c>
      <c r="C17" s="433">
        <f ca="1">IF(B17="",16,INDEX(OFFSET(Arb!$I$2,,,Arb!$AJ$5,),B17))</f>
        <v>21</v>
      </c>
      <c r="D17" s="274">
        <f ca="1">IF(B17="",10,INDEX(OFFSET(Arb!$H$2,,,Arb!$AJ$5,),B17))</f>
        <v>4.99</v>
      </c>
      <c r="E17" s="563">
        <f t="shared" ca="1" si="0"/>
        <v>4.2084168336673349</v>
      </c>
      <c r="F17" s="563">
        <f ca="1">IF(B17="","",INDEX(OFFSET(Arb!$X$2,,,Arb!$AJ$5,),B17)/D17)</f>
        <v>4.2084168336673349</v>
      </c>
      <c r="G17" s="722">
        <f ca="1">IF(B17="","",(INDEX(OFFSET(Arb!$U$2,,,Arb!$AJ$5,),B17)+INDEX(OFFSET(Arb!$V$2,,,Arb!$AJ$5,),B17))/D17)</f>
        <v>4.408817635270541</v>
      </c>
      <c r="H17" s="33">
        <f t="shared" ca="1" si="1"/>
        <v>0.73206835288244554</v>
      </c>
      <c r="I17" s="775">
        <f t="shared" ca="1" si="2"/>
        <v>64.610087041414843</v>
      </c>
      <c r="J17" s="74">
        <f ca="1">IF(B17="","",DATE(INDEX(OFFSET(Arb!$C$2,,,Arb!$AJ$5,),B17),INDEX(OFFSET(Arb!$B$2,,,Arb!$AJ$5,),B17),INDEX(OFFSET(Arb!$A$2,,,Arb!$AJ$5,),B17))+ROW()*0.001)</f>
        <v>43777.017</v>
      </c>
      <c r="K17" s="11">
        <v>16</v>
      </c>
      <c r="L17" s="11">
        <v>2296</v>
      </c>
      <c r="M17" s="433">
        <f ca="1">IF(L17="",64,INDEX(OFFSET(Arb!$I$2,,,Arb!$AJ$5,),L17))</f>
        <v>85</v>
      </c>
      <c r="N17" s="690">
        <f ca="1">IF(L17="",60,INDEX(OFFSET(Arb!$H$2,,,Arb!$AJ$5,),L17))</f>
        <v>28.13</v>
      </c>
      <c r="O17" s="561">
        <f t="shared" ca="1" si="3"/>
        <v>3.021685033771774</v>
      </c>
      <c r="P17" s="723">
        <f ca="1">IF(L17="","",INDEX(OFFSET(Arb!$X$2,,,Arb!$AJ$5,),L17)/N17)</f>
        <v>3.981514397440455</v>
      </c>
      <c r="Q17" s="722">
        <f ca="1">IF(L17="","",(INDEX(OFFSET(Arb!$U$2,,,Arb!$AJ$5,),L17)+INDEX(OFFSET(Arb!$V$2,,,Arb!$AJ$5,),L17))/N17)</f>
        <v>4.4081052257376472</v>
      </c>
      <c r="R17" s="33">
        <f t="shared" ca="1" si="4"/>
        <v>3.4211303281021102</v>
      </c>
      <c r="S17" s="777">
        <f t="shared" ca="1" si="5"/>
        <v>44.9354409965675</v>
      </c>
      <c r="T17" s="74">
        <f ca="1">IF(L17="","",DATE(INDEX(OFFSET(Arb!$C$2,,,Arb!$AJ$5,),L17),INDEX(OFFSET(Arb!$B$2,,,Arb!$AJ$5,),L17),INDEX(OFFSET(Arb!$A$2,,,Arb!$AJ$5,),L17))+ROW()*0.001)</f>
        <v>43937.017</v>
      </c>
      <c r="U17" s="11">
        <v>16</v>
      </c>
      <c r="V17" s="11">
        <v>3307</v>
      </c>
      <c r="W17" s="433">
        <f ca="1">IF(V17="",164,INDEX(OFFSET(Arb!$I$2,,,Arb!$AJ$5,),V17))</f>
        <v>220</v>
      </c>
      <c r="X17" s="682">
        <f ca="1">IF(V17="",240,INDEX(OFFSET(Arb!$H$2,,,Arb!$AJ$5,),V17))</f>
        <v>81.209999999999994</v>
      </c>
      <c r="Y17" s="726">
        <f t="shared" ca="1" si="6"/>
        <v>2.7090259820219189</v>
      </c>
      <c r="Z17" s="561">
        <f ca="1">IF(V17="","",INDEX(OFFSET(Arb!$X$2,,,Arb!$AJ$5,),V17)/X17)</f>
        <v>3.1400073882526787</v>
      </c>
      <c r="AA17" s="724">
        <f ca="1">IF(V17="","",(INDEX(OFFSET(Arb!$U$2,,,Arb!$AJ$5,),V17)+INDEX(OFFSET(Arb!$V$2,,,Arb!$AJ$5,),V17))/X17)</f>
        <v>3.4601650043098142</v>
      </c>
      <c r="AB17" s="33">
        <f t="shared" ca="1" si="7"/>
        <v>8.0151838220169331</v>
      </c>
      <c r="AC17" s="774">
        <f t="shared" ca="1" si="8"/>
        <v>54.272117727992011</v>
      </c>
      <c r="AD17" s="74">
        <f ca="1">IF(V17="","",DATE(INDEX(OFFSET(Arb!$C$2,,,Arb!$AJ$5,),V17),INDEX(OFFSET(Arb!$B$2,,,Arb!$AJ$5,),V17),INDEX(OFFSET(Arb!$A$2,,,Arb!$AJ$5,),V17))+ROW()*0.001)</f>
        <v>44092.017</v>
      </c>
    </row>
    <row r="18" spans="1:30" x14ac:dyDescent="0.25">
      <c r="A18" s="11">
        <v>17</v>
      </c>
      <c r="B18" s="11">
        <v>1213</v>
      </c>
      <c r="C18" s="433">
        <f ca="1">IF(B18="",16,INDEX(OFFSET(Arb!$I$2,,,Arb!$AJ$5,),B18))</f>
        <v>27</v>
      </c>
      <c r="D18" s="688">
        <f ca="1">IF(B18="",10,INDEX(OFFSET(Arb!$H$2,,,Arb!$AJ$5,),B18))</f>
        <v>6.43</v>
      </c>
      <c r="E18" s="563">
        <f t="shared" ca="1" si="0"/>
        <v>4.1990668740279942</v>
      </c>
      <c r="F18" s="564">
        <f ca="1">IF(B18="","",INDEX(OFFSET(Arb!$X$2,,,Arb!$AJ$5,),B18)/D18)</f>
        <v>4.5101088646967344</v>
      </c>
      <c r="G18" s="564">
        <f ca="1">IF(B18="","",(INDEX(OFFSET(Arb!$U$2,,,Arb!$AJ$5,),B18)+INDEX(OFFSET(Arb!$V$2,,,Arb!$AJ$5,),B18))/D18)</f>
        <v>4.5101088646967344</v>
      </c>
      <c r="H18" s="33">
        <f t="shared" ca="1" si="1"/>
        <v>0.87618313560987648</v>
      </c>
      <c r="I18" s="774">
        <f t="shared" ca="1" si="2"/>
        <v>53.983006608632145</v>
      </c>
      <c r="J18" s="74">
        <f ca="1">IF(B18="","",DATE(INDEX(OFFSET(Arb!$C$2,,,Arb!$AJ$5,),B18),INDEX(OFFSET(Arb!$B$2,,,Arb!$AJ$5,),B18),INDEX(OFFSET(Arb!$A$2,,,Arb!$AJ$5,),B18))+ROW()*0.001)</f>
        <v>43896.017999999996</v>
      </c>
      <c r="K18" s="11">
        <v>17</v>
      </c>
      <c r="L18" s="11">
        <v>1994</v>
      </c>
      <c r="M18" s="433">
        <f ca="1">IF(L18="",64,INDEX(OFFSET(Arb!$I$2,,,Arb!$AJ$5,),L18))</f>
        <v>99</v>
      </c>
      <c r="N18" s="679">
        <f ca="1">IF(L18="",60,INDEX(OFFSET(Arb!$H$2,,,Arb!$AJ$5,),L18))</f>
        <v>32.950000000000003</v>
      </c>
      <c r="O18" s="561">
        <f t="shared" ca="1" si="3"/>
        <v>3.0045523520485582</v>
      </c>
      <c r="P18" s="724">
        <f ca="1">IF(L18="","",INDEX(OFFSET(Arb!$X$2,,,Arb!$AJ$5,),L18)/N18)</f>
        <v>3.3080424886191198</v>
      </c>
      <c r="Q18" s="562">
        <f ca="1">IF(L18="","",(INDEX(OFFSET(Arb!$U$2,,,Arb!$AJ$5,),L18)+INDEX(OFFSET(Arb!$V$2,,,Arb!$AJ$5,),L18))/N18)</f>
        <v>3.641881638846737</v>
      </c>
      <c r="R18" s="33">
        <f t="shared" ca="1" si="4"/>
        <v>3.8434303705195836</v>
      </c>
      <c r="S18" s="777">
        <f t="shared" ca="1" si="5"/>
        <v>39.998122817356418</v>
      </c>
      <c r="T18" s="74">
        <f ca="1">IF(L18="","",DATE(INDEX(OFFSET(Arb!$C$2,,,Arb!$AJ$5,),L18),INDEX(OFFSET(Arb!$B$2,,,Arb!$AJ$5,),L18),INDEX(OFFSET(Arb!$A$2,,,Arb!$AJ$5,),L18))+ROW()*0.001)</f>
        <v>43785.017999999996</v>
      </c>
      <c r="U18" s="11">
        <v>17</v>
      </c>
      <c r="V18" s="11">
        <v>3265</v>
      </c>
      <c r="W18" s="433">
        <f ca="1">IF(V18="",164,INDEX(OFFSET(Arb!$I$2,,,Arb!$AJ$5,),V18))</f>
        <v>173</v>
      </c>
      <c r="X18" s="693">
        <f ca="1">IF(V18="",240,INDEX(OFFSET(Arb!$H$2,,,Arb!$AJ$5,),V18))</f>
        <v>63.97</v>
      </c>
      <c r="Y18" s="726">
        <f t="shared" ca="1" si="6"/>
        <v>2.7043926840706582</v>
      </c>
      <c r="Z18" s="724">
        <f ca="1">IF(V18="","",INDEX(OFFSET(Arb!$X$2,,,Arb!$AJ$5,),V18)/X18)</f>
        <v>3.2515241519462248</v>
      </c>
      <c r="AA18" s="562">
        <f ca="1">IF(V18="","",(INDEX(OFFSET(Arb!$U$2,,,Arb!$AJ$5,),V18)+INDEX(OFFSET(Arb!$V$2,,,Arb!$AJ$5,),V18))/X18)</f>
        <v>3.6267000156323279</v>
      </c>
      <c r="AB18" s="33">
        <f t="shared" ca="1" si="7"/>
        <v>6.7938146326502151</v>
      </c>
      <c r="AC18" s="775">
        <f t="shared" ca="1" si="8"/>
        <v>64.028976873970052</v>
      </c>
      <c r="AD18" s="74">
        <f ca="1">IF(V18="","",DATE(INDEX(OFFSET(Arb!$C$2,,,Arb!$AJ$5,),V18),INDEX(OFFSET(Arb!$B$2,,,Arb!$AJ$5,),V18),INDEX(OFFSET(Arb!$A$2,,,Arb!$AJ$5,),V18))+ROW()*0.001)</f>
        <v>44073.017999999996</v>
      </c>
    </row>
    <row r="19" spans="1:30" x14ac:dyDescent="0.25">
      <c r="A19" s="11">
        <v>18</v>
      </c>
      <c r="B19" s="11">
        <v>870</v>
      </c>
      <c r="C19" s="433">
        <f ca="1">IF(B19="",16,INDEX(OFFSET(Arb!$I$2,,,Arb!$AJ$5,),B19))</f>
        <v>30</v>
      </c>
      <c r="D19" s="691">
        <f ca="1">IF(B19="",10,INDEX(OFFSET(Arb!$H$2,,,Arb!$AJ$5,),B19))</f>
        <v>7.18</v>
      </c>
      <c r="E19" s="563">
        <f t="shared" ca="1" si="0"/>
        <v>4.1782729805013927</v>
      </c>
      <c r="F19" s="563">
        <f ca="1">IF(B19="","",INDEX(OFFSET(Arb!$X$2,,,Arb!$AJ$5,),B19)/D19)</f>
        <v>4.1782729805013927</v>
      </c>
      <c r="G19" s="722">
        <f ca="1">IF(B19="","",(INDEX(OFFSET(Arb!$U$2,,,Arb!$AJ$5,),B19)+INDEX(OFFSET(Arb!$V$2,,,Arb!$AJ$5,),B19))/D19)</f>
        <v>4.4568245125348191</v>
      </c>
      <c r="H19" s="33">
        <f t="shared" ca="1" si="1"/>
        <v>0.95124042985132007</v>
      </c>
      <c r="I19" s="777">
        <f t="shared" ca="1" si="2"/>
        <v>49.723496306178752</v>
      </c>
      <c r="J19" s="74">
        <f ca="1">IF(B19="","",DATE(INDEX(OFFSET(Arb!$C$2,,,Arb!$AJ$5,),B19),INDEX(OFFSET(Arb!$B$2,,,Arb!$AJ$5,),B19),INDEX(OFFSET(Arb!$A$2,,,Arb!$AJ$5,),B19))+ROW()*0.001)</f>
        <v>43818.019</v>
      </c>
      <c r="K19" s="11">
        <v>18</v>
      </c>
      <c r="L19" s="11">
        <v>2243</v>
      </c>
      <c r="M19" s="433">
        <f ca="1">IF(L19="",64,INDEX(OFFSET(Arb!$I$2,,,Arb!$AJ$5,),L19))</f>
        <v>77</v>
      </c>
      <c r="N19" s="680">
        <f ca="1">IF(L19="",60,INDEX(OFFSET(Arb!$H$2,,,Arb!$AJ$5,),L19))</f>
        <v>25.79</v>
      </c>
      <c r="O19" s="725">
        <f t="shared" ca="1" si="3"/>
        <v>2.9856533540131833</v>
      </c>
      <c r="P19" s="724">
        <f ca="1">IF(L19="","",INDEX(OFFSET(Arb!$X$2,,,Arb!$AJ$5,),L19)/N19)</f>
        <v>3.3346258239627762</v>
      </c>
      <c r="Q19" s="562">
        <f ca="1">IF(L19="","",(INDEX(OFFSET(Arb!$U$2,,,Arb!$AJ$5,),L19)+INDEX(OFFSET(Arb!$V$2,,,Arb!$AJ$5,),L19))/N19)</f>
        <v>3.7223730127956576</v>
      </c>
      <c r="R19" s="33">
        <f t="shared" ca="1" si="4"/>
        <v>3.2581911257013423</v>
      </c>
      <c r="S19" s="777">
        <f t="shared" ca="1" si="5"/>
        <v>47.182621911693047</v>
      </c>
      <c r="T19" s="74">
        <f ca="1">IF(L19="","",DATE(INDEX(OFFSET(Arb!$C$2,,,Arb!$AJ$5,),L19),INDEX(OFFSET(Arb!$B$2,,,Arb!$AJ$5,),L19),INDEX(OFFSET(Arb!$A$2,,,Arb!$AJ$5,),L19))+ROW()*0.001)</f>
        <v>43892.019</v>
      </c>
      <c r="U19" s="11">
        <v>18</v>
      </c>
      <c r="V19" s="11">
        <v>3426</v>
      </c>
      <c r="W19" s="433">
        <f ca="1">IF(V19="",164,INDEX(OFFSET(Arb!$I$2,,,Arb!$AJ$5,),V19))</f>
        <v>188</v>
      </c>
      <c r="X19" s="679">
        <f ca="1">IF(V19="",240,INDEX(OFFSET(Arb!$H$2,,,Arb!$AJ$5,),V19))</f>
        <v>69.58</v>
      </c>
      <c r="Y19" s="726">
        <f t="shared" ca="1" si="6"/>
        <v>2.7019258407588387</v>
      </c>
      <c r="Z19" s="726">
        <f ca="1">IF(V19="","",INDEX(OFFSET(Arb!$X$2,,,Arb!$AJ$5,),V19)/X19)</f>
        <v>2.644438056912906</v>
      </c>
      <c r="AA19" s="725">
        <f ca="1">IF(V19="","",(INDEX(OFFSET(Arb!$U$2,,,Arb!$AJ$5,),V19)+INDEX(OFFSET(Arb!$V$2,,,Arb!$AJ$5,),V19))/X19)</f>
        <v>2.9175050301810868</v>
      </c>
      <c r="AB19" s="33">
        <f t="shared" ca="1" si="7"/>
        <v>7.2121653035266275</v>
      </c>
      <c r="AC19" s="776">
        <f t="shared" ca="1" si="8"/>
        <v>60.314895969909593</v>
      </c>
      <c r="AD19" s="74">
        <f ca="1">IF(V19="","",DATE(INDEX(OFFSET(Arb!$C$2,,,Arb!$AJ$5,),V19),INDEX(OFFSET(Arb!$B$2,,,Arb!$AJ$5,),V19),INDEX(OFFSET(Arb!$A$2,,,Arb!$AJ$5,),V19))+ROW()*0.001)</f>
        <v>44149.019</v>
      </c>
    </row>
    <row r="20" spans="1:30" x14ac:dyDescent="0.25">
      <c r="A20" s="11">
        <v>19</v>
      </c>
      <c r="B20" s="11">
        <v>1642</v>
      </c>
      <c r="C20" s="433">
        <f ca="1">IF(B20="",16,INDEX(OFFSET(Arb!$I$2,,,Arb!$AJ$5,),B20))</f>
        <v>15</v>
      </c>
      <c r="D20" s="560">
        <f ca="1">IF(B20="",10,INDEX(OFFSET(Arb!$H$2,,,Arb!$AJ$5,),B20))</f>
        <v>3.61</v>
      </c>
      <c r="E20" s="563">
        <f t="shared" ca="1" si="0"/>
        <v>4.1551246537396125</v>
      </c>
      <c r="F20" s="563">
        <f ca="1">IF(B20="","",INDEX(OFFSET(Arb!$X$2,,,Arb!$AJ$5,),B20)/D20)</f>
        <v>4.1551246537396125</v>
      </c>
      <c r="G20" s="772">
        <f ca="1">IF(B20="","",(INDEX(OFFSET(Arb!$U$2,,,Arb!$AJ$5,),B20)+INDEX(OFFSET(Arb!$V$2,,,Arb!$AJ$5,),B20))/D20)</f>
        <v>5.2631578947368425</v>
      </c>
      <c r="H20" s="33">
        <f t="shared" ca="1" si="1"/>
        <v>0.59111364453990722</v>
      </c>
      <c r="I20" s="280">
        <f t="shared" ca="1" si="2"/>
        <v>80.016762321254035</v>
      </c>
      <c r="J20" s="74">
        <f ca="1">IF(B20="","",DATE(INDEX(OFFSET(Arb!$C$2,,,Arb!$AJ$5,),B20),INDEX(OFFSET(Arb!$B$2,,,Arb!$AJ$5,),B20),INDEX(OFFSET(Arb!$A$2,,,Arb!$AJ$5,),B20))+ROW()*0.001)</f>
        <v>44093.02</v>
      </c>
      <c r="K20" s="11">
        <v>19</v>
      </c>
      <c r="L20" s="11">
        <v>2331</v>
      </c>
      <c r="M20" s="433">
        <f ca="1">IF(L20="",64,INDEX(OFFSET(Arb!$I$2,,,Arb!$AJ$5,),L20))</f>
        <v>80</v>
      </c>
      <c r="N20" s="682">
        <f ca="1">IF(L20="",60,INDEX(OFFSET(Arb!$H$2,,,Arb!$AJ$5,),L20))</f>
        <v>26.8</v>
      </c>
      <c r="O20" s="725">
        <f t="shared" ca="1" si="3"/>
        <v>2.9850746268656714</v>
      </c>
      <c r="P20" s="562">
        <f ca="1">IF(L20="","",INDEX(OFFSET(Arb!$X$2,,,Arb!$AJ$5,),L20)/N20)</f>
        <v>3.6940298507462686</v>
      </c>
      <c r="Q20" s="563">
        <f ca="1">IF(L20="","",(INDEX(OFFSET(Arb!$U$2,,,Arb!$AJ$5,),L20)+INDEX(OFFSET(Arb!$V$2,,,Arb!$AJ$5,),L20))/N20)</f>
        <v>4.1791044776119399</v>
      </c>
      <c r="R20" s="33">
        <f t="shared" ca="1" si="4"/>
        <v>3.3476431941208231</v>
      </c>
      <c r="S20" s="777">
        <f t="shared" ca="1" si="5"/>
        <v>45.921859375569873</v>
      </c>
      <c r="T20" s="74">
        <f ca="1">IF(L20="","",DATE(INDEX(OFFSET(Arb!$C$2,,,Arb!$AJ$5,),L20),INDEX(OFFSET(Arb!$B$2,,,Arb!$AJ$5,),L20),INDEX(OFFSET(Arb!$A$2,,,Arb!$AJ$5,),L20))+ROW()*0.001)</f>
        <v>44093.02</v>
      </c>
      <c r="U20" s="11">
        <v>19</v>
      </c>
      <c r="V20" s="11">
        <v>3296</v>
      </c>
      <c r="W20" s="433">
        <f ca="1">IF(V20="",164,INDEX(OFFSET(Arb!$I$2,,,Arb!$AJ$5,),V20))</f>
        <v>198</v>
      </c>
      <c r="X20" s="679">
        <f ca="1">IF(V20="",240,INDEX(OFFSET(Arb!$H$2,,,Arb!$AJ$5,),V20))</f>
        <v>73.569999999999993</v>
      </c>
      <c r="Y20" s="726">
        <f t="shared" ca="1" si="6"/>
        <v>2.6913143944542615</v>
      </c>
      <c r="Z20" s="561">
        <f ca="1">IF(V20="","",INDEX(OFFSET(Arb!$X$2,,,Arb!$AJ$5,),V20)/X20)</f>
        <v>3.1534592904716598</v>
      </c>
      <c r="AA20" s="562">
        <f ca="1">IF(V20="","",(INDEX(OFFSET(Arb!$U$2,,,Arb!$AJ$5,),V20)+INDEX(OFFSET(Arb!$V$2,,,Arb!$AJ$5,),V20))/X20)</f>
        <v>3.5340492048389294</v>
      </c>
      <c r="AB20" s="33">
        <f t="shared" ca="1" si="7"/>
        <v>7.5288058005520249</v>
      </c>
      <c r="AC20" s="776">
        <f t="shared" ca="1" si="8"/>
        <v>57.778220281376491</v>
      </c>
      <c r="AD20" s="74">
        <f ca="1">IF(V20="","",DATE(INDEX(OFFSET(Arb!$C$2,,,Arb!$AJ$5,),V20),INDEX(OFFSET(Arb!$B$2,,,Arb!$AJ$5,),V20),INDEX(OFFSET(Arb!$A$2,,,Arb!$AJ$5,),V20))+ROW()*0.001)</f>
        <v>44089.02</v>
      </c>
    </row>
    <row r="21" spans="1:30" x14ac:dyDescent="0.25">
      <c r="A21" s="11">
        <v>20</v>
      </c>
      <c r="B21" s="11">
        <v>1860</v>
      </c>
      <c r="C21" s="433">
        <f ca="1">IF(B21="",16,INDEX(OFFSET(Arb!$I$2,,,Arb!$AJ$5,),B21))</f>
        <v>14</v>
      </c>
      <c r="D21" s="686">
        <f ca="1">IF(B21="",10,INDEX(OFFSET(Arb!$H$2,,,Arb!$AJ$5,),B21))</f>
        <v>3.38</v>
      </c>
      <c r="E21" s="563">
        <f t="shared" ca="1" si="0"/>
        <v>4.1420118343195265</v>
      </c>
      <c r="F21" s="722">
        <f ca="1">IF(B21="","",INDEX(OFFSET(Arb!$X$2,,,Arb!$AJ$5,),B21)/D21)</f>
        <v>4.4378698224852071</v>
      </c>
      <c r="G21" s="565">
        <f ca="1">IF(B21="","",(INDEX(OFFSET(Arb!$U$2,,,Arb!$AJ$5,),B21)+INDEX(OFFSET(Arb!$V$2,,,Arb!$AJ$5,),B21))/D21)</f>
        <v>5.0295857988165684</v>
      </c>
      <c r="H21" s="33">
        <f t="shared" ca="1" si="1"/>
        <v>0.56627886743091593</v>
      </c>
      <c r="I21" s="761">
        <f t="shared" ca="1" si="2"/>
        <v>83.525984670035939</v>
      </c>
      <c r="J21" s="74">
        <f ca="1">IF(B21="","",DATE(INDEX(OFFSET(Arb!$C$2,,,Arb!$AJ$5,),B21),INDEX(OFFSET(Arb!$B$2,,,Arb!$AJ$5,),B21),INDEX(OFFSET(Arb!$A$2,,,Arb!$AJ$5,),B21))+ROW()*0.001)</f>
        <v>44168.021000000001</v>
      </c>
      <c r="K21" s="11">
        <v>20</v>
      </c>
      <c r="L21" s="11">
        <v>2392</v>
      </c>
      <c r="M21" s="433">
        <f ca="1">IF(L21="",64,INDEX(OFFSET(Arb!$I$2,,,Arb!$AJ$5,),L21))</f>
        <v>78</v>
      </c>
      <c r="N21" s="682">
        <f ca="1">IF(L21="",60,INDEX(OFFSET(Arb!$H$2,,,Arb!$AJ$5,),L21))</f>
        <v>26.19</v>
      </c>
      <c r="O21" s="725">
        <f t="shared" ca="1" si="3"/>
        <v>2.9782359679266892</v>
      </c>
      <c r="P21" s="725">
        <f ca="1">IF(L21="","",INDEX(OFFSET(Arb!$X$2,,,Arb!$AJ$5,),L21)/N21)</f>
        <v>2.9018709431080563</v>
      </c>
      <c r="Q21" s="724">
        <f ca="1">IF(L21="","",(INDEX(OFFSET(Arb!$U$2,,,Arb!$AJ$5,),L21)+INDEX(OFFSET(Arb!$V$2,,,Arb!$AJ$5,),L21))/N21)</f>
        <v>3.4746086292478044</v>
      </c>
      <c r="R21" s="33">
        <f t="shared" ca="1" si="4"/>
        <v>3.3016858207185615</v>
      </c>
      <c r="S21" s="777">
        <f t="shared" ca="1" si="5"/>
        <v>46.561062544268069</v>
      </c>
      <c r="T21" s="74">
        <f ca="1">IF(L21="","",DATE(INDEX(OFFSET(Arb!$C$2,,,Arb!$AJ$5,),L21),INDEX(OFFSET(Arb!$B$2,,,Arb!$AJ$5,),L21),INDEX(OFFSET(Arb!$A$2,,,Arb!$AJ$5,),L21))+ROW()*0.001)</f>
        <v>44117.021000000001</v>
      </c>
      <c r="U21" s="11">
        <v>20</v>
      </c>
      <c r="V21" s="11">
        <v>3284</v>
      </c>
      <c r="W21" s="433">
        <f ca="1">IF(V21="",164,INDEX(OFFSET(Arb!$I$2,,,Arb!$AJ$5,),V21))</f>
        <v>188</v>
      </c>
      <c r="X21" s="679">
        <f ca="1">IF(V21="",240,INDEX(OFFSET(Arb!$H$2,,,Arb!$AJ$5,),V21))</f>
        <v>70.16</v>
      </c>
      <c r="Y21" s="726">
        <f t="shared" ca="1" si="6"/>
        <v>2.6795895096921325</v>
      </c>
      <c r="Z21" s="561">
        <f ca="1">IF(V21="","",INDEX(OFFSET(Arb!$X$2,,,Arb!$AJ$5,),V21)/X21)</f>
        <v>3.0929304446978336</v>
      </c>
      <c r="AA21" s="724">
        <f ca="1">IF(V21="","",(INDEX(OFFSET(Arb!$U$2,,,Arb!$AJ$5,),V21)+INDEX(OFFSET(Arb!$V$2,,,Arb!$AJ$5,),V21))/X21)</f>
        <v>3.3494868871151655</v>
      </c>
      <c r="AB21" s="33">
        <f t="shared" ca="1" si="7"/>
        <v>7.3146649397584431</v>
      </c>
      <c r="AC21" s="776">
        <f t="shared" ca="1" si="8"/>
        <v>59.469709628882235</v>
      </c>
      <c r="AD21" s="74">
        <f ca="1">IF(V21="","",DATE(INDEX(OFFSET(Arb!$C$2,,,Arb!$AJ$5,),V21),INDEX(OFFSET(Arb!$B$2,,,Arb!$AJ$5,),V21),INDEX(OFFSET(Arb!$A$2,,,Arb!$AJ$5,),V21))+ROW()*0.001)</f>
        <v>44083.021000000001</v>
      </c>
    </row>
    <row r="22" spans="1:30" x14ac:dyDescent="0.25">
      <c r="A22" s="11">
        <v>21</v>
      </c>
      <c r="B22" s="11">
        <v>1388</v>
      </c>
      <c r="C22" s="433">
        <f ca="1">IF(B22="",16,INDEX(OFFSET(Arb!$I$2,,,Arb!$AJ$5,),B22))</f>
        <v>37</v>
      </c>
      <c r="D22" s="679">
        <f ca="1">IF(B22="",10,INDEX(OFFSET(Arb!$H$2,,,Arb!$AJ$5,),B22))</f>
        <v>8.98</v>
      </c>
      <c r="E22" s="563">
        <f t="shared" ca="1" si="0"/>
        <v>4.1202672605790642</v>
      </c>
      <c r="F22" s="721">
        <f ca="1">IF(B22="","",INDEX(OFFSET(Arb!$X$2,,,Arb!$AJ$5,),B22)/D22)</f>
        <v>4.7884187082405347</v>
      </c>
      <c r="G22" s="565">
        <f ca="1">IF(B22="","",(INDEX(OFFSET(Arb!$U$2,,,Arb!$AJ$5,),B22)+INDEX(OFFSET(Arb!$V$2,,,Arb!$AJ$5,),B22))/D22)</f>
        <v>5.1224944320712691</v>
      </c>
      <c r="H22" s="33">
        <f t="shared" ca="1" si="1"/>
        <v>1.1281531185847506</v>
      </c>
      <c r="I22" s="777">
        <f t="shared" ca="1" si="2"/>
        <v>41.926046403466763</v>
      </c>
      <c r="J22" s="74">
        <f ca="1">IF(B22="","",DATE(INDEX(OFFSET(Arb!$C$2,,,Arb!$AJ$5,),B22),INDEX(OFFSET(Arb!$B$2,,,Arb!$AJ$5,),B22),INDEX(OFFSET(Arb!$A$2,,,Arb!$AJ$5,),B22))+ROW()*0.001)</f>
        <v>43940.021999999997</v>
      </c>
      <c r="K22" s="11">
        <v>21</v>
      </c>
      <c r="L22" s="11">
        <v>2316</v>
      </c>
      <c r="M22" s="433">
        <f ca="1">IF(L22="",64,INDEX(OFFSET(Arb!$I$2,,,Arb!$AJ$5,),L22))</f>
        <v>67</v>
      </c>
      <c r="N22" s="679">
        <f ca="1">IF(L22="",60,INDEX(OFFSET(Arb!$H$2,,,Arb!$AJ$5,),L22))</f>
        <v>22.6</v>
      </c>
      <c r="O22" s="725">
        <f t="shared" ca="1" si="3"/>
        <v>2.9646017699115044</v>
      </c>
      <c r="P22" s="724">
        <f ca="1">IF(L22="","",INDEX(OFFSET(Arb!$X$2,,,Arb!$AJ$5,),L22)/N22)</f>
        <v>3.4513274336283182</v>
      </c>
      <c r="Q22" s="723">
        <f ca="1">IF(L22="","",(INDEX(OFFSET(Arb!$U$2,,,Arb!$AJ$5,),L22)+INDEX(OFFSET(Arb!$V$2,,,Arb!$AJ$5,),L22))/N22)</f>
        <v>3.8495575221238933</v>
      </c>
      <c r="R22" s="33">
        <f t="shared" ca="1" si="4"/>
        <v>2.99164146370379</v>
      </c>
      <c r="S22" s="774">
        <f t="shared" ca="1" si="5"/>
        <v>51.386505323293378</v>
      </c>
      <c r="T22" s="74">
        <f ca="1">IF(L22="","",DATE(INDEX(OFFSET(Arb!$C$2,,,Arb!$AJ$5,),L22),INDEX(OFFSET(Arb!$B$2,,,Arb!$AJ$5,),L22),INDEX(OFFSET(Arb!$A$2,,,Arb!$AJ$5,),L22))+ROW()*0.001)</f>
        <v>43967.021999999997</v>
      </c>
      <c r="U22" s="11">
        <v>21</v>
      </c>
      <c r="V22" s="11">
        <v>3185</v>
      </c>
      <c r="W22" s="433">
        <f ca="1">IF(V22="",164,INDEX(OFFSET(Arb!$I$2,,,Arb!$AJ$5,),V22))</f>
        <v>187</v>
      </c>
      <c r="X22" s="679">
        <f ca="1">IF(V22="",240,INDEX(OFFSET(Arb!$H$2,,,Arb!$AJ$5,),V22))</f>
        <v>69.86</v>
      </c>
      <c r="Y22" s="726">
        <f t="shared" ca="1" si="6"/>
        <v>2.6767821356999715</v>
      </c>
      <c r="Z22" s="561">
        <f ca="1">IF(V22="","",INDEX(OFFSET(Arb!$X$2,,,Arb!$AJ$5,),V22)/X22)</f>
        <v>3.2064128256513027</v>
      </c>
      <c r="AA22" s="724">
        <f ca="1">IF(V22="","",(INDEX(OFFSET(Arb!$U$2,,,Arb!$AJ$5,),V22)+INDEX(OFFSET(Arb!$V$2,,,Arb!$AJ$5,),V22))/X22)</f>
        <v>3.4354423131978242</v>
      </c>
      <c r="AB22" s="33">
        <f t="shared" ca="1" si="7"/>
        <v>7.300405467384401</v>
      </c>
      <c r="AC22" s="776">
        <f t="shared" ca="1" si="8"/>
        <v>59.585868475857779</v>
      </c>
      <c r="AD22" s="74">
        <f ca="1">IF(V22="","",DATE(INDEX(OFFSET(Arb!$C$2,,,Arb!$AJ$5,),V22),INDEX(OFFSET(Arb!$B$2,,,Arb!$AJ$5,),V22),INDEX(OFFSET(Arb!$A$2,,,Arb!$AJ$5,),V22))+ROW()*0.001)</f>
        <v>44052.021999999997</v>
      </c>
    </row>
    <row r="23" spans="1:30" x14ac:dyDescent="0.25">
      <c r="A23" s="11">
        <v>22</v>
      </c>
      <c r="B23" s="11">
        <v>727</v>
      </c>
      <c r="C23" s="433">
        <f ca="1">IF(B23="",16,INDEX(OFFSET(Arb!$I$2,,,Arb!$AJ$5,),B23))</f>
        <v>40</v>
      </c>
      <c r="D23" s="680">
        <f ca="1">IF(B23="",10,INDEX(OFFSET(Arb!$H$2,,,Arb!$AJ$5,),B23))</f>
        <v>9.73</v>
      </c>
      <c r="E23" s="563">
        <f t="shared" ca="1" si="0"/>
        <v>4.1109969167523124</v>
      </c>
      <c r="F23" s="563">
        <f ca="1">IF(B23="","",INDEX(OFFSET(Arb!$X$2,,,Arb!$AJ$5,),B23)/D23)</f>
        <v>4.0082219938335042</v>
      </c>
      <c r="G23" s="564">
        <f ca="1">IF(B23="","",(INDEX(OFFSET(Arb!$U$2,,,Arb!$AJ$5,),B23)+INDEX(OFFSET(Arb!$V$2,,,Arb!$AJ$5,),B23))/D23)</f>
        <v>4.7276464542651588</v>
      </c>
      <c r="H23" s="33">
        <f t="shared" ca="1" si="1"/>
        <v>1.1960018106186863</v>
      </c>
      <c r="I23" s="777">
        <f t="shared" ca="1" si="2"/>
        <v>39.54759899195507</v>
      </c>
      <c r="J23" s="74">
        <f ca="1">IF(B23="","",DATE(INDEX(OFFSET(Arb!$C$2,,,Arb!$AJ$5,),B23),INDEX(OFFSET(Arb!$B$2,,,Arb!$AJ$5,),B23),INDEX(OFFSET(Arb!$A$2,,,Arb!$AJ$5,),B23))+ROW()*0.001)</f>
        <v>43805.023000000001</v>
      </c>
      <c r="K23" s="11">
        <v>22</v>
      </c>
      <c r="L23" s="11">
        <v>2254</v>
      </c>
      <c r="M23" s="433">
        <f ca="1">IF(L23="",64,INDEX(OFFSET(Arb!$I$2,,,Arb!$AJ$5,),L23))</f>
        <v>73</v>
      </c>
      <c r="N23" s="680">
        <f ca="1">IF(L23="",60,INDEX(OFFSET(Arb!$H$2,,,Arb!$AJ$5,),L23))</f>
        <v>24.74</v>
      </c>
      <c r="O23" s="725">
        <f t="shared" ca="1" si="3"/>
        <v>2.9506871463217466</v>
      </c>
      <c r="P23" s="724">
        <f ca="1">IF(L23="","",INDEX(OFFSET(Arb!$X$2,,,Arb!$AJ$5,),L23)/N23)</f>
        <v>3.3548908649959581</v>
      </c>
      <c r="Q23" s="562">
        <f ca="1">IF(L23="","",(INDEX(OFFSET(Arb!$U$2,,,Arb!$AJ$5,),L23)+INDEX(OFFSET(Arb!$V$2,,,Arb!$AJ$5,),L23))/N23)</f>
        <v>3.5974130962004853</v>
      </c>
      <c r="R23" s="33">
        <f t="shared" ca="1" si="4"/>
        <v>3.2022602310830304</v>
      </c>
      <c r="S23" s="777">
        <f t="shared" ca="1" si="5"/>
        <v>48.006716789536888</v>
      </c>
      <c r="T23" s="74">
        <f ca="1">IF(L23="","",DATE(INDEX(OFFSET(Arb!$C$2,,,Arb!$AJ$5,),L23),INDEX(OFFSET(Arb!$B$2,,,Arb!$AJ$5,),L23),INDEX(OFFSET(Arb!$A$2,,,Arb!$AJ$5,),L23))+ROW()*0.001)</f>
        <v>43901.023000000001</v>
      </c>
      <c r="U23" s="11">
        <v>22</v>
      </c>
      <c r="V23" s="11">
        <v>3157</v>
      </c>
      <c r="W23" s="433">
        <f ca="1">IF(V23="",164,INDEX(OFFSET(Arb!$I$2,,,Arb!$AJ$5,),V23))</f>
        <v>214</v>
      </c>
      <c r="X23" s="682">
        <f ca="1">IF(V23="",240,INDEX(OFFSET(Arb!$H$2,,,Arb!$AJ$5,),V23))</f>
        <v>80.08</v>
      </c>
      <c r="Y23" s="726">
        <f t="shared" ca="1" si="6"/>
        <v>2.6723276723276723</v>
      </c>
      <c r="Z23" s="561">
        <f ca="1">IF(V23="","",INDEX(OFFSET(Arb!$X$2,,,Arb!$AJ$5,),V23)/X23)</f>
        <v>3.0344655344655345</v>
      </c>
      <c r="AA23" s="724">
        <f ca="1">IF(V23="","",(INDEX(OFFSET(Arb!$U$2,,,Arb!$AJ$5,),V23)+INDEX(OFFSET(Arb!$V$2,,,Arb!$AJ$5,),V23))/X23)</f>
        <v>3.384115884115884</v>
      </c>
      <c r="AB23" s="33">
        <f t="shared" ca="1" si="7"/>
        <v>8.0459464215617942</v>
      </c>
      <c r="AC23" s="774">
        <f t="shared" ca="1" si="8"/>
        <v>54.06461554780801</v>
      </c>
      <c r="AD23" s="74">
        <f ca="1">IF(V23="","",DATE(INDEX(OFFSET(Arb!$C$2,,,Arb!$AJ$5,),V23),INDEX(OFFSET(Arb!$B$2,,,Arb!$AJ$5,),V23),INDEX(OFFSET(Arb!$A$2,,,Arb!$AJ$5,),V23))+ROW()*0.001)</f>
        <v>44029.023000000001</v>
      </c>
    </row>
    <row r="24" spans="1:30" x14ac:dyDescent="0.25">
      <c r="A24" s="11">
        <v>23</v>
      </c>
      <c r="B24" s="11">
        <v>446</v>
      </c>
      <c r="C24" s="433">
        <f ca="1">IF(B24="",16,INDEX(OFFSET(Arb!$I$2,,,Arb!$AJ$5,),B24))</f>
        <v>18</v>
      </c>
      <c r="D24" s="683">
        <f ca="1">IF(B24="",10,INDEX(OFFSET(Arb!$H$2,,,Arb!$AJ$5,),B24))</f>
        <v>4.41</v>
      </c>
      <c r="E24" s="563">
        <f t="shared" ca="1" si="0"/>
        <v>4.0816326530612246</v>
      </c>
      <c r="F24" s="563">
        <f ca="1">IF(B24="","",INDEX(OFFSET(Arb!$X$2,,,Arb!$AJ$5,),B24)/D24)</f>
        <v>4.0816326530612246</v>
      </c>
      <c r="G24" s="564">
        <f ca="1">IF(B24="","",(INDEX(OFFSET(Arb!$U$2,,,Arb!$AJ$5,),B24)+INDEX(OFFSET(Arb!$V$2,,,Arb!$AJ$5,),B24))/D24)</f>
        <v>4.5351473922902494</v>
      </c>
      <c r="H24" s="33">
        <f t="shared" ca="1" si="1"/>
        <v>0.69226615115262069</v>
      </c>
      <c r="I24" s="775">
        <f t="shared" ca="1" si="2"/>
        <v>68.324877536258754</v>
      </c>
      <c r="J24" s="74">
        <f ca="1">IF(B24="","",DATE(INDEX(OFFSET(Arb!$C$2,,,Arb!$AJ$5,),B24),INDEX(OFFSET(Arb!$B$2,,,Arb!$AJ$5,),B24),INDEX(OFFSET(Arb!$A$2,,,Arb!$AJ$5,),B24))+ROW()*0.001)</f>
        <v>43782.023999999998</v>
      </c>
      <c r="K24" s="11">
        <v>23</v>
      </c>
      <c r="L24" s="11">
        <v>2028</v>
      </c>
      <c r="M24" s="433">
        <f ca="1">IF(L24="",64,INDEX(OFFSET(Arb!$I$2,,,Arb!$AJ$5,),L24))</f>
        <v>85</v>
      </c>
      <c r="N24" s="690">
        <f ca="1">IF(L24="",60,INDEX(OFFSET(Arb!$H$2,,,Arb!$AJ$5,),L24))</f>
        <v>28.89</v>
      </c>
      <c r="O24" s="725">
        <f t="shared" ca="1" si="3"/>
        <v>2.9421945309795778</v>
      </c>
      <c r="P24" s="562">
        <f ca="1">IF(L24="","",INDEX(OFFSET(Arb!$X$2,,,Arb!$AJ$5,),L24)/N24)</f>
        <v>3.5998615437867771</v>
      </c>
      <c r="Q24" s="563">
        <f ca="1">IF(L24="","",(INDEX(OFFSET(Arb!$U$2,,,Arb!$AJ$5,),L24)+INDEX(OFFSET(Arb!$V$2,,,Arb!$AJ$5,),L24))/N24)</f>
        <v>4.1536863966770508</v>
      </c>
      <c r="R24" s="33">
        <f t="shared" ca="1" si="4"/>
        <v>3.5797433865989388</v>
      </c>
      <c r="S24" s="777">
        <f t="shared" ca="1" si="5"/>
        <v>42.944419026095773</v>
      </c>
      <c r="T24" s="74">
        <f ca="1">IF(L24="","",DATE(INDEX(OFFSET(Arb!$C$2,,,Arb!$AJ$5,),L24),INDEX(OFFSET(Arb!$B$2,,,Arb!$AJ$5,),L24),INDEX(OFFSET(Arb!$A$2,,,Arb!$AJ$5,),L24))+ROW()*0.001)</f>
        <v>43797.023999999998</v>
      </c>
      <c r="U24" s="11">
        <v>23</v>
      </c>
      <c r="V24" s="11">
        <v>3281</v>
      </c>
      <c r="W24" s="433">
        <f ca="1">IF(V24="",164,INDEX(OFFSET(Arb!$I$2,,,Arb!$AJ$5,),V24))</f>
        <v>190</v>
      </c>
      <c r="X24" s="679">
        <f ca="1">IF(V24="",240,INDEX(OFFSET(Arb!$H$2,,,Arb!$AJ$5,),V24))</f>
        <v>71.099999999999994</v>
      </c>
      <c r="Y24" s="726">
        <f t="shared" ca="1" si="6"/>
        <v>2.6722925457102673</v>
      </c>
      <c r="Z24" s="561">
        <f ca="1">IF(V24="","",INDEX(OFFSET(Arb!$X$2,,,Arb!$AJ$5,),V24)/X24)</f>
        <v>3.0661040787623071</v>
      </c>
      <c r="AA24" s="724">
        <f ca="1">IF(V24="","",(INDEX(OFFSET(Arb!$U$2,,,Arb!$AJ$5,),V24)+INDEX(OFFSET(Arb!$V$2,,,Arb!$AJ$5,),V24))/X24)</f>
        <v>3.3052039381153309</v>
      </c>
      <c r="AB24" s="33">
        <f t="shared" ca="1" si="7"/>
        <v>7.4032892923441125</v>
      </c>
      <c r="AC24" s="776">
        <f t="shared" ca="1" si="8"/>
        <v>58.757801137103087</v>
      </c>
      <c r="AD24" s="74">
        <f ca="1">IF(V24="","",DATE(INDEX(OFFSET(Arb!$C$2,,,Arb!$AJ$5,),V24),INDEX(OFFSET(Arb!$B$2,,,Arb!$AJ$5,),V24),INDEX(OFFSET(Arb!$A$2,,,Arb!$AJ$5,),V24))+ROW()*0.001)</f>
        <v>44083.023999999998</v>
      </c>
    </row>
    <row r="25" spans="1:30" x14ac:dyDescent="0.25">
      <c r="A25" s="11">
        <v>24</v>
      </c>
      <c r="B25" s="11">
        <v>1557</v>
      </c>
      <c r="C25" s="433">
        <f ca="1">IF(B25="",16,INDEX(OFFSET(Arb!$I$2,,,Arb!$AJ$5,),B25))</f>
        <v>16</v>
      </c>
      <c r="D25" s="560">
        <f ca="1">IF(B25="",10,INDEX(OFFSET(Arb!$H$2,,,Arb!$AJ$5,),B25))</f>
        <v>3.93</v>
      </c>
      <c r="E25" s="563">
        <f t="shared" ca="1" si="0"/>
        <v>4.0712468193384224</v>
      </c>
      <c r="F25" s="722">
        <f ca="1">IF(B25="","",INDEX(OFFSET(Arb!$X$2,,,Arb!$AJ$5,),B25)/D25)</f>
        <v>4.325699745547074</v>
      </c>
      <c r="G25" s="564">
        <f ca="1">IF(B25="","",(INDEX(OFFSET(Arb!$U$2,,,Arb!$AJ$5,),B25)+INDEX(OFFSET(Arb!$V$2,,,Arb!$AJ$5,),B25))/D25)</f>
        <v>4.5801526717557248</v>
      </c>
      <c r="H25" s="33">
        <f t="shared" ca="1" si="1"/>
        <v>0.64024670634524128</v>
      </c>
      <c r="I25" s="773">
        <f t="shared" ca="1" si="2"/>
        <v>73.876209797313479</v>
      </c>
      <c r="J25" s="74">
        <f ca="1">IF(B25="","",DATE(INDEX(OFFSET(Arb!$C$2,,,Arb!$AJ$5,),B25),INDEX(OFFSET(Arb!$B$2,,,Arb!$AJ$5,),B25),INDEX(OFFSET(Arb!$A$2,,,Arb!$AJ$5,),B25))+ROW()*0.001)</f>
        <v>43989.025000000001</v>
      </c>
      <c r="K25" s="11">
        <v>24</v>
      </c>
      <c r="L25" s="11">
        <v>2114</v>
      </c>
      <c r="M25" s="433">
        <f ca="1">IF(L25="",64,INDEX(OFFSET(Arb!$I$2,,,Arb!$AJ$5,),L25))</f>
        <v>55</v>
      </c>
      <c r="N25" s="688">
        <f ca="1">IF(L25="",60,INDEX(OFFSET(Arb!$H$2,,,Arb!$AJ$5,),L25))</f>
        <v>18.7</v>
      </c>
      <c r="O25" s="725">
        <f t="shared" ca="1" si="3"/>
        <v>2.9411764705882355</v>
      </c>
      <c r="P25" s="724">
        <f ca="1">IF(L25="","",INDEX(OFFSET(Arb!$X$2,,,Arb!$AJ$5,),L25)/N25)</f>
        <v>3.4224598930481283</v>
      </c>
      <c r="Q25" s="562">
        <f ca="1">IF(L25="","",(INDEX(OFFSET(Arb!$U$2,,,Arb!$AJ$5,),L25)+INDEX(OFFSET(Arb!$V$2,,,Arb!$AJ$5,),L25))/N25)</f>
        <v>3.6363636363636367</v>
      </c>
      <c r="R25" s="33">
        <f t="shared" ca="1" si="4"/>
        <v>2.6409978132937173</v>
      </c>
      <c r="S25" s="776">
        <f t="shared" ca="1" si="5"/>
        <v>58.209059934160187</v>
      </c>
      <c r="T25" s="74">
        <f ca="1">IF(L25="","",DATE(INDEX(OFFSET(Arb!$C$2,,,Arb!$AJ$5,),L25),INDEX(OFFSET(Arb!$B$2,,,Arb!$AJ$5,),L25),INDEX(OFFSET(Arb!$A$2,,,Arb!$AJ$5,),L25))+ROW()*0.001)</f>
        <v>43811.025000000001</v>
      </c>
      <c r="U25" s="11">
        <v>24</v>
      </c>
      <c r="V25" s="11">
        <v>3247</v>
      </c>
      <c r="W25" s="433">
        <f ca="1">IF(V25="",164,INDEX(OFFSET(Arb!$I$2,,,Arb!$AJ$5,),V25))</f>
        <v>174</v>
      </c>
      <c r="X25" s="691">
        <f ca="1">IF(V25="",240,INDEX(OFFSET(Arb!$H$2,,,Arb!$AJ$5,),V25))</f>
        <v>65.12</v>
      </c>
      <c r="Y25" s="726">
        <f t="shared" ca="1" si="6"/>
        <v>2.671990171990172</v>
      </c>
      <c r="Z25" s="561">
        <f ca="1">IF(V25="","",INDEX(OFFSET(Arb!$X$2,,,Arb!$AJ$5,),V25)/X25)</f>
        <v>3.0098280098280097</v>
      </c>
      <c r="AA25" s="724">
        <f ca="1">IF(V25="","",(INDEX(OFFSET(Arb!$U$2,,,Arb!$AJ$5,),V25)+INDEX(OFFSET(Arb!$V$2,,,Arb!$AJ$5,),V25))/X25)</f>
        <v>3.3783783783783781</v>
      </c>
      <c r="AB25" s="33">
        <f t="shared" ca="1" si="7"/>
        <v>6.9625001560460129</v>
      </c>
      <c r="AC25" s="776">
        <f t="shared" ca="1" si="8"/>
        <v>62.477700574593023</v>
      </c>
      <c r="AD25" s="74">
        <f ca="1">IF(V25="","",DATE(INDEX(OFFSET(Arb!$C$2,,,Arb!$AJ$5,),V25),INDEX(OFFSET(Arb!$B$2,,,Arb!$AJ$5,),V25),INDEX(OFFSET(Arb!$A$2,,,Arb!$AJ$5,),V25))+ROW()*0.001)</f>
        <v>44067.025000000001</v>
      </c>
    </row>
    <row r="26" spans="1:30" x14ac:dyDescent="0.25">
      <c r="A26" s="11">
        <v>25</v>
      </c>
      <c r="B26" s="11">
        <v>472</v>
      </c>
      <c r="C26" s="433">
        <f ca="1">IF(B26="",16,INDEX(OFFSET(Arb!$I$2,,,Arb!$AJ$5,),B26))</f>
        <v>32</v>
      </c>
      <c r="D26" s="692">
        <f ca="1">IF(B26="",10,INDEX(OFFSET(Arb!$H$2,,,Arb!$AJ$5,),B26))</f>
        <v>7.87</v>
      </c>
      <c r="E26" s="563">
        <f t="shared" ca="1" si="0"/>
        <v>4.066073697585769</v>
      </c>
      <c r="F26" s="724">
        <f ca="1">IF(B26="","",INDEX(OFFSET(Arb!$X$2,,,Arb!$AJ$5,),B26)/D26)</f>
        <v>3.4307496823379924</v>
      </c>
      <c r="G26" s="722">
        <f ca="1">IF(B26="","",(INDEX(OFFSET(Arb!$U$2,,,Arb!$AJ$5,),B26)+INDEX(OFFSET(Arb!$V$2,,,Arb!$AJ$5,),B26))/D26)</f>
        <v>4.4472681067344348</v>
      </c>
      <c r="H26" s="33">
        <f t="shared" ca="1" si="1"/>
        <v>1.0423343897621637</v>
      </c>
      <c r="I26" s="777">
        <f t="shared" ca="1" si="2"/>
        <v>45.377952089628856</v>
      </c>
      <c r="J26" s="74">
        <f ca="1">IF(B26="","",DATE(INDEX(OFFSET(Arb!$C$2,,,Arb!$AJ$5,),B26),INDEX(OFFSET(Arb!$B$2,,,Arb!$AJ$5,),B26),INDEX(OFFSET(Arb!$A$2,,,Arb!$AJ$5,),B26))+ROW()*0.001)</f>
        <v>43786.025999999998</v>
      </c>
      <c r="K26" s="11">
        <v>25</v>
      </c>
      <c r="L26" s="11">
        <v>2398</v>
      </c>
      <c r="M26" s="433">
        <f ca="1">IF(L26="",64,INDEX(OFFSET(Arb!$I$2,,,Arb!$AJ$5,),L26))</f>
        <v>89</v>
      </c>
      <c r="N26" s="679">
        <f ca="1">IF(L26="",60,INDEX(OFFSET(Arb!$H$2,,,Arb!$AJ$5,),L26))</f>
        <v>30.26</v>
      </c>
      <c r="O26" s="725">
        <f t="shared" ca="1" si="3"/>
        <v>2.9411764705882351</v>
      </c>
      <c r="P26" s="561">
        <f ca="1">IF(L26="","",INDEX(OFFSET(Arb!$X$2,,,Arb!$AJ$5,),L26)/N26)</f>
        <v>3.1064111037673494</v>
      </c>
      <c r="Q26" s="562">
        <f ca="1">IF(L26="","",(INDEX(OFFSET(Arb!$U$2,,,Arb!$AJ$5,),L26)+INDEX(OFFSET(Arb!$V$2,,,Arb!$AJ$5,),L26))/N26)</f>
        <v>3.5029742233972239</v>
      </c>
      <c r="R26" s="33">
        <f t="shared" ca="1" si="4"/>
        <v>3.6990241235876606</v>
      </c>
      <c r="S26" s="777">
        <f t="shared" ca="1" si="5"/>
        <v>41.559610011653078</v>
      </c>
      <c r="T26" s="74">
        <f ca="1">IF(L26="","",DATE(INDEX(OFFSET(Arb!$C$2,,,Arb!$AJ$5,),L26),INDEX(OFFSET(Arb!$B$2,,,Arb!$AJ$5,),L26),INDEX(OFFSET(Arb!$A$2,,,Arb!$AJ$5,),L26))+ROW()*0.001)</f>
        <v>44168.025999999998</v>
      </c>
      <c r="U26" s="11">
        <v>25</v>
      </c>
      <c r="V26" s="11">
        <v>3078</v>
      </c>
      <c r="W26" s="433">
        <f ca="1">IF(V26="",164,INDEX(OFFSET(Arb!$I$2,,,Arb!$AJ$5,),V26))</f>
        <v>196</v>
      </c>
      <c r="X26" s="679">
        <f ca="1">IF(V26="",240,INDEX(OFFSET(Arb!$H$2,,,Arb!$AJ$5,),V26))</f>
        <v>73.5</v>
      </c>
      <c r="Y26" s="726">
        <f t="shared" ca="1" si="6"/>
        <v>2.6666666666666665</v>
      </c>
      <c r="Z26" s="725">
        <f ca="1">IF(V26="","",INDEX(OFFSET(Arb!$X$2,,,Arb!$AJ$5,),V26)/X26)</f>
        <v>2.9387755102040818</v>
      </c>
      <c r="AA26" s="561">
        <f ca="1">IF(V26="","",(INDEX(OFFSET(Arb!$U$2,,,Arb!$AJ$5,),V26)+INDEX(OFFSET(Arb!$V$2,,,Arb!$AJ$5,),V26))/X26)</f>
        <v>3.1564625850340136</v>
      </c>
      <c r="AB26" s="33">
        <f t="shared" ca="1" si="7"/>
        <v>7.5933322853812735</v>
      </c>
      <c r="AC26" s="776">
        <f t="shared" ca="1" si="8"/>
        <v>57.287233542705138</v>
      </c>
      <c r="AD26" s="74">
        <f ca="1">IF(V26="","",DATE(INDEX(OFFSET(Arb!$C$2,,,Arb!$AJ$5,),V26),INDEX(OFFSET(Arb!$B$2,,,Arb!$AJ$5,),V26),INDEX(OFFSET(Arb!$A$2,,,Arb!$AJ$5,),V26))+ROW()*0.001)</f>
        <v>44003.025999999998</v>
      </c>
    </row>
    <row r="27" spans="1:30" x14ac:dyDescent="0.25">
      <c r="A27" s="11">
        <v>26</v>
      </c>
      <c r="B27" s="11">
        <v>1636</v>
      </c>
      <c r="C27" s="433">
        <f ca="1">IF(B27="",16,INDEX(OFFSET(Arb!$I$2,,,Arb!$AJ$5,),B27))</f>
        <v>16</v>
      </c>
      <c r="D27" s="560">
        <f ca="1">IF(B27="",10,INDEX(OFFSET(Arb!$H$2,,,Arb!$AJ$5,),B27))</f>
        <v>3.95</v>
      </c>
      <c r="E27" s="563">
        <f t="shared" ca="1" si="0"/>
        <v>4.0506329113924044</v>
      </c>
      <c r="F27" s="565">
        <f ca="1">IF(B27="","",INDEX(OFFSET(Arb!$X$2,,,Arb!$AJ$5,),B27)/D27)</f>
        <v>5.0632911392405058</v>
      </c>
      <c r="G27" s="565">
        <f ca="1">IF(B27="","",(INDEX(OFFSET(Arb!$U$2,,,Arb!$AJ$5,),B27)+INDEX(OFFSET(Arb!$V$2,,,Arb!$AJ$5,),B27))/D27)</f>
        <v>5.0632911392405058</v>
      </c>
      <c r="H27" s="33">
        <f t="shared" ca="1" si="1"/>
        <v>0.64579559731892844</v>
      </c>
      <c r="I27" s="773">
        <f t="shared" ca="1" si="2"/>
        <v>73.241440784615975</v>
      </c>
      <c r="J27" s="74">
        <f ca="1">IF(B27="","",DATE(INDEX(OFFSET(Arb!$C$2,,,Arb!$AJ$5,),B27),INDEX(OFFSET(Arb!$B$2,,,Arb!$AJ$5,),B27),INDEX(OFFSET(Arb!$A$2,,,Arb!$AJ$5,),B27))+ROW()*0.001)</f>
        <v>44093.027000000002</v>
      </c>
      <c r="K27" s="11">
        <v>26</v>
      </c>
      <c r="L27" s="11">
        <v>2322</v>
      </c>
      <c r="M27" s="433">
        <f ca="1">IF(L27="",64,INDEX(OFFSET(Arb!$I$2,,,Arb!$AJ$5,),L27))</f>
        <v>82</v>
      </c>
      <c r="N27" s="682">
        <f ca="1">IF(L27="",60,INDEX(OFFSET(Arb!$H$2,,,Arb!$AJ$5,),L27))</f>
        <v>27.89</v>
      </c>
      <c r="O27" s="725">
        <f t="shared" ca="1" si="3"/>
        <v>2.9401219074937255</v>
      </c>
      <c r="P27" s="723">
        <f ca="1">IF(L27="","",INDEX(OFFSET(Arb!$X$2,,,Arb!$AJ$5,),L27)/N27)</f>
        <v>3.8006453926138399</v>
      </c>
      <c r="Q27" s="564">
        <f ca="1">IF(L27="","",(INDEX(OFFSET(Arb!$U$2,,,Arb!$AJ$5,),L27)+INDEX(OFFSET(Arb!$V$2,,,Arb!$AJ$5,),L27))/N27)</f>
        <v>4.6611688777339548</v>
      </c>
      <c r="R27" s="33">
        <f t="shared" ca="1" si="4"/>
        <v>3.4950116028493965</v>
      </c>
      <c r="S27" s="777">
        <f t="shared" ca="1" si="5"/>
        <v>43.985547823265513</v>
      </c>
      <c r="T27" s="74">
        <f ca="1">IF(L27="","",DATE(INDEX(OFFSET(Arb!$C$2,,,Arb!$AJ$5,),L27),INDEX(OFFSET(Arb!$B$2,,,Arb!$AJ$5,),L27),INDEX(OFFSET(Arb!$A$2,,,Arb!$AJ$5,),L27))+ROW()*0.001)</f>
        <v>43990.027000000002</v>
      </c>
      <c r="U27" s="11">
        <v>26</v>
      </c>
      <c r="V27" s="11">
        <v>3219</v>
      </c>
      <c r="W27" s="433">
        <f ca="1">IF(V27="",164,INDEX(OFFSET(Arb!$I$2,,,Arb!$AJ$5,),V27))</f>
        <v>189</v>
      </c>
      <c r="X27" s="679">
        <f ca="1">IF(V27="",240,INDEX(OFFSET(Arb!$H$2,,,Arb!$AJ$5,),V27))</f>
        <v>70.97</v>
      </c>
      <c r="Y27" s="726">
        <f t="shared" ca="1" si="6"/>
        <v>2.6630970832746232</v>
      </c>
      <c r="Z27" s="561">
        <f ca="1">IF(V27="","",INDEX(OFFSET(Arb!$X$2,,,Arb!$AJ$5,),V27)/X27)</f>
        <v>3.1139918275327605</v>
      </c>
      <c r="AA27" s="724">
        <f ca="1">IF(V27="","",(INDEX(OFFSET(Arb!$U$2,,,Arb!$AJ$5,),V27)+INDEX(OFFSET(Arb!$V$2,,,Arb!$AJ$5,),V27))/X27)</f>
        <v>3.4944342680005636</v>
      </c>
      <c r="AB27" s="33">
        <f t="shared" ca="1" si="7"/>
        <v>7.419341556704004</v>
      </c>
      <c r="AC27" s="776">
        <f t="shared" ca="1" si="8"/>
        <v>58.630674524876092</v>
      </c>
      <c r="AD27" s="74">
        <f ca="1">IF(V27="","",DATE(INDEX(OFFSET(Arb!$C$2,,,Arb!$AJ$5,),V27),INDEX(OFFSET(Arb!$B$2,,,Arb!$AJ$5,),V27),INDEX(OFFSET(Arb!$A$2,,,Arb!$AJ$5,),V27))+ROW()*0.001)</f>
        <v>44059.027000000002</v>
      </c>
    </row>
    <row r="28" spans="1:30" x14ac:dyDescent="0.25">
      <c r="A28" s="11">
        <v>27</v>
      </c>
      <c r="B28" s="11">
        <v>443</v>
      </c>
      <c r="C28" s="433">
        <f ca="1">IF(B28="",16,INDEX(OFFSET(Arb!$I$2,,,Arb!$AJ$5,),B28))</f>
        <v>26</v>
      </c>
      <c r="D28" s="688">
        <f ca="1">IF(B28="",10,INDEX(OFFSET(Arb!$H$2,,,Arb!$AJ$5,),B28))</f>
        <v>6.44</v>
      </c>
      <c r="E28" s="563">
        <f t="shared" ca="1" si="0"/>
        <v>4.037267080745341</v>
      </c>
      <c r="F28" s="722">
        <f ca="1">IF(B28="","",INDEX(OFFSET(Arb!$X$2,,,Arb!$AJ$5,),B28)/D28)</f>
        <v>4.3478260869565215</v>
      </c>
      <c r="G28" s="772">
        <f ca="1">IF(B28="","",(INDEX(OFFSET(Arb!$U$2,,,Arb!$AJ$5,),B28)+INDEX(OFFSET(Arb!$V$2,,,Arb!$AJ$5,),B28))/D28)</f>
        <v>5.4347826086956514</v>
      </c>
      <c r="H28" s="33">
        <f t="shared" ca="1" si="1"/>
        <v>0.91228939531024522</v>
      </c>
      <c r="I28" s="774">
        <f t="shared" ca="1" si="2"/>
        <v>51.846486699447901</v>
      </c>
      <c r="J28" s="74">
        <f ca="1">IF(B28="","",DATE(INDEX(OFFSET(Arb!$C$2,,,Arb!$AJ$5,),B28),INDEX(OFFSET(Arb!$B$2,,,Arb!$AJ$5,),B28),INDEX(OFFSET(Arb!$A$2,,,Arb!$AJ$5,),B28))+ROW()*0.001)</f>
        <v>43782.027999999998</v>
      </c>
      <c r="K28" s="11">
        <v>27</v>
      </c>
      <c r="L28" s="11">
        <v>2202</v>
      </c>
      <c r="M28" s="433">
        <f ca="1">IF(L28="",64,INDEX(OFFSET(Arb!$I$2,,,Arb!$AJ$5,),L28))</f>
        <v>76</v>
      </c>
      <c r="N28" s="680">
        <f ca="1">IF(L28="",60,INDEX(OFFSET(Arb!$H$2,,,Arb!$AJ$5,),L28))</f>
        <v>25.93</v>
      </c>
      <c r="O28" s="725">
        <f t="shared" ca="1" si="3"/>
        <v>2.9309679907443118</v>
      </c>
      <c r="P28" s="561">
        <f ca="1">IF(L28="","",INDEX(OFFSET(Arb!$X$2,,,Arb!$AJ$5,),L28)/N28)</f>
        <v>3.2009255688391827</v>
      </c>
      <c r="Q28" s="724">
        <f ca="1">IF(L28="","",(INDEX(OFFSET(Arb!$U$2,,,Arb!$AJ$5,),L28)+INDEX(OFFSET(Arb!$V$2,,,Arb!$AJ$5,),L28))/N28)</f>
        <v>3.2780563054377168</v>
      </c>
      <c r="R28" s="33">
        <f t="shared" ca="1" si="4"/>
        <v>3.3315833749263533</v>
      </c>
      <c r="S28" s="777">
        <f t="shared" ca="1" si="5"/>
        <v>46.143224617153187</v>
      </c>
      <c r="T28" s="74">
        <f ca="1">IF(L28="","",DATE(INDEX(OFFSET(Arb!$C$2,,,Arb!$AJ$5,),L28),INDEX(OFFSET(Arb!$B$2,,,Arb!$AJ$5,),L28),INDEX(OFFSET(Arb!$A$2,,,Arb!$AJ$5,),L28))+ROW()*0.001)</f>
        <v>43869.027999999998</v>
      </c>
      <c r="U28" s="11">
        <v>27</v>
      </c>
      <c r="V28" s="11">
        <v>3288</v>
      </c>
      <c r="W28" s="433">
        <f ca="1">IF(V28="",164,INDEX(OFFSET(Arb!$I$2,,,Arb!$AJ$5,),V28))</f>
        <v>176</v>
      </c>
      <c r="X28" s="691">
        <f ca="1">IF(V28="",240,INDEX(OFFSET(Arb!$H$2,,,Arb!$AJ$5,),V28))</f>
        <v>66.17</v>
      </c>
      <c r="Y28" s="726">
        <f t="shared" ca="1" si="6"/>
        <v>2.6598156264168051</v>
      </c>
      <c r="Z28" s="561">
        <f ca="1">IF(V28="","",INDEX(OFFSET(Arb!$X$2,,,Arb!$AJ$5,),V28)/X28)</f>
        <v>3.1434184675834969</v>
      </c>
      <c r="AA28" s="724">
        <f ca="1">IF(V28="","",(INDEX(OFFSET(Arb!$U$2,,,Arb!$AJ$5,),V28)+INDEX(OFFSET(Arb!$V$2,,,Arb!$AJ$5,),V28))/X28)</f>
        <v>3.4758954208855974</v>
      </c>
      <c r="AB28" s="33">
        <f t="shared" ca="1" si="7"/>
        <v>7.0731238249031092</v>
      </c>
      <c r="AC28" s="776">
        <f t="shared" ca="1" si="8"/>
        <v>61.500549229527849</v>
      </c>
      <c r="AD28" s="74">
        <f ca="1">IF(V28="","",DATE(INDEX(OFFSET(Arb!$C$2,,,Arb!$AJ$5,),V28),INDEX(OFFSET(Arb!$B$2,,,Arb!$AJ$5,),V28),INDEX(OFFSET(Arb!$A$2,,,Arb!$AJ$5,),V28))+ROW()*0.001)</f>
        <v>44084.027999999998</v>
      </c>
    </row>
    <row r="29" spans="1:30" x14ac:dyDescent="0.25">
      <c r="A29" s="11">
        <v>28</v>
      </c>
      <c r="B29" s="11">
        <v>1684</v>
      </c>
      <c r="C29" s="433">
        <f ca="1">IF(B29="",16,INDEX(OFFSET(Arb!$I$2,,,Arb!$AJ$5,),B29))</f>
        <v>15</v>
      </c>
      <c r="D29" s="560">
        <f ca="1">IF(B29="",10,INDEX(OFFSET(Arb!$H$2,,,Arb!$AJ$5,),B29))</f>
        <v>3.72</v>
      </c>
      <c r="E29" s="563">
        <f t="shared" ca="1" si="0"/>
        <v>4.032258064516129</v>
      </c>
      <c r="F29" s="563">
        <f ca="1">IF(B29="","",INDEX(OFFSET(Arb!$X$2,,,Arb!$AJ$5,),B29)/D29)</f>
        <v>4.032258064516129</v>
      </c>
      <c r="G29" s="722">
        <f ca="1">IF(B29="","",(INDEX(OFFSET(Arb!$U$2,,,Arb!$AJ$5,),B29)+INDEX(OFFSET(Arb!$V$2,,,Arb!$AJ$5,),B29))/D29)</f>
        <v>4.301075268817204</v>
      </c>
      <c r="H29" s="33">
        <f t="shared" ca="1" si="1"/>
        <v>0.62205923042211408</v>
      </c>
      <c r="I29" s="280">
        <f t="shared" ca="1" si="2"/>
        <v>76.036167758340412</v>
      </c>
      <c r="J29" s="74">
        <f ca="1">IF(B29="","",DATE(INDEX(OFFSET(Arb!$C$2,,,Arb!$AJ$5,),B29),INDEX(OFFSET(Arb!$B$2,,,Arb!$AJ$5,),B29),INDEX(OFFSET(Arb!$A$2,,,Arb!$AJ$5,),B29))+ROW()*0.001)</f>
        <v>44106.029000000002</v>
      </c>
      <c r="K29" s="11">
        <v>28</v>
      </c>
      <c r="L29" s="11">
        <v>2334</v>
      </c>
      <c r="M29" s="433">
        <f ca="1">IF(L29="",64,INDEX(OFFSET(Arb!$I$2,,,Arb!$AJ$5,),L29))</f>
        <v>64</v>
      </c>
      <c r="N29" s="692">
        <f ca="1">IF(L29="",60,INDEX(OFFSET(Arb!$H$2,,,Arb!$AJ$5,),L29))</f>
        <v>21.85</v>
      </c>
      <c r="O29" s="725">
        <f t="shared" ca="1" si="3"/>
        <v>2.9290617848970251</v>
      </c>
      <c r="P29" s="723">
        <f ca="1">IF(L29="","",INDEX(OFFSET(Arb!$X$2,,,Arb!$AJ$5,),L29)/N29)</f>
        <v>3.7528604118993134</v>
      </c>
      <c r="Q29" s="563">
        <f ca="1">IF(L29="","",(INDEX(OFFSET(Arb!$U$2,,,Arb!$AJ$5,),L29)+INDEX(OFFSET(Arb!$V$2,,,Arb!$AJ$5,),L29))/N29)</f>
        <v>4.0732265446224254</v>
      </c>
      <c r="R29" s="33">
        <f t="shared" ca="1" si="4"/>
        <v>2.9572461579945655</v>
      </c>
      <c r="S29" s="774">
        <f t="shared" ca="1" si="5"/>
        <v>51.984174392926036</v>
      </c>
      <c r="T29" s="74">
        <f ca="1">IF(L29="","",DATE(INDEX(OFFSET(Arb!$C$2,,,Arb!$AJ$5,),L29),INDEX(OFFSET(Arb!$B$2,,,Arb!$AJ$5,),L29),INDEX(OFFSET(Arb!$A$2,,,Arb!$AJ$5,),L29))+ROW()*0.001)</f>
        <v>44093.029000000002</v>
      </c>
      <c r="U29" s="11">
        <v>28</v>
      </c>
      <c r="V29" s="11">
        <v>3433</v>
      </c>
      <c r="W29" s="433">
        <f ca="1">IF(V29="",164,INDEX(OFFSET(Arb!$I$2,,,Arb!$AJ$5,),V29))</f>
        <v>201</v>
      </c>
      <c r="X29" s="680">
        <f ca="1">IF(V29="",240,INDEX(OFFSET(Arb!$H$2,,,Arb!$AJ$5,),V29))</f>
        <v>75.63</v>
      </c>
      <c r="Y29" s="726">
        <f t="shared" ca="1" si="6"/>
        <v>2.6576755255850855</v>
      </c>
      <c r="Z29" s="726">
        <f ca="1">IF(V29="","",INDEX(OFFSET(Arb!$X$2,,,Arb!$AJ$5,),V29)/X29)</f>
        <v>2.6973423244744152</v>
      </c>
      <c r="AA29" s="561">
        <f ca="1">IF(V29="","",(INDEX(OFFSET(Arb!$U$2,,,Arb!$AJ$5,),V29)+INDEX(OFFSET(Arb!$V$2,,,Arb!$AJ$5,),V29))/X29)</f>
        <v>3.1204548459605976</v>
      </c>
      <c r="AB29" s="33">
        <f t="shared" ca="1" si="7"/>
        <v>7.7729149053021667</v>
      </c>
      <c r="AC29" s="774">
        <f t="shared" ca="1" si="8"/>
        <v>55.963689979838989</v>
      </c>
      <c r="AD29" s="74">
        <f ca="1">IF(V29="","",DATE(INDEX(OFFSET(Arb!$C$2,,,Arb!$AJ$5,),V29),INDEX(OFFSET(Arb!$B$2,,,Arb!$AJ$5,),V29),INDEX(OFFSET(Arb!$A$2,,,Arb!$AJ$5,),V29))+ROW()*0.001)</f>
        <v>44154.029000000002</v>
      </c>
    </row>
    <row r="30" spans="1:30" x14ac:dyDescent="0.25">
      <c r="A30" s="11">
        <v>29</v>
      </c>
      <c r="B30" s="11">
        <v>1538</v>
      </c>
      <c r="C30" s="433">
        <f ca="1">IF(B30="",16,INDEX(OFFSET(Arb!$I$2,,,Arb!$AJ$5,),B30))</f>
        <v>24</v>
      </c>
      <c r="D30" s="688">
        <f ca="1">IF(B30="",10,INDEX(OFFSET(Arb!$H$2,,,Arb!$AJ$5,),B30))</f>
        <v>6.01</v>
      </c>
      <c r="E30" s="723">
        <f t="shared" ca="1" si="0"/>
        <v>3.9933444259567388</v>
      </c>
      <c r="F30" s="722">
        <f ca="1">IF(B30="","",INDEX(OFFSET(Arb!$X$2,,,Arb!$AJ$5,),B30)/D30)</f>
        <v>4.3261231281198</v>
      </c>
      <c r="G30" s="721">
        <f ca="1">IF(B30="","",(INDEX(OFFSET(Arb!$U$2,,,Arb!$AJ$5,),B30)+INDEX(OFFSET(Arb!$V$2,,,Arb!$AJ$5,),B30))/D30)</f>
        <v>4.9916805324459235</v>
      </c>
      <c r="H30" s="33">
        <f t="shared" ca="1" si="1"/>
        <v>0.87877028006114644</v>
      </c>
      <c r="I30" s="774">
        <f t="shared" ca="1" si="2"/>
        <v>53.824077888374703</v>
      </c>
      <c r="J30" s="74">
        <f ca="1">IF(B30="","",DATE(INDEX(OFFSET(Arb!$C$2,,,Arb!$AJ$5,),B30),INDEX(OFFSET(Arb!$B$2,,,Arb!$AJ$5,),B30),INDEX(OFFSET(Arb!$A$2,,,Arb!$AJ$5,),B30))+ROW()*0.001)</f>
        <v>43984.03</v>
      </c>
      <c r="K30" s="11">
        <v>29</v>
      </c>
      <c r="L30" s="11">
        <v>2120</v>
      </c>
      <c r="M30" s="433">
        <f ca="1">IF(L30="",64,INDEX(OFFSET(Arb!$I$2,,,Arb!$AJ$5,),L30))</f>
        <v>73</v>
      </c>
      <c r="N30" s="680">
        <f ca="1">IF(L30="",60,INDEX(OFFSET(Arb!$H$2,,,Arb!$AJ$5,),L30))</f>
        <v>24.93</v>
      </c>
      <c r="O30" s="725">
        <f t="shared" ca="1" si="3"/>
        <v>2.9281989570798235</v>
      </c>
      <c r="P30" s="724">
        <f ca="1">IF(L30="","",INDEX(OFFSET(Arb!$X$2,,,Arb!$AJ$5,),L30)/N30)</f>
        <v>3.3694344163658245</v>
      </c>
      <c r="Q30" s="723">
        <f ca="1">IF(L30="","",(INDEX(OFFSET(Arb!$U$2,,,Arb!$AJ$5,),L30)+INDEX(OFFSET(Arb!$V$2,,,Arb!$AJ$5,),L30))/N30)</f>
        <v>3.9310068190934619</v>
      </c>
      <c r="R30" s="33">
        <f t="shared" ca="1" si="4"/>
        <v>3.2441805284609502</v>
      </c>
      <c r="S30" s="777">
        <f t="shared" ca="1" si="5"/>
        <v>47.386388843450092</v>
      </c>
      <c r="T30" s="74">
        <f ca="1">IF(L30="","",DATE(INDEX(OFFSET(Arb!$C$2,,,Arb!$AJ$5,),L30),INDEX(OFFSET(Arb!$B$2,,,Arb!$AJ$5,),L30),INDEX(OFFSET(Arb!$A$2,,,Arb!$AJ$5,),L30))+ROW()*0.001)</f>
        <v>43811.03</v>
      </c>
      <c r="U30" s="11">
        <v>29</v>
      </c>
      <c r="V30" s="11">
        <v>3308</v>
      </c>
      <c r="W30" s="433">
        <f ca="1">IF(V30="",164,INDEX(OFFSET(Arb!$I$2,,,Arb!$AJ$5,),V30))</f>
        <v>196</v>
      </c>
      <c r="X30" s="679">
        <f ca="1">IF(V30="",240,INDEX(OFFSET(Arb!$H$2,,,Arb!$AJ$5,),V30))</f>
        <v>73.81</v>
      </c>
      <c r="Y30" s="726">
        <f t="shared" ca="1" si="6"/>
        <v>2.655466738924265</v>
      </c>
      <c r="Z30" s="561">
        <f ca="1">IF(V30="","",INDEX(OFFSET(Arb!$X$2,,,Arb!$AJ$5,),V30)/X30)</f>
        <v>3.1973987264598294</v>
      </c>
      <c r="AA30" s="562">
        <f ca="1">IF(V30="","",(INDEX(OFFSET(Arb!$U$2,,,Arb!$AJ$5,),V30)+INDEX(OFFSET(Arb!$V$2,,,Arb!$AJ$5,),V30))/X30)</f>
        <v>3.5090096192927787</v>
      </c>
      <c r="AB30" s="33">
        <f t="shared" ca="1" si="7"/>
        <v>7.6478573313301395</v>
      </c>
      <c r="AC30" s="776">
        <f t="shared" ca="1" si="8"/>
        <v>56.878806854565532</v>
      </c>
      <c r="AD30" s="74">
        <f ca="1">IF(V30="","",DATE(INDEX(OFFSET(Arb!$C$2,,,Arb!$AJ$5,),V30),INDEX(OFFSET(Arb!$B$2,,,Arb!$AJ$5,),V30),INDEX(OFFSET(Arb!$A$2,,,Arb!$AJ$5,),V30))+ROW()*0.001)</f>
        <v>44092.03</v>
      </c>
    </row>
    <row r="31" spans="1:30" x14ac:dyDescent="0.25">
      <c r="A31" s="11">
        <v>30</v>
      </c>
      <c r="B31" s="11">
        <v>1375</v>
      </c>
      <c r="C31" s="433">
        <f ca="1">IF(B31="",16,INDEX(OFFSET(Arb!$I$2,,,Arb!$AJ$5,),B31))</f>
        <v>38</v>
      </c>
      <c r="D31" s="680">
        <f ca="1">IF(B31="",10,INDEX(OFFSET(Arb!$H$2,,,Arb!$AJ$5,),B31))</f>
        <v>9.5399999999999991</v>
      </c>
      <c r="E31" s="723">
        <f t="shared" ca="1" si="0"/>
        <v>3.9832285115303985</v>
      </c>
      <c r="F31" s="723">
        <f ca="1">IF(B31="","",INDEX(OFFSET(Arb!$X$2,,,Arb!$AJ$5,),B31)/D31)</f>
        <v>3.9832285115303985</v>
      </c>
      <c r="G31" s="564">
        <f ca="1">IF(B31="","",(INDEX(OFFSET(Arb!$U$2,,,Arb!$AJ$5,),B31)+INDEX(OFFSET(Arb!$V$2,,,Arb!$AJ$5,),B31))/D31)</f>
        <v>4.716981132075472</v>
      </c>
      <c r="H31" s="33">
        <f t="shared" ca="1" si="1"/>
        <v>1.2174430096491604</v>
      </c>
      <c r="I31" s="777">
        <f t="shared" ca="1" si="2"/>
        <v>38.851099907855648</v>
      </c>
      <c r="J31" s="74">
        <f ca="1">IF(B31="","",DATE(INDEX(OFFSET(Arb!$C$2,,,Arb!$AJ$5,),B31),INDEX(OFFSET(Arb!$B$2,,,Arb!$AJ$5,),B31),INDEX(OFFSET(Arb!$A$2,,,Arb!$AJ$5,),B31))+ROW()*0.001)</f>
        <v>43937.031000000003</v>
      </c>
      <c r="K31" s="11">
        <v>30</v>
      </c>
      <c r="L31" s="11">
        <v>2235</v>
      </c>
      <c r="M31" s="433">
        <f ca="1">IF(L31="",64,INDEX(OFFSET(Arb!$I$2,,,Arb!$AJ$5,),L31))</f>
        <v>68</v>
      </c>
      <c r="N31" s="679">
        <f ca="1">IF(L31="",60,INDEX(OFFSET(Arb!$H$2,,,Arb!$AJ$5,),L31))</f>
        <v>23.25</v>
      </c>
      <c r="O31" s="725">
        <f t="shared" ca="1" si="3"/>
        <v>2.924731182795699</v>
      </c>
      <c r="P31" s="562">
        <f ca="1">IF(L31="","",INDEX(OFFSET(Arb!$X$2,,,Arb!$AJ$5,),L31)/N31)</f>
        <v>3.5268817204301075</v>
      </c>
      <c r="Q31" s="723">
        <f ca="1">IF(L31="","",(INDEX(OFFSET(Arb!$U$2,,,Arb!$AJ$5,),L31)+INDEX(OFFSET(Arb!$V$2,,,Arb!$AJ$5,),L31))/N31)</f>
        <v>3.870967741935484</v>
      </c>
      <c r="R31" s="33">
        <f t="shared" ca="1" si="4"/>
        <v>3.0932150500874243</v>
      </c>
      <c r="S31" s="777">
        <f t="shared" ca="1" si="5"/>
        <v>49.699098675876122</v>
      </c>
      <c r="T31" s="74">
        <f ca="1">IF(L31="","",DATE(INDEX(OFFSET(Arb!$C$2,,,Arb!$AJ$5,),L31),INDEX(OFFSET(Arb!$B$2,,,Arb!$AJ$5,),L31),INDEX(OFFSET(Arb!$A$2,,,Arb!$AJ$5,),L31))+ROW()*0.001)</f>
        <v>43890.031000000003</v>
      </c>
      <c r="U31" s="11">
        <v>30</v>
      </c>
      <c r="V31" s="11">
        <v>3073</v>
      </c>
      <c r="W31" s="433">
        <f ca="1">IF(V31="",164,INDEX(OFFSET(Arb!$I$2,,,Arb!$AJ$5,),V31))</f>
        <v>189</v>
      </c>
      <c r="X31" s="679">
        <f ca="1">IF(V31="",240,INDEX(OFFSET(Arb!$H$2,,,Arb!$AJ$5,),V31))</f>
        <v>71.22</v>
      </c>
      <c r="Y31" s="726">
        <f t="shared" ca="1" si="6"/>
        <v>2.6537489469250213</v>
      </c>
      <c r="Z31" s="561">
        <f ca="1">IF(V31="","",INDEX(OFFSET(Arb!$X$2,,,Arb!$AJ$5,),V31)/X31)</f>
        <v>3.1030609379387815</v>
      </c>
      <c r="AA31" s="724">
        <f ca="1">IF(V31="","",(INDEX(OFFSET(Arb!$U$2,,,Arb!$AJ$5,),V31)+INDEX(OFFSET(Arb!$V$2,,,Arb!$AJ$5,),V31))/X31)</f>
        <v>3.3557989328840212</v>
      </c>
      <c r="AB31" s="33">
        <f t="shared" ca="1" si="7"/>
        <v>7.463826641206281</v>
      </c>
      <c r="AC31" s="776">
        <f t="shared" ca="1" si="8"/>
        <v>58.281230381001514</v>
      </c>
      <c r="AD31" s="74">
        <f ca="1">IF(V31="","",DATE(INDEX(OFFSET(Arb!$C$2,,,Arb!$AJ$5,),V31),INDEX(OFFSET(Arb!$B$2,,,Arb!$AJ$5,),V31),INDEX(OFFSET(Arb!$A$2,,,Arb!$AJ$5,),V31))+ROW()*0.001)</f>
        <v>44003.031000000003</v>
      </c>
    </row>
    <row r="32" spans="1:30" x14ac:dyDescent="0.25">
      <c r="A32" s="11">
        <v>31</v>
      </c>
      <c r="B32" s="11">
        <v>213</v>
      </c>
      <c r="C32" s="433">
        <f ca="1">IF(B32="",16,INDEX(OFFSET(Arb!$I$2,,,Arb!$AJ$5,),B32))</f>
        <v>16</v>
      </c>
      <c r="D32" s="683">
        <f ca="1">IF(B32="",10,INDEX(OFFSET(Arb!$H$2,,,Arb!$AJ$5,),B32))</f>
        <v>4.03</v>
      </c>
      <c r="E32" s="723">
        <f t="shared" ca="1" si="0"/>
        <v>3.9702233250620345</v>
      </c>
      <c r="F32" s="723">
        <f ca="1">IF(B32="","",INDEX(OFFSET(Arb!$X$2,,,Arb!$AJ$5,),B32)/D32)</f>
        <v>3.9702233250620345</v>
      </c>
      <c r="G32" s="563">
        <f ca="1">IF(B32="","",(INDEX(OFFSET(Arb!$U$2,,,Arb!$AJ$5,),B32)+INDEX(OFFSET(Arb!$V$2,,,Arb!$AJ$5,),B32))/D32)</f>
        <v>4.2183622828784113</v>
      </c>
      <c r="H32" s="33">
        <f t="shared" ca="1" si="1"/>
        <v>0.668187882937192</v>
      </c>
      <c r="I32" s="773">
        <f t="shared" ca="1" si="2"/>
        <v>70.786976549297862</v>
      </c>
      <c r="J32" s="74">
        <f ca="1">IF(B32="","",DATE(INDEX(OFFSET(Arb!$C$2,,,Arb!$AJ$5,),B32),INDEX(OFFSET(Arb!$B$2,,,Arb!$AJ$5,),B32),INDEX(OFFSET(Arb!$A$2,,,Arb!$AJ$5,),B32))+ROW()*0.001)</f>
        <v>43774.031999999999</v>
      </c>
      <c r="K32" s="11">
        <v>31</v>
      </c>
      <c r="L32" s="11">
        <v>2137</v>
      </c>
      <c r="M32" s="433">
        <f ca="1">IF(L32="",64,INDEX(OFFSET(Arb!$I$2,,,Arb!$AJ$5,),L32))</f>
        <v>72</v>
      </c>
      <c r="N32" s="680">
        <f ca="1">IF(L32="",60,INDEX(OFFSET(Arb!$H$2,,,Arb!$AJ$5,),L32))</f>
        <v>24.63</v>
      </c>
      <c r="O32" s="725">
        <f t="shared" ca="1" si="3"/>
        <v>2.9232643118148602</v>
      </c>
      <c r="P32" s="562">
        <f ca="1">IF(L32="","",INDEX(OFFSET(Arb!$X$2,,,Arb!$AJ$5,),L32)/N32)</f>
        <v>3.6134794965489241</v>
      </c>
      <c r="Q32" s="563">
        <f ca="1">IF(L32="","",(INDEX(OFFSET(Arb!$U$2,,,Arb!$AJ$5,),L32)+INDEX(OFFSET(Arb!$V$2,,,Arb!$AJ$5,),L32))/N32)</f>
        <v>4.0600893219650835</v>
      </c>
      <c r="R32" s="33">
        <f t="shared" ca="1" si="4"/>
        <v>3.222233464442569</v>
      </c>
      <c r="S32" s="777">
        <f t="shared" ca="1" si="5"/>
        <v>47.709143889297465</v>
      </c>
      <c r="T32" s="74">
        <f ca="1">IF(L32="","",DATE(INDEX(OFFSET(Arb!$C$2,,,Arb!$AJ$5,),L32),INDEX(OFFSET(Arb!$B$2,,,Arb!$AJ$5,),L32),INDEX(OFFSET(Arb!$A$2,,,Arb!$AJ$5,),L32))+ROW()*0.001)</f>
        <v>43817.031999999999</v>
      </c>
      <c r="U32" s="11">
        <v>31</v>
      </c>
      <c r="V32" s="11">
        <v>3447</v>
      </c>
      <c r="W32" s="433">
        <f ca="1">IF(V32="",164,INDEX(OFFSET(Arb!$I$2,,,Arb!$AJ$5,),V32))</f>
        <v>181</v>
      </c>
      <c r="X32" s="692">
        <f ca="1">IF(V32="",240,INDEX(OFFSET(Arb!$H$2,,,Arb!$AJ$5,),V32))</f>
        <v>68.349999999999994</v>
      </c>
      <c r="Y32" s="726">
        <f t="shared" ca="1" si="6"/>
        <v>2.6481346013167522</v>
      </c>
      <c r="Z32" s="725">
        <f ca="1">IF(V32="","",INDEX(OFFSET(Arb!$X$2,,,Arb!$AJ$5,),V32)/X32)</f>
        <v>2.8675932699341629</v>
      </c>
      <c r="AA32" s="561">
        <f ca="1">IF(V32="","",(INDEX(OFFSET(Arb!$U$2,,,Arb!$AJ$5,),V32)+INDEX(OFFSET(Arb!$V$2,,,Arb!$AJ$5,),V32))/X32)</f>
        <v>3.1894659839063646</v>
      </c>
      <c r="AB32" s="33">
        <f t="shared" ca="1" si="7"/>
        <v>7.2673639004196833</v>
      </c>
      <c r="AC32" s="776">
        <f t="shared" ca="1" si="8"/>
        <v>59.856779701767664</v>
      </c>
      <c r="AD32" s="74">
        <f ca="1">IF(V32="","",DATE(INDEX(OFFSET(Arb!$C$2,,,Arb!$AJ$5,),V32),INDEX(OFFSET(Arb!$B$2,,,Arb!$AJ$5,),V32),INDEX(OFFSET(Arb!$A$2,,,Arb!$AJ$5,),V32))+ROW()*0.001)</f>
        <v>44177.031999999999</v>
      </c>
    </row>
    <row r="33" spans="1:30" x14ac:dyDescent="0.25">
      <c r="A33" s="11">
        <v>32</v>
      </c>
      <c r="B33" s="11">
        <v>1227</v>
      </c>
      <c r="C33" s="433">
        <f ca="1">IF(B33="",16,INDEX(OFFSET(Arb!$I$2,,,Arb!$AJ$5,),B33))</f>
        <v>21</v>
      </c>
      <c r="D33" s="684">
        <f ca="1">IF(B33="",10,INDEX(OFFSET(Arb!$H$2,,,Arb!$AJ$5,),B33))</f>
        <v>5.3</v>
      </c>
      <c r="E33" s="723">
        <f t="shared" ca="1" si="0"/>
        <v>3.9622641509433962</v>
      </c>
      <c r="F33" s="722">
        <f ca="1">IF(B33="","",INDEX(OFFSET(Arb!$X$2,,,Arb!$AJ$5,),B33)/D33)</f>
        <v>4.3396226415094343</v>
      </c>
      <c r="G33" s="721">
        <f ca="1">IF(B33="","",(INDEX(OFFSET(Arb!$U$2,,,Arb!$AJ$5,),B33)+INDEX(OFFSET(Arb!$V$2,,,Arb!$AJ$5,),B33))/D33)</f>
        <v>4.9056603773584904</v>
      </c>
      <c r="H33" s="33">
        <f t="shared" ca="1" si="1"/>
        <v>0.81105383766354522</v>
      </c>
      <c r="I33" s="776">
        <f t="shared" ca="1" si="2"/>
        <v>58.317953511270304</v>
      </c>
      <c r="J33" s="74">
        <f ca="1">IF(B33="","",DATE(INDEX(OFFSET(Arb!$C$2,,,Arb!$AJ$5,),B33),INDEX(OFFSET(Arb!$B$2,,,Arb!$AJ$5,),B33),INDEX(OFFSET(Arb!$A$2,,,Arb!$AJ$5,),B33))+ROW()*0.001)</f>
        <v>43898.033000000003</v>
      </c>
      <c r="K33" s="11">
        <v>32</v>
      </c>
      <c r="L33" s="11">
        <v>1941</v>
      </c>
      <c r="M33" s="433">
        <f ca="1">IF(L33="",64,INDEX(OFFSET(Arb!$I$2,,,Arb!$AJ$5,),L33))</f>
        <v>66</v>
      </c>
      <c r="N33" s="679">
        <f ca="1">IF(L33="",60,INDEX(OFFSET(Arb!$H$2,,,Arb!$AJ$5,),L33))</f>
        <v>22.67</v>
      </c>
      <c r="O33" s="725">
        <f t="shared" ca="1" si="3"/>
        <v>2.911336568151742</v>
      </c>
      <c r="P33" s="724">
        <f ca="1">IF(L33="","",INDEX(OFFSET(Arb!$X$2,,,Arb!$AJ$5,),L33)/N33)</f>
        <v>3.3524481693868546</v>
      </c>
      <c r="Q33" s="562">
        <f ca="1">IF(L33="","",(INDEX(OFFSET(Arb!$U$2,,,Arb!$AJ$5,),L33)+INDEX(OFFSET(Arb!$V$2,,,Arb!$AJ$5,),L33))/N33)</f>
        <v>3.6612262902514332</v>
      </c>
      <c r="R33" s="33">
        <f t="shared" ca="1" si="4"/>
        <v>3.0529778166891304</v>
      </c>
      <c r="S33" s="774">
        <f t="shared" ca="1" si="5"/>
        <v>50.354116285953204</v>
      </c>
      <c r="T33" s="74">
        <f ca="1">IF(L33="","",DATE(INDEX(OFFSET(Arb!$C$2,,,Arb!$AJ$5,),L33),INDEX(OFFSET(Arb!$B$2,,,Arb!$AJ$5,),L33),INDEX(OFFSET(Arb!$A$2,,,Arb!$AJ$5,),L33))+ROW()*0.001)</f>
        <v>43773.033000000003</v>
      </c>
      <c r="U33" s="11">
        <v>32</v>
      </c>
      <c r="V33" s="11">
        <v>3294</v>
      </c>
      <c r="W33" s="433">
        <f ca="1">IF(V33="",164,INDEX(OFFSET(Arb!$I$2,,,Arb!$AJ$5,),V33))</f>
        <v>187</v>
      </c>
      <c r="X33" s="679">
        <f ca="1">IF(V33="",240,INDEX(OFFSET(Arb!$H$2,,,Arb!$AJ$5,),V33))</f>
        <v>70.62</v>
      </c>
      <c r="Y33" s="726">
        <f t="shared" ca="1" si="6"/>
        <v>2.6479750778816196</v>
      </c>
      <c r="Z33" s="561">
        <f ca="1">IF(V33="","",INDEX(OFFSET(Arb!$X$2,,,Arb!$AJ$5,),V33)/X33)</f>
        <v>3.1152647975077881</v>
      </c>
      <c r="AA33" s="724">
        <f ca="1">IF(V33="","",(INDEX(OFFSET(Arb!$U$2,,,Arb!$AJ$5,),V33)+INDEX(OFFSET(Arb!$V$2,,,Arb!$AJ$5,),V33))/X33)</f>
        <v>3.4126309827244405</v>
      </c>
      <c r="AB33" s="33">
        <f t="shared" ca="1" si="7"/>
        <v>7.4359336498839506</v>
      </c>
      <c r="AC33" s="776">
        <f t="shared" ca="1" si="8"/>
        <v>58.499849579317974</v>
      </c>
      <c r="AD33" s="74">
        <f ca="1">IF(V33="","",DATE(INDEX(OFFSET(Arb!$C$2,,,Arb!$AJ$5,),V33),INDEX(OFFSET(Arb!$B$2,,,Arb!$AJ$5,),V33),INDEX(OFFSET(Arb!$A$2,,,Arb!$AJ$5,),V33))+ROW()*0.001)</f>
        <v>44084.033000000003</v>
      </c>
    </row>
    <row r="34" spans="1:30" x14ac:dyDescent="0.25">
      <c r="A34" s="11">
        <v>33</v>
      </c>
      <c r="B34" s="11">
        <v>977</v>
      </c>
      <c r="C34" s="433">
        <f ca="1">IF(B34="",16,INDEX(OFFSET(Arb!$I$2,,,Arb!$AJ$5,),B34))</f>
        <v>36</v>
      </c>
      <c r="D34" s="680">
        <f ca="1">IF(B34="",10,INDEX(OFFSET(Arb!$H$2,,,Arb!$AJ$5,),B34))</f>
        <v>9.1199999999999992</v>
      </c>
      <c r="E34" s="723">
        <f t="shared" ca="1" si="0"/>
        <v>3.9473684210526319</v>
      </c>
      <c r="F34" s="722">
        <f ca="1">IF(B34="","",INDEX(OFFSET(Arb!$X$2,,,Arb!$AJ$5,),B34)/D34)</f>
        <v>4.276315789473685</v>
      </c>
      <c r="G34" s="721">
        <f ca="1">IF(B34="","",(INDEX(OFFSET(Arb!$U$2,,,Arb!$AJ$5,),B34)+INDEX(OFFSET(Arb!$V$2,,,Arb!$AJ$5,),B34))/D34)</f>
        <v>4.9342105263157903</v>
      </c>
      <c r="H34" s="33">
        <f t="shared" ca="1" si="1"/>
        <v>1.1903885048314908</v>
      </c>
      <c r="I34" s="777">
        <f t="shared" ca="1" si="2"/>
        <v>39.734086651563857</v>
      </c>
      <c r="J34" s="74">
        <f ca="1">IF(B34="","",DATE(INDEX(OFFSET(Arb!$C$2,,,Arb!$AJ$5,),B34),INDEX(OFFSET(Arb!$B$2,,,Arb!$AJ$5,),B34),INDEX(OFFSET(Arb!$A$2,,,Arb!$AJ$5,),B34))+ROW()*0.001)</f>
        <v>43822.034</v>
      </c>
      <c r="K34" s="11">
        <v>33</v>
      </c>
      <c r="L34" s="11">
        <v>2107</v>
      </c>
      <c r="M34" s="433">
        <f ca="1">IF(L34="",64,INDEX(OFFSET(Arb!$I$2,,,Arb!$AJ$5,),L34))</f>
        <v>78</v>
      </c>
      <c r="N34" s="682">
        <f ca="1">IF(L34="",60,INDEX(OFFSET(Arb!$H$2,,,Arb!$AJ$5,),L34))</f>
        <v>26.83</v>
      </c>
      <c r="O34" s="725">
        <f t="shared" ca="1" si="3"/>
        <v>2.9071934401789044</v>
      </c>
      <c r="P34" s="562">
        <f ca="1">IF(L34="","",INDEX(OFFSET(Arb!$X$2,,,Arb!$AJ$5,),L34)/N34)</f>
        <v>3.6153559448378685</v>
      </c>
      <c r="Q34" s="723">
        <f ca="1">IF(L34="","",(INDEX(OFFSET(Arb!$U$2,,,Arb!$AJ$5,),L34)+INDEX(OFFSET(Arb!$V$2,,,Arb!$AJ$5,),L34))/N34)</f>
        <v>3.9880730525531125</v>
      </c>
      <c r="R34" s="33">
        <f t="shared" ca="1" si="4"/>
        <v>3.440016620293187</v>
      </c>
      <c r="S34" s="777">
        <f t="shared" ca="1" si="5"/>
        <v>44.688737575604456</v>
      </c>
      <c r="T34" s="74">
        <f ca="1">IF(L34="","",DATE(INDEX(OFFSET(Arb!$C$2,,,Arb!$AJ$5,),L34),INDEX(OFFSET(Arb!$B$2,,,Arb!$AJ$5,),L34),INDEX(OFFSET(Arb!$A$2,,,Arb!$AJ$5,),L34))+ROW()*0.001)</f>
        <v>43811.034</v>
      </c>
      <c r="U34" s="11">
        <v>33</v>
      </c>
      <c r="V34" s="11">
        <v>3343</v>
      </c>
      <c r="W34" s="433">
        <f ca="1">IF(V34="",164,INDEX(OFFSET(Arb!$I$2,,,Arb!$AJ$5,),V34))</f>
        <v>191</v>
      </c>
      <c r="X34" s="679">
        <f ca="1">IF(V34="",240,INDEX(OFFSET(Arb!$H$2,,,Arb!$AJ$5,),V34))</f>
        <v>72.14</v>
      </c>
      <c r="Y34" s="726">
        <f t="shared" ca="1" si="6"/>
        <v>2.6476296090934293</v>
      </c>
      <c r="Z34" s="561">
        <f ca="1">IF(V34="","",INDEX(OFFSET(Arb!$X$2,,,Arb!$AJ$5,),V34)/X34)</f>
        <v>3.1605212087607431</v>
      </c>
      <c r="AA34" s="724">
        <f ca="1">IF(V34="","",(INDEX(OFFSET(Arb!$U$2,,,Arb!$AJ$5,),V34)+INDEX(OFFSET(Arb!$V$2,,,Arb!$AJ$5,),V34))/X34)</f>
        <v>3.410036041031328</v>
      </c>
      <c r="AB34" s="33">
        <f t="shared" ca="1" si="7"/>
        <v>7.5485939962878028</v>
      </c>
      <c r="AC34" s="776">
        <f t="shared" ca="1" si="8"/>
        <v>57.626758070962865</v>
      </c>
      <c r="AD34" s="74">
        <f ca="1">IF(V34="","",DATE(INDEX(OFFSET(Arb!$C$2,,,Arb!$AJ$5,),V34),INDEX(OFFSET(Arb!$B$2,,,Arb!$AJ$5,),V34),INDEX(OFFSET(Arb!$A$2,,,Arb!$AJ$5,),V34))+ROW()*0.001)</f>
        <v>44097.034</v>
      </c>
    </row>
    <row r="35" spans="1:30" x14ac:dyDescent="0.25">
      <c r="A35" s="11">
        <v>34</v>
      </c>
      <c r="B35" s="11">
        <v>1503</v>
      </c>
      <c r="C35" s="433">
        <f ca="1">IF(B35="",16,INDEX(OFFSET(Arb!$I$2,,,Arb!$AJ$5,),B35))</f>
        <v>20</v>
      </c>
      <c r="D35" s="684">
        <f ca="1">IF(B35="",10,INDEX(OFFSET(Arb!$H$2,,,Arb!$AJ$5,),B35))</f>
        <v>5.07</v>
      </c>
      <c r="E35" s="723">
        <f t="shared" ca="1" si="0"/>
        <v>3.944773175542406</v>
      </c>
      <c r="F35" s="723">
        <f ca="1">IF(B35="","",INDEX(OFFSET(Arb!$X$2,,,Arb!$AJ$5,),B35)/D35)</f>
        <v>3.944773175542406</v>
      </c>
      <c r="G35" s="722">
        <f ca="1">IF(B35="","",(INDEX(OFFSET(Arb!$U$2,,,Arb!$AJ$5,),B35)+INDEX(OFFSET(Arb!$V$2,,,Arb!$AJ$5,),B35))/D35)</f>
        <v>4.3392504930966469</v>
      </c>
      <c r="H35" s="33">
        <f t="shared" ca="1" si="1"/>
        <v>0.78973890856922235</v>
      </c>
      <c r="I35" s="776">
        <f t="shared" ca="1" si="2"/>
        <v>59.89194591626751</v>
      </c>
      <c r="J35" s="74">
        <f ca="1">IF(B35="","",DATE(INDEX(OFFSET(Arb!$C$2,,,Arb!$AJ$5,),B35),INDEX(OFFSET(Arb!$B$2,,,Arb!$AJ$5,),B35),INDEX(OFFSET(Arb!$A$2,,,Arb!$AJ$5,),B35))+ROW()*0.001)</f>
        <v>43984.035000000003</v>
      </c>
      <c r="K35" s="11">
        <v>34</v>
      </c>
      <c r="L35" s="11">
        <v>1908</v>
      </c>
      <c r="M35" s="433">
        <f ca="1">IF(L35="",64,INDEX(OFFSET(Arb!$I$2,,,Arb!$AJ$5,),L35))</f>
        <v>72</v>
      </c>
      <c r="N35" s="680">
        <f ca="1">IF(L35="",60,INDEX(OFFSET(Arb!$H$2,,,Arb!$AJ$5,),L35))</f>
        <v>24.87</v>
      </c>
      <c r="O35" s="725">
        <f t="shared" ca="1" si="3"/>
        <v>2.8950542822677923</v>
      </c>
      <c r="P35" s="724">
        <f ca="1">IF(L35="","",INDEX(OFFSET(Arb!$X$2,,,Arb!$AJ$5,),L35)/N35)</f>
        <v>3.337354242058705</v>
      </c>
      <c r="Q35" s="723">
        <f ca="1">IF(L35="","",(INDEX(OFFSET(Arb!$U$2,,,Arb!$AJ$5,),L35)+INDEX(OFFSET(Arb!$V$2,,,Arb!$AJ$5,),L35))/N35)</f>
        <v>3.7796542018496178</v>
      </c>
      <c r="R35" s="33">
        <f t="shared" ca="1" si="4"/>
        <v>3.2757921551361151</v>
      </c>
      <c r="S35" s="777">
        <f t="shared" ca="1" si="5"/>
        <v>46.929106829615762</v>
      </c>
      <c r="T35" s="74">
        <f ca="1">IF(L35="","",DATE(INDEX(OFFSET(Arb!$C$2,,,Arb!$AJ$5,),L35),INDEX(OFFSET(Arb!$B$2,,,Arb!$AJ$5,),L35),INDEX(OFFSET(Arb!$A$2,,,Arb!$AJ$5,),L35))+ROW()*0.001)</f>
        <v>43767.035000000003</v>
      </c>
      <c r="U35" s="11">
        <v>34</v>
      </c>
      <c r="V35" s="11">
        <v>3209</v>
      </c>
      <c r="W35" s="433">
        <f ca="1">IF(V35="",164,INDEX(OFFSET(Arb!$I$2,,,Arb!$AJ$5,),V35))</f>
        <v>190</v>
      </c>
      <c r="X35" s="679">
        <f ca="1">IF(V35="",240,INDEX(OFFSET(Arb!$H$2,,,Arb!$AJ$5,),V35))</f>
        <v>71.98</v>
      </c>
      <c r="Y35" s="726">
        <f t="shared" ca="1" si="6"/>
        <v>2.6396221172547927</v>
      </c>
      <c r="Z35" s="561">
        <f ca="1">IF(V35="","",INDEX(OFFSET(Arb!$X$2,,,Arb!$AJ$5,),V35)/X35)</f>
        <v>3.084190052792442</v>
      </c>
      <c r="AA35" s="724">
        <f ca="1">IF(V35="","",(INDEX(OFFSET(Arb!$U$2,,,Arb!$AJ$5,),V35)+INDEX(OFFSET(Arb!$V$2,,,Arb!$AJ$5,),V35))/X35)</f>
        <v>3.4592942484023337</v>
      </c>
      <c r="AB35" s="33">
        <f t="shared" ca="1" si="7"/>
        <v>7.5597342869582391</v>
      </c>
      <c r="AC35" s="776">
        <f t="shared" ca="1" si="8"/>
        <v>57.541837250873598</v>
      </c>
      <c r="AD35" s="74">
        <f ca="1">IF(V35="","",DATE(INDEX(OFFSET(Arb!$C$2,,,Arb!$AJ$5,),V35),INDEX(OFFSET(Arb!$B$2,,,Arb!$AJ$5,),V35),INDEX(OFFSET(Arb!$A$2,,,Arb!$AJ$5,),V35))+ROW()*0.001)</f>
        <v>44059.035000000003</v>
      </c>
    </row>
    <row r="36" spans="1:30" x14ac:dyDescent="0.25">
      <c r="A36" s="11">
        <v>35</v>
      </c>
      <c r="B36" s="11">
        <v>1880</v>
      </c>
      <c r="C36" s="433">
        <f ca="1">IF(B36="",16,INDEX(OFFSET(Arb!$I$2,,,Arb!$AJ$5,),B36))</f>
        <v>19</v>
      </c>
      <c r="D36" s="274">
        <f ca="1">IF(B36="",10,INDEX(OFFSET(Arb!$H$2,,,Arb!$AJ$5,),B36))</f>
        <v>4.82</v>
      </c>
      <c r="E36" s="723">
        <f t="shared" ca="1" si="0"/>
        <v>3.9419087136929458</v>
      </c>
      <c r="F36" s="723">
        <f ca="1">IF(B36="","",INDEX(OFFSET(Arb!$X$2,,,Arb!$AJ$5,),B36)/D36)</f>
        <v>3.9419087136929458</v>
      </c>
      <c r="G36" s="722">
        <f ca="1">IF(B36="","",(INDEX(OFFSET(Arb!$U$2,,,Arb!$AJ$5,),B36)+INDEX(OFFSET(Arb!$V$2,,,Arb!$AJ$5,),B36))/D36)</f>
        <v>4.3568464730290453</v>
      </c>
      <c r="H36" s="33">
        <f t="shared" ca="1" si="1"/>
        <v>0.76282754047251322</v>
      </c>
      <c r="I36" s="776">
        <f t="shared" ca="1" si="2"/>
        <v>62.004840531454711</v>
      </c>
      <c r="J36" s="74">
        <f ca="1">IF(B36="","",DATE(INDEX(OFFSET(Arb!$C$2,,,Arb!$AJ$5,),B36),INDEX(OFFSET(Arb!$B$2,,,Arb!$AJ$5,),B36),INDEX(OFFSET(Arb!$A$2,,,Arb!$AJ$5,),B36))+ROW()*0.001)</f>
        <v>44168.036</v>
      </c>
      <c r="K36" s="11">
        <v>35</v>
      </c>
      <c r="L36" s="11">
        <v>2349</v>
      </c>
      <c r="M36" s="433">
        <f ca="1">IF(L36="",64,INDEX(OFFSET(Arb!$I$2,,,Arb!$AJ$5,),L36))</f>
        <v>71</v>
      </c>
      <c r="N36" s="680">
        <f ca="1">IF(L36="",60,INDEX(OFFSET(Arb!$H$2,,,Arb!$AJ$5,),L36))</f>
        <v>24.56</v>
      </c>
      <c r="O36" s="725">
        <f t="shared" ca="1" si="3"/>
        <v>2.8908794788273617</v>
      </c>
      <c r="P36" s="724">
        <f ca="1">IF(L36="","",INDEX(OFFSET(Arb!$X$2,,,Arb!$AJ$5,),L36)/N36)</f>
        <v>3.4609120521172638</v>
      </c>
      <c r="Q36" s="723">
        <f ca="1">IF(L36="","",(INDEX(OFFSET(Arb!$U$2,,,Arb!$AJ$5,),L36)+INDEX(OFFSET(Arb!$V$2,,,Arb!$AJ$5,),L36))/N36)</f>
        <v>3.7866449511400653</v>
      </c>
      <c r="R36" s="33">
        <f t="shared" ca="1" si="4"/>
        <v>3.2518452307504941</v>
      </c>
      <c r="S36" s="777">
        <f t="shared" ca="1" si="5"/>
        <v>47.274697622838772</v>
      </c>
      <c r="T36" s="74">
        <f ca="1">IF(L36="","",DATE(INDEX(OFFSET(Arb!$C$2,,,Arb!$AJ$5,),L36),INDEX(OFFSET(Arb!$B$2,,,Arb!$AJ$5,),L36),INDEX(OFFSET(Arb!$A$2,,,Arb!$AJ$5,),L36))+ROW()*0.001)</f>
        <v>44106.036</v>
      </c>
      <c r="U36" s="11">
        <v>35</v>
      </c>
      <c r="V36" s="11">
        <v>3267</v>
      </c>
      <c r="W36" s="433">
        <f ca="1">IF(V36="",164,INDEX(OFFSET(Arb!$I$2,,,Arb!$AJ$5,),V36))</f>
        <v>178</v>
      </c>
      <c r="X36" s="692">
        <f ca="1">IF(V36="",240,INDEX(OFFSET(Arb!$H$2,,,Arb!$AJ$5,),V36))</f>
        <v>67.459999999999994</v>
      </c>
      <c r="Y36" s="726">
        <f t="shared" ca="1" si="6"/>
        <v>2.6386006522383636</v>
      </c>
      <c r="Z36" s="561">
        <f ca="1">IF(V36="","",INDEX(OFFSET(Arb!$X$2,,,Arb!$AJ$5,),V36)/X36)</f>
        <v>3.0833086273347172</v>
      </c>
      <c r="AA36" s="724">
        <f ca="1">IF(V36="","",(INDEX(OFFSET(Arb!$U$2,,,Arb!$AJ$5,),V36)+INDEX(OFFSET(Arb!$V$2,,,Arb!$AJ$5,),V36))/X36)</f>
        <v>3.4835458049214352</v>
      </c>
      <c r="AB36" s="33">
        <f t="shared" ca="1" si="7"/>
        <v>7.2270119085449824</v>
      </c>
      <c r="AC36" s="776">
        <f t="shared" ca="1" si="8"/>
        <v>60.190989790077559</v>
      </c>
      <c r="AD36" s="74">
        <f ca="1">IF(V36="","",DATE(INDEX(OFFSET(Arb!$C$2,,,Arb!$AJ$5,),V36),INDEX(OFFSET(Arb!$B$2,,,Arb!$AJ$5,),V36),INDEX(OFFSET(Arb!$A$2,,,Arb!$AJ$5,),V36))+ROW()*0.001)</f>
        <v>44073.036</v>
      </c>
    </row>
    <row r="37" spans="1:30" x14ac:dyDescent="0.25">
      <c r="A37" s="11">
        <v>36</v>
      </c>
      <c r="B37" s="11">
        <v>841</v>
      </c>
      <c r="C37" s="433">
        <f ca="1">IF(B37="",16,INDEX(OFFSET(Arb!$I$2,,,Arb!$AJ$5,),B37))</f>
        <v>38</v>
      </c>
      <c r="D37" s="680">
        <f ca="1">IF(B37="",10,INDEX(OFFSET(Arb!$H$2,,,Arb!$AJ$5,),B37))</f>
        <v>9.65</v>
      </c>
      <c r="E37" s="723">
        <f t="shared" ca="1" si="0"/>
        <v>3.937823834196891</v>
      </c>
      <c r="F37" s="722">
        <f ca="1">IF(B37="","",INDEX(OFFSET(Arb!$X$2,,,Arb!$AJ$5,),B37)/D37)</f>
        <v>4.3523316062176161</v>
      </c>
      <c r="G37" s="721">
        <f ca="1">IF(B37="","",(INDEX(OFFSET(Arb!$U$2,,,Arb!$AJ$5,),B37)+INDEX(OFFSET(Arb!$V$2,,,Arb!$AJ$5,),B37))/D37)</f>
        <v>4.766839378238342</v>
      </c>
      <c r="H37" s="33">
        <f t="shared" ca="1" si="1"/>
        <v>1.2414031300360406</v>
      </c>
      <c r="I37" s="777">
        <f t="shared" ca="1" si="2"/>
        <v>38.101241132384452</v>
      </c>
      <c r="J37" s="74">
        <f ca="1">IF(B37="","",DATE(INDEX(OFFSET(Arb!$C$2,,,Arb!$AJ$5,),B37),INDEX(OFFSET(Arb!$B$2,,,Arb!$AJ$5,),B37),INDEX(OFFSET(Arb!$A$2,,,Arb!$AJ$5,),B37))+ROW()*0.001)</f>
        <v>43815.036999999997</v>
      </c>
      <c r="K37" s="11">
        <v>36</v>
      </c>
      <c r="L37" s="11">
        <v>2342</v>
      </c>
      <c r="M37" s="433">
        <f ca="1">IF(L37="",64,INDEX(OFFSET(Arb!$I$2,,,Arb!$AJ$5,),L37))</f>
        <v>62</v>
      </c>
      <c r="N37" s="692">
        <f ca="1">IF(L37="",60,INDEX(OFFSET(Arb!$H$2,,,Arb!$AJ$5,),L37))</f>
        <v>21.45</v>
      </c>
      <c r="O37" s="725">
        <f t="shared" ca="1" si="3"/>
        <v>2.8904428904428907</v>
      </c>
      <c r="P37" s="724">
        <f ca="1">IF(L37="","",INDEX(OFFSET(Arb!$X$2,,,Arb!$AJ$5,),L37)/N37)</f>
        <v>3.4032634032634035</v>
      </c>
      <c r="Q37" s="562">
        <f ca="1">IF(L37="","",(INDEX(OFFSET(Arb!$U$2,,,Arb!$AJ$5,),L37)+INDEX(OFFSET(Arb!$V$2,,,Arb!$AJ$5,),L37))/N37)</f>
        <v>3.6829836829836831</v>
      </c>
      <c r="R37" s="33">
        <f t="shared" ca="1" si="4"/>
        <v>2.9582489196716182</v>
      </c>
      <c r="S37" s="774">
        <f t="shared" ca="1" si="5"/>
        <v>51.966553246325482</v>
      </c>
      <c r="T37" s="74">
        <f ca="1">IF(L37="","",DATE(INDEX(OFFSET(Arb!$C$2,,,Arb!$AJ$5,),L37),INDEX(OFFSET(Arb!$B$2,,,Arb!$AJ$5,),L37),INDEX(OFFSET(Arb!$A$2,,,Arb!$AJ$5,),L37))+ROW()*0.001)</f>
        <v>44106.036999999997</v>
      </c>
      <c r="U37" s="11">
        <v>36</v>
      </c>
      <c r="V37" s="11">
        <v>3349</v>
      </c>
      <c r="W37" s="433">
        <f ca="1">IF(V37="",164,INDEX(OFFSET(Arb!$I$2,,,Arb!$AJ$5,),V37))</f>
        <v>181</v>
      </c>
      <c r="X37" s="692">
        <f ca="1">IF(V37="",240,INDEX(OFFSET(Arb!$H$2,,,Arb!$AJ$5,),V37))</f>
        <v>68.599999999999994</v>
      </c>
      <c r="Y37" s="726">
        <f t="shared" ca="1" si="6"/>
        <v>2.6384839650145775</v>
      </c>
      <c r="Z37" s="561">
        <f ca="1">IF(V37="","",INDEX(OFFSET(Arb!$X$2,,,Arb!$AJ$5,),V37)/X37)</f>
        <v>3.0320699708454812</v>
      </c>
      <c r="AA37" s="724">
        <f ca="1">IF(V37="","",(INDEX(OFFSET(Arb!$U$2,,,Arb!$AJ$5,),V37)+INDEX(OFFSET(Arb!$V$2,,,Arb!$AJ$5,),V37))/X37)</f>
        <v>3.4110787172011663</v>
      </c>
      <c r="AB37" s="33">
        <f t="shared" ca="1" si="7"/>
        <v>7.3126101652534672</v>
      </c>
      <c r="AC37" s="776">
        <f t="shared" ca="1" si="8"/>
        <v>59.486420056541071</v>
      </c>
      <c r="AD37" s="74">
        <f ca="1">IF(V37="","",DATE(INDEX(OFFSET(Arb!$C$2,,,Arb!$AJ$5,),V37),INDEX(OFFSET(Arb!$B$2,,,Arb!$AJ$5,),V37),INDEX(OFFSET(Arb!$A$2,,,Arb!$AJ$5,),V37))+ROW()*0.001)</f>
        <v>44098.036999999997</v>
      </c>
    </row>
    <row r="38" spans="1:30" x14ac:dyDescent="0.25">
      <c r="A38" s="11">
        <v>37</v>
      </c>
      <c r="B38" s="11">
        <v>676</v>
      </c>
      <c r="C38" s="433">
        <f ca="1">IF(B38="",16,INDEX(OFFSET(Arb!$I$2,,,Arb!$AJ$5,),B38))</f>
        <v>17</v>
      </c>
      <c r="D38" s="683">
        <f ca="1">IF(B38="",10,INDEX(OFFSET(Arb!$H$2,,,Arb!$AJ$5,),B38))</f>
        <v>4.32</v>
      </c>
      <c r="E38" s="723">
        <f t="shared" ca="1" si="0"/>
        <v>3.9351851851851851</v>
      </c>
      <c r="F38" s="723">
        <f ca="1">IF(B38="","",INDEX(OFFSET(Arb!$X$2,,,Arb!$AJ$5,),B38)/D38)</f>
        <v>3.9351851851851851</v>
      </c>
      <c r="G38" s="722">
        <f ca="1">IF(B38="","",(INDEX(OFFSET(Arb!$U$2,,,Arb!$AJ$5,),B38)+INDEX(OFFSET(Arb!$V$2,,,Arb!$AJ$5,),B38))/D38)</f>
        <v>4.3981481481481479</v>
      </c>
      <c r="H38" s="33">
        <f t="shared" ca="1" si="1"/>
        <v>0.70773952167542897</v>
      </c>
      <c r="I38" s="775">
        <f t="shared" ca="1" si="2"/>
        <v>66.831084814974389</v>
      </c>
      <c r="J38" s="74">
        <f ca="1">IF(B38="","",DATE(INDEX(OFFSET(Arb!$C$2,,,Arb!$AJ$5,),B38),INDEX(OFFSET(Arb!$B$2,,,Arb!$AJ$5,),B38),INDEX(OFFSET(Arb!$A$2,,,Arb!$AJ$5,),B38))+ROW()*0.001)</f>
        <v>43801.038</v>
      </c>
      <c r="K38" s="11">
        <v>37</v>
      </c>
      <c r="L38" s="11">
        <v>1916</v>
      </c>
      <c r="M38" s="433">
        <f ca="1">IF(L38="",64,INDEX(OFFSET(Arb!$I$2,,,Arb!$AJ$5,),L38))</f>
        <v>73</v>
      </c>
      <c r="N38" s="680">
        <f ca="1">IF(L38="",60,INDEX(OFFSET(Arb!$H$2,,,Arb!$AJ$5,),L38))</f>
        <v>25.26</v>
      </c>
      <c r="O38" s="725">
        <f t="shared" ca="1" si="3"/>
        <v>2.8899445764053837</v>
      </c>
      <c r="P38" s="724">
        <f ca="1">IF(L38="","",INDEX(OFFSET(Arb!$X$2,,,Arb!$AJ$5,),L38)/N38)</f>
        <v>3.4441805225653206</v>
      </c>
      <c r="Q38" s="723">
        <f ca="1">IF(L38="","",(INDEX(OFFSET(Arb!$U$2,,,Arb!$AJ$5,),L38)+INDEX(OFFSET(Arb!$V$2,,,Arb!$AJ$5,),L38))/N38)</f>
        <v>3.9588281868566901</v>
      </c>
      <c r="R38" s="33">
        <f t="shared" ca="1" si="4"/>
        <v>3.3175221291104453</v>
      </c>
      <c r="S38" s="777">
        <f t="shared" ca="1" si="5"/>
        <v>46.338801677027817</v>
      </c>
      <c r="T38" s="74">
        <f ca="1">IF(L38="","",DATE(INDEX(OFFSET(Arb!$C$2,,,Arb!$AJ$5,),L38),INDEX(OFFSET(Arb!$B$2,,,Arb!$AJ$5,),L38),INDEX(OFFSET(Arb!$A$2,,,Arb!$AJ$5,),L38))+ROW()*0.001)</f>
        <v>43769.038</v>
      </c>
      <c r="U38" s="11">
        <v>37</v>
      </c>
      <c r="V38" s="11">
        <v>3388</v>
      </c>
      <c r="W38" s="433">
        <f ca="1">IF(V38="",164,INDEX(OFFSET(Arb!$I$2,,,Arb!$AJ$5,),V38))</f>
        <v>206</v>
      </c>
      <c r="X38" s="680">
        <f ca="1">IF(V38="",240,INDEX(OFFSET(Arb!$H$2,,,Arb!$AJ$5,),V38))</f>
        <v>78.099999999999994</v>
      </c>
      <c r="Y38" s="726">
        <f t="shared" ca="1" si="6"/>
        <v>2.6376440460947506</v>
      </c>
      <c r="Z38" s="725">
        <f ca="1">IF(V38="","",INDEX(OFFSET(Arb!$X$2,,,Arb!$AJ$5,),V38)/X38)</f>
        <v>2.9705505761843791</v>
      </c>
      <c r="AA38" s="561">
        <f ca="1">IF(V38="","",(INDEX(OFFSET(Arb!$U$2,,,Arb!$AJ$5,),V38)+INDEX(OFFSET(Arb!$V$2,,,Arb!$AJ$5,),V38))/X38)</f>
        <v>3.23943661971831</v>
      </c>
      <c r="AB38" s="33">
        <f t="shared" ca="1" si="7"/>
        <v>8.0101294968563597</v>
      </c>
      <c r="AC38" s="774">
        <f t="shared" ca="1" si="8"/>
        <v>54.306362983359961</v>
      </c>
      <c r="AD38" s="74">
        <f ca="1">IF(V38="","",DATE(INDEX(OFFSET(Arb!$C$2,,,Arb!$AJ$5,),V38),INDEX(OFFSET(Arb!$B$2,,,Arb!$AJ$5,),V38),INDEX(OFFSET(Arb!$A$2,,,Arb!$AJ$5,),V38))+ROW()*0.001)</f>
        <v>44141.038</v>
      </c>
    </row>
    <row r="39" spans="1:30" x14ac:dyDescent="0.25">
      <c r="A39" s="11">
        <v>38</v>
      </c>
      <c r="B39" s="11">
        <v>1589</v>
      </c>
      <c r="C39" s="433">
        <f ca="1">IF(B39="",16,INDEX(OFFSET(Arb!$I$2,,,Arb!$AJ$5,),B39))</f>
        <v>23</v>
      </c>
      <c r="D39" s="559">
        <f ca="1">IF(B39="",10,INDEX(OFFSET(Arb!$H$2,,,Arb!$AJ$5,),B39))</f>
        <v>5.86</v>
      </c>
      <c r="E39" s="723">
        <f t="shared" ca="1" si="0"/>
        <v>3.9249146757679179</v>
      </c>
      <c r="F39" s="721">
        <f ca="1">IF(B39="","",INDEX(OFFSET(Arb!$X$2,,,Arb!$AJ$5,),B39)/D39)</f>
        <v>4.7781569965870307</v>
      </c>
      <c r="G39" s="779">
        <f ca="1">IF(B39="","",(INDEX(OFFSET(Arb!$U$2,,,Arb!$AJ$5,),B39)+INDEX(OFFSET(Arb!$V$2,,,Arb!$AJ$5,),B39))/D39)</f>
        <v>5.6313993174061432</v>
      </c>
      <c r="H39" s="33">
        <f t="shared" ca="1" si="1"/>
        <v>0.87841169895948801</v>
      </c>
      <c r="I39" s="774">
        <f t="shared" ca="1" si="2"/>
        <v>53.846049700871994</v>
      </c>
      <c r="J39" s="74">
        <f ca="1">IF(B39="","",DATE(INDEX(OFFSET(Arb!$C$2,,,Arb!$AJ$5,),B39),INDEX(OFFSET(Arb!$B$2,,,Arb!$AJ$5,),B39),INDEX(OFFSET(Arb!$A$2,,,Arb!$AJ$5,),B39))+ROW()*0.001)</f>
        <v>44054.038999999997</v>
      </c>
      <c r="K39" s="11">
        <v>38</v>
      </c>
      <c r="L39" s="11">
        <v>2280</v>
      </c>
      <c r="M39" s="433">
        <f ca="1">IF(L39="",64,INDEX(OFFSET(Arb!$I$2,,,Arb!$AJ$5,),L39))</f>
        <v>81</v>
      </c>
      <c r="N39" s="690">
        <f ca="1">IF(L39="",60,INDEX(OFFSET(Arb!$H$2,,,Arb!$AJ$5,),L39))</f>
        <v>28.11</v>
      </c>
      <c r="O39" s="725">
        <f t="shared" ca="1" si="3"/>
        <v>2.88153681963714</v>
      </c>
      <c r="P39" s="562">
        <f ca="1">IF(L39="","",INDEX(OFFSET(Arb!$X$2,,,Arb!$AJ$5,),L39)/N39)</f>
        <v>3.593027392387051</v>
      </c>
      <c r="Q39" s="723">
        <f ca="1">IF(L39="","",(INDEX(OFFSET(Arb!$U$2,,,Arb!$AJ$5,),L39)+INDEX(OFFSET(Arb!$V$2,,,Arb!$AJ$5,),L39))/N39)</f>
        <v>3.9843472073995021</v>
      </c>
      <c r="R39" s="33">
        <f t="shared" ca="1" si="4"/>
        <v>3.5857368851316145</v>
      </c>
      <c r="S39" s="777">
        <f t="shared" ca="1" si="5"/>
        <v>42.87263815631507</v>
      </c>
      <c r="T39" s="74">
        <f ca="1">IF(L39="","",DATE(INDEX(OFFSET(Arb!$C$2,,,Arb!$AJ$5,),L39),INDEX(OFFSET(Arb!$B$2,,,Arb!$AJ$5,),L39),INDEX(OFFSET(Arb!$A$2,,,Arb!$AJ$5,),L39))+ROW()*0.001)</f>
        <v>43935.038999999997</v>
      </c>
      <c r="U39" s="11">
        <v>38</v>
      </c>
      <c r="V39" s="11">
        <v>3221</v>
      </c>
      <c r="W39" s="433">
        <f ca="1">IF(V39="",164,INDEX(OFFSET(Arb!$I$2,,,Arb!$AJ$5,),V39))</f>
        <v>184</v>
      </c>
      <c r="X39" s="679">
        <f ca="1">IF(V39="",240,INDEX(OFFSET(Arb!$H$2,,,Arb!$AJ$5,),V39))</f>
        <v>69.84</v>
      </c>
      <c r="Y39" s="726">
        <f t="shared" ca="1" si="6"/>
        <v>2.6345933562428407</v>
      </c>
      <c r="Z39" s="561">
        <f ca="1">IF(V39="","",INDEX(OFFSET(Arb!$X$2,,,Arb!$AJ$5,),V39)/X39)</f>
        <v>3.1500572737686139</v>
      </c>
      <c r="AA39" s="562">
        <f ca="1">IF(V39="","",(INDEX(OFFSET(Arb!$U$2,,,Arb!$AJ$5,),V39)+INDEX(OFFSET(Arb!$V$2,,,Arb!$AJ$5,),V39))/X39)</f>
        <v>3.5796105383734247</v>
      </c>
      <c r="AB39" s="33">
        <f t="shared" ca="1" si="7"/>
        <v>7.4158232323339952</v>
      </c>
      <c r="AC39" s="776">
        <f t="shared" ca="1" si="8"/>
        <v>58.658490955304408</v>
      </c>
      <c r="AD39" s="74">
        <f ca="1">IF(V39="","",DATE(INDEX(OFFSET(Arb!$C$2,,,Arb!$AJ$5,),V39),INDEX(OFFSET(Arb!$B$2,,,Arb!$AJ$5,),V39),INDEX(OFFSET(Arb!$A$2,,,Arb!$AJ$5,),V39))+ROW()*0.001)</f>
        <v>44060.038999999997</v>
      </c>
    </row>
    <row r="40" spans="1:30" x14ac:dyDescent="0.25">
      <c r="A40" s="11">
        <v>39</v>
      </c>
      <c r="B40" s="11">
        <v>1656</v>
      </c>
      <c r="C40" s="433">
        <f ca="1">IF(B40="",16,INDEX(OFFSET(Arb!$I$2,,,Arb!$AJ$5,),B40))</f>
        <v>20</v>
      </c>
      <c r="D40" s="684">
        <f ca="1">IF(B40="",10,INDEX(OFFSET(Arb!$H$2,,,Arb!$AJ$5,),B40))</f>
        <v>5.0999999999999996</v>
      </c>
      <c r="E40" s="723">
        <f t="shared" ca="1" si="0"/>
        <v>3.9215686274509807</v>
      </c>
      <c r="F40" s="564">
        <f ca="1">IF(B40="","",INDEX(OFFSET(Arb!$X$2,,,Arb!$AJ$5,),B40)/D40)</f>
        <v>4.7058823529411766</v>
      </c>
      <c r="G40" s="721">
        <f ca="1">IF(B40="","",(INDEX(OFFSET(Arb!$U$2,,,Arb!$AJ$5,),B40)+INDEX(OFFSET(Arb!$V$2,,,Arb!$AJ$5,),B40))/D40)</f>
        <v>4.9019607843137258</v>
      </c>
      <c r="H40" s="33">
        <f t="shared" ca="1" si="1"/>
        <v>0.79769947036928568</v>
      </c>
      <c r="I40" s="776">
        <f t="shared" ca="1" si="2"/>
        <v>59.294260253305019</v>
      </c>
      <c r="J40" s="74">
        <f ca="1">IF(B40="","",DATE(INDEX(OFFSET(Arb!$C$2,,,Arb!$AJ$5,),B40),INDEX(OFFSET(Arb!$B$2,,,Arb!$AJ$5,),B40),INDEX(OFFSET(Arb!$A$2,,,Arb!$AJ$5,),B40))+ROW()*0.001)</f>
        <v>44096.04</v>
      </c>
      <c r="K40" s="11">
        <v>39</v>
      </c>
      <c r="L40" s="11">
        <v>2402</v>
      </c>
      <c r="M40" s="433">
        <f ca="1">IF(L40="",64,INDEX(OFFSET(Arb!$I$2,,,Arb!$AJ$5,),L40))</f>
        <v>72</v>
      </c>
      <c r="N40" s="680">
        <f ca="1">IF(L40="",60,INDEX(OFFSET(Arb!$H$2,,,Arb!$AJ$5,),L40))</f>
        <v>25</v>
      </c>
      <c r="O40" s="725">
        <f t="shared" ca="1" si="3"/>
        <v>2.88</v>
      </c>
      <c r="P40" s="724">
        <f ca="1">IF(L40="","",INDEX(OFFSET(Arb!$X$2,,,Arb!$AJ$5,),L40)/N40)</f>
        <v>3.36</v>
      </c>
      <c r="Q40" s="562">
        <f ca="1">IF(L40="","",(INDEX(OFFSET(Arb!$U$2,,,Arb!$AJ$5,),L40)+INDEX(OFFSET(Arb!$V$2,,,Arb!$AJ$5,),L40))/N40)</f>
        <v>3.64</v>
      </c>
      <c r="R40" s="33">
        <f t="shared" ca="1" si="4"/>
        <v>3.3049547547150642</v>
      </c>
      <c r="S40" s="777">
        <f t="shared" ca="1" si="5"/>
        <v>46.515008951538213</v>
      </c>
      <c r="T40" s="74">
        <f ca="1">IF(L40="","",DATE(INDEX(OFFSET(Arb!$C$2,,,Arb!$AJ$5,),L40),INDEX(OFFSET(Arb!$B$2,,,Arb!$AJ$5,),L40),INDEX(OFFSET(Arb!$A$2,,,Arb!$AJ$5,),L40))+ROW()*0.001)</f>
        <v>44168.04</v>
      </c>
      <c r="U40" s="11">
        <v>39</v>
      </c>
      <c r="V40" s="11">
        <v>3275</v>
      </c>
      <c r="W40" s="433">
        <f ca="1">IF(V40="",164,INDEX(OFFSET(Arb!$I$2,,,Arb!$AJ$5,),V40))</f>
        <v>218</v>
      </c>
      <c r="X40" s="682">
        <f ca="1">IF(V40="",240,INDEX(OFFSET(Arb!$H$2,,,Arb!$AJ$5,),V40))</f>
        <v>82.84</v>
      </c>
      <c r="Y40" s="726">
        <f t="shared" ca="1" si="6"/>
        <v>2.6315789473684208</v>
      </c>
      <c r="Z40" s="725">
        <f ca="1">IF(V40="","",INDEX(OFFSET(Arb!$X$2,,,Arb!$AJ$5,),V40)/X40)</f>
        <v>2.9816513761467887</v>
      </c>
      <c r="AA40" s="724">
        <f ca="1">IF(V40="","",(INDEX(OFFSET(Arb!$U$2,,,Arb!$AJ$5,),V40)+INDEX(OFFSET(Arb!$V$2,,,Arb!$AJ$5,),V40))/X40)</f>
        <v>3.2592950265572185</v>
      </c>
      <c r="AB40" s="33">
        <f t="shared" ca="1" si="7"/>
        <v>8.3666511200576572</v>
      </c>
      <c r="AC40" s="774">
        <f t="shared" ca="1" si="8"/>
        <v>51.992248004360704</v>
      </c>
      <c r="AD40" s="74">
        <f ca="1">IF(V40="","",DATE(INDEX(OFFSET(Arb!$C$2,,,Arb!$AJ$5,),V40),INDEX(OFFSET(Arb!$B$2,,,Arb!$AJ$5,),V40),INDEX(OFFSET(Arb!$A$2,,,Arb!$AJ$5,),V40))+ROW()*0.001)</f>
        <v>44075.040000000001</v>
      </c>
    </row>
    <row r="41" spans="1:30" x14ac:dyDescent="0.25">
      <c r="A41" s="11">
        <v>40</v>
      </c>
      <c r="B41" s="11">
        <v>1599</v>
      </c>
      <c r="C41" s="433">
        <f ca="1">IF(B41="",16,INDEX(OFFSET(Arb!$I$2,,,Arb!$AJ$5,),B41))</f>
        <v>25</v>
      </c>
      <c r="D41" s="688">
        <f ca="1">IF(B41="",10,INDEX(OFFSET(Arb!$H$2,,,Arb!$AJ$5,),B41))</f>
        <v>6.38</v>
      </c>
      <c r="E41" s="723">
        <f t="shared" ca="1" si="0"/>
        <v>3.9184952978056429</v>
      </c>
      <c r="F41" s="565">
        <f ca="1">IF(B41="","",INDEX(OFFSET(Arb!$X$2,,,Arb!$AJ$5,),B41)/D41)</f>
        <v>5.1724137931034484</v>
      </c>
      <c r="G41" s="779">
        <f ca="1">IF(B41="","",(INDEX(OFFSET(Arb!$U$2,,,Arb!$AJ$5,),B41)+INDEX(OFFSET(Arb!$V$2,,,Arb!$AJ$5,),B41))/D41)</f>
        <v>5.6426332288401255</v>
      </c>
      <c r="H41" s="33">
        <f t="shared" ca="1" si="1"/>
        <v>0.93380274265258767</v>
      </c>
      <c r="I41" s="774">
        <f t="shared" ca="1" si="2"/>
        <v>50.652025143598379</v>
      </c>
      <c r="J41" s="74">
        <f ca="1">IF(B41="","",DATE(INDEX(OFFSET(Arb!$C$2,,,Arb!$AJ$5,),B41),INDEX(OFFSET(Arb!$B$2,,,Arb!$AJ$5,),B41),INDEX(OFFSET(Arb!$A$2,,,Arb!$AJ$5,),B41))+ROW()*0.001)</f>
        <v>44054.040999999997</v>
      </c>
      <c r="K41" s="11">
        <v>40</v>
      </c>
      <c r="L41" s="11">
        <v>2344</v>
      </c>
      <c r="M41" s="433">
        <f ca="1">IF(L41="",64,INDEX(OFFSET(Arb!$I$2,,,Arb!$AJ$5,),L41))</f>
        <v>84</v>
      </c>
      <c r="N41" s="690">
        <f ca="1">IF(L41="",60,INDEX(OFFSET(Arb!$H$2,,,Arb!$AJ$5,),L41))</f>
        <v>29.17</v>
      </c>
      <c r="O41" s="725">
        <f t="shared" ca="1" si="3"/>
        <v>2.8796708947548848</v>
      </c>
      <c r="P41" s="725">
        <f ca="1">IF(L41="","",INDEX(OFFSET(Arb!$X$2,,,Arb!$AJ$5,),L41)/N41)</f>
        <v>2.8453890983887553</v>
      </c>
      <c r="Q41" s="561">
        <f ca="1">IF(L41="","",(INDEX(OFFSET(Arb!$U$2,,,Arb!$AJ$5,),L41)+INDEX(OFFSET(Arb!$V$2,,,Arb!$AJ$5,),L41))/N41)</f>
        <v>3.0853616729516626</v>
      </c>
      <c r="R41" s="33">
        <f t="shared" ca="1" si="4"/>
        <v>3.6822446804949274</v>
      </c>
      <c r="S41" s="777">
        <f t="shared" ca="1" si="5"/>
        <v>41.748990992998671</v>
      </c>
      <c r="T41" s="74">
        <f ca="1">IF(L41="","",DATE(INDEX(OFFSET(Arb!$C$2,,,Arb!$AJ$5,),L41),INDEX(OFFSET(Arb!$B$2,,,Arb!$AJ$5,),L41),INDEX(OFFSET(Arb!$A$2,,,Arb!$AJ$5,),L41))+ROW()*0.001)</f>
        <v>44106.040999999997</v>
      </c>
      <c r="U41" s="11">
        <v>40</v>
      </c>
      <c r="V41" s="11">
        <v>2788</v>
      </c>
      <c r="W41" s="433">
        <f ca="1">IF(V41="",164,INDEX(OFFSET(Arb!$I$2,,,Arb!$AJ$5,),V41))</f>
        <v>216</v>
      </c>
      <c r="X41" s="682">
        <f ca="1">IF(V41="",240,INDEX(OFFSET(Arb!$H$2,,,Arb!$AJ$5,),V41))</f>
        <v>82.09</v>
      </c>
      <c r="Y41" s="726">
        <f t="shared" ca="1" si="6"/>
        <v>2.6312583749543181</v>
      </c>
      <c r="Z41" s="561">
        <f ca="1">IF(V41="","",INDEX(OFFSET(Arb!$X$2,,,Arb!$AJ$5,),V41)/X41)</f>
        <v>3.0088926787672068</v>
      </c>
      <c r="AA41" s="724">
        <f ca="1">IF(V41="","",(INDEX(OFFSET(Arb!$U$2,,,Arb!$AJ$5,),V41)+INDEX(OFFSET(Arb!$V$2,,,Arb!$AJ$5,),V41))/X41)</f>
        <v>3.2647094652210988</v>
      </c>
      <c r="AB41" s="33">
        <f t="shared" ca="1" si="7"/>
        <v>8.3145678846966558</v>
      </c>
      <c r="AC41" s="774">
        <f t="shared" ca="1" si="8"/>
        <v>52.317932336644859</v>
      </c>
      <c r="AD41" s="74">
        <f ca="1">IF(V41="","",DATE(INDEX(OFFSET(Arb!$C$2,,,Arb!$AJ$5,),V41),INDEX(OFFSET(Arb!$B$2,,,Arb!$AJ$5,),V41),INDEX(OFFSET(Arb!$A$2,,,Arb!$AJ$5,),V41))+ROW()*0.001)</f>
        <v>43892.040999999997</v>
      </c>
    </row>
    <row r="42" spans="1:30" x14ac:dyDescent="0.25">
      <c r="A42" s="11">
        <v>41</v>
      </c>
      <c r="B42" s="11">
        <v>1592</v>
      </c>
      <c r="C42" s="433">
        <f ca="1">IF(B42="",16,INDEX(OFFSET(Arb!$I$2,,,Arb!$AJ$5,),B42))</f>
        <v>24</v>
      </c>
      <c r="D42" s="34">
        <f ca="1">IF(B42="",10,INDEX(OFFSET(Arb!$H$2,,,Arb!$AJ$5,),B42))</f>
        <v>6.13</v>
      </c>
      <c r="E42" s="33">
        <f t="shared" ca="1" si="0"/>
        <v>3.9151712887438825</v>
      </c>
      <c r="F42" s="33">
        <f ca="1">IF(B42="","",INDEX(OFFSET(Arb!$X$2,,,Arb!$AJ$5,),B42)/D42)</f>
        <v>4.0783034257748776</v>
      </c>
      <c r="G42" s="33">
        <f ca="1">IF(B42="","",(INDEX(OFFSET(Arb!$U$2,,,Arb!$AJ$5,),B42)+INDEX(OFFSET(Arb!$V$2,,,Arb!$AJ$5,),B42))/D42)</f>
        <v>4.4045676998368677</v>
      </c>
      <c r="H42" s="33">
        <f t="shared" ca="1" si="1"/>
        <v>0.90880679383168772</v>
      </c>
      <c r="I42" s="21">
        <f t="shared" ca="1" si="2"/>
        <v>52.045165508258556</v>
      </c>
      <c r="J42" s="74">
        <f ca="1">IF(B42="","",DATE(INDEX(OFFSET(Arb!$C$2,,,Arb!$AJ$5,),B42),INDEX(OFFSET(Arb!$B$2,,,Arb!$AJ$5,),B42),INDEX(OFFSET(Arb!$A$2,,,Arb!$AJ$5,),B42))+ROW()*0.001)</f>
        <v>44054.042000000001</v>
      </c>
      <c r="K42" s="11">
        <v>41</v>
      </c>
      <c r="L42" s="11">
        <v>2037</v>
      </c>
      <c r="M42" s="433">
        <f ca="1">IF(L42="",64,INDEX(OFFSET(Arb!$I$2,,,Arb!$AJ$5,),L42))</f>
        <v>80</v>
      </c>
      <c r="N42" s="34">
        <f ca="1">IF(L42="",60,INDEX(OFFSET(Arb!$H$2,,,Arb!$AJ$5,),L42))</f>
        <v>27.81</v>
      </c>
      <c r="O42" s="33">
        <f t="shared" ca="1" si="3"/>
        <v>2.8766630708378282</v>
      </c>
      <c r="P42" s="33">
        <f ca="1">IF(L42="","",INDEX(OFFSET(Arb!$X$2,,,Arb!$AJ$5,),L42)/N42)</f>
        <v>3.5239122617763394</v>
      </c>
      <c r="Q42" s="33">
        <f ca="1">IF(L42="","",(INDEX(OFFSET(Arb!$U$2,,,Arb!$AJ$5,),L42)+INDEX(OFFSET(Arb!$V$2,,,Arb!$AJ$5,),L42))/N42)</f>
        <v>3.9194534340165408</v>
      </c>
      <c r="R42" s="33">
        <f t="shared" ca="1" si="4"/>
        <v>3.5649356433394148</v>
      </c>
      <c r="S42" s="21">
        <f t="shared" ca="1" si="5"/>
        <v>43.12279810358514</v>
      </c>
      <c r="T42" s="74">
        <f ca="1">IF(L42="","",DATE(INDEX(OFFSET(Arb!$C$2,,,Arb!$AJ$5,),L42),INDEX(OFFSET(Arb!$B$2,,,Arb!$AJ$5,),L42),INDEX(OFFSET(Arb!$A$2,,,Arb!$AJ$5,),L42))+ROW()*0.001)</f>
        <v>43797.042000000001</v>
      </c>
      <c r="U42" s="11">
        <v>41</v>
      </c>
      <c r="V42" s="11">
        <v>2792</v>
      </c>
      <c r="W42" s="433">
        <f ca="1">IF(V42="",164,INDEX(OFFSET(Arb!$I$2,,,Arb!$AJ$5,),V42))</f>
        <v>226</v>
      </c>
      <c r="X42" s="34">
        <f ca="1">IF(V42="",240,INDEX(OFFSET(Arb!$H$2,,,Arb!$AJ$5,),V42))</f>
        <v>86.06</v>
      </c>
      <c r="Y42" s="33">
        <f t="shared" ca="1" si="6"/>
        <v>2.6260748315128981</v>
      </c>
      <c r="Z42" s="33">
        <f ca="1">IF(V42="","",INDEX(OFFSET(Arb!$X$2,,,Arb!$AJ$5,),V42)/X42)</f>
        <v>2.9630490355565882</v>
      </c>
      <c r="AA42" s="33">
        <f ca="1">IF(V42="","",(INDEX(OFFSET(Arb!$U$2,,,Arb!$AJ$5,),V42)+INDEX(OFFSET(Arb!$V$2,,,Arb!$AJ$5,),V42))/X42)</f>
        <v>3.2186846386242154</v>
      </c>
      <c r="AB42" s="33">
        <f t="shared" ca="1" si="7"/>
        <v>8.6110050082577132</v>
      </c>
      <c r="AC42" s="21">
        <f t="shared" ca="1" si="8"/>
        <v>50.516867611021731</v>
      </c>
      <c r="AD42" s="74">
        <f ca="1">IF(V42="","",DATE(INDEX(OFFSET(Arb!$C$2,,,Arb!$AJ$5,),V42),INDEX(OFFSET(Arb!$B$2,,,Arb!$AJ$5,),V42),INDEX(OFFSET(Arb!$A$2,,,Arb!$AJ$5,),V42))+ROW()*0.001)</f>
        <v>43893.042000000001</v>
      </c>
    </row>
    <row r="43" spans="1:30" x14ac:dyDescent="0.25">
      <c r="A43" s="11">
        <v>42</v>
      </c>
      <c r="B43" s="11">
        <v>1187</v>
      </c>
      <c r="C43" s="433">
        <f ca="1">IF(B43="",16,INDEX(OFFSET(Arb!$I$2,,,Arb!$AJ$5,),B43))</f>
        <v>24</v>
      </c>
      <c r="D43" s="34">
        <f ca="1">IF(B43="",10,INDEX(OFFSET(Arb!$H$2,,,Arb!$AJ$5,),B43))</f>
        <v>6.15</v>
      </c>
      <c r="E43" s="33">
        <f t="shared" ca="1" si="0"/>
        <v>3.9024390243902438</v>
      </c>
      <c r="F43" s="33">
        <f ca="1">IF(B43="","",INDEX(OFFSET(Arb!$X$2,,,Arb!$AJ$5,),B43)/D43)</f>
        <v>3.9024390243902438</v>
      </c>
      <c r="G43" s="33">
        <f ca="1">IF(B43="","",(INDEX(OFFSET(Arb!$U$2,,,Arb!$AJ$5,),B43)+INDEX(OFFSET(Arb!$V$2,,,Arb!$AJ$5,),B43))/D43)</f>
        <v>4.3902439024390238</v>
      </c>
      <c r="H43" s="33">
        <f t="shared" ca="1" si="1"/>
        <v>0.91385323825611875</v>
      </c>
      <c r="I43" s="21">
        <f t="shared" ca="1" si="2"/>
        <v>51.757763741428974</v>
      </c>
      <c r="J43" s="74">
        <f ca="1">IF(B43="","",DATE(INDEX(OFFSET(Arb!$C$2,,,Arb!$AJ$5,),B43),INDEX(OFFSET(Arb!$B$2,,,Arb!$AJ$5,),B43),INDEX(OFFSET(Arb!$A$2,,,Arb!$AJ$5,),B43))+ROW()*0.001)</f>
        <v>43893.042999999998</v>
      </c>
      <c r="K43" s="11">
        <v>42</v>
      </c>
      <c r="L43" s="11">
        <v>2253</v>
      </c>
      <c r="M43" s="433">
        <f ca="1">IF(L43="",64,INDEX(OFFSET(Arb!$I$2,,,Arb!$AJ$5,),L43))</f>
        <v>85</v>
      </c>
      <c r="N43" s="34">
        <f ca="1">IF(L43="",60,INDEX(OFFSET(Arb!$H$2,,,Arb!$AJ$5,),L43))</f>
        <v>29.55</v>
      </c>
      <c r="O43" s="33">
        <f t="shared" ca="1" si="3"/>
        <v>2.8764805414551606</v>
      </c>
      <c r="P43" s="33">
        <f ca="1">IF(L43="","",INDEX(OFFSET(Arb!$X$2,,,Arb!$AJ$5,),L43)/N43)</f>
        <v>3.4179357021996615</v>
      </c>
      <c r="Q43" s="33">
        <f ca="1">IF(L43="","",(INDEX(OFFSET(Arb!$U$2,,,Arb!$AJ$5,),L43)+INDEX(OFFSET(Arb!$V$2,,,Arb!$AJ$5,),L43))/N43)</f>
        <v>3.8578680203045685</v>
      </c>
      <c r="R43" s="33">
        <f t="shared" ca="1" si="4"/>
        <v>3.7198788779282359</v>
      </c>
      <c r="S43" s="21">
        <f t="shared" ca="1" si="5"/>
        <v>41.326614399235218</v>
      </c>
      <c r="T43" s="74">
        <f ca="1">IF(L43="","",DATE(INDEX(OFFSET(Arb!$C$2,,,Arb!$AJ$5,),L43),INDEX(OFFSET(Arb!$B$2,,,Arb!$AJ$5,),L43),INDEX(OFFSET(Arb!$A$2,,,Arb!$AJ$5,),L43))+ROW()*0.001)</f>
        <v>43901.042999999998</v>
      </c>
      <c r="U43" s="11">
        <v>42</v>
      </c>
      <c r="V43" s="11">
        <v>2796</v>
      </c>
      <c r="W43" s="433">
        <f ca="1">IF(V43="",164,INDEX(OFFSET(Arb!$I$2,,,Arb!$AJ$5,),V43))</f>
        <v>242</v>
      </c>
      <c r="X43" s="34">
        <f ca="1">IF(V43="",240,INDEX(OFFSET(Arb!$H$2,,,Arb!$AJ$5,),V43))</f>
        <v>92.28</v>
      </c>
      <c r="Y43" s="33">
        <f t="shared" ca="1" si="6"/>
        <v>2.6224534026874728</v>
      </c>
      <c r="Z43" s="33">
        <f ca="1">IF(V43="","",INDEX(OFFSET(Arb!$X$2,,,Arb!$AJ$5,),V43)/X43)</f>
        <v>2.9692241005635025</v>
      </c>
      <c r="AA43" s="33">
        <f ca="1">IF(V43="","",(INDEX(OFFSET(Arb!$U$2,,,Arb!$AJ$5,),V43)+INDEX(OFFSET(Arb!$V$2,,,Arb!$AJ$5,),V43))/X43)</f>
        <v>3.2834850455136539</v>
      </c>
      <c r="AB43" s="33">
        <f t="shared" ca="1" si="7"/>
        <v>9.0545637327083561</v>
      </c>
      <c r="AC43" s="21">
        <f t="shared" ca="1" si="8"/>
        <v>48.042182135028682</v>
      </c>
      <c r="AD43" s="74">
        <f ca="1">IF(V43="","",DATE(INDEX(OFFSET(Arb!$C$2,,,Arb!$AJ$5,),V43),INDEX(OFFSET(Arb!$B$2,,,Arb!$AJ$5,),V43),INDEX(OFFSET(Arb!$A$2,,,Arb!$AJ$5,),V43))+ROW()*0.001)</f>
        <v>43894.042999999998</v>
      </c>
    </row>
    <row r="44" spans="1:30" x14ac:dyDescent="0.25">
      <c r="A44" s="11">
        <v>43</v>
      </c>
      <c r="B44" s="11">
        <v>630</v>
      </c>
      <c r="C44" s="433">
        <f ca="1">IF(B44="",16,INDEX(OFFSET(Arb!$I$2,,,Arb!$AJ$5,),B44))</f>
        <v>35</v>
      </c>
      <c r="D44" s="34">
        <f ca="1">IF(B44="",10,INDEX(OFFSET(Arb!$H$2,,,Arb!$AJ$5,),B44))</f>
        <v>8.9700000000000006</v>
      </c>
      <c r="E44" s="33">
        <f t="shared" ca="1" si="0"/>
        <v>3.9018952062430321</v>
      </c>
      <c r="F44" s="33">
        <f ca="1">IF(B44="","",INDEX(OFFSET(Arb!$X$2,,,Arb!$AJ$5,),B44)/D44)</f>
        <v>4.2363433667781489</v>
      </c>
      <c r="G44" s="33">
        <f ca="1">IF(B44="","",(INDEX(OFFSET(Arb!$U$2,,,Arb!$AJ$5,),B44)+INDEX(OFFSET(Arb!$V$2,,,Arb!$AJ$5,),B44))/D44)</f>
        <v>4.9052396878483835</v>
      </c>
      <c r="H44" s="33">
        <f t="shared" ca="1" si="1"/>
        <v>1.1903621491364456</v>
      </c>
      <c r="I44" s="21">
        <f t="shared" ca="1" si="2"/>
        <v>39.734966400194516</v>
      </c>
      <c r="J44" s="74">
        <f ca="1">IF(B44="","",DATE(INDEX(OFFSET(Arb!$C$2,,,Arb!$AJ$5,),B44),INDEX(OFFSET(Arb!$B$2,,,Arb!$AJ$5,),B44),INDEX(OFFSET(Arb!$A$2,,,Arb!$AJ$5,),B44))+ROW()*0.001)</f>
        <v>43799.044000000002</v>
      </c>
      <c r="K44" s="11">
        <v>43</v>
      </c>
      <c r="L44" s="11">
        <v>2354</v>
      </c>
      <c r="M44" s="433">
        <f ca="1">IF(L44="",64,INDEX(OFFSET(Arb!$I$2,,,Arb!$AJ$5,),L44))</f>
        <v>81</v>
      </c>
      <c r="N44" s="34">
        <f ca="1">IF(L44="",60,INDEX(OFFSET(Arb!$H$2,,,Arb!$AJ$5,),L44))</f>
        <v>28.2</v>
      </c>
      <c r="O44" s="33">
        <f t="shared" ca="1" si="3"/>
        <v>2.8723404255319149</v>
      </c>
      <c r="P44" s="33">
        <f ca="1">IF(L44="","",INDEX(OFFSET(Arb!$X$2,,,Arb!$AJ$5,),L44)/N44)</f>
        <v>2.9432624113475176</v>
      </c>
      <c r="Q44" s="33">
        <f ca="1">IF(L44="","",(INDEX(OFFSET(Arb!$U$2,,,Arb!$AJ$5,),L44)+INDEX(OFFSET(Arb!$V$2,,,Arb!$AJ$5,),L44))/N44)</f>
        <v>3.5460992907801421</v>
      </c>
      <c r="R44" s="33">
        <f t="shared" ca="1" si="4"/>
        <v>3.6052755662611169</v>
      </c>
      <c r="S44" s="21">
        <f t="shared" ca="1" si="5"/>
        <v>42.640291199550958</v>
      </c>
      <c r="T44" s="74">
        <f ca="1">IF(L44="","",DATE(INDEX(OFFSET(Arb!$C$2,,,Arb!$AJ$5,),L44),INDEX(OFFSET(Arb!$B$2,,,Arb!$AJ$5,),L44),INDEX(OFFSET(Arb!$A$2,,,Arb!$AJ$5,),L44))+ROW()*0.001)</f>
        <v>44114.044000000002</v>
      </c>
      <c r="U44" s="11">
        <v>43</v>
      </c>
      <c r="V44" s="11">
        <v>3083</v>
      </c>
      <c r="W44" s="433">
        <f ca="1">IF(V44="",164,INDEX(OFFSET(Arb!$I$2,,,Arb!$AJ$5,),V44))</f>
        <v>189</v>
      </c>
      <c r="X44" s="34">
        <f ca="1">IF(V44="",240,INDEX(OFFSET(Arb!$H$2,,,Arb!$AJ$5,),V44))</f>
        <v>72.209999999999994</v>
      </c>
      <c r="Y44" s="33">
        <f t="shared" ca="1" si="6"/>
        <v>2.6173660157872871</v>
      </c>
      <c r="Z44" s="33">
        <f ca="1">IF(V44="","",INDEX(OFFSET(Arb!$X$2,,,Arb!$AJ$5,),V44)/X44)</f>
        <v>3.1851544107464345</v>
      </c>
      <c r="AA44" s="33">
        <f ca="1">IF(V44="","",(INDEX(OFFSET(Arb!$U$2,,,Arb!$AJ$5,),V44)+INDEX(OFFSET(Arb!$V$2,,,Arb!$AJ$5,),V44))/X44)</f>
        <v>3.4898213543830496</v>
      </c>
      <c r="AB44" s="33">
        <f t="shared" ca="1" si="7"/>
        <v>7.6410612738998047</v>
      </c>
      <c r="AC44" s="21">
        <f t="shared" ca="1" si="8"/>
        <v>56.929395591404081</v>
      </c>
      <c r="AD44" s="74">
        <f ca="1">IF(V44="","",DATE(INDEX(OFFSET(Arb!$C$2,,,Arb!$AJ$5,),V44),INDEX(OFFSET(Arb!$B$2,,,Arb!$AJ$5,),V44),INDEX(OFFSET(Arb!$A$2,,,Arb!$AJ$5,),V44))+ROW()*0.001)</f>
        <v>44003.044000000002</v>
      </c>
    </row>
    <row r="45" spans="1:30" x14ac:dyDescent="0.25">
      <c r="A45" s="11">
        <v>44</v>
      </c>
      <c r="B45" s="11">
        <v>1004</v>
      </c>
      <c r="C45" s="433">
        <f ca="1">IF(B45="",16,INDEX(OFFSET(Arb!$I$2,,,Arb!$AJ$5,),B45))</f>
        <v>19</v>
      </c>
      <c r="D45" s="34">
        <f ca="1">IF(B45="",10,INDEX(OFFSET(Arb!$H$2,,,Arb!$AJ$5,),B45))</f>
        <v>4.88</v>
      </c>
      <c r="E45" s="33">
        <f t="shared" ca="1" si="0"/>
        <v>3.8934426229508197</v>
      </c>
      <c r="F45" s="33">
        <f ca="1">IF(B45="","",INDEX(OFFSET(Arb!$X$2,,,Arb!$AJ$5,),B45)/D45)</f>
        <v>4.5081967213114753</v>
      </c>
      <c r="G45" s="33">
        <f ca="1">IF(B45="","",(INDEX(OFFSET(Arb!$U$2,,,Arb!$AJ$5,),B45)+INDEX(OFFSET(Arb!$V$2,,,Arb!$AJ$5,),B45))/D45)</f>
        <v>4.5081967213114753</v>
      </c>
      <c r="H45" s="33">
        <f t="shared" ca="1" si="1"/>
        <v>0.77904060854881441</v>
      </c>
      <c r="I45" s="21">
        <f t="shared" ca="1" si="2"/>
        <v>60.714421662957847</v>
      </c>
      <c r="J45" s="74">
        <f ca="1">IF(B45="","",DATE(INDEX(OFFSET(Arb!$C$2,,,Arb!$AJ$5,),B45),INDEX(OFFSET(Arb!$B$2,,,Arb!$AJ$5,),B45),INDEX(OFFSET(Arb!$A$2,,,Arb!$AJ$5,),B45))+ROW()*0.001)</f>
        <v>43838.044999999998</v>
      </c>
      <c r="K45" s="11">
        <v>44</v>
      </c>
      <c r="L45" s="11">
        <v>2118</v>
      </c>
      <c r="M45" s="433">
        <f ca="1">IF(L45="",64,INDEX(OFFSET(Arb!$I$2,,,Arb!$AJ$5,),L45))</f>
        <v>52</v>
      </c>
      <c r="N45" s="34">
        <f ca="1">IF(L45="",60,INDEX(OFFSET(Arb!$H$2,,,Arb!$AJ$5,),L45))</f>
        <v>18.12</v>
      </c>
      <c r="O45" s="33">
        <f t="shared" ca="1" si="3"/>
        <v>2.869757174392936</v>
      </c>
      <c r="P45" s="33">
        <f ca="1">IF(L45="","",INDEX(OFFSET(Arb!$X$2,,,Arb!$AJ$5,),L45)/N45)</f>
        <v>3.3112582781456954</v>
      </c>
      <c r="Q45" s="33">
        <f ca="1">IF(L45="","",(INDEX(OFFSET(Arb!$U$2,,,Arb!$AJ$5,),L45)+INDEX(OFFSET(Arb!$V$2,,,Arb!$AJ$5,),L45))/N45)</f>
        <v>3.7527593818984544</v>
      </c>
      <c r="R45" s="33">
        <f t="shared" ca="1" si="4"/>
        <v>2.6476805496926712</v>
      </c>
      <c r="S45" s="21">
        <f t="shared" ca="1" si="5"/>
        <v>58.062140471532395</v>
      </c>
      <c r="T45" s="74">
        <f ca="1">IF(L45="","",DATE(INDEX(OFFSET(Arb!$C$2,,,Arb!$AJ$5,),L45),INDEX(OFFSET(Arb!$B$2,,,Arb!$AJ$5,),L45),INDEX(OFFSET(Arb!$A$2,,,Arb!$AJ$5,),L45))+ROW()*0.001)</f>
        <v>43811.044999999998</v>
      </c>
      <c r="U45" s="11">
        <v>44</v>
      </c>
      <c r="V45" s="11">
        <v>3249</v>
      </c>
      <c r="W45" s="433">
        <f ca="1">IF(V45="",164,INDEX(OFFSET(Arb!$I$2,,,Arb!$AJ$5,),V45))</f>
        <v>198</v>
      </c>
      <c r="X45" s="34">
        <f ca="1">IF(V45="",240,INDEX(OFFSET(Arb!$H$2,,,Arb!$AJ$5,),V45))</f>
        <v>75.69</v>
      </c>
      <c r="Y45" s="33">
        <f t="shared" ca="1" si="6"/>
        <v>2.615933412604043</v>
      </c>
      <c r="Z45" s="33">
        <f ca="1">IF(V45="","",INDEX(OFFSET(Arb!$X$2,,,Arb!$AJ$5,),V45)/X45)</f>
        <v>2.9858633901440084</v>
      </c>
      <c r="AA45" s="33">
        <f ca="1">IF(V45="","",(INDEX(OFFSET(Arb!$U$2,,,Arb!$AJ$5,),V45)+INDEX(OFFSET(Arb!$V$2,,,Arb!$AJ$5,),V45))/X45)</f>
        <v>3.4482758620689657</v>
      </c>
      <c r="AB45" s="33">
        <f t="shared" ca="1" si="7"/>
        <v>7.9013312390705037</v>
      </c>
      <c r="AC45" s="21">
        <f t="shared" ca="1" si="8"/>
        <v>55.054140478126897</v>
      </c>
      <c r="AD45" s="74">
        <f ca="1">IF(V45="","",DATE(INDEX(OFFSET(Arb!$C$2,,,Arb!$AJ$5,),V45),INDEX(OFFSET(Arb!$B$2,,,Arb!$AJ$5,),V45),INDEX(OFFSET(Arb!$A$2,,,Arb!$AJ$5,),V45))+ROW()*0.001)</f>
        <v>44068.044999999998</v>
      </c>
    </row>
    <row r="46" spans="1:30" x14ac:dyDescent="0.25">
      <c r="A46" s="11">
        <v>45</v>
      </c>
      <c r="B46" s="11">
        <v>453</v>
      </c>
      <c r="C46" s="433">
        <f ca="1">IF(B46="",16,INDEX(OFFSET(Arb!$I$2,,,Arb!$AJ$5,),B46))</f>
        <v>27</v>
      </c>
      <c r="D46" s="34">
        <f ca="1">IF(B46="",10,INDEX(OFFSET(Arb!$H$2,,,Arb!$AJ$5,),B46))</f>
        <v>6.94</v>
      </c>
      <c r="E46" s="33">
        <f t="shared" ca="1" si="0"/>
        <v>3.8904899135446684</v>
      </c>
      <c r="F46" s="33">
        <f ca="1">IF(B46="","",INDEX(OFFSET(Arb!$X$2,,,Arb!$AJ$5,),B46)/D46)</f>
        <v>4.6109510086455332</v>
      </c>
      <c r="G46" s="33">
        <f ca="1">IF(B46="","",(INDEX(OFFSET(Arb!$U$2,,,Arb!$AJ$5,),B46)+INDEX(OFFSET(Arb!$V$2,,,Arb!$AJ$5,),B46))/D46)</f>
        <v>5.3314121037463975</v>
      </c>
      <c r="H46" s="33">
        <f t="shared" ca="1" si="1"/>
        <v>0.99757908582831878</v>
      </c>
      <c r="I46" s="21">
        <f t="shared" ca="1" si="2"/>
        <v>47.413784703321312</v>
      </c>
      <c r="J46" s="74">
        <f ca="1">IF(B46="","",DATE(INDEX(OFFSET(Arb!$C$2,,,Arb!$AJ$5,),B46),INDEX(OFFSET(Arb!$B$2,,,Arb!$AJ$5,),B46),INDEX(OFFSET(Arb!$A$2,,,Arb!$AJ$5,),B46))+ROW()*0.001)</f>
        <v>43784.046000000002</v>
      </c>
      <c r="K46" s="11">
        <v>45</v>
      </c>
      <c r="L46" s="11">
        <v>2111</v>
      </c>
      <c r="M46" s="433">
        <f ca="1">IF(L46="",64,INDEX(OFFSET(Arb!$I$2,,,Arb!$AJ$5,),L46))</f>
        <v>72</v>
      </c>
      <c r="N46" s="34">
        <f ca="1">IF(L46="",60,INDEX(OFFSET(Arb!$H$2,,,Arb!$AJ$5,),L46))</f>
        <v>25.19</v>
      </c>
      <c r="O46" s="33">
        <f t="shared" ca="1" si="3"/>
        <v>2.8582770940849542</v>
      </c>
      <c r="P46" s="33">
        <f ca="1">IF(L46="","",INDEX(OFFSET(Arb!$X$2,,,Arb!$AJ$5,),L46)/N46)</f>
        <v>3.1758634378721715</v>
      </c>
      <c r="Q46" s="33">
        <f ca="1">IF(L46="","",(INDEX(OFFSET(Arb!$U$2,,,Arb!$AJ$5,),L46)+INDEX(OFFSET(Arb!$V$2,,,Arb!$AJ$5,),L46))/N46)</f>
        <v>3.4140531957125844</v>
      </c>
      <c r="R46" s="33">
        <f t="shared" ca="1" si="4"/>
        <v>3.3477682660771548</v>
      </c>
      <c r="S46" s="21">
        <f t="shared" ca="1" si="5"/>
        <v>45.920143744040445</v>
      </c>
      <c r="T46" s="74">
        <f ca="1">IF(L46="","",DATE(INDEX(OFFSET(Arb!$C$2,,,Arb!$AJ$5,),L46),INDEX(OFFSET(Arb!$B$2,,,Arb!$AJ$5,),L46),INDEX(OFFSET(Arb!$A$2,,,Arb!$AJ$5,),L46))+ROW()*0.001)</f>
        <v>43811.046000000002</v>
      </c>
      <c r="U46" s="11">
        <v>45</v>
      </c>
      <c r="V46" s="11">
        <v>2989</v>
      </c>
      <c r="W46" s="433">
        <f ca="1">IF(V46="",164,INDEX(OFFSET(Arb!$I$2,,,Arb!$AJ$5,),V46))</f>
        <v>180</v>
      </c>
      <c r="X46" s="34">
        <f ca="1">IF(V46="",240,INDEX(OFFSET(Arb!$H$2,,,Arb!$AJ$5,),V46))</f>
        <v>68.84</v>
      </c>
      <c r="Y46" s="33">
        <f t="shared" ca="1" si="6"/>
        <v>2.6147588611272514</v>
      </c>
      <c r="Z46" s="33">
        <f ca="1">IF(V46="","",INDEX(OFFSET(Arb!$X$2,,,Arb!$AJ$5,),V46)/X46)</f>
        <v>3.1231841952353281</v>
      </c>
      <c r="AA46" s="33">
        <f ca="1">IF(V46="","",(INDEX(OFFSET(Arb!$U$2,,,Arb!$AJ$5,),V46)+INDEX(OFFSET(Arb!$V$2,,,Arb!$AJ$5,),V46))/X46)</f>
        <v>3.471818710052295</v>
      </c>
      <c r="AB46" s="33">
        <f t="shared" ca="1" si="7"/>
        <v>7.3970228404011298</v>
      </c>
      <c r="AC46" s="21">
        <f t="shared" ca="1" si="8"/>
        <v>58.807578317063907</v>
      </c>
      <c r="AD46" s="74">
        <f ca="1">IF(V46="","",DATE(INDEX(OFFSET(Arb!$C$2,,,Arb!$AJ$5,),V46),INDEX(OFFSET(Arb!$B$2,,,Arb!$AJ$5,),V46),INDEX(OFFSET(Arb!$A$2,,,Arb!$AJ$5,),V46))+ROW()*0.001)</f>
        <v>43956.046000000002</v>
      </c>
    </row>
    <row r="47" spans="1:30" x14ac:dyDescent="0.25">
      <c r="A47" s="11">
        <v>46</v>
      </c>
      <c r="B47" s="11">
        <v>1269</v>
      </c>
      <c r="C47" s="433">
        <f ca="1">IF(B47="",16,INDEX(OFFSET(Arb!$I$2,,,Arb!$AJ$5,),B47))</f>
        <v>21</v>
      </c>
      <c r="D47" s="34">
        <f ca="1">IF(B47="",10,INDEX(OFFSET(Arb!$H$2,,,Arb!$AJ$5,),B47))</f>
        <v>5.4</v>
      </c>
      <c r="E47" s="33">
        <f t="shared" ca="1" si="0"/>
        <v>3.8888888888888888</v>
      </c>
      <c r="F47" s="33">
        <f ca="1">IF(B47="","",INDEX(OFFSET(Arb!$X$2,,,Arb!$AJ$5,),B47)/D47)</f>
        <v>4.6296296296296298</v>
      </c>
      <c r="G47" s="33">
        <f ca="1">IF(B47="","",(INDEX(OFFSET(Arb!$U$2,,,Arb!$AJ$5,),B47)+INDEX(OFFSET(Arb!$V$2,,,Arb!$AJ$5,),B47))/D47)</f>
        <v>5</v>
      </c>
      <c r="H47" s="33">
        <f t="shared" ca="1" si="1"/>
        <v>0.83724024664169505</v>
      </c>
      <c r="I47" s="21">
        <f t="shared" ca="1" si="2"/>
        <v>56.493939690219001</v>
      </c>
      <c r="J47" s="74">
        <f ca="1">IF(B47="","",DATE(INDEX(OFFSET(Arb!$C$2,,,Arb!$AJ$5,),B47),INDEX(OFFSET(Arb!$B$2,,,Arb!$AJ$5,),B47),INDEX(OFFSET(Arb!$A$2,,,Arb!$AJ$5,),B47))+ROW()*0.001)</f>
        <v>43906.046999999999</v>
      </c>
      <c r="K47" s="11">
        <v>46</v>
      </c>
      <c r="L47" s="11">
        <v>2207</v>
      </c>
      <c r="M47" s="433">
        <f ca="1">IF(L47="",64,INDEX(OFFSET(Arb!$I$2,,,Arb!$AJ$5,),L47))</f>
        <v>78</v>
      </c>
      <c r="N47" s="34">
        <f ca="1">IF(L47="",60,INDEX(OFFSET(Arb!$H$2,,,Arb!$AJ$5,),L47))</f>
        <v>27.3</v>
      </c>
      <c r="O47" s="33">
        <f t="shared" ca="1" si="3"/>
        <v>2.8571428571428572</v>
      </c>
      <c r="P47" s="33">
        <f ca="1">IF(L47="","",INDEX(OFFSET(Arb!$X$2,,,Arb!$AJ$5,),L47)/N47)</f>
        <v>3.4065934065934065</v>
      </c>
      <c r="Q47" s="33">
        <f ca="1">IF(L47="","",(INDEX(OFFSET(Arb!$U$2,,,Arb!$AJ$5,),L47)+INDEX(OFFSET(Arb!$V$2,,,Arb!$AJ$5,),L47))/N47)</f>
        <v>3.7362637362637363</v>
      </c>
      <c r="R47" s="33">
        <f t="shared" ca="1" si="4"/>
        <v>3.5430876589846036</v>
      </c>
      <c r="S47" s="21">
        <f t="shared" ca="1" si="5"/>
        <v>43.388709170141368</v>
      </c>
      <c r="T47" s="74">
        <f ca="1">IF(L47="","",DATE(INDEX(OFFSET(Arb!$C$2,,,Arb!$AJ$5,),L47),INDEX(OFFSET(Arb!$B$2,,,Arb!$AJ$5,),L47),INDEX(OFFSET(Arb!$A$2,,,Arb!$AJ$5,),L47))+ROW()*0.001)</f>
        <v>43869.046999999999</v>
      </c>
      <c r="U47" s="11">
        <v>46</v>
      </c>
      <c r="V47" s="11">
        <v>3314</v>
      </c>
      <c r="W47" s="433">
        <f ca="1">IF(V47="",164,INDEX(OFFSET(Arb!$I$2,,,Arb!$AJ$5,),V47))</f>
        <v>181</v>
      </c>
      <c r="X47" s="34">
        <f ca="1">IF(V47="",240,INDEX(OFFSET(Arb!$H$2,,,Arb!$AJ$5,),V47))</f>
        <v>69.28</v>
      </c>
      <c r="Y47" s="33">
        <f t="shared" ca="1" si="6"/>
        <v>2.6125866050808315</v>
      </c>
      <c r="Z47" s="33">
        <f ca="1">IF(V47="","",INDEX(OFFSET(Arb!$X$2,,,Arb!$AJ$5,),V47)/X47)</f>
        <v>3.1899538106235563</v>
      </c>
      <c r="AA47" s="33">
        <f ca="1">IF(V47="","",(INDEX(OFFSET(Arb!$U$2,,,Arb!$AJ$5,),V47)+INDEX(OFFSET(Arb!$V$2,,,Arb!$AJ$5,),V47))/X47)</f>
        <v>3.464203233256351</v>
      </c>
      <c r="AB47" s="33">
        <f t="shared" ca="1" si="7"/>
        <v>7.4362643404226345</v>
      </c>
      <c r="AC47" s="21">
        <f t="shared" ca="1" si="8"/>
        <v>58.497248092081271</v>
      </c>
      <c r="AD47" s="74">
        <f ca="1">IF(V47="","",DATE(INDEX(OFFSET(Arb!$C$2,,,Arb!$AJ$5,),V47),INDEX(OFFSET(Arb!$B$2,,,Arb!$AJ$5,),V47),INDEX(OFFSET(Arb!$A$2,,,Arb!$AJ$5,),V47))+ROW()*0.001)</f>
        <v>44094.046999999999</v>
      </c>
    </row>
    <row r="48" spans="1:30" x14ac:dyDescent="0.25">
      <c r="A48" s="11">
        <v>47</v>
      </c>
      <c r="B48" s="11">
        <v>1533</v>
      </c>
      <c r="C48" s="433">
        <f ca="1">IF(B48="",16,INDEX(OFFSET(Arb!$I$2,,,Arb!$AJ$5,),B48))</f>
        <v>19</v>
      </c>
      <c r="D48" s="34">
        <f ca="1">IF(B48="",10,INDEX(OFFSET(Arb!$H$2,,,Arb!$AJ$5,),B48))</f>
        <v>4.8899999999999997</v>
      </c>
      <c r="E48" s="33">
        <f t="shared" ca="1" si="0"/>
        <v>3.8854805725971371</v>
      </c>
      <c r="F48" s="33">
        <f ca="1">IF(B48="","",INDEX(OFFSET(Arb!$X$2,,,Arb!$AJ$5,),B48)/D48)</f>
        <v>3.8854805725971371</v>
      </c>
      <c r="G48" s="33">
        <f ca="1">IF(B48="","",(INDEX(OFFSET(Arb!$U$2,,,Arb!$AJ$5,),B48)+INDEX(OFFSET(Arb!$V$2,,,Arb!$AJ$5,),B48))/D48)</f>
        <v>4.294478527607362</v>
      </c>
      <c r="H48" s="33">
        <f t="shared" ca="1" si="1"/>
        <v>0.78175642554647895</v>
      </c>
      <c r="I48" s="21">
        <f t="shared" ca="1" si="2"/>
        <v>60.503500136805542</v>
      </c>
      <c r="J48" s="74">
        <f ca="1">IF(B48="","",DATE(INDEX(OFFSET(Arb!$C$2,,,Arb!$AJ$5,),B48),INDEX(OFFSET(Arb!$B$2,,,Arb!$AJ$5,),B48),INDEX(OFFSET(Arb!$A$2,,,Arb!$AJ$5,),B48))+ROW()*0.001)</f>
        <v>43984.048000000003</v>
      </c>
      <c r="K48" s="11">
        <v>47</v>
      </c>
      <c r="L48" s="11">
        <v>1981</v>
      </c>
      <c r="M48" s="433">
        <f ca="1">IF(L48="",64,INDEX(OFFSET(Arb!$I$2,,,Arb!$AJ$5,),L48))</f>
        <v>81</v>
      </c>
      <c r="N48" s="34">
        <f ca="1">IF(L48="",60,INDEX(OFFSET(Arb!$H$2,,,Arb!$AJ$5,),L48))</f>
        <v>28.37</v>
      </c>
      <c r="O48" s="33">
        <f t="shared" ca="1" si="3"/>
        <v>2.855128657032076</v>
      </c>
      <c r="P48" s="33">
        <f ca="1">IF(L48="","",INDEX(OFFSET(Arb!$X$2,,,Arb!$AJ$5,),L48)/N48)</f>
        <v>3.2428621783574196</v>
      </c>
      <c r="Q48" s="33">
        <f ca="1">IF(L48="","",(INDEX(OFFSET(Arb!$U$2,,,Arb!$AJ$5,),L48)+INDEX(OFFSET(Arb!$V$2,,,Arb!$AJ$5,),L48))/N48)</f>
        <v>3.6305956996827633</v>
      </c>
      <c r="R48" s="33">
        <f t="shared" ca="1" si="4"/>
        <v>3.6423011585682854</v>
      </c>
      <c r="S48" s="21">
        <f t="shared" ca="1" si="5"/>
        <v>42.206833896302008</v>
      </c>
      <c r="T48" s="74">
        <f ca="1">IF(L48="","",DATE(INDEX(OFFSET(Arb!$C$2,,,Arb!$AJ$5,),L48),INDEX(OFFSET(Arb!$B$2,,,Arb!$AJ$5,),L48),INDEX(OFFSET(Arb!$A$2,,,Arb!$AJ$5,),L48))+ROW()*0.001)</f>
        <v>43782.048000000003</v>
      </c>
      <c r="U48" s="11">
        <v>47</v>
      </c>
      <c r="V48" s="11">
        <v>2944</v>
      </c>
      <c r="W48" s="433">
        <f ca="1">IF(V48="",164,INDEX(OFFSET(Arb!$I$2,,,Arb!$AJ$5,),V48))</f>
        <v>205</v>
      </c>
      <c r="X48" s="34">
        <f ca="1">IF(V48="",240,INDEX(OFFSET(Arb!$H$2,,,Arb!$AJ$5,),V48))</f>
        <v>78.489999999999995</v>
      </c>
      <c r="Y48" s="33">
        <f t="shared" ca="1" si="6"/>
        <v>2.6117976812332784</v>
      </c>
      <c r="Z48" s="33">
        <f ca="1">IF(V48="","",INDEX(OFFSET(Arb!$X$2,,,Arb!$AJ$5,),V48)/X48)</f>
        <v>2.9685310230602626</v>
      </c>
      <c r="AA48" s="33">
        <f ca="1">IF(V48="","",(INDEX(OFFSET(Arb!$U$2,,,Arb!$AJ$5,),V48)+INDEX(OFFSET(Arb!$V$2,,,Arb!$AJ$5,),V48))/X48)</f>
        <v>3.1978595999490382</v>
      </c>
      <c r="AB48" s="33">
        <f t="shared" ca="1" si="7"/>
        <v>8.1176532899028278</v>
      </c>
      <c r="AC48" s="21">
        <f t="shared" ca="1" si="8"/>
        <v>53.587038576909599</v>
      </c>
      <c r="AD48" s="74">
        <f ca="1">IF(V48="","",DATE(INDEX(OFFSET(Arb!$C$2,,,Arb!$AJ$5,),V48),INDEX(OFFSET(Arb!$B$2,,,Arb!$AJ$5,),V48),INDEX(OFFSET(Arb!$A$2,,,Arb!$AJ$5,),V48))+ROW()*0.001)</f>
        <v>43945.048000000003</v>
      </c>
    </row>
    <row r="49" spans="1:30" x14ac:dyDescent="0.25">
      <c r="A49" s="11">
        <v>48</v>
      </c>
      <c r="B49" s="11">
        <v>1258</v>
      </c>
      <c r="C49" s="433">
        <f ca="1">IF(B49="",16,INDEX(OFFSET(Arb!$I$2,,,Arb!$AJ$5,),B49))</f>
        <v>24</v>
      </c>
      <c r="D49" s="34">
        <f ca="1">IF(B49="",10,INDEX(OFFSET(Arb!$H$2,,,Arb!$AJ$5,),B49))</f>
        <v>6.18</v>
      </c>
      <c r="E49" s="33">
        <f t="shared" ca="1" si="0"/>
        <v>3.883495145631068</v>
      </c>
      <c r="F49" s="33">
        <f ca="1">IF(B49="","",INDEX(OFFSET(Arb!$X$2,,,Arb!$AJ$5,),B49)/D49)</f>
        <v>3.883495145631068</v>
      </c>
      <c r="G49" s="33">
        <f ca="1">IF(B49="","",(INDEX(OFFSET(Arb!$U$2,,,Arb!$AJ$5,),B49)+INDEX(OFFSET(Arb!$V$2,,,Arb!$AJ$5,),B49))/D49)</f>
        <v>4.6925566343042071</v>
      </c>
      <c r="H49" s="33">
        <f t="shared" ca="1" si="1"/>
        <v>0.9214444656538161</v>
      </c>
      <c r="I49" s="21">
        <f t="shared" ca="1" si="2"/>
        <v>51.33136261927487</v>
      </c>
      <c r="J49" s="74">
        <f ca="1">IF(B49="","",DATE(INDEX(OFFSET(Arb!$C$2,,,Arb!$AJ$5,),B49),INDEX(OFFSET(Arb!$B$2,,,Arb!$AJ$5,),B49),INDEX(OFFSET(Arb!$A$2,,,Arb!$AJ$5,),B49))+ROW()*0.001)</f>
        <v>43901.048999999999</v>
      </c>
      <c r="K49" s="11">
        <v>48</v>
      </c>
      <c r="L49" s="11">
        <v>2329</v>
      </c>
      <c r="M49" s="433">
        <f ca="1">IF(L49="",64,INDEX(OFFSET(Arb!$I$2,,,Arb!$AJ$5,),L49))</f>
        <v>62</v>
      </c>
      <c r="N49" s="34">
        <f ca="1">IF(L49="",60,INDEX(OFFSET(Arb!$H$2,,,Arb!$AJ$5,),L49))</f>
        <v>21.75</v>
      </c>
      <c r="O49" s="33">
        <f t="shared" ca="1" si="3"/>
        <v>2.8505747126436782</v>
      </c>
      <c r="P49" s="33">
        <f ca="1">IF(L49="","",INDEX(OFFSET(Arb!$X$2,,,Arb!$AJ$5,),L49)/N49)</f>
        <v>3.3563218390804597</v>
      </c>
      <c r="Q49" s="33">
        <f ca="1">IF(L49="","",(INDEX(OFFSET(Arb!$U$2,,,Arb!$AJ$5,),L49)+INDEX(OFFSET(Arb!$V$2,,,Arb!$AJ$5,),L49))/N49)</f>
        <v>3.9540229885057472</v>
      </c>
      <c r="R49" s="33">
        <f t="shared" ca="1" si="4"/>
        <v>3.0289287306456654</v>
      </c>
      <c r="S49" s="21">
        <f t="shared" ca="1" si="5"/>
        <v>50.753917860335378</v>
      </c>
      <c r="T49" s="74">
        <f ca="1">IF(L49="","",DATE(INDEX(OFFSET(Arb!$C$2,,,Arb!$AJ$5,),L49),INDEX(OFFSET(Arb!$B$2,,,Arb!$AJ$5,),L49),INDEX(OFFSET(Arb!$A$2,,,Arb!$AJ$5,),L49))+ROW()*0.001)</f>
        <v>44090.048999999999</v>
      </c>
      <c r="U49" s="11">
        <v>48</v>
      </c>
      <c r="V49" s="11">
        <v>3149</v>
      </c>
      <c r="W49" s="433">
        <f ca="1">IF(V49="",164,INDEX(OFFSET(Arb!$I$2,,,Arb!$AJ$5,),V49))</f>
        <v>170</v>
      </c>
      <c r="X49" s="34">
        <f ca="1">IF(V49="",240,INDEX(OFFSET(Arb!$H$2,,,Arb!$AJ$5,),V49))</f>
        <v>65.13</v>
      </c>
      <c r="Y49" s="33">
        <f t="shared" ca="1" si="6"/>
        <v>2.6101642868109938</v>
      </c>
      <c r="Z49" s="33">
        <f ca="1">IF(V49="","",INDEX(OFFSET(Arb!$X$2,,,Arb!$AJ$5,),V49)/X49)</f>
        <v>2.9325963457699986</v>
      </c>
      <c r="AA49" s="33">
        <f ca="1">IF(V49="","",(INDEX(OFFSET(Arb!$U$2,,,Arb!$AJ$5,),V49)+INDEX(OFFSET(Arb!$V$2,,,Arb!$AJ$5,),V49))/X49)</f>
        <v>3.1936127744510978</v>
      </c>
      <c r="AB49" s="33">
        <f t="shared" ca="1" si="7"/>
        <v>7.1281841623161908</v>
      </c>
      <c r="AC49" s="21">
        <f t="shared" ca="1" si="8"/>
        <v>61.025499635611723</v>
      </c>
      <c r="AD49" s="74">
        <f ca="1">IF(V49="","",DATE(INDEX(OFFSET(Arb!$C$2,,,Arb!$AJ$5,),V49),INDEX(OFFSET(Arb!$B$2,,,Arb!$AJ$5,),V49),INDEX(OFFSET(Arb!$A$2,,,Arb!$AJ$5,),V49))+ROW()*0.001)</f>
        <v>44028.048999999999</v>
      </c>
    </row>
    <row r="50" spans="1:30" x14ac:dyDescent="0.25">
      <c r="A50" s="11">
        <v>49</v>
      </c>
      <c r="B50" s="11">
        <v>933</v>
      </c>
      <c r="C50" s="433">
        <f ca="1">IF(B50="",16,INDEX(OFFSET(Arb!$I$2,,,Arb!$AJ$5,),B50))</f>
        <v>26</v>
      </c>
      <c r="D50" s="34">
        <f ca="1">IF(B50="",10,INDEX(OFFSET(Arb!$H$2,,,Arb!$AJ$5,),B50))</f>
        <v>6.7</v>
      </c>
      <c r="E50" s="33">
        <f t="shared" ca="1" si="0"/>
        <v>3.8805970149253732</v>
      </c>
      <c r="F50" s="33">
        <f ca="1">IF(B50="","",INDEX(OFFSET(Arb!$X$2,,,Arb!$AJ$5,),B50)/D50)</f>
        <v>3.8805970149253732</v>
      </c>
      <c r="G50" s="33">
        <f ca="1">IF(B50="","",(INDEX(OFFSET(Arb!$U$2,,,Arb!$AJ$5,),B50)+INDEX(OFFSET(Arb!$V$2,,,Arb!$AJ$5,),B50))/D50)</f>
        <v>4.3283582089552235</v>
      </c>
      <c r="H50" s="33">
        <f t="shared" ca="1" si="1"/>
        <v>0.97578427847975324</v>
      </c>
      <c r="I50" s="21">
        <f t="shared" ca="1" si="2"/>
        <v>48.47280392105786</v>
      </c>
      <c r="J50" s="74">
        <f ca="1">IF(B50="","",DATE(INDEX(OFFSET(Arb!$C$2,,,Arb!$AJ$5,),B50),INDEX(OFFSET(Arb!$B$2,,,Arb!$AJ$5,),B50),INDEX(OFFSET(Arb!$A$2,,,Arb!$AJ$5,),B50))+ROW()*0.001)</f>
        <v>43822.05</v>
      </c>
      <c r="K50" s="11">
        <v>49</v>
      </c>
      <c r="L50" s="11">
        <v>2129</v>
      </c>
      <c r="M50" s="433">
        <f ca="1">IF(L50="",64,INDEX(OFFSET(Arb!$I$2,,,Arb!$AJ$5,),L50))</f>
        <v>66</v>
      </c>
      <c r="N50" s="34">
        <f ca="1">IF(L50="",60,INDEX(OFFSET(Arb!$H$2,,,Arb!$AJ$5,),L50))</f>
        <v>23.16</v>
      </c>
      <c r="O50" s="33">
        <f t="shared" ca="1" si="3"/>
        <v>2.849740932642487</v>
      </c>
      <c r="P50" s="33">
        <f ca="1">IF(L50="","",INDEX(OFFSET(Arb!$X$2,,,Arb!$AJ$5,),L50)/N50)</f>
        <v>3.4974093264248705</v>
      </c>
      <c r="Q50" s="33">
        <f ca="1">IF(L50="","",(INDEX(OFFSET(Arb!$U$2,,,Arb!$AJ$5,),L50)+INDEX(OFFSET(Arb!$V$2,,,Arb!$AJ$5,),L50))/N50)</f>
        <v>3.8860103626943006</v>
      </c>
      <c r="R50" s="33">
        <f t="shared" ca="1" si="4"/>
        <v>3.1660050849575403</v>
      </c>
      <c r="S50" s="21">
        <f t="shared" ca="1" si="5"/>
        <v>48.556460231352311</v>
      </c>
      <c r="T50" s="74">
        <f ca="1">IF(L50="","",DATE(INDEX(OFFSET(Arb!$C$2,,,Arb!$AJ$5,),L50),INDEX(OFFSET(Arb!$B$2,,,Arb!$AJ$5,),L50),INDEX(OFFSET(Arb!$A$2,,,Arb!$AJ$5,),L50))+ROW()*0.001)</f>
        <v>43811.05</v>
      </c>
      <c r="U50" s="11">
        <v>49</v>
      </c>
      <c r="V50" s="11">
        <v>2920</v>
      </c>
      <c r="W50" s="433">
        <f ca="1">IF(V50="",164,INDEX(OFFSET(Arb!$I$2,,,Arb!$AJ$5,),V50))</f>
        <v>187</v>
      </c>
      <c r="X50" s="34">
        <f ca="1">IF(V50="",240,INDEX(OFFSET(Arb!$H$2,,,Arb!$AJ$5,),V50))</f>
        <v>71.66</v>
      </c>
      <c r="Y50" s="33">
        <f t="shared" ca="1" si="6"/>
        <v>2.6095450739603687</v>
      </c>
      <c r="Z50" s="33">
        <f ca="1">IF(V50="","",INDEX(OFFSET(Arb!$X$2,,,Arb!$AJ$5,),V50)/X50)</f>
        <v>3.0421434552051356</v>
      </c>
      <c r="AA50" s="33">
        <f ca="1">IF(V50="","",(INDEX(OFFSET(Arb!$U$2,,,Arb!$AJ$5,),V50)+INDEX(OFFSET(Arb!$V$2,,,Arb!$AJ$5,),V50))/X50)</f>
        <v>3.2654200390734025</v>
      </c>
      <c r="AB50" s="33">
        <f t="shared" ca="1" si="7"/>
        <v>7.6230533637012252</v>
      </c>
      <c r="AC50" s="21">
        <f t="shared" ca="1" si="8"/>
        <v>57.063879687809731</v>
      </c>
      <c r="AD50" s="74">
        <f ca="1">IF(V50="","",DATE(INDEX(OFFSET(Arb!$C$2,,,Arb!$AJ$5,),V50),INDEX(OFFSET(Arb!$B$2,,,Arb!$AJ$5,),V50),INDEX(OFFSET(Arb!$A$2,,,Arb!$AJ$5,),V50))+ROW()*0.001)</f>
        <v>43935.05</v>
      </c>
    </row>
    <row r="51" spans="1:30" x14ac:dyDescent="0.25">
      <c r="A51" s="11">
        <v>50</v>
      </c>
      <c r="B51" s="11">
        <v>1402</v>
      </c>
      <c r="C51" s="433">
        <f ca="1">IF(B51="",16,INDEX(OFFSET(Arb!$I$2,,,Arb!$AJ$5,),B51))</f>
        <v>18</v>
      </c>
      <c r="D51" s="34">
        <f ca="1">IF(B51="",10,INDEX(OFFSET(Arb!$H$2,,,Arb!$AJ$5,),B51))</f>
        <v>4.6399999999999997</v>
      </c>
      <c r="E51" s="33">
        <f t="shared" ca="1" si="0"/>
        <v>3.8793103448275863</v>
      </c>
      <c r="F51" s="33">
        <f ca="1">IF(B51="","",INDEX(OFFSET(Arb!$X$2,,,Arb!$AJ$5,),B51)/D51)</f>
        <v>4.0948275862068968</v>
      </c>
      <c r="G51" s="33">
        <f ca="1">IF(B51="","",(INDEX(OFFSET(Arb!$U$2,,,Arb!$AJ$5,),B51)+INDEX(OFFSET(Arb!$V$2,,,Arb!$AJ$5,),B51))/D51)</f>
        <v>4.9568965517241379</v>
      </c>
      <c r="H51" s="33">
        <f t="shared" ca="1" si="1"/>
        <v>0.7547585854085006</v>
      </c>
      <c r="I51" s="21">
        <f t="shared" ca="1" si="2"/>
        <v>62.667720400159737</v>
      </c>
      <c r="J51" s="74">
        <f ca="1">IF(B51="","",DATE(INDEX(OFFSET(Arb!$C$2,,,Arb!$AJ$5,),B51),INDEX(OFFSET(Arb!$B$2,,,Arb!$AJ$5,),B51),INDEX(OFFSET(Arb!$A$2,,,Arb!$AJ$5,),B51))+ROW()*0.001)</f>
        <v>43940.050999999999</v>
      </c>
      <c r="K51" s="11">
        <v>50</v>
      </c>
      <c r="L51" s="11">
        <v>2090</v>
      </c>
      <c r="M51" s="433">
        <f ca="1">IF(L51="",64,INDEX(OFFSET(Arb!$I$2,,,Arb!$AJ$5,),L51))</f>
        <v>74</v>
      </c>
      <c r="N51" s="34">
        <f ca="1">IF(L51="",60,INDEX(OFFSET(Arb!$H$2,,,Arb!$AJ$5,),L51))</f>
        <v>26</v>
      </c>
      <c r="O51" s="33">
        <f t="shared" ca="1" si="3"/>
        <v>2.8461538461538463</v>
      </c>
      <c r="P51" s="33">
        <f ca="1">IF(L51="","",INDEX(OFFSET(Arb!$X$2,,,Arb!$AJ$5,),L51)/N51)</f>
        <v>3.3461538461538463</v>
      </c>
      <c r="Q51" s="33">
        <f ca="1">IF(L51="","",(INDEX(OFFSET(Arb!$U$2,,,Arb!$AJ$5,),L51)+INDEX(OFFSET(Arb!$V$2,,,Arb!$AJ$5,),L51))/N51)</f>
        <v>3.8076923076923075</v>
      </c>
      <c r="R51" s="33">
        <f t="shared" ca="1" si="4"/>
        <v>3.4373437981853852</v>
      </c>
      <c r="S51" s="21">
        <f t="shared" ca="1" si="5"/>
        <v>44.723486804303917</v>
      </c>
      <c r="T51" s="74">
        <f ca="1">IF(L51="","",DATE(INDEX(OFFSET(Arb!$C$2,,,Arb!$AJ$5,),L51),INDEX(OFFSET(Arb!$B$2,,,Arb!$AJ$5,),L51),INDEX(OFFSET(Arb!$A$2,,,Arb!$AJ$5,),L51))+ROW()*0.001)</f>
        <v>43809.050999999999</v>
      </c>
      <c r="U51" s="11">
        <v>50</v>
      </c>
      <c r="V51" s="11">
        <v>3320</v>
      </c>
      <c r="W51" s="433">
        <f ca="1">IF(V51="",164,INDEX(OFFSET(Arb!$I$2,,,Arb!$AJ$5,),V51))</f>
        <v>180</v>
      </c>
      <c r="X51" s="34">
        <f ca="1">IF(V51="",240,INDEX(OFFSET(Arb!$H$2,,,Arb!$AJ$5,),V51))</f>
        <v>68.98</v>
      </c>
      <c r="Y51" s="33">
        <f t="shared" ca="1" si="6"/>
        <v>2.6094520150768337</v>
      </c>
      <c r="Z51" s="33">
        <f ca="1">IF(V51="","",INDEX(OFFSET(Arb!$X$2,,,Arb!$AJ$5,),V51)/X51)</f>
        <v>3.203827196288779</v>
      </c>
      <c r="AA51" s="33">
        <f ca="1">IF(V51="","",(INDEX(OFFSET(Arb!$U$2,,,Arb!$AJ$5,),V51)+INDEX(OFFSET(Arb!$V$2,,,Arb!$AJ$5,),V51))/X51)</f>
        <v>3.5952449985503043</v>
      </c>
      <c r="AB51" s="33">
        <f t="shared" ca="1" si="7"/>
        <v>7.4226147098253668</v>
      </c>
      <c r="AC51" s="21">
        <f t="shared" ca="1" si="8"/>
        <v>58.60482013490288</v>
      </c>
      <c r="AD51" s="74">
        <f ca="1">IF(V51="","",DATE(INDEX(OFFSET(Arb!$C$2,,,Arb!$AJ$5,),V51),INDEX(OFFSET(Arb!$B$2,,,Arb!$AJ$5,),V51),INDEX(OFFSET(Arb!$A$2,,,Arb!$AJ$5,),V51))+ROW()*0.001)</f>
        <v>44095.050999999999</v>
      </c>
    </row>
    <row r="52" spans="1:30" x14ac:dyDescent="0.25">
      <c r="A52" s="11">
        <v>51</v>
      </c>
      <c r="B52" s="11">
        <v>1370</v>
      </c>
      <c r="C52" s="433">
        <f ca="1">IF(B52="",16,INDEX(OFFSET(Arb!$I$2,,,Arb!$AJ$5,),B52))</f>
        <v>24</v>
      </c>
      <c r="D52" s="34">
        <f ca="1">IF(B52="",10,INDEX(OFFSET(Arb!$H$2,,,Arb!$AJ$5,),B52))</f>
        <v>6.19</v>
      </c>
      <c r="E52" s="33">
        <f t="shared" ca="1" si="0"/>
        <v>3.8772213247172855</v>
      </c>
      <c r="F52" s="33">
        <f ca="1">IF(B52="","",INDEX(OFFSET(Arb!$X$2,,,Arb!$AJ$5,),B52)/D52)</f>
        <v>4.8465266558966071</v>
      </c>
      <c r="G52" s="33">
        <f ca="1">IF(B52="","",(INDEX(OFFSET(Arb!$U$2,,,Arb!$AJ$5,),B52)+INDEX(OFFSET(Arb!$V$2,,,Arb!$AJ$5,),B52))/D52)</f>
        <v>5.4927302100161546</v>
      </c>
      <c r="H52" s="33">
        <f t="shared" ca="1" si="1"/>
        <v>0.92398061872721449</v>
      </c>
      <c r="I52" s="21">
        <f t="shared" ca="1" si="2"/>
        <v>51.190467680106195</v>
      </c>
      <c r="J52" s="74">
        <f ca="1">IF(B52="","",DATE(INDEX(OFFSET(Arb!$C$2,,,Arb!$AJ$5,),B52),INDEX(OFFSET(Arb!$B$2,,,Arb!$AJ$5,),B52),INDEX(OFFSET(Arb!$A$2,,,Arb!$AJ$5,),B52))+ROW()*0.001)</f>
        <v>43935.052000000003</v>
      </c>
      <c r="K52" s="11">
        <v>51</v>
      </c>
      <c r="L52" s="11">
        <v>2403</v>
      </c>
      <c r="M52" s="433">
        <f ca="1">IF(L52="",64,INDEX(OFFSET(Arb!$I$2,,,Arb!$AJ$5,),L52))</f>
        <v>65</v>
      </c>
      <c r="N52" s="34">
        <f ca="1">IF(L52="",60,INDEX(OFFSET(Arb!$H$2,,,Arb!$AJ$5,),L52))</f>
        <v>22.84</v>
      </c>
      <c r="O52" s="33">
        <f t="shared" ca="1" si="3"/>
        <v>2.8458844133099825</v>
      </c>
      <c r="P52" s="33">
        <f ca="1">IF(L52="","",INDEX(OFFSET(Arb!$X$2,,,Arb!$AJ$5,),L52)/N52)</f>
        <v>3.3712784588441331</v>
      </c>
      <c r="Q52" s="33">
        <f ca="1">IF(L52="","",(INDEX(OFFSET(Arb!$U$2,,,Arb!$AJ$5,),L52)+INDEX(OFFSET(Arb!$V$2,,,Arb!$AJ$5,),L52))/N52)</f>
        <v>3.8528896672504378</v>
      </c>
      <c r="R52" s="33">
        <f t="shared" ca="1" si="4"/>
        <v>3.1395688583776473</v>
      </c>
      <c r="S52" s="21">
        <f t="shared" ca="1" si="5"/>
        <v>48.965321970813221</v>
      </c>
      <c r="T52" s="74">
        <f ca="1">IF(L52="","",DATE(INDEX(OFFSET(Arb!$C$2,,,Arb!$AJ$5,),L52),INDEX(OFFSET(Arb!$B$2,,,Arb!$AJ$5,),L52),INDEX(OFFSET(Arb!$A$2,,,Arb!$AJ$5,),L52))+ROW()*0.001)</f>
        <v>44168.052000000003</v>
      </c>
      <c r="U52" s="11">
        <v>51</v>
      </c>
      <c r="V52" s="11">
        <v>3211</v>
      </c>
      <c r="W52" s="433">
        <f ca="1">IF(V52="",164,INDEX(OFFSET(Arb!$I$2,,,Arb!$AJ$5,),V52))</f>
        <v>171</v>
      </c>
      <c r="X52" s="34">
        <f ca="1">IF(V52="",240,INDEX(OFFSET(Arb!$H$2,,,Arb!$AJ$5,),V52))</f>
        <v>65.650000000000006</v>
      </c>
      <c r="Y52" s="33">
        <f t="shared" ca="1" si="6"/>
        <v>2.6047220106626043</v>
      </c>
      <c r="Z52" s="33">
        <f ca="1">IF(V52="","",INDEX(OFFSET(Arb!$X$2,,,Arb!$AJ$5,),V52)/X52)</f>
        <v>3.3054074638233053</v>
      </c>
      <c r="AA52" s="33">
        <f ca="1">IF(V52="","",(INDEX(OFFSET(Arb!$U$2,,,Arb!$AJ$5,),V52)+INDEX(OFFSET(Arb!$V$2,,,Arb!$AJ$5,),V52))/X52)</f>
        <v>3.6557501904036553</v>
      </c>
      <c r="AB52" s="33">
        <f t="shared" ca="1" si="7"/>
        <v>7.182951455134563</v>
      </c>
      <c r="AC52" s="21">
        <f t="shared" ca="1" si="8"/>
        <v>60.560203241948656</v>
      </c>
      <c r="AD52" s="74">
        <f ca="1">IF(V52="","",DATE(INDEX(OFFSET(Arb!$C$2,,,Arb!$AJ$5,),V52),INDEX(OFFSET(Arb!$B$2,,,Arb!$AJ$5,),V52),INDEX(OFFSET(Arb!$A$2,,,Arb!$AJ$5,),V52))+ROW()*0.001)</f>
        <v>44059.052000000003</v>
      </c>
    </row>
    <row r="53" spans="1:30" x14ac:dyDescent="0.25">
      <c r="A53" s="11">
        <v>52</v>
      </c>
      <c r="B53" s="11">
        <v>1790</v>
      </c>
      <c r="C53" s="433">
        <f ca="1">IF(B53="",16,INDEX(OFFSET(Arb!$I$2,,,Arb!$AJ$5,),B53))</f>
        <v>34</v>
      </c>
      <c r="D53" s="34">
        <f ca="1">IF(B53="",10,INDEX(OFFSET(Arb!$H$2,,,Arb!$AJ$5,),B53))</f>
        <v>8.77</v>
      </c>
      <c r="E53" s="33">
        <f t="shared" ca="1" si="0"/>
        <v>3.8768529076396807</v>
      </c>
      <c r="F53" s="33">
        <f ca="1">IF(B53="","",INDEX(OFFSET(Arb!$X$2,,,Arb!$AJ$5,),B53)/D53)</f>
        <v>3.5347776510832385</v>
      </c>
      <c r="G53" s="33">
        <f ca="1">IF(B53="","",(INDEX(OFFSET(Arb!$U$2,,,Arb!$AJ$5,),B53)+INDEX(OFFSET(Arb!$V$2,,,Arb!$AJ$5,),B53))/D53)</f>
        <v>4.1049030786773093</v>
      </c>
      <c r="H53" s="33">
        <f t="shared" ca="1" si="1"/>
        <v>1.1792893912099798</v>
      </c>
      <c r="I53" s="21">
        <f t="shared" ca="1" si="2"/>
        <v>40.108051808615073</v>
      </c>
      <c r="J53" s="74">
        <f ca="1">IF(B53="","",DATE(INDEX(OFFSET(Arb!$C$2,,,Arb!$AJ$5,),B53),INDEX(OFFSET(Arb!$B$2,,,Arb!$AJ$5,),B53),INDEX(OFFSET(Arb!$A$2,,,Arb!$AJ$5,),B53))+ROW()*0.001)</f>
        <v>44168.053</v>
      </c>
      <c r="K53" s="11">
        <v>52</v>
      </c>
      <c r="L53" s="11">
        <v>2031</v>
      </c>
      <c r="M53" s="433">
        <f ca="1">IF(L53="",64,INDEX(OFFSET(Arb!$I$2,,,Arb!$AJ$5,),L53))</f>
        <v>78</v>
      </c>
      <c r="N53" s="34">
        <f ca="1">IF(L53="",60,INDEX(OFFSET(Arb!$H$2,,,Arb!$AJ$5,),L53))</f>
        <v>27.41</v>
      </c>
      <c r="O53" s="33">
        <f t="shared" ca="1" si="3"/>
        <v>2.8456767603064574</v>
      </c>
      <c r="P53" s="33">
        <f ca="1">IF(L53="","",INDEX(OFFSET(Arb!$X$2,,,Arb!$AJ$5,),L53)/N53)</f>
        <v>3.4658883619117109</v>
      </c>
      <c r="Q53" s="33">
        <f ca="1">IF(L53="","",(INDEX(OFFSET(Arb!$U$2,,,Arb!$AJ$5,),L53)+INDEX(OFFSET(Arb!$V$2,,,Arb!$AJ$5,),L53))/N53)</f>
        <v>3.9766508573513315</v>
      </c>
      <c r="R53" s="33">
        <f t="shared" ca="1" si="4"/>
        <v>3.567391372978864</v>
      </c>
      <c r="S53" s="21">
        <f t="shared" ca="1" si="5"/>
        <v>43.093113125861336</v>
      </c>
      <c r="T53" s="74">
        <f ca="1">IF(L53="","",DATE(INDEX(OFFSET(Arb!$C$2,,,Arb!$AJ$5,),L53),INDEX(OFFSET(Arb!$B$2,,,Arb!$AJ$5,),L53),INDEX(OFFSET(Arb!$A$2,,,Arb!$AJ$5,),L53))+ROW()*0.001)</f>
        <v>43797.053</v>
      </c>
      <c r="U53" s="11">
        <v>52</v>
      </c>
      <c r="V53" s="11">
        <v>2840</v>
      </c>
      <c r="W53" s="433">
        <f ca="1">IF(V53="",164,INDEX(OFFSET(Arb!$I$2,,,Arb!$AJ$5,),V53))</f>
        <v>204</v>
      </c>
      <c r="X53" s="34">
        <f ca="1">IF(V53="",240,INDEX(OFFSET(Arb!$H$2,,,Arb!$AJ$5,),V53))</f>
        <v>78.39</v>
      </c>
      <c r="Y53" s="33">
        <f t="shared" ca="1" si="6"/>
        <v>2.6023727516264827</v>
      </c>
      <c r="Z53" s="33">
        <f ca="1">IF(V53="","",INDEX(OFFSET(Arb!$X$2,,,Arb!$AJ$5,),V53)/X53)</f>
        <v>3.0743717310881489</v>
      </c>
      <c r="AA53" s="33">
        <f ca="1">IF(V53="","",(INDEX(OFFSET(Arb!$U$2,,,Arb!$AJ$5,),V53)+INDEX(OFFSET(Arb!$V$2,,,Arb!$AJ$5,),V53))/X53)</f>
        <v>3.4060466896287793</v>
      </c>
      <c r="AB53" s="33">
        <f t="shared" ca="1" si="7"/>
        <v>8.1397855307762157</v>
      </c>
      <c r="AC53" s="21">
        <f t="shared" ca="1" si="8"/>
        <v>53.441334339249842</v>
      </c>
      <c r="AD53" s="74">
        <f ca="1">IF(V53="","",DATE(INDEX(OFFSET(Arb!$C$2,,,Arb!$AJ$5,),V53),INDEX(OFFSET(Arb!$B$2,,,Arb!$AJ$5,),V53),INDEX(OFFSET(Arb!$A$2,,,Arb!$AJ$5,),V53))+ROW()*0.001)</f>
        <v>43903.053</v>
      </c>
    </row>
    <row r="54" spans="1:30" x14ac:dyDescent="0.25">
      <c r="A54" s="11">
        <v>53</v>
      </c>
      <c r="B54" s="11">
        <v>877</v>
      </c>
      <c r="C54" s="433">
        <f ca="1">IF(B54="",16,INDEX(OFFSET(Arb!$I$2,,,Arb!$AJ$5,),B54))</f>
        <v>29</v>
      </c>
      <c r="D54" s="34">
        <f ca="1">IF(B54="",10,INDEX(OFFSET(Arb!$H$2,,,Arb!$AJ$5,),B54))</f>
        <v>7.52</v>
      </c>
      <c r="E54" s="33">
        <f t="shared" ca="1" si="0"/>
        <v>3.8563829787234045</v>
      </c>
      <c r="F54" s="33">
        <f ca="1">IF(B54="","",INDEX(OFFSET(Arb!$X$2,,,Arb!$AJ$5,),B54)/D54)</f>
        <v>4.2553191489361701</v>
      </c>
      <c r="G54" s="33">
        <f ca="1">IF(B54="","",(INDEX(OFFSET(Arb!$U$2,,,Arb!$AJ$5,),B54)+INDEX(OFFSET(Arb!$V$2,,,Arb!$AJ$5,),B54))/D54)</f>
        <v>4.6542553191489366</v>
      </c>
      <c r="H54" s="33">
        <f t="shared" ca="1" si="1"/>
        <v>1.0645653614518638</v>
      </c>
      <c r="I54" s="21">
        <f t="shared" ca="1" si="2"/>
        <v>44.430339096787066</v>
      </c>
      <c r="J54" s="74">
        <f ca="1">IF(B54="","",DATE(INDEX(OFFSET(Arb!$C$2,,,Arb!$AJ$5,),B54),INDEX(OFFSET(Arb!$B$2,,,Arb!$AJ$5,),B54),INDEX(OFFSET(Arb!$A$2,,,Arb!$AJ$5,),B54))+ROW()*0.001)</f>
        <v>43818.053999999996</v>
      </c>
      <c r="K54" s="11">
        <v>53</v>
      </c>
      <c r="L54" s="11">
        <v>2306</v>
      </c>
      <c r="M54" s="433">
        <f ca="1">IF(L54="",64,INDEX(OFFSET(Arb!$I$2,,,Arb!$AJ$5,),L54))</f>
        <v>64</v>
      </c>
      <c r="N54" s="34">
        <f ca="1">IF(L54="",60,INDEX(OFFSET(Arb!$H$2,,,Arb!$AJ$5,),L54))</f>
        <v>22.52</v>
      </c>
      <c r="O54" s="33">
        <f t="shared" ca="1" si="3"/>
        <v>2.8419182948490231</v>
      </c>
      <c r="P54" s="33">
        <f ca="1">IF(L54="","",INDEX(OFFSET(Arb!$X$2,,,Arb!$AJ$5,),L54)/N54)</f>
        <v>3.374777975133215</v>
      </c>
      <c r="Q54" s="33">
        <f ca="1">IF(L54="","",(INDEX(OFFSET(Arb!$U$2,,,Arb!$AJ$5,),L54)+INDEX(OFFSET(Arb!$V$2,,,Arb!$AJ$5,),L54))/N54)</f>
        <v>3.7744227353463589</v>
      </c>
      <c r="R54" s="33">
        <f t="shared" ca="1" si="4"/>
        <v>3.1130513361043426</v>
      </c>
      <c r="S54" s="21">
        <f t="shared" ca="1" si="5"/>
        <v>49.382417249943899</v>
      </c>
      <c r="T54" s="74">
        <f ca="1">IF(L54="","",DATE(INDEX(OFFSET(Arb!$C$2,,,Arb!$AJ$5,),L54),INDEX(OFFSET(Arb!$B$2,,,Arb!$AJ$5,),L54),INDEX(OFFSET(Arb!$A$2,,,Arb!$AJ$5,),L54))+ROW()*0.001)</f>
        <v>43950.053999999996</v>
      </c>
      <c r="U54" s="11">
        <v>53</v>
      </c>
      <c r="V54" s="11">
        <v>3386</v>
      </c>
      <c r="W54" s="433">
        <f ca="1">IF(V54="",164,INDEX(OFFSET(Arb!$I$2,,,Arb!$AJ$5,),V54))</f>
        <v>174</v>
      </c>
      <c r="X54" s="34">
        <f ca="1">IF(V54="",240,INDEX(OFFSET(Arb!$H$2,,,Arb!$AJ$5,),V54))</f>
        <v>66.98</v>
      </c>
      <c r="Y54" s="33">
        <f t="shared" ca="1" si="6"/>
        <v>2.5977903851896085</v>
      </c>
      <c r="Z54" s="33">
        <f ca="1">IF(V54="","",INDEX(OFFSET(Arb!$X$2,,,Arb!$AJ$5,),V54)/X54)</f>
        <v>2.8814571513884739</v>
      </c>
      <c r="AA54" s="33">
        <f ca="1">IF(V54="","",(INDEX(OFFSET(Arb!$U$2,,,Arb!$AJ$5,),V54)+INDEX(OFFSET(Arb!$V$2,,,Arb!$AJ$5,),V54))/X54)</f>
        <v>3.3741415347865034</v>
      </c>
      <c r="AB54" s="33">
        <f t="shared" ca="1" si="7"/>
        <v>7.3039450158052679</v>
      </c>
      <c r="AC54" s="21">
        <f t="shared" ca="1" si="8"/>
        <v>59.556992701709248</v>
      </c>
      <c r="AD54" s="74">
        <f ca="1">IF(V54="","",DATE(INDEX(OFFSET(Arb!$C$2,,,Arb!$AJ$5,),V54),INDEX(OFFSET(Arb!$B$2,,,Arb!$AJ$5,),V54),INDEX(OFFSET(Arb!$A$2,,,Arb!$AJ$5,),V54))+ROW()*0.001)</f>
        <v>44137.053999999996</v>
      </c>
    </row>
    <row r="55" spans="1:30" x14ac:dyDescent="0.25">
      <c r="A55" s="11">
        <v>54</v>
      </c>
      <c r="B55" s="11">
        <v>1188</v>
      </c>
      <c r="C55" s="433">
        <f ca="1">IF(B55="",16,INDEX(OFFSET(Arb!$I$2,,,Arb!$AJ$5,),B55))</f>
        <v>17</v>
      </c>
      <c r="D55" s="34">
        <f ca="1">IF(B55="",10,INDEX(OFFSET(Arb!$H$2,,,Arb!$AJ$5,),B55))</f>
        <v>4.42</v>
      </c>
      <c r="E55" s="33">
        <f t="shared" ca="1" si="0"/>
        <v>3.8461538461538463</v>
      </c>
      <c r="F55" s="33">
        <f ca="1">IF(B55="","",INDEX(OFFSET(Arb!$X$2,,,Arb!$AJ$5,),B55)/D55)</f>
        <v>4.751131221719457</v>
      </c>
      <c r="G55" s="33">
        <f ca="1">IF(B55="","",(INDEX(OFFSET(Arb!$U$2,,,Arb!$AJ$5,),B55)+INDEX(OFFSET(Arb!$V$2,,,Arb!$AJ$5,),B55))/D55)</f>
        <v>4.9773755656108598</v>
      </c>
      <c r="H55" s="33">
        <f t="shared" ca="1" si="1"/>
        <v>0.73581550759547165</v>
      </c>
      <c r="I55" s="21">
        <f t="shared" ca="1" si="2"/>
        <v>64.281058922725933</v>
      </c>
      <c r="J55" s="74">
        <f ca="1">IF(B55="","",DATE(INDEX(OFFSET(Arb!$C$2,,,Arb!$AJ$5,),B55),INDEX(OFFSET(Arb!$B$2,,,Arb!$AJ$5,),B55),INDEX(OFFSET(Arb!$A$2,,,Arb!$AJ$5,),B55))+ROW()*0.001)</f>
        <v>43893.055</v>
      </c>
      <c r="K55" s="11">
        <v>54</v>
      </c>
      <c r="L55" s="11">
        <v>2250</v>
      </c>
      <c r="M55" s="433">
        <f ca="1">IF(L55="",64,INDEX(OFFSET(Arb!$I$2,,,Arb!$AJ$5,),L55))</f>
        <v>58</v>
      </c>
      <c r="N55" s="34">
        <f ca="1">IF(L55="",60,INDEX(OFFSET(Arb!$H$2,,,Arb!$AJ$5,),L55))</f>
        <v>20.43</v>
      </c>
      <c r="O55" s="33">
        <f t="shared" ca="1" si="3"/>
        <v>2.8389623103279491</v>
      </c>
      <c r="P55" s="33">
        <f ca="1">IF(L55="","",INDEX(OFFSET(Arb!$X$2,,,Arb!$AJ$5,),L55)/N55)</f>
        <v>3.475281448849731</v>
      </c>
      <c r="Q55" s="33">
        <f ca="1">IF(L55="","",(INDEX(OFFSET(Arb!$U$2,,,Arb!$AJ$5,),L55)+INDEX(OFFSET(Arb!$V$2,,,Arb!$AJ$5,),L55))/N55)</f>
        <v>3.6710719530102791</v>
      </c>
      <c r="R55" s="33">
        <f t="shared" ca="1" si="4"/>
        <v>2.9109063246548206</v>
      </c>
      <c r="S55" s="21">
        <f t="shared" ca="1" si="5"/>
        <v>52.811730387177441</v>
      </c>
      <c r="T55" s="74">
        <f ca="1">IF(L55="","",DATE(INDEX(OFFSET(Arb!$C$2,,,Arb!$AJ$5,),L55),INDEX(OFFSET(Arb!$B$2,,,Arb!$AJ$5,),L55),INDEX(OFFSET(Arb!$A$2,,,Arb!$AJ$5,),L55))+ROW()*0.001)</f>
        <v>43894.055</v>
      </c>
      <c r="U55" s="11">
        <v>54</v>
      </c>
      <c r="V55" s="11">
        <v>2973</v>
      </c>
      <c r="W55" s="433">
        <f ca="1">IF(V55="",164,INDEX(OFFSET(Arb!$I$2,,,Arb!$AJ$5,),V55))</f>
        <v>186</v>
      </c>
      <c r="X55" s="34">
        <f ca="1">IF(V55="",240,INDEX(OFFSET(Arb!$H$2,,,Arb!$AJ$5,),V55))</f>
        <v>71.62</v>
      </c>
      <c r="Y55" s="33">
        <f t="shared" ca="1" si="6"/>
        <v>2.5970399329796146</v>
      </c>
      <c r="Z55" s="33">
        <f ca="1">IF(V55="","",INDEX(OFFSET(Arb!$X$2,,,Arb!$AJ$5,),V55)/X55)</f>
        <v>3.225356045797263</v>
      </c>
      <c r="AA55" s="33">
        <f ca="1">IF(V55="","",(INDEX(OFFSET(Arb!$U$2,,,Arb!$AJ$5,),V55)+INDEX(OFFSET(Arb!$V$2,,,Arb!$AJ$5,),V55))/X55)</f>
        <v>3.5883831332030156</v>
      </c>
      <c r="AB55" s="33">
        <f t="shared" ca="1" si="7"/>
        <v>7.6567663419811955</v>
      </c>
      <c r="AC55" s="21">
        <f t="shared" ca="1" si="8"/>
        <v>56.81262566612984</v>
      </c>
      <c r="AD55" s="74">
        <f ca="1">IF(V55="","",DATE(INDEX(OFFSET(Arb!$C$2,,,Arb!$AJ$5,),V55),INDEX(OFFSET(Arb!$B$2,,,Arb!$AJ$5,),V55),INDEX(OFFSET(Arb!$A$2,,,Arb!$AJ$5,),V55))+ROW()*0.001)</f>
        <v>43954.055</v>
      </c>
    </row>
    <row r="56" spans="1:30" x14ac:dyDescent="0.25">
      <c r="A56" s="11">
        <v>55</v>
      </c>
      <c r="B56" s="11">
        <v>15</v>
      </c>
      <c r="C56" s="433">
        <f ca="1">IF(B56="",16,INDEX(OFFSET(Arb!$I$2,,,Arb!$AJ$5,),B56))</f>
        <v>16</v>
      </c>
      <c r="D56" s="34">
        <f ca="1">IF(B56="",10,INDEX(OFFSET(Arb!$H$2,,,Arb!$AJ$5,),B56))</f>
        <v>4.16</v>
      </c>
      <c r="E56" s="33">
        <f t="shared" ca="1" si="0"/>
        <v>3.8461538461538458</v>
      </c>
      <c r="F56" s="33">
        <f ca="1">IF(B56="","",INDEX(OFFSET(Arb!$X$2,,,Arb!$AJ$5,),B56)/D56)</f>
        <v>4.5673076923076925</v>
      </c>
      <c r="G56" s="33">
        <f ca="1">IF(B56="","",(INDEX(OFFSET(Arb!$U$2,,,Arb!$AJ$5,),B56)+INDEX(OFFSET(Arb!$V$2,,,Arb!$AJ$5,),B56))/D56)</f>
        <v>5.2884615384615383</v>
      </c>
      <c r="H56" s="33">
        <f t="shared" ca="1" si="1"/>
        <v>0.70524282984760323</v>
      </c>
      <c r="I56" s="21">
        <f t="shared" ca="1" si="2"/>
        <v>67.067679383881</v>
      </c>
      <c r="J56" s="74">
        <f ca="1">IF(B56="","",DATE(INDEX(OFFSET(Arb!$C$2,,,Arb!$AJ$5,),B56),INDEX(OFFSET(Arb!$B$2,,,Arb!$AJ$5,),B56),INDEX(OFFSET(Arb!$A$2,,,Arb!$AJ$5,),B56))+ROW()*0.001)</f>
        <v>43765.055999999997</v>
      </c>
      <c r="K56" s="11">
        <v>55</v>
      </c>
      <c r="L56" s="11">
        <v>2224</v>
      </c>
      <c r="M56" s="433">
        <f ca="1">IF(L56="",64,INDEX(OFFSET(Arb!$I$2,,,Arb!$AJ$5,),L56))</f>
        <v>80</v>
      </c>
      <c r="N56" s="34">
        <f ca="1">IF(L56="",60,INDEX(OFFSET(Arb!$H$2,,,Arb!$AJ$5,),L56))</f>
        <v>28.21</v>
      </c>
      <c r="O56" s="33">
        <f t="shared" ca="1" si="3"/>
        <v>2.8358738036157392</v>
      </c>
      <c r="P56" s="33">
        <f ca="1">IF(L56="","",INDEX(OFFSET(Arb!$X$2,,,Arb!$AJ$5,),L56)/N56)</f>
        <v>3.5802906770648706</v>
      </c>
      <c r="Q56" s="33">
        <f ca="1">IF(L56="","",(INDEX(OFFSET(Arb!$U$2,,,Arb!$AJ$5,),L56)+INDEX(OFFSET(Arb!$V$2,,,Arb!$AJ$5,),L56))/N56)</f>
        <v>4.1829138603332154</v>
      </c>
      <c r="R56" s="33">
        <f t="shared" ca="1" si="4"/>
        <v>3.652542344434166</v>
      </c>
      <c r="S56" s="21">
        <f t="shared" ca="1" si="5"/>
        <v>42.088492207149237</v>
      </c>
      <c r="T56" s="74">
        <f ca="1">IF(L56="","",DATE(INDEX(OFFSET(Arb!$C$2,,,Arb!$AJ$5,),L56),INDEX(OFFSET(Arb!$B$2,,,Arb!$AJ$5,),L56),INDEX(OFFSET(Arb!$A$2,,,Arb!$AJ$5,),L56))+ROW()*0.001)</f>
        <v>43870.055999999997</v>
      </c>
      <c r="U56" s="11">
        <v>55</v>
      </c>
      <c r="V56" s="11">
        <v>3301</v>
      </c>
      <c r="W56" s="433">
        <f ca="1">IF(V56="",164,INDEX(OFFSET(Arb!$I$2,,,Arb!$AJ$5,),V56))</f>
        <v>186</v>
      </c>
      <c r="X56" s="34">
        <f ca="1">IF(V56="",240,INDEX(OFFSET(Arb!$H$2,,,Arb!$AJ$5,),V56))</f>
        <v>71.739999999999995</v>
      </c>
      <c r="Y56" s="33">
        <f t="shared" ca="1" si="6"/>
        <v>2.5926958461109564</v>
      </c>
      <c r="Z56" s="33">
        <f ca="1">IF(V56="","",INDEX(OFFSET(Arb!$X$2,,,Arb!$AJ$5,),V56)/X56)</f>
        <v>3.0108725954836912</v>
      </c>
      <c r="AA56" s="33">
        <f ca="1">IF(V56="","",(INDEX(OFFSET(Arb!$U$2,,,Arb!$AJ$5,),V56)+INDEX(OFFSET(Arb!$V$2,,,Arb!$AJ$5,),V56))/X56)</f>
        <v>3.4708670197936997</v>
      </c>
      <c r="AB56" s="33">
        <f t="shared" ca="1" si="7"/>
        <v>7.6785884052310873</v>
      </c>
      <c r="AC56" s="21">
        <f t="shared" ca="1" si="8"/>
        <v>56.651167772406289</v>
      </c>
      <c r="AD56" s="74">
        <f ca="1">IF(V56="","",DATE(INDEX(OFFSET(Arb!$C$2,,,Arb!$AJ$5,),V56),INDEX(OFFSET(Arb!$B$2,,,Arb!$AJ$5,),V56),INDEX(OFFSET(Arb!$A$2,,,Arb!$AJ$5,),V56))+ROW()*0.001)</f>
        <v>44090.055999999997</v>
      </c>
    </row>
    <row r="57" spans="1:30" x14ac:dyDescent="0.25">
      <c r="A57" s="11">
        <v>56</v>
      </c>
      <c r="B57" s="11">
        <v>332</v>
      </c>
      <c r="C57" s="433">
        <f ca="1">IF(B57="",16,INDEX(OFFSET(Arb!$I$2,,,Arb!$AJ$5,),B57))</f>
        <v>30</v>
      </c>
      <c r="D57" s="34">
        <f ca="1">IF(B57="",10,INDEX(OFFSET(Arb!$H$2,,,Arb!$AJ$5,),B57))</f>
        <v>7.81</v>
      </c>
      <c r="E57" s="33">
        <f t="shared" ca="1" si="0"/>
        <v>3.8412291933418694</v>
      </c>
      <c r="F57" s="33">
        <f ca="1">IF(B57="","",INDEX(OFFSET(Arb!$X$2,,,Arb!$AJ$5,),B57)/D57)</f>
        <v>4.2253521126760569</v>
      </c>
      <c r="G57" s="33">
        <f ca="1">IF(B57="","",(INDEX(OFFSET(Arb!$U$2,,,Arb!$AJ$5,),B57)+INDEX(OFFSET(Arb!$V$2,,,Arb!$AJ$5,),B57))/D57)</f>
        <v>4.8655569782330348</v>
      </c>
      <c r="H57" s="33">
        <f t="shared" ca="1" si="1"/>
        <v>1.097451920586072</v>
      </c>
      <c r="I57" s="21">
        <f t="shared" ca="1" si="2"/>
        <v>43.098926807418522</v>
      </c>
      <c r="J57" s="74">
        <f ca="1">IF(B57="","",DATE(INDEX(OFFSET(Arb!$C$2,,,Arb!$AJ$5,),B57),INDEX(OFFSET(Arb!$B$2,,,Arb!$AJ$5,),B57),INDEX(OFFSET(Arb!$A$2,,,Arb!$AJ$5,),B57))+ROW()*0.001)</f>
        <v>43779.057000000001</v>
      </c>
      <c r="K57" s="11">
        <v>56</v>
      </c>
      <c r="L57" s="11">
        <v>2020</v>
      </c>
      <c r="M57" s="433">
        <f ca="1">IF(L57="",64,INDEX(OFFSET(Arb!$I$2,,,Arb!$AJ$5,),L57))</f>
        <v>88</v>
      </c>
      <c r="N57" s="34">
        <f ca="1">IF(L57="",60,INDEX(OFFSET(Arb!$H$2,,,Arb!$AJ$5,),L57))</f>
        <v>31.05</v>
      </c>
      <c r="O57" s="33">
        <f t="shared" ca="1" si="3"/>
        <v>2.8341384863123995</v>
      </c>
      <c r="P57" s="33">
        <f ca="1">IF(L57="","",INDEX(OFFSET(Arb!$X$2,,,Arb!$AJ$5,),L57)/N57)</f>
        <v>3.4782608695652173</v>
      </c>
      <c r="Q57" s="33">
        <f ca="1">IF(L57="","",(INDEX(OFFSET(Arb!$U$2,,,Arb!$AJ$5,),L57)+INDEX(OFFSET(Arb!$V$2,,,Arb!$AJ$5,),L57))/N57)</f>
        <v>4.0257648953301128</v>
      </c>
      <c r="R57" s="33">
        <f t="shared" ca="1" si="4"/>
        <v>3.9086074503970423</v>
      </c>
      <c r="S57" s="21">
        <f t="shared" ca="1" si="5"/>
        <v>39.331143367795569</v>
      </c>
      <c r="T57" s="74">
        <f ca="1">IF(L57="","",DATE(INDEX(OFFSET(Arb!$C$2,,,Arb!$AJ$5,),L57),INDEX(OFFSET(Arb!$B$2,,,Arb!$AJ$5,),L57),INDEX(OFFSET(Arb!$A$2,,,Arb!$AJ$5,),L57))+ROW()*0.001)</f>
        <v>43795.057000000001</v>
      </c>
      <c r="U57" s="11">
        <v>56</v>
      </c>
      <c r="V57" s="11">
        <v>3196</v>
      </c>
      <c r="W57" s="433">
        <f ca="1">IF(V57="",164,INDEX(OFFSET(Arb!$I$2,,,Arb!$AJ$5,),V57))</f>
        <v>211</v>
      </c>
      <c r="X57" s="34">
        <f ca="1">IF(V57="",240,INDEX(OFFSET(Arb!$H$2,,,Arb!$AJ$5,),V57))</f>
        <v>81.39</v>
      </c>
      <c r="Y57" s="33">
        <f t="shared" ca="1" si="6"/>
        <v>2.5924560756849737</v>
      </c>
      <c r="Z57" s="33">
        <f ca="1">IF(V57="","",INDEX(OFFSET(Arb!$X$2,,,Arb!$AJ$5,),V57)/X57)</f>
        <v>2.9733382479420074</v>
      </c>
      <c r="AA57" s="33">
        <f ca="1">IF(V57="","",(INDEX(OFFSET(Arb!$U$2,,,Arb!$AJ$5,),V57)+INDEX(OFFSET(Arb!$V$2,,,Arb!$AJ$5,),V57))/X57)</f>
        <v>3.2805012900847768</v>
      </c>
      <c r="AB57" s="33">
        <f t="shared" ca="1" si="7"/>
        <v>8.3885776138801624</v>
      </c>
      <c r="AC57" s="21">
        <f t="shared" ca="1" si="8"/>
        <v>51.856348003531068</v>
      </c>
      <c r="AD57" s="74">
        <f ca="1">IF(V57="","",DATE(INDEX(OFFSET(Arb!$C$2,,,Arb!$AJ$5,),V57),INDEX(OFFSET(Arb!$B$2,,,Arb!$AJ$5,),V57),INDEX(OFFSET(Arb!$A$2,,,Arb!$AJ$5,),V57))+ROW()*0.001)</f>
        <v>44057.057000000001</v>
      </c>
    </row>
    <row r="58" spans="1:30" x14ac:dyDescent="0.25">
      <c r="A58" s="11">
        <v>57</v>
      </c>
      <c r="B58" s="11">
        <v>1453</v>
      </c>
      <c r="C58" s="433">
        <f ca="1">IF(B58="",16,INDEX(OFFSET(Arb!$I$2,,,Arb!$AJ$5,),B58))</f>
        <v>27</v>
      </c>
      <c r="D58" s="34">
        <f ca="1">IF(B58="",10,INDEX(OFFSET(Arb!$H$2,,,Arb!$AJ$5,),B58))</f>
        <v>7.03</v>
      </c>
      <c r="E58" s="33">
        <f t="shared" ca="1" si="0"/>
        <v>3.8406827880512089</v>
      </c>
      <c r="F58" s="33">
        <f ca="1">IF(B58="","",INDEX(OFFSET(Arb!$X$2,,,Arb!$AJ$5,),B58)/D58)</f>
        <v>4.551920341394025</v>
      </c>
      <c r="G58" s="33">
        <f ca="1">IF(B58="","",(INDEX(OFFSET(Arb!$U$2,,,Arb!$AJ$5,),B58)+INDEX(OFFSET(Arb!$V$2,,,Arb!$AJ$5,),B58))/D58)</f>
        <v>5.1209103840682788</v>
      </c>
      <c r="H58" s="33">
        <f t="shared" ca="1" si="1"/>
        <v>1.0196715176336646</v>
      </c>
      <c r="I58" s="21">
        <f t="shared" ca="1" si="2"/>
        <v>46.386507009400475</v>
      </c>
      <c r="J58" s="74">
        <f ca="1">IF(B58="","",DATE(INDEX(OFFSET(Arb!$C$2,,,Arb!$AJ$5,),B58),INDEX(OFFSET(Arb!$B$2,,,Arb!$AJ$5,),B58),INDEX(OFFSET(Arb!$A$2,,,Arb!$AJ$5,),B58))+ROW()*0.001)</f>
        <v>43950.057999999997</v>
      </c>
      <c r="K58" s="11">
        <v>57</v>
      </c>
      <c r="L58" s="11">
        <v>2400</v>
      </c>
      <c r="M58" s="433">
        <f ca="1">IF(L58="",64,INDEX(OFFSET(Arb!$I$2,,,Arb!$AJ$5,),L58))</f>
        <v>65</v>
      </c>
      <c r="N58" s="34">
        <f ca="1">IF(L58="",60,INDEX(OFFSET(Arb!$H$2,,,Arb!$AJ$5,),L58))</f>
        <v>22.95</v>
      </c>
      <c r="O58" s="33">
        <f t="shared" ca="1" si="3"/>
        <v>2.8322440087145972</v>
      </c>
      <c r="P58" s="33">
        <f ca="1">IF(L58="","",INDEX(OFFSET(Arb!$X$2,,,Arb!$AJ$5,),L58)/N58)</f>
        <v>3.0065359477124183</v>
      </c>
      <c r="Q58" s="33">
        <f ca="1">IF(L58="","",(INDEX(OFFSET(Arb!$U$2,,,Arb!$AJ$5,),L58)+INDEX(OFFSET(Arb!$V$2,,,Arb!$AJ$5,),L58))/N58)</f>
        <v>3.3551198257080612</v>
      </c>
      <c r="R58" s="33">
        <f t="shared" ca="1" si="4"/>
        <v>3.165317043070333</v>
      </c>
      <c r="S58" s="21">
        <f t="shared" ca="1" si="5"/>
        <v>48.567014901888967</v>
      </c>
      <c r="T58" s="74">
        <f ca="1">IF(L58="","",DATE(INDEX(OFFSET(Arb!$C$2,,,Arb!$AJ$5,),L58),INDEX(OFFSET(Arb!$B$2,,,Arb!$AJ$5,),L58),INDEX(OFFSET(Arb!$A$2,,,Arb!$AJ$5,),L58))+ROW()*0.001)</f>
        <v>44168.057999999997</v>
      </c>
      <c r="U58" s="11">
        <v>57</v>
      </c>
      <c r="V58" s="11">
        <v>3103</v>
      </c>
      <c r="W58" s="433">
        <f ca="1">IF(V58="",164,INDEX(OFFSET(Arb!$I$2,,,Arb!$AJ$5,),V58))</f>
        <v>183</v>
      </c>
      <c r="X58" s="34">
        <f ca="1">IF(V58="",240,INDEX(OFFSET(Arb!$H$2,,,Arb!$AJ$5,),V58))</f>
        <v>70.59</v>
      </c>
      <c r="Y58" s="33">
        <f t="shared" ca="1" si="6"/>
        <v>2.5924351891202719</v>
      </c>
      <c r="Z58" s="33">
        <f ca="1">IF(V58="","",INDEX(OFFSET(Arb!$X$2,,,Arb!$AJ$5,),V58)/X58)</f>
        <v>3.0882561269301601</v>
      </c>
      <c r="AA58" s="33">
        <f ca="1">IF(V58="","",(INDEX(OFFSET(Arb!$U$2,,,Arb!$AJ$5,),V58)+INDEX(OFFSET(Arb!$V$2,,,Arb!$AJ$5,),V58))/X58)</f>
        <v>3.4707465646692164</v>
      </c>
      <c r="AB58" s="33">
        <f t="shared" ca="1" si="7"/>
        <v>7.5929811110694736</v>
      </c>
      <c r="AC58" s="21">
        <f t="shared" ca="1" si="8"/>
        <v>57.289883069224437</v>
      </c>
      <c r="AD58" s="74">
        <f ca="1">IF(V58="","",DATE(INDEX(OFFSET(Arb!$C$2,,,Arb!$AJ$5,),V58),INDEX(OFFSET(Arb!$B$2,,,Arb!$AJ$5,),V58),INDEX(OFFSET(Arb!$A$2,,,Arb!$AJ$5,),V58))+ROW()*0.001)</f>
        <v>44005.057999999997</v>
      </c>
    </row>
    <row r="59" spans="1:30" x14ac:dyDescent="0.25">
      <c r="A59" s="11">
        <v>58</v>
      </c>
      <c r="B59" s="11">
        <v>1215</v>
      </c>
      <c r="C59" s="433">
        <f ca="1">IF(B59="",16,INDEX(OFFSET(Arb!$I$2,,,Arb!$AJ$5,),B59))</f>
        <v>12</v>
      </c>
      <c r="D59" s="34">
        <f ca="1">IF(B59="",10,INDEX(OFFSET(Arb!$H$2,,,Arb!$AJ$5,),B59))</f>
        <v>3.13</v>
      </c>
      <c r="E59" s="33">
        <f t="shared" ca="1" si="0"/>
        <v>3.8338658146964857</v>
      </c>
      <c r="F59" s="33">
        <f ca="1">IF(B59="","",INDEX(OFFSET(Arb!$X$2,,,Arb!$AJ$5,),B59)/D59)</f>
        <v>4.1533546325878596</v>
      </c>
      <c r="G59" s="33">
        <f ca="1">IF(B59="","",(INDEX(OFFSET(Arb!$U$2,,,Arb!$AJ$5,),B59)+INDEX(OFFSET(Arb!$V$2,,,Arb!$AJ$5,),B59))/D59)</f>
        <v>4.1533546325878596</v>
      </c>
      <c r="H59" s="33">
        <f t="shared" ca="1" si="1"/>
        <v>0.57975449933952039</v>
      </c>
      <c r="I59" s="21">
        <f t="shared" ca="1" si="2"/>
        <v>81.584532856381315</v>
      </c>
      <c r="J59" s="74">
        <f ca="1">IF(B59="","",DATE(INDEX(OFFSET(Arb!$C$2,,,Arb!$AJ$5,),B59),INDEX(OFFSET(Arb!$B$2,,,Arb!$AJ$5,),B59),INDEX(OFFSET(Arb!$A$2,,,Arb!$AJ$5,),B59))+ROW()*0.001)</f>
        <v>43896.059000000001</v>
      </c>
      <c r="K59" s="11">
        <v>58</v>
      </c>
      <c r="L59" s="11">
        <v>1892</v>
      </c>
      <c r="M59" s="433">
        <f ca="1">IF(L59="",64,INDEX(OFFSET(Arb!$I$2,,,Arb!$AJ$5,),L59))</f>
        <v>58</v>
      </c>
      <c r="N59" s="34">
        <f ca="1">IF(L59="",60,INDEX(OFFSET(Arb!$H$2,,,Arb!$AJ$5,),L59))</f>
        <v>20.48</v>
      </c>
      <c r="O59" s="33">
        <f t="shared" ca="1" si="3"/>
        <v>2.83203125</v>
      </c>
      <c r="P59" s="33">
        <f ca="1">IF(L59="","",INDEX(OFFSET(Arb!$X$2,,,Arb!$AJ$5,),L59)/N59)</f>
        <v>3.125</v>
      </c>
      <c r="Q59" s="33">
        <f ca="1">IF(L59="","",(INDEX(OFFSET(Arb!$U$2,,,Arb!$AJ$5,),L59)+INDEX(OFFSET(Arb!$V$2,,,Arb!$AJ$5,),L59))/N59)</f>
        <v>3.3203125</v>
      </c>
      <c r="R59" s="33">
        <f t="shared" ca="1" si="4"/>
        <v>2.9230276622795661</v>
      </c>
      <c r="S59" s="21">
        <f t="shared" ca="1" si="5"/>
        <v>52.592728417804771</v>
      </c>
      <c r="T59" s="74">
        <f ca="1">IF(L59="","",DATE(INDEX(OFFSET(Arb!$C$2,,,Arb!$AJ$5,),L59),INDEX(OFFSET(Arb!$B$2,,,Arb!$AJ$5,),L59),INDEX(OFFSET(Arb!$A$2,,,Arb!$AJ$5,),L59))+ROW()*0.001)</f>
        <v>43764.059000000001</v>
      </c>
      <c r="U59" s="11">
        <v>58</v>
      </c>
      <c r="V59" s="11">
        <v>2985</v>
      </c>
      <c r="W59" s="433">
        <f ca="1">IF(V59="",164,INDEX(OFFSET(Arb!$I$2,,,Arb!$AJ$5,),V59))</f>
        <v>163</v>
      </c>
      <c r="X59" s="34">
        <f ca="1">IF(V59="",240,INDEX(OFFSET(Arb!$H$2,,,Arb!$AJ$5,),V59))</f>
        <v>62.97</v>
      </c>
      <c r="Y59" s="33">
        <f t="shared" ca="1" si="6"/>
        <v>2.5885342226457042</v>
      </c>
      <c r="Z59" s="33">
        <f ca="1">IF(V59="","",INDEX(OFFSET(Arb!$X$2,,,Arb!$AJ$5,),V59)/X59)</f>
        <v>3.0331904081308561</v>
      </c>
      <c r="AA59" s="33">
        <f ca="1">IF(V59="","",(INDEX(OFFSET(Arb!$U$2,,,Arb!$AJ$5,),V59)+INDEX(OFFSET(Arb!$V$2,,,Arb!$AJ$5,),V59))/X59)</f>
        <v>3.3508019691916786</v>
      </c>
      <c r="AB59" s="33">
        <f t="shared" ca="1" si="7"/>
        <v>7.0200414139566645</v>
      </c>
      <c r="AC59" s="21">
        <f t="shared" ca="1" si="8"/>
        <v>61.96558885467072</v>
      </c>
      <c r="AD59" s="74">
        <f ca="1">IF(V59="","",DATE(INDEX(OFFSET(Arb!$C$2,,,Arb!$AJ$5,),V59),INDEX(OFFSET(Arb!$B$2,,,Arb!$AJ$5,),V59),INDEX(OFFSET(Arb!$A$2,,,Arb!$AJ$5,),V59))+ROW()*0.001)</f>
        <v>43956.059000000001</v>
      </c>
    </row>
    <row r="60" spans="1:30" x14ac:dyDescent="0.25">
      <c r="A60" s="11">
        <v>59</v>
      </c>
      <c r="B60" s="11">
        <v>507</v>
      </c>
      <c r="C60" s="433">
        <f ca="1">IF(B60="",16,INDEX(OFFSET(Arb!$I$2,,,Arb!$AJ$5,),B60))</f>
        <v>18</v>
      </c>
      <c r="D60" s="34">
        <f ca="1">IF(B60="",10,INDEX(OFFSET(Arb!$H$2,,,Arb!$AJ$5,),B60))</f>
        <v>4.7</v>
      </c>
      <c r="E60" s="33">
        <f t="shared" ca="1" si="0"/>
        <v>3.8297872340425529</v>
      </c>
      <c r="F60" s="33">
        <f ca="1">IF(B60="","",INDEX(OFFSET(Arb!$X$2,,,Arb!$AJ$5,),B60)/D60)</f>
        <v>3.8297872340425529</v>
      </c>
      <c r="G60" s="33">
        <f ca="1">IF(B60="","",(INDEX(OFFSET(Arb!$U$2,,,Arb!$AJ$5,),B60)+INDEX(OFFSET(Arb!$V$2,,,Arb!$AJ$5,),B60))/D60)</f>
        <v>4.4680851063829783</v>
      </c>
      <c r="H60" s="33">
        <f t="shared" ca="1" si="1"/>
        <v>0.77142525614900481</v>
      </c>
      <c r="I60" s="21">
        <f t="shared" ca="1" si="2"/>
        <v>61.313782019685327</v>
      </c>
      <c r="J60" s="74">
        <f ca="1">IF(B60="","",DATE(INDEX(OFFSET(Arb!$C$2,,,Arb!$AJ$5,),B60),INDEX(OFFSET(Arb!$B$2,,,Arb!$AJ$5,),B60),INDEX(OFFSET(Arb!$A$2,,,Arb!$AJ$5,),B60))+ROW()*0.001)</f>
        <v>43788.06</v>
      </c>
      <c r="K60" s="11">
        <v>59</v>
      </c>
      <c r="L60" s="11">
        <v>1889</v>
      </c>
      <c r="M60" s="433">
        <f ca="1">IF(L60="",64,INDEX(OFFSET(Arb!$I$2,,,Arb!$AJ$5,),L60))</f>
        <v>81</v>
      </c>
      <c r="N60" s="34">
        <f ca="1">IF(L60="",60,INDEX(OFFSET(Arb!$H$2,,,Arb!$AJ$5,),L60))</f>
        <v>28.7</v>
      </c>
      <c r="O60" s="33">
        <f t="shared" ca="1" si="3"/>
        <v>2.8222996515679442</v>
      </c>
      <c r="P60" s="33">
        <f ca="1">IF(L60="","",INDEX(OFFSET(Arb!$X$2,,,Arb!$AJ$5,),L60)/N60)</f>
        <v>3.3449477351916377</v>
      </c>
      <c r="Q60" s="33">
        <f ca="1">IF(L60="","",(INDEX(OFFSET(Arb!$U$2,,,Arb!$AJ$5,),L60)+INDEX(OFFSET(Arb!$V$2,,,Arb!$AJ$5,),L60))/N60)</f>
        <v>3.7630662020905925</v>
      </c>
      <c r="R60" s="33">
        <f t="shared" ca="1" si="4"/>
        <v>3.7146183994174953</v>
      </c>
      <c r="S60" s="21">
        <f t="shared" ca="1" si="5"/>
        <v>41.385139325241866</v>
      </c>
      <c r="T60" s="74">
        <f ca="1">IF(L60="","",DATE(INDEX(OFFSET(Arb!$C$2,,,Arb!$AJ$5,),L60),INDEX(OFFSET(Arb!$B$2,,,Arb!$AJ$5,),L60),INDEX(OFFSET(Arb!$A$2,,,Arb!$AJ$5,),L60))+ROW()*0.001)</f>
        <v>43764.06</v>
      </c>
      <c r="U60" s="11">
        <v>59</v>
      </c>
      <c r="V60" s="11">
        <v>2940</v>
      </c>
      <c r="W60" s="433">
        <f ca="1">IF(V60="",164,INDEX(OFFSET(Arb!$I$2,,,Arb!$AJ$5,),V60))</f>
        <v>218</v>
      </c>
      <c r="X60" s="34">
        <f ca="1">IF(V60="",240,INDEX(OFFSET(Arb!$H$2,,,Arb!$AJ$5,),V60))</f>
        <v>84.27</v>
      </c>
      <c r="Y60" s="33">
        <f t="shared" ca="1" si="6"/>
        <v>2.5869229856413907</v>
      </c>
      <c r="Z60" s="33">
        <f ca="1">IF(V60="","",INDEX(OFFSET(Arb!$X$2,,,Arb!$AJ$5,),V60)/X60)</f>
        <v>3.0259878960484161</v>
      </c>
      <c r="AA60" s="33">
        <f ca="1">IF(V60="","",(INDEX(OFFSET(Arb!$U$2,,,Arb!$AJ$5,),V60)+INDEX(OFFSET(Arb!$V$2,,,Arb!$AJ$5,),V60))/X60)</f>
        <v>3.370119852853922</v>
      </c>
      <c r="AB60" s="33">
        <f t="shared" ca="1" si="7"/>
        <v>8.61365743847389</v>
      </c>
      <c r="AC60" s="21">
        <f t="shared" ca="1" si="8"/>
        <v>50.501311795500257</v>
      </c>
      <c r="AD60" s="74">
        <f ca="1">IF(V60="","",DATE(INDEX(OFFSET(Arb!$C$2,,,Arb!$AJ$5,),V60),INDEX(OFFSET(Arb!$B$2,,,Arb!$AJ$5,),V60),INDEX(OFFSET(Arb!$A$2,,,Arb!$AJ$5,),V60))+ROW()*0.001)</f>
        <v>43941.06</v>
      </c>
    </row>
    <row r="61" spans="1:30" x14ac:dyDescent="0.25">
      <c r="A61" s="11">
        <v>60</v>
      </c>
      <c r="B61" s="11">
        <v>1796</v>
      </c>
      <c r="C61" s="433">
        <f ca="1">IF(B61="",16,INDEX(OFFSET(Arb!$I$2,,,Arb!$AJ$5,),B61))</f>
        <v>18</v>
      </c>
      <c r="D61" s="34">
        <f ca="1">IF(B61="",10,INDEX(OFFSET(Arb!$H$2,,,Arb!$AJ$5,),B61))</f>
        <v>4.71</v>
      </c>
      <c r="E61" s="33">
        <f t="shared" ca="1" si="0"/>
        <v>3.8216560509554141</v>
      </c>
      <c r="F61" s="33">
        <f ca="1">IF(B61="","",INDEX(OFFSET(Arb!$X$2,,,Arb!$AJ$5,),B61)/D61)</f>
        <v>3.397027600849257</v>
      </c>
      <c r="G61" s="33">
        <f ca="1">IF(B61="","",(INDEX(OFFSET(Arb!$U$2,,,Arb!$AJ$5,),B61)+INDEX(OFFSET(Arb!$V$2,,,Arb!$AJ$5,),B61))/D61)</f>
        <v>3.397027600849257</v>
      </c>
      <c r="H61" s="33">
        <f t="shared" ca="1" si="1"/>
        <v>0.77421759512636446</v>
      </c>
      <c r="I61" s="21">
        <f t="shared" ca="1" si="2"/>
        <v>61.092644106441497</v>
      </c>
      <c r="J61" s="74">
        <f ca="1">IF(B61="","",DATE(INDEX(OFFSET(Arb!$C$2,,,Arb!$AJ$5,),B61),INDEX(OFFSET(Arb!$B$2,,,Arb!$AJ$5,),B61),INDEX(OFFSET(Arb!$A$2,,,Arb!$AJ$5,),B61))+ROW()*0.001)</f>
        <v>44168.061000000002</v>
      </c>
      <c r="K61" s="11">
        <v>60</v>
      </c>
      <c r="L61" s="11">
        <v>1989</v>
      </c>
      <c r="M61" s="433">
        <f ca="1">IF(L61="",64,INDEX(OFFSET(Arb!$I$2,,,Arb!$AJ$5,),L61))</f>
        <v>80</v>
      </c>
      <c r="N61" s="34">
        <f ca="1">IF(L61="",60,INDEX(OFFSET(Arb!$H$2,,,Arb!$AJ$5,),L61))</f>
        <v>28.37</v>
      </c>
      <c r="O61" s="33">
        <f t="shared" ca="1" si="3"/>
        <v>2.8198801550934083</v>
      </c>
      <c r="P61" s="33">
        <f ca="1">IF(L61="","",INDEX(OFFSET(Arb!$X$2,,,Arb!$AJ$5,),L61)/N61)</f>
        <v>3.7010927035600987</v>
      </c>
      <c r="Q61" s="33">
        <f ca="1">IF(L61="","",(INDEX(OFFSET(Arb!$U$2,,,Arb!$AJ$5,),L61)+INDEX(OFFSET(Arb!$V$2,,,Arb!$AJ$5,),L61))/N61)</f>
        <v>4.194571730701445</v>
      </c>
      <c r="R61" s="33">
        <f t="shared" ca="1" si="4"/>
        <v>3.6878299230503893</v>
      </c>
      <c r="S61" s="21">
        <f t="shared" ca="1" si="5"/>
        <v>41.685761872890872</v>
      </c>
      <c r="T61" s="74">
        <f ca="1">IF(L61="","",DATE(INDEX(OFFSET(Arb!$C$2,,,Arb!$AJ$5,),L61),INDEX(OFFSET(Arb!$B$2,,,Arb!$AJ$5,),L61),INDEX(OFFSET(Arb!$A$2,,,Arb!$AJ$5,),L61))+ROW()*0.001)</f>
        <v>43784.061000000002</v>
      </c>
      <c r="U61" s="11">
        <v>60</v>
      </c>
      <c r="V61" s="11">
        <v>3235</v>
      </c>
      <c r="W61" s="433">
        <f ca="1">IF(V61="",164,INDEX(OFFSET(Arb!$I$2,,,Arb!$AJ$5,),V61))</f>
        <v>186</v>
      </c>
      <c r="X61" s="34">
        <f ca="1">IF(V61="",240,INDEX(OFFSET(Arb!$H$2,,,Arb!$AJ$5,),V61))</f>
        <v>71.92</v>
      </c>
      <c r="Y61" s="33">
        <f t="shared" ca="1" si="6"/>
        <v>2.5862068965517242</v>
      </c>
      <c r="Z61" s="33">
        <f ca="1">IF(V61="","",INDEX(OFFSET(Arb!$X$2,,,Arb!$AJ$5,),V61)/X61)</f>
        <v>2.8781979977753056</v>
      </c>
      <c r="AA61" s="33">
        <f ca="1">IF(V61="","",(INDEX(OFFSET(Arb!$U$2,,,Arb!$AJ$5,),V61)+INDEX(OFFSET(Arb!$V$2,,,Arb!$AJ$5,),V61))/X61)</f>
        <v>3.1979977753058955</v>
      </c>
      <c r="AB61" s="33">
        <f t="shared" ca="1" si="7"/>
        <v>7.7113694329407645</v>
      </c>
      <c r="AC61" s="21">
        <f t="shared" ca="1" si="8"/>
        <v>56.410343685753162</v>
      </c>
      <c r="AD61" s="74">
        <f ca="1">IF(V61="","",DATE(INDEX(OFFSET(Arb!$C$2,,,Arb!$AJ$5,),V61),INDEX(OFFSET(Arb!$B$2,,,Arb!$AJ$5,),V61),INDEX(OFFSET(Arb!$A$2,,,Arb!$AJ$5,),V61))+ROW()*0.001)</f>
        <v>44063.061000000002</v>
      </c>
    </row>
    <row r="62" spans="1:30" x14ac:dyDescent="0.25">
      <c r="A62" s="11">
        <v>61</v>
      </c>
      <c r="B62" s="11">
        <v>1762</v>
      </c>
      <c r="C62" s="433">
        <f ca="1">IF(B62="",16,INDEX(OFFSET(Arb!$I$2,,,Arb!$AJ$5,),B62))</f>
        <v>38</v>
      </c>
      <c r="D62" s="34">
        <f ca="1">IF(B62="",10,INDEX(OFFSET(Arb!$H$2,,,Arb!$AJ$5,),B62))</f>
        <v>9.9499999999999993</v>
      </c>
      <c r="E62" s="33">
        <f t="shared" ca="1" si="0"/>
        <v>3.8190954773869348</v>
      </c>
      <c r="F62" s="33">
        <f ca="1">IF(B62="","",INDEX(OFFSET(Arb!$X$2,,,Arb!$AJ$5,),B62)/D62)</f>
        <v>3.3165829145728645</v>
      </c>
      <c r="G62" s="33">
        <f ca="1">IF(B62="","",(INDEX(OFFSET(Arb!$U$2,,,Arb!$AJ$5,),B62)+INDEX(OFFSET(Arb!$V$2,,,Arb!$AJ$5,),B62))/D62)</f>
        <v>4.4221105527638196</v>
      </c>
      <c r="H62" s="33">
        <f t="shared" ca="1" si="1"/>
        <v>1.3077226343031367</v>
      </c>
      <c r="I62" s="21">
        <f t="shared" ca="1" si="2"/>
        <v>36.16898473674032</v>
      </c>
      <c r="J62" s="74">
        <f ca="1">IF(B62="","",DATE(INDEX(OFFSET(Arb!$C$2,,,Arb!$AJ$5,),B62),INDEX(OFFSET(Arb!$B$2,,,Arb!$AJ$5,),B62),INDEX(OFFSET(Arb!$A$2,,,Arb!$AJ$5,),B62))+ROW()*0.001)</f>
        <v>44133.061999999998</v>
      </c>
      <c r="K62" s="11">
        <v>61</v>
      </c>
      <c r="L62" s="11">
        <v>2240</v>
      </c>
      <c r="M62" s="433">
        <f ca="1">IF(L62="",64,INDEX(OFFSET(Arb!$I$2,,,Arb!$AJ$5,),L62))</f>
        <v>62</v>
      </c>
      <c r="N62" s="34">
        <f ca="1">IF(L62="",60,INDEX(OFFSET(Arb!$H$2,,,Arb!$AJ$5,),L62))</f>
        <v>22.03</v>
      </c>
      <c r="O62" s="33">
        <f t="shared" ca="1" si="3"/>
        <v>2.8143440762596459</v>
      </c>
      <c r="P62" s="33">
        <f ca="1">IF(L62="","",INDEX(OFFSET(Arb!$X$2,,,Arb!$AJ$5,),L62)/N62)</f>
        <v>3.1320926009986381</v>
      </c>
      <c r="Q62" s="33">
        <f ca="1">IF(L62="","",(INDEX(OFFSET(Arb!$U$2,,,Arb!$AJ$5,),L62)+INDEX(OFFSET(Arb!$V$2,,,Arb!$AJ$5,),L62))/N62)</f>
        <v>3.4498411257376302</v>
      </c>
      <c r="R62" s="33">
        <f t="shared" ca="1" si="4"/>
        <v>3.0955153053103679</v>
      </c>
      <c r="S62" s="21">
        <f t="shared" ca="1" si="5"/>
        <v>49.662167632082323</v>
      </c>
      <c r="T62" s="74">
        <f ca="1">IF(L62="","",DATE(INDEX(OFFSET(Arb!$C$2,,,Arb!$AJ$5,),L62),INDEX(OFFSET(Arb!$B$2,,,Arb!$AJ$5,),L62),INDEX(OFFSET(Arb!$A$2,,,Arb!$AJ$5,),L62))+ROW()*0.001)</f>
        <v>43890.061999999998</v>
      </c>
      <c r="U62" s="11">
        <v>61</v>
      </c>
      <c r="V62" s="11">
        <v>2885</v>
      </c>
      <c r="W62" s="433">
        <f ca="1">IF(V62="",164,INDEX(OFFSET(Arb!$I$2,,,Arb!$AJ$5,),V62))</f>
        <v>198</v>
      </c>
      <c r="X62" s="34">
        <f ca="1">IF(V62="",240,INDEX(OFFSET(Arb!$H$2,,,Arb!$AJ$5,),V62))</f>
        <v>76.680000000000007</v>
      </c>
      <c r="Y62" s="33">
        <f t="shared" ca="1" si="6"/>
        <v>2.5821596244131455</v>
      </c>
      <c r="Z62" s="33">
        <f ca="1">IF(V62="","",INDEX(OFFSET(Arb!$X$2,,,Arb!$AJ$5,),V62)/X62)</f>
        <v>2.9212310902451746</v>
      </c>
      <c r="AA62" s="33">
        <f ca="1">IF(V62="","",(INDEX(OFFSET(Arb!$U$2,,,Arb!$AJ$5,),V62)+INDEX(OFFSET(Arb!$V$2,,,Arb!$AJ$5,),V62))/X62)</f>
        <v>3.1298904538341157</v>
      </c>
      <c r="AB62" s="33">
        <f t="shared" ca="1" si="7"/>
        <v>8.0778240070635015</v>
      </c>
      <c r="AC62" s="21">
        <f t="shared" ca="1" si="8"/>
        <v>53.851259896182626</v>
      </c>
      <c r="AD62" s="74">
        <f ca="1">IF(V62="","",DATE(INDEX(OFFSET(Arb!$C$2,,,Arb!$AJ$5,),V62),INDEX(OFFSET(Arb!$B$2,,,Arb!$AJ$5,),V62),INDEX(OFFSET(Arb!$A$2,,,Arb!$AJ$5,),V62))+ROW()*0.001)</f>
        <v>43918.061999999998</v>
      </c>
    </row>
    <row r="63" spans="1:30" x14ac:dyDescent="0.25">
      <c r="A63" s="11">
        <v>62</v>
      </c>
      <c r="B63" s="11">
        <v>1399</v>
      </c>
      <c r="C63" s="433">
        <f ca="1">IF(B63="",16,INDEX(OFFSET(Arb!$I$2,,,Arb!$AJ$5,),B63))</f>
        <v>19</v>
      </c>
      <c r="D63" s="34">
        <f ca="1">IF(B63="",10,INDEX(OFFSET(Arb!$H$2,,,Arb!$AJ$5,),B63))</f>
        <v>4.9800000000000004</v>
      </c>
      <c r="E63" s="33">
        <f t="shared" ca="1" si="0"/>
        <v>3.8152610441767063</v>
      </c>
      <c r="F63" s="33">
        <f ca="1">IF(B63="","",INDEX(OFFSET(Arb!$X$2,,,Arb!$AJ$5,),B63)/D63)</f>
        <v>4.8192771084337345</v>
      </c>
      <c r="G63" s="33">
        <f ca="1">IF(B63="","",(INDEX(OFFSET(Arb!$U$2,,,Arb!$AJ$5,),B63)+INDEX(OFFSET(Arb!$V$2,,,Arb!$AJ$5,),B63))/D63)</f>
        <v>5.4216867469879517</v>
      </c>
      <c r="H63" s="33">
        <f t="shared" ca="1" si="1"/>
        <v>0.80637356443238417</v>
      </c>
      <c r="I63" s="21">
        <f t="shared" ca="1" si="2"/>
        <v>58.656436776042284</v>
      </c>
      <c r="J63" s="74">
        <f ca="1">IF(B63="","",DATE(INDEX(OFFSET(Arb!$C$2,,,Arb!$AJ$5,),B63),INDEX(OFFSET(Arb!$B$2,,,Arb!$AJ$5,),B63),INDEX(OFFSET(Arb!$A$2,,,Arb!$AJ$5,),B63))+ROW()*0.001)</f>
        <v>43940.063000000002</v>
      </c>
      <c r="K63" s="11">
        <v>62</v>
      </c>
      <c r="L63" s="11">
        <v>2410</v>
      </c>
      <c r="M63" s="433">
        <f ca="1">IF(L63="",64,INDEX(OFFSET(Arb!$I$2,,,Arb!$AJ$5,),L63))</f>
        <v>65</v>
      </c>
      <c r="N63" s="34">
        <f ca="1">IF(L63="",60,INDEX(OFFSET(Arb!$H$2,,,Arb!$AJ$5,),L63))</f>
        <v>23.13</v>
      </c>
      <c r="O63" s="33">
        <f t="shared" ca="1" si="3"/>
        <v>2.8102031993082579</v>
      </c>
      <c r="P63" s="33">
        <f ca="1">IF(L63="","",INDEX(OFFSET(Arb!$X$2,,,Arb!$AJ$5,),L63)/N63)</f>
        <v>3.1993082576740166</v>
      </c>
      <c r="Q63" s="33">
        <f ca="1">IF(L63="","",(INDEX(OFFSET(Arb!$U$2,,,Arb!$AJ$5,),L63)+INDEX(OFFSET(Arb!$V$2,,,Arb!$AJ$5,),L63))/N63)</f>
        <v>3.3722438391699092</v>
      </c>
      <c r="R63" s="33">
        <f t="shared" ca="1" si="4"/>
        <v>3.2076370344170422</v>
      </c>
      <c r="S63" s="21">
        <f t="shared" ca="1" si="5"/>
        <v>47.926245504251376</v>
      </c>
      <c r="T63" s="74">
        <f ca="1">IF(L63="","",DATE(INDEX(OFFSET(Arb!$C$2,,,Arb!$AJ$5,),L63),INDEX(OFFSET(Arb!$B$2,,,Arb!$AJ$5,),L63),INDEX(OFFSET(Arb!$A$2,,,Arb!$AJ$5,),L63))+ROW()*0.001)</f>
        <v>44168.063000000002</v>
      </c>
      <c r="U63" s="11">
        <v>62</v>
      </c>
      <c r="V63" s="11">
        <v>3011</v>
      </c>
      <c r="W63" s="433">
        <f ca="1">IF(V63="",164,INDEX(OFFSET(Arb!$I$2,,,Arb!$AJ$5,),V63))</f>
        <v>175</v>
      </c>
      <c r="X63" s="34">
        <f ca="1">IF(V63="",240,INDEX(OFFSET(Arb!$H$2,,,Arb!$AJ$5,),V63))</f>
        <v>67.790000000000006</v>
      </c>
      <c r="Y63" s="33">
        <f t="shared" ca="1" si="6"/>
        <v>2.5815016964154003</v>
      </c>
      <c r="Z63" s="33">
        <f ca="1">IF(V63="","",INDEX(OFFSET(Arb!$X$2,,,Arb!$AJ$5,),V63)/X63)</f>
        <v>3.1125534739637111</v>
      </c>
      <c r="AA63" s="33">
        <f ca="1">IF(V63="","",(INDEX(OFFSET(Arb!$U$2,,,Arb!$AJ$5,),V63)+INDEX(OFFSET(Arb!$V$2,,,Arb!$AJ$5,),V63))/X63)</f>
        <v>3.3633279244726357</v>
      </c>
      <c r="AB63" s="33">
        <f t="shared" ca="1" si="7"/>
        <v>7.4121385545985889</v>
      </c>
      <c r="AC63" s="21">
        <f t="shared" ca="1" si="8"/>
        <v>58.687650911506452</v>
      </c>
      <c r="AD63" s="74">
        <f ca="1">IF(V63="","",DATE(INDEX(OFFSET(Arb!$C$2,,,Arb!$AJ$5,),V63),INDEX(OFFSET(Arb!$B$2,,,Arb!$AJ$5,),V63),INDEX(OFFSET(Arb!$A$2,,,Arb!$AJ$5,),V63))+ROW()*0.001)</f>
        <v>43957.063000000002</v>
      </c>
    </row>
    <row r="64" spans="1:30" x14ac:dyDescent="0.25">
      <c r="A64" s="11">
        <v>63</v>
      </c>
      <c r="B64" s="11">
        <v>1818</v>
      </c>
      <c r="C64" s="433">
        <f ca="1">IF(B64="",16,INDEX(OFFSET(Arb!$I$2,,,Arb!$AJ$5,),B64))</f>
        <v>28</v>
      </c>
      <c r="D64" s="34">
        <f ca="1">IF(B64="",10,INDEX(OFFSET(Arb!$H$2,,,Arb!$AJ$5,),B64))</f>
        <v>7.34</v>
      </c>
      <c r="E64" s="33">
        <f t="shared" ca="1" si="0"/>
        <v>3.8147138964577656</v>
      </c>
      <c r="F64" s="33">
        <f ca="1">IF(B64="","",INDEX(OFFSET(Arb!$X$2,,,Arb!$AJ$5,),B64)/D64)</f>
        <v>3.2697547683923704</v>
      </c>
      <c r="G64" s="33">
        <f ca="1">IF(B64="","",(INDEX(OFFSET(Arb!$U$2,,,Arb!$AJ$5,),B64)+INDEX(OFFSET(Arb!$V$2,,,Arb!$AJ$5,),B64))/D64)</f>
        <v>3.542234332425068</v>
      </c>
      <c r="H64" s="33">
        <f t="shared" ca="1" si="1"/>
        <v>1.058096482206103</v>
      </c>
      <c r="I64" s="21">
        <f t="shared" ca="1" si="2"/>
        <v>44.70197264183588</v>
      </c>
      <c r="J64" s="74">
        <f ca="1">IF(B64="","",DATE(INDEX(OFFSET(Arb!$C$2,,,Arb!$AJ$5,),B64),INDEX(OFFSET(Arb!$B$2,,,Arb!$AJ$5,),B64),INDEX(OFFSET(Arb!$A$2,,,Arb!$AJ$5,),B64))+ROW()*0.001)</f>
        <v>44168.063999999998</v>
      </c>
      <c r="K64" s="11">
        <v>63</v>
      </c>
      <c r="L64" s="11">
        <v>2210</v>
      </c>
      <c r="M64" s="433">
        <f ca="1">IF(L64="",64,INDEX(OFFSET(Arb!$I$2,,,Arb!$AJ$5,),L64))</f>
        <v>75</v>
      </c>
      <c r="N64" s="34">
        <f ca="1">IF(L64="",60,INDEX(OFFSET(Arb!$H$2,,,Arb!$AJ$5,),L64))</f>
        <v>26.69</v>
      </c>
      <c r="O64" s="33">
        <f t="shared" ca="1" si="3"/>
        <v>2.8100412139378044</v>
      </c>
      <c r="P64" s="33">
        <f ca="1">IF(L64="","",INDEX(OFFSET(Arb!$X$2,,,Arb!$AJ$5,),L64)/N64)</f>
        <v>3.3345822405395276</v>
      </c>
      <c r="Q64" s="33">
        <f ca="1">IF(L64="","",(INDEX(OFFSET(Arb!$U$2,,,Arb!$AJ$5,),L64)+INDEX(OFFSET(Arb!$V$2,,,Arb!$AJ$5,),L64))/N64)</f>
        <v>3.9715249156987635</v>
      </c>
      <c r="R64" s="33">
        <f t="shared" ca="1" si="4"/>
        <v>3.5459394228505676</v>
      </c>
      <c r="S64" s="21">
        <f t="shared" ca="1" si="5"/>
        <v>43.353814509447261</v>
      </c>
      <c r="T64" s="74">
        <f ca="1">IF(L64="","",DATE(INDEX(OFFSET(Arb!$C$2,,,Arb!$AJ$5,),L64),INDEX(OFFSET(Arb!$B$2,,,Arb!$AJ$5,),L64),INDEX(OFFSET(Arb!$A$2,,,Arb!$AJ$5,),L64))+ROW()*0.001)</f>
        <v>43869.063999999998</v>
      </c>
      <c r="U64" s="11">
        <v>63</v>
      </c>
      <c r="V64" s="11">
        <v>3322</v>
      </c>
      <c r="W64" s="433">
        <f ca="1">IF(V64="",164,INDEX(OFFSET(Arb!$I$2,,,Arb!$AJ$5,),V64))</f>
        <v>185</v>
      </c>
      <c r="X64" s="34">
        <f ca="1">IF(V64="",240,INDEX(OFFSET(Arb!$H$2,,,Arb!$AJ$5,),V64))</f>
        <v>71.75</v>
      </c>
      <c r="Y64" s="33">
        <f t="shared" ca="1" si="6"/>
        <v>2.5783972125435541</v>
      </c>
      <c r="Z64" s="33">
        <f ca="1">IF(V64="","",INDEX(OFFSET(Arb!$X$2,,,Arb!$AJ$5,),V64)/X64)</f>
        <v>3.0522648083623691</v>
      </c>
      <c r="AA64" s="33">
        <f ca="1">IF(V64="","",(INDEX(OFFSET(Arb!$U$2,,,Arb!$AJ$5,),V64)+INDEX(OFFSET(Arb!$V$2,,,Arb!$AJ$5,),V64))/X64)</f>
        <v>3.3728222996515678</v>
      </c>
      <c r="AB64" s="33">
        <f t="shared" ca="1" si="7"/>
        <v>7.721923783982632</v>
      </c>
      <c r="AC64" s="21">
        <f t="shared" ca="1" si="8"/>
        <v>56.333241840888178</v>
      </c>
      <c r="AD64" s="74">
        <f ca="1">IF(V64="","",DATE(INDEX(OFFSET(Arb!$C$2,,,Arb!$AJ$5,),V64),INDEX(OFFSET(Arb!$B$2,,,Arb!$AJ$5,),V64),INDEX(OFFSET(Arb!$A$2,,,Arb!$AJ$5,),V64))+ROW()*0.001)</f>
        <v>44095.063999999998</v>
      </c>
    </row>
    <row r="65" spans="1:30" x14ac:dyDescent="0.25">
      <c r="A65" s="11">
        <v>64</v>
      </c>
      <c r="B65" s="11">
        <v>1262</v>
      </c>
      <c r="C65" s="433">
        <f ca="1">IF(B65="",16,INDEX(OFFSET(Arb!$I$2,,,Arb!$AJ$5,),B65))</f>
        <v>20</v>
      </c>
      <c r="D65" s="34">
        <f ca="1">IF(B65="",10,INDEX(OFFSET(Arb!$H$2,,,Arb!$AJ$5,),B65))</f>
        <v>5.25</v>
      </c>
      <c r="E65" s="33">
        <f t="shared" ca="1" si="0"/>
        <v>3.8095238095238093</v>
      </c>
      <c r="F65" s="33">
        <f ca="1">IF(B65="","",INDEX(OFFSET(Arb!$X$2,,,Arb!$AJ$5,),B65)/D65)</f>
        <v>4</v>
      </c>
      <c r="G65" s="33">
        <f ca="1">IF(B65="","",(INDEX(OFFSET(Arb!$U$2,,,Arb!$AJ$5,),B65)+INDEX(OFFSET(Arb!$V$2,,,Arb!$AJ$5,),B65))/D65)</f>
        <v>4.1904761904761907</v>
      </c>
      <c r="H65" s="33">
        <f t="shared" ca="1" si="1"/>
        <v>0.83799382829691971</v>
      </c>
      <c r="I65" s="21">
        <f t="shared" ca="1" si="2"/>
        <v>56.443136456180341</v>
      </c>
      <c r="J65" s="74">
        <f ca="1">IF(B65="","",DATE(INDEX(OFFSET(Arb!$C$2,,,Arb!$AJ$5,),B65),INDEX(OFFSET(Arb!$B$2,,,Arb!$AJ$5,),B65),INDEX(OFFSET(Arb!$A$2,,,Arb!$AJ$5,),B65))+ROW()*0.001)</f>
        <v>43901.065000000002</v>
      </c>
      <c r="K65" s="11">
        <v>64</v>
      </c>
      <c r="L65" s="11">
        <v>2223</v>
      </c>
      <c r="M65" s="433">
        <f ca="1">IF(L65="",64,INDEX(OFFSET(Arb!$I$2,,,Arb!$AJ$5,),L65))</f>
        <v>67</v>
      </c>
      <c r="N65" s="34">
        <f ca="1">IF(L65="",60,INDEX(OFFSET(Arb!$H$2,,,Arb!$AJ$5,),L65))</f>
        <v>23.87</v>
      </c>
      <c r="O65" s="33">
        <f t="shared" ca="1" si="3"/>
        <v>2.8068705488060326</v>
      </c>
      <c r="P65" s="33">
        <f ca="1">IF(L65="","",INDEX(OFFSET(Arb!$X$2,,,Arb!$AJ$5,),L65)/N65)</f>
        <v>3.3095936321742774</v>
      </c>
      <c r="Q65" s="33">
        <f ca="1">IF(L65="","",(INDEX(OFFSET(Arb!$U$2,,,Arb!$AJ$5,),L65)+INDEX(OFFSET(Arb!$V$2,,,Arb!$AJ$5,),L65))/N65)</f>
        <v>3.8123167155425217</v>
      </c>
      <c r="R65" s="33">
        <f t="shared" ca="1" si="4"/>
        <v>3.2830259052237962</v>
      </c>
      <c r="S65" s="21">
        <f t="shared" ca="1" si="5"/>
        <v>46.825704224688586</v>
      </c>
      <c r="T65" s="74">
        <f ca="1">IF(L65="","",DATE(INDEX(OFFSET(Arb!$C$2,,,Arb!$AJ$5,),L65),INDEX(OFFSET(Arb!$B$2,,,Arb!$AJ$5,),L65),INDEX(OFFSET(Arb!$A$2,,,Arb!$AJ$5,),L65))+ROW()*0.001)</f>
        <v>43870.065000000002</v>
      </c>
      <c r="U65" s="11">
        <v>64</v>
      </c>
      <c r="V65" s="11">
        <v>3338</v>
      </c>
      <c r="W65" s="433">
        <f ca="1">IF(V65="",164,INDEX(OFFSET(Arb!$I$2,,,Arb!$AJ$5,),V65))</f>
        <v>174</v>
      </c>
      <c r="X65" s="34">
        <f ca="1">IF(V65="",240,INDEX(OFFSET(Arb!$H$2,,,Arb!$AJ$5,),V65))</f>
        <v>67.67</v>
      </c>
      <c r="Y65" s="33">
        <f t="shared" ca="1" si="6"/>
        <v>2.5713019063100337</v>
      </c>
      <c r="Z65" s="33">
        <f ca="1">IF(V65="","",INDEX(OFFSET(Arb!$X$2,,,Arb!$AJ$5,),V65)/X65)</f>
        <v>3.0294074183537756</v>
      </c>
      <c r="AA65" s="33">
        <f ca="1">IF(V65="","",(INDEX(OFFSET(Arb!$U$2,,,Arb!$AJ$5,),V65)+INDEX(OFFSET(Arb!$V$2,,,Arb!$AJ$5,),V65))/X65)</f>
        <v>3.3545145559332052</v>
      </c>
      <c r="AB65" s="33">
        <f t="shared" ca="1" si="7"/>
        <v>7.4323174623484709</v>
      </c>
      <c r="AC65" s="21">
        <f t="shared" ca="1" si="8"/>
        <v>58.528312629765942</v>
      </c>
      <c r="AD65" s="74">
        <f ca="1">IF(V65="","",DATE(INDEX(OFFSET(Arb!$C$2,,,Arb!$AJ$5,),V65),INDEX(OFFSET(Arb!$B$2,,,Arb!$AJ$5,),V65),INDEX(OFFSET(Arb!$A$2,,,Arb!$AJ$5,),V65))+ROW()*0.001)</f>
        <v>44096.065000000002</v>
      </c>
    </row>
    <row r="66" spans="1:30" x14ac:dyDescent="0.25">
      <c r="A66" s="11">
        <v>65</v>
      </c>
      <c r="B66" s="11">
        <v>1646</v>
      </c>
      <c r="C66" s="433">
        <f ca="1">IF(B66="",16,INDEX(OFFSET(Arb!$I$2,,,Arb!$AJ$5,),B66))</f>
        <v>22</v>
      </c>
      <c r="D66" s="34">
        <f ca="1">IF(B66="",10,INDEX(OFFSET(Arb!$H$2,,,Arb!$AJ$5,),B66))</f>
        <v>5.78</v>
      </c>
      <c r="E66" s="33">
        <f t="shared" ca="1" si="0"/>
        <v>3.8062283737024218</v>
      </c>
      <c r="F66" s="33">
        <f ca="1">IF(B66="","",INDEX(OFFSET(Arb!$X$2,,,Arb!$AJ$5,),B66)/D66)</f>
        <v>3.9792387543252592</v>
      </c>
      <c r="G66" s="33">
        <f ca="1">IF(B66="","",(INDEX(OFFSET(Arb!$U$2,,,Arb!$AJ$5,),B66)+INDEX(OFFSET(Arb!$V$2,,,Arb!$AJ$5,),B66))/D66)</f>
        <v>4.3252595155709344</v>
      </c>
      <c r="H66" s="33">
        <f t="shared" ca="1" si="1"/>
        <v>0.89712848124368272</v>
      </c>
      <c r="I66" s="21">
        <f t="shared" ca="1" si="2"/>
        <v>52.722660119350728</v>
      </c>
      <c r="J66" s="74">
        <f ca="1">IF(B66="","",DATE(INDEX(OFFSET(Arb!$C$2,,,Arb!$AJ$5,),B66),INDEX(OFFSET(Arb!$B$2,,,Arb!$AJ$5,),B66),INDEX(OFFSET(Arb!$A$2,,,Arb!$AJ$5,),B66))+ROW()*0.001)</f>
        <v>44093.065999999999</v>
      </c>
      <c r="K66" s="11">
        <v>65</v>
      </c>
      <c r="L66" s="11">
        <v>1923</v>
      </c>
      <c r="M66" s="433">
        <f ca="1">IF(L66="",64,INDEX(OFFSET(Arb!$I$2,,,Arb!$AJ$5,),L66))</f>
        <v>89</v>
      </c>
      <c r="N66" s="34">
        <f ca="1">IF(L66="",60,INDEX(OFFSET(Arb!$H$2,,,Arb!$AJ$5,),L66))</f>
        <v>31.74</v>
      </c>
      <c r="O66" s="33">
        <f t="shared" ca="1" si="3"/>
        <v>2.8040327662255828</v>
      </c>
      <c r="P66" s="33">
        <f ca="1">IF(L66="","",INDEX(OFFSET(Arb!$X$2,,,Arb!$AJ$5,),L66)/N66)</f>
        <v>3.4026465028355388</v>
      </c>
      <c r="Q66" s="33">
        <f ca="1">IF(L66="","",(INDEX(OFFSET(Arb!$U$2,,,Arb!$AJ$5,),L66)+INDEX(OFFSET(Arb!$V$2,,,Arb!$AJ$5,),L66))/N66)</f>
        <v>3.9067422810333965</v>
      </c>
      <c r="R66" s="33">
        <f t="shared" ca="1" si="4"/>
        <v>4.0118229777564034</v>
      </c>
      <c r="S66" s="21">
        <f t="shared" ca="1" si="5"/>
        <v>38.319238125001441</v>
      </c>
      <c r="T66" s="74">
        <f ca="1">IF(L66="","",DATE(INDEX(OFFSET(Arb!$C$2,,,Arb!$AJ$5,),L66),INDEX(OFFSET(Arb!$B$2,,,Arb!$AJ$5,),L66),INDEX(OFFSET(Arb!$A$2,,,Arb!$AJ$5,),L66))+ROW()*0.001)</f>
        <v>43771.065999999999</v>
      </c>
      <c r="U66" s="11">
        <v>65</v>
      </c>
      <c r="V66" s="11">
        <v>2549</v>
      </c>
      <c r="W66" s="433">
        <f ca="1">IF(V66="",164,INDEX(OFFSET(Arb!$I$2,,,Arb!$AJ$5,),V66))</f>
        <v>193</v>
      </c>
      <c r="X66" s="34">
        <f ca="1">IF(V66="",240,INDEX(OFFSET(Arb!$H$2,,,Arb!$AJ$5,),V66))</f>
        <v>75.17</v>
      </c>
      <c r="Y66" s="33">
        <f t="shared" ca="1" si="6"/>
        <v>2.5675136357589463</v>
      </c>
      <c r="Z66" s="33">
        <f ca="1">IF(V66="","",INDEX(OFFSET(Arb!$X$2,,,Arb!$AJ$5,),V66)/X66)</f>
        <v>2.9666090195556736</v>
      </c>
      <c r="AA66" s="33">
        <f ca="1">IF(V66="","",(INDEX(OFFSET(Arb!$U$2,,,Arb!$AJ$5,),V66)+INDEX(OFFSET(Arb!$V$2,,,Arb!$AJ$5,),V66))/X66)</f>
        <v>3.3124916855128377</v>
      </c>
      <c r="AB66" s="33">
        <f t="shared" ca="1" si="7"/>
        <v>8.0115846615830861</v>
      </c>
      <c r="AC66" s="21">
        <f t="shared" ca="1" si="8"/>
        <v>54.29649917898314</v>
      </c>
      <c r="AD66" s="74">
        <f ca="1">IF(V66="","",DATE(INDEX(OFFSET(Arb!$C$2,,,Arb!$AJ$5,),V66),INDEX(OFFSET(Arb!$B$2,,,Arb!$AJ$5,),V66),INDEX(OFFSET(Arb!$A$2,,,Arb!$AJ$5,),V66))+ROW()*0.001)</f>
        <v>43797.065999999999</v>
      </c>
    </row>
    <row r="67" spans="1:30" x14ac:dyDescent="0.25">
      <c r="A67" s="11">
        <v>66</v>
      </c>
      <c r="B67" s="11">
        <v>1334</v>
      </c>
      <c r="C67" s="433">
        <f ca="1">IF(B67="",16,INDEX(OFFSET(Arb!$I$2,,,Arb!$AJ$5,),B67))</f>
        <v>25</v>
      </c>
      <c r="D67" s="34">
        <f ca="1">IF(B67="",10,INDEX(OFFSET(Arb!$H$2,,,Arb!$AJ$5,),B67))</f>
        <v>6.57</v>
      </c>
      <c r="E67" s="33">
        <f t="shared" ref="E67:E130" ca="1" si="9">C67/D67</f>
        <v>3.8051750380517504</v>
      </c>
      <c r="F67" s="33">
        <f ca="1">IF(B67="","",INDEX(OFFSET(Arb!$X$2,,,Arb!$AJ$5,),B67)/D67)</f>
        <v>4.4140030441400304</v>
      </c>
      <c r="G67" s="33">
        <f ca="1">IF(B67="","",(INDEX(OFFSET(Arb!$U$2,,,Arb!$AJ$5,),B67)+INDEX(OFFSET(Arb!$V$2,,,Arb!$AJ$5,),B67))/D67)</f>
        <v>5.0228310502283104</v>
      </c>
      <c r="H67" s="33">
        <f t="shared" ref="H67:H130" ca="1" si="10">D67^1.7/C67</f>
        <v>0.98156964543297431</v>
      </c>
      <c r="I67" s="21">
        <f t="shared" ref="I67:I130" ca="1" si="11">47.299/H67</f>
        <v>48.187105438795655</v>
      </c>
      <c r="J67" s="74">
        <f ca="1">IF(B67="","",DATE(INDEX(OFFSET(Arb!$C$2,,,Arb!$AJ$5,),B67),INDEX(OFFSET(Arb!$B$2,,,Arb!$AJ$5,),B67),INDEX(OFFSET(Arb!$A$2,,,Arb!$AJ$5,),B67))+ROW()*0.001)</f>
        <v>43935.067000000003</v>
      </c>
      <c r="K67" s="11">
        <v>66</v>
      </c>
      <c r="L67" s="11">
        <v>2367</v>
      </c>
      <c r="M67" s="433">
        <f ca="1">IF(L67="",64,INDEX(OFFSET(Arb!$I$2,,,Arb!$AJ$5,),L67))</f>
        <v>65</v>
      </c>
      <c r="N67" s="34">
        <f ca="1">IF(L67="",60,INDEX(OFFSET(Arb!$H$2,,,Arb!$AJ$5,),L67))</f>
        <v>23.19</v>
      </c>
      <c r="O67" s="33">
        <f t="shared" ref="O67:O130" ca="1" si="12">M67/N67</f>
        <v>2.8029322984044844</v>
      </c>
      <c r="P67" s="33">
        <f ca="1">IF(L67="","",INDEX(OFFSET(Arb!$X$2,,,Arb!$AJ$5,),L67)/N67)</f>
        <v>3.4928848641655885</v>
      </c>
      <c r="Q67" s="33">
        <f ca="1">IF(L67="","",(INDEX(OFFSET(Arb!$U$2,,,Arb!$AJ$5,),L67)+INDEX(OFFSET(Arb!$V$2,,,Arb!$AJ$5,),L67))/N67)</f>
        <v>3.8378611470461403</v>
      </c>
      <c r="R67" s="33">
        <f t="shared" ref="R67:R130" ca="1" si="13">N67^1.7/M67</f>
        <v>3.2217950953844041</v>
      </c>
      <c r="S67" s="21">
        <f t="shared" ref="S67:S130" ca="1" si="14">153.73/R67</f>
        <v>47.715635367449678</v>
      </c>
      <c r="T67" s="74">
        <f ca="1">IF(L67="","",DATE(INDEX(OFFSET(Arb!$C$2,,,Arb!$AJ$5,),L67),INDEX(OFFSET(Arb!$B$2,,,Arb!$AJ$5,),L67),INDEX(OFFSET(Arb!$A$2,,,Arb!$AJ$5,),L67))+ROW()*0.001)</f>
        <v>44114.067000000003</v>
      </c>
      <c r="U67" s="11">
        <v>66</v>
      </c>
      <c r="V67" s="11">
        <v>3312</v>
      </c>
      <c r="W67" s="433">
        <f ca="1">IF(V67="",164,INDEX(OFFSET(Arb!$I$2,,,Arb!$AJ$5,),V67))</f>
        <v>189</v>
      </c>
      <c r="X67" s="34">
        <f ca="1">IF(V67="",240,INDEX(OFFSET(Arb!$H$2,,,Arb!$AJ$5,),V67))</f>
        <v>73.62</v>
      </c>
      <c r="Y67" s="33">
        <f t="shared" ref="Y67:Y130" ca="1" si="15">W67/X67</f>
        <v>2.5672371638141809</v>
      </c>
      <c r="Z67" s="33">
        <f ca="1">IF(V67="","",INDEX(OFFSET(Arb!$X$2,,,Arb!$AJ$5,),V67)/X67)</f>
        <v>2.8932355338223306</v>
      </c>
      <c r="AA67" s="33">
        <f ca="1">IF(V67="","",(INDEX(OFFSET(Arb!$U$2,,,Arb!$AJ$5,),V67)+INDEX(OFFSET(Arb!$V$2,,,Arb!$AJ$5,),V67))/X67)</f>
        <v>3.2464004346644932</v>
      </c>
      <c r="AB67" s="33">
        <f t="shared" ref="AB67:AB130" ca="1" si="16">X67^1.7/W67</f>
        <v>7.8964352420866746</v>
      </c>
      <c r="AC67" s="21">
        <f t="shared" ref="AC67:AC130" ca="1" si="17">435.001/AB67</f>
        <v>55.088275489364825</v>
      </c>
      <c r="AD67" s="74">
        <f ca="1">IF(V67="","",DATE(INDEX(OFFSET(Arb!$C$2,,,Arb!$AJ$5,),V67),INDEX(OFFSET(Arb!$B$2,,,Arb!$AJ$5,),V67),INDEX(OFFSET(Arb!$A$2,,,Arb!$AJ$5,),V67))+ROW()*0.001)</f>
        <v>44093.067000000003</v>
      </c>
    </row>
    <row r="68" spans="1:30" x14ac:dyDescent="0.25">
      <c r="A68" s="11">
        <v>67</v>
      </c>
      <c r="B68" s="11">
        <v>584</v>
      </c>
      <c r="C68" s="433">
        <f ca="1">IF(B68="",16,INDEX(OFFSET(Arb!$I$2,,,Arb!$AJ$5,),B68))</f>
        <v>25</v>
      </c>
      <c r="D68" s="34">
        <f ca="1">IF(B68="",10,INDEX(OFFSET(Arb!$H$2,,,Arb!$AJ$5,),B68))</f>
        <v>6.58</v>
      </c>
      <c r="E68" s="33">
        <f t="shared" ca="1" si="9"/>
        <v>3.7993920972644375</v>
      </c>
      <c r="F68" s="33">
        <f ca="1">IF(B68="","",INDEX(OFFSET(Arb!$X$2,,,Arb!$AJ$5,),B68)/D68)</f>
        <v>4.1033434650455929</v>
      </c>
      <c r="G68" s="33">
        <f ca="1">IF(B68="","",(INDEX(OFFSET(Arb!$U$2,,,Arb!$AJ$5,),B68)+INDEX(OFFSET(Arb!$V$2,,,Arb!$AJ$5,),B68))/D68)</f>
        <v>4.4072948328267474</v>
      </c>
      <c r="H68" s="33">
        <f t="shared" ca="1" si="10"/>
        <v>0.9841108283896659</v>
      </c>
      <c r="I68" s="21">
        <f t="shared" ca="1" si="11"/>
        <v>48.06267610874373</v>
      </c>
      <c r="J68" s="74">
        <f ca="1">IF(B68="","",DATE(INDEX(OFFSET(Arb!$C$2,,,Arb!$AJ$5,),B68),INDEX(OFFSET(Arb!$B$2,,,Arb!$AJ$5,),B68),INDEX(OFFSET(Arb!$A$2,,,Arb!$AJ$5,),B68))+ROW()*0.001)</f>
        <v>43797.067999999999</v>
      </c>
      <c r="K68" s="11">
        <v>67</v>
      </c>
      <c r="L68" s="11">
        <v>2164</v>
      </c>
      <c r="M68" s="433">
        <f ca="1">IF(L68="",64,INDEX(OFFSET(Arb!$I$2,,,Arb!$AJ$5,),L68))</f>
        <v>69</v>
      </c>
      <c r="N68" s="34">
        <f ca="1">IF(L68="",60,INDEX(OFFSET(Arb!$H$2,,,Arb!$AJ$5,),L68))</f>
        <v>24.63</v>
      </c>
      <c r="O68" s="33">
        <f t="shared" ca="1" si="12"/>
        <v>2.8014616321559074</v>
      </c>
      <c r="P68" s="33">
        <f ca="1">IF(L68="","",INDEX(OFFSET(Arb!$X$2,,,Arb!$AJ$5,),L68)/N68)</f>
        <v>3.4916768168899717</v>
      </c>
      <c r="Q68" s="33">
        <f ca="1">IF(L68="","",(INDEX(OFFSET(Arb!$U$2,,,Arb!$AJ$5,),L68)+INDEX(OFFSET(Arb!$V$2,,,Arb!$AJ$5,),L68))/N68)</f>
        <v>3.9382866423061307</v>
      </c>
      <c r="R68" s="33">
        <f t="shared" ca="1" si="13"/>
        <v>3.362330571592246</v>
      </c>
      <c r="S68" s="21">
        <f t="shared" ca="1" si="14"/>
        <v>45.721262893910065</v>
      </c>
      <c r="T68" s="74">
        <f ca="1">IF(L68="","",DATE(INDEX(OFFSET(Arb!$C$2,,,Arb!$AJ$5,),L68),INDEX(OFFSET(Arb!$B$2,,,Arb!$AJ$5,),L68),INDEX(OFFSET(Arb!$A$2,,,Arb!$AJ$5,),L68))+ROW()*0.001)</f>
        <v>43823.067999999999</v>
      </c>
      <c r="U68" s="11">
        <v>67</v>
      </c>
      <c r="V68" s="11">
        <v>2953</v>
      </c>
      <c r="W68" s="433">
        <f ca="1">IF(V68="",164,INDEX(OFFSET(Arb!$I$2,,,Arb!$AJ$5,),V68))</f>
        <v>198</v>
      </c>
      <c r="X68" s="34">
        <f ca="1">IF(V68="",240,INDEX(OFFSET(Arb!$H$2,,,Arb!$AJ$5,),V68))</f>
        <v>77.180000000000007</v>
      </c>
      <c r="Y68" s="33">
        <f t="shared" ca="1" si="15"/>
        <v>2.5654314589271832</v>
      </c>
      <c r="Z68" s="33">
        <f ca="1">IF(V68="","",INDEX(OFFSET(Arb!$X$2,,,Arb!$AJ$5,),V68)/X68)</f>
        <v>3.0318735423684888</v>
      </c>
      <c r="AA68" s="33">
        <f ca="1">IF(V68="","",(INDEX(OFFSET(Arb!$U$2,,,Arb!$AJ$5,),V68)+INDEX(OFFSET(Arb!$V$2,,,Arb!$AJ$5,),V68))/X68)</f>
        <v>3.3298782067893233</v>
      </c>
      <c r="AB68" s="33">
        <f t="shared" ca="1" si="16"/>
        <v>8.1675711408559124</v>
      </c>
      <c r="AC68" s="21">
        <f t="shared" ca="1" si="17"/>
        <v>53.259529975078308</v>
      </c>
      <c r="AD68" s="74">
        <f ca="1">IF(V68="","",DATE(INDEX(OFFSET(Arb!$C$2,,,Arb!$AJ$5,),V68),INDEX(OFFSET(Arb!$B$2,,,Arb!$AJ$5,),V68),INDEX(OFFSET(Arb!$A$2,,,Arb!$AJ$5,),V68))+ROW()*0.001)</f>
        <v>43949.067999999999</v>
      </c>
    </row>
    <row r="69" spans="1:30" x14ac:dyDescent="0.25">
      <c r="A69" s="11">
        <v>68</v>
      </c>
      <c r="B69" s="11">
        <v>1193</v>
      </c>
      <c r="C69" s="433">
        <f ca="1">IF(B69="",16,INDEX(OFFSET(Arb!$I$2,,,Arb!$AJ$5,),B69))</f>
        <v>15</v>
      </c>
      <c r="D69" s="34">
        <f ca="1">IF(B69="",10,INDEX(OFFSET(Arb!$H$2,,,Arb!$AJ$5,),B69))</f>
        <v>3.95</v>
      </c>
      <c r="E69" s="33">
        <f t="shared" ca="1" si="9"/>
        <v>3.7974683544303796</v>
      </c>
      <c r="F69" s="33">
        <f ca="1">IF(B69="","",INDEX(OFFSET(Arb!$X$2,,,Arb!$AJ$5,),B69)/D69)</f>
        <v>3.7974683544303796</v>
      </c>
      <c r="G69" s="33">
        <f ca="1">IF(B69="","",(INDEX(OFFSET(Arb!$U$2,,,Arb!$AJ$5,),B69)+INDEX(OFFSET(Arb!$V$2,,,Arb!$AJ$5,),B69))/D69)</f>
        <v>4.0506329113924044</v>
      </c>
      <c r="H69" s="33">
        <f t="shared" ca="1" si="10"/>
        <v>0.68884863714019029</v>
      </c>
      <c r="I69" s="21">
        <f t="shared" ca="1" si="11"/>
        <v>68.663850735577483</v>
      </c>
      <c r="J69" s="74">
        <f ca="1">IF(B69="","",DATE(INDEX(OFFSET(Arb!$C$2,,,Arb!$AJ$5,),B69),INDEX(OFFSET(Arb!$B$2,,,Arb!$AJ$5,),B69),INDEX(OFFSET(Arb!$A$2,,,Arb!$AJ$5,),B69))+ROW()*0.001)</f>
        <v>43893.069000000003</v>
      </c>
      <c r="K69" s="11">
        <v>68</v>
      </c>
      <c r="L69" s="11">
        <v>2186</v>
      </c>
      <c r="M69" s="433">
        <f ca="1">IF(L69="",64,INDEX(OFFSET(Arb!$I$2,,,Arb!$AJ$5,),L69))</f>
        <v>78</v>
      </c>
      <c r="N69" s="34">
        <f ca="1">IF(L69="",60,INDEX(OFFSET(Arb!$H$2,,,Arb!$AJ$5,),L69))</f>
        <v>27.85</v>
      </c>
      <c r="O69" s="33">
        <f t="shared" ca="1" si="12"/>
        <v>2.8007181328545778</v>
      </c>
      <c r="P69" s="33">
        <f ca="1">IF(L69="","",INDEX(OFFSET(Arb!$X$2,,,Arb!$AJ$5,),L69)/N69)</f>
        <v>3.4470377019748653</v>
      </c>
      <c r="Q69" s="33">
        <f ca="1">IF(L69="","",(INDEX(OFFSET(Arb!$U$2,,,Arb!$AJ$5,),L69)+INDEX(OFFSET(Arb!$V$2,,,Arb!$AJ$5,),L69))/N69)</f>
        <v>3.9138240574506282</v>
      </c>
      <c r="R69" s="33">
        <f t="shared" ca="1" si="13"/>
        <v>3.665289109557873</v>
      </c>
      <c r="S69" s="21">
        <f t="shared" ca="1" si="14"/>
        <v>41.942121181961475</v>
      </c>
      <c r="T69" s="74">
        <f ca="1">IF(L69="","",DATE(INDEX(OFFSET(Arb!$C$2,,,Arb!$AJ$5,),L69),INDEX(OFFSET(Arb!$B$2,,,Arb!$AJ$5,),L69),INDEX(OFFSET(Arb!$A$2,,,Arb!$AJ$5,),L69))+ROW()*0.001)</f>
        <v>43840.069000000003</v>
      </c>
      <c r="U69" s="11">
        <v>68</v>
      </c>
      <c r="V69" s="11">
        <v>3234</v>
      </c>
      <c r="W69" s="433">
        <f ca="1">IF(V69="",164,INDEX(OFFSET(Arb!$I$2,,,Arb!$AJ$5,),V69))</f>
        <v>176</v>
      </c>
      <c r="X69" s="34">
        <f ca="1">IF(V69="",240,INDEX(OFFSET(Arb!$H$2,,,Arb!$AJ$5,),V69))</f>
        <v>68.680000000000007</v>
      </c>
      <c r="Y69" s="33">
        <f t="shared" ca="1" si="15"/>
        <v>2.56260920209668</v>
      </c>
      <c r="Z69" s="33">
        <f ca="1">IF(V69="","",INDEX(OFFSET(Arb!$X$2,,,Arb!$AJ$5,),V69)/X69)</f>
        <v>3.0867792661619098</v>
      </c>
      <c r="AA69" s="33">
        <f ca="1">IF(V69="","",(INDEX(OFFSET(Arb!$U$2,,,Arb!$AJ$5,),V69)+INDEX(OFFSET(Arb!$V$2,,,Arb!$AJ$5,),V69))/X69)</f>
        <v>3.3634245777518923</v>
      </c>
      <c r="AB69" s="33">
        <f t="shared" ca="1" si="16"/>
        <v>7.5352700150311795</v>
      </c>
      <c r="AC69" s="21">
        <f t="shared" ca="1" si="17"/>
        <v>57.72865459794675</v>
      </c>
      <c r="AD69" s="74">
        <f ca="1">IF(V69="","",DATE(INDEX(OFFSET(Arb!$C$2,,,Arb!$AJ$5,),V69),INDEX(OFFSET(Arb!$B$2,,,Arb!$AJ$5,),V69),INDEX(OFFSET(Arb!$A$2,,,Arb!$AJ$5,),V69))+ROW()*0.001)</f>
        <v>44063.069000000003</v>
      </c>
    </row>
    <row r="70" spans="1:30" x14ac:dyDescent="0.25">
      <c r="A70" s="11">
        <v>69</v>
      </c>
      <c r="B70" s="11">
        <v>1358</v>
      </c>
      <c r="C70" s="433">
        <f ca="1">IF(B70="",16,INDEX(OFFSET(Arb!$I$2,,,Arb!$AJ$5,),B70))</f>
        <v>21</v>
      </c>
      <c r="D70" s="34">
        <f ca="1">IF(B70="",10,INDEX(OFFSET(Arb!$H$2,,,Arb!$AJ$5,),B70))</f>
        <v>5.54</v>
      </c>
      <c r="E70" s="33">
        <f t="shared" ca="1" si="9"/>
        <v>3.7906137184115525</v>
      </c>
      <c r="F70" s="33">
        <f ca="1">IF(B70="","",INDEX(OFFSET(Arb!$X$2,,,Arb!$AJ$5,),B70)/D70)</f>
        <v>4.512635379061372</v>
      </c>
      <c r="G70" s="33">
        <f ca="1">IF(B70="","",(INDEX(OFFSET(Arb!$U$2,,,Arb!$AJ$5,),B70)+INDEX(OFFSET(Arb!$V$2,,,Arb!$AJ$5,),B70))/D70)</f>
        <v>5.2346570397111911</v>
      </c>
      <c r="H70" s="33">
        <f t="shared" ca="1" si="10"/>
        <v>0.87447481309302044</v>
      </c>
      <c r="I70" s="21">
        <f t="shared" ca="1" si="11"/>
        <v>54.088464632506991</v>
      </c>
      <c r="J70" s="74">
        <f ca="1">IF(B70="","",DATE(INDEX(OFFSET(Arb!$C$2,,,Arb!$AJ$5,),B70),INDEX(OFFSET(Arb!$B$2,,,Arb!$AJ$5,),B70),INDEX(OFFSET(Arb!$A$2,,,Arb!$AJ$5,),B70))+ROW()*0.001)</f>
        <v>43935.07</v>
      </c>
      <c r="K70" s="11">
        <v>69</v>
      </c>
      <c r="L70" s="11">
        <v>2293</v>
      </c>
      <c r="M70" s="433">
        <f ca="1">IF(L70="",64,INDEX(OFFSET(Arb!$I$2,,,Arb!$AJ$5,),L70))</f>
        <v>83</v>
      </c>
      <c r="N70" s="34">
        <f ca="1">IF(L70="",60,INDEX(OFFSET(Arb!$H$2,,,Arb!$AJ$5,),L70))</f>
        <v>29.69</v>
      </c>
      <c r="O70" s="33">
        <f t="shared" ca="1" si="12"/>
        <v>2.7955540586055911</v>
      </c>
      <c r="P70" s="33">
        <f ca="1">IF(L70="","",INDEX(OFFSET(Arb!$X$2,,,Arb!$AJ$5,),L70)/N70)</f>
        <v>3.3007746716066015</v>
      </c>
      <c r="Q70" s="33">
        <f ca="1">IF(L70="","",(INDEX(OFFSET(Arb!$U$2,,,Arb!$AJ$5,),L70)+INDEX(OFFSET(Arb!$V$2,,,Arb!$AJ$5,),L70))/N70)</f>
        <v>3.7723139104075445</v>
      </c>
      <c r="R70" s="33">
        <f t="shared" ca="1" si="13"/>
        <v>3.8402477514379703</v>
      </c>
      <c r="S70" s="21">
        <f t="shared" ca="1" si="14"/>
        <v>40.031271404933761</v>
      </c>
      <c r="T70" s="74">
        <f ca="1">IF(L70="","",DATE(INDEX(OFFSET(Arb!$C$2,,,Arb!$AJ$5,),L70),INDEX(OFFSET(Arb!$B$2,,,Arb!$AJ$5,),L70),INDEX(OFFSET(Arb!$A$2,,,Arb!$AJ$5,),L70))+ROW()*0.001)</f>
        <v>43937.07</v>
      </c>
      <c r="U70" s="11">
        <v>69</v>
      </c>
      <c r="V70" s="11">
        <v>2945</v>
      </c>
      <c r="W70" s="433">
        <f ca="1">IF(V70="",164,INDEX(OFFSET(Arb!$I$2,,,Arb!$AJ$5,),V70))</f>
        <v>201</v>
      </c>
      <c r="X70" s="34">
        <f ca="1">IF(V70="",240,INDEX(OFFSET(Arb!$H$2,,,Arb!$AJ$5,),V70))</f>
        <v>78.44</v>
      </c>
      <c r="Y70" s="33">
        <f t="shared" ca="1" si="15"/>
        <v>2.5624681285058646</v>
      </c>
      <c r="Z70" s="33">
        <f ca="1">IF(V70="","",INDEX(OFFSET(Arb!$X$2,,,Arb!$AJ$5,),V70)/X70)</f>
        <v>2.8429372768995411</v>
      </c>
      <c r="AA70" s="33">
        <f ca="1">IF(V70="","",(INDEX(OFFSET(Arb!$U$2,,,Arb!$AJ$5,),V70)+INDEX(OFFSET(Arb!$V$2,,,Arb!$AJ$5,),V70))/X70)</f>
        <v>3.1106578276389598</v>
      </c>
      <c r="AB70" s="33">
        <f t="shared" ca="1" si="16"/>
        <v>8.2702347486311005</v>
      </c>
      <c r="AC70" s="21">
        <f t="shared" ca="1" si="17"/>
        <v>52.598386046055332</v>
      </c>
      <c r="AD70" s="74">
        <f ca="1">IF(V70="","",DATE(INDEX(OFFSET(Arb!$C$2,,,Arb!$AJ$5,),V70),INDEX(OFFSET(Arb!$B$2,,,Arb!$AJ$5,),V70),INDEX(OFFSET(Arb!$A$2,,,Arb!$AJ$5,),V70))+ROW()*0.001)</f>
        <v>43946.07</v>
      </c>
    </row>
    <row r="71" spans="1:30" x14ac:dyDescent="0.25">
      <c r="A71" s="11">
        <v>70</v>
      </c>
      <c r="B71" s="11">
        <v>624</v>
      </c>
      <c r="C71" s="433">
        <f ca="1">IF(B71="",16,INDEX(OFFSET(Arb!$I$2,,,Arb!$AJ$5,),B71))</f>
        <v>21</v>
      </c>
      <c r="D71" s="34">
        <f ca="1">IF(B71="",10,INDEX(OFFSET(Arb!$H$2,,,Arb!$AJ$5,),B71))</f>
        <v>5.54</v>
      </c>
      <c r="E71" s="33">
        <f t="shared" ca="1" si="9"/>
        <v>3.7906137184115525</v>
      </c>
      <c r="F71" s="33">
        <f ca="1">IF(B71="","",INDEX(OFFSET(Arb!$X$2,,,Arb!$AJ$5,),B71)/D71)</f>
        <v>4.3321299638989172</v>
      </c>
      <c r="G71" s="33">
        <f ca="1">IF(B71="","",(INDEX(OFFSET(Arb!$U$2,,,Arb!$AJ$5,),B71)+INDEX(OFFSET(Arb!$V$2,,,Arb!$AJ$5,),B71))/D71)</f>
        <v>5.0541516245487363</v>
      </c>
      <c r="H71" s="33">
        <f t="shared" ca="1" si="10"/>
        <v>0.87447481309302044</v>
      </c>
      <c r="I71" s="21">
        <f t="shared" ca="1" si="11"/>
        <v>54.088464632506991</v>
      </c>
      <c r="J71" s="74">
        <f ca="1">IF(B71="","",DATE(INDEX(OFFSET(Arb!$C$2,,,Arb!$AJ$5,),B71),INDEX(OFFSET(Arb!$B$2,,,Arb!$AJ$5,),B71),INDEX(OFFSET(Arb!$A$2,,,Arb!$AJ$5,),B71))+ROW()*0.001)</f>
        <v>43799.071000000004</v>
      </c>
      <c r="K71" s="11">
        <v>70</v>
      </c>
      <c r="L71" s="11">
        <v>1949</v>
      </c>
      <c r="M71" s="433">
        <f ca="1">IF(L71="",64,INDEX(OFFSET(Arb!$I$2,,,Arb!$AJ$5,),L71))</f>
        <v>71</v>
      </c>
      <c r="N71" s="34">
        <f ca="1">IF(L71="",60,INDEX(OFFSET(Arb!$H$2,,,Arb!$AJ$5,),L71))</f>
        <v>25.4</v>
      </c>
      <c r="O71" s="33">
        <f t="shared" ca="1" si="12"/>
        <v>2.7952755905511815</v>
      </c>
      <c r="P71" s="33">
        <f ca="1">IF(L71="","",INDEX(OFFSET(Arb!$X$2,,,Arb!$AJ$5,),L71)/N71)</f>
        <v>3.2283464566929134</v>
      </c>
      <c r="Q71" s="33">
        <f ca="1">IF(L71="","",(INDEX(OFFSET(Arb!$U$2,,,Arb!$AJ$5,),L71)+INDEX(OFFSET(Arb!$V$2,,,Arb!$AJ$5,),L71))/N71)</f>
        <v>3.8976377952755907</v>
      </c>
      <c r="R71" s="33">
        <f t="shared" ca="1" si="13"/>
        <v>3.4431739944867776</v>
      </c>
      <c r="S71" s="21">
        <f t="shared" ca="1" si="14"/>
        <v>44.64775821557464</v>
      </c>
      <c r="T71" s="74">
        <f ca="1">IF(L71="","",DATE(INDEX(OFFSET(Arb!$C$2,,,Arb!$AJ$5,),L71),INDEX(OFFSET(Arb!$B$2,,,Arb!$AJ$5,),L71),INDEX(OFFSET(Arb!$A$2,,,Arb!$AJ$5,),L71))+ROW()*0.001)</f>
        <v>43776.071000000004</v>
      </c>
      <c r="U71" s="11">
        <v>70</v>
      </c>
      <c r="V71" s="11">
        <v>3060</v>
      </c>
      <c r="W71" s="433">
        <f ca="1">IF(V71="",164,INDEX(OFFSET(Arb!$I$2,,,Arb!$AJ$5,),V71))</f>
        <v>205</v>
      </c>
      <c r="X71" s="34">
        <f ca="1">IF(V71="",240,INDEX(OFFSET(Arb!$H$2,,,Arb!$AJ$5,),V71))</f>
        <v>80.06</v>
      </c>
      <c r="Y71" s="33">
        <f t="shared" ca="1" si="15"/>
        <v>2.5605795653260053</v>
      </c>
      <c r="Z71" s="33">
        <f ca="1">IF(V71="","",INDEX(OFFSET(Arb!$X$2,,,Arb!$AJ$5,),V71)/X71)</f>
        <v>3.0477142143392455</v>
      </c>
      <c r="AA71" s="33">
        <f ca="1">IF(V71="","",(INDEX(OFFSET(Arb!$U$2,,,Arb!$AJ$5,),V71)+INDEX(OFFSET(Arb!$V$2,,,Arb!$AJ$5,),V71))/X71)</f>
        <v>3.3100174868848362</v>
      </c>
      <c r="AB71" s="33">
        <f t="shared" ca="1" si="16"/>
        <v>8.3956173187284762</v>
      </c>
      <c r="AC71" s="21">
        <f t="shared" ca="1" si="17"/>
        <v>51.812866580950988</v>
      </c>
      <c r="AD71" s="74">
        <f ca="1">IF(V71="","",DATE(INDEX(OFFSET(Arb!$C$2,,,Arb!$AJ$5,),V71),INDEX(OFFSET(Arb!$B$2,,,Arb!$AJ$5,),V71),INDEX(OFFSET(Arb!$A$2,,,Arb!$AJ$5,),V71))+ROW()*0.001)</f>
        <v>43989.071000000004</v>
      </c>
    </row>
    <row r="72" spans="1:30" x14ac:dyDescent="0.25">
      <c r="A72" s="11">
        <v>71</v>
      </c>
      <c r="B72" s="11">
        <v>1846</v>
      </c>
      <c r="C72" s="433">
        <f ca="1">IF(B72="",16,INDEX(OFFSET(Arb!$I$2,,,Arb!$AJ$5,),B72))</f>
        <v>27</v>
      </c>
      <c r="D72" s="34">
        <f ca="1">IF(B72="",10,INDEX(OFFSET(Arb!$H$2,,,Arb!$AJ$5,),B72))</f>
        <v>7.13</v>
      </c>
      <c r="E72" s="33">
        <f t="shared" ca="1" si="9"/>
        <v>3.7868162692847127</v>
      </c>
      <c r="F72" s="33">
        <f ca="1">IF(B72="","",INDEX(OFFSET(Arb!$X$2,,,Arb!$AJ$5,),B72)/D72)</f>
        <v>3.085553997194951</v>
      </c>
      <c r="G72" s="33">
        <f ca="1">IF(B72="","",(INDEX(OFFSET(Arb!$U$2,,,Arb!$AJ$5,),B72)+INDEX(OFFSET(Arb!$V$2,,,Arb!$AJ$5,),B72))/D72)</f>
        <v>3.5063113604488079</v>
      </c>
      <c r="H72" s="33">
        <f t="shared" ca="1" si="10"/>
        <v>1.0444518815216459</v>
      </c>
      <c r="I72" s="21">
        <f t="shared" ca="1" si="11"/>
        <v>45.285954132315617</v>
      </c>
      <c r="J72" s="74">
        <f ca="1">IF(B72="","",DATE(INDEX(OFFSET(Arb!$C$2,,,Arb!$AJ$5,),B72),INDEX(OFFSET(Arb!$B$2,,,Arb!$AJ$5,),B72),INDEX(OFFSET(Arb!$A$2,,,Arb!$AJ$5,),B72))+ROW()*0.001)</f>
        <v>44168.072</v>
      </c>
      <c r="K72" s="11">
        <v>71</v>
      </c>
      <c r="L72" s="11">
        <v>2191</v>
      </c>
      <c r="M72" s="433">
        <f ca="1">IF(L72="",64,INDEX(OFFSET(Arb!$I$2,,,Arb!$AJ$5,),L72))</f>
        <v>80</v>
      </c>
      <c r="N72" s="34">
        <f ca="1">IF(L72="",60,INDEX(OFFSET(Arb!$H$2,,,Arb!$AJ$5,),L72))</f>
        <v>28.7</v>
      </c>
      <c r="O72" s="33">
        <f t="shared" ca="1" si="12"/>
        <v>2.7874564459930316</v>
      </c>
      <c r="P72" s="33">
        <f ca="1">IF(L72="","",INDEX(OFFSET(Arb!$X$2,,,Arb!$AJ$5,),L72)/N72)</f>
        <v>3.3797909407665507</v>
      </c>
      <c r="Q72" s="33">
        <f ca="1">IF(L72="","",(INDEX(OFFSET(Arb!$U$2,,,Arb!$AJ$5,),L72)+INDEX(OFFSET(Arb!$V$2,,,Arb!$AJ$5,),L72))/N72)</f>
        <v>3.8675958188153312</v>
      </c>
      <c r="R72" s="33">
        <f t="shared" ca="1" si="13"/>
        <v>3.7610511294102138</v>
      </c>
      <c r="S72" s="21">
        <f t="shared" ca="1" si="14"/>
        <v>40.874211679251232</v>
      </c>
      <c r="T72" s="74">
        <f ca="1">IF(L72="","",DATE(INDEX(OFFSET(Arb!$C$2,,,Arb!$AJ$5,),L72),INDEX(OFFSET(Arb!$B$2,,,Arb!$AJ$5,),L72),INDEX(OFFSET(Arb!$A$2,,,Arb!$AJ$5,),L72))+ROW()*0.001)</f>
        <v>43852.072</v>
      </c>
      <c r="U72" s="11">
        <v>71</v>
      </c>
      <c r="V72" s="11">
        <v>3437</v>
      </c>
      <c r="W72" s="433">
        <f ca="1">IF(V72="",164,INDEX(OFFSET(Arb!$I$2,,,Arb!$AJ$5,),V72))</f>
        <v>193</v>
      </c>
      <c r="X72" s="34">
        <f ca="1">IF(V72="",240,INDEX(OFFSET(Arb!$H$2,,,Arb!$AJ$5,),V72))</f>
        <v>75.45</v>
      </c>
      <c r="Y72" s="33">
        <f t="shared" ca="1" si="15"/>
        <v>2.5579854208084822</v>
      </c>
      <c r="Z72" s="33">
        <f ca="1">IF(V72="","",INDEX(OFFSET(Arb!$X$2,,,Arb!$AJ$5,),V72)/X72)</f>
        <v>2.7037773359840953</v>
      </c>
      <c r="AA72" s="33">
        <f ca="1">IF(V72="","",(INDEX(OFFSET(Arb!$U$2,,,Arb!$AJ$5,),V72)+INDEX(OFFSET(Arb!$V$2,,,Arb!$AJ$5,),V72))/X72)</f>
        <v>3.0881378396288932</v>
      </c>
      <c r="AB72" s="33">
        <f t="shared" ca="1" si="16"/>
        <v>8.0623826417881972</v>
      </c>
      <c r="AC72" s="21">
        <f t="shared" ca="1" si="17"/>
        <v>53.954397766405052</v>
      </c>
      <c r="AD72" s="74">
        <f ca="1">IF(V72="","",DATE(INDEX(OFFSET(Arb!$C$2,,,Arb!$AJ$5,),V72),INDEX(OFFSET(Arb!$B$2,,,Arb!$AJ$5,),V72),INDEX(OFFSET(Arb!$A$2,,,Arb!$AJ$5,),V72))+ROW()*0.001)</f>
        <v>44167.072</v>
      </c>
    </row>
    <row r="73" spans="1:30" x14ac:dyDescent="0.25">
      <c r="A73" s="11">
        <v>72</v>
      </c>
      <c r="B73" s="11">
        <v>68</v>
      </c>
      <c r="C73" s="433">
        <f ca="1">IF(B73="",16,INDEX(OFFSET(Arb!$I$2,,,Arb!$AJ$5,),B73))</f>
        <v>20</v>
      </c>
      <c r="D73" s="34">
        <f ca="1">IF(B73="",10,INDEX(OFFSET(Arb!$H$2,,,Arb!$AJ$5,),B73))</f>
        <v>5.29</v>
      </c>
      <c r="E73" s="33">
        <f t="shared" ca="1" si="9"/>
        <v>3.7807183364839321</v>
      </c>
      <c r="F73" s="33">
        <f ca="1">IF(B73="","",INDEX(OFFSET(Arb!$X$2,,,Arb!$AJ$5,),B73)/D73)</f>
        <v>3.7807183364839321</v>
      </c>
      <c r="G73" s="33">
        <f ca="1">IF(B73="","",(INDEX(OFFSET(Arb!$U$2,,,Arb!$AJ$5,),B73)+INDEX(OFFSET(Arb!$V$2,,,Arb!$AJ$5,),B73))/D73)</f>
        <v>4.5368620037807181</v>
      </c>
      <c r="H73" s="33">
        <f t="shared" ca="1" si="10"/>
        <v>0.84887676563937864</v>
      </c>
      <c r="I73" s="21">
        <f t="shared" ca="1" si="11"/>
        <v>55.719513025396722</v>
      </c>
      <c r="J73" s="74">
        <f ca="1">IF(B73="","",DATE(INDEX(OFFSET(Arb!$C$2,,,Arb!$AJ$5,),B73),INDEX(OFFSET(Arb!$B$2,,,Arb!$AJ$5,),B73),INDEX(OFFSET(Arb!$A$2,,,Arb!$AJ$5,),B73))+ROW()*0.001)</f>
        <v>43766.072999999997</v>
      </c>
      <c r="K73" s="11">
        <v>72</v>
      </c>
      <c r="L73" s="11">
        <v>2059</v>
      </c>
      <c r="M73" s="433">
        <f ca="1">IF(L73="",64,INDEX(OFFSET(Arb!$I$2,,,Arb!$AJ$5,),L73))</f>
        <v>86</v>
      </c>
      <c r="N73" s="34">
        <f ca="1">IF(L73="",60,INDEX(OFFSET(Arb!$H$2,,,Arb!$AJ$5,),L73))</f>
        <v>30.87</v>
      </c>
      <c r="O73" s="33">
        <f t="shared" ca="1" si="12"/>
        <v>2.7858762552640104</v>
      </c>
      <c r="P73" s="33">
        <f ca="1">IF(L73="","",INDEX(OFFSET(Arb!$X$2,,,Arb!$AJ$5,),L73)/N73)</f>
        <v>3.4661483641075477</v>
      </c>
      <c r="Q73" s="33">
        <f ca="1">IF(L73="","",(INDEX(OFFSET(Arb!$U$2,,,Arb!$AJ$5,),L73)+INDEX(OFFSET(Arb!$V$2,,,Arb!$AJ$5,),L73))/N73)</f>
        <v>3.9844509232264333</v>
      </c>
      <c r="R73" s="33">
        <f t="shared" ca="1" si="13"/>
        <v>3.9601699033026505</v>
      </c>
      <c r="S73" s="21">
        <f t="shared" ca="1" si="14"/>
        <v>38.819041544605007</v>
      </c>
      <c r="T73" s="74">
        <f ca="1">IF(L73="","",DATE(INDEX(OFFSET(Arb!$C$2,,,Arb!$AJ$5,),L73),INDEX(OFFSET(Arb!$B$2,,,Arb!$AJ$5,),L73),INDEX(OFFSET(Arb!$A$2,,,Arb!$AJ$5,),L73))+ROW()*0.001)</f>
        <v>43800.072999999997</v>
      </c>
      <c r="U73" s="11">
        <v>72</v>
      </c>
      <c r="V73" s="11">
        <v>3025</v>
      </c>
      <c r="W73" s="433">
        <f ca="1">IF(V73="",164,INDEX(OFFSET(Arb!$I$2,,,Arb!$AJ$5,),V73))</f>
        <v>190</v>
      </c>
      <c r="X73" s="34">
        <f ca="1">IF(V73="",240,INDEX(OFFSET(Arb!$H$2,,,Arb!$AJ$5,),V73))</f>
        <v>74.28</v>
      </c>
      <c r="Y73" s="33">
        <f t="shared" ca="1" si="15"/>
        <v>2.5578890683898763</v>
      </c>
      <c r="Z73" s="33">
        <f ca="1">IF(V73="","",INDEX(OFFSET(Arb!$X$2,,,Arb!$AJ$5,),V73)/X73)</f>
        <v>3.1637049003769522</v>
      </c>
      <c r="AA73" s="33">
        <f ca="1">IF(V73="","",(INDEX(OFFSET(Arb!$U$2,,,Arb!$AJ$5,),V73)+INDEX(OFFSET(Arb!$V$2,,,Arb!$AJ$5,),V73))/X73)</f>
        <v>3.5271943995691974</v>
      </c>
      <c r="AB73" s="33">
        <f t="shared" ca="1" si="16"/>
        <v>7.9749619688489881</v>
      </c>
      <c r="AC73" s="21">
        <f t="shared" ca="1" si="17"/>
        <v>54.545840055307863</v>
      </c>
      <c r="AD73" s="74">
        <f ca="1">IF(V73="","",DATE(INDEX(OFFSET(Arb!$C$2,,,Arb!$AJ$5,),V73),INDEX(OFFSET(Arb!$B$2,,,Arb!$AJ$5,),V73),INDEX(OFFSET(Arb!$A$2,,,Arb!$AJ$5,),V73))+ROW()*0.001)</f>
        <v>43967.072999999997</v>
      </c>
    </row>
    <row r="74" spans="1:30" x14ac:dyDescent="0.25">
      <c r="A74" s="11">
        <v>73</v>
      </c>
      <c r="B74" s="11">
        <v>979</v>
      </c>
      <c r="C74" s="433">
        <f ca="1">IF(B74="",16,INDEX(OFFSET(Arb!$I$2,,,Arb!$AJ$5,),B74))</f>
        <v>37</v>
      </c>
      <c r="D74" s="34">
        <f ca="1">IF(B74="",10,INDEX(OFFSET(Arb!$H$2,,,Arb!$AJ$5,),B74))</f>
        <v>9.7899999999999991</v>
      </c>
      <c r="E74" s="33">
        <f t="shared" ca="1" si="9"/>
        <v>3.7793667007150158</v>
      </c>
      <c r="F74" s="33">
        <f ca="1">IF(B74="","",INDEX(OFFSET(Arb!$X$2,,,Arb!$AJ$5,),B74)/D74)</f>
        <v>4.2900919305413687</v>
      </c>
      <c r="G74" s="33">
        <f ca="1">IF(B74="","",(INDEX(OFFSET(Arb!$U$2,,,Arb!$AJ$5,),B74)+INDEX(OFFSET(Arb!$V$2,,,Arb!$AJ$5,),B74))/D74)</f>
        <v>4.6986721144024521</v>
      </c>
      <c r="H74" s="33">
        <f t="shared" ca="1" si="10"/>
        <v>1.3065584769815424</v>
      </c>
      <c r="I74" s="21">
        <f t="shared" ca="1" si="11"/>
        <v>36.201211681907893</v>
      </c>
      <c r="J74" s="74">
        <f ca="1">IF(B74="","",DATE(INDEX(OFFSET(Arb!$C$2,,,Arb!$AJ$5,),B74),INDEX(OFFSET(Arb!$B$2,,,Arb!$AJ$5,),B74),INDEX(OFFSET(Arb!$A$2,,,Arb!$AJ$5,),B74))+ROW()*0.001)</f>
        <v>43822.074000000001</v>
      </c>
      <c r="K74" s="11">
        <v>73</v>
      </c>
      <c r="L74" s="11">
        <v>2177</v>
      </c>
      <c r="M74" s="433">
        <f ca="1">IF(L74="",64,INDEX(OFFSET(Arb!$I$2,,,Arb!$AJ$5,),L74))</f>
        <v>71</v>
      </c>
      <c r="N74" s="34">
        <f ca="1">IF(L74="",60,INDEX(OFFSET(Arb!$H$2,,,Arb!$AJ$5,),L74))</f>
        <v>25.49</v>
      </c>
      <c r="O74" s="33">
        <f t="shared" ca="1" si="12"/>
        <v>2.7854060415849355</v>
      </c>
      <c r="P74" s="33">
        <f ca="1">IF(L74="","",INDEX(OFFSET(Arb!$X$2,,,Arb!$AJ$5,),L74)/N74)</f>
        <v>3.1777167516673206</v>
      </c>
      <c r="Q74" s="33">
        <f ca="1">IF(L74="","",(INDEX(OFFSET(Arb!$U$2,,,Arb!$AJ$5,),L74)+INDEX(OFFSET(Arb!$V$2,,,Arb!$AJ$5,),L74))/N74)</f>
        <v>3.4523342487249904</v>
      </c>
      <c r="R74" s="33">
        <f t="shared" ca="1" si="13"/>
        <v>3.4639400855049818</v>
      </c>
      <c r="S74" s="21">
        <f t="shared" ca="1" si="14"/>
        <v>44.380097866960895</v>
      </c>
      <c r="T74" s="74">
        <f ca="1">IF(L74="","",DATE(INDEX(OFFSET(Arb!$C$2,,,Arb!$AJ$5,),L74),INDEX(OFFSET(Arb!$B$2,,,Arb!$AJ$5,),L74),INDEX(OFFSET(Arb!$A$2,,,Arb!$AJ$5,),L74))+ROW()*0.001)</f>
        <v>43840.074000000001</v>
      </c>
      <c r="U74" s="11">
        <v>73</v>
      </c>
      <c r="V74" s="11">
        <v>3150</v>
      </c>
      <c r="W74" s="433">
        <f ca="1">IF(V74="",164,INDEX(OFFSET(Arb!$I$2,,,Arb!$AJ$5,),V74))</f>
        <v>203</v>
      </c>
      <c r="X74" s="34">
        <f ca="1">IF(V74="",240,INDEX(OFFSET(Arb!$H$2,,,Arb!$AJ$5,),V74))</f>
        <v>79.44</v>
      </c>
      <c r="Y74" s="33">
        <f t="shared" ca="1" si="15"/>
        <v>2.5553877139979861</v>
      </c>
      <c r="Z74" s="33">
        <f ca="1">IF(V74="","",INDEX(OFFSET(Arb!$X$2,,,Arb!$AJ$5,),V74)/X74)</f>
        <v>2.9707955689828802</v>
      </c>
      <c r="AA74" s="33">
        <f ca="1">IF(V74="","",(INDEX(OFFSET(Arb!$U$2,,,Arb!$AJ$5,),V74)+INDEX(OFFSET(Arb!$V$2,,,Arb!$AJ$5,),V74))/X74)</f>
        <v>3.2099697885196377</v>
      </c>
      <c r="AB74" s="33">
        <f t="shared" ca="1" si="16"/>
        <v>8.3670172125892766</v>
      </c>
      <c r="AC74" s="21">
        <f t="shared" ca="1" si="17"/>
        <v>51.989973122737673</v>
      </c>
      <c r="AD74" s="74">
        <f ca="1">IF(V74="","",DATE(INDEX(OFFSET(Arb!$C$2,,,Arb!$AJ$5,),V74),INDEX(OFFSET(Arb!$B$2,,,Arb!$AJ$5,),V74),INDEX(OFFSET(Arb!$A$2,,,Arb!$AJ$5,),V74))+ROW()*0.001)</f>
        <v>44028.074000000001</v>
      </c>
    </row>
    <row r="75" spans="1:30" x14ac:dyDescent="0.25">
      <c r="A75" s="11">
        <v>74</v>
      </c>
      <c r="B75" s="11">
        <v>249</v>
      </c>
      <c r="C75" s="433">
        <f ca="1">IF(B75="",16,INDEX(OFFSET(Arb!$I$2,,,Arb!$AJ$5,),B75))</f>
        <v>18</v>
      </c>
      <c r="D75" s="34">
        <f ca="1">IF(B75="",10,INDEX(OFFSET(Arb!$H$2,,,Arb!$AJ$5,),B75))</f>
        <v>4.7699999999999996</v>
      </c>
      <c r="E75" s="33">
        <f t="shared" ca="1" si="9"/>
        <v>3.7735849056603779</v>
      </c>
      <c r="F75" s="33">
        <f ca="1">IF(B75="","",INDEX(OFFSET(Arb!$X$2,,,Arb!$AJ$5,),B75)/D75)</f>
        <v>3.7735849056603779</v>
      </c>
      <c r="G75" s="33">
        <f ca="1">IF(B75="","",(INDEX(OFFSET(Arb!$U$2,,,Arb!$AJ$5,),B75)+INDEX(OFFSET(Arb!$V$2,,,Arb!$AJ$5,),B75))/D75)</f>
        <v>4.4025157232704411</v>
      </c>
      <c r="H75" s="33">
        <f t="shared" ca="1" si="10"/>
        <v>0.7910587510558974</v>
      </c>
      <c r="I75" s="21">
        <f t="shared" ca="1" si="11"/>
        <v>59.792019160227682</v>
      </c>
      <c r="J75" s="74">
        <f ca="1">IF(B75="","",DATE(INDEX(OFFSET(Arb!$C$2,,,Arb!$AJ$5,),B75),INDEX(OFFSET(Arb!$B$2,,,Arb!$AJ$5,),B75),INDEX(OFFSET(Arb!$A$2,,,Arb!$AJ$5,),B75))+ROW()*0.001)</f>
        <v>43776.074999999997</v>
      </c>
      <c r="K75" s="11">
        <v>74</v>
      </c>
      <c r="L75" s="11">
        <v>2365</v>
      </c>
      <c r="M75" s="433">
        <f ca="1">IF(L75="",64,INDEX(OFFSET(Arb!$I$2,,,Arb!$AJ$5,),L75))</f>
        <v>58</v>
      </c>
      <c r="N75" s="34">
        <f ca="1">IF(L75="",60,INDEX(OFFSET(Arb!$H$2,,,Arb!$AJ$5,),L75))</f>
        <v>20.85</v>
      </c>
      <c r="O75" s="33">
        <f t="shared" ca="1" si="12"/>
        <v>2.7817745803357314</v>
      </c>
      <c r="P75" s="33">
        <f ca="1">IF(L75="","",INDEX(OFFSET(Arb!$X$2,,,Arb!$AJ$5,),L75)/N75)</f>
        <v>3.1654676258992804</v>
      </c>
      <c r="Q75" s="33">
        <f ca="1">IF(L75="","",(INDEX(OFFSET(Arb!$U$2,,,Arb!$AJ$5,),L75)+INDEX(OFFSET(Arb!$V$2,,,Arb!$AJ$5,),L75))/N75)</f>
        <v>3.5971223021582732</v>
      </c>
      <c r="R75" s="33">
        <f t="shared" ca="1" si="13"/>
        <v>3.0133689382881479</v>
      </c>
      <c r="S75" s="21">
        <f t="shared" ca="1" si="14"/>
        <v>51.015990125434762</v>
      </c>
      <c r="T75" s="74">
        <f ca="1">IF(L75="","",DATE(INDEX(OFFSET(Arb!$C$2,,,Arb!$AJ$5,),L75),INDEX(OFFSET(Arb!$B$2,,,Arb!$AJ$5,),L75),INDEX(OFFSET(Arb!$A$2,,,Arb!$AJ$5,),L75))+ROW()*0.001)</f>
        <v>44114.074999999997</v>
      </c>
      <c r="U75" s="11">
        <v>74</v>
      </c>
      <c r="V75" s="11">
        <v>3332</v>
      </c>
      <c r="W75" s="433">
        <f ca="1">IF(V75="",164,INDEX(OFFSET(Arb!$I$2,,,Arb!$AJ$5,),V75))</f>
        <v>160</v>
      </c>
      <c r="X75" s="34">
        <f ca="1">IF(V75="",240,INDEX(OFFSET(Arb!$H$2,,,Arb!$AJ$5,),V75))</f>
        <v>62.63</v>
      </c>
      <c r="Y75" s="33">
        <f t="shared" ca="1" si="15"/>
        <v>2.5546862525946032</v>
      </c>
      <c r="Z75" s="33">
        <f ca="1">IF(V75="","",INDEX(OFFSET(Arb!$X$2,,,Arb!$AJ$5,),V75)/X75)</f>
        <v>3.1773910266645378</v>
      </c>
      <c r="AA75" s="33">
        <f ca="1">IF(V75="","",(INDEX(OFFSET(Arb!$U$2,,,Arb!$AJ$5,),V75)+INDEX(OFFSET(Arb!$V$2,,,Arb!$AJ$5,),V75))/X75)</f>
        <v>3.432859651923998</v>
      </c>
      <c r="AB75" s="33">
        <f t="shared" ca="1" si="16"/>
        <v>7.0861463446750745</v>
      </c>
      <c r="AC75" s="21">
        <f t="shared" ca="1" si="17"/>
        <v>61.387526991576173</v>
      </c>
      <c r="AD75" s="74">
        <f ca="1">IF(V75="","",DATE(INDEX(OFFSET(Arb!$C$2,,,Arb!$AJ$5,),V75),INDEX(OFFSET(Arb!$B$2,,,Arb!$AJ$5,),V75),INDEX(OFFSET(Arb!$A$2,,,Arb!$AJ$5,),V75))+ROW()*0.001)</f>
        <v>44096.074999999997</v>
      </c>
    </row>
    <row r="76" spans="1:30" x14ac:dyDescent="0.25">
      <c r="A76" s="11">
        <v>75</v>
      </c>
      <c r="B76" s="11">
        <v>1521</v>
      </c>
      <c r="C76" s="433">
        <f ca="1">IF(B76="",16,INDEX(OFFSET(Arb!$I$2,,,Arb!$AJ$5,),B76))</f>
        <v>29</v>
      </c>
      <c r="D76" s="34">
        <f ca="1">IF(B76="",10,INDEX(OFFSET(Arb!$H$2,,,Arb!$AJ$5,),B76))</f>
        <v>7.7</v>
      </c>
      <c r="E76" s="33">
        <f t="shared" ca="1" si="9"/>
        <v>3.7662337662337659</v>
      </c>
      <c r="F76" s="33">
        <f ca="1">IF(B76="","",INDEX(OFFSET(Arb!$X$2,,,Arb!$AJ$5,),B76)/D76)</f>
        <v>4.545454545454545</v>
      </c>
      <c r="G76" s="33">
        <f ca="1">IF(B76="","",(INDEX(OFFSET(Arb!$U$2,,,Arb!$AJ$5,),B76)+INDEX(OFFSET(Arb!$V$2,,,Arb!$AJ$5,),B76))/D76)</f>
        <v>5.1948051948051948</v>
      </c>
      <c r="H76" s="33">
        <f t="shared" ca="1" si="10"/>
        <v>1.1082461592907917</v>
      </c>
      <c r="I76" s="21">
        <f t="shared" ca="1" si="11"/>
        <v>42.679146328166304</v>
      </c>
      <c r="J76" s="74">
        <f ca="1">IF(B76="","",DATE(INDEX(OFFSET(Arb!$C$2,,,Arb!$AJ$5,),B76),INDEX(OFFSET(Arb!$B$2,,,Arb!$AJ$5,),B76),INDEX(OFFSET(Arb!$A$2,,,Arb!$AJ$5,),B76))+ROW()*0.001)</f>
        <v>43984.076000000001</v>
      </c>
      <c r="K76" s="11">
        <v>75</v>
      </c>
      <c r="L76" s="11">
        <v>2244</v>
      </c>
      <c r="M76" s="433">
        <f ca="1">IF(L76="",64,INDEX(OFFSET(Arb!$I$2,,,Arb!$AJ$5,),L76))</f>
        <v>70</v>
      </c>
      <c r="N76" s="34">
        <f ca="1">IF(L76="",60,INDEX(OFFSET(Arb!$H$2,,,Arb!$AJ$5,),L76))</f>
        <v>25.19</v>
      </c>
      <c r="O76" s="33">
        <f t="shared" ca="1" si="12"/>
        <v>2.7788805081381498</v>
      </c>
      <c r="P76" s="33">
        <f ca="1">IF(L76="","",INDEX(OFFSET(Arb!$X$2,,,Arb!$AJ$5,),L76)/N76)</f>
        <v>3.2552600238189755</v>
      </c>
      <c r="Q76" s="33">
        <f ca="1">IF(L76="","",(INDEX(OFFSET(Arb!$U$2,,,Arb!$AJ$5,),L76)+INDEX(OFFSET(Arb!$V$2,,,Arb!$AJ$5,),L76))/N76)</f>
        <v>3.6125446605795948</v>
      </c>
      <c r="R76" s="33">
        <f t="shared" ca="1" si="13"/>
        <v>3.4434187879650735</v>
      </c>
      <c r="S76" s="21">
        <f t="shared" ca="1" si="14"/>
        <v>44.644584195594881</v>
      </c>
      <c r="T76" s="74">
        <f ca="1">IF(L76="","",DATE(INDEX(OFFSET(Arb!$C$2,,,Arb!$AJ$5,),L76),INDEX(OFFSET(Arb!$B$2,,,Arb!$AJ$5,),L76),INDEX(OFFSET(Arb!$A$2,,,Arb!$AJ$5,),L76))+ROW()*0.001)</f>
        <v>43892.076000000001</v>
      </c>
      <c r="U76" s="11">
        <v>75</v>
      </c>
      <c r="V76" s="11">
        <v>3341</v>
      </c>
      <c r="W76" s="433">
        <f ca="1">IF(V76="",164,INDEX(OFFSET(Arb!$I$2,,,Arb!$AJ$5,),V76))</f>
        <v>199</v>
      </c>
      <c r="X76" s="34">
        <f ca="1">IF(V76="",240,INDEX(OFFSET(Arb!$H$2,,,Arb!$AJ$5,),V76))</f>
        <v>77.91</v>
      </c>
      <c r="Y76" s="33">
        <f t="shared" ca="1" si="15"/>
        <v>2.5542292388653576</v>
      </c>
      <c r="Z76" s="33">
        <f ca="1">IF(V76="","",INDEX(OFFSET(Arb!$X$2,,,Arb!$AJ$5,),V76)/X76)</f>
        <v>3.1318187652419458</v>
      </c>
      <c r="AA76" s="33">
        <f ca="1">IF(V76="","",(INDEX(OFFSET(Arb!$U$2,,,Arb!$AJ$5,),V76)+INDEX(OFFSET(Arb!$V$2,,,Arb!$AJ$5,),V76))/X76)</f>
        <v>3.5168784494930048</v>
      </c>
      <c r="AB76" s="33">
        <f t="shared" ca="1" si="16"/>
        <v>8.2576290770912149</v>
      </c>
      <c r="AC76" s="21">
        <f t="shared" ca="1" si="17"/>
        <v>52.678680035024165</v>
      </c>
      <c r="AD76" s="74">
        <f ca="1">IF(V76="","",DATE(INDEX(OFFSET(Arb!$C$2,,,Arb!$AJ$5,),V76),INDEX(OFFSET(Arb!$B$2,,,Arb!$AJ$5,),V76),INDEX(OFFSET(Arb!$A$2,,,Arb!$AJ$5,),V76))+ROW()*0.001)</f>
        <v>44097.076000000001</v>
      </c>
    </row>
    <row r="77" spans="1:30" x14ac:dyDescent="0.25">
      <c r="A77" s="11">
        <v>76</v>
      </c>
      <c r="B77" s="11">
        <v>1229</v>
      </c>
      <c r="C77" s="433">
        <f ca="1">IF(B77="",16,INDEX(OFFSET(Arb!$I$2,,,Arb!$AJ$5,),B77))</f>
        <v>29</v>
      </c>
      <c r="D77" s="34">
        <f ca="1">IF(B77="",10,INDEX(OFFSET(Arb!$H$2,,,Arb!$AJ$5,),B77))</f>
        <v>7.7</v>
      </c>
      <c r="E77" s="33">
        <f t="shared" ca="1" si="9"/>
        <v>3.7662337662337659</v>
      </c>
      <c r="F77" s="33">
        <f ca="1">IF(B77="","",INDEX(OFFSET(Arb!$X$2,,,Arb!$AJ$5,),B77)/D77)</f>
        <v>4.1558441558441555</v>
      </c>
      <c r="G77" s="33">
        <f ca="1">IF(B77="","",(INDEX(OFFSET(Arb!$U$2,,,Arb!$AJ$5,),B77)+INDEX(OFFSET(Arb!$V$2,,,Arb!$AJ$5,),B77))/D77)</f>
        <v>4.6753246753246751</v>
      </c>
      <c r="H77" s="33">
        <f t="shared" ca="1" si="10"/>
        <v>1.1082461592907917</v>
      </c>
      <c r="I77" s="21">
        <f t="shared" ca="1" si="11"/>
        <v>42.679146328166304</v>
      </c>
      <c r="J77" s="74">
        <f ca="1">IF(B77="","",DATE(INDEX(OFFSET(Arb!$C$2,,,Arb!$AJ$5,),B77),INDEX(OFFSET(Arb!$B$2,,,Arb!$AJ$5,),B77),INDEX(OFFSET(Arb!$A$2,,,Arb!$AJ$5,),B77))+ROW()*0.001)</f>
        <v>43898.076999999997</v>
      </c>
      <c r="K77" s="11">
        <v>76</v>
      </c>
      <c r="L77" s="11">
        <v>2155</v>
      </c>
      <c r="M77" s="433">
        <f ca="1">IF(L77="",64,INDEX(OFFSET(Arb!$I$2,,,Arb!$AJ$5,),L77))</f>
        <v>72</v>
      </c>
      <c r="N77" s="34">
        <f ca="1">IF(L77="",60,INDEX(OFFSET(Arb!$H$2,,,Arb!$AJ$5,),L77))</f>
        <v>25.95</v>
      </c>
      <c r="O77" s="33">
        <f t="shared" ca="1" si="12"/>
        <v>2.7745664739884393</v>
      </c>
      <c r="P77" s="33">
        <f ca="1">IF(L77="","",INDEX(OFFSET(Arb!$X$2,,,Arb!$AJ$5,),L77)/N77)</f>
        <v>3.5838150289017343</v>
      </c>
      <c r="Q77" s="33">
        <f ca="1">IF(L77="","",(INDEX(OFFSET(Arb!$U$2,,,Arb!$AJ$5,),L77)+INDEX(OFFSET(Arb!$V$2,,,Arb!$AJ$5,),L77))/N77)</f>
        <v>4.1618497109826587</v>
      </c>
      <c r="R77" s="33">
        <f t="shared" ca="1" si="13"/>
        <v>3.5212837235802339</v>
      </c>
      <c r="S77" s="21">
        <f t="shared" ca="1" si="14"/>
        <v>43.657373863556892</v>
      </c>
      <c r="T77" s="74">
        <f ca="1">IF(L77="","",DATE(INDEX(OFFSET(Arb!$C$2,,,Arb!$AJ$5,),L77),INDEX(OFFSET(Arb!$B$2,,,Arb!$AJ$5,),L77),INDEX(OFFSET(Arb!$A$2,,,Arb!$AJ$5,),L77))+ROW()*0.001)</f>
        <v>43822.076999999997</v>
      </c>
      <c r="U77" s="11">
        <v>76</v>
      </c>
      <c r="V77" s="11">
        <v>3096</v>
      </c>
      <c r="W77" s="433">
        <f ca="1">IF(V77="",164,INDEX(OFFSET(Arb!$I$2,,,Arb!$AJ$5,),V77))</f>
        <v>186</v>
      </c>
      <c r="X77" s="34">
        <f ca="1">IF(V77="",240,INDEX(OFFSET(Arb!$H$2,,,Arb!$AJ$5,),V77))</f>
        <v>72.849999999999994</v>
      </c>
      <c r="Y77" s="33">
        <f t="shared" ca="1" si="15"/>
        <v>2.5531914893617023</v>
      </c>
      <c r="Z77" s="33">
        <f ca="1">IF(V77="","",INDEX(OFFSET(Arb!$X$2,,,Arb!$AJ$5,),V77)/X77)</f>
        <v>2.9924502402196298</v>
      </c>
      <c r="AA77" s="33">
        <f ca="1">IF(V77="","",(INDEX(OFFSET(Arb!$U$2,,,Arb!$AJ$5,),V77)+INDEX(OFFSET(Arb!$V$2,,,Arb!$AJ$5,),V77))/X77)</f>
        <v>3.1846259437199729</v>
      </c>
      <c r="AB77" s="33">
        <f t="shared" ca="1" si="16"/>
        <v>7.8816528292238868</v>
      </c>
      <c r="AC77" s="21">
        <f t="shared" ca="1" si="17"/>
        <v>55.191596156974462</v>
      </c>
      <c r="AD77" s="74">
        <f ca="1">IF(V77="","",DATE(INDEX(OFFSET(Arb!$C$2,,,Arb!$AJ$5,),V77),INDEX(OFFSET(Arb!$B$2,,,Arb!$AJ$5,),V77),INDEX(OFFSET(Arb!$A$2,,,Arb!$AJ$5,),V77))+ROW()*0.001)</f>
        <v>44004.076999999997</v>
      </c>
    </row>
    <row r="78" spans="1:30" x14ac:dyDescent="0.25">
      <c r="A78" s="11">
        <v>77</v>
      </c>
      <c r="B78" s="11">
        <v>1749</v>
      </c>
      <c r="C78" s="433">
        <f ca="1">IF(B78="",16,INDEX(OFFSET(Arb!$I$2,,,Arb!$AJ$5,),B78))</f>
        <v>21</v>
      </c>
      <c r="D78" s="34">
        <f ca="1">IF(B78="",10,INDEX(OFFSET(Arb!$H$2,,,Arb!$AJ$5,),B78))</f>
        <v>5.58</v>
      </c>
      <c r="E78" s="33">
        <f t="shared" ca="1" si="9"/>
        <v>3.7634408602150535</v>
      </c>
      <c r="F78" s="33">
        <f ca="1">IF(B78="","",INDEX(OFFSET(Arb!$X$2,,,Arb!$AJ$5,),B78)/D78)</f>
        <v>3.9426523297491038</v>
      </c>
      <c r="G78" s="33">
        <f ca="1">IF(B78="","",(INDEX(OFFSET(Arb!$U$2,,,Arb!$AJ$5,),B78)+INDEX(OFFSET(Arb!$V$2,,,Arb!$AJ$5,),B78))/D78)</f>
        <v>5.0179211469534053</v>
      </c>
      <c r="H78" s="33">
        <f t="shared" ca="1" si="10"/>
        <v>0.88523554410519456</v>
      </c>
      <c r="I78" s="21">
        <f t="shared" ca="1" si="11"/>
        <v>53.430977003764944</v>
      </c>
      <c r="J78" s="74">
        <f ca="1">IF(B78="","",DATE(INDEX(OFFSET(Arb!$C$2,,,Arb!$AJ$5,),B78),INDEX(OFFSET(Arb!$B$2,,,Arb!$AJ$5,),B78),INDEX(OFFSET(Arb!$A$2,,,Arb!$AJ$5,),B78))+ROW()*0.001)</f>
        <v>44114.078000000001</v>
      </c>
      <c r="K78" s="11">
        <v>77</v>
      </c>
      <c r="L78" s="11">
        <v>2358</v>
      </c>
      <c r="M78" s="433">
        <f ca="1">IF(L78="",64,INDEX(OFFSET(Arb!$I$2,,,Arb!$AJ$5,),L78))</f>
        <v>65</v>
      </c>
      <c r="N78" s="34">
        <f ca="1">IF(L78="",60,INDEX(OFFSET(Arb!$H$2,,,Arb!$AJ$5,),L78))</f>
        <v>23.49</v>
      </c>
      <c r="O78" s="33">
        <f t="shared" ca="1" si="12"/>
        <v>2.7671349510429972</v>
      </c>
      <c r="P78" s="33">
        <f ca="1">IF(L78="","",INDEX(OFFSET(Arb!$X$2,,,Arb!$AJ$5,),L78)/N78)</f>
        <v>2.9799914857386125</v>
      </c>
      <c r="Q78" s="33">
        <f ca="1">IF(L78="","",(INDEX(OFFSET(Arb!$U$2,,,Arb!$AJ$5,),L78)+INDEX(OFFSET(Arb!$V$2,,,Arb!$AJ$5,),L78))/N78)</f>
        <v>3.3205619412515968</v>
      </c>
      <c r="R78" s="33">
        <f t="shared" ca="1" si="13"/>
        <v>3.2929699826324139</v>
      </c>
      <c r="S78" s="21">
        <f t="shared" ca="1" si="14"/>
        <v>46.68430043723253</v>
      </c>
      <c r="T78" s="74">
        <f ca="1">IF(L78="","",DATE(INDEX(OFFSET(Arb!$C$2,,,Arb!$AJ$5,),L78),INDEX(OFFSET(Arb!$B$2,,,Arb!$AJ$5,),L78),INDEX(OFFSET(Arb!$A$2,,,Arb!$AJ$5,),L78))+ROW()*0.001)</f>
        <v>44114.078000000001</v>
      </c>
      <c r="U78" s="11">
        <v>77</v>
      </c>
      <c r="V78" s="11">
        <v>2794</v>
      </c>
      <c r="W78" s="433">
        <f ca="1">IF(V78="",164,INDEX(OFFSET(Arb!$I$2,,,Arb!$AJ$5,),V78))</f>
        <v>191</v>
      </c>
      <c r="X78" s="34">
        <f ca="1">IF(V78="",240,INDEX(OFFSET(Arb!$H$2,,,Arb!$AJ$5,),V78))</f>
        <v>74.84</v>
      </c>
      <c r="Y78" s="33">
        <f t="shared" ca="1" si="15"/>
        <v>2.5521111704970605</v>
      </c>
      <c r="Z78" s="33">
        <f ca="1">IF(V78="","",INDEX(OFFSET(Arb!$X$2,,,Arb!$AJ$5,),V78)/X78)</f>
        <v>2.993051843933725</v>
      </c>
      <c r="AA78" s="33">
        <f ca="1">IF(V78="","",(INDEX(OFFSET(Arb!$U$2,,,Arb!$AJ$5,),V78)+INDEX(OFFSET(Arb!$V$2,,,Arb!$AJ$5,),V78))/X78)</f>
        <v>3.327097808658471</v>
      </c>
      <c r="AB78" s="33">
        <f t="shared" ca="1" si="16"/>
        <v>8.0351512615353862</v>
      </c>
      <c r="AC78" s="21">
        <f t="shared" ca="1" si="17"/>
        <v>54.137250916777191</v>
      </c>
      <c r="AD78" s="74">
        <f ca="1">IF(V78="","",DATE(INDEX(OFFSET(Arb!$C$2,,,Arb!$AJ$5,),V78),INDEX(OFFSET(Arb!$B$2,,,Arb!$AJ$5,),V78),INDEX(OFFSET(Arb!$A$2,,,Arb!$AJ$5,),V78))+ROW()*0.001)</f>
        <v>43893.078000000001</v>
      </c>
    </row>
    <row r="79" spans="1:30" x14ac:dyDescent="0.25">
      <c r="A79" s="11">
        <v>78</v>
      </c>
      <c r="B79" s="11">
        <v>1047</v>
      </c>
      <c r="C79" s="433">
        <f ca="1">IF(B79="",16,INDEX(OFFSET(Arb!$I$2,,,Arb!$AJ$5,),B79))</f>
        <v>28</v>
      </c>
      <c r="D79" s="34">
        <f ca="1">IF(B79="",10,INDEX(OFFSET(Arb!$H$2,,,Arb!$AJ$5,),B79))</f>
        <v>7.44</v>
      </c>
      <c r="E79" s="33">
        <f t="shared" ca="1" si="9"/>
        <v>3.7634408602150535</v>
      </c>
      <c r="F79" s="33">
        <f ca="1">IF(B79="","",INDEX(OFFSET(Arb!$X$2,,,Arb!$AJ$5,),B79)/D79)</f>
        <v>4.435483870967742</v>
      </c>
      <c r="G79" s="33">
        <f ca="1">IF(B79="","",(INDEX(OFFSET(Arb!$U$2,,,Arb!$AJ$5,),B79)+INDEX(OFFSET(Arb!$V$2,,,Arb!$AJ$5,),B79))/D79)</f>
        <v>5.376344086021505</v>
      </c>
      <c r="H79" s="33">
        <f t="shared" ca="1" si="10"/>
        <v>1.0827195012554529</v>
      </c>
      <c r="I79" s="21">
        <f t="shared" ca="1" si="11"/>
        <v>43.685368135657555</v>
      </c>
      <c r="J79" s="74">
        <f ca="1">IF(B79="","",DATE(INDEX(OFFSET(Arb!$C$2,,,Arb!$AJ$5,),B79),INDEX(OFFSET(Arb!$B$2,,,Arb!$AJ$5,),B79),INDEX(OFFSET(Arb!$A$2,,,Arb!$AJ$5,),B79))+ROW()*0.001)</f>
        <v>43841.078999999998</v>
      </c>
      <c r="K79" s="11">
        <v>78</v>
      </c>
      <c r="L79" s="11">
        <v>2006</v>
      </c>
      <c r="M79" s="433">
        <f ca="1">IF(L79="",64,INDEX(OFFSET(Arb!$I$2,,,Arb!$AJ$5,),L79))</f>
        <v>73</v>
      </c>
      <c r="N79" s="34">
        <f ca="1">IF(L79="",60,INDEX(OFFSET(Arb!$H$2,,,Arb!$AJ$5,),L79))</f>
        <v>26.4</v>
      </c>
      <c r="O79" s="33">
        <f t="shared" ca="1" si="12"/>
        <v>2.7651515151515151</v>
      </c>
      <c r="P79" s="33">
        <f ca="1">IF(L79="","",INDEX(OFFSET(Arb!$X$2,,,Arb!$AJ$5,),L79)/N79)</f>
        <v>3.3333333333333335</v>
      </c>
      <c r="Q79" s="33">
        <f ca="1">IF(L79="","",(INDEX(OFFSET(Arb!$U$2,,,Arb!$AJ$5,),L79)+INDEX(OFFSET(Arb!$V$2,,,Arb!$AJ$5,),L79))/N79)</f>
        <v>3.9772727272727275</v>
      </c>
      <c r="R79" s="33">
        <f t="shared" ca="1" si="13"/>
        <v>3.5760519196028469</v>
      </c>
      <c r="S79" s="21">
        <f t="shared" ca="1" si="14"/>
        <v>42.98874945223757</v>
      </c>
      <c r="T79" s="74">
        <f ca="1">IF(L79="","",DATE(INDEX(OFFSET(Arb!$C$2,,,Arb!$AJ$5,),L79),INDEX(OFFSET(Arb!$B$2,,,Arb!$AJ$5,),L79),INDEX(OFFSET(Arb!$A$2,,,Arb!$AJ$5,),L79))+ROW()*0.001)</f>
        <v>43786.078999999998</v>
      </c>
      <c r="U79" s="11">
        <v>78</v>
      </c>
      <c r="V79" s="11">
        <v>3413</v>
      </c>
      <c r="W79" s="433">
        <f ca="1">IF(V79="",164,INDEX(OFFSET(Arb!$I$2,,,Arb!$AJ$5,),V79))</f>
        <v>184</v>
      </c>
      <c r="X79" s="34">
        <f ca="1">IF(V79="",240,INDEX(OFFSET(Arb!$H$2,,,Arb!$AJ$5,),V79))</f>
        <v>72.11</v>
      </c>
      <c r="Y79" s="33">
        <f t="shared" ca="1" si="15"/>
        <v>2.5516571904035503</v>
      </c>
      <c r="Z79" s="33">
        <f ca="1">IF(V79="","",INDEX(OFFSET(Arb!$X$2,,,Arb!$AJ$5,),V79)/X79)</f>
        <v>2.7458050201081683</v>
      </c>
      <c r="AA79" s="33">
        <f ca="1">IF(V79="","",(INDEX(OFFSET(Arb!$U$2,,,Arb!$AJ$5,),V79)+INDEX(OFFSET(Arb!$V$2,,,Arb!$AJ$5,),V79))/X79)</f>
        <v>2.9954236582998197</v>
      </c>
      <c r="AB79" s="33">
        <f t="shared" ca="1" si="16"/>
        <v>7.8302300093701556</v>
      </c>
      <c r="AC79" s="21">
        <f t="shared" ca="1" si="17"/>
        <v>55.554051347080467</v>
      </c>
      <c r="AD79" s="74">
        <f ca="1">IF(V79="","",DATE(INDEX(OFFSET(Arb!$C$2,,,Arb!$AJ$5,),V79),INDEX(OFFSET(Arb!$B$2,,,Arb!$AJ$5,),V79),INDEX(OFFSET(Arb!$A$2,,,Arb!$AJ$5,),V79))+ROW()*0.001)</f>
        <v>44147.078999999998</v>
      </c>
    </row>
    <row r="80" spans="1:30" x14ac:dyDescent="0.25">
      <c r="A80" s="11">
        <v>79</v>
      </c>
      <c r="B80" s="11">
        <v>1661</v>
      </c>
      <c r="C80" s="433">
        <f ca="1">IF(B80="",16,INDEX(OFFSET(Arb!$I$2,,,Arb!$AJ$5,),B80))</f>
        <v>12</v>
      </c>
      <c r="D80" s="34">
        <f ca="1">IF(B80="",10,INDEX(OFFSET(Arb!$H$2,,,Arb!$AJ$5,),B80))</f>
        <v>3.19</v>
      </c>
      <c r="E80" s="33">
        <f t="shared" ca="1" si="9"/>
        <v>3.761755485893417</v>
      </c>
      <c r="F80" s="33">
        <f ca="1">IF(B80="","",INDEX(OFFSET(Arb!$X$2,,,Arb!$AJ$5,),B80)/D80)</f>
        <v>4.0752351097178687</v>
      </c>
      <c r="G80" s="33">
        <f ca="1">IF(B80="","",(INDEX(OFFSET(Arb!$U$2,,,Arb!$AJ$5,),B80)+INDEX(OFFSET(Arb!$V$2,,,Arb!$AJ$5,),B80))/D80)</f>
        <v>4.3887147335423196</v>
      </c>
      <c r="H80" s="33">
        <f t="shared" ca="1" si="10"/>
        <v>0.59877397384525743</v>
      </c>
      <c r="I80" s="21">
        <f t="shared" ca="1" si="11"/>
        <v>78.993079302113401</v>
      </c>
      <c r="J80" s="74">
        <f ca="1">IF(B80="","",DATE(INDEX(OFFSET(Arb!$C$2,,,Arb!$AJ$5,),B80),INDEX(OFFSET(Arb!$B$2,,,Arb!$AJ$5,),B80),INDEX(OFFSET(Arb!$A$2,,,Arb!$AJ$5,),B80))+ROW()*0.001)</f>
        <v>44096.08</v>
      </c>
      <c r="K80" s="11">
        <v>79</v>
      </c>
      <c r="L80" s="11">
        <v>2142</v>
      </c>
      <c r="M80" s="433">
        <f ca="1">IF(L80="",64,INDEX(OFFSET(Arb!$I$2,,,Arb!$AJ$5,),L80))</f>
        <v>59</v>
      </c>
      <c r="N80" s="34">
        <f ca="1">IF(L80="",60,INDEX(OFFSET(Arb!$H$2,,,Arb!$AJ$5,),L80))</f>
        <v>21.36</v>
      </c>
      <c r="O80" s="33">
        <f t="shared" ca="1" si="12"/>
        <v>2.762172284644195</v>
      </c>
      <c r="P80" s="33">
        <f ca="1">IF(L80="","",INDEX(OFFSET(Arb!$X$2,,,Arb!$AJ$5,),L80)/N80)</f>
        <v>3.0430711610486894</v>
      </c>
      <c r="Q80" s="33">
        <f ca="1">IF(L80="","",(INDEX(OFFSET(Arb!$U$2,,,Arb!$AJ$5,),L80)+INDEX(OFFSET(Arb!$V$2,,,Arb!$AJ$5,),L80))/N80)</f>
        <v>3.464419475655431</v>
      </c>
      <c r="R80" s="33">
        <f t="shared" ca="1" si="13"/>
        <v>3.0865272144042475</v>
      </c>
      <c r="S80" s="21">
        <f t="shared" ca="1" si="14"/>
        <v>49.806785853878338</v>
      </c>
      <c r="T80" s="74">
        <f ca="1">IF(L80="","",DATE(INDEX(OFFSET(Arb!$C$2,,,Arb!$AJ$5,),L80),INDEX(OFFSET(Arb!$B$2,,,Arb!$AJ$5,),L80),INDEX(OFFSET(Arb!$A$2,,,Arb!$AJ$5,),L80))+ROW()*0.001)</f>
        <v>43817.08</v>
      </c>
      <c r="U80" s="11">
        <v>79</v>
      </c>
      <c r="V80" s="11">
        <v>3342</v>
      </c>
      <c r="W80" s="433">
        <f ca="1">IF(V80="",164,INDEX(OFFSET(Arb!$I$2,,,Arb!$AJ$5,),V80))</f>
        <v>161</v>
      </c>
      <c r="X80" s="34">
        <f ca="1">IF(V80="",240,INDEX(OFFSET(Arb!$H$2,,,Arb!$AJ$5,),V80))</f>
        <v>63.13</v>
      </c>
      <c r="Y80" s="33">
        <f t="shared" ca="1" si="15"/>
        <v>2.5502930460953586</v>
      </c>
      <c r="Z80" s="33">
        <f ca="1">IF(V80="","",INDEX(OFFSET(Arb!$X$2,,,Arb!$AJ$5,),V80)/X80)</f>
        <v>2.8829399651512748</v>
      </c>
      <c r="AA80" s="33">
        <f ca="1">IF(V80="","",(INDEX(OFFSET(Arb!$U$2,,,Arb!$AJ$5,),V80)+INDEX(OFFSET(Arb!$V$2,,,Arb!$AJ$5,),V80))/X80)</f>
        <v>3.1522255662917789</v>
      </c>
      <c r="AB80" s="33">
        <f t="shared" ca="1" si="16"/>
        <v>7.13797406764155</v>
      </c>
      <c r="AC80" s="21">
        <f t="shared" ca="1" si="17"/>
        <v>60.941801676190195</v>
      </c>
      <c r="AD80" s="74">
        <f ca="1">IF(V80="","",DATE(INDEX(OFFSET(Arb!$C$2,,,Arb!$AJ$5,),V80),INDEX(OFFSET(Arb!$B$2,,,Arb!$AJ$5,),V80),INDEX(OFFSET(Arb!$A$2,,,Arb!$AJ$5,),V80))+ROW()*0.001)</f>
        <v>44097.08</v>
      </c>
    </row>
    <row r="81" spans="1:30" x14ac:dyDescent="0.25">
      <c r="A81" s="11">
        <v>80</v>
      </c>
      <c r="B81" s="11">
        <v>341</v>
      </c>
      <c r="C81" s="433">
        <f ca="1">IF(B81="",16,INDEX(OFFSET(Arb!$I$2,,,Arb!$AJ$5,),B81))</f>
        <v>18</v>
      </c>
      <c r="D81" s="34">
        <f ca="1">IF(B81="",10,INDEX(OFFSET(Arb!$H$2,,,Arb!$AJ$5,),B81))</f>
        <v>4.79</v>
      </c>
      <c r="E81" s="33">
        <f t="shared" ca="1" si="9"/>
        <v>3.757828810020877</v>
      </c>
      <c r="F81" s="33">
        <f ca="1">IF(B81="","",INDEX(OFFSET(Arb!$X$2,,,Arb!$AJ$5,),B81)/D81)</f>
        <v>4.1753653444676413</v>
      </c>
      <c r="G81" s="33">
        <f ca="1">IF(B81="","",(INDEX(OFFSET(Arb!$U$2,,,Arb!$AJ$5,),B81)+INDEX(OFFSET(Arb!$V$2,,,Arb!$AJ$5,),B81))/D81)</f>
        <v>4.5929018789144047</v>
      </c>
      <c r="H81" s="33">
        <f t="shared" ca="1" si="10"/>
        <v>0.79670559613482494</v>
      </c>
      <c r="I81" s="21">
        <f t="shared" ca="1" si="11"/>
        <v>59.368228652426438</v>
      </c>
      <c r="J81" s="74">
        <f ca="1">IF(B81="","",DATE(INDEX(OFFSET(Arb!$C$2,,,Arb!$AJ$5,),B81),INDEX(OFFSET(Arb!$B$2,,,Arb!$AJ$5,),B81),INDEX(OFFSET(Arb!$A$2,,,Arb!$AJ$5,),B81))+ROW()*0.001)</f>
        <v>43781.080999999998</v>
      </c>
      <c r="K81" s="11">
        <v>80</v>
      </c>
      <c r="L81" s="11">
        <v>1898</v>
      </c>
      <c r="M81" s="433">
        <f ca="1">IF(L81="",64,INDEX(OFFSET(Arb!$I$2,,,Arb!$AJ$5,),L81))</f>
        <v>73</v>
      </c>
      <c r="N81" s="34">
        <f ca="1">IF(L81="",60,INDEX(OFFSET(Arb!$H$2,,,Arb!$AJ$5,),L81))</f>
        <v>26.43</v>
      </c>
      <c r="O81" s="33">
        <f t="shared" ca="1" si="12"/>
        <v>2.7620128641695043</v>
      </c>
      <c r="P81" s="33">
        <f ca="1">IF(L81="","",INDEX(OFFSET(Arb!$X$2,,,Arb!$AJ$5,),L81)/N81)</f>
        <v>3.5565645100264849</v>
      </c>
      <c r="Q81" s="33">
        <f ca="1">IF(L81="","",(INDEX(OFFSET(Arb!$U$2,,,Arb!$AJ$5,),L81)+INDEX(OFFSET(Arb!$V$2,,,Arb!$AJ$5,),L81))/N81)</f>
        <v>4.0862656072644725</v>
      </c>
      <c r="R81" s="33">
        <f t="shared" ca="1" si="13"/>
        <v>3.582962949020351</v>
      </c>
      <c r="S81" s="21">
        <f t="shared" ca="1" si="14"/>
        <v>42.905830226916706</v>
      </c>
      <c r="T81" s="74">
        <f ca="1">IF(L81="","",DATE(INDEX(OFFSET(Arb!$C$2,,,Arb!$AJ$5,),L81),INDEX(OFFSET(Arb!$B$2,,,Arb!$AJ$5,),L81),INDEX(OFFSET(Arb!$A$2,,,Arb!$AJ$5,),L81))+ROW()*0.001)</f>
        <v>43765.080999999998</v>
      </c>
      <c r="U81" s="11">
        <v>80</v>
      </c>
      <c r="V81" s="11">
        <v>3347</v>
      </c>
      <c r="W81" s="433">
        <f ca="1">IF(V81="",164,INDEX(OFFSET(Arb!$I$2,,,Arb!$AJ$5,),V81))</f>
        <v>173</v>
      </c>
      <c r="X81" s="34">
        <f ca="1">IF(V81="",240,INDEX(OFFSET(Arb!$H$2,,,Arb!$AJ$5,),V81))</f>
        <v>67.84</v>
      </c>
      <c r="Y81" s="33">
        <f t="shared" ca="1" si="15"/>
        <v>2.5501179245283017</v>
      </c>
      <c r="Z81" s="33">
        <f ca="1">IF(V81="","",INDEX(OFFSET(Arb!$X$2,,,Arb!$AJ$5,),V81)/X81)</f>
        <v>3.0365566037735849</v>
      </c>
      <c r="AA81" s="33">
        <f ca="1">IF(V81="","",(INDEX(OFFSET(Arb!$U$2,,,Arb!$AJ$5,),V81)+INDEX(OFFSET(Arb!$V$2,,,Arb!$AJ$5,),V81))/X81)</f>
        <v>3.3166273584905657</v>
      </c>
      <c r="AB81" s="33">
        <f t="shared" ca="1" si="16"/>
        <v>7.5072317629362297</v>
      </c>
      <c r="AC81" s="21">
        <f t="shared" ca="1" si="17"/>
        <v>57.944261445028616</v>
      </c>
      <c r="AD81" s="74">
        <f ca="1">IF(V81="","",DATE(INDEX(OFFSET(Arb!$C$2,,,Arb!$AJ$5,),V81),INDEX(OFFSET(Arb!$B$2,,,Arb!$AJ$5,),V81),INDEX(OFFSET(Arb!$A$2,,,Arb!$AJ$5,),V81))+ROW()*0.001)</f>
        <v>44098.080999999998</v>
      </c>
    </row>
    <row r="82" spans="1:30" x14ac:dyDescent="0.25">
      <c r="A82" s="11">
        <v>81</v>
      </c>
      <c r="B82" s="11">
        <v>95</v>
      </c>
      <c r="C82" s="433">
        <f ca="1">IF(B82="",16,INDEX(OFFSET(Arb!$I$2,,,Arb!$AJ$5,),B82))</f>
        <v>26</v>
      </c>
      <c r="D82" s="34">
        <f ca="1">IF(B82="",10,INDEX(OFFSET(Arb!$H$2,,,Arb!$AJ$5,),B82))</f>
        <v>6.92</v>
      </c>
      <c r="E82" s="33">
        <f t="shared" ca="1" si="9"/>
        <v>3.7572254335260116</v>
      </c>
      <c r="F82" s="33">
        <f ca="1">IF(B82="","",INDEX(OFFSET(Arb!$X$2,,,Arb!$AJ$5,),B82)/D82)</f>
        <v>3.901734104046243</v>
      </c>
      <c r="G82" s="33">
        <f ca="1">IF(B82="","",(INDEX(OFFSET(Arb!$U$2,,,Arb!$AJ$5,),B82)+INDEX(OFFSET(Arb!$V$2,,,Arb!$AJ$5,),B82))/D82)</f>
        <v>4.4797687861271678</v>
      </c>
      <c r="H82" s="33">
        <f t="shared" ca="1" si="10"/>
        <v>1.0308773856304068</v>
      </c>
      <c r="I82" s="21">
        <f t="shared" ca="1" si="11"/>
        <v>45.882275292202188</v>
      </c>
      <c r="J82" s="74">
        <f ca="1">IF(B82="","",DATE(INDEX(OFFSET(Arb!$C$2,,,Arb!$AJ$5,),B82),INDEX(OFFSET(Arb!$B$2,,,Arb!$AJ$5,),B82),INDEX(OFFSET(Arb!$A$2,,,Arb!$AJ$5,),B82))+ROW()*0.001)</f>
        <v>43767.082000000002</v>
      </c>
      <c r="K82" s="11">
        <v>81</v>
      </c>
      <c r="L82" s="11">
        <v>2057</v>
      </c>
      <c r="M82" s="433">
        <f ca="1">IF(L82="",64,INDEX(OFFSET(Arb!$I$2,,,Arb!$AJ$5,),L82))</f>
        <v>62</v>
      </c>
      <c r="N82" s="34">
        <f ca="1">IF(L82="",60,INDEX(OFFSET(Arb!$H$2,,,Arb!$AJ$5,),L82))</f>
        <v>22.48</v>
      </c>
      <c r="O82" s="33">
        <f t="shared" ca="1" si="12"/>
        <v>2.7580071174377223</v>
      </c>
      <c r="P82" s="33">
        <f ca="1">IF(L82="","",INDEX(OFFSET(Arb!$X$2,,,Arb!$AJ$5,),L82)/N82)</f>
        <v>3.2028469750889679</v>
      </c>
      <c r="Q82" s="33">
        <f ca="1">IF(L82="","",(INDEX(OFFSET(Arb!$U$2,,,Arb!$AJ$5,),L82)+INDEX(OFFSET(Arb!$V$2,,,Arb!$AJ$5,),L82))/N82)</f>
        <v>3.6921708185053381</v>
      </c>
      <c r="R82" s="33">
        <f t="shared" ca="1" si="13"/>
        <v>3.2037751777361545</v>
      </c>
      <c r="S82" s="21">
        <f t="shared" ca="1" si="14"/>
        <v>47.984016190745443</v>
      </c>
      <c r="T82" s="74">
        <f ca="1">IF(L82="","",DATE(INDEX(OFFSET(Arb!$C$2,,,Arb!$AJ$5,),L82),INDEX(OFFSET(Arb!$B$2,,,Arb!$AJ$5,),L82),INDEX(OFFSET(Arb!$A$2,,,Arb!$AJ$5,),L82))+ROW()*0.001)</f>
        <v>43800.082000000002</v>
      </c>
      <c r="U82" s="11">
        <v>81</v>
      </c>
      <c r="V82" s="11">
        <v>3365</v>
      </c>
      <c r="W82" s="433">
        <f ca="1">IF(V82="",164,INDEX(OFFSET(Arb!$I$2,,,Arb!$AJ$5,),V82))</f>
        <v>195</v>
      </c>
      <c r="X82" s="34">
        <f ca="1">IF(V82="",240,INDEX(OFFSET(Arb!$H$2,,,Arb!$AJ$5,),V82))</f>
        <v>76.47</v>
      </c>
      <c r="Y82" s="33">
        <f t="shared" ca="1" si="15"/>
        <v>2.5500196155355042</v>
      </c>
      <c r="Z82" s="33">
        <f ca="1">IF(V82="","",INDEX(OFFSET(Arb!$X$2,,,Arb!$AJ$5,),V82)/X82)</f>
        <v>2.6415587812213941</v>
      </c>
      <c r="AA82" s="33">
        <f ca="1">IF(V82="","",(INDEX(OFFSET(Arb!$U$2,,,Arb!$AJ$5,),V82)+INDEX(OFFSET(Arb!$V$2,,,Arb!$AJ$5,),V82))/X82)</f>
        <v>3.0861775859814307</v>
      </c>
      <c r="AB82" s="33">
        <f t="shared" ca="1" si="16"/>
        <v>8.1639482280282003</v>
      </c>
      <c r="AC82" s="21">
        <f t="shared" ca="1" si="17"/>
        <v>53.283164940533155</v>
      </c>
      <c r="AD82" s="74">
        <f ca="1">IF(V82="","",DATE(INDEX(OFFSET(Arb!$C$2,,,Arb!$AJ$5,),V82),INDEX(OFFSET(Arb!$B$2,,,Arb!$AJ$5,),V82),INDEX(OFFSET(Arb!$A$2,,,Arb!$AJ$5,),V82))+ROW()*0.001)</f>
        <v>44107.082000000002</v>
      </c>
    </row>
    <row r="83" spans="1:30" x14ac:dyDescent="0.25">
      <c r="A83" s="11">
        <v>82</v>
      </c>
      <c r="B83" s="11">
        <v>102</v>
      </c>
      <c r="C83" s="433">
        <f ca="1">IF(B83="",16,INDEX(OFFSET(Arb!$I$2,,,Arb!$AJ$5,),B83))</f>
        <v>21</v>
      </c>
      <c r="D83" s="34">
        <f ca="1">IF(B83="",10,INDEX(OFFSET(Arb!$H$2,,,Arb!$AJ$5,),B83))</f>
        <v>5.59</v>
      </c>
      <c r="E83" s="33">
        <f t="shared" ca="1" si="9"/>
        <v>3.7567084078711988</v>
      </c>
      <c r="F83" s="33">
        <f ca="1">IF(B83="","",INDEX(OFFSET(Arb!$X$2,,,Arb!$AJ$5,),B83)/D83)</f>
        <v>4.6511627906976747</v>
      </c>
      <c r="G83" s="33">
        <f ca="1">IF(B83="","",(INDEX(OFFSET(Arb!$U$2,,,Arb!$AJ$5,),B83)+INDEX(OFFSET(Arb!$V$2,,,Arb!$AJ$5,),B83))/D83)</f>
        <v>5.0089445438282647</v>
      </c>
      <c r="H83" s="33">
        <f t="shared" ca="1" si="10"/>
        <v>0.88793418960675685</v>
      </c>
      <c r="I83" s="21">
        <f t="shared" ca="1" si="11"/>
        <v>53.268587417438567</v>
      </c>
      <c r="J83" s="74">
        <f ca="1">IF(B83="","",DATE(INDEX(OFFSET(Arb!$C$2,,,Arb!$AJ$5,),B83),INDEX(OFFSET(Arb!$B$2,,,Arb!$AJ$5,),B83),INDEX(OFFSET(Arb!$A$2,,,Arb!$AJ$5,),B83))+ROW()*0.001)</f>
        <v>43769.082999999999</v>
      </c>
      <c r="K83" s="11">
        <v>82</v>
      </c>
      <c r="L83" s="11">
        <v>2412</v>
      </c>
      <c r="M83" s="433">
        <f ca="1">IF(L83="",64,INDEX(OFFSET(Arb!$I$2,,,Arb!$AJ$5,),L83))</f>
        <v>78</v>
      </c>
      <c r="N83" s="34">
        <f ca="1">IF(L83="",60,INDEX(OFFSET(Arb!$H$2,,,Arb!$AJ$5,),L83))</f>
        <v>28.3</v>
      </c>
      <c r="O83" s="33">
        <f t="shared" ca="1" si="12"/>
        <v>2.7561837455830389</v>
      </c>
      <c r="P83" s="33">
        <f ca="1">IF(L83="","",INDEX(OFFSET(Arb!$X$2,,,Arb!$AJ$5,),L83)/N83)</f>
        <v>2.8268551236749118</v>
      </c>
      <c r="Q83" s="33">
        <f ca="1">IF(L83="","",(INDEX(OFFSET(Arb!$U$2,,,Arb!$AJ$5,),L83)+INDEX(OFFSET(Arb!$V$2,,,Arb!$AJ$5,),L83))/N83)</f>
        <v>3.2508833922261484</v>
      </c>
      <c r="R83" s="33">
        <f t="shared" ca="1" si="13"/>
        <v>3.7665378645527596</v>
      </c>
      <c r="S83" s="21">
        <f t="shared" ca="1" si="14"/>
        <v>40.814670004188038</v>
      </c>
      <c r="T83" s="74">
        <f ca="1">IF(L83="","",DATE(INDEX(OFFSET(Arb!$C$2,,,Arb!$AJ$5,),L83),INDEX(OFFSET(Arb!$B$2,,,Arb!$AJ$5,),L83),INDEX(OFFSET(Arb!$A$2,,,Arb!$AJ$5,),L83))+ROW()*0.001)</f>
        <v>44168.082999999999</v>
      </c>
      <c r="U83" s="11">
        <v>82</v>
      </c>
      <c r="V83" s="11">
        <v>3264</v>
      </c>
      <c r="W83" s="433">
        <f ca="1">IF(V83="",164,INDEX(OFFSET(Arb!$I$2,,,Arb!$AJ$5,),V83))</f>
        <v>194</v>
      </c>
      <c r="X83" s="34">
        <f ca="1">IF(V83="",240,INDEX(OFFSET(Arb!$H$2,,,Arb!$AJ$5,),V83))</f>
        <v>76.08</v>
      </c>
      <c r="Y83" s="33">
        <f t="shared" ca="1" si="15"/>
        <v>2.5499474237644586</v>
      </c>
      <c r="Z83" s="33">
        <f ca="1">IF(V83="","",INDEX(OFFSET(Arb!$X$2,,,Arb!$AJ$5,),V83)/X83)</f>
        <v>3.0231335436382754</v>
      </c>
      <c r="AA83" s="33">
        <f ca="1">IF(V83="","",(INDEX(OFFSET(Arb!$U$2,,,Arb!$AJ$5,),V83)+INDEX(OFFSET(Arb!$V$2,,,Arb!$AJ$5,),V83))/X83)</f>
        <v>3.2071503680336488</v>
      </c>
      <c r="AB83" s="33">
        <f t="shared" ca="1" si="16"/>
        <v>8.1350106671786815</v>
      </c>
      <c r="AC83" s="21">
        <f t="shared" ca="1" si="17"/>
        <v>53.472701855824795</v>
      </c>
      <c r="AD83" s="74">
        <f ca="1">IF(V83="","",DATE(INDEX(OFFSET(Arb!$C$2,,,Arb!$AJ$5,),V83),INDEX(OFFSET(Arb!$B$2,,,Arb!$AJ$5,),V83),INDEX(OFFSET(Arb!$A$2,,,Arb!$AJ$5,),V83))+ROW()*0.001)</f>
        <v>44073.082999999999</v>
      </c>
    </row>
    <row r="84" spans="1:30" x14ac:dyDescent="0.25">
      <c r="A84" s="11">
        <v>83</v>
      </c>
      <c r="B84" s="11">
        <v>768</v>
      </c>
      <c r="C84" s="433">
        <f ca="1">IF(B84="",16,INDEX(OFFSET(Arb!$I$2,,,Arb!$AJ$5,),B84))</f>
        <v>32</v>
      </c>
      <c r="D84" s="34">
        <f ca="1">IF(B84="",10,INDEX(OFFSET(Arb!$H$2,,,Arb!$AJ$5,),B84))</f>
        <v>8.52</v>
      </c>
      <c r="E84" s="33">
        <f t="shared" ca="1" si="9"/>
        <v>3.755868544600939</v>
      </c>
      <c r="F84" s="33">
        <f ca="1">IF(B84="","",INDEX(OFFSET(Arb!$X$2,,,Arb!$AJ$5,),B84)/D84)</f>
        <v>4.2253521126760569</v>
      </c>
      <c r="G84" s="33">
        <f ca="1">IF(B84="","",(INDEX(OFFSET(Arb!$U$2,,,Arb!$AJ$5,),B84)+INDEX(OFFSET(Arb!$V$2,,,Arb!$AJ$5,),B84))/D84)</f>
        <v>5.046948356807512</v>
      </c>
      <c r="H84" s="33">
        <f t="shared" ca="1" si="10"/>
        <v>1.1928815809605073</v>
      </c>
      <c r="I84" s="21">
        <f t="shared" ca="1" si="11"/>
        <v>39.651043955188648</v>
      </c>
      <c r="J84" s="74">
        <f ca="1">IF(B84="","",DATE(INDEX(OFFSET(Arb!$C$2,,,Arb!$AJ$5,),B84),INDEX(OFFSET(Arb!$B$2,,,Arb!$AJ$5,),B84),INDEX(OFFSET(Arb!$A$2,,,Arb!$AJ$5,),B84))+ROW()*0.001)</f>
        <v>43809.084000000003</v>
      </c>
      <c r="K84" s="11">
        <v>83</v>
      </c>
      <c r="L84" s="11">
        <v>2300</v>
      </c>
      <c r="M84" s="433">
        <f ca="1">IF(L84="",64,INDEX(OFFSET(Arb!$I$2,,,Arb!$AJ$5,),L84))</f>
        <v>67</v>
      </c>
      <c r="N84" s="34">
        <f ca="1">IF(L84="",60,INDEX(OFFSET(Arb!$H$2,,,Arb!$AJ$5,),L84))</f>
        <v>24.31</v>
      </c>
      <c r="O84" s="33">
        <f t="shared" ca="1" si="12"/>
        <v>2.7560674619498151</v>
      </c>
      <c r="P84" s="33">
        <f ca="1">IF(L84="","",INDEX(OFFSET(Arb!$X$2,,,Arb!$AJ$5,),L84)/N84)</f>
        <v>3.3319621554915675</v>
      </c>
      <c r="Q84" s="33">
        <f ca="1">IF(L84="","",(INDEX(OFFSET(Arb!$U$2,,,Arb!$AJ$5,),L84)+INDEX(OFFSET(Arb!$V$2,,,Arb!$AJ$5,),L84))/N84)</f>
        <v>3.9901275195392842</v>
      </c>
      <c r="R84" s="33">
        <f t="shared" ca="1" si="13"/>
        <v>3.3865666506802574</v>
      </c>
      <c r="S84" s="21">
        <f t="shared" ca="1" si="14"/>
        <v>45.394057125413532</v>
      </c>
      <c r="T84" s="74">
        <f ca="1">IF(L84="","",DATE(INDEX(OFFSET(Arb!$C$2,,,Arb!$AJ$5,),L84),INDEX(OFFSET(Arb!$B$2,,,Arb!$AJ$5,),L84),INDEX(OFFSET(Arb!$A$2,,,Arb!$AJ$5,),L84))+ROW()*0.001)</f>
        <v>43941.084000000003</v>
      </c>
      <c r="U84" s="11">
        <v>83</v>
      </c>
      <c r="V84" s="11">
        <v>2828</v>
      </c>
      <c r="W84" s="433">
        <f ca="1">IF(V84="",164,INDEX(OFFSET(Arb!$I$2,,,Arb!$AJ$5,),V84))</f>
        <v>202</v>
      </c>
      <c r="X84" s="34">
        <f ca="1">IF(V84="",240,INDEX(OFFSET(Arb!$H$2,,,Arb!$AJ$5,),V84))</f>
        <v>79.31</v>
      </c>
      <c r="Y84" s="33">
        <f t="shared" ca="1" si="15"/>
        <v>2.5469675955112847</v>
      </c>
      <c r="Z84" s="33">
        <f ca="1">IF(V84="","",INDEX(OFFSET(Arb!$X$2,,,Arb!$AJ$5,),V84)/X84)</f>
        <v>2.900012608750473</v>
      </c>
      <c r="AA84" s="33">
        <f ca="1">IF(V84="","",(INDEX(OFFSET(Arb!$U$2,,,Arb!$AJ$5,),V84)+INDEX(OFFSET(Arb!$V$2,,,Arb!$AJ$5,),V84))/X84)</f>
        <v>3.1395788677342074</v>
      </c>
      <c r="AB84" s="33">
        <f t="shared" ca="1" si="16"/>
        <v>8.3850594354846546</v>
      </c>
      <c r="AC84" s="21">
        <f t="shared" ca="1" si="17"/>
        <v>51.878105736391483</v>
      </c>
      <c r="AD84" s="74">
        <f ca="1">IF(V84="","",DATE(INDEX(OFFSET(Arb!$C$2,,,Arb!$AJ$5,),V84),INDEX(OFFSET(Arb!$B$2,,,Arb!$AJ$5,),V84),INDEX(OFFSET(Arb!$A$2,,,Arb!$AJ$5,),V84))+ROW()*0.001)</f>
        <v>43901.084000000003</v>
      </c>
    </row>
    <row r="85" spans="1:30" x14ac:dyDescent="0.25">
      <c r="A85" s="11">
        <v>84</v>
      </c>
      <c r="B85" s="11">
        <v>1355</v>
      </c>
      <c r="C85" s="433">
        <f ca="1">IF(B85="",16,INDEX(OFFSET(Arb!$I$2,,,Arb!$AJ$5,),B85))</f>
        <v>20</v>
      </c>
      <c r="D85" s="34">
        <f ca="1">IF(B85="",10,INDEX(OFFSET(Arb!$H$2,,,Arb!$AJ$5,),B85))</f>
        <v>5.33</v>
      </c>
      <c r="E85" s="33">
        <f t="shared" ca="1" si="9"/>
        <v>3.75234521575985</v>
      </c>
      <c r="F85" s="33">
        <f ca="1">IF(B85="","",INDEX(OFFSET(Arb!$X$2,,,Arb!$AJ$5,),B85)/D85)</f>
        <v>4.3151969981238274</v>
      </c>
      <c r="G85" s="33">
        <f ca="1">IF(B85="","",(INDEX(OFFSET(Arb!$U$2,,,Arb!$AJ$5,),B85)+INDEX(OFFSET(Arb!$V$2,,,Arb!$AJ$5,),B85))/D85)</f>
        <v>5.2532833020637897</v>
      </c>
      <c r="H85" s="33">
        <f t="shared" ca="1" si="10"/>
        <v>0.85981745950661936</v>
      </c>
      <c r="I85" s="21">
        <f t="shared" ca="1" si="11"/>
        <v>55.010513542189663</v>
      </c>
      <c r="J85" s="74">
        <f ca="1">IF(B85="","",DATE(INDEX(OFFSET(Arb!$C$2,,,Arb!$AJ$5,),B85),INDEX(OFFSET(Arb!$B$2,,,Arb!$AJ$5,),B85),INDEX(OFFSET(Arb!$A$2,,,Arb!$AJ$5,),B85))+ROW()*0.001)</f>
        <v>43935.084999999999</v>
      </c>
      <c r="K85" s="11">
        <v>84</v>
      </c>
      <c r="L85" s="11">
        <v>2101</v>
      </c>
      <c r="M85" s="433">
        <f ca="1">IF(L85="",64,INDEX(OFFSET(Arb!$I$2,,,Arb!$AJ$5,),L85))</f>
        <v>73</v>
      </c>
      <c r="N85" s="34">
        <f ca="1">IF(L85="",60,INDEX(OFFSET(Arb!$H$2,,,Arb!$AJ$5,),L85))</f>
        <v>26.51</v>
      </c>
      <c r="O85" s="33">
        <f t="shared" ca="1" si="12"/>
        <v>2.7536778574122969</v>
      </c>
      <c r="P85" s="33">
        <f ca="1">IF(L85="","",INDEX(OFFSET(Arb!$X$2,,,Arb!$AJ$5,),L85)/N85)</f>
        <v>3.3949453036589965</v>
      </c>
      <c r="Q85" s="33">
        <f ca="1">IF(L85="","",(INDEX(OFFSET(Arb!$U$2,,,Arb!$AJ$5,),L85)+INDEX(OFFSET(Arb!$V$2,,,Arb!$AJ$5,),L85))/N85)</f>
        <v>3.923047906450396</v>
      </c>
      <c r="R85" s="33">
        <f t="shared" ca="1" si="13"/>
        <v>3.6014192121154429</v>
      </c>
      <c r="S85" s="21">
        <f t="shared" ca="1" si="14"/>
        <v>42.685949884101468</v>
      </c>
      <c r="T85" s="74">
        <f ca="1">IF(L85="","",DATE(INDEX(OFFSET(Arb!$C$2,,,Arb!$AJ$5,),L85),INDEX(OFFSET(Arb!$B$2,,,Arb!$AJ$5,),L85),INDEX(OFFSET(Arb!$A$2,,,Arb!$AJ$5,),L85))+ROW()*0.001)</f>
        <v>43810.084999999999</v>
      </c>
      <c r="U85" s="11">
        <v>84</v>
      </c>
      <c r="V85" s="11">
        <v>3328</v>
      </c>
      <c r="W85" s="433">
        <f ca="1">IF(V85="",164,INDEX(OFFSET(Arb!$I$2,,,Arb!$AJ$5,),V85))</f>
        <v>197</v>
      </c>
      <c r="X85" s="34">
        <f ca="1">IF(V85="",240,INDEX(OFFSET(Arb!$H$2,,,Arb!$AJ$5,),V85))</f>
        <v>77.39</v>
      </c>
      <c r="Y85" s="33">
        <f t="shared" ca="1" si="15"/>
        <v>2.5455485204806823</v>
      </c>
      <c r="Z85" s="33">
        <f ca="1">IF(V85="","",INDEX(OFFSET(Arb!$X$2,,,Arb!$AJ$5,),V85)/X85)</f>
        <v>3.1011758625145367</v>
      </c>
      <c r="AA85" s="33">
        <f ca="1">IF(V85="","",(INDEX(OFFSET(Arb!$U$2,,,Arb!$AJ$5,),V85)+INDEX(OFFSET(Arb!$V$2,,,Arb!$AJ$5,),V85))/X85)</f>
        <v>3.3725287504845589</v>
      </c>
      <c r="AB85" s="33">
        <f t="shared" ca="1" si="16"/>
        <v>8.2470383320693603</v>
      </c>
      <c r="AC85" s="21">
        <f t="shared" ca="1" si="17"/>
        <v>52.746329346919481</v>
      </c>
      <c r="AD85" s="74">
        <f ca="1">IF(V85="","",DATE(INDEX(OFFSET(Arb!$C$2,,,Arb!$AJ$5,),V85),INDEX(OFFSET(Arb!$B$2,,,Arb!$AJ$5,),V85),INDEX(OFFSET(Arb!$A$2,,,Arb!$AJ$5,),V85))+ROW()*0.001)</f>
        <v>44095.084999999999</v>
      </c>
    </row>
    <row r="86" spans="1:30" x14ac:dyDescent="0.25">
      <c r="A86" s="11">
        <v>85</v>
      </c>
      <c r="B86" s="11">
        <v>1558</v>
      </c>
      <c r="C86" s="433">
        <f ca="1">IF(B86="",16,INDEX(OFFSET(Arb!$I$2,,,Arb!$AJ$5,),B86))</f>
        <v>26</v>
      </c>
      <c r="D86" s="34">
        <f ca="1">IF(B86="",10,INDEX(OFFSET(Arb!$H$2,,,Arb!$AJ$5,),B86))</f>
        <v>6.94</v>
      </c>
      <c r="E86" s="33">
        <f t="shared" ca="1" si="9"/>
        <v>3.7463976945244957</v>
      </c>
      <c r="F86" s="33">
        <f ca="1">IF(B86="","",INDEX(OFFSET(Arb!$X$2,,,Arb!$AJ$5,),B86)/D86)</f>
        <v>4.3227665706051868</v>
      </c>
      <c r="G86" s="33">
        <f ca="1">IF(B86="","",(INDEX(OFFSET(Arb!$U$2,,,Arb!$AJ$5,),B86)+INDEX(OFFSET(Arb!$V$2,,,Arb!$AJ$5,),B86))/D86)</f>
        <v>5.9077809798270886</v>
      </c>
      <c r="H86" s="33">
        <f t="shared" ca="1" si="10"/>
        <v>1.0359475122063311</v>
      </c>
      <c r="I86" s="21">
        <f t="shared" ca="1" si="11"/>
        <v>45.657718603198298</v>
      </c>
      <c r="J86" s="74">
        <f ca="1">IF(B86="","",DATE(INDEX(OFFSET(Arb!$C$2,,,Arb!$AJ$5,),B86),INDEX(OFFSET(Arb!$B$2,,,Arb!$AJ$5,),B86),INDEX(OFFSET(Arb!$A$2,,,Arb!$AJ$5,),B86))+ROW()*0.001)</f>
        <v>43989.086000000003</v>
      </c>
      <c r="K86" s="11">
        <v>85</v>
      </c>
      <c r="L86" s="11">
        <v>2047</v>
      </c>
      <c r="M86" s="433">
        <f ca="1">IF(L86="",64,INDEX(OFFSET(Arb!$I$2,,,Arb!$AJ$5,),L86))</f>
        <v>80</v>
      </c>
      <c r="N86" s="34">
        <f ca="1">IF(L86="",60,INDEX(OFFSET(Arb!$H$2,,,Arb!$AJ$5,),L86))</f>
        <v>29.07</v>
      </c>
      <c r="O86" s="33">
        <f t="shared" ca="1" si="12"/>
        <v>2.7519779841761265</v>
      </c>
      <c r="P86" s="33">
        <f ca="1">IF(L86="","",INDEX(OFFSET(Arb!$X$2,,,Arb!$AJ$5,),L86)/N86)</f>
        <v>3.3023735810113517</v>
      </c>
      <c r="Q86" s="33">
        <f ca="1">IF(L86="","",(INDEX(OFFSET(Arb!$U$2,,,Arb!$AJ$5,),L86)+INDEX(OFFSET(Arb!$V$2,,,Arb!$AJ$5,),L86))/N86)</f>
        <v>3.8527691778465774</v>
      </c>
      <c r="R86" s="33">
        <f t="shared" ca="1" si="13"/>
        <v>3.8438511977515959</v>
      </c>
      <c r="S86" s="21">
        <f t="shared" ca="1" si="14"/>
        <v>39.9937437978666</v>
      </c>
      <c r="T86" s="74">
        <f ca="1">IF(L86="","",DATE(INDEX(OFFSET(Arb!$C$2,,,Arb!$AJ$5,),L86),INDEX(OFFSET(Arb!$B$2,,,Arb!$AJ$5,),L86),INDEX(OFFSET(Arb!$A$2,,,Arb!$AJ$5,),L86))+ROW()*0.001)</f>
        <v>43798.086000000003</v>
      </c>
      <c r="U86" s="11">
        <v>85</v>
      </c>
      <c r="V86" s="11">
        <v>3246</v>
      </c>
      <c r="W86" s="433">
        <f ca="1">IF(V86="",164,INDEX(OFFSET(Arb!$I$2,,,Arb!$AJ$5,),V86))</f>
        <v>178</v>
      </c>
      <c r="X86" s="34">
        <f ca="1">IF(V86="",240,INDEX(OFFSET(Arb!$H$2,,,Arb!$AJ$5,),V86))</f>
        <v>69.94</v>
      </c>
      <c r="Y86" s="33">
        <f t="shared" ca="1" si="15"/>
        <v>2.5450386045181586</v>
      </c>
      <c r="Z86" s="33">
        <f ca="1">IF(V86="","",INDEX(OFFSET(Arb!$X$2,,,Arb!$AJ$5,),V86)/X86)</f>
        <v>2.9596797254789822</v>
      </c>
      <c r="AA86" s="33">
        <f ca="1">IF(V86="","",(INDEX(OFFSET(Arb!$U$2,,,Arb!$AJ$5,),V86)+INDEX(OFFSET(Arb!$V$2,,,Arb!$AJ$5,),V86))/X86)</f>
        <v>3.3171289676865885</v>
      </c>
      <c r="AB86" s="33">
        <f t="shared" ca="1" si="16"/>
        <v>7.6844637324928691</v>
      </c>
      <c r="AC86" s="21">
        <f t="shared" ca="1" si="17"/>
        <v>56.607853865019678</v>
      </c>
      <c r="AD86" s="74">
        <f ca="1">IF(V86="","",DATE(INDEX(OFFSET(Arb!$C$2,,,Arb!$AJ$5,),V86),INDEX(OFFSET(Arb!$B$2,,,Arb!$AJ$5,),V86),INDEX(OFFSET(Arb!$A$2,,,Arb!$AJ$5,),V86))+ROW()*0.001)</f>
        <v>44066.086000000003</v>
      </c>
    </row>
    <row r="87" spans="1:30" x14ac:dyDescent="0.25">
      <c r="A87" s="11">
        <v>86</v>
      </c>
      <c r="B87" s="11">
        <v>1339</v>
      </c>
      <c r="C87" s="433">
        <f ca="1">IF(B87="",16,INDEX(OFFSET(Arb!$I$2,,,Arb!$AJ$5,),B87))</f>
        <v>20</v>
      </c>
      <c r="D87" s="34">
        <f ca="1">IF(B87="",10,INDEX(OFFSET(Arb!$H$2,,,Arb!$AJ$5,),B87))</f>
        <v>5.34</v>
      </c>
      <c r="E87" s="33">
        <f t="shared" ca="1" si="9"/>
        <v>3.7453183520599254</v>
      </c>
      <c r="F87" s="33">
        <f ca="1">IF(B87="","",INDEX(OFFSET(Arb!$X$2,,,Arb!$AJ$5,),B87)/D87)</f>
        <v>4.4943820224719104</v>
      </c>
      <c r="G87" s="33">
        <f ca="1">IF(B87="","",(INDEX(OFFSET(Arb!$U$2,,,Arb!$AJ$5,),B87)+INDEX(OFFSET(Arb!$V$2,,,Arb!$AJ$5,),B87))/D87)</f>
        <v>5.0561797752808992</v>
      </c>
      <c r="H87" s="33">
        <f t="shared" ca="1" si="10"/>
        <v>0.86256164212376574</v>
      </c>
      <c r="I87" s="21">
        <f t="shared" ca="1" si="11"/>
        <v>54.835501244342652</v>
      </c>
      <c r="J87" s="74">
        <f ca="1">IF(B87="","",DATE(INDEX(OFFSET(Arb!$C$2,,,Arb!$AJ$5,),B87),INDEX(OFFSET(Arb!$B$2,,,Arb!$AJ$5,),B87),INDEX(OFFSET(Arb!$A$2,,,Arb!$AJ$5,),B87))+ROW()*0.001)</f>
        <v>43935.087</v>
      </c>
      <c r="K87" s="11">
        <v>86</v>
      </c>
      <c r="L87" s="11">
        <v>2406</v>
      </c>
      <c r="M87" s="433">
        <f ca="1">IF(L87="",64,INDEX(OFFSET(Arb!$I$2,,,Arb!$AJ$5,),L87))</f>
        <v>75</v>
      </c>
      <c r="N87" s="34">
        <f ca="1">IF(L87="",60,INDEX(OFFSET(Arb!$H$2,,,Arb!$AJ$5,),L87))</f>
        <v>27.28</v>
      </c>
      <c r="O87" s="33">
        <f t="shared" ca="1" si="12"/>
        <v>2.7492668621700878</v>
      </c>
      <c r="P87" s="33">
        <f ca="1">IF(L87="","",INDEX(OFFSET(Arb!$X$2,,,Arb!$AJ$5,),L87)/N87)</f>
        <v>2.8592375366568912</v>
      </c>
      <c r="Q87" s="33">
        <f ca="1">IF(L87="","",(INDEX(OFFSET(Arb!$U$2,,,Arb!$AJ$5,),L87)+INDEX(OFFSET(Arb!$V$2,,,Arb!$AJ$5,),L87))/N87)</f>
        <v>3.2624633431085042</v>
      </c>
      <c r="R87" s="33">
        <f t="shared" ca="1" si="13"/>
        <v>3.6802232000226338</v>
      </c>
      <c r="S87" s="21">
        <f t="shared" ca="1" si="14"/>
        <v>41.77192296354594</v>
      </c>
      <c r="T87" s="74">
        <f ca="1">IF(L87="","",DATE(INDEX(OFFSET(Arb!$C$2,,,Arb!$AJ$5,),L87),INDEX(OFFSET(Arb!$B$2,,,Arb!$AJ$5,),L87),INDEX(OFFSET(Arb!$A$2,,,Arb!$AJ$5,),L87))+ROW()*0.001)</f>
        <v>44168.087</v>
      </c>
      <c r="U87" s="11">
        <v>86</v>
      </c>
      <c r="V87" s="11">
        <v>3017</v>
      </c>
      <c r="W87" s="433">
        <f ca="1">IF(V87="",164,INDEX(OFFSET(Arb!$I$2,,,Arb!$AJ$5,),V87))</f>
        <v>201</v>
      </c>
      <c r="X87" s="34">
        <f ca="1">IF(V87="",240,INDEX(OFFSET(Arb!$H$2,,,Arb!$AJ$5,),V87))</f>
        <v>79.040000000000006</v>
      </c>
      <c r="Y87" s="33">
        <f t="shared" ca="1" si="15"/>
        <v>2.5430161943319836</v>
      </c>
      <c r="Z87" s="33">
        <f ca="1">IF(V87="","",INDEX(OFFSET(Arb!$X$2,,,Arb!$AJ$5,),V87)/X87)</f>
        <v>2.9984817813765181</v>
      </c>
      <c r="AA87" s="33">
        <f ca="1">IF(V87="","",(INDEX(OFFSET(Arb!$U$2,,,Arb!$AJ$5,),V87)+INDEX(OFFSET(Arb!$V$2,,,Arb!$AJ$5,),V87))/X87)</f>
        <v>3.3780364372469633</v>
      </c>
      <c r="AB87" s="33">
        <f t="shared" ca="1" si="16"/>
        <v>8.3780650157392245</v>
      </c>
      <c r="AC87" s="21">
        <f t="shared" ca="1" si="17"/>
        <v>51.921416124462766</v>
      </c>
      <c r="AD87" s="74">
        <f ca="1">IF(V87="","",DATE(INDEX(OFFSET(Arb!$C$2,,,Arb!$AJ$5,),V87),INDEX(OFFSET(Arb!$B$2,,,Arb!$AJ$5,),V87),INDEX(OFFSET(Arb!$A$2,,,Arb!$AJ$5,),V87))+ROW()*0.001)</f>
        <v>43958.087</v>
      </c>
    </row>
    <row r="88" spans="1:30" x14ac:dyDescent="0.25">
      <c r="A88" s="11">
        <v>87</v>
      </c>
      <c r="B88" s="11">
        <v>1649</v>
      </c>
      <c r="C88" s="433">
        <f ca="1">IF(B88="",16,INDEX(OFFSET(Arb!$I$2,,,Arb!$AJ$5,),B88))</f>
        <v>27</v>
      </c>
      <c r="D88" s="34">
        <f ca="1">IF(B88="",10,INDEX(OFFSET(Arb!$H$2,,,Arb!$AJ$5,),B88))</f>
        <v>7.21</v>
      </c>
      <c r="E88" s="33">
        <f t="shared" ca="1" si="9"/>
        <v>3.7447988904299585</v>
      </c>
      <c r="F88" s="33">
        <f ca="1">IF(B88="","",INDEX(OFFSET(Arb!$X$2,,,Arb!$AJ$5,),B88)/D88)</f>
        <v>4.7156726768377251</v>
      </c>
      <c r="G88" s="33">
        <f ca="1">IF(B88="","",(INDEX(OFFSET(Arb!$U$2,,,Arb!$AJ$5,),B88)+INDEX(OFFSET(Arb!$V$2,,,Arb!$AJ$5,),B88))/D88)</f>
        <v>5.547850208044383</v>
      </c>
      <c r="H88" s="33">
        <f t="shared" ca="1" si="10"/>
        <v>1.0644522538270031</v>
      </c>
      <c r="I88" s="21">
        <f t="shared" ca="1" si="11"/>
        <v>44.435060219889507</v>
      </c>
      <c r="J88" s="74">
        <f ca="1">IF(B88="","",DATE(INDEX(OFFSET(Arb!$C$2,,,Arb!$AJ$5,),B88),INDEX(OFFSET(Arb!$B$2,,,Arb!$AJ$5,),B88),INDEX(OFFSET(Arb!$A$2,,,Arb!$AJ$5,),B88))+ROW()*0.001)</f>
        <v>44093.088000000003</v>
      </c>
      <c r="K88" s="11">
        <v>87</v>
      </c>
      <c r="L88" s="11">
        <v>1895</v>
      </c>
      <c r="M88" s="433">
        <f ca="1">IF(L88="",64,INDEX(OFFSET(Arb!$I$2,,,Arb!$AJ$5,),L88))</f>
        <v>91</v>
      </c>
      <c r="N88" s="34">
        <f ca="1">IF(L88="",60,INDEX(OFFSET(Arb!$H$2,,,Arb!$AJ$5,),L88))</f>
        <v>33.119999999999997</v>
      </c>
      <c r="O88" s="33">
        <f t="shared" ca="1" si="12"/>
        <v>2.7475845410628024</v>
      </c>
      <c r="P88" s="33">
        <f ca="1">IF(L88="","",INDEX(OFFSET(Arb!$X$2,,,Arb!$AJ$5,),L88)/N88)</f>
        <v>3.3514492753623193</v>
      </c>
      <c r="Q88" s="33">
        <f ca="1">IF(L88="","",(INDEX(OFFSET(Arb!$U$2,,,Arb!$AJ$5,),L88)+INDEX(OFFSET(Arb!$V$2,,,Arb!$AJ$5,),L88))/N88)</f>
        <v>3.7741545893719808</v>
      </c>
      <c r="R88" s="33">
        <f t="shared" ca="1" si="13"/>
        <v>4.2180542927817006</v>
      </c>
      <c r="S88" s="21">
        <f t="shared" ca="1" si="14"/>
        <v>36.445713907257208</v>
      </c>
      <c r="T88" s="74">
        <f ca="1">IF(L88="","",DATE(INDEX(OFFSET(Arb!$C$2,,,Arb!$AJ$5,),L88),INDEX(OFFSET(Arb!$B$2,,,Arb!$AJ$5,),L88),INDEX(OFFSET(Arb!$A$2,,,Arb!$AJ$5,),L88))+ROW()*0.001)</f>
        <v>43765.088000000003</v>
      </c>
      <c r="U88" s="11">
        <v>87</v>
      </c>
      <c r="V88" s="11">
        <v>3305</v>
      </c>
      <c r="W88" s="433">
        <f ca="1">IF(V88="",164,INDEX(OFFSET(Arb!$I$2,,,Arb!$AJ$5,),V88))</f>
        <v>216</v>
      </c>
      <c r="X88" s="34">
        <f ca="1">IF(V88="",240,INDEX(OFFSET(Arb!$H$2,,,Arb!$AJ$5,),V88))</f>
        <v>84.96</v>
      </c>
      <c r="Y88" s="33">
        <f t="shared" ca="1" si="15"/>
        <v>2.5423728813559325</v>
      </c>
      <c r="Z88" s="33">
        <f ca="1">IF(V88="","",INDEX(OFFSET(Arb!$X$2,,,Arb!$AJ$5,),V88)/X88)</f>
        <v>2.9661016949152543</v>
      </c>
      <c r="AA88" s="33">
        <f ca="1">IF(V88="","",(INDEX(OFFSET(Arb!$U$2,,,Arb!$AJ$5,),V88)+INDEX(OFFSET(Arb!$V$2,,,Arb!$AJ$5,),V88))/X88)</f>
        <v>3.2485875706214693</v>
      </c>
      <c r="AB88" s="33">
        <f t="shared" ca="1" si="16"/>
        <v>8.8147683819115592</v>
      </c>
      <c r="AC88" s="21">
        <f t="shared" ca="1" si="17"/>
        <v>49.34911289247809</v>
      </c>
      <c r="AD88" s="74">
        <f ca="1">IF(V88="","",DATE(INDEX(OFFSET(Arb!$C$2,,,Arb!$AJ$5,),V88),INDEX(OFFSET(Arb!$B$2,,,Arb!$AJ$5,),V88),INDEX(OFFSET(Arb!$A$2,,,Arb!$AJ$5,),V88))+ROW()*0.001)</f>
        <v>44092.088000000003</v>
      </c>
    </row>
    <row r="89" spans="1:30" x14ac:dyDescent="0.25">
      <c r="A89" s="11">
        <v>88</v>
      </c>
      <c r="B89" s="11">
        <v>462</v>
      </c>
      <c r="C89" s="433">
        <f ca="1">IF(B89="",16,INDEX(OFFSET(Arb!$I$2,,,Arb!$AJ$5,),B89))</f>
        <v>21</v>
      </c>
      <c r="D89" s="34">
        <f ca="1">IF(B89="",10,INDEX(OFFSET(Arb!$H$2,,,Arb!$AJ$5,),B89))</f>
        <v>5.61</v>
      </c>
      <c r="E89" s="33">
        <f t="shared" ca="1" si="9"/>
        <v>3.7433155080213902</v>
      </c>
      <c r="F89" s="33">
        <f ca="1">IF(B89="","",INDEX(OFFSET(Arb!$X$2,,,Arb!$AJ$5,),B89)/D89)</f>
        <v>3.5650623885918002</v>
      </c>
      <c r="G89" s="33">
        <f ca="1">IF(B89="","",(INDEX(OFFSET(Arb!$U$2,,,Arb!$AJ$5,),B89)+INDEX(OFFSET(Arb!$V$2,,,Arb!$AJ$5,),B89))/D89)</f>
        <v>4.8128342245989302</v>
      </c>
      <c r="H89" s="33">
        <f t="shared" ca="1" si="10"/>
        <v>0.89334162317526666</v>
      </c>
      <c r="I89" s="21">
        <f t="shared" ca="1" si="11"/>
        <v>52.94615046803915</v>
      </c>
      <c r="J89" s="74">
        <f ca="1">IF(B89="","",DATE(INDEX(OFFSET(Arb!$C$2,,,Arb!$AJ$5,),B89),INDEX(OFFSET(Arb!$B$2,,,Arb!$AJ$5,),B89),INDEX(OFFSET(Arb!$A$2,,,Arb!$AJ$5,),B89))+ROW()*0.001)</f>
        <v>43786.089</v>
      </c>
      <c r="K89" s="11">
        <v>88</v>
      </c>
      <c r="L89" s="11">
        <v>1927</v>
      </c>
      <c r="M89" s="433">
        <f ca="1">IF(L89="",64,INDEX(OFFSET(Arb!$I$2,,,Arb!$AJ$5,),L89))</f>
        <v>74</v>
      </c>
      <c r="N89" s="34">
        <f ca="1">IF(L89="",60,INDEX(OFFSET(Arb!$H$2,,,Arb!$AJ$5,),L89))</f>
        <v>27.01</v>
      </c>
      <c r="O89" s="33">
        <f t="shared" ca="1" si="12"/>
        <v>2.7397260273972601</v>
      </c>
      <c r="P89" s="33">
        <f ca="1">IF(L89="","",INDEX(OFFSET(Arb!$X$2,,,Arb!$AJ$5,),L89)/N89)</f>
        <v>3.5172158459829692</v>
      </c>
      <c r="Q89" s="33">
        <f ca="1">IF(L89="","",(INDEX(OFFSET(Arb!$U$2,,,Arb!$AJ$5,),L89)+INDEX(OFFSET(Arb!$V$2,,,Arb!$AJ$5,),L89))/N89)</f>
        <v>4.10958904109589</v>
      </c>
      <c r="R89" s="33">
        <f t="shared" ca="1" si="13"/>
        <v>3.6674151388039089</v>
      </c>
      <c r="S89" s="21">
        <f t="shared" ca="1" si="14"/>
        <v>41.91780700620042</v>
      </c>
      <c r="T89" s="74">
        <f ca="1">IF(L89="","",DATE(INDEX(OFFSET(Arb!$C$2,,,Arb!$AJ$5,),L89),INDEX(OFFSET(Arb!$B$2,,,Arb!$AJ$5,),L89),INDEX(OFFSET(Arb!$A$2,,,Arb!$AJ$5,),L89))+ROW()*0.001)</f>
        <v>43771.089</v>
      </c>
      <c r="U89" s="11">
        <v>88</v>
      </c>
      <c r="V89" s="11">
        <v>3262</v>
      </c>
      <c r="W89" s="433">
        <f ca="1">IF(V89="",164,INDEX(OFFSET(Arb!$I$2,,,Arb!$AJ$5,),V89))</f>
        <v>189</v>
      </c>
      <c r="X89" s="34">
        <f ca="1">IF(V89="",240,INDEX(OFFSET(Arb!$H$2,,,Arb!$AJ$5,),V89))</f>
        <v>74.39</v>
      </c>
      <c r="Y89" s="33">
        <f t="shared" ca="1" si="15"/>
        <v>2.5406640677510417</v>
      </c>
      <c r="Z89" s="33">
        <f ca="1">IF(V89="","",INDEX(OFFSET(Arb!$X$2,,,Arb!$AJ$5,),V89)/X89)</f>
        <v>2.9977147466057263</v>
      </c>
      <c r="AA89" s="33">
        <f ca="1">IF(V89="","",(INDEX(OFFSET(Arb!$U$2,,,Arb!$AJ$5,),V89)+INDEX(OFFSET(Arb!$V$2,,,Arb!$AJ$5,),V89))/X89)</f>
        <v>3.2531254200833444</v>
      </c>
      <c r="AB89" s="33">
        <f t="shared" ca="1" si="16"/>
        <v>8.0373511992991578</v>
      </c>
      <c r="AC89" s="21">
        <f t="shared" ca="1" si="17"/>
        <v>54.122432778342606</v>
      </c>
      <c r="AD89" s="74">
        <f ca="1">IF(V89="","",DATE(INDEX(OFFSET(Arb!$C$2,,,Arb!$AJ$5,),V89),INDEX(OFFSET(Arb!$B$2,,,Arb!$AJ$5,),V89),INDEX(OFFSET(Arb!$A$2,,,Arb!$AJ$5,),V89))+ROW()*0.001)</f>
        <v>44073.089</v>
      </c>
    </row>
    <row r="90" spans="1:30" x14ac:dyDescent="0.25">
      <c r="A90" s="11">
        <v>89</v>
      </c>
      <c r="B90" s="11">
        <v>1484</v>
      </c>
      <c r="C90" s="433">
        <f ca="1">IF(B90="",16,INDEX(OFFSET(Arb!$I$2,,,Arb!$AJ$5,),B90))</f>
        <v>28</v>
      </c>
      <c r="D90" s="34">
        <f ca="1">IF(B90="",10,INDEX(OFFSET(Arb!$H$2,,,Arb!$AJ$5,),B90))</f>
        <v>7.5</v>
      </c>
      <c r="E90" s="33">
        <f t="shared" ca="1" si="9"/>
        <v>3.7333333333333334</v>
      </c>
      <c r="F90" s="33">
        <f ca="1">IF(B90="","",INDEX(OFFSET(Arb!$X$2,,,Arb!$AJ$5,),B90)/D90)</f>
        <v>4.5333333333333332</v>
      </c>
      <c r="G90" s="33">
        <f ca="1">IF(B90="","",(INDEX(OFFSET(Arb!$U$2,,,Arb!$AJ$5,),B90)+INDEX(OFFSET(Arb!$V$2,,,Arb!$AJ$5,),B90))/D90)</f>
        <v>5.333333333333333</v>
      </c>
      <c r="H90" s="33">
        <f t="shared" ca="1" si="10"/>
        <v>1.0976051002925111</v>
      </c>
      <c r="I90" s="21">
        <f t="shared" ca="1" si="11"/>
        <v>43.092912002135236</v>
      </c>
      <c r="J90" s="74">
        <f ca="1">IF(B90="","",DATE(INDEX(OFFSET(Arb!$C$2,,,Arb!$AJ$5,),B90),INDEX(OFFSET(Arb!$B$2,,,Arb!$AJ$5,),B90),INDEX(OFFSET(Arb!$A$2,,,Arb!$AJ$5,),B90))+ROW()*0.001)</f>
        <v>43953.09</v>
      </c>
      <c r="K90" s="11">
        <v>89</v>
      </c>
      <c r="L90" s="11">
        <v>2353</v>
      </c>
      <c r="M90" s="433">
        <f ca="1">IF(L90="",64,INDEX(OFFSET(Arb!$I$2,,,Arb!$AJ$5,),L90))</f>
        <v>63</v>
      </c>
      <c r="N90" s="34">
        <f ca="1">IF(L90="",60,INDEX(OFFSET(Arb!$H$2,,,Arb!$AJ$5,),L90))</f>
        <v>23.05</v>
      </c>
      <c r="O90" s="33">
        <f t="shared" ca="1" si="12"/>
        <v>2.7331887201735356</v>
      </c>
      <c r="P90" s="33">
        <f ca="1">IF(L90="","",INDEX(OFFSET(Arb!$X$2,,,Arb!$AJ$5,),L90)/N90)</f>
        <v>3.2537960954446854</v>
      </c>
      <c r="Q90" s="33">
        <f ca="1">IF(L90="","",(INDEX(OFFSET(Arb!$U$2,,,Arb!$AJ$5,),L90)+INDEX(OFFSET(Arb!$V$2,,,Arb!$AJ$5,),L90))/N90)</f>
        <v>3.68763557483731</v>
      </c>
      <c r="R90" s="33">
        <f t="shared" ca="1" si="13"/>
        <v>3.2900313106963779</v>
      </c>
      <c r="S90" s="21">
        <f t="shared" ca="1" si="14"/>
        <v>46.725999080981708</v>
      </c>
      <c r="T90" s="74">
        <f ca="1">IF(L90="","",DATE(INDEX(OFFSET(Arb!$C$2,,,Arb!$AJ$5,),L90),INDEX(OFFSET(Arb!$B$2,,,Arb!$AJ$5,),L90),INDEX(OFFSET(Arb!$A$2,,,Arb!$AJ$5,),L90))+ROW()*0.001)</f>
        <v>44114.09</v>
      </c>
      <c r="U90" s="11">
        <v>89</v>
      </c>
      <c r="V90" s="11">
        <v>3438</v>
      </c>
      <c r="W90" s="433">
        <f ca="1">IF(V90="",164,INDEX(OFFSET(Arb!$I$2,,,Arb!$AJ$5,),V90))</f>
        <v>150</v>
      </c>
      <c r="X90" s="34">
        <f ca="1">IF(V90="",240,INDEX(OFFSET(Arb!$H$2,,,Arb!$AJ$5,),V90))</f>
        <v>59.06</v>
      </c>
      <c r="Y90" s="33">
        <f t="shared" ca="1" si="15"/>
        <v>2.5397900440230274</v>
      </c>
      <c r="Z90" s="33">
        <f ca="1">IF(V90="","",INDEX(OFFSET(Arb!$X$2,,,Arb!$AJ$5,),V90)/X90)</f>
        <v>2.8953606501862512</v>
      </c>
      <c r="AA90" s="33">
        <f ca="1">IF(V90="","",(INDEX(OFFSET(Arb!$U$2,,,Arb!$AJ$5,),V90)+INDEX(OFFSET(Arb!$V$2,,,Arb!$AJ$5,),V90))/X90)</f>
        <v>3.1832035218421941</v>
      </c>
      <c r="AB90" s="33">
        <f t="shared" ca="1" si="16"/>
        <v>6.8408110258800496</v>
      </c>
      <c r="AC90" s="21">
        <f t="shared" ca="1" si="17"/>
        <v>63.589097601777183</v>
      </c>
      <c r="AD90" s="74">
        <f ca="1">IF(V90="","",DATE(INDEX(OFFSET(Arb!$C$2,,,Arb!$AJ$5,),V90),INDEX(OFFSET(Arb!$B$2,,,Arb!$AJ$5,),V90),INDEX(OFFSET(Arb!$A$2,,,Arb!$AJ$5,),V90))+ROW()*0.001)</f>
        <v>44167.09</v>
      </c>
    </row>
    <row r="91" spans="1:30" x14ac:dyDescent="0.25">
      <c r="A91" s="11">
        <v>90</v>
      </c>
      <c r="B91" s="11">
        <v>656</v>
      </c>
      <c r="C91" s="433">
        <f ca="1">IF(B91="",16,INDEX(OFFSET(Arb!$I$2,,,Arb!$AJ$5,),B91))</f>
        <v>14</v>
      </c>
      <c r="D91" s="34">
        <f ca="1">IF(B91="",10,INDEX(OFFSET(Arb!$H$2,,,Arb!$AJ$5,),B91))</f>
        <v>3.75</v>
      </c>
      <c r="E91" s="33">
        <f t="shared" ca="1" si="9"/>
        <v>3.7333333333333334</v>
      </c>
      <c r="F91" s="33">
        <f ca="1">IF(B91="","",INDEX(OFFSET(Arb!$X$2,,,Arb!$AJ$5,),B91)/D91)</f>
        <v>3.7333333333333334</v>
      </c>
      <c r="G91" s="33">
        <f ca="1">IF(B91="","",(INDEX(OFFSET(Arb!$U$2,,,Arb!$AJ$5,),B91)+INDEX(OFFSET(Arb!$V$2,,,Arb!$AJ$5,),B91))/D91)</f>
        <v>4.2666666666666666</v>
      </c>
      <c r="H91" s="33">
        <f t="shared" ca="1" si="10"/>
        <v>0.67565519364200599</v>
      </c>
      <c r="I91" s="21">
        <f t="shared" ca="1" si="11"/>
        <v>70.004642079405428</v>
      </c>
      <c r="J91" s="74">
        <f ca="1">IF(B91="","",DATE(INDEX(OFFSET(Arb!$C$2,,,Arb!$AJ$5,),B91),INDEX(OFFSET(Arb!$B$2,,,Arb!$AJ$5,),B91),INDEX(OFFSET(Arb!$A$2,,,Arb!$AJ$5,),B91))+ROW()*0.001)</f>
        <v>43800.091</v>
      </c>
      <c r="K91" s="11">
        <v>90</v>
      </c>
      <c r="L91" s="11">
        <v>2213</v>
      </c>
      <c r="M91" s="433">
        <f ca="1">IF(L91="",64,INDEX(OFFSET(Arb!$I$2,,,Arb!$AJ$5,),L91))</f>
        <v>55</v>
      </c>
      <c r="N91" s="34">
        <f ca="1">IF(L91="",60,INDEX(OFFSET(Arb!$H$2,,,Arb!$AJ$5,),L91))</f>
        <v>20.14</v>
      </c>
      <c r="O91" s="33">
        <f t="shared" ca="1" si="12"/>
        <v>2.730883813306852</v>
      </c>
      <c r="P91" s="33">
        <f ca="1">IF(L91="","",INDEX(OFFSET(Arb!$X$2,,,Arb!$AJ$5,),L91)/N91)</f>
        <v>3.1777557100297913</v>
      </c>
      <c r="Q91" s="33">
        <f ca="1">IF(L91="","",(INDEX(OFFSET(Arb!$U$2,,,Arb!$AJ$5,),L91)+INDEX(OFFSET(Arb!$V$2,,,Arb!$AJ$5,),L91))/N91)</f>
        <v>3.5253227408142997</v>
      </c>
      <c r="R91" s="33">
        <f t="shared" ca="1" si="13"/>
        <v>2.9959765039808985</v>
      </c>
      <c r="S91" s="21">
        <f t="shared" ca="1" si="14"/>
        <v>51.312151412312986</v>
      </c>
      <c r="T91" s="74">
        <f ca="1">IF(L91="","",DATE(INDEX(OFFSET(Arb!$C$2,,,Arb!$AJ$5,),L91),INDEX(OFFSET(Arb!$B$2,,,Arb!$AJ$5,),L91),INDEX(OFFSET(Arb!$A$2,,,Arb!$AJ$5,),L91))+ROW()*0.001)</f>
        <v>43869.091</v>
      </c>
      <c r="U91" s="11">
        <v>90</v>
      </c>
      <c r="V91" s="11">
        <v>2979</v>
      </c>
      <c r="W91" s="433">
        <f ca="1">IF(V91="",164,INDEX(OFFSET(Arb!$I$2,,,Arb!$AJ$5,),V91))</f>
        <v>169</v>
      </c>
      <c r="X91" s="34">
        <f ca="1">IF(V91="",240,INDEX(OFFSET(Arb!$H$2,,,Arb!$AJ$5,),V91))</f>
        <v>66.569999999999993</v>
      </c>
      <c r="Y91" s="33">
        <f t="shared" ca="1" si="15"/>
        <v>2.538681087576987</v>
      </c>
      <c r="Z91" s="33">
        <f ca="1">IF(V91="","",INDEX(OFFSET(Arb!$X$2,,,Arb!$AJ$5,),V91)/X91)</f>
        <v>3.0043563166591563</v>
      </c>
      <c r="AA91" s="33">
        <f ca="1">IF(V91="","",(INDEX(OFFSET(Arb!$U$2,,,Arb!$AJ$5,),V91)+INDEX(OFFSET(Arb!$V$2,,,Arb!$AJ$5,),V91))/X91)</f>
        <v>3.229683040408593</v>
      </c>
      <c r="AB91" s="33">
        <f t="shared" ca="1" si="16"/>
        <v>7.4419516174375433</v>
      </c>
      <c r="AC91" s="21">
        <f t="shared" ca="1" si="17"/>
        <v>58.452543413575981</v>
      </c>
      <c r="AD91" s="74">
        <f ca="1">IF(V91="","",DATE(INDEX(OFFSET(Arb!$C$2,,,Arb!$AJ$5,),V91),INDEX(OFFSET(Arb!$B$2,,,Arb!$AJ$5,),V91),INDEX(OFFSET(Arb!$A$2,,,Arb!$AJ$5,),V91))+ROW()*0.001)</f>
        <v>43956.091</v>
      </c>
    </row>
    <row r="92" spans="1:30" x14ac:dyDescent="0.25">
      <c r="A92" s="11">
        <v>91</v>
      </c>
      <c r="B92" s="11">
        <v>1252</v>
      </c>
      <c r="C92" s="433">
        <f ca="1">IF(B92="",16,INDEX(OFFSET(Arb!$I$2,,,Arb!$AJ$5,),B92))</f>
        <v>36</v>
      </c>
      <c r="D92" s="34">
        <f ca="1">IF(B92="",10,INDEX(OFFSET(Arb!$H$2,,,Arb!$AJ$5,),B92))</f>
        <v>9.66</v>
      </c>
      <c r="E92" s="33">
        <f t="shared" ca="1" si="9"/>
        <v>3.7267080745341614</v>
      </c>
      <c r="F92" s="33">
        <f ca="1">IF(B92="","",INDEX(OFFSET(Arb!$X$2,,,Arb!$AJ$5,),B92)/D92)</f>
        <v>3.9337474120082816</v>
      </c>
      <c r="G92" s="33">
        <f ca="1">IF(B92="","",(INDEX(OFFSET(Arb!$U$2,,,Arb!$AJ$5,),B92)+INDEX(OFFSET(Arb!$V$2,,,Arb!$AJ$5,),B92))/D92)</f>
        <v>4.658385093167702</v>
      </c>
      <c r="H92" s="33">
        <f t="shared" ca="1" si="10"/>
        <v>1.3126792315414075</v>
      </c>
      <c r="I92" s="21">
        <f t="shared" ca="1" si="11"/>
        <v>36.032412841985291</v>
      </c>
      <c r="J92" s="74">
        <f ca="1">IF(B92="","",DATE(INDEX(OFFSET(Arb!$C$2,,,Arb!$AJ$5,),B92),INDEX(OFFSET(Arb!$B$2,,,Arb!$AJ$5,),B92),INDEX(OFFSET(Arb!$A$2,,,Arb!$AJ$5,),B92))+ROW()*0.001)</f>
        <v>43901.091999999997</v>
      </c>
      <c r="K92" s="11">
        <v>91</v>
      </c>
      <c r="L92" s="11">
        <v>2335</v>
      </c>
      <c r="M92" s="433">
        <f ca="1">IF(L92="",64,INDEX(OFFSET(Arb!$I$2,,,Arb!$AJ$5,),L92))</f>
        <v>59</v>
      </c>
      <c r="N92" s="34">
        <f ca="1">IF(L92="",60,INDEX(OFFSET(Arb!$H$2,,,Arb!$AJ$5,),L92))</f>
        <v>21.62</v>
      </c>
      <c r="O92" s="33">
        <f t="shared" ca="1" si="12"/>
        <v>2.7289546716003699</v>
      </c>
      <c r="P92" s="33">
        <f ca="1">IF(L92="","",INDEX(OFFSET(Arb!$X$2,,,Arb!$AJ$5,),L92)/N92)</f>
        <v>3.700277520814061</v>
      </c>
      <c r="Q92" s="33">
        <f ca="1">IF(L92="","",(INDEX(OFFSET(Arb!$U$2,,,Arb!$AJ$5,),L92)+INDEX(OFFSET(Arb!$V$2,,,Arb!$AJ$5,),L92))/N92)</f>
        <v>4.3015726179463458</v>
      </c>
      <c r="R92" s="33">
        <f t="shared" ca="1" si="13"/>
        <v>3.1506681354968884</v>
      </c>
      <c r="S92" s="21">
        <f t="shared" ca="1" si="14"/>
        <v>48.792825327430243</v>
      </c>
      <c r="T92" s="74">
        <f ca="1">IF(L92="","",DATE(INDEX(OFFSET(Arb!$C$2,,,Arb!$AJ$5,),L92),INDEX(OFFSET(Arb!$B$2,,,Arb!$AJ$5,),L92),INDEX(OFFSET(Arb!$A$2,,,Arb!$AJ$5,),L92))+ROW()*0.001)</f>
        <v>44093.091999999997</v>
      </c>
      <c r="U92" s="11">
        <v>91</v>
      </c>
      <c r="V92" s="11">
        <v>3070</v>
      </c>
      <c r="W92" s="433">
        <f ca="1">IF(V92="",164,INDEX(OFFSET(Arb!$I$2,,,Arb!$AJ$5,),V92))</f>
        <v>196</v>
      </c>
      <c r="X92" s="34">
        <f ca="1">IF(V92="",240,INDEX(OFFSET(Arb!$H$2,,,Arb!$AJ$5,),V92))</f>
        <v>77.22</v>
      </c>
      <c r="Y92" s="33">
        <f t="shared" ca="1" si="15"/>
        <v>2.5382025382025382</v>
      </c>
      <c r="Z92" s="33">
        <f ca="1">IF(V92="","",INDEX(OFFSET(Arb!$X$2,,,Arb!$AJ$5,),V92)/X92)</f>
        <v>2.8231028231028232</v>
      </c>
      <c r="AA92" s="33">
        <f ca="1">IF(V92="","",(INDEX(OFFSET(Arb!$U$2,,,Arb!$AJ$5,),V92)+INDEX(OFFSET(Arb!$V$2,,,Arb!$AJ$5,),V92))/X92)</f>
        <v>3.0562030562030564</v>
      </c>
      <c r="AB92" s="33">
        <f t="shared" ca="1" si="16"/>
        <v>8.2581845495911779</v>
      </c>
      <c r="AC92" s="21">
        <f t="shared" ca="1" si="17"/>
        <v>52.675136694727264</v>
      </c>
      <c r="AD92" s="74">
        <f ca="1">IF(V92="","",DATE(INDEX(OFFSET(Arb!$C$2,,,Arb!$AJ$5,),V92),INDEX(OFFSET(Arb!$B$2,,,Arb!$AJ$5,),V92),INDEX(OFFSET(Arb!$A$2,,,Arb!$AJ$5,),V92))+ROW()*0.001)</f>
        <v>44003.091999999997</v>
      </c>
    </row>
    <row r="93" spans="1:30" x14ac:dyDescent="0.25">
      <c r="A93" s="11">
        <v>92</v>
      </c>
      <c r="B93" s="11">
        <v>1784</v>
      </c>
      <c r="C93" s="433">
        <f ca="1">IF(B93="",16,INDEX(OFFSET(Arb!$I$2,,,Arb!$AJ$5,),B93))</f>
        <v>15</v>
      </c>
      <c r="D93" s="34">
        <f ca="1">IF(B93="",10,INDEX(OFFSET(Arb!$H$2,,,Arb!$AJ$5,),B93))</f>
        <v>4.03</v>
      </c>
      <c r="E93" s="33">
        <f t="shared" ca="1" si="9"/>
        <v>3.7220843672456572</v>
      </c>
      <c r="F93" s="33">
        <f ca="1">IF(B93="","",INDEX(OFFSET(Arb!$X$2,,,Arb!$AJ$5,),B93)/D93)</f>
        <v>3.7220843672456572</v>
      </c>
      <c r="G93" s="33">
        <f ca="1">IF(B93="","",(INDEX(OFFSET(Arb!$U$2,,,Arb!$AJ$5,),B93)+INDEX(OFFSET(Arb!$V$2,,,Arb!$AJ$5,),B93))/D93)</f>
        <v>4.4665012406947886</v>
      </c>
      <c r="H93" s="33">
        <f t="shared" ca="1" si="10"/>
        <v>0.71273374179967142</v>
      </c>
      <c r="I93" s="21">
        <f t="shared" ca="1" si="11"/>
        <v>66.362790514966761</v>
      </c>
      <c r="J93" s="74">
        <f ca="1">IF(B93="","",DATE(INDEX(OFFSET(Arb!$C$2,,,Arb!$AJ$5,),B93),INDEX(OFFSET(Arb!$B$2,,,Arb!$AJ$5,),B93),INDEX(OFFSET(Arb!$A$2,,,Arb!$AJ$5,),B93))+ROW()*0.001)</f>
        <v>44168.093000000001</v>
      </c>
      <c r="K93" s="11">
        <v>92</v>
      </c>
      <c r="L93" s="11">
        <v>2249</v>
      </c>
      <c r="M93" s="433">
        <f ca="1">IF(L93="",64,INDEX(OFFSET(Arb!$I$2,,,Arb!$AJ$5,),L93))</f>
        <v>79</v>
      </c>
      <c r="N93" s="34">
        <f ca="1">IF(L93="",60,INDEX(OFFSET(Arb!$H$2,,,Arb!$AJ$5,),L93))</f>
        <v>28.95</v>
      </c>
      <c r="O93" s="33">
        <f t="shared" ca="1" si="12"/>
        <v>2.7288428324697755</v>
      </c>
      <c r="P93" s="33">
        <f ca="1">IF(L93="","",INDEX(OFFSET(Arb!$X$2,,,Arb!$AJ$5,),L93)/N93)</f>
        <v>3.4542314335060449</v>
      </c>
      <c r="Q93" s="33">
        <f ca="1">IF(L93="","",(INDEX(OFFSET(Arb!$U$2,,,Arb!$AJ$5,),L93)+INDEX(OFFSET(Arb!$V$2,,,Arb!$AJ$5,),L93))/N93)</f>
        <v>3.7651122625215891</v>
      </c>
      <c r="R93" s="33">
        <f t="shared" ca="1" si="13"/>
        <v>3.865231181553288</v>
      </c>
      <c r="S93" s="21">
        <f t="shared" ca="1" si="14"/>
        <v>39.772524017107251</v>
      </c>
      <c r="T93" s="74">
        <f ca="1">IF(L93="","",DATE(INDEX(OFFSET(Arb!$C$2,,,Arb!$AJ$5,),L93),INDEX(OFFSET(Arb!$B$2,,,Arb!$AJ$5,),L93),INDEX(OFFSET(Arb!$A$2,,,Arb!$AJ$5,),L93))+ROW()*0.001)</f>
        <v>43894.093000000001</v>
      </c>
      <c r="U93" s="11">
        <v>92</v>
      </c>
      <c r="V93" s="11">
        <v>3043</v>
      </c>
      <c r="W93" s="433">
        <f ca="1">IF(V93="",164,INDEX(OFFSET(Arb!$I$2,,,Arb!$AJ$5,),V93))</f>
        <v>216</v>
      </c>
      <c r="X93" s="34">
        <f ca="1">IF(V93="",240,INDEX(OFFSET(Arb!$H$2,,,Arb!$AJ$5,),V93))</f>
        <v>85.11</v>
      </c>
      <c r="Y93" s="33">
        <f t="shared" ca="1" si="15"/>
        <v>2.5378921395840677</v>
      </c>
      <c r="Z93" s="33">
        <f ca="1">IF(V93="","",INDEX(OFFSET(Arb!$X$2,,,Arb!$AJ$5,),V93)/X93)</f>
        <v>2.9138761602631886</v>
      </c>
      <c r="AA93" s="33">
        <f ca="1">IF(V93="","",(INDEX(OFFSET(Arb!$U$2,,,Arb!$AJ$5,),V93)+INDEX(OFFSET(Arb!$V$2,,,Arb!$AJ$5,),V93))/X93)</f>
        <v>3.2781106802960873</v>
      </c>
      <c r="AB93" s="33">
        <f t="shared" ca="1" si="16"/>
        <v>8.8412414830409887</v>
      </c>
      <c r="AC93" s="21">
        <f t="shared" ca="1" si="17"/>
        <v>49.201348117728287</v>
      </c>
      <c r="AD93" s="74">
        <f ca="1">IF(V93="","",DATE(INDEX(OFFSET(Arb!$C$2,,,Arb!$AJ$5,),V93),INDEX(OFFSET(Arb!$B$2,,,Arb!$AJ$5,),V93),INDEX(OFFSET(Arb!$A$2,,,Arb!$AJ$5,),V93))+ROW()*0.001)</f>
        <v>43980.093000000001</v>
      </c>
    </row>
    <row r="94" spans="1:30" x14ac:dyDescent="0.25">
      <c r="A94" s="11">
        <v>93</v>
      </c>
      <c r="B94" s="11">
        <v>610</v>
      </c>
      <c r="C94" s="433">
        <f ca="1">IF(B94="",16,INDEX(OFFSET(Arb!$I$2,,,Arb!$AJ$5,),B94))</f>
        <v>24</v>
      </c>
      <c r="D94" s="34">
        <f ca="1">IF(B94="",10,INDEX(OFFSET(Arb!$H$2,,,Arb!$AJ$5,),B94))</f>
        <v>6.46</v>
      </c>
      <c r="E94" s="33">
        <f t="shared" ca="1" si="9"/>
        <v>3.7151702786377707</v>
      </c>
      <c r="F94" s="33">
        <f ca="1">IF(B94="","",INDEX(OFFSET(Arb!$X$2,,,Arb!$AJ$5,),B94)/D94)</f>
        <v>3.7151702786377707</v>
      </c>
      <c r="G94" s="33">
        <f ca="1">IF(B94="","",(INDEX(OFFSET(Arb!$U$2,,,Arb!$AJ$5,),B94)+INDEX(OFFSET(Arb!$V$2,,,Arb!$AJ$5,),B94))/D94)</f>
        <v>4.1795665634674926</v>
      </c>
      <c r="H94" s="33">
        <f t="shared" ca="1" si="10"/>
        <v>0.99353698560660841</v>
      </c>
      <c r="I94" s="21">
        <f t="shared" ca="1" si="11"/>
        <v>47.606682675352431</v>
      </c>
      <c r="J94" s="74">
        <f ca="1">IF(B94="","",DATE(INDEX(OFFSET(Arb!$C$2,,,Arb!$AJ$5,),B94),INDEX(OFFSET(Arb!$B$2,,,Arb!$AJ$5,),B94),INDEX(OFFSET(Arb!$A$2,,,Arb!$AJ$5,),B94))+ROW()*0.001)</f>
        <v>43799.093999999997</v>
      </c>
      <c r="K94" s="11">
        <v>93</v>
      </c>
      <c r="L94" s="11">
        <v>2272</v>
      </c>
      <c r="M94" s="433">
        <f ca="1">IF(L94="",64,INDEX(OFFSET(Arb!$I$2,,,Arb!$AJ$5,),L94))</f>
        <v>59</v>
      </c>
      <c r="N94" s="34">
        <f ca="1">IF(L94="",60,INDEX(OFFSET(Arb!$H$2,,,Arb!$AJ$5,),L94))</f>
        <v>21.67</v>
      </c>
      <c r="O94" s="33">
        <f t="shared" ca="1" si="12"/>
        <v>2.722658052607291</v>
      </c>
      <c r="P94" s="33">
        <f ca="1">IF(L94="","",INDEX(OFFSET(Arb!$X$2,,,Arb!$AJ$5,),L94)/N94)</f>
        <v>3.0456852791878171</v>
      </c>
      <c r="Q94" s="33">
        <f ca="1">IF(L94="","",(INDEX(OFFSET(Arb!$U$2,,,Arb!$AJ$5,),L94)+INDEX(OFFSET(Arb!$V$2,,,Arb!$AJ$5,),L94))/N94)</f>
        <v>3.3225657591139823</v>
      </c>
      <c r="R94" s="33">
        <f t="shared" ca="1" si="13"/>
        <v>3.1630651527865457</v>
      </c>
      <c r="S94" s="21">
        <f t="shared" ca="1" si="14"/>
        <v>48.601591359750977</v>
      </c>
      <c r="T94" s="74">
        <f ca="1">IF(L94="","",DATE(INDEX(OFFSET(Arb!$C$2,,,Arb!$AJ$5,),L94),INDEX(OFFSET(Arb!$B$2,,,Arb!$AJ$5,),L94),INDEX(OFFSET(Arb!$A$2,,,Arb!$AJ$5,),L94))+ROW()*0.001)</f>
        <v>43934.093999999997</v>
      </c>
      <c r="U94" s="11">
        <v>93</v>
      </c>
      <c r="V94" s="11">
        <v>3227</v>
      </c>
      <c r="W94" s="433">
        <f ca="1">IF(V94="",164,INDEX(OFFSET(Arb!$I$2,,,Arb!$AJ$5,),V94))</f>
        <v>154</v>
      </c>
      <c r="X94" s="34">
        <f ca="1">IF(V94="",240,INDEX(OFFSET(Arb!$H$2,,,Arb!$AJ$5,),V94))</f>
        <v>60.75</v>
      </c>
      <c r="Y94" s="33">
        <f t="shared" ca="1" si="15"/>
        <v>2.5349794238683128</v>
      </c>
      <c r="Z94" s="33">
        <f ca="1">IF(V94="","",INDEX(OFFSET(Arb!$X$2,,,Arb!$AJ$5,),V94)/X94)</f>
        <v>3.094650205761317</v>
      </c>
      <c r="AA94" s="33">
        <f ca="1">IF(V94="","",(INDEX(OFFSET(Arb!$U$2,,,Arb!$AJ$5,),V94)+INDEX(OFFSET(Arb!$V$2,,,Arb!$AJ$5,),V94))/X94)</f>
        <v>3.3580246913580245</v>
      </c>
      <c r="AB94" s="33">
        <f t="shared" ca="1" si="16"/>
        <v>6.9904954765589871</v>
      </c>
      <c r="AC94" s="21">
        <f t="shared" ca="1" si="17"/>
        <v>62.227491807794657</v>
      </c>
      <c r="AD94" s="74">
        <f ca="1">IF(V94="","",DATE(INDEX(OFFSET(Arb!$C$2,,,Arb!$AJ$5,),V94),INDEX(OFFSET(Arb!$B$2,,,Arb!$AJ$5,),V94),INDEX(OFFSET(Arb!$A$2,,,Arb!$AJ$5,),V94))+ROW()*0.001)</f>
        <v>44061.093999999997</v>
      </c>
    </row>
    <row r="95" spans="1:30" x14ac:dyDescent="0.25">
      <c r="A95" s="11">
        <v>94</v>
      </c>
      <c r="B95" s="11">
        <v>399</v>
      </c>
      <c r="C95" s="433">
        <f ca="1">IF(B95="",16,INDEX(OFFSET(Arb!$I$2,,,Arb!$AJ$5,),B95))</f>
        <v>19</v>
      </c>
      <c r="D95" s="34">
        <f ca="1">IF(B95="",10,INDEX(OFFSET(Arb!$H$2,,,Arb!$AJ$5,),B95))</f>
        <v>5.12</v>
      </c>
      <c r="E95" s="33">
        <f t="shared" ca="1" si="9"/>
        <v>3.7109375</v>
      </c>
      <c r="F95" s="33">
        <f ca="1">IF(B95="","",INDEX(OFFSET(Arb!$X$2,,,Arb!$AJ$5,),B95)/D95)</f>
        <v>3.90625</v>
      </c>
      <c r="G95" s="33">
        <f ca="1">IF(B95="","",(INDEX(OFFSET(Arb!$U$2,,,Arb!$AJ$5,),B95)+INDEX(OFFSET(Arb!$V$2,,,Arb!$AJ$5,),B95))/D95)</f>
        <v>4.296875</v>
      </c>
      <c r="H95" s="33">
        <f t="shared" ca="1" si="10"/>
        <v>0.8452892244110104</v>
      </c>
      <c r="I95" s="21">
        <f t="shared" ca="1" si="11"/>
        <v>55.955995455824599</v>
      </c>
      <c r="J95" s="74">
        <f ca="1">IF(B95="","",DATE(INDEX(OFFSET(Arb!$C$2,,,Arb!$AJ$5,),B95),INDEX(OFFSET(Arb!$B$2,,,Arb!$AJ$5,),B95),INDEX(OFFSET(Arb!$A$2,,,Arb!$AJ$5,),B95))+ROW()*0.001)</f>
        <v>43781.095000000001</v>
      </c>
      <c r="K95" s="11">
        <v>94</v>
      </c>
      <c r="L95" s="11">
        <v>2227</v>
      </c>
      <c r="M95" s="433">
        <f ca="1">IF(L95="",64,INDEX(OFFSET(Arb!$I$2,,,Arb!$AJ$5,),L95))</f>
        <v>77</v>
      </c>
      <c r="N95" s="34">
        <f ca="1">IF(L95="",60,INDEX(OFFSET(Arb!$H$2,,,Arb!$AJ$5,),L95))</f>
        <v>28.3</v>
      </c>
      <c r="O95" s="33">
        <f t="shared" ca="1" si="12"/>
        <v>2.7208480565371023</v>
      </c>
      <c r="P95" s="33">
        <f ca="1">IF(L95="","",INDEX(OFFSET(Arb!$X$2,,,Arb!$AJ$5,),L95)/N95)</f>
        <v>3.2862190812720846</v>
      </c>
      <c r="Q95" s="33">
        <f ca="1">IF(L95="","",(INDEX(OFFSET(Arb!$U$2,,,Arb!$AJ$5,),L95)+INDEX(OFFSET(Arb!$V$2,,,Arb!$AJ$5,),L95))/N95)</f>
        <v>3.568904593639576</v>
      </c>
      <c r="R95" s="33">
        <f t="shared" ca="1" si="13"/>
        <v>3.8154539407157824</v>
      </c>
      <c r="S95" s="21">
        <f t="shared" ca="1" si="14"/>
        <v>40.291405004134347</v>
      </c>
      <c r="T95" s="74">
        <f ca="1">IF(L95="","",DATE(INDEX(OFFSET(Arb!$C$2,,,Arb!$AJ$5,),L95),INDEX(OFFSET(Arb!$B$2,,,Arb!$AJ$5,),L95),INDEX(OFFSET(Arb!$A$2,,,Arb!$AJ$5,),L95))+ROW()*0.001)</f>
        <v>43885.095000000001</v>
      </c>
      <c r="U95" s="11">
        <v>94</v>
      </c>
      <c r="V95" s="11">
        <v>2878</v>
      </c>
      <c r="W95" s="433">
        <f ca="1">IF(V95="",164,INDEX(OFFSET(Arb!$I$2,,,Arb!$AJ$5,),V95))</f>
        <v>205</v>
      </c>
      <c r="X95" s="34">
        <f ca="1">IF(V95="",240,INDEX(OFFSET(Arb!$H$2,,,Arb!$AJ$5,),V95))</f>
        <v>80.89</v>
      </c>
      <c r="Y95" s="33">
        <f t="shared" ca="1" si="15"/>
        <v>2.5343058474471505</v>
      </c>
      <c r="Z95" s="33">
        <f ca="1">IF(V95="","",INDEX(OFFSET(Arb!$X$2,,,Arb!$AJ$5,),V95)/X95)</f>
        <v>2.8557300037087403</v>
      </c>
      <c r="AA95" s="33">
        <f ca="1">IF(V95="","",(INDEX(OFFSET(Arb!$U$2,,,Arb!$AJ$5,),V95)+INDEX(OFFSET(Arb!$V$2,,,Arb!$AJ$5,),V95))/X95)</f>
        <v>3.1895166275188527</v>
      </c>
      <c r="AB95" s="33">
        <f t="shared" ca="1" si="16"/>
        <v>8.544120390887743</v>
      </c>
      <c r="AC95" s="21">
        <f t="shared" ca="1" si="17"/>
        <v>50.912320999587756</v>
      </c>
      <c r="AD95" s="74">
        <f ca="1">IF(V95="","",DATE(INDEX(OFFSET(Arb!$C$2,,,Arb!$AJ$5,),V95),INDEX(OFFSET(Arb!$B$2,,,Arb!$AJ$5,),V95),INDEX(OFFSET(Arb!$A$2,,,Arb!$AJ$5,),V95))+ROW()*0.001)</f>
        <v>43917.095000000001</v>
      </c>
    </row>
    <row r="96" spans="1:30" x14ac:dyDescent="0.25">
      <c r="A96" s="11">
        <v>95</v>
      </c>
      <c r="B96" s="11">
        <v>1231</v>
      </c>
      <c r="C96" s="433">
        <f ca="1">IF(B96="",16,INDEX(OFFSET(Arb!$I$2,,,Arb!$AJ$5,),B96))</f>
        <v>24</v>
      </c>
      <c r="D96" s="34">
        <f ca="1">IF(B96="",10,INDEX(OFFSET(Arb!$H$2,,,Arb!$AJ$5,),B96))</f>
        <v>6.47</v>
      </c>
      <c r="E96" s="33">
        <f t="shared" ca="1" si="9"/>
        <v>3.7094281298299845</v>
      </c>
      <c r="F96" s="33">
        <f ca="1">IF(B96="","",INDEX(OFFSET(Arb!$X$2,,,Arb!$AJ$5,),B96)/D96)</f>
        <v>3.8639876352395675</v>
      </c>
      <c r="G96" s="33">
        <f ca="1">IF(B96="","",(INDEX(OFFSET(Arb!$U$2,,,Arb!$AJ$5,),B96)+INDEX(OFFSET(Arb!$V$2,,,Arb!$AJ$5,),B96))/D96)</f>
        <v>4.1731066460587325</v>
      </c>
      <c r="H96" s="33">
        <f t="shared" ca="1" si="10"/>
        <v>0.99615297296543404</v>
      </c>
      <c r="I96" s="21">
        <f t="shared" ca="1" si="11"/>
        <v>47.481663242138666</v>
      </c>
      <c r="J96" s="74">
        <f ca="1">IF(B96="","",DATE(INDEX(OFFSET(Arb!$C$2,,,Arb!$AJ$5,),B96),INDEX(OFFSET(Arb!$B$2,,,Arb!$AJ$5,),B96),INDEX(OFFSET(Arb!$A$2,,,Arb!$AJ$5,),B96))+ROW()*0.001)</f>
        <v>43898.095999999998</v>
      </c>
      <c r="K96" s="11">
        <v>95</v>
      </c>
      <c r="L96" s="11">
        <v>2408</v>
      </c>
      <c r="M96" s="433">
        <f ca="1">IF(L96="",64,INDEX(OFFSET(Arb!$I$2,,,Arb!$AJ$5,),L96))</f>
        <v>78</v>
      </c>
      <c r="N96" s="34">
        <f ca="1">IF(L96="",60,INDEX(OFFSET(Arb!$H$2,,,Arb!$AJ$5,),L96))</f>
        <v>28.68</v>
      </c>
      <c r="O96" s="33">
        <f t="shared" ca="1" si="12"/>
        <v>2.7196652719665271</v>
      </c>
      <c r="P96" s="33">
        <f ca="1">IF(L96="","",INDEX(OFFSET(Arb!$X$2,,,Arb!$AJ$5,),L96)/N96)</f>
        <v>3.172942817294282</v>
      </c>
      <c r="Q96" s="33">
        <f ca="1">IF(L96="","",(INDEX(OFFSET(Arb!$U$2,,,Arb!$AJ$5,),L96)+INDEX(OFFSET(Arb!$V$2,,,Arb!$AJ$5,),L96))/N96)</f>
        <v>3.5216178521617851</v>
      </c>
      <c r="R96" s="33">
        <f t="shared" ca="1" si="13"/>
        <v>3.8529196057197019</v>
      </c>
      <c r="S96" s="21">
        <f t="shared" ca="1" si="14"/>
        <v>39.899612691577083</v>
      </c>
      <c r="T96" s="74">
        <f ca="1">IF(L96="","",DATE(INDEX(OFFSET(Arb!$C$2,,,Arb!$AJ$5,),L96),INDEX(OFFSET(Arb!$B$2,,,Arb!$AJ$5,),L96),INDEX(OFFSET(Arb!$A$2,,,Arb!$AJ$5,),L96))+ROW()*0.001)</f>
        <v>44168.095999999998</v>
      </c>
      <c r="U96" s="11">
        <v>95</v>
      </c>
      <c r="V96" s="11">
        <v>3435</v>
      </c>
      <c r="W96" s="433">
        <f ca="1">IF(V96="",164,INDEX(OFFSET(Arb!$I$2,,,Arb!$AJ$5,),V96))</f>
        <v>166</v>
      </c>
      <c r="X96" s="34">
        <f ca="1">IF(V96="",240,INDEX(OFFSET(Arb!$H$2,,,Arb!$AJ$5,),V96))</f>
        <v>65.510000000000005</v>
      </c>
      <c r="Y96" s="33">
        <f t="shared" ca="1" si="15"/>
        <v>2.533964280262555</v>
      </c>
      <c r="Z96" s="33">
        <f ca="1">IF(V96="","",INDEX(OFFSET(Arb!$X$2,,,Arb!$AJ$5,),V96)/X96)</f>
        <v>2.7476721111280717</v>
      </c>
      <c r="AA96" s="33">
        <f ca="1">IF(V96="","",(INDEX(OFFSET(Arb!$U$2,,,Arb!$AJ$5,),V96)+INDEX(OFFSET(Arb!$V$2,,,Arb!$AJ$5,),V96))/X96)</f>
        <v>2.946115096931766</v>
      </c>
      <c r="AB96" s="33">
        <f t="shared" ca="1" si="16"/>
        <v>7.3725008448929534</v>
      </c>
      <c r="AC96" s="21">
        <f t="shared" ca="1" si="17"/>
        <v>59.003180759393466</v>
      </c>
      <c r="AD96" s="74">
        <f ca="1">IF(V96="","",DATE(INDEX(OFFSET(Arb!$C$2,,,Arb!$AJ$5,),V96),INDEX(OFFSET(Arb!$B$2,,,Arb!$AJ$5,),V96),INDEX(OFFSET(Arb!$A$2,,,Arb!$AJ$5,),V96))+ROW()*0.001)</f>
        <v>44167.095999999998</v>
      </c>
    </row>
    <row r="97" spans="1:30" x14ac:dyDescent="0.25">
      <c r="A97" s="11">
        <v>96</v>
      </c>
      <c r="B97" s="11">
        <v>1568</v>
      </c>
      <c r="C97" s="433">
        <f ca="1">IF(B97="",16,INDEX(OFFSET(Arb!$I$2,,,Arb!$AJ$5,),B97))</f>
        <v>21</v>
      </c>
      <c r="D97" s="34">
        <f ca="1">IF(B97="",10,INDEX(OFFSET(Arb!$H$2,,,Arb!$AJ$5,),B97))</f>
        <v>5.67</v>
      </c>
      <c r="E97" s="33">
        <f t="shared" ca="1" si="9"/>
        <v>3.7037037037037037</v>
      </c>
      <c r="F97" s="33">
        <f ca="1">IF(B97="","",INDEX(OFFSET(Arb!$X$2,,,Arb!$AJ$5,),B97)/D97)</f>
        <v>4.7619047619047619</v>
      </c>
      <c r="G97" s="33">
        <f ca="1">IF(B97="","",(INDEX(OFFSET(Arb!$U$2,,,Arb!$AJ$5,),B97)+INDEX(OFFSET(Arb!$V$2,,,Arb!$AJ$5,),B97))/D97)</f>
        <v>5.2910052910052912</v>
      </c>
      <c r="H97" s="33">
        <f t="shared" ca="1" si="10"/>
        <v>0.90964493442188421</v>
      </c>
      <c r="I97" s="21">
        <f t="shared" ca="1" si="11"/>
        <v>51.997211450487995</v>
      </c>
      <c r="J97" s="74">
        <f ca="1">IF(B97="","",DATE(INDEX(OFFSET(Arb!$C$2,,,Arb!$AJ$5,),B97),INDEX(OFFSET(Arb!$B$2,,,Arb!$AJ$5,),B97),INDEX(OFFSET(Arb!$A$2,,,Arb!$AJ$5,),B97))+ROW()*0.001)</f>
        <v>43989.097000000002</v>
      </c>
      <c r="K97" s="11">
        <v>96</v>
      </c>
      <c r="L97" s="11">
        <v>2124</v>
      </c>
      <c r="M97" s="433">
        <f ca="1">IF(L97="",64,INDEX(OFFSET(Arb!$I$2,,,Arb!$AJ$5,),L97))</f>
        <v>74</v>
      </c>
      <c r="N97" s="34">
        <f ca="1">IF(L97="",60,INDEX(OFFSET(Arb!$H$2,,,Arb!$AJ$5,),L97))</f>
        <v>27.22</v>
      </c>
      <c r="O97" s="33">
        <f t="shared" ca="1" si="12"/>
        <v>2.7185892725936811</v>
      </c>
      <c r="P97" s="33">
        <f ca="1">IF(L97="","",INDEX(OFFSET(Arb!$X$2,,,Arb!$AJ$5,),L97)/N97)</f>
        <v>3.1227038941954448</v>
      </c>
      <c r="Q97" s="33">
        <f ca="1">IF(L97="","",(INDEX(OFFSET(Arb!$U$2,,,Arb!$AJ$5,),L97)+INDEX(OFFSET(Arb!$V$2,,,Arb!$AJ$5,),L97))/N97)</f>
        <v>3.5635562086700956</v>
      </c>
      <c r="R97" s="33">
        <f t="shared" ca="1" si="13"/>
        <v>3.7160203679121664</v>
      </c>
      <c r="S97" s="21">
        <f t="shared" ca="1" si="14"/>
        <v>41.369525669842517</v>
      </c>
      <c r="T97" s="74">
        <f ca="1">IF(L97="","",DATE(INDEX(OFFSET(Arb!$C$2,,,Arb!$AJ$5,),L97),INDEX(OFFSET(Arb!$B$2,,,Arb!$AJ$5,),L97),INDEX(OFFSET(Arb!$A$2,,,Arb!$AJ$5,),L97))+ROW()*0.001)</f>
        <v>43811.097000000002</v>
      </c>
      <c r="U97" s="11">
        <v>96</v>
      </c>
      <c r="V97" s="11">
        <v>3232</v>
      </c>
      <c r="W97" s="433">
        <f ca="1">IF(V97="",164,INDEX(OFFSET(Arb!$I$2,,,Arb!$AJ$5,),V97))</f>
        <v>191</v>
      </c>
      <c r="X97" s="34">
        <f ca="1">IF(V97="",240,INDEX(OFFSET(Arb!$H$2,,,Arb!$AJ$5,),V97))</f>
        <v>75.41</v>
      </c>
      <c r="Y97" s="33">
        <f t="shared" ca="1" si="15"/>
        <v>2.5328205808248243</v>
      </c>
      <c r="Z97" s="33">
        <f ca="1">IF(V97="","",INDEX(OFFSET(Arb!$X$2,,,Arb!$AJ$5,),V97)/X97)</f>
        <v>2.9439066436812094</v>
      </c>
      <c r="AA97" s="33">
        <f ca="1">IF(V97="","",(INDEX(OFFSET(Arb!$U$2,,,Arb!$AJ$5,),V97)+INDEX(OFFSET(Arb!$V$2,,,Arb!$AJ$5,),V97))/X97)</f>
        <v>3.3019493435883835</v>
      </c>
      <c r="AB97" s="33">
        <f t="shared" ca="1" si="16"/>
        <v>8.1394644764644184</v>
      </c>
      <c r="AC97" s="21">
        <f t="shared" ca="1" si="17"/>
        <v>53.443442287612712</v>
      </c>
      <c r="AD97" s="74">
        <f ca="1">IF(V97="","",DATE(INDEX(OFFSET(Arb!$C$2,,,Arb!$AJ$5,),V97),INDEX(OFFSET(Arb!$B$2,,,Arb!$AJ$5,),V97),INDEX(OFFSET(Arb!$A$2,,,Arb!$AJ$5,),V97))+ROW()*0.001)</f>
        <v>44061.097000000002</v>
      </c>
    </row>
    <row r="98" spans="1:30" x14ac:dyDescent="0.25">
      <c r="A98" s="11">
        <v>97</v>
      </c>
      <c r="B98" s="11">
        <v>1260</v>
      </c>
      <c r="C98" s="433">
        <f ca="1">IF(B98="",16,INDEX(OFFSET(Arb!$I$2,,,Arb!$AJ$5,),B98))</f>
        <v>23</v>
      </c>
      <c r="D98" s="34">
        <f ca="1">IF(B98="",10,INDEX(OFFSET(Arb!$H$2,,,Arb!$AJ$5,),B98))</f>
        <v>6.21</v>
      </c>
      <c r="E98" s="33">
        <f t="shared" ca="1" si="9"/>
        <v>3.7037037037037037</v>
      </c>
      <c r="F98" s="33">
        <f ca="1">IF(B98="","",INDEX(OFFSET(Arb!$X$2,,,Arb!$AJ$5,),B98)/D98)</f>
        <v>4.1867954911433172</v>
      </c>
      <c r="G98" s="33">
        <f ca="1">IF(B98="","",(INDEX(OFFSET(Arb!$U$2,,,Arb!$AJ$5,),B98)+INDEX(OFFSET(Arb!$V$2,,,Arb!$AJ$5,),B98))/D98)</f>
        <v>4.8309178743961354</v>
      </c>
      <c r="H98" s="33">
        <f t="shared" ca="1" si="10"/>
        <v>0.9694555120981273</v>
      </c>
      <c r="I98" s="21">
        <f t="shared" ca="1" si="11"/>
        <v>48.789242424991691</v>
      </c>
      <c r="J98" s="74">
        <f ca="1">IF(B98="","",DATE(INDEX(OFFSET(Arb!$C$2,,,Arb!$AJ$5,),B98),INDEX(OFFSET(Arb!$B$2,,,Arb!$AJ$5,),B98),INDEX(OFFSET(Arb!$A$2,,,Arb!$AJ$5,),B98))+ROW()*0.001)</f>
        <v>43901.097999999998</v>
      </c>
      <c r="K98" s="11">
        <v>97</v>
      </c>
      <c r="L98" s="11">
        <v>1904</v>
      </c>
      <c r="M98" s="433">
        <f ca="1">IF(L98="",64,INDEX(OFFSET(Arb!$I$2,,,Arb!$AJ$5,),L98))</f>
        <v>79</v>
      </c>
      <c r="N98" s="34">
        <f ca="1">IF(L98="",60,INDEX(OFFSET(Arb!$H$2,,,Arb!$AJ$5,),L98))</f>
        <v>29.09</v>
      </c>
      <c r="O98" s="33">
        <f t="shared" ca="1" si="12"/>
        <v>2.7157098659333103</v>
      </c>
      <c r="P98" s="33">
        <f ca="1">IF(L98="","",INDEX(OFFSET(Arb!$X$2,,,Arb!$AJ$5,),L98)/N98)</f>
        <v>3.3001031282227569</v>
      </c>
      <c r="Q98" s="33">
        <f ca="1">IF(L98="","",(INDEX(OFFSET(Arb!$U$2,,,Arb!$AJ$5,),L98)+INDEX(OFFSET(Arb!$V$2,,,Arb!$AJ$5,),L98))/N98)</f>
        <v>3.8501203162598832</v>
      </c>
      <c r="R98" s="33">
        <f t="shared" ca="1" si="13"/>
        <v>3.8970612786185965</v>
      </c>
      <c r="S98" s="21">
        <f t="shared" ca="1" si="14"/>
        <v>39.447673261759213</v>
      </c>
      <c r="T98" s="74">
        <f ca="1">IF(L98="","",DATE(INDEX(OFFSET(Arb!$C$2,,,Arb!$AJ$5,),L98),INDEX(OFFSET(Arb!$B$2,,,Arb!$AJ$5,),L98),INDEX(OFFSET(Arb!$A$2,,,Arb!$AJ$5,),L98))+ROW()*0.001)</f>
        <v>43765.097999999998</v>
      </c>
      <c r="U98" s="11">
        <v>97</v>
      </c>
      <c r="V98" s="11">
        <v>3230</v>
      </c>
      <c r="W98" s="433">
        <f ca="1">IF(V98="",164,INDEX(OFFSET(Arb!$I$2,,,Arb!$AJ$5,),V98))</f>
        <v>207</v>
      </c>
      <c r="X98" s="34">
        <f ca="1">IF(V98="",240,INDEX(OFFSET(Arb!$H$2,,,Arb!$AJ$5,),V98))</f>
        <v>81.739999999999995</v>
      </c>
      <c r="Y98" s="33">
        <f t="shared" ca="1" si="15"/>
        <v>2.5324198678737462</v>
      </c>
      <c r="Z98" s="33">
        <f ca="1">IF(V98="","",INDEX(OFFSET(Arb!$X$2,,,Arb!$AJ$5,),V98)/X98)</f>
        <v>2.8749694152189873</v>
      </c>
      <c r="AA98" s="33">
        <f ca="1">IF(V98="","",(INDEX(OFFSET(Arb!$U$2,,,Arb!$AJ$5,),V98)+INDEX(OFFSET(Arb!$V$2,,,Arb!$AJ$5,),V98))/X98)</f>
        <v>3.1808172253486666</v>
      </c>
      <c r="AB98" s="33">
        <f t="shared" ca="1" si="16"/>
        <v>8.6132793220435673</v>
      </c>
      <c r="AC98" s="21">
        <f t="shared" ca="1" si="17"/>
        <v>50.503528764790204</v>
      </c>
      <c r="AD98" s="74">
        <f ca="1">IF(V98="","",DATE(INDEX(OFFSET(Arb!$C$2,,,Arb!$AJ$5,),V98),INDEX(OFFSET(Arb!$B$2,,,Arb!$AJ$5,),V98),INDEX(OFFSET(Arb!$A$2,,,Arb!$AJ$5,),V98))+ROW()*0.001)</f>
        <v>44061.097999999998</v>
      </c>
    </row>
    <row r="99" spans="1:30" x14ac:dyDescent="0.25">
      <c r="A99" s="11">
        <v>98</v>
      </c>
      <c r="B99" s="11">
        <v>569</v>
      </c>
      <c r="C99" s="433">
        <f ca="1">IF(B99="",16,INDEX(OFFSET(Arb!$I$2,,,Arb!$AJ$5,),B99))</f>
        <v>19</v>
      </c>
      <c r="D99" s="34">
        <f ca="1">IF(B99="",10,INDEX(OFFSET(Arb!$H$2,,,Arb!$AJ$5,),B99))</f>
        <v>5.13</v>
      </c>
      <c r="E99" s="33">
        <f t="shared" ca="1" si="9"/>
        <v>3.7037037037037037</v>
      </c>
      <c r="F99" s="33">
        <f ca="1">IF(B99="","",INDEX(OFFSET(Arb!$X$2,,,Arb!$AJ$5,),B99)/D99)</f>
        <v>4.0935672514619883</v>
      </c>
      <c r="G99" s="33">
        <f ca="1">IF(B99="","",(INDEX(OFFSET(Arb!$U$2,,,Arb!$AJ$5,),B99)+INDEX(OFFSET(Arb!$V$2,,,Arb!$AJ$5,),B99))/D99)</f>
        <v>4.6783625730994149</v>
      </c>
      <c r="H99" s="33">
        <f t="shared" ca="1" si="10"/>
        <v>0.84809776700533435</v>
      </c>
      <c r="I99" s="21">
        <f t="shared" ca="1" si="11"/>
        <v>55.770692766960792</v>
      </c>
      <c r="J99" s="74">
        <f ca="1">IF(B99="","",DATE(INDEX(OFFSET(Arb!$C$2,,,Arb!$AJ$5,),B99),INDEX(OFFSET(Arb!$B$2,,,Arb!$AJ$5,),B99),INDEX(OFFSET(Arb!$A$2,,,Arb!$AJ$5,),B99))+ROW()*0.001)</f>
        <v>43797.099000000002</v>
      </c>
      <c r="K99" s="11">
        <v>98</v>
      </c>
      <c r="L99" s="11">
        <v>2327</v>
      </c>
      <c r="M99" s="433">
        <f ca="1">IF(L99="",64,INDEX(OFFSET(Arb!$I$2,,,Arb!$AJ$5,),L99))</f>
        <v>73</v>
      </c>
      <c r="N99" s="34">
        <f ca="1">IF(L99="",60,INDEX(OFFSET(Arb!$H$2,,,Arb!$AJ$5,),L99))</f>
        <v>26.89</v>
      </c>
      <c r="O99" s="33">
        <f t="shared" ca="1" si="12"/>
        <v>2.7147638527333582</v>
      </c>
      <c r="P99" s="33">
        <f ca="1">IF(L99="","",INDEX(OFFSET(Arb!$X$2,,,Arb!$AJ$5,),L99)/N99)</f>
        <v>3.4957233172182969</v>
      </c>
      <c r="Q99" s="33">
        <f ca="1">IF(L99="","",(INDEX(OFFSET(Arb!$U$2,,,Arb!$AJ$5,),L99)+INDEX(OFFSET(Arb!$V$2,,,Arb!$AJ$5,),L99))/N99)</f>
        <v>3.9419858683525475</v>
      </c>
      <c r="R99" s="33">
        <f t="shared" ca="1" si="13"/>
        <v>3.6896188437072501</v>
      </c>
      <c r="S99" s="21">
        <f t="shared" ca="1" si="14"/>
        <v>41.6655504300101</v>
      </c>
      <c r="T99" s="74">
        <f ca="1">IF(L99="","",DATE(INDEX(OFFSET(Arb!$C$2,,,Arb!$AJ$5,),L99),INDEX(OFFSET(Arb!$B$2,,,Arb!$AJ$5,),L99),INDEX(OFFSET(Arb!$A$2,,,Arb!$AJ$5,),L99))+ROW()*0.001)</f>
        <v>44089.099000000002</v>
      </c>
      <c r="U99" s="11">
        <v>98</v>
      </c>
      <c r="V99" s="11">
        <v>3295</v>
      </c>
      <c r="W99" s="433">
        <f ca="1">IF(V99="",164,INDEX(OFFSET(Arb!$I$2,,,Arb!$AJ$5,),V99))</f>
        <v>186</v>
      </c>
      <c r="X99" s="34">
        <f ca="1">IF(V99="",240,INDEX(OFFSET(Arb!$H$2,,,Arb!$AJ$5,),V99))</f>
        <v>73.48</v>
      </c>
      <c r="Y99" s="33">
        <f t="shared" ca="1" si="15"/>
        <v>2.5313010342950459</v>
      </c>
      <c r="Z99" s="33">
        <f ca="1">IF(V99="","",INDEX(OFFSET(Arb!$X$2,,,Arb!$AJ$5,),V99)/X99)</f>
        <v>2.9531845400108874</v>
      </c>
      <c r="AA99" s="33">
        <f ca="1">IF(V99="","",(INDEX(OFFSET(Arb!$U$2,,,Arb!$AJ$5,),V99)+INDEX(OFFSET(Arb!$V$2,,,Arb!$AJ$5,),V99))/X99)</f>
        <v>3.3206314643440389</v>
      </c>
      <c r="AB99" s="33">
        <f t="shared" ca="1" si="16"/>
        <v>7.9978748998770364</v>
      </c>
      <c r="AC99" s="21">
        <f t="shared" ca="1" si="17"/>
        <v>54.389572911010141</v>
      </c>
      <c r="AD99" s="74">
        <f ca="1">IF(V99="","",DATE(INDEX(OFFSET(Arb!$C$2,,,Arb!$AJ$5,),V99),INDEX(OFFSET(Arb!$B$2,,,Arb!$AJ$5,),V99),INDEX(OFFSET(Arb!$A$2,,,Arb!$AJ$5,),V99))+ROW()*0.001)</f>
        <v>44089.099000000002</v>
      </c>
    </row>
    <row r="100" spans="1:30" x14ac:dyDescent="0.25">
      <c r="A100" s="11">
        <v>99</v>
      </c>
      <c r="B100" s="11">
        <v>561</v>
      </c>
      <c r="C100" s="433">
        <f ca="1">IF(B100="",16,INDEX(OFFSET(Arb!$I$2,,,Arb!$AJ$5,),B100))</f>
        <v>29</v>
      </c>
      <c r="D100" s="34">
        <f ca="1">IF(B100="",10,INDEX(OFFSET(Arb!$H$2,,,Arb!$AJ$5,),B100))</f>
        <v>7.83</v>
      </c>
      <c r="E100" s="33">
        <f t="shared" ca="1" si="9"/>
        <v>3.7037037037037037</v>
      </c>
      <c r="F100" s="33">
        <f ca="1">IF(B100="","",INDEX(OFFSET(Arb!$X$2,,,Arb!$AJ$5,),B100)/D100)</f>
        <v>4.7254150702426561</v>
      </c>
      <c r="G100" s="33">
        <f ca="1">IF(B100="","",(INDEX(OFFSET(Arb!$U$2,,,Arb!$AJ$5,),B100)+INDEX(OFFSET(Arb!$V$2,,,Arb!$AJ$5,),B100))/D100)</f>
        <v>5.3639846743295019</v>
      </c>
      <c r="H100" s="33">
        <f t="shared" ca="1" si="10"/>
        <v>1.1402419047194867</v>
      </c>
      <c r="I100" s="21">
        <f t="shared" ca="1" si="11"/>
        <v>41.481548611946621</v>
      </c>
      <c r="J100" s="74">
        <f ca="1">IF(B100="","",DATE(INDEX(OFFSET(Arb!$C$2,,,Arb!$AJ$5,),B100),INDEX(OFFSET(Arb!$B$2,,,Arb!$AJ$5,),B100),INDEX(OFFSET(Arb!$A$2,,,Arb!$AJ$5,),B100))+ROW()*0.001)</f>
        <v>43797.1</v>
      </c>
      <c r="K100" s="11">
        <v>99</v>
      </c>
      <c r="L100" s="11">
        <v>2141</v>
      </c>
      <c r="M100" s="433">
        <f ca="1">IF(L100="",64,INDEX(OFFSET(Arb!$I$2,,,Arb!$AJ$5,),L100))</f>
        <v>77</v>
      </c>
      <c r="N100" s="34">
        <f ca="1">IF(L100="",60,INDEX(OFFSET(Arb!$H$2,,,Arb!$AJ$5,),L100))</f>
        <v>28.38</v>
      </c>
      <c r="O100" s="33">
        <f t="shared" ca="1" si="12"/>
        <v>2.7131782945736433</v>
      </c>
      <c r="P100" s="33">
        <f ca="1">IF(L100="","",INDEX(OFFSET(Arb!$X$2,,,Arb!$AJ$5,),L100)/N100)</f>
        <v>3.06553911205074</v>
      </c>
      <c r="Q100" s="33">
        <f ca="1">IF(L100="","",(INDEX(OFFSET(Arb!$U$2,,,Arb!$AJ$5,),L100)+INDEX(OFFSET(Arb!$V$2,,,Arb!$AJ$5,),L100))/N100)</f>
        <v>3.4531360112755465</v>
      </c>
      <c r="R100" s="33">
        <f t="shared" ca="1" si="13"/>
        <v>3.8338078273571372</v>
      </c>
      <c r="S100" s="21">
        <f t="shared" ca="1" si="14"/>
        <v>40.098514824613645</v>
      </c>
      <c r="T100" s="74">
        <f ca="1">IF(L100="","",DATE(INDEX(OFFSET(Arb!$C$2,,,Arb!$AJ$5,),L100),INDEX(OFFSET(Arb!$B$2,,,Arb!$AJ$5,),L100),INDEX(OFFSET(Arb!$A$2,,,Arb!$AJ$5,),L100))+ROW()*0.001)</f>
        <v>43817.1</v>
      </c>
      <c r="U100" s="11">
        <v>99</v>
      </c>
      <c r="V100" s="11">
        <v>3065</v>
      </c>
      <c r="W100" s="433">
        <f ca="1">IF(V100="",164,INDEX(OFFSET(Arb!$I$2,,,Arb!$AJ$5,),V100))</f>
        <v>191</v>
      </c>
      <c r="X100" s="34">
        <f ca="1">IF(V100="",240,INDEX(OFFSET(Arb!$H$2,,,Arb!$AJ$5,),V100))</f>
        <v>75.47</v>
      </c>
      <c r="Y100" s="33">
        <f t="shared" ca="1" si="15"/>
        <v>2.5308069431562212</v>
      </c>
      <c r="Z100" s="33">
        <f ca="1">IF(V100="","",INDEX(OFFSET(Arb!$X$2,,,Arb!$AJ$5,),V100)/X100)</f>
        <v>2.875314694580628</v>
      </c>
      <c r="AA100" s="33">
        <f ca="1">IF(V100="","",(INDEX(OFFSET(Arb!$U$2,,,Arb!$AJ$5,),V100)+INDEX(OFFSET(Arb!$V$2,,,Arb!$AJ$5,),V100))/X100)</f>
        <v>3.1535709553464955</v>
      </c>
      <c r="AB100" s="33">
        <f t="shared" ca="1" si="16"/>
        <v>8.1504770286116877</v>
      </c>
      <c r="AC100" s="21">
        <f t="shared" ca="1" si="17"/>
        <v>53.371231950345845</v>
      </c>
      <c r="AD100" s="74">
        <f ca="1">IF(V100="","",DATE(INDEX(OFFSET(Arb!$C$2,,,Arb!$AJ$5,),V100),INDEX(OFFSET(Arb!$B$2,,,Arb!$AJ$5,),V100),INDEX(OFFSET(Arb!$A$2,,,Arb!$AJ$5,),V100))+ROW()*0.001)</f>
        <v>43993.1</v>
      </c>
    </row>
    <row r="101" spans="1:30" x14ac:dyDescent="0.25">
      <c r="A101" s="11">
        <v>100</v>
      </c>
      <c r="B101" s="11">
        <v>1201</v>
      </c>
      <c r="C101" s="433">
        <f ca="1">IF(B101="",16,INDEX(OFFSET(Arb!$I$2,,,Arb!$AJ$5,),B101))</f>
        <v>17</v>
      </c>
      <c r="D101" s="34">
        <f ca="1">IF(B101="",10,INDEX(OFFSET(Arb!$H$2,,,Arb!$AJ$5,),B101))</f>
        <v>4.5999999999999996</v>
      </c>
      <c r="E101" s="33">
        <f t="shared" ca="1" si="9"/>
        <v>3.6956521739130439</v>
      </c>
      <c r="F101" s="33">
        <f ca="1">IF(B101="","",INDEX(OFFSET(Arb!$X$2,,,Arb!$AJ$5,),B101)/D101)</f>
        <v>3.6956521739130439</v>
      </c>
      <c r="G101" s="33">
        <f ca="1">IF(B101="","",(INDEX(OFFSET(Arb!$U$2,,,Arb!$AJ$5,),B101)+INDEX(OFFSET(Arb!$V$2,,,Arb!$AJ$5,),B101))/D101)</f>
        <v>3.9130434782608701</v>
      </c>
      <c r="H101" s="33">
        <f t="shared" ca="1" si="10"/>
        <v>0.78747974589254399</v>
      </c>
      <c r="I101" s="21">
        <f t="shared" ca="1" si="11"/>
        <v>60.063767032370393</v>
      </c>
      <c r="J101" s="74">
        <f ca="1">IF(B101="","",DATE(INDEX(OFFSET(Arb!$C$2,,,Arb!$AJ$5,),B101),INDEX(OFFSET(Arb!$B$2,,,Arb!$AJ$5,),B101),INDEX(OFFSET(Arb!$A$2,,,Arb!$AJ$5,),B101))+ROW()*0.001)</f>
        <v>43894.101000000002</v>
      </c>
      <c r="K101" s="11">
        <v>100</v>
      </c>
      <c r="L101" s="11">
        <v>2363</v>
      </c>
      <c r="M101" s="433">
        <f ca="1">IF(L101="",64,INDEX(OFFSET(Arb!$I$2,,,Arb!$AJ$5,),L101))</f>
        <v>62</v>
      </c>
      <c r="N101" s="34">
        <f ca="1">IF(L101="",60,INDEX(OFFSET(Arb!$H$2,,,Arb!$AJ$5,),L101))</f>
        <v>22.87</v>
      </c>
      <c r="O101" s="33">
        <f t="shared" ca="1" si="12"/>
        <v>2.7109750765194578</v>
      </c>
      <c r="P101" s="33">
        <f ca="1">IF(L101="","",INDEX(OFFSET(Arb!$X$2,,,Arb!$AJ$5,),L101)/N101)</f>
        <v>3.2356799300393528</v>
      </c>
      <c r="Q101" s="33">
        <f ca="1">IF(L101="","",(INDEX(OFFSET(Arb!$U$2,,,Arb!$AJ$5,),L101)+INDEX(OFFSET(Arb!$V$2,,,Arb!$AJ$5,),L101))/N101)</f>
        <v>3.9790118058592041</v>
      </c>
      <c r="R101" s="33">
        <f t="shared" ca="1" si="13"/>
        <v>3.2988364936281913</v>
      </c>
      <c r="S101" s="21">
        <f t="shared" ca="1" si="14"/>
        <v>46.601279056095812</v>
      </c>
      <c r="T101" s="74">
        <f ca="1">IF(L101="","",DATE(INDEX(OFFSET(Arb!$C$2,,,Arb!$AJ$5,),L101),INDEX(OFFSET(Arb!$B$2,,,Arb!$AJ$5,),L101),INDEX(OFFSET(Arb!$A$2,,,Arb!$AJ$5,),L101))+ROW()*0.001)</f>
        <v>44114.101000000002</v>
      </c>
      <c r="U101" s="11">
        <v>100</v>
      </c>
      <c r="V101" s="11">
        <v>2922</v>
      </c>
      <c r="W101" s="433">
        <f ca="1">IF(V101="",164,INDEX(OFFSET(Arb!$I$2,,,Arb!$AJ$5,),V101))</f>
        <v>213</v>
      </c>
      <c r="X101" s="34">
        <f ca="1">IF(V101="",240,INDEX(OFFSET(Arb!$H$2,,,Arb!$AJ$5,),V101))</f>
        <v>84.23</v>
      </c>
      <c r="Y101" s="33">
        <f t="shared" ca="1" si="15"/>
        <v>2.5287902172622578</v>
      </c>
      <c r="Z101" s="33">
        <f ca="1">IF(V101="","",INDEX(OFFSET(Arb!$X$2,,,Arb!$AJ$5,),V101)/X101)</f>
        <v>2.7899798171672798</v>
      </c>
      <c r="AA101" s="33">
        <f ca="1">IF(V101="","",(INDEX(OFFSET(Arb!$U$2,,,Arb!$AJ$5,),V101)+INDEX(OFFSET(Arb!$V$2,,,Arb!$AJ$5,),V101))/X101)</f>
        <v>3.0749139261545766</v>
      </c>
      <c r="AB101" s="33">
        <f t="shared" ca="1" si="16"/>
        <v>8.808743372191902</v>
      </c>
      <c r="AC101" s="21">
        <f t="shared" ca="1" si="17"/>
        <v>49.382866729123201</v>
      </c>
      <c r="AD101" s="74">
        <f ca="1">IF(V101="","",DATE(INDEX(OFFSET(Arb!$C$2,,,Arb!$AJ$5,),V101),INDEX(OFFSET(Arb!$B$2,,,Arb!$AJ$5,),V101),INDEX(OFFSET(Arb!$A$2,,,Arb!$AJ$5,),V101))+ROW()*0.001)</f>
        <v>43935.101000000002</v>
      </c>
    </row>
    <row r="102" spans="1:30" x14ac:dyDescent="0.25">
      <c r="A102" s="11">
        <v>101</v>
      </c>
      <c r="B102" s="11">
        <v>1396</v>
      </c>
      <c r="C102" s="433">
        <f ca="1">IF(B102="",16,INDEX(OFFSET(Arb!$I$2,,,Arb!$AJ$5,),B102))</f>
        <v>24</v>
      </c>
      <c r="D102" s="34">
        <f ca="1">IF(B102="",10,INDEX(OFFSET(Arb!$H$2,,,Arb!$AJ$5,),B102))</f>
        <v>6.5</v>
      </c>
      <c r="E102" s="33">
        <f t="shared" ca="1" si="9"/>
        <v>3.6923076923076925</v>
      </c>
      <c r="F102" s="33">
        <f ca="1">IF(B102="","",INDEX(OFFSET(Arb!$X$2,,,Arb!$AJ$5,),B102)/D102)</f>
        <v>3.8461538461538463</v>
      </c>
      <c r="G102" s="33">
        <f ca="1">IF(B102="","",(INDEX(OFFSET(Arb!$U$2,,,Arb!$AJ$5,),B102)+INDEX(OFFSET(Arb!$V$2,,,Arb!$AJ$5,),B102))/D102)</f>
        <v>4.4615384615384617</v>
      </c>
      <c r="H102" s="33">
        <f t="shared" ca="1" si="10"/>
        <v>1.0040179206716164</v>
      </c>
      <c r="I102" s="21">
        <f t="shared" ca="1" si="11"/>
        <v>47.109716894654966</v>
      </c>
      <c r="J102" s="74">
        <f ca="1">IF(B102="","",DATE(INDEX(OFFSET(Arb!$C$2,,,Arb!$AJ$5,),B102),INDEX(OFFSET(Arb!$B$2,,,Arb!$AJ$5,),B102),INDEX(OFFSET(Arb!$A$2,,,Arb!$AJ$5,),B102))+ROW()*0.001)</f>
        <v>43940.101999999999</v>
      </c>
      <c r="K102" s="11">
        <v>101</v>
      </c>
      <c r="L102" s="11">
        <v>2117</v>
      </c>
      <c r="M102" s="433">
        <f ca="1">IF(L102="",64,INDEX(OFFSET(Arb!$I$2,,,Arb!$AJ$5,),L102))</f>
        <v>73</v>
      </c>
      <c r="N102" s="34">
        <f ca="1">IF(L102="",60,INDEX(OFFSET(Arb!$H$2,,,Arb!$AJ$5,),L102))</f>
        <v>26.93</v>
      </c>
      <c r="O102" s="33">
        <f t="shared" ca="1" si="12"/>
        <v>2.7107315261789826</v>
      </c>
      <c r="P102" s="33">
        <f ca="1">IF(L102="","",INDEX(OFFSET(Arb!$X$2,,,Arb!$AJ$5,),L102)/N102)</f>
        <v>3.527664314890457</v>
      </c>
      <c r="Q102" s="33">
        <f ca="1">IF(L102="","",(INDEX(OFFSET(Arb!$U$2,,,Arb!$AJ$5,),L102)+INDEX(OFFSET(Arb!$V$2,,,Arb!$AJ$5,),L102))/N102)</f>
        <v>3.8618640920906051</v>
      </c>
      <c r="R102" s="33">
        <f t="shared" ca="1" si="13"/>
        <v>3.6989540868219861</v>
      </c>
      <c r="S102" s="21">
        <f t="shared" ca="1" si="14"/>
        <v>41.560396909949077</v>
      </c>
      <c r="T102" s="74">
        <f ca="1">IF(L102="","",DATE(INDEX(OFFSET(Arb!$C$2,,,Arb!$AJ$5,),L102),INDEX(OFFSET(Arb!$B$2,,,Arb!$AJ$5,),L102),INDEX(OFFSET(Arb!$A$2,,,Arb!$AJ$5,),L102))+ROW()*0.001)</f>
        <v>43811.101999999999</v>
      </c>
      <c r="U102" s="11">
        <v>101</v>
      </c>
      <c r="V102" s="11">
        <v>3208</v>
      </c>
      <c r="W102" s="433">
        <f ca="1">IF(V102="",164,INDEX(OFFSET(Arb!$I$2,,,Arb!$AJ$5,),V102))</f>
        <v>170</v>
      </c>
      <c r="X102" s="34">
        <f ca="1">IF(V102="",240,INDEX(OFFSET(Arb!$H$2,,,Arb!$AJ$5,),V102))</f>
        <v>67.31</v>
      </c>
      <c r="Y102" s="33">
        <f t="shared" ca="1" si="15"/>
        <v>2.5256276927648194</v>
      </c>
      <c r="Z102" s="33">
        <f ca="1">IF(V102="","",INDEX(OFFSET(Arb!$X$2,,,Arb!$AJ$5,),V102)/X102)</f>
        <v>2.8673302629624127</v>
      </c>
      <c r="AA102" s="33">
        <f ca="1">IF(V102="","",(INDEX(OFFSET(Arb!$U$2,,,Arb!$AJ$5,),V102)+INDEX(OFFSET(Arb!$V$2,,,Arb!$AJ$5,),V102))/X102)</f>
        <v>3.0901797652651908</v>
      </c>
      <c r="AB102" s="33">
        <f t="shared" ca="1" si="16"/>
        <v>7.5385250546335545</v>
      </c>
      <c r="AC102" s="21">
        <f t="shared" ca="1" si="17"/>
        <v>57.703728096337173</v>
      </c>
      <c r="AD102" s="74">
        <f ca="1">IF(V102="","",DATE(INDEX(OFFSET(Arb!$C$2,,,Arb!$AJ$5,),V102),INDEX(OFFSET(Arb!$B$2,,,Arb!$AJ$5,),V102),INDEX(OFFSET(Arb!$A$2,,,Arb!$AJ$5,),V102))+ROW()*0.001)</f>
        <v>44059.101999999999</v>
      </c>
    </row>
    <row r="103" spans="1:30" x14ac:dyDescent="0.25">
      <c r="A103" s="11">
        <v>102</v>
      </c>
      <c r="B103" s="11">
        <v>1614</v>
      </c>
      <c r="C103" s="433">
        <f ca="1">IF(B103="",16,INDEX(OFFSET(Arb!$I$2,,,Arb!$AJ$5,),B103))</f>
        <v>23</v>
      </c>
      <c r="D103" s="34">
        <f ca="1">IF(B103="",10,INDEX(OFFSET(Arb!$H$2,,,Arb!$AJ$5,),B103))</f>
        <v>6.23</v>
      </c>
      <c r="E103" s="33">
        <f t="shared" ca="1" si="9"/>
        <v>3.6918138041733544</v>
      </c>
      <c r="F103" s="33">
        <f ca="1">IF(B103="","",INDEX(OFFSET(Arb!$X$2,,,Arb!$AJ$5,),B103)/D103)</f>
        <v>4.815409309791332</v>
      </c>
      <c r="G103" s="33">
        <f ca="1">IF(B103="","",(INDEX(OFFSET(Arb!$U$2,,,Arb!$AJ$5,),B103)+INDEX(OFFSET(Arb!$V$2,,,Arb!$AJ$5,),B103))/D103)</f>
        <v>5.6179775280898872</v>
      </c>
      <c r="H103" s="33">
        <f t="shared" ca="1" si="10"/>
        <v>0.97476930116631832</v>
      </c>
      <c r="I103" s="21">
        <f t="shared" ca="1" si="11"/>
        <v>48.523276167403317</v>
      </c>
      <c r="J103" s="74">
        <f ca="1">IF(B103="","",DATE(INDEX(OFFSET(Arb!$C$2,,,Arb!$AJ$5,),B103),INDEX(OFFSET(Arb!$B$2,,,Arb!$AJ$5,),B103),INDEX(OFFSET(Arb!$A$2,,,Arb!$AJ$5,),B103))+ROW()*0.001)</f>
        <v>44070.103000000003</v>
      </c>
      <c r="K103" s="11">
        <v>102</v>
      </c>
      <c r="L103" s="11">
        <v>1987</v>
      </c>
      <c r="M103" s="433">
        <f ca="1">IF(L103="",64,INDEX(OFFSET(Arb!$I$2,,,Arb!$AJ$5,),L103))</f>
        <v>64</v>
      </c>
      <c r="N103" s="34">
        <f ca="1">IF(L103="",60,INDEX(OFFSET(Arb!$H$2,,,Arb!$AJ$5,),L103))</f>
        <v>23.62</v>
      </c>
      <c r="O103" s="33">
        <f t="shared" ca="1" si="12"/>
        <v>2.7095681625740897</v>
      </c>
      <c r="P103" s="33">
        <f ca="1">IF(L103="","",INDEX(OFFSET(Arb!$X$2,,,Arb!$AJ$5,),L103)/N103)</f>
        <v>3.2176121930567314</v>
      </c>
      <c r="Q103" s="33">
        <f ca="1">IF(L103="","",(INDEX(OFFSET(Arb!$U$2,,,Arb!$AJ$5,),L103)+INDEX(OFFSET(Arb!$V$2,,,Arb!$AJ$5,),L103))/N103)</f>
        <v>3.5563082133784927</v>
      </c>
      <c r="R103" s="33">
        <f t="shared" ca="1" si="13"/>
        <v>3.3759487466804847</v>
      </c>
      <c r="S103" s="21">
        <f t="shared" ca="1" si="14"/>
        <v>45.53682876588698</v>
      </c>
      <c r="T103" s="74">
        <f ca="1">IF(L103="","",DATE(INDEX(OFFSET(Arb!$C$2,,,Arb!$AJ$5,),L103),INDEX(OFFSET(Arb!$B$2,,,Arb!$AJ$5,),L103),INDEX(OFFSET(Arb!$A$2,,,Arb!$AJ$5,),L103))+ROW()*0.001)</f>
        <v>43784.103000000003</v>
      </c>
      <c r="U103" s="11">
        <v>102</v>
      </c>
      <c r="V103" s="11">
        <v>3346</v>
      </c>
      <c r="W103" s="433">
        <f ca="1">IF(V103="",164,INDEX(OFFSET(Arb!$I$2,,,Arb!$AJ$5,),V103))</f>
        <v>158</v>
      </c>
      <c r="X103" s="34">
        <f ca="1">IF(V103="",240,INDEX(OFFSET(Arb!$H$2,,,Arb!$AJ$5,),V103))</f>
        <v>62.62</v>
      </c>
      <c r="Y103" s="33">
        <f t="shared" ca="1" si="15"/>
        <v>2.523155541360588</v>
      </c>
      <c r="Z103" s="33">
        <f ca="1">IF(V103="","",INDEX(OFFSET(Arb!$X$2,,,Arb!$AJ$5,),V103)/X103)</f>
        <v>3.018205046311083</v>
      </c>
      <c r="AA103" s="33">
        <f ca="1">IF(V103="","",(INDEX(OFFSET(Arb!$U$2,,,Arb!$AJ$5,),V103)+INDEX(OFFSET(Arb!$V$2,,,Arb!$AJ$5,),V103))/X103)</f>
        <v>3.2896838070903867</v>
      </c>
      <c r="AB103" s="33">
        <f t="shared" ca="1" si="16"/>
        <v>7.1738967302240342</v>
      </c>
      <c r="AC103" s="21">
        <f t="shared" ca="1" si="17"/>
        <v>60.636640916130851</v>
      </c>
      <c r="AD103" s="74">
        <f ca="1">IF(V103="","",DATE(INDEX(OFFSET(Arb!$C$2,,,Arb!$AJ$5,),V103),INDEX(OFFSET(Arb!$B$2,,,Arb!$AJ$5,),V103),INDEX(OFFSET(Arb!$A$2,,,Arb!$AJ$5,),V103))+ROW()*0.001)</f>
        <v>44098.103000000003</v>
      </c>
    </row>
    <row r="104" spans="1:30" x14ac:dyDescent="0.25">
      <c r="A104" s="11">
        <v>103</v>
      </c>
      <c r="B104" s="11">
        <v>416</v>
      </c>
      <c r="C104" s="433">
        <f ca="1">IF(B104="",16,INDEX(OFFSET(Arb!$I$2,,,Arb!$AJ$5,),B104))</f>
        <v>24</v>
      </c>
      <c r="D104" s="34">
        <f ca="1">IF(B104="",10,INDEX(OFFSET(Arb!$H$2,,,Arb!$AJ$5,),B104))</f>
        <v>6.51</v>
      </c>
      <c r="E104" s="33">
        <f t="shared" ca="1" si="9"/>
        <v>3.6866359447004609</v>
      </c>
      <c r="F104" s="33">
        <f ca="1">IF(B104="","",INDEX(OFFSET(Arb!$X$2,,,Arb!$AJ$5,),B104)/D104)</f>
        <v>4.1474654377880187</v>
      </c>
      <c r="G104" s="33">
        <f ca="1">IF(B104="","",(INDEX(OFFSET(Arb!$U$2,,,Arb!$AJ$5,),B104)+INDEX(OFFSET(Arb!$V$2,,,Arb!$AJ$5,),B104))/D104)</f>
        <v>5.2227342549923197</v>
      </c>
      <c r="H104" s="33">
        <f t="shared" ca="1" si="10"/>
        <v>1.006645227419888</v>
      </c>
      <c r="I104" s="21">
        <f t="shared" ca="1" si="11"/>
        <v>46.986762278932275</v>
      </c>
      <c r="J104" s="74">
        <f ca="1">IF(B104="","",DATE(INDEX(OFFSET(Arb!$C$2,,,Arb!$AJ$5,),B104),INDEX(OFFSET(Arb!$B$2,,,Arb!$AJ$5,),B104),INDEX(OFFSET(Arb!$A$2,,,Arb!$AJ$5,),B104))+ROW()*0.001)</f>
        <v>43781.103999999999</v>
      </c>
      <c r="K104" s="11">
        <v>103</v>
      </c>
      <c r="L104" s="11">
        <v>2064</v>
      </c>
      <c r="M104" s="433">
        <f ca="1">IF(L104="",64,INDEX(OFFSET(Arb!$I$2,,,Arb!$AJ$5,),L104))</f>
        <v>87</v>
      </c>
      <c r="N104" s="34">
        <f ca="1">IF(L104="",60,INDEX(OFFSET(Arb!$H$2,,,Arb!$AJ$5,),L104))</f>
        <v>32.11</v>
      </c>
      <c r="O104" s="33">
        <f t="shared" ca="1" si="12"/>
        <v>2.7094363126751793</v>
      </c>
      <c r="P104" s="33">
        <f ca="1">IF(L104="","",INDEX(OFFSET(Arb!$X$2,,,Arb!$AJ$5,),L104)/N104)</f>
        <v>3.5814388041108689</v>
      </c>
      <c r="Q104" s="33">
        <f ca="1">IF(L104="","",(INDEX(OFFSET(Arb!$U$2,,,Arb!$AJ$5,),L104)+INDEX(OFFSET(Arb!$V$2,,,Arb!$AJ$5,),L104))/N104)</f>
        <v>4.2354406726876359</v>
      </c>
      <c r="R104" s="33">
        <f t="shared" ca="1" si="13"/>
        <v>4.1857112642580461</v>
      </c>
      <c r="S104" s="21">
        <f t="shared" ca="1" si="14"/>
        <v>36.727330265875366</v>
      </c>
      <c r="T104" s="74">
        <f ca="1">IF(L104="","",DATE(INDEX(OFFSET(Arb!$C$2,,,Arb!$AJ$5,),L104),INDEX(OFFSET(Arb!$B$2,,,Arb!$AJ$5,),L104),INDEX(OFFSET(Arb!$A$2,,,Arb!$AJ$5,),L104))+ROW()*0.001)</f>
        <v>43800.103999999999</v>
      </c>
      <c r="U104" s="11">
        <v>103</v>
      </c>
      <c r="V104" s="11">
        <v>2938</v>
      </c>
      <c r="W104" s="433">
        <f ca="1">IF(V104="",164,INDEX(OFFSET(Arb!$I$2,,,Arb!$AJ$5,),V104))</f>
        <v>193</v>
      </c>
      <c r="X104" s="34">
        <f ca="1">IF(V104="",240,INDEX(OFFSET(Arb!$H$2,,,Arb!$AJ$5,),V104))</f>
        <v>76.510000000000005</v>
      </c>
      <c r="Y104" s="33">
        <f t="shared" ca="1" si="15"/>
        <v>2.5225460724088351</v>
      </c>
      <c r="Z104" s="33">
        <f ca="1">IF(V104="","",INDEX(OFFSET(Arb!$X$2,,,Arb!$AJ$5,),V104)/X104)</f>
        <v>2.9800026140373803</v>
      </c>
      <c r="AA104" s="33">
        <f ca="1">IF(V104="","",(INDEX(OFFSET(Arb!$U$2,,,Arb!$AJ$5,),V104)+INDEX(OFFSET(Arb!$V$2,,,Arb!$AJ$5,),V104))/X104)</f>
        <v>3.2544765390145076</v>
      </c>
      <c r="AB104" s="33">
        <f t="shared" ca="1" si="16"/>
        <v>8.255884990347873</v>
      </c>
      <c r="AC104" s="21">
        <f t="shared" ca="1" si="17"/>
        <v>52.68980860423428</v>
      </c>
      <c r="AD104" s="74">
        <f ca="1">IF(V104="","",DATE(INDEX(OFFSET(Arb!$C$2,,,Arb!$AJ$5,),V104),INDEX(OFFSET(Arb!$B$2,,,Arb!$AJ$5,),V104),INDEX(OFFSET(Arb!$A$2,,,Arb!$AJ$5,),V104))+ROW()*0.001)</f>
        <v>43940.103999999999</v>
      </c>
    </row>
    <row r="105" spans="1:30" x14ac:dyDescent="0.25">
      <c r="A105" s="11">
        <v>104</v>
      </c>
      <c r="B105" s="11">
        <v>612</v>
      </c>
      <c r="C105" s="433">
        <f ca="1">IF(B105="",16,INDEX(OFFSET(Arb!$I$2,,,Arb!$AJ$5,),B105))</f>
        <v>30</v>
      </c>
      <c r="D105" s="34">
        <f ca="1">IF(B105="",10,INDEX(OFFSET(Arb!$H$2,,,Arb!$AJ$5,),B105))</f>
        <v>8.14</v>
      </c>
      <c r="E105" s="33">
        <f t="shared" ca="1" si="9"/>
        <v>3.6855036855036851</v>
      </c>
      <c r="F105" s="33">
        <f ca="1">IF(B105="","",INDEX(OFFSET(Arb!$X$2,,,Arb!$AJ$5,),B105)/D105)</f>
        <v>4.9140049140049138</v>
      </c>
      <c r="G105" s="33">
        <f ca="1">IF(B105="","",(INDEX(OFFSET(Arb!$U$2,,,Arb!$AJ$5,),B105)+INDEX(OFFSET(Arb!$V$2,,,Arb!$AJ$5,),B105))/D105)</f>
        <v>5.2825552825552826</v>
      </c>
      <c r="H105" s="33">
        <f t="shared" ca="1" si="10"/>
        <v>1.1774439257872615</v>
      </c>
      <c r="I105" s="21">
        <f t="shared" ca="1" si="11"/>
        <v>40.170915118845244</v>
      </c>
      <c r="J105" s="74">
        <f ca="1">IF(B105="","",DATE(INDEX(OFFSET(Arb!$C$2,,,Arb!$AJ$5,),B105),INDEX(OFFSET(Arb!$B$2,,,Arb!$AJ$5,),B105),INDEX(OFFSET(Arb!$A$2,,,Arb!$AJ$5,),B105))+ROW()*0.001)</f>
        <v>43799.105000000003</v>
      </c>
      <c r="K105" s="11">
        <v>104</v>
      </c>
      <c r="L105" s="11">
        <v>2376</v>
      </c>
      <c r="M105" s="433">
        <f ca="1">IF(L105="",64,INDEX(OFFSET(Arb!$I$2,,,Arb!$AJ$5,),L105))</f>
        <v>75</v>
      </c>
      <c r="N105" s="34">
        <f ca="1">IF(L105="",60,INDEX(OFFSET(Arb!$H$2,,,Arb!$AJ$5,),L105))</f>
        <v>27.71</v>
      </c>
      <c r="O105" s="33">
        <f t="shared" ca="1" si="12"/>
        <v>2.7066041140382531</v>
      </c>
      <c r="P105" s="33">
        <f ca="1">IF(L105="","",INDEX(OFFSET(Arb!$X$2,,,Arb!$AJ$5,),L105)/N105)</f>
        <v>3.4283652111151208</v>
      </c>
      <c r="Q105" s="33">
        <f ca="1">IF(L105="","",(INDEX(OFFSET(Arb!$U$2,,,Arb!$AJ$5,),L105)+INDEX(OFFSET(Arb!$V$2,,,Arb!$AJ$5,),L105))/N105)</f>
        <v>4.0057740887766151</v>
      </c>
      <c r="R105" s="33">
        <f t="shared" ca="1" si="13"/>
        <v>3.7793823490232135</v>
      </c>
      <c r="S105" s="21">
        <f t="shared" ca="1" si="14"/>
        <v>40.675958609938398</v>
      </c>
      <c r="T105" s="74">
        <f ca="1">IF(L105="","",DATE(INDEX(OFFSET(Arb!$C$2,,,Arb!$AJ$5,),L105),INDEX(OFFSET(Arb!$B$2,,,Arb!$AJ$5,),L105),INDEX(OFFSET(Arb!$A$2,,,Arb!$AJ$5,),L105))+ROW()*0.001)</f>
        <v>44114.105000000003</v>
      </c>
      <c r="U105" s="11">
        <v>104</v>
      </c>
      <c r="V105" s="11">
        <v>3202</v>
      </c>
      <c r="W105" s="433">
        <f ca="1">IF(V105="",164,INDEX(OFFSET(Arb!$I$2,,,Arb!$AJ$5,),V105))</f>
        <v>183</v>
      </c>
      <c r="X105" s="34">
        <f ca="1">IF(V105="",240,INDEX(OFFSET(Arb!$H$2,,,Arb!$AJ$5,),V105))</f>
        <v>72.62</v>
      </c>
      <c r="Y105" s="33">
        <f t="shared" ca="1" si="15"/>
        <v>2.5199669512530982</v>
      </c>
      <c r="Z105" s="33">
        <f ca="1">IF(V105="","",INDEX(OFFSET(Arb!$X$2,,,Arb!$AJ$5,),V105)/X105)</f>
        <v>3.0019278435692645</v>
      </c>
      <c r="AA105" s="33">
        <f ca="1">IF(V105="","",(INDEX(OFFSET(Arb!$U$2,,,Arb!$AJ$5,),V105)+INDEX(OFFSET(Arb!$V$2,,,Arb!$AJ$5,),V105))/X105)</f>
        <v>3.2360231341228309</v>
      </c>
      <c r="AB105" s="33">
        <f t="shared" ca="1" si="16"/>
        <v>7.9679119465392834</v>
      </c>
      <c r="AC105" s="21">
        <f t="shared" ca="1" si="17"/>
        <v>54.594102309192145</v>
      </c>
      <c r="AD105" s="74">
        <f ca="1">IF(V105="","",DATE(INDEX(OFFSET(Arb!$C$2,,,Arb!$AJ$5,),V105),INDEX(OFFSET(Arb!$B$2,,,Arb!$AJ$5,),V105),INDEX(OFFSET(Arb!$A$2,,,Arb!$AJ$5,),V105))+ROW()*0.001)</f>
        <v>44058.105000000003</v>
      </c>
    </row>
    <row r="106" spans="1:30" x14ac:dyDescent="0.25">
      <c r="A106" s="11">
        <v>105</v>
      </c>
      <c r="B106" s="11">
        <v>1420</v>
      </c>
      <c r="C106" s="433">
        <f ca="1">IF(B106="",16,INDEX(OFFSET(Arb!$I$2,,,Arb!$AJ$5,),B106))</f>
        <v>22</v>
      </c>
      <c r="D106" s="34">
        <f ca="1">IF(B106="",10,INDEX(OFFSET(Arb!$H$2,,,Arb!$AJ$5,),B106))</f>
        <v>5.97</v>
      </c>
      <c r="E106" s="33">
        <f t="shared" ca="1" si="9"/>
        <v>3.6850921273031827</v>
      </c>
      <c r="F106" s="33">
        <f ca="1">IF(B106="","",INDEX(OFFSET(Arb!$X$2,,,Arb!$AJ$5,),B106)/D106)</f>
        <v>4.3551088777219435</v>
      </c>
      <c r="G106" s="33">
        <f ca="1">IF(B106="","",(INDEX(OFFSET(Arb!$U$2,,,Arb!$AJ$5,),B106)+INDEX(OFFSET(Arb!$V$2,,,Arb!$AJ$5,),B106))/D106)</f>
        <v>4.6901172529313238</v>
      </c>
      <c r="H106" s="33">
        <f t="shared" ca="1" si="10"/>
        <v>0.94783705276445085</v>
      </c>
      <c r="I106" s="21">
        <f t="shared" ca="1" si="11"/>
        <v>49.902037340752052</v>
      </c>
      <c r="J106" s="74">
        <f ca="1">IF(B106="","",DATE(INDEX(OFFSET(Arb!$C$2,,,Arb!$AJ$5,),B106),INDEX(OFFSET(Arb!$B$2,,,Arb!$AJ$5,),B106),INDEX(OFFSET(Arb!$A$2,,,Arb!$AJ$5,),B106))+ROW()*0.001)</f>
        <v>43940.106</v>
      </c>
      <c r="K106" s="11">
        <v>105</v>
      </c>
      <c r="L106" s="11">
        <v>2291</v>
      </c>
      <c r="M106" s="433">
        <f ca="1">IF(L106="",64,INDEX(OFFSET(Arb!$I$2,,,Arb!$AJ$5,),L106))</f>
        <v>67</v>
      </c>
      <c r="N106" s="34">
        <f ca="1">IF(L106="",60,INDEX(OFFSET(Arb!$H$2,,,Arb!$AJ$5,),L106))</f>
        <v>24.77</v>
      </c>
      <c r="O106" s="33">
        <f t="shared" ca="1" si="12"/>
        <v>2.7048849414614455</v>
      </c>
      <c r="P106" s="33">
        <f ca="1">IF(L106="","",INDEX(OFFSET(Arb!$X$2,,,Arb!$AJ$5,),L106)/N106)</f>
        <v>3.6737989503431572</v>
      </c>
      <c r="Q106" s="33">
        <f ca="1">IF(L106="","",(INDEX(OFFSET(Arb!$U$2,,,Arb!$AJ$5,),L106)+INDEX(OFFSET(Arb!$V$2,,,Arb!$AJ$5,),L106))/N106)</f>
        <v>4.1178845377472753</v>
      </c>
      <c r="R106" s="33">
        <f t="shared" ca="1" si="13"/>
        <v>3.4962252781986032</v>
      </c>
      <c r="S106" s="21">
        <f t="shared" ca="1" si="14"/>
        <v>43.970278734214723</v>
      </c>
      <c r="T106" s="74">
        <f ca="1">IF(L106="","",DATE(INDEX(OFFSET(Arb!$C$2,,,Arb!$AJ$5,),L106),INDEX(OFFSET(Arb!$B$2,,,Arb!$AJ$5,),L106),INDEX(OFFSET(Arb!$A$2,,,Arb!$AJ$5,),L106))+ROW()*0.001)</f>
        <v>43937.106</v>
      </c>
      <c r="U106" s="11">
        <v>105</v>
      </c>
      <c r="V106" s="11">
        <v>3398</v>
      </c>
      <c r="W106" s="433">
        <f ca="1">IF(V106="",164,INDEX(OFFSET(Arb!$I$2,,,Arb!$AJ$5,),V106))</f>
        <v>202</v>
      </c>
      <c r="X106" s="34">
        <f ca="1">IF(V106="",240,INDEX(OFFSET(Arb!$H$2,,,Arb!$AJ$5,),V106))</f>
        <v>80.239999999999995</v>
      </c>
      <c r="Y106" s="33">
        <f t="shared" ca="1" si="15"/>
        <v>2.5174476570289133</v>
      </c>
      <c r="Z106" s="33">
        <f ca="1">IF(V106="","",INDEX(OFFSET(Arb!$X$2,,,Arb!$AJ$5,),V106)/X106)</f>
        <v>2.7542372881355934</v>
      </c>
      <c r="AA106" s="33">
        <f ca="1">IF(V106="","",(INDEX(OFFSET(Arb!$U$2,,,Arb!$AJ$5,),V106)+INDEX(OFFSET(Arb!$V$2,,,Arb!$AJ$5,),V106))/X106)</f>
        <v>3.0782652043868395</v>
      </c>
      <c r="AB106" s="33">
        <f t="shared" ca="1" si="16"/>
        <v>8.5528960663836529</v>
      </c>
      <c r="AC106" s="21">
        <f t="shared" ca="1" si="17"/>
        <v>50.860082552590598</v>
      </c>
      <c r="AD106" s="74">
        <f ca="1">IF(V106="","",DATE(INDEX(OFFSET(Arb!$C$2,,,Arb!$AJ$5,),V106),INDEX(OFFSET(Arb!$B$2,,,Arb!$AJ$5,),V106),INDEX(OFFSET(Arb!$A$2,,,Arb!$AJ$5,),V106))+ROW()*0.001)</f>
        <v>44144.106</v>
      </c>
    </row>
    <row r="107" spans="1:30" x14ac:dyDescent="0.25">
      <c r="A107" s="11">
        <v>106</v>
      </c>
      <c r="B107" s="11">
        <v>798</v>
      </c>
      <c r="C107" s="433">
        <f ca="1">IF(B107="",16,INDEX(OFFSET(Arb!$I$2,,,Arb!$AJ$5,),B107))</f>
        <v>14</v>
      </c>
      <c r="D107" s="34">
        <f ca="1">IF(B107="",10,INDEX(OFFSET(Arb!$H$2,,,Arb!$AJ$5,),B107))</f>
        <v>3.8</v>
      </c>
      <c r="E107" s="33">
        <f t="shared" ca="1" si="9"/>
        <v>3.6842105263157898</v>
      </c>
      <c r="F107" s="33">
        <f ca="1">IF(B107="","",INDEX(OFFSET(Arb!$X$2,,,Arb!$AJ$5,),B107)/D107)</f>
        <v>3.6842105263157898</v>
      </c>
      <c r="G107" s="33">
        <f ca="1">IF(B107="","",(INDEX(OFFSET(Arb!$U$2,,,Arb!$AJ$5,),B107)+INDEX(OFFSET(Arb!$V$2,,,Arb!$AJ$5,),B107))/D107)</f>
        <v>4.7368421052631584</v>
      </c>
      <c r="H107" s="33">
        <f t="shared" ca="1" si="10"/>
        <v>0.69104141912083172</v>
      </c>
      <c r="I107" s="21">
        <f t="shared" ca="1" si="11"/>
        <v>68.445969649945908</v>
      </c>
      <c r="J107" s="74">
        <f ca="1">IF(B107="","",DATE(INDEX(OFFSET(Arb!$C$2,,,Arb!$AJ$5,),B107),INDEX(OFFSET(Arb!$B$2,,,Arb!$AJ$5,),B107),INDEX(OFFSET(Arb!$A$2,,,Arb!$AJ$5,),B107))+ROW()*0.001)</f>
        <v>43811.107000000004</v>
      </c>
      <c r="K107" s="11">
        <v>106</v>
      </c>
      <c r="L107" s="11">
        <v>2252</v>
      </c>
      <c r="M107" s="433">
        <f ca="1">IF(L107="",64,INDEX(OFFSET(Arb!$I$2,,,Arb!$AJ$5,),L107))</f>
        <v>63</v>
      </c>
      <c r="N107" s="34">
        <f ca="1">IF(L107="",60,INDEX(OFFSET(Arb!$H$2,,,Arb!$AJ$5,),L107))</f>
        <v>23.3</v>
      </c>
      <c r="O107" s="33">
        <f t="shared" ca="1" si="12"/>
        <v>2.703862660944206</v>
      </c>
      <c r="P107" s="33">
        <f ca="1">IF(L107="","",INDEX(OFFSET(Arb!$X$2,,,Arb!$AJ$5,),L107)/N107)</f>
        <v>3.3047210300429182</v>
      </c>
      <c r="Q107" s="33">
        <f ca="1">IF(L107="","",(INDEX(OFFSET(Arb!$U$2,,,Arb!$AJ$5,),L107)+INDEX(OFFSET(Arb!$V$2,,,Arb!$AJ$5,),L107))/N107)</f>
        <v>3.6909871244635193</v>
      </c>
      <c r="R107" s="33">
        <f t="shared" ca="1" si="13"/>
        <v>3.3509235237646129</v>
      </c>
      <c r="S107" s="21">
        <f t="shared" ca="1" si="14"/>
        <v>45.876904951650822</v>
      </c>
      <c r="T107" s="74">
        <f ca="1">IF(L107="","",DATE(INDEX(OFFSET(Arb!$C$2,,,Arb!$AJ$5,),L107),INDEX(OFFSET(Arb!$B$2,,,Arb!$AJ$5,),L107),INDEX(OFFSET(Arb!$A$2,,,Arb!$AJ$5,),L107))+ROW()*0.001)</f>
        <v>43901.107000000004</v>
      </c>
      <c r="U107" s="11">
        <v>106</v>
      </c>
      <c r="V107" s="11">
        <v>2917</v>
      </c>
      <c r="W107" s="433">
        <f ca="1">IF(V107="",164,INDEX(OFFSET(Arb!$I$2,,,Arb!$AJ$5,),V107))</f>
        <v>228</v>
      </c>
      <c r="X107" s="34">
        <f ca="1">IF(V107="",240,INDEX(OFFSET(Arb!$H$2,,,Arb!$AJ$5,),V107))</f>
        <v>90.59</v>
      </c>
      <c r="Y107" s="33">
        <f t="shared" ca="1" si="15"/>
        <v>2.5168340876476432</v>
      </c>
      <c r="Z107" s="33">
        <f ca="1">IF(V107="","",INDEX(OFFSET(Arb!$X$2,,,Arb!$AJ$5,),V107)/X107)</f>
        <v>2.936306435588917</v>
      </c>
      <c r="AA107" s="33">
        <f ca="1">IF(V107="","",(INDEX(OFFSET(Arb!$U$2,,,Arb!$AJ$5,),V107)+INDEX(OFFSET(Arb!$V$2,,,Arb!$AJ$5,),V107))/X107)</f>
        <v>3.2895463075394633</v>
      </c>
      <c r="AB107" s="33">
        <f t="shared" ca="1" si="16"/>
        <v>9.3132571481836877</v>
      </c>
      <c r="AC107" s="21">
        <f t="shared" ca="1" si="17"/>
        <v>46.707719230627681</v>
      </c>
      <c r="AD107" s="74">
        <f ca="1">IF(V107="","",DATE(INDEX(OFFSET(Arb!$C$2,,,Arb!$AJ$5,),V107),INDEX(OFFSET(Arb!$B$2,,,Arb!$AJ$5,),V107),INDEX(OFFSET(Arb!$A$2,,,Arb!$AJ$5,),V107))+ROW()*0.001)</f>
        <v>43934.107000000004</v>
      </c>
    </row>
    <row r="108" spans="1:30" x14ac:dyDescent="0.25">
      <c r="A108" s="11">
        <v>107</v>
      </c>
      <c r="B108" s="11">
        <v>1873</v>
      </c>
      <c r="C108" s="433">
        <f ca="1">IF(B108="",16,INDEX(OFFSET(Arb!$I$2,,,Arb!$AJ$5,),B108))</f>
        <v>24</v>
      </c>
      <c r="D108" s="34">
        <f ca="1">IF(B108="",10,INDEX(OFFSET(Arb!$H$2,,,Arb!$AJ$5,),B108))</f>
        <v>6.52</v>
      </c>
      <c r="E108" s="33">
        <f t="shared" ca="1" si="9"/>
        <v>3.6809815950920246</v>
      </c>
      <c r="F108" s="33">
        <f ca="1">IF(B108="","",INDEX(OFFSET(Arb!$X$2,,,Arb!$AJ$5,),B108)/D108)</f>
        <v>4.1411042944785281</v>
      </c>
      <c r="G108" s="33">
        <f ca="1">IF(B108="","",(INDEX(OFFSET(Arb!$U$2,,,Arb!$AJ$5,),B108)+INDEX(OFFSET(Arb!$V$2,,,Arb!$AJ$5,),B108))/D108)</f>
        <v>4.6012269938650308</v>
      </c>
      <c r="H108" s="33">
        <f t="shared" ca="1" si="10"/>
        <v>1.0092753607492961</v>
      </c>
      <c r="I108" s="21">
        <f t="shared" ca="1" si="11"/>
        <v>46.864316557658505</v>
      </c>
      <c r="J108" s="74">
        <f ca="1">IF(B108="","",DATE(INDEX(OFFSET(Arb!$C$2,,,Arb!$AJ$5,),B108),INDEX(OFFSET(Arb!$B$2,,,Arb!$AJ$5,),B108),INDEX(OFFSET(Arb!$A$2,,,Arb!$AJ$5,),B108))+ROW()*0.001)</f>
        <v>44168.108</v>
      </c>
      <c r="K108" s="11">
        <v>107</v>
      </c>
      <c r="L108" s="11">
        <v>2132</v>
      </c>
      <c r="M108" s="433">
        <f ca="1">IF(L108="",64,INDEX(OFFSET(Arb!$I$2,,,Arb!$AJ$5,),L108))</f>
        <v>54</v>
      </c>
      <c r="N108" s="34">
        <f ca="1">IF(L108="",60,INDEX(OFFSET(Arb!$H$2,,,Arb!$AJ$5,),L108))</f>
        <v>19.989999999999998</v>
      </c>
      <c r="O108" s="33">
        <f t="shared" ca="1" si="12"/>
        <v>2.701350675337669</v>
      </c>
      <c r="P108" s="33">
        <f ca="1">IF(L108="","",INDEX(OFFSET(Arb!$X$2,,,Arb!$AJ$5,),L108)/N108)</f>
        <v>2.8514257128564284</v>
      </c>
      <c r="Q108" s="33">
        <f ca="1">IF(L108="","",(INDEX(OFFSET(Arb!$U$2,,,Arb!$AJ$5,),L108)+INDEX(OFFSET(Arb!$V$2,,,Arb!$AJ$5,),L108))/N108)</f>
        <v>2.9514757378689347</v>
      </c>
      <c r="R108" s="33">
        <f t="shared" ca="1" si="13"/>
        <v>3.0129227047617997</v>
      </c>
      <c r="S108" s="21">
        <f t="shared" ca="1" si="14"/>
        <v>51.023545926696386</v>
      </c>
      <c r="T108" s="74">
        <f ca="1">IF(L108="","",DATE(INDEX(OFFSET(Arb!$C$2,,,Arb!$AJ$5,),L108),INDEX(OFFSET(Arb!$B$2,,,Arb!$AJ$5,),L108),INDEX(OFFSET(Arb!$A$2,,,Arb!$AJ$5,),L108))+ROW()*0.001)</f>
        <v>43815.108</v>
      </c>
      <c r="U108" s="11">
        <v>107</v>
      </c>
      <c r="V108" s="11">
        <v>3146</v>
      </c>
      <c r="W108" s="433">
        <f ca="1">IF(V108="",164,INDEX(OFFSET(Arb!$I$2,,,Arb!$AJ$5,),V108))</f>
        <v>165</v>
      </c>
      <c r="X108" s="34">
        <f ca="1">IF(V108="",240,INDEX(OFFSET(Arb!$H$2,,,Arb!$AJ$5,),V108))</f>
        <v>65.56</v>
      </c>
      <c r="Y108" s="33">
        <f t="shared" ca="1" si="15"/>
        <v>2.5167785234899327</v>
      </c>
      <c r="Z108" s="33">
        <f ca="1">IF(V108="","",INDEX(OFFSET(Arb!$X$2,,,Arb!$AJ$5,),V108)/X108)</f>
        <v>2.9133618059792554</v>
      </c>
      <c r="AA108" s="33">
        <f ca="1">IF(V108="","",(INDEX(OFFSET(Arb!$U$2,,,Arb!$AJ$5,),V108)+INDEX(OFFSET(Arb!$V$2,,,Arb!$AJ$5,),V108))/X108)</f>
        <v>3.1421598535692494</v>
      </c>
      <c r="AB108" s="33">
        <f t="shared" ca="1" si="16"/>
        <v>7.4268091211320577</v>
      </c>
      <c r="AC108" s="21">
        <f t="shared" ca="1" si="17"/>
        <v>58.571722109062826</v>
      </c>
      <c r="AD108" s="74">
        <f ca="1">IF(V108="","",DATE(INDEX(OFFSET(Arb!$C$2,,,Arb!$AJ$5,),V108),INDEX(OFFSET(Arb!$B$2,,,Arb!$AJ$5,),V108),INDEX(OFFSET(Arb!$A$2,,,Arb!$AJ$5,),V108))+ROW()*0.001)</f>
        <v>44024.108</v>
      </c>
    </row>
    <row r="109" spans="1:30" x14ac:dyDescent="0.25">
      <c r="A109" s="11">
        <v>108</v>
      </c>
      <c r="B109" s="11">
        <v>1540</v>
      </c>
      <c r="C109" s="433">
        <f ca="1">IF(B109="",16,INDEX(OFFSET(Arb!$I$2,,,Arb!$AJ$5,),B109))</f>
        <v>12</v>
      </c>
      <c r="D109" s="34">
        <f ca="1">IF(B109="",10,INDEX(OFFSET(Arb!$H$2,,,Arb!$AJ$5,),B109))</f>
        <v>3.26</v>
      </c>
      <c r="E109" s="33">
        <f t="shared" ca="1" si="9"/>
        <v>3.6809815950920246</v>
      </c>
      <c r="F109" s="33">
        <f ca="1">IF(B109="","",INDEX(OFFSET(Arb!$X$2,,,Arb!$AJ$5,),B109)/D109)</f>
        <v>3.6809815950920246</v>
      </c>
      <c r="G109" s="33">
        <f ca="1">IF(B109="","",(INDEX(OFFSET(Arb!$U$2,,,Arb!$AJ$5,),B109)+INDEX(OFFSET(Arb!$V$2,,,Arb!$AJ$5,),B109))/D109)</f>
        <v>4.294478527607362</v>
      </c>
      <c r="H109" s="33">
        <f t="shared" ca="1" si="10"/>
        <v>0.62128186095658544</v>
      </c>
      <c r="I109" s="21">
        <f t="shared" ca="1" si="11"/>
        <v>76.131306855110651</v>
      </c>
      <c r="J109" s="74">
        <f ca="1">IF(B109="","",DATE(INDEX(OFFSET(Arb!$C$2,,,Arb!$AJ$5,),B109),INDEX(OFFSET(Arb!$B$2,,,Arb!$AJ$5,),B109),INDEX(OFFSET(Arb!$A$2,,,Arb!$AJ$5,),B109))+ROW()*0.001)</f>
        <v>43984.108999999997</v>
      </c>
      <c r="K109" s="11">
        <v>108</v>
      </c>
      <c r="L109" s="11">
        <v>2049</v>
      </c>
      <c r="M109" s="433">
        <f ca="1">IF(L109="",64,INDEX(OFFSET(Arb!$I$2,,,Arb!$AJ$5,),L109))</f>
        <v>64</v>
      </c>
      <c r="N109" s="34">
        <f ca="1">IF(L109="",60,INDEX(OFFSET(Arb!$H$2,,,Arb!$AJ$5,),L109))</f>
        <v>23.75</v>
      </c>
      <c r="O109" s="33">
        <f t="shared" ca="1" si="12"/>
        <v>2.6947368421052631</v>
      </c>
      <c r="P109" s="33">
        <f ca="1">IF(L109="","",INDEX(OFFSET(Arb!$X$2,,,Arb!$AJ$5,),L109)/N109)</f>
        <v>3.5789473684210527</v>
      </c>
      <c r="Q109" s="33">
        <f ca="1">IF(L109="","",(INDEX(OFFSET(Arb!$U$2,,,Arb!$AJ$5,),L109)+INDEX(OFFSET(Arb!$V$2,,,Arb!$AJ$5,),L109))/N109)</f>
        <v>4.1263157894736846</v>
      </c>
      <c r="R109" s="33">
        <f t="shared" ca="1" si="13"/>
        <v>3.4075965490260174</v>
      </c>
      <c r="S109" s="21">
        <f t="shared" ca="1" si="14"/>
        <v>45.113908817621073</v>
      </c>
      <c r="T109" s="74">
        <f ca="1">IF(L109="","",DATE(INDEX(OFFSET(Arb!$C$2,,,Arb!$AJ$5,),L109),INDEX(OFFSET(Arb!$B$2,,,Arb!$AJ$5,),L109),INDEX(OFFSET(Arb!$A$2,,,Arb!$AJ$5,),L109))+ROW()*0.001)</f>
        <v>43798.108999999997</v>
      </c>
      <c r="U109" s="11">
        <v>108</v>
      </c>
      <c r="V109" s="11">
        <v>3286</v>
      </c>
      <c r="W109" s="433">
        <f ca="1">IF(V109="",164,INDEX(OFFSET(Arb!$I$2,,,Arb!$AJ$5,),V109))</f>
        <v>171</v>
      </c>
      <c r="X109" s="34">
        <f ca="1">IF(V109="",240,INDEX(OFFSET(Arb!$H$2,,,Arb!$AJ$5,),V109))</f>
        <v>67.95</v>
      </c>
      <c r="Y109" s="33">
        <f t="shared" ca="1" si="15"/>
        <v>2.5165562913907285</v>
      </c>
      <c r="Z109" s="33">
        <f ca="1">IF(V109="","",INDEX(OFFSET(Arb!$X$2,,,Arb!$AJ$5,),V109)/X109)</f>
        <v>2.9286239882266369</v>
      </c>
      <c r="AA109" s="33">
        <f ca="1">IF(V109="","",(INDEX(OFFSET(Arb!$U$2,,,Arb!$AJ$5,),V109)+INDEX(OFFSET(Arb!$V$2,,,Arb!$AJ$5,),V109))/X109)</f>
        <v>3.252391464311994</v>
      </c>
      <c r="AB109" s="33">
        <f t="shared" ca="1" si="16"/>
        <v>7.6159831307571686</v>
      </c>
      <c r="AC109" s="21">
        <f t="shared" ca="1" si="17"/>
        <v>57.116854453530401</v>
      </c>
      <c r="AD109" s="74">
        <f ca="1">IF(V109="","",DATE(INDEX(OFFSET(Arb!$C$2,,,Arb!$AJ$5,),V109),INDEX(OFFSET(Arb!$B$2,,,Arb!$AJ$5,),V109),INDEX(OFFSET(Arb!$A$2,,,Arb!$AJ$5,),V109))+ROW()*0.001)</f>
        <v>44084.108999999997</v>
      </c>
    </row>
    <row r="110" spans="1:30" x14ac:dyDescent="0.25">
      <c r="A110" s="11">
        <v>109</v>
      </c>
      <c r="B110" s="11">
        <v>322</v>
      </c>
      <c r="C110" s="433">
        <f ca="1">IF(B110="",16,INDEX(OFFSET(Arb!$I$2,,,Arb!$AJ$5,),B110))</f>
        <v>26</v>
      </c>
      <c r="D110" s="34">
        <f ca="1">IF(B110="",10,INDEX(OFFSET(Arb!$H$2,,,Arb!$AJ$5,),B110))</f>
        <v>7.07</v>
      </c>
      <c r="E110" s="33">
        <f t="shared" ca="1" si="9"/>
        <v>3.6775106082036775</v>
      </c>
      <c r="F110" s="33">
        <f ca="1">IF(B110="","",INDEX(OFFSET(Arb!$X$2,,,Arb!$AJ$5,),B110)/D110)</f>
        <v>3.9603960396039604</v>
      </c>
      <c r="G110" s="33">
        <f ca="1">IF(B110="","",(INDEX(OFFSET(Arb!$U$2,,,Arb!$AJ$5,),B110)+INDEX(OFFSET(Arb!$V$2,,,Arb!$AJ$5,),B110))/D110)</f>
        <v>4.809052333804809</v>
      </c>
      <c r="H110" s="33">
        <f t="shared" ca="1" si="10"/>
        <v>1.0691524992152759</v>
      </c>
      <c r="I110" s="21">
        <f t="shared" ca="1" si="11"/>
        <v>44.239713263277196</v>
      </c>
      <c r="J110" s="74">
        <f ca="1">IF(B110="","",DATE(INDEX(OFFSET(Arb!$C$2,,,Arb!$AJ$5,),B110),INDEX(OFFSET(Arb!$B$2,,,Arb!$AJ$5,),B110),INDEX(OFFSET(Arb!$A$2,,,Arb!$AJ$5,),B110))+ROW()*0.001)</f>
        <v>43779.11</v>
      </c>
      <c r="K110" s="11">
        <v>109</v>
      </c>
      <c r="L110" s="11">
        <v>2313</v>
      </c>
      <c r="M110" s="433">
        <f ca="1">IF(L110="",64,INDEX(OFFSET(Arb!$I$2,,,Arb!$AJ$5,),L110))</f>
        <v>67</v>
      </c>
      <c r="N110" s="34">
        <f ca="1">IF(L110="",60,INDEX(OFFSET(Arb!$H$2,,,Arb!$AJ$5,),L110))</f>
        <v>24.88</v>
      </c>
      <c r="O110" s="33">
        <f t="shared" ca="1" si="12"/>
        <v>2.6929260450160775</v>
      </c>
      <c r="P110" s="33">
        <f ca="1">IF(L110="","",INDEX(OFFSET(Arb!$X$2,,,Arb!$AJ$5,),L110)/N110)</f>
        <v>3.2154340836012865</v>
      </c>
      <c r="Q110" s="33">
        <f ca="1">IF(L110="","",(INDEX(OFFSET(Arb!$U$2,,,Arb!$AJ$5,),L110)+INDEX(OFFSET(Arb!$V$2,,,Arb!$AJ$5,),L110))/N110)</f>
        <v>3.657556270096463</v>
      </c>
      <c r="R110" s="33">
        <f t="shared" ca="1" si="13"/>
        <v>3.5226608804722486</v>
      </c>
      <c r="S110" s="21">
        <f t="shared" ca="1" si="14"/>
        <v>43.640306352563499</v>
      </c>
      <c r="T110" s="74">
        <f ca="1">IF(L110="","",DATE(INDEX(OFFSET(Arb!$C$2,,,Arb!$AJ$5,),L110),INDEX(OFFSET(Arb!$B$2,,,Arb!$AJ$5,),L110),INDEX(OFFSET(Arb!$A$2,,,Arb!$AJ$5,),L110))+ROW()*0.001)</f>
        <v>43952.11</v>
      </c>
      <c r="U110" s="11">
        <v>109</v>
      </c>
      <c r="V110" s="11">
        <v>3271</v>
      </c>
      <c r="W110" s="433">
        <f ca="1">IF(V110="",164,INDEX(OFFSET(Arb!$I$2,,,Arb!$AJ$5,),V110))</f>
        <v>175</v>
      </c>
      <c r="X110" s="34">
        <f ca="1">IF(V110="",240,INDEX(OFFSET(Arb!$H$2,,,Arb!$AJ$5,),V110))</f>
        <v>69.56</v>
      </c>
      <c r="Y110" s="33">
        <f t="shared" ca="1" si="15"/>
        <v>2.5158136860264517</v>
      </c>
      <c r="Z110" s="33">
        <f ca="1">IF(V110="","",INDEX(OFFSET(Arb!$X$2,,,Arb!$AJ$5,),V110)/X110)</f>
        <v>2.9614721104082804</v>
      </c>
      <c r="AA110" s="33">
        <f ca="1">IF(V110="","",(INDEX(OFFSET(Arb!$U$2,,,Arb!$AJ$5,),V110)+INDEX(OFFSET(Arb!$V$2,,,Arb!$AJ$5,),V110))/X110)</f>
        <v>3.2489936745255892</v>
      </c>
      <c r="AB110" s="33">
        <f t="shared" ca="1" si="16"/>
        <v>7.7441405411571722</v>
      </c>
      <c r="AC110" s="21">
        <f t="shared" ca="1" si="17"/>
        <v>56.171630368552137</v>
      </c>
      <c r="AD110" s="74">
        <f ca="1">IF(V110="","",DATE(INDEX(OFFSET(Arb!$C$2,,,Arb!$AJ$5,),V110),INDEX(OFFSET(Arb!$B$2,,,Arb!$AJ$5,),V110),INDEX(OFFSET(Arb!$A$2,,,Arb!$AJ$5,),V110))+ROW()*0.001)</f>
        <v>44074.11</v>
      </c>
    </row>
    <row r="111" spans="1:30" x14ac:dyDescent="0.25">
      <c r="A111" s="11">
        <v>110</v>
      </c>
      <c r="B111" s="11">
        <v>670</v>
      </c>
      <c r="C111" s="433">
        <f ca="1">IF(B111="",16,INDEX(OFFSET(Arb!$I$2,,,Arb!$AJ$5,),B111))</f>
        <v>19</v>
      </c>
      <c r="D111" s="34">
        <f ca="1">IF(B111="",10,INDEX(OFFSET(Arb!$H$2,,,Arb!$AJ$5,),B111))</f>
        <v>5.17</v>
      </c>
      <c r="E111" s="33">
        <f t="shared" ca="1" si="9"/>
        <v>3.6750483558994196</v>
      </c>
      <c r="F111" s="33">
        <f ca="1">IF(B111="","",INDEX(OFFSET(Arb!$X$2,,,Arb!$AJ$5,),B111)/D111)</f>
        <v>4.2553191489361701</v>
      </c>
      <c r="G111" s="33">
        <f ca="1">IF(B111="","",(INDEX(OFFSET(Arb!$U$2,,,Arb!$AJ$5,),B111)+INDEX(OFFSET(Arb!$V$2,,,Arb!$AJ$5,),B111))/D111)</f>
        <v>4.8355899419729207</v>
      </c>
      <c r="H111" s="33">
        <f t="shared" ca="1" si="10"/>
        <v>0.85937026438013242</v>
      </c>
      <c r="I111" s="21">
        <f t="shared" ca="1" si="11"/>
        <v>55.039139658988525</v>
      </c>
      <c r="J111" s="74">
        <f ca="1">IF(B111="","",DATE(INDEX(OFFSET(Arb!$C$2,,,Arb!$AJ$5,),B111),INDEX(OFFSET(Arb!$B$2,,,Arb!$AJ$5,),B111),INDEX(OFFSET(Arb!$A$2,,,Arb!$AJ$5,),B111))+ROW()*0.001)</f>
        <v>43801.110999999997</v>
      </c>
      <c r="K111" s="11">
        <v>110</v>
      </c>
      <c r="L111" s="11">
        <v>2112</v>
      </c>
      <c r="M111" s="433">
        <f ca="1">IF(L111="",64,INDEX(OFFSET(Arb!$I$2,,,Arb!$AJ$5,),L111))</f>
        <v>48</v>
      </c>
      <c r="N111" s="34">
        <f ca="1">IF(L111="",60,INDEX(OFFSET(Arb!$H$2,,,Arb!$AJ$5,),L111))</f>
        <v>17.829999999999998</v>
      </c>
      <c r="O111" s="33">
        <f t="shared" ca="1" si="12"/>
        <v>2.6920919798093106</v>
      </c>
      <c r="P111" s="33">
        <f ca="1">IF(L111="","",INDEX(OFFSET(Arb!$X$2,,,Arb!$AJ$5,),L111)/N111)</f>
        <v>3.3090297251822776</v>
      </c>
      <c r="Q111" s="33">
        <f ca="1">IF(L111="","",(INDEX(OFFSET(Arb!$U$2,,,Arb!$AJ$5,),L111)+INDEX(OFFSET(Arb!$V$2,,,Arb!$AJ$5,),L111))/N111)</f>
        <v>3.7577117218171625</v>
      </c>
      <c r="R111" s="33">
        <f t="shared" ca="1" si="13"/>
        <v>2.7907185941003854</v>
      </c>
      <c r="S111" s="21">
        <f t="shared" ca="1" si="14"/>
        <v>55.086170395319385</v>
      </c>
      <c r="T111" s="74">
        <f ca="1">IF(L111="","",DATE(INDEX(OFFSET(Arb!$C$2,,,Arb!$AJ$5,),L111),INDEX(OFFSET(Arb!$B$2,,,Arb!$AJ$5,),L111),INDEX(OFFSET(Arb!$A$2,,,Arb!$AJ$5,),L111))+ROW()*0.001)</f>
        <v>43811.110999999997</v>
      </c>
      <c r="U111" s="11">
        <v>110</v>
      </c>
      <c r="V111" s="11">
        <v>2871</v>
      </c>
      <c r="W111" s="433">
        <f ca="1">IF(V111="",164,INDEX(OFFSET(Arb!$I$2,,,Arb!$AJ$5,),V111))</f>
        <v>165</v>
      </c>
      <c r="X111" s="34">
        <f ca="1">IF(V111="",240,INDEX(OFFSET(Arb!$H$2,,,Arb!$AJ$5,),V111))</f>
        <v>65.599999999999994</v>
      </c>
      <c r="Y111" s="33">
        <f t="shared" ca="1" si="15"/>
        <v>2.5152439024390247</v>
      </c>
      <c r="Z111" s="33">
        <f ca="1">IF(V111="","",INDEX(OFFSET(Arb!$X$2,,,Arb!$AJ$5,),V111)/X111)</f>
        <v>3.0487804878048781</v>
      </c>
      <c r="AA111" s="33">
        <f ca="1">IF(V111="","",(INDEX(OFFSET(Arb!$U$2,,,Arb!$AJ$5,),V111)+INDEX(OFFSET(Arb!$V$2,,,Arb!$AJ$5,),V111))/X111)</f>
        <v>3.3231707317073176</v>
      </c>
      <c r="AB111" s="33">
        <f t="shared" ca="1" si="16"/>
        <v>7.4345139847489108</v>
      </c>
      <c r="AC111" s="21">
        <f t="shared" ca="1" si="17"/>
        <v>58.511020477243939</v>
      </c>
      <c r="AD111" s="74">
        <f ca="1">IF(V111="","",DATE(INDEX(OFFSET(Arb!$C$2,,,Arb!$AJ$5,),V111),INDEX(OFFSET(Arb!$B$2,,,Arb!$AJ$5,),V111),INDEX(OFFSET(Arb!$A$2,,,Arb!$AJ$5,),V111))+ROW()*0.001)</f>
        <v>43911.110999999997</v>
      </c>
    </row>
    <row r="112" spans="1:30" x14ac:dyDescent="0.25">
      <c r="A112" s="11">
        <v>111</v>
      </c>
      <c r="B112" s="11">
        <v>1514</v>
      </c>
      <c r="C112" s="433">
        <f ca="1">IF(B112="",16,INDEX(OFFSET(Arb!$I$2,,,Arb!$AJ$5,),B112))</f>
        <v>22</v>
      </c>
      <c r="D112" s="34">
        <f ca="1">IF(B112="",10,INDEX(OFFSET(Arb!$H$2,,,Arb!$AJ$5,),B112))</f>
        <v>5.99</v>
      </c>
      <c r="E112" s="33">
        <f t="shared" ca="1" si="9"/>
        <v>3.672787979966611</v>
      </c>
      <c r="F112" s="33">
        <f ca="1">IF(B112="","",INDEX(OFFSET(Arb!$X$2,,,Arb!$AJ$5,),B112)/D112)</f>
        <v>4.5075125208681133</v>
      </c>
      <c r="G112" s="33">
        <f ca="1">IF(B112="","",(INDEX(OFFSET(Arb!$U$2,,,Arb!$AJ$5,),B112)+INDEX(OFFSET(Arb!$V$2,,,Arb!$AJ$5,),B112))/D112)</f>
        <v>4.8414023372287147</v>
      </c>
      <c r="H112" s="33">
        <f t="shared" ca="1" si="10"/>
        <v>0.9532414470052788</v>
      </c>
      <c r="I112" s="21">
        <f t="shared" ca="1" si="11"/>
        <v>49.619118166331759</v>
      </c>
      <c r="J112" s="74">
        <f ca="1">IF(B112="","",DATE(INDEX(OFFSET(Arb!$C$2,,,Arb!$AJ$5,),B112),INDEX(OFFSET(Arb!$B$2,,,Arb!$AJ$5,),B112),INDEX(OFFSET(Arb!$A$2,,,Arb!$AJ$5,),B112))+ROW()*0.001)</f>
        <v>43984.112000000001</v>
      </c>
      <c r="K112" s="11">
        <v>111</v>
      </c>
      <c r="L112" s="11">
        <v>2152</v>
      </c>
      <c r="M112" s="433">
        <f ca="1">IF(L112="",64,INDEX(OFFSET(Arb!$I$2,,,Arb!$AJ$5,),L112))</f>
        <v>75</v>
      </c>
      <c r="N112" s="34">
        <f ca="1">IF(L112="",60,INDEX(OFFSET(Arb!$H$2,,,Arb!$AJ$5,),L112))</f>
        <v>27.86</v>
      </c>
      <c r="O112" s="33">
        <f t="shared" ca="1" si="12"/>
        <v>2.6920315865039486</v>
      </c>
      <c r="P112" s="33">
        <f ca="1">IF(L112="","",INDEX(OFFSET(Arb!$X$2,,,Arb!$AJ$5,),L112)/N112)</f>
        <v>3.3740129217516155</v>
      </c>
      <c r="Q112" s="33">
        <f ca="1">IF(L112="","",(INDEX(OFFSET(Arb!$U$2,,,Arb!$AJ$5,),L112)+INDEX(OFFSET(Arb!$V$2,,,Arb!$AJ$5,),L112))/N112)</f>
        <v>3.8047379755922472</v>
      </c>
      <c r="R112" s="33">
        <f t="shared" ca="1" si="13"/>
        <v>3.8142277997959035</v>
      </c>
      <c r="S112" s="21">
        <f t="shared" ca="1" si="14"/>
        <v>40.30435728254772</v>
      </c>
      <c r="T112" s="74">
        <f ca="1">IF(L112="","",DATE(INDEX(OFFSET(Arb!$C$2,,,Arb!$AJ$5,),L112),INDEX(OFFSET(Arb!$B$2,,,Arb!$AJ$5,),L112),INDEX(OFFSET(Arb!$A$2,,,Arb!$AJ$5,),L112))+ROW()*0.001)</f>
        <v>43821.112000000001</v>
      </c>
      <c r="U112" s="11">
        <v>111</v>
      </c>
      <c r="V112" s="11">
        <v>3318</v>
      </c>
      <c r="W112" s="433">
        <f ca="1">IF(V112="",164,INDEX(OFFSET(Arb!$I$2,,,Arb!$AJ$5,),V112))</f>
        <v>176</v>
      </c>
      <c r="X112" s="34">
        <f ca="1">IF(V112="",240,INDEX(OFFSET(Arb!$H$2,,,Arb!$AJ$5,),V112))</f>
        <v>70</v>
      </c>
      <c r="Y112" s="33">
        <f t="shared" ca="1" si="15"/>
        <v>2.5142857142857142</v>
      </c>
      <c r="Z112" s="33">
        <f ca="1">IF(V112="","",INDEX(OFFSET(Arb!$X$2,,,Arb!$AJ$5,),V112)/X112)</f>
        <v>3.2</v>
      </c>
      <c r="AA112" s="33">
        <f ca="1">IF(V112="","",(INDEX(OFFSET(Arb!$U$2,,,Arb!$AJ$5,),V112)+INDEX(OFFSET(Arb!$V$2,,,Arb!$AJ$5,),V112))/X112)</f>
        <v>3.5285714285714285</v>
      </c>
      <c r="AB112" s="33">
        <f t="shared" ca="1" si="16"/>
        <v>7.7831249062326684</v>
      </c>
      <c r="AC112" s="21">
        <f t="shared" ca="1" si="17"/>
        <v>55.890276108977055</v>
      </c>
      <c r="AD112" s="74">
        <f ca="1">IF(V112="","",DATE(INDEX(OFFSET(Arb!$C$2,,,Arb!$AJ$5,),V112),INDEX(OFFSET(Arb!$B$2,,,Arb!$AJ$5,),V112),INDEX(OFFSET(Arb!$A$2,,,Arb!$AJ$5,),V112))+ROW()*0.001)</f>
        <v>44094.112000000001</v>
      </c>
    </row>
    <row r="113" spans="1:30" x14ac:dyDescent="0.25">
      <c r="A113" s="11">
        <v>112</v>
      </c>
      <c r="B113" s="11">
        <v>1549</v>
      </c>
      <c r="C113" s="433">
        <f ca="1">IF(B113="",16,INDEX(OFFSET(Arb!$I$2,,,Arb!$AJ$5,),B113))</f>
        <v>17</v>
      </c>
      <c r="D113" s="34">
        <f ca="1">IF(B113="",10,INDEX(OFFSET(Arb!$H$2,,,Arb!$AJ$5,),B113))</f>
        <v>4.63</v>
      </c>
      <c r="E113" s="33">
        <f t="shared" ca="1" si="9"/>
        <v>3.6717062634989204</v>
      </c>
      <c r="F113" s="33">
        <f ca="1">IF(B113="","",INDEX(OFFSET(Arb!$X$2,,,Arb!$AJ$5,),B113)/D113)</f>
        <v>3.8876889848812097</v>
      </c>
      <c r="G113" s="33">
        <f ca="1">IF(B113="","",(INDEX(OFFSET(Arb!$U$2,,,Arb!$AJ$5,),B113)+INDEX(OFFSET(Arb!$V$2,,,Arb!$AJ$5,),B113))/D113)</f>
        <v>4.5356371490280782</v>
      </c>
      <c r="H113" s="33">
        <f t="shared" ca="1" si="10"/>
        <v>0.79623041552169105</v>
      </c>
      <c r="I113" s="21">
        <f t="shared" ca="1" si="11"/>
        <v>59.403658888124291</v>
      </c>
      <c r="J113" s="74">
        <f ca="1">IF(B113="","",DATE(INDEX(OFFSET(Arb!$C$2,,,Arb!$AJ$5,),B113),INDEX(OFFSET(Arb!$B$2,,,Arb!$AJ$5,),B113),INDEX(OFFSET(Arb!$A$2,,,Arb!$AJ$5,),B113))+ROW()*0.001)</f>
        <v>43984.112999999998</v>
      </c>
      <c r="K113" s="11">
        <v>112</v>
      </c>
      <c r="L113" s="11">
        <v>2241</v>
      </c>
      <c r="M113" s="433">
        <f ca="1">IF(L113="",64,INDEX(OFFSET(Arb!$I$2,,,Arb!$AJ$5,),L113))</f>
        <v>68</v>
      </c>
      <c r="N113" s="34">
        <f ca="1">IF(L113="",60,INDEX(OFFSET(Arb!$H$2,,,Arb!$AJ$5,),L113))</f>
        <v>25.26</v>
      </c>
      <c r="O113" s="33">
        <f t="shared" ca="1" si="12"/>
        <v>2.6920031670625493</v>
      </c>
      <c r="P113" s="33">
        <f ca="1">IF(L113="","",INDEX(OFFSET(Arb!$X$2,,,Arb!$AJ$5,),L113)/N113)</f>
        <v>2.8899445764053837</v>
      </c>
      <c r="Q113" s="33">
        <f ca="1">IF(L113="","",(INDEX(OFFSET(Arb!$U$2,,,Arb!$AJ$5,),L113)+INDEX(OFFSET(Arb!$V$2,,,Arb!$AJ$5,),L113))/N113)</f>
        <v>3.1670625494853519</v>
      </c>
      <c r="R113" s="33">
        <f t="shared" ca="1" si="13"/>
        <v>3.5614575797803307</v>
      </c>
      <c r="S113" s="21">
        <f t="shared" ca="1" si="14"/>
        <v>43.164911151203995</v>
      </c>
      <c r="T113" s="74">
        <f ca="1">IF(L113="","",DATE(INDEX(OFFSET(Arb!$C$2,,,Arb!$AJ$5,),L113),INDEX(OFFSET(Arb!$B$2,,,Arb!$AJ$5,),L113),INDEX(OFFSET(Arb!$A$2,,,Arb!$AJ$5,),L113))+ROW()*0.001)</f>
        <v>43890.112999999998</v>
      </c>
      <c r="U113" s="11">
        <v>112</v>
      </c>
      <c r="V113" s="11">
        <v>3210</v>
      </c>
      <c r="W113" s="433">
        <f ca="1">IF(V113="",164,INDEX(OFFSET(Arb!$I$2,,,Arb!$AJ$5,),V113))</f>
        <v>152</v>
      </c>
      <c r="X113" s="34">
        <f ca="1">IF(V113="",240,INDEX(OFFSET(Arb!$H$2,,,Arb!$AJ$5,),V113))</f>
        <v>60.46</v>
      </c>
      <c r="Y113" s="33">
        <f t="shared" ca="1" si="15"/>
        <v>2.5140588819053922</v>
      </c>
      <c r="Z113" s="33">
        <f ca="1">IF(V113="","",INDEX(OFFSET(Arb!$X$2,,,Arb!$AJ$5,),V113)/X113)</f>
        <v>3.1260337413165731</v>
      </c>
      <c r="AA113" s="33">
        <f ca="1">IF(V113="","",(INDEX(OFFSET(Arb!$U$2,,,Arb!$AJ$5,),V113)+INDEX(OFFSET(Arb!$V$2,,,Arb!$AJ$5,),V113))/X113)</f>
        <v>3.4733708236850811</v>
      </c>
      <c r="AB113" s="33">
        <f t="shared" ca="1" si="16"/>
        <v>7.0250958626178575</v>
      </c>
      <c r="AC113" s="21">
        <f t="shared" ca="1" si="17"/>
        <v>61.921005564456401</v>
      </c>
      <c r="AD113" s="74">
        <f ca="1">IF(V113="","",DATE(INDEX(OFFSET(Arb!$C$2,,,Arb!$AJ$5,),V113),INDEX(OFFSET(Arb!$B$2,,,Arb!$AJ$5,),V113),INDEX(OFFSET(Arb!$A$2,,,Arb!$AJ$5,),V113))+ROW()*0.001)</f>
        <v>44059.112999999998</v>
      </c>
    </row>
    <row r="114" spans="1:30" x14ac:dyDescent="0.25">
      <c r="A114" s="11">
        <v>113</v>
      </c>
      <c r="B114" s="11">
        <v>1664</v>
      </c>
      <c r="C114" s="433">
        <f ca="1">IF(B114="",16,INDEX(OFFSET(Arb!$I$2,,,Arb!$AJ$5,),B114))</f>
        <v>25</v>
      </c>
      <c r="D114" s="34">
        <f ca="1">IF(B114="",10,INDEX(OFFSET(Arb!$H$2,,,Arb!$AJ$5,),B114))</f>
        <v>6.81</v>
      </c>
      <c r="E114" s="33">
        <f t="shared" ca="1" si="9"/>
        <v>3.6710719530102791</v>
      </c>
      <c r="F114" s="33">
        <f ca="1">IF(B114="","",INDEX(OFFSET(Arb!$X$2,,,Arb!$AJ$5,),B114)/D114)</f>
        <v>3.9647577092511015</v>
      </c>
      <c r="G114" s="33">
        <f ca="1">IF(B114="","",(INDEX(OFFSET(Arb!$U$2,,,Arb!$AJ$5,),B114)+INDEX(OFFSET(Arb!$V$2,,,Arb!$AJ$5,),B114))/D114)</f>
        <v>4.6989720998531572</v>
      </c>
      <c r="H114" s="33">
        <f t="shared" ca="1" si="10"/>
        <v>1.0433021000757363</v>
      </c>
      <c r="I114" s="21">
        <f t="shared" ca="1" si="11"/>
        <v>45.335861968040156</v>
      </c>
      <c r="J114" s="74">
        <f ca="1">IF(B114="","",DATE(INDEX(OFFSET(Arb!$C$2,,,Arb!$AJ$5,),B114),INDEX(OFFSET(Arb!$B$2,,,Arb!$AJ$5,),B114),INDEX(OFFSET(Arb!$A$2,,,Arb!$AJ$5,),B114))+ROW()*0.001)</f>
        <v>44096.114000000001</v>
      </c>
      <c r="K114" s="11">
        <v>113</v>
      </c>
      <c r="L114" s="11">
        <v>2268</v>
      </c>
      <c r="M114" s="433">
        <f ca="1">IF(L114="",64,INDEX(OFFSET(Arb!$I$2,,,Arb!$AJ$5,),L114))</f>
        <v>63</v>
      </c>
      <c r="N114" s="34">
        <f ca="1">IF(L114="",60,INDEX(OFFSET(Arb!$H$2,,,Arb!$AJ$5,),L114))</f>
        <v>23.42</v>
      </c>
      <c r="O114" s="33">
        <f t="shared" ca="1" si="12"/>
        <v>2.6900085397096496</v>
      </c>
      <c r="P114" s="33">
        <f ca="1">IF(L114="","",INDEX(OFFSET(Arb!$X$2,,,Arb!$AJ$5,),L114)/N114)</f>
        <v>3.5439795046968401</v>
      </c>
      <c r="Q114" s="33">
        <f ca="1">IF(L114="","",(INDEX(OFFSET(Arb!$U$2,,,Arb!$AJ$5,),L114)+INDEX(OFFSET(Arb!$V$2,,,Arb!$AJ$5,),L114))/N114)</f>
        <v>4.0563620836891543</v>
      </c>
      <c r="R114" s="33">
        <f t="shared" ca="1" si="13"/>
        <v>3.3803149394178194</v>
      </c>
      <c r="S114" s="21">
        <f t="shared" ca="1" si="14"/>
        <v>45.478011000500565</v>
      </c>
      <c r="T114" s="74">
        <f ca="1">IF(L114="","",DATE(INDEX(OFFSET(Arb!$C$2,,,Arb!$AJ$5,),L114),INDEX(OFFSET(Arb!$B$2,,,Arb!$AJ$5,),L114),INDEX(OFFSET(Arb!$A$2,,,Arb!$AJ$5,),L114))+ROW()*0.001)</f>
        <v>43912.114000000001</v>
      </c>
      <c r="U114" s="11">
        <v>113</v>
      </c>
      <c r="V114" s="11">
        <v>3193</v>
      </c>
      <c r="W114" s="433">
        <f ca="1">IF(V114="",164,INDEX(OFFSET(Arb!$I$2,,,Arb!$AJ$5,),V114))</f>
        <v>191</v>
      </c>
      <c r="X114" s="34">
        <f ca="1">IF(V114="",240,INDEX(OFFSET(Arb!$H$2,,,Arb!$AJ$5,),V114))</f>
        <v>76.040000000000006</v>
      </c>
      <c r="Y114" s="33">
        <f t="shared" ca="1" si="15"/>
        <v>2.5118358758548132</v>
      </c>
      <c r="Z114" s="33">
        <f ca="1">IF(V114="","",INDEX(OFFSET(Arb!$X$2,,,Arb!$AJ$5,),V114)/X114)</f>
        <v>2.9852709100473431</v>
      </c>
      <c r="AA114" s="33">
        <f ca="1">IF(V114="","",(INDEX(OFFSET(Arb!$U$2,,,Arb!$AJ$5,),V114)+INDEX(OFFSET(Arb!$V$2,,,Arb!$AJ$5,),V114))/X114)</f>
        <v>3.2219884271436086</v>
      </c>
      <c r="AB114" s="33">
        <f t="shared" ca="1" si="16"/>
        <v>8.2554018180710127</v>
      </c>
      <c r="AC114" s="21">
        <f t="shared" ca="1" si="17"/>
        <v>52.692892434113389</v>
      </c>
      <c r="AD114" s="74">
        <f ca="1">IF(V114="","",DATE(INDEX(OFFSET(Arb!$C$2,,,Arb!$AJ$5,),V114),INDEX(OFFSET(Arb!$B$2,,,Arb!$AJ$5,),V114),INDEX(OFFSET(Arb!$A$2,,,Arb!$AJ$5,),V114))+ROW()*0.001)</f>
        <v>44057.114000000001</v>
      </c>
    </row>
    <row r="115" spans="1:30" x14ac:dyDescent="0.25">
      <c r="A115" s="11">
        <v>114</v>
      </c>
      <c r="B115" s="11">
        <v>1548</v>
      </c>
      <c r="C115" s="433">
        <f ca="1">IF(B115="",16,INDEX(OFFSET(Arb!$I$2,,,Arb!$AJ$5,),B115))</f>
        <v>20</v>
      </c>
      <c r="D115" s="34">
        <f ca="1">IF(B115="",10,INDEX(OFFSET(Arb!$H$2,,,Arb!$AJ$5,),B115))</f>
        <v>5.45</v>
      </c>
      <c r="E115" s="33">
        <f t="shared" ca="1" si="9"/>
        <v>3.6697247706422016</v>
      </c>
      <c r="F115" s="33">
        <f ca="1">IF(B115="","",INDEX(OFFSET(Arb!$X$2,,,Arb!$AJ$5,),B115)/D115)</f>
        <v>3.8532110091743119</v>
      </c>
      <c r="G115" s="33">
        <f ca="1">IF(B115="","",(INDEX(OFFSET(Arb!$U$2,,,Arb!$AJ$5,),B115)+INDEX(OFFSET(Arb!$V$2,,,Arb!$AJ$5,),B115))/D115)</f>
        <v>4.5871559633027523</v>
      </c>
      <c r="H115" s="33">
        <f t="shared" ca="1" si="10"/>
        <v>0.89298478278402682</v>
      </c>
      <c r="I115" s="21">
        <f t="shared" ca="1" si="11"/>
        <v>52.967307967485844</v>
      </c>
      <c r="J115" s="74">
        <f ca="1">IF(B115="","",DATE(INDEX(OFFSET(Arb!$C$2,,,Arb!$AJ$5,),B115),INDEX(OFFSET(Arb!$B$2,,,Arb!$AJ$5,),B115),INDEX(OFFSET(Arb!$A$2,,,Arb!$AJ$5,),B115))+ROW()*0.001)</f>
        <v>43984.114999999998</v>
      </c>
      <c r="K115" s="11">
        <v>114</v>
      </c>
      <c r="L115" s="11">
        <v>2146</v>
      </c>
      <c r="M115" s="433">
        <f ca="1">IF(L115="",64,INDEX(OFFSET(Arb!$I$2,,,Arb!$AJ$5,),L115))</f>
        <v>82</v>
      </c>
      <c r="N115" s="34">
        <f ca="1">IF(L115="",60,INDEX(OFFSET(Arb!$H$2,,,Arb!$AJ$5,),L115))</f>
        <v>30.5</v>
      </c>
      <c r="O115" s="33">
        <f t="shared" ca="1" si="12"/>
        <v>2.6885245901639343</v>
      </c>
      <c r="P115" s="33">
        <f ca="1">IF(L115="","",INDEX(OFFSET(Arb!$X$2,,,Arb!$AJ$5,),L115)/N115)</f>
        <v>3.4098360655737703</v>
      </c>
      <c r="Q115" s="33">
        <f ca="1">IF(L115="","",(INDEX(OFFSET(Arb!$U$2,,,Arb!$AJ$5,),L115)+INDEX(OFFSET(Arb!$V$2,,,Arb!$AJ$5,),L115))/N115)</f>
        <v>3.901639344262295</v>
      </c>
      <c r="R115" s="33">
        <f t="shared" ca="1" si="13"/>
        <v>4.0690766845225186</v>
      </c>
      <c r="S115" s="21">
        <f t="shared" ca="1" si="14"/>
        <v>37.780069514231648</v>
      </c>
      <c r="T115" s="74">
        <f ca="1">IF(L115="","",DATE(INDEX(OFFSET(Arb!$C$2,,,Arb!$AJ$5,),L115),INDEX(OFFSET(Arb!$B$2,,,Arb!$AJ$5,),L115),INDEX(OFFSET(Arb!$A$2,,,Arb!$AJ$5,),L115))+ROW()*0.001)</f>
        <v>43818.114999999998</v>
      </c>
      <c r="U115" s="11">
        <v>114</v>
      </c>
      <c r="V115" s="11">
        <v>3329</v>
      </c>
      <c r="W115" s="433">
        <f ca="1">IF(V115="",164,INDEX(OFFSET(Arb!$I$2,,,Arb!$AJ$5,),V115))</f>
        <v>171</v>
      </c>
      <c r="X115" s="34">
        <f ca="1">IF(V115="",240,INDEX(OFFSET(Arb!$H$2,,,Arb!$AJ$5,),V115))</f>
        <v>68.11</v>
      </c>
      <c r="Y115" s="33">
        <f t="shared" ca="1" si="15"/>
        <v>2.5106445455880193</v>
      </c>
      <c r="Z115" s="33">
        <f ca="1">IF(V115="","",INDEX(OFFSET(Arb!$X$2,,,Arb!$AJ$5,),V115)/X115)</f>
        <v>3.0098370283365146</v>
      </c>
      <c r="AA115" s="33">
        <f ca="1">IF(V115="","",(INDEX(OFFSET(Arb!$U$2,,,Arb!$AJ$5,),V115)+INDEX(OFFSET(Arb!$V$2,,,Arb!$AJ$5,),V115))/X115)</f>
        <v>3.28879753340185</v>
      </c>
      <c r="AB115" s="33">
        <f t="shared" ca="1" si="16"/>
        <v>7.6464945986808779</v>
      </c>
      <c r="AC115" s="21">
        <f t="shared" ca="1" si="17"/>
        <v>56.888943604961604</v>
      </c>
      <c r="AD115" s="74">
        <f ca="1">IF(V115="","",DATE(INDEX(OFFSET(Arb!$C$2,,,Arb!$AJ$5,),V115),INDEX(OFFSET(Arb!$B$2,,,Arb!$AJ$5,),V115),INDEX(OFFSET(Arb!$A$2,,,Arb!$AJ$5,),V115))+ROW()*0.001)</f>
        <v>44096.114999999998</v>
      </c>
    </row>
    <row r="116" spans="1:30" x14ac:dyDescent="0.25">
      <c r="A116" s="11">
        <v>115</v>
      </c>
      <c r="B116" s="11">
        <v>259</v>
      </c>
      <c r="C116" s="433">
        <f ca="1">IF(B116="",16,INDEX(OFFSET(Arb!$I$2,,,Arb!$AJ$5,),B116))</f>
        <v>20</v>
      </c>
      <c r="D116" s="34">
        <f ca="1">IF(B116="",10,INDEX(OFFSET(Arb!$H$2,,,Arb!$AJ$5,),B116))</f>
        <v>5.45</v>
      </c>
      <c r="E116" s="33">
        <f t="shared" ca="1" si="9"/>
        <v>3.6697247706422016</v>
      </c>
      <c r="F116" s="33">
        <f ca="1">IF(B116="","",INDEX(OFFSET(Arb!$X$2,,,Arb!$AJ$5,),B116)/D116)</f>
        <v>3.8532110091743119</v>
      </c>
      <c r="G116" s="33">
        <f ca="1">IF(B116="","",(INDEX(OFFSET(Arb!$U$2,,,Arb!$AJ$5,),B116)+INDEX(OFFSET(Arb!$V$2,,,Arb!$AJ$5,),B116))/D116)</f>
        <v>4.4036697247706424</v>
      </c>
      <c r="H116" s="33">
        <f t="shared" ca="1" si="10"/>
        <v>0.89298478278402682</v>
      </c>
      <c r="I116" s="21">
        <f t="shared" ca="1" si="11"/>
        <v>52.967307967485844</v>
      </c>
      <c r="J116" s="74">
        <f ca="1">IF(B116="","",DATE(INDEX(OFFSET(Arb!$C$2,,,Arb!$AJ$5,),B116),INDEX(OFFSET(Arb!$B$2,,,Arb!$AJ$5,),B116),INDEX(OFFSET(Arb!$A$2,,,Arb!$AJ$5,),B116))+ROW()*0.001)</f>
        <v>43776.116000000002</v>
      </c>
      <c r="K116" s="11">
        <v>115</v>
      </c>
      <c r="L116" s="11">
        <v>2215</v>
      </c>
      <c r="M116" s="433">
        <f ca="1">IF(L116="",64,INDEX(OFFSET(Arb!$I$2,,,Arb!$AJ$5,),L116))</f>
        <v>54</v>
      </c>
      <c r="N116" s="34">
        <f ca="1">IF(L116="",60,INDEX(OFFSET(Arb!$H$2,,,Arb!$AJ$5,),L116))</f>
        <v>20.09</v>
      </c>
      <c r="O116" s="33">
        <f t="shared" ca="1" si="12"/>
        <v>2.6879044300647088</v>
      </c>
      <c r="P116" s="33">
        <f ca="1">IF(L116="","",INDEX(OFFSET(Arb!$X$2,,,Arb!$AJ$5,),L116)/N116)</f>
        <v>3.3847685415629667</v>
      </c>
      <c r="Q116" s="33">
        <f ca="1">IF(L116="","",(INDEX(OFFSET(Arb!$U$2,,,Arb!$AJ$5,),L116)+INDEX(OFFSET(Arb!$V$2,,,Arb!$AJ$5,),L116))/N116)</f>
        <v>3.7332005973120954</v>
      </c>
      <c r="R116" s="33">
        <f t="shared" ca="1" si="13"/>
        <v>3.0385901987496711</v>
      </c>
      <c r="S116" s="21">
        <f t="shared" ca="1" si="14"/>
        <v>50.592541259185694</v>
      </c>
      <c r="T116" s="74">
        <f ca="1">IF(L116="","",DATE(INDEX(OFFSET(Arb!$C$2,,,Arb!$AJ$5,),L116),INDEX(OFFSET(Arb!$B$2,,,Arb!$AJ$5,),L116),INDEX(OFFSET(Arb!$A$2,,,Arb!$AJ$5,),L116))+ROW()*0.001)</f>
        <v>43870.116000000002</v>
      </c>
      <c r="U116" s="11">
        <v>115</v>
      </c>
      <c r="V116" s="11">
        <v>2992</v>
      </c>
      <c r="W116" s="433">
        <f ca="1">IF(V116="",164,INDEX(OFFSET(Arb!$I$2,,,Arb!$AJ$5,),V116))</f>
        <v>185</v>
      </c>
      <c r="X116" s="34">
        <f ca="1">IF(V116="",240,INDEX(OFFSET(Arb!$H$2,,,Arb!$AJ$5,),V116))</f>
        <v>73.709999999999994</v>
      </c>
      <c r="Y116" s="33">
        <f t="shared" ca="1" si="15"/>
        <v>2.5098358431691765</v>
      </c>
      <c r="Z116" s="33">
        <f ca="1">IF(V116="","",INDEX(OFFSET(Arb!$X$2,,,Arb!$AJ$5,),V116)/X116)</f>
        <v>2.9439696106362776</v>
      </c>
      <c r="AA116" s="33">
        <f ca="1">IF(V116="","",(INDEX(OFFSET(Arb!$U$2,,,Arb!$AJ$5,),V116)+INDEX(OFFSET(Arb!$V$2,,,Arb!$AJ$5,),V116))/X116)</f>
        <v>3.2424365757699092</v>
      </c>
      <c r="AB116" s="33">
        <f t="shared" ca="1" si="16"/>
        <v>8.083941659779871</v>
      </c>
      <c r="AC116" s="21">
        <f t="shared" ca="1" si="17"/>
        <v>53.81050709015696</v>
      </c>
      <c r="AD116" s="74">
        <f ca="1">IF(V116="","",DATE(INDEX(OFFSET(Arb!$C$2,,,Arb!$AJ$5,),V116),INDEX(OFFSET(Arb!$B$2,,,Arb!$AJ$5,),V116),INDEX(OFFSET(Arb!$A$2,,,Arb!$AJ$5,),V116))+ROW()*0.001)</f>
        <v>43956.116000000002</v>
      </c>
    </row>
    <row r="117" spans="1:30" x14ac:dyDescent="0.25">
      <c r="A117" s="11">
        <v>116</v>
      </c>
      <c r="B117" s="11">
        <v>216</v>
      </c>
      <c r="C117" s="433">
        <f ca="1">IF(B117="",16,INDEX(OFFSET(Arb!$I$2,,,Arb!$AJ$5,),B117))</f>
        <v>15</v>
      </c>
      <c r="D117" s="34">
        <f ca="1">IF(B117="",10,INDEX(OFFSET(Arb!$H$2,,,Arb!$AJ$5,),B117))</f>
        <v>4.09</v>
      </c>
      <c r="E117" s="33">
        <f t="shared" ca="1" si="9"/>
        <v>3.6674816625916873</v>
      </c>
      <c r="F117" s="33">
        <f ca="1">IF(B117="","",INDEX(OFFSET(Arb!$X$2,,,Arb!$AJ$5,),B117)/D117)</f>
        <v>4.4009779951100247</v>
      </c>
      <c r="G117" s="33">
        <f ca="1">IF(B117="","",(INDEX(OFFSET(Arb!$U$2,,,Arb!$AJ$5,),B117)+INDEX(OFFSET(Arb!$V$2,,,Arb!$AJ$5,),B117))/D117)</f>
        <v>5.1344743276283618</v>
      </c>
      <c r="H117" s="33">
        <f t="shared" ca="1" si="10"/>
        <v>0.7308670192372736</v>
      </c>
      <c r="I117" s="21">
        <f t="shared" ca="1" si="11"/>
        <v>64.716287306767271</v>
      </c>
      <c r="J117" s="74">
        <f ca="1">IF(B117="","",DATE(INDEX(OFFSET(Arb!$C$2,,,Arb!$AJ$5,),B117),INDEX(OFFSET(Arb!$B$2,,,Arb!$AJ$5,),B117),INDEX(OFFSET(Arb!$A$2,,,Arb!$AJ$5,),B117))+ROW()*0.001)</f>
        <v>43774.116999999998</v>
      </c>
      <c r="K117" s="11">
        <v>116</v>
      </c>
      <c r="L117" s="11">
        <v>2092</v>
      </c>
      <c r="M117" s="433">
        <f ca="1">IF(L117="",64,INDEX(OFFSET(Arb!$I$2,,,Arb!$AJ$5,),L117))</f>
        <v>79</v>
      </c>
      <c r="N117" s="34">
        <f ca="1">IF(L117="",60,INDEX(OFFSET(Arb!$H$2,,,Arb!$AJ$5,),L117))</f>
        <v>29.42</v>
      </c>
      <c r="O117" s="33">
        <f t="shared" ca="1" si="12"/>
        <v>2.6852481305234535</v>
      </c>
      <c r="P117" s="33">
        <f ca="1">IF(L117="","",INDEX(OFFSET(Arb!$X$2,,,Arb!$AJ$5,),L117)/N117)</f>
        <v>2.9911624745071377</v>
      </c>
      <c r="Q117" s="33">
        <f ca="1">IF(L117="","",(INDEX(OFFSET(Arb!$U$2,,,Arb!$AJ$5,),L117)+INDEX(OFFSET(Arb!$V$2,,,Arb!$AJ$5,),L117))/N117)</f>
        <v>3.4330387491502377</v>
      </c>
      <c r="R117" s="33">
        <f t="shared" ca="1" si="13"/>
        <v>3.9725140781630874</v>
      </c>
      <c r="S117" s="21">
        <f t="shared" ca="1" si="14"/>
        <v>38.698415405260334</v>
      </c>
      <c r="T117" s="74">
        <f ca="1">IF(L117="","",DATE(INDEX(OFFSET(Arb!$C$2,,,Arb!$AJ$5,),L117),INDEX(OFFSET(Arb!$B$2,,,Arb!$AJ$5,),L117),INDEX(OFFSET(Arb!$A$2,,,Arb!$AJ$5,),L117))+ROW()*0.001)</f>
        <v>43809.116999999998</v>
      </c>
      <c r="U117" s="11">
        <v>116</v>
      </c>
      <c r="V117" s="11">
        <v>3289</v>
      </c>
      <c r="W117" s="433">
        <f ca="1">IF(V117="",164,INDEX(OFFSET(Arb!$I$2,,,Arb!$AJ$5,),V117))</f>
        <v>181</v>
      </c>
      <c r="X117" s="34">
        <f ca="1">IF(V117="",240,INDEX(OFFSET(Arb!$H$2,,,Arb!$AJ$5,),V117))</f>
        <v>72.17</v>
      </c>
      <c r="Y117" s="33">
        <f t="shared" ca="1" si="15"/>
        <v>2.5079672994318969</v>
      </c>
      <c r="Z117" s="33">
        <f ca="1">IF(V117="","",INDEX(OFFSET(Arb!$X$2,,,Arb!$AJ$5,),V117)/X117)</f>
        <v>2.9652210059581541</v>
      </c>
      <c r="AA117" s="33">
        <f ca="1">IF(V117="","",(INDEX(OFFSET(Arb!$U$2,,,Arb!$AJ$5,),V117)+INDEX(OFFSET(Arb!$V$2,,,Arb!$AJ$5,),V117))/X117)</f>
        <v>3.1869197727587641</v>
      </c>
      <c r="AB117" s="33">
        <f t="shared" ca="1" si="16"/>
        <v>7.9712755887893429</v>
      </c>
      <c r="AC117" s="21">
        <f t="shared" ca="1" si="17"/>
        <v>54.571065214678747</v>
      </c>
      <c r="AD117" s="74">
        <f ca="1">IF(V117="","",DATE(INDEX(OFFSET(Arb!$C$2,,,Arb!$AJ$5,),V117),INDEX(OFFSET(Arb!$B$2,,,Arb!$AJ$5,),V117),INDEX(OFFSET(Arb!$A$2,,,Arb!$AJ$5,),V117))+ROW()*0.001)</f>
        <v>44084.116999999998</v>
      </c>
    </row>
    <row r="118" spans="1:30" x14ac:dyDescent="0.25">
      <c r="A118" s="11">
        <v>117</v>
      </c>
      <c r="B118" s="11">
        <v>962</v>
      </c>
      <c r="C118" s="433">
        <f ca="1">IF(B118="",16,INDEX(OFFSET(Arb!$I$2,,,Arb!$AJ$5,),B118))</f>
        <v>18</v>
      </c>
      <c r="D118" s="34">
        <f ca="1">IF(B118="",10,INDEX(OFFSET(Arb!$H$2,,,Arb!$AJ$5,),B118))</f>
        <v>4.91</v>
      </c>
      <c r="E118" s="33">
        <f t="shared" ca="1" si="9"/>
        <v>3.6659877800407332</v>
      </c>
      <c r="F118" s="33">
        <f ca="1">IF(B118="","",INDEX(OFFSET(Arb!$X$2,,,Arb!$AJ$5,),B118)/D118)</f>
        <v>3.6659877800407332</v>
      </c>
      <c r="G118" s="33">
        <f ca="1">IF(B118="","",(INDEX(OFFSET(Arb!$U$2,,,Arb!$AJ$5,),B118)+INDEX(OFFSET(Arb!$V$2,,,Arb!$AJ$5,),B118))/D118)</f>
        <v>4.4806517311608962</v>
      </c>
      <c r="H118" s="33">
        <f t="shared" ca="1" si="10"/>
        <v>0.83093304678484503</v>
      </c>
      <c r="I118" s="21">
        <f t="shared" ca="1" si="11"/>
        <v>56.922757113843872</v>
      </c>
      <c r="J118" s="74">
        <f ca="1">IF(B118="","",DATE(INDEX(OFFSET(Arb!$C$2,,,Arb!$AJ$5,),B118),INDEX(OFFSET(Arb!$B$2,,,Arb!$AJ$5,),B118),INDEX(OFFSET(Arb!$A$2,,,Arb!$AJ$5,),B118))+ROW()*0.001)</f>
        <v>43822.118000000002</v>
      </c>
      <c r="K118" s="11">
        <v>117</v>
      </c>
      <c r="L118" s="11">
        <v>1882</v>
      </c>
      <c r="M118" s="433">
        <f ca="1">IF(L118="",64,INDEX(OFFSET(Arb!$I$2,,,Arb!$AJ$5,),L118))</f>
        <v>77</v>
      </c>
      <c r="N118" s="34">
        <f ca="1">IF(L118="",60,INDEX(OFFSET(Arb!$H$2,,,Arb!$AJ$5,),L118))</f>
        <v>28.68</v>
      </c>
      <c r="O118" s="33">
        <f t="shared" ca="1" si="12"/>
        <v>2.6847977684797768</v>
      </c>
      <c r="P118" s="33">
        <f ca="1">IF(L118="","",INDEX(OFFSET(Arb!$X$2,,,Arb!$AJ$5,),L118)/N118)</f>
        <v>3.2775453277545328</v>
      </c>
      <c r="Q118" s="33">
        <f ca="1">IF(L118="","",(INDEX(OFFSET(Arb!$U$2,,,Arb!$AJ$5,),L118)+INDEX(OFFSET(Arb!$V$2,,,Arb!$AJ$5,),L118))/N118)</f>
        <v>3.6262203626220364</v>
      </c>
      <c r="R118" s="33">
        <f t="shared" ca="1" si="13"/>
        <v>3.9029575226771005</v>
      </c>
      <c r="S118" s="21">
        <f t="shared" ca="1" si="14"/>
        <v>39.388079195531226</v>
      </c>
      <c r="T118" s="74">
        <f ca="1">IF(L118="","",DATE(INDEX(OFFSET(Arb!$C$2,,,Arb!$AJ$5,),L118),INDEX(OFFSET(Arb!$B$2,,,Arb!$AJ$5,),L118),INDEX(OFFSET(Arb!$A$2,,,Arb!$AJ$5,),L118))+ROW()*0.001)</f>
        <v>43764.118000000002</v>
      </c>
      <c r="U118" s="11">
        <v>117</v>
      </c>
      <c r="V118" s="11">
        <v>2540</v>
      </c>
      <c r="W118" s="433">
        <f ca="1">IF(V118="",164,INDEX(OFFSET(Arb!$I$2,,,Arb!$AJ$5,),V118))</f>
        <v>174</v>
      </c>
      <c r="X118" s="34">
        <f ca="1">IF(V118="",240,INDEX(OFFSET(Arb!$H$2,,,Arb!$AJ$5,),V118))</f>
        <v>69.38</v>
      </c>
      <c r="Y118" s="33">
        <f t="shared" ca="1" si="15"/>
        <v>2.5079273565869129</v>
      </c>
      <c r="Z118" s="33">
        <f ca="1">IF(V118="","",INDEX(OFFSET(Arb!$X$2,,,Arb!$AJ$5,),V118)/X118)</f>
        <v>2.9259152493513985</v>
      </c>
      <c r="AA118" s="33">
        <f ca="1">IF(V118="","",(INDEX(OFFSET(Arb!$U$2,,,Arb!$AJ$5,),V118)+INDEX(OFFSET(Arb!$V$2,,,Arb!$AJ$5,),V118))/X118)</f>
        <v>3.1565292591524936</v>
      </c>
      <c r="AB118" s="33">
        <f t="shared" ca="1" si="16"/>
        <v>7.7544152545477356</v>
      </c>
      <c r="AC118" s="21">
        <f t="shared" ca="1" si="17"/>
        <v>56.097202138470045</v>
      </c>
      <c r="AD118" s="74">
        <f ca="1">IF(V118="","",DATE(INDEX(OFFSET(Arb!$C$2,,,Arb!$AJ$5,),V118),INDEX(OFFSET(Arb!$B$2,,,Arb!$AJ$5,),V118),INDEX(OFFSET(Arb!$A$2,,,Arb!$AJ$5,),V118))+ROW()*0.001)</f>
        <v>43796.118000000002</v>
      </c>
    </row>
    <row r="119" spans="1:30" x14ac:dyDescent="0.25">
      <c r="A119" s="11">
        <v>118</v>
      </c>
      <c r="B119" s="11">
        <v>1807</v>
      </c>
      <c r="C119" s="433">
        <f ca="1">IF(B119="",16,INDEX(OFFSET(Arb!$I$2,,,Arb!$AJ$5,),B119))</f>
        <v>21</v>
      </c>
      <c r="D119" s="34">
        <f ca="1">IF(B119="",10,INDEX(OFFSET(Arb!$H$2,,,Arb!$AJ$5,),B119))</f>
        <v>5.73</v>
      </c>
      <c r="E119" s="33">
        <f t="shared" ca="1" si="9"/>
        <v>3.664921465968586</v>
      </c>
      <c r="F119" s="33">
        <f ca="1">IF(B119="","",INDEX(OFFSET(Arb!$X$2,,,Arb!$AJ$5,),B119)/D119)</f>
        <v>4.3630017452006982</v>
      </c>
      <c r="G119" s="33">
        <f ca="1">IF(B119="","",(INDEX(OFFSET(Arb!$U$2,,,Arb!$AJ$5,),B119)+INDEX(OFFSET(Arb!$V$2,,,Arb!$AJ$5,),B119))/D119)</f>
        <v>4.8865619546247814</v>
      </c>
      <c r="H119" s="33">
        <f t="shared" ca="1" si="10"/>
        <v>0.92606946079815156</v>
      </c>
      <c r="I119" s="21">
        <f t="shared" ca="1" si="11"/>
        <v>51.075002472529874</v>
      </c>
      <c r="J119" s="74">
        <f ca="1">IF(B119="","",DATE(INDEX(OFFSET(Arb!$C$2,,,Arb!$AJ$5,),B119),INDEX(OFFSET(Arb!$B$2,,,Arb!$AJ$5,),B119),INDEX(OFFSET(Arb!$A$2,,,Arb!$AJ$5,),B119))+ROW()*0.001)</f>
        <v>44168.118999999999</v>
      </c>
      <c r="K119" s="11">
        <v>118</v>
      </c>
      <c r="L119" s="11">
        <v>2348</v>
      </c>
      <c r="M119" s="433">
        <f ca="1">IF(L119="",64,INDEX(OFFSET(Arb!$I$2,,,Arb!$AJ$5,),L119))</f>
        <v>65</v>
      </c>
      <c r="N119" s="34">
        <f ca="1">IF(L119="",60,INDEX(OFFSET(Arb!$H$2,,,Arb!$AJ$5,),L119))</f>
        <v>24.22</v>
      </c>
      <c r="O119" s="33">
        <f t="shared" ca="1" si="12"/>
        <v>2.6837324525185799</v>
      </c>
      <c r="P119" s="33">
        <f ca="1">IF(L119="","",INDEX(OFFSET(Arb!$X$2,,,Arb!$AJ$5,),L119)/N119)</f>
        <v>3.3030553261767137</v>
      </c>
      <c r="Q119" s="33">
        <f ca="1">IF(L119="","",(INDEX(OFFSET(Arb!$U$2,,,Arb!$AJ$5,),L119)+INDEX(OFFSET(Arb!$V$2,,,Arb!$AJ$5,),L119))/N119)</f>
        <v>3.7572254335260116</v>
      </c>
      <c r="R119" s="33">
        <f t="shared" ca="1" si="13"/>
        <v>3.4688273068258857</v>
      </c>
      <c r="S119" s="21">
        <f t="shared" ca="1" si="14"/>
        <v>44.317570868256631</v>
      </c>
      <c r="T119" s="74">
        <f ca="1">IF(L119="","",DATE(INDEX(OFFSET(Arb!$C$2,,,Arb!$AJ$5,),L119),INDEX(OFFSET(Arb!$B$2,,,Arb!$AJ$5,),L119),INDEX(OFFSET(Arb!$A$2,,,Arb!$AJ$5,),L119))+ROW()*0.001)</f>
        <v>44106.118999999999</v>
      </c>
      <c r="U119" s="11">
        <v>118</v>
      </c>
      <c r="V119" s="11">
        <v>3243</v>
      </c>
      <c r="W119" s="433">
        <f ca="1">IF(V119="",164,INDEX(OFFSET(Arb!$I$2,,,Arb!$AJ$5,),V119))</f>
        <v>185</v>
      </c>
      <c r="X119" s="34">
        <f ca="1">IF(V119="",240,INDEX(OFFSET(Arb!$H$2,,,Arb!$AJ$5,),V119))</f>
        <v>73.77</v>
      </c>
      <c r="Y119" s="33">
        <f t="shared" ca="1" si="15"/>
        <v>2.5077944964077541</v>
      </c>
      <c r="Z119" s="33">
        <f ca="1">IF(V119="","",INDEX(OFFSET(Arb!$X$2,,,Arb!$AJ$5,),V119)/X119)</f>
        <v>2.9957977497627764</v>
      </c>
      <c r="AA119" s="33">
        <f ca="1">IF(V119="","",(INDEX(OFFSET(Arb!$U$2,,,Arb!$AJ$5,),V119)+INDEX(OFFSET(Arb!$V$2,,,Arb!$AJ$5,),V119))/X119)</f>
        <v>3.3075776060729294</v>
      </c>
      <c r="AB119" s="33">
        <f t="shared" ca="1" si="16"/>
        <v>8.0951314162327765</v>
      </c>
      <c r="AC119" s="21">
        <f t="shared" ca="1" si="17"/>
        <v>53.736125781443576</v>
      </c>
      <c r="AD119" s="74">
        <f ca="1">IF(V119="","",DATE(INDEX(OFFSET(Arb!$C$2,,,Arb!$AJ$5,),V119),INDEX(OFFSET(Arb!$B$2,,,Arb!$AJ$5,),V119),INDEX(OFFSET(Arb!$A$2,,,Arb!$AJ$5,),V119))+ROW()*0.001)</f>
        <v>44064.118999999999</v>
      </c>
    </row>
    <row r="120" spans="1:30" x14ac:dyDescent="0.25">
      <c r="A120" s="11">
        <v>119</v>
      </c>
      <c r="B120" s="11">
        <v>88</v>
      </c>
      <c r="C120" s="433">
        <f ca="1">IF(B120="",16,INDEX(OFFSET(Arb!$I$2,,,Arb!$AJ$5,),B120))</f>
        <v>27</v>
      </c>
      <c r="D120" s="34">
        <f ca="1">IF(B120="",10,INDEX(OFFSET(Arb!$H$2,,,Arb!$AJ$5,),B120))</f>
        <v>7.37</v>
      </c>
      <c r="E120" s="33">
        <f t="shared" ca="1" si="9"/>
        <v>3.6635006784260513</v>
      </c>
      <c r="F120" s="33">
        <f ca="1">IF(B120="","",INDEX(OFFSET(Arb!$X$2,,,Arb!$AJ$5,),B120)/D120)</f>
        <v>4.3419267299864313</v>
      </c>
      <c r="G120" s="33">
        <f ca="1">IF(B120="","",(INDEX(OFFSET(Arb!$U$2,,,Arb!$AJ$5,),B120)+INDEX(OFFSET(Arb!$V$2,,,Arb!$AJ$5,),B120))/D120)</f>
        <v>5.0203527815468112</v>
      </c>
      <c r="H120" s="33">
        <f t="shared" ca="1" si="10"/>
        <v>1.1049203318948062</v>
      </c>
      <c r="I120" s="21">
        <f t="shared" ca="1" si="11"/>
        <v>42.807611222872396</v>
      </c>
      <c r="J120" s="74">
        <f ca="1">IF(B120="","",DATE(INDEX(OFFSET(Arb!$C$2,,,Arb!$AJ$5,),B120),INDEX(OFFSET(Arb!$B$2,,,Arb!$AJ$5,),B120),INDEX(OFFSET(Arb!$A$2,,,Arb!$AJ$5,),B120))+ROW()*0.001)</f>
        <v>43767.12</v>
      </c>
      <c r="K120" s="11">
        <v>119</v>
      </c>
      <c r="L120" s="11">
        <v>2158</v>
      </c>
      <c r="M120" s="433">
        <f ca="1">IF(L120="",64,INDEX(OFFSET(Arb!$I$2,,,Arb!$AJ$5,),L120))</f>
        <v>74</v>
      </c>
      <c r="N120" s="34">
        <f ca="1">IF(L120="",60,INDEX(OFFSET(Arb!$H$2,,,Arb!$AJ$5,),L120))</f>
        <v>27.61</v>
      </c>
      <c r="O120" s="33">
        <f t="shared" ca="1" si="12"/>
        <v>2.6801883375588553</v>
      </c>
      <c r="P120" s="33">
        <f ca="1">IF(L120="","",INDEX(OFFSET(Arb!$X$2,,,Arb!$AJ$5,),L120)/N120)</f>
        <v>3.1148134733792103</v>
      </c>
      <c r="Q120" s="33">
        <f ca="1">IF(L120="","",(INDEX(OFFSET(Arb!$U$2,,,Arb!$AJ$5,),L120)+INDEX(OFFSET(Arb!$V$2,,,Arb!$AJ$5,),L120))/N120)</f>
        <v>3.5132198478812025</v>
      </c>
      <c r="R120" s="33">
        <f t="shared" ca="1" si="13"/>
        <v>3.8069850518323407</v>
      </c>
      <c r="S120" s="21">
        <f t="shared" ca="1" si="14"/>
        <v>40.381035887180111</v>
      </c>
      <c r="T120" s="74">
        <f ca="1">IF(L120="","",DATE(INDEX(OFFSET(Arb!$C$2,,,Arb!$AJ$5,),L120),INDEX(OFFSET(Arb!$B$2,,,Arb!$AJ$5,),L120),INDEX(OFFSET(Arb!$A$2,,,Arb!$AJ$5,),L120))+ROW()*0.001)</f>
        <v>43822.12</v>
      </c>
      <c r="U120" s="11">
        <v>119</v>
      </c>
      <c r="V120" s="11">
        <v>3214</v>
      </c>
      <c r="W120" s="433">
        <f ca="1">IF(V120="",164,INDEX(OFFSET(Arb!$I$2,,,Arb!$AJ$5,),V120))</f>
        <v>206</v>
      </c>
      <c r="X120" s="34">
        <f ca="1">IF(V120="",240,INDEX(OFFSET(Arb!$H$2,,,Arb!$AJ$5,),V120))</f>
        <v>82.2</v>
      </c>
      <c r="Y120" s="33">
        <f t="shared" ca="1" si="15"/>
        <v>2.5060827250608271</v>
      </c>
      <c r="Z120" s="33">
        <f ca="1">IF(V120="","",INDEX(OFFSET(Arb!$X$2,,,Arb!$AJ$5,),V120)/X120)</f>
        <v>2.8467153284671531</v>
      </c>
      <c r="AA120" s="33">
        <f ca="1">IF(V120="","",(INDEX(OFFSET(Arb!$U$2,,,Arb!$AJ$5,),V120)+INDEX(OFFSET(Arb!$V$2,,,Arb!$AJ$5,),V120))/X120)</f>
        <v>3.0900243309002433</v>
      </c>
      <c r="AB120" s="33">
        <f t="shared" ca="1" si="16"/>
        <v>8.7380569211496848</v>
      </c>
      <c r="AC120" s="21">
        <f t="shared" ca="1" si="17"/>
        <v>49.782349088058581</v>
      </c>
      <c r="AD120" s="74">
        <f ca="1">IF(V120="","",DATE(INDEX(OFFSET(Arb!$C$2,,,Arb!$AJ$5,),V120),INDEX(OFFSET(Arb!$B$2,,,Arb!$AJ$5,),V120),INDEX(OFFSET(Arb!$A$2,,,Arb!$AJ$5,),V120))+ROW()*0.001)</f>
        <v>44059.12</v>
      </c>
    </row>
    <row r="121" spans="1:30" x14ac:dyDescent="0.25">
      <c r="A121" s="11">
        <v>120</v>
      </c>
      <c r="B121" s="11">
        <v>1702</v>
      </c>
      <c r="C121" s="433">
        <f ca="1">IF(B121="",16,INDEX(OFFSET(Arb!$I$2,,,Arb!$AJ$5,),B121))</f>
        <v>20</v>
      </c>
      <c r="D121" s="34">
        <f ca="1">IF(B121="",10,INDEX(OFFSET(Arb!$H$2,,,Arb!$AJ$5,),B121))</f>
        <v>5.46</v>
      </c>
      <c r="E121" s="33">
        <f t="shared" ca="1" si="9"/>
        <v>3.6630036630036629</v>
      </c>
      <c r="F121" s="33">
        <f ca="1">IF(B121="","",INDEX(OFFSET(Arb!$X$2,,,Arb!$AJ$5,),B121)/D121)</f>
        <v>4.0293040293040292</v>
      </c>
      <c r="G121" s="33">
        <f ca="1">IF(B121="","",(INDEX(OFFSET(Arb!$U$2,,,Arb!$AJ$5,),B121)+INDEX(OFFSET(Arb!$V$2,,,Arb!$AJ$5,),B121))/D121)</f>
        <v>4.395604395604396</v>
      </c>
      <c r="H121" s="33">
        <f t="shared" ca="1" si="10"/>
        <v>0.89577202840228143</v>
      </c>
      <c r="I121" s="21">
        <f t="shared" ca="1" si="11"/>
        <v>52.802497175942776</v>
      </c>
      <c r="J121" s="74">
        <f ca="1">IF(B121="","",DATE(INDEX(OFFSET(Arb!$C$2,,,Arb!$AJ$5,),B121),INDEX(OFFSET(Arb!$B$2,,,Arb!$AJ$5,),B121),INDEX(OFFSET(Arb!$A$2,,,Arb!$AJ$5,),B121))+ROW()*0.001)</f>
        <v>44107.120999999999</v>
      </c>
      <c r="K121" s="11">
        <v>120</v>
      </c>
      <c r="L121" s="11">
        <v>2330</v>
      </c>
      <c r="M121" s="433">
        <f ca="1">IF(L121="",64,INDEX(OFFSET(Arb!$I$2,,,Arb!$AJ$5,),L121))</f>
        <v>48</v>
      </c>
      <c r="N121" s="34">
        <f ca="1">IF(L121="",60,INDEX(OFFSET(Arb!$H$2,,,Arb!$AJ$5,),L121))</f>
        <v>17.940000000000001</v>
      </c>
      <c r="O121" s="33">
        <f t="shared" ca="1" si="12"/>
        <v>2.6755852842809364</v>
      </c>
      <c r="P121" s="33">
        <f ca="1">IF(L121="","",INDEX(OFFSET(Arb!$X$2,,,Arb!$AJ$5,),L121)/N121)</f>
        <v>3.4559643255295427</v>
      </c>
      <c r="Q121" s="33">
        <f ca="1">IF(L121="","",(INDEX(OFFSET(Arb!$U$2,,,Arb!$AJ$5,),L121)+INDEX(OFFSET(Arb!$V$2,,,Arb!$AJ$5,),L121))/N121)</f>
        <v>4.1248606465997764</v>
      </c>
      <c r="R121" s="33">
        <f t="shared" ca="1" si="13"/>
        <v>2.8200506488228569</v>
      </c>
      <c r="S121" s="21">
        <f t="shared" ca="1" si="14"/>
        <v>54.51320530862445</v>
      </c>
      <c r="T121" s="74">
        <f ca="1">IF(L121="","",DATE(INDEX(OFFSET(Arb!$C$2,,,Arb!$AJ$5,),L121),INDEX(OFFSET(Arb!$B$2,,,Arb!$AJ$5,),L121),INDEX(OFFSET(Arb!$A$2,,,Arb!$AJ$5,),L121))+ROW()*0.001)</f>
        <v>44093.120999999999</v>
      </c>
      <c r="U121" s="11">
        <v>120</v>
      </c>
      <c r="V121" s="11">
        <v>2723</v>
      </c>
      <c r="W121" s="433">
        <f ca="1">IF(V121="",164,INDEX(OFFSET(Arb!$I$2,,,Arb!$AJ$5,),V121))</f>
        <v>209</v>
      </c>
      <c r="X121" s="34">
        <f ca="1">IF(V121="",240,INDEX(OFFSET(Arb!$H$2,,,Arb!$AJ$5,),V121))</f>
        <v>83.45</v>
      </c>
      <c r="Y121" s="33">
        <f t="shared" ca="1" si="15"/>
        <v>2.5044937088076691</v>
      </c>
      <c r="Z121" s="33">
        <f ca="1">IF(V121="","",INDEX(OFFSET(Arb!$X$2,,,Arb!$AJ$5,),V121)/X121)</f>
        <v>2.8759736369083284</v>
      </c>
      <c r="AA121" s="33">
        <f ca="1">IF(V121="","",(INDEX(OFFSET(Arb!$U$2,,,Arb!$AJ$5,),V121)+INDEX(OFFSET(Arb!$V$2,,,Arb!$AJ$5,),V121))/X121)</f>
        <v>3.1635710005991609</v>
      </c>
      <c r="AB121" s="33">
        <f t="shared" ca="1" si="16"/>
        <v>8.8364636164118622</v>
      </c>
      <c r="AC121" s="21">
        <f t="shared" ca="1" si="17"/>
        <v>49.227951235161271</v>
      </c>
      <c r="AD121" s="74">
        <f ca="1">IF(V121="","",DATE(INDEX(OFFSET(Arb!$C$2,,,Arb!$AJ$5,),V121),INDEX(OFFSET(Arb!$B$2,,,Arb!$AJ$5,),V121),INDEX(OFFSET(Arb!$A$2,,,Arb!$AJ$5,),V121))+ROW()*0.001)</f>
        <v>43854.120999999999</v>
      </c>
    </row>
    <row r="122" spans="1:30" x14ac:dyDescent="0.25">
      <c r="A122" s="11">
        <v>121</v>
      </c>
      <c r="B122" s="11">
        <v>1559</v>
      </c>
      <c r="C122" s="433">
        <f ca="1">IF(B122="",16,INDEX(OFFSET(Arb!$I$2,,,Arb!$AJ$5,),B122))</f>
        <v>29</v>
      </c>
      <c r="D122" s="34">
        <f ca="1">IF(B122="",10,INDEX(OFFSET(Arb!$H$2,,,Arb!$AJ$5,),B122))</f>
        <v>7.92</v>
      </c>
      <c r="E122" s="33">
        <f t="shared" ca="1" si="9"/>
        <v>3.6616161616161618</v>
      </c>
      <c r="F122" s="33">
        <f ca="1">IF(B122="","",INDEX(OFFSET(Arb!$X$2,,,Arb!$AJ$5,),B122)/D122)</f>
        <v>4.5454545454545459</v>
      </c>
      <c r="G122" s="33">
        <f ca="1">IF(B122="","",(INDEX(OFFSET(Arb!$U$2,,,Arb!$AJ$5,),B122)+INDEX(OFFSET(Arb!$V$2,,,Arb!$AJ$5,),B122))/D122)</f>
        <v>5.1767676767676765</v>
      </c>
      <c r="H122" s="33">
        <f t="shared" ca="1" si="10"/>
        <v>1.1626120255701307</v>
      </c>
      <c r="I122" s="21">
        <f t="shared" ca="1" si="11"/>
        <v>40.683391328938946</v>
      </c>
      <c r="J122" s="74">
        <f ca="1">IF(B122="","",DATE(INDEX(OFFSET(Arb!$C$2,,,Arb!$AJ$5,),B122),INDEX(OFFSET(Arb!$B$2,,,Arb!$AJ$5,),B122),INDEX(OFFSET(Arb!$A$2,,,Arb!$AJ$5,),B122))+ROW()*0.001)</f>
        <v>43989.122000000003</v>
      </c>
      <c r="K122" s="11">
        <v>121</v>
      </c>
      <c r="L122" s="11">
        <v>1907</v>
      </c>
      <c r="M122" s="433">
        <f ca="1">IF(L122="",64,INDEX(OFFSET(Arb!$I$2,,,Arb!$AJ$5,),L122))</f>
        <v>78</v>
      </c>
      <c r="N122" s="34">
        <f ca="1">IF(L122="",60,INDEX(OFFSET(Arb!$H$2,,,Arb!$AJ$5,),L122))</f>
        <v>29.18</v>
      </c>
      <c r="O122" s="33">
        <f t="shared" ca="1" si="12"/>
        <v>2.6730637422892394</v>
      </c>
      <c r="P122" s="33">
        <f ca="1">IF(L122="","",INDEX(OFFSET(Arb!$X$2,,,Arb!$AJ$5,),L122)/N122)</f>
        <v>3.1185743660041125</v>
      </c>
      <c r="Q122" s="33">
        <f ca="1">IF(L122="","",(INDEX(OFFSET(Arb!$U$2,,,Arb!$AJ$5,),L122)+INDEX(OFFSET(Arb!$V$2,,,Arb!$AJ$5,),L122))/N122)</f>
        <v>3.5983550376970528</v>
      </c>
      <c r="R122" s="33">
        <f t="shared" ca="1" si="13"/>
        <v>3.9678056011280365</v>
      </c>
      <c r="S122" s="21">
        <f t="shared" ca="1" si="14"/>
        <v>38.744337665205919</v>
      </c>
      <c r="T122" s="74">
        <f ca="1">IF(L122="","",DATE(INDEX(OFFSET(Arb!$C$2,,,Arb!$AJ$5,),L122),INDEX(OFFSET(Arb!$B$2,,,Arb!$AJ$5,),L122),INDEX(OFFSET(Arb!$A$2,,,Arb!$AJ$5,),L122))+ROW()*0.001)</f>
        <v>43766.122000000003</v>
      </c>
      <c r="U122" s="11">
        <v>121</v>
      </c>
      <c r="V122" s="11">
        <v>3105</v>
      </c>
      <c r="W122" s="433">
        <f ca="1">IF(V122="",164,INDEX(OFFSET(Arb!$I$2,,,Arb!$AJ$5,),V122))</f>
        <v>204</v>
      </c>
      <c r="X122" s="34">
        <f ca="1">IF(V122="",240,INDEX(OFFSET(Arb!$H$2,,,Arb!$AJ$5,),V122))</f>
        <v>81.53</v>
      </c>
      <c r="Y122" s="33">
        <f t="shared" ca="1" si="15"/>
        <v>2.5021464491598184</v>
      </c>
      <c r="Z122" s="33">
        <f ca="1">IF(V122="","",INDEX(OFFSET(Arb!$X$2,,,Arb!$AJ$5,),V122)/X122)</f>
        <v>2.9191708573531217</v>
      </c>
      <c r="AA122" s="33">
        <f ca="1">IF(V122="","",(INDEX(OFFSET(Arb!$U$2,,,Arb!$AJ$5,),V122)+INDEX(OFFSET(Arb!$V$2,,,Arb!$AJ$5,),V122))/X122)</f>
        <v>3.3361952655464244</v>
      </c>
      <c r="AB122" s="33">
        <f t="shared" ca="1" si="16"/>
        <v>8.7018077575785728</v>
      </c>
      <c r="AC122" s="21">
        <f t="shared" ca="1" si="17"/>
        <v>49.989727665627775</v>
      </c>
      <c r="AD122" s="74">
        <f ca="1">IF(V122="","",DATE(INDEX(OFFSET(Arb!$C$2,,,Arb!$AJ$5,),V122),INDEX(OFFSET(Arb!$B$2,,,Arb!$AJ$5,),V122),INDEX(OFFSET(Arb!$A$2,,,Arb!$AJ$5,),V122))+ROW()*0.001)</f>
        <v>44005.122000000003</v>
      </c>
    </row>
    <row r="123" spans="1:30" x14ac:dyDescent="0.25">
      <c r="A123" s="11">
        <v>122</v>
      </c>
      <c r="B123" s="11">
        <v>1523</v>
      </c>
      <c r="C123" s="433">
        <f ca="1">IF(B123="",16,INDEX(OFFSET(Arb!$I$2,,,Arb!$AJ$5,),B123))</f>
        <v>17</v>
      </c>
      <c r="D123" s="34">
        <f ca="1">IF(B123="",10,INDEX(OFFSET(Arb!$H$2,,,Arb!$AJ$5,),B123))</f>
        <v>4.6500000000000004</v>
      </c>
      <c r="E123" s="33">
        <f t="shared" ca="1" si="9"/>
        <v>3.6559139784946235</v>
      </c>
      <c r="F123" s="33">
        <f ca="1">IF(B123="","",INDEX(OFFSET(Arb!$X$2,,,Arb!$AJ$5,),B123)/D123)</f>
        <v>3.440860215053763</v>
      </c>
      <c r="G123" s="33">
        <f ca="1">IF(B123="","",(INDEX(OFFSET(Arb!$U$2,,,Arb!$AJ$5,),B123)+INDEX(OFFSET(Arb!$V$2,,,Arb!$AJ$5,),B123))/D123)</f>
        <v>4.7311827956989241</v>
      </c>
      <c r="H123" s="33">
        <f t="shared" ca="1" si="10"/>
        <v>0.80208630014616278</v>
      </c>
      <c r="I123" s="21">
        <f t="shared" ca="1" si="11"/>
        <v>58.969963695154483</v>
      </c>
      <c r="J123" s="74">
        <f ca="1">IF(B123="","",DATE(INDEX(OFFSET(Arb!$C$2,,,Arb!$AJ$5,),B123),INDEX(OFFSET(Arb!$B$2,,,Arb!$AJ$5,),B123),INDEX(OFFSET(Arb!$A$2,,,Arb!$AJ$5,),B123))+ROW()*0.001)</f>
        <v>43984.123</v>
      </c>
      <c r="K123" s="11">
        <v>122</v>
      </c>
      <c r="L123" s="11">
        <v>1915</v>
      </c>
      <c r="M123" s="433">
        <f ca="1">IF(L123="",64,INDEX(OFFSET(Arb!$I$2,,,Arb!$AJ$5,),L123))</f>
        <v>71</v>
      </c>
      <c r="N123" s="34">
        <f ca="1">IF(L123="",60,INDEX(OFFSET(Arb!$H$2,,,Arb!$AJ$5,),L123))</f>
        <v>26.57</v>
      </c>
      <c r="O123" s="33">
        <f t="shared" ca="1" si="12"/>
        <v>2.6721866767030487</v>
      </c>
      <c r="P123" s="33">
        <f ca="1">IF(L123="","",INDEX(OFFSET(Arb!$X$2,,,Arb!$AJ$5,),L123)/N123)</f>
        <v>3.08618742943169</v>
      </c>
      <c r="Q123" s="33">
        <f ca="1">IF(L123="","",(INDEX(OFFSET(Arb!$U$2,,,Arb!$AJ$5,),L123)+INDEX(OFFSET(Arb!$V$2,,,Arb!$AJ$5,),L123))/N123)</f>
        <v>3.387278885961611</v>
      </c>
      <c r="R123" s="33">
        <f t="shared" ca="1" si="13"/>
        <v>3.7171260948794433</v>
      </c>
      <c r="S123" s="21">
        <f t="shared" ca="1" si="14"/>
        <v>41.357219549740854</v>
      </c>
      <c r="T123" s="74">
        <f ca="1">IF(L123="","",DATE(INDEX(OFFSET(Arb!$C$2,,,Arb!$AJ$5,),L123),INDEX(OFFSET(Arb!$B$2,,,Arb!$AJ$5,),L123),INDEX(OFFSET(Arb!$A$2,,,Arb!$AJ$5,),L123))+ROW()*0.001)</f>
        <v>43769.123</v>
      </c>
      <c r="U123" s="11">
        <v>122</v>
      </c>
      <c r="V123" s="11">
        <v>3161</v>
      </c>
      <c r="W123" s="433">
        <f ca="1">IF(V123="",164,INDEX(OFFSET(Arb!$I$2,,,Arb!$AJ$5,),V123))</f>
        <v>178</v>
      </c>
      <c r="X123" s="34">
        <f ca="1">IF(V123="",240,INDEX(OFFSET(Arb!$H$2,,,Arb!$AJ$5,),V123))</f>
        <v>71.17</v>
      </c>
      <c r="Y123" s="33">
        <f t="shared" ca="1" si="15"/>
        <v>2.5010538148096106</v>
      </c>
      <c r="Z123" s="33">
        <f ca="1">IF(V123="","",INDEX(OFFSET(Arb!$X$2,,,Arb!$AJ$5,),V123)/X123)</f>
        <v>3.049037515807222</v>
      </c>
      <c r="AA123" s="33">
        <f ca="1">IF(V123="","",(INDEX(OFFSET(Arb!$U$2,,,Arb!$AJ$5,),V123)+INDEX(OFFSET(Arb!$V$2,,,Arb!$AJ$5,),V123))/X123)</f>
        <v>3.3722073907545314</v>
      </c>
      <c r="AB123" s="33">
        <f t="shared" ca="1" si="16"/>
        <v>7.9156182220829043</v>
      </c>
      <c r="AC123" s="21">
        <f t="shared" ca="1" si="17"/>
        <v>54.9547726779494</v>
      </c>
      <c r="AD123" s="74">
        <f ca="1">IF(V123="","",DATE(INDEX(OFFSET(Arb!$C$2,,,Arb!$AJ$5,),V123),INDEX(OFFSET(Arb!$B$2,,,Arb!$AJ$5,),V123),INDEX(OFFSET(Arb!$A$2,,,Arb!$AJ$5,),V123))+ROW()*0.001)</f>
        <v>44031.123</v>
      </c>
    </row>
    <row r="124" spans="1:30" x14ac:dyDescent="0.25">
      <c r="A124" s="11">
        <v>123</v>
      </c>
      <c r="B124" s="11">
        <v>1292</v>
      </c>
      <c r="C124" s="433">
        <f ca="1">IF(B124="",16,INDEX(OFFSET(Arb!$I$2,,,Arb!$AJ$5,),B124))</f>
        <v>22</v>
      </c>
      <c r="D124" s="34">
        <f ca="1">IF(B124="",10,INDEX(OFFSET(Arb!$H$2,,,Arb!$AJ$5,),B124))</f>
        <v>6.02</v>
      </c>
      <c r="E124" s="33">
        <f t="shared" ca="1" si="9"/>
        <v>3.6544850498338874</v>
      </c>
      <c r="F124" s="33">
        <f ca="1">IF(B124="","",INDEX(OFFSET(Arb!$X$2,,,Arb!$AJ$5,),B124)/D124)</f>
        <v>4.8172757475083063</v>
      </c>
      <c r="G124" s="33">
        <f ca="1">IF(B124="","",(INDEX(OFFSET(Arb!$U$2,,,Arb!$AJ$5,),B124)+INDEX(OFFSET(Arb!$V$2,,,Arb!$AJ$5,),B124))/D124)</f>
        <v>5.8139534883720936</v>
      </c>
      <c r="H124" s="33">
        <f t="shared" ca="1" si="10"/>
        <v>0.96137174583942864</v>
      </c>
      <c r="I124" s="21">
        <f t="shared" ca="1" si="11"/>
        <v>49.199490420535021</v>
      </c>
      <c r="J124" s="74">
        <f ca="1">IF(B124="","",DATE(INDEX(OFFSET(Arb!$C$2,,,Arb!$AJ$5,),B124),INDEX(OFFSET(Arb!$B$2,,,Arb!$AJ$5,),B124),INDEX(OFFSET(Arb!$A$2,,,Arb!$AJ$5,),B124))+ROW()*0.001)</f>
        <v>43906.124000000003</v>
      </c>
      <c r="K124" s="11">
        <v>123</v>
      </c>
      <c r="L124" s="11">
        <v>2144</v>
      </c>
      <c r="M124" s="433">
        <f ca="1">IF(L124="",64,INDEX(OFFSET(Arb!$I$2,,,Arb!$AJ$5,),L124))</f>
        <v>84</v>
      </c>
      <c r="N124" s="34">
        <f ca="1">IF(L124="",60,INDEX(OFFSET(Arb!$H$2,,,Arb!$AJ$5,),L124))</f>
        <v>31.45</v>
      </c>
      <c r="O124" s="33">
        <f t="shared" ca="1" si="12"/>
        <v>2.6709062003179649</v>
      </c>
      <c r="P124" s="33">
        <f ca="1">IF(L124="","",INDEX(OFFSET(Arb!$X$2,,,Arb!$AJ$5,),L124)/N124)</f>
        <v>3.2750397456279812</v>
      </c>
      <c r="Q124" s="33">
        <f ca="1">IF(L124="","",(INDEX(OFFSET(Arb!$U$2,,,Arb!$AJ$5,),L124)+INDEX(OFFSET(Arb!$V$2,,,Arb!$AJ$5,),L124))/N124)</f>
        <v>3.879173290937997</v>
      </c>
      <c r="R124" s="33">
        <f t="shared" ca="1" si="13"/>
        <v>4.1848107107221733</v>
      </c>
      <c r="S124" s="21">
        <f t="shared" ca="1" si="14"/>
        <v>36.735233831752161</v>
      </c>
      <c r="T124" s="74">
        <f ca="1">IF(L124="","",DATE(INDEX(OFFSET(Arb!$C$2,,,Arb!$AJ$5,),L124),INDEX(OFFSET(Arb!$B$2,,,Arb!$AJ$5,),L124),INDEX(OFFSET(Arb!$A$2,,,Arb!$AJ$5,),L124))+ROW()*0.001)</f>
        <v>43818.124000000003</v>
      </c>
      <c r="U124" s="11">
        <v>123</v>
      </c>
      <c r="V124" s="11">
        <v>3008</v>
      </c>
      <c r="W124" s="433">
        <f ca="1">IF(V124="",164,INDEX(OFFSET(Arb!$I$2,,,Arb!$AJ$5,),V124))</f>
        <v>178</v>
      </c>
      <c r="X124" s="34">
        <f ca="1">IF(V124="",240,INDEX(OFFSET(Arb!$H$2,,,Arb!$AJ$5,),V124))</f>
        <v>71.17</v>
      </c>
      <c r="Y124" s="33">
        <f t="shared" ca="1" si="15"/>
        <v>2.5010538148096106</v>
      </c>
      <c r="Z124" s="33">
        <f ca="1">IF(V124="","",INDEX(OFFSET(Arb!$X$2,,,Arb!$AJ$5,),V124)/X124)</f>
        <v>2.8382745538850638</v>
      </c>
      <c r="AA124" s="33">
        <f ca="1">IF(V124="","",(INDEX(OFFSET(Arb!$U$2,,,Arb!$AJ$5,),V124)+INDEX(OFFSET(Arb!$V$2,,,Arb!$AJ$5,),V124))/X124)</f>
        <v>3.1052409723197978</v>
      </c>
      <c r="AB124" s="33">
        <f t="shared" ca="1" si="16"/>
        <v>7.9156182220829043</v>
      </c>
      <c r="AC124" s="21">
        <f t="shared" ca="1" si="17"/>
        <v>54.9547726779494</v>
      </c>
      <c r="AD124" s="74">
        <f ca="1">IF(V124="","",DATE(INDEX(OFFSET(Arb!$C$2,,,Arb!$AJ$5,),V124),INDEX(OFFSET(Arb!$B$2,,,Arb!$AJ$5,),V124),INDEX(OFFSET(Arb!$A$2,,,Arb!$AJ$5,),V124))+ROW()*0.001)</f>
        <v>43957.124000000003</v>
      </c>
    </row>
    <row r="125" spans="1:30" x14ac:dyDescent="0.25">
      <c r="A125" s="11">
        <v>124</v>
      </c>
      <c r="B125" s="11">
        <v>1207</v>
      </c>
      <c r="C125" s="433">
        <f ca="1">IF(B125="",16,INDEX(OFFSET(Arb!$I$2,,,Arb!$AJ$5,),B125))</f>
        <v>19</v>
      </c>
      <c r="D125" s="34">
        <f ca="1">IF(B125="",10,INDEX(OFFSET(Arb!$H$2,,,Arb!$AJ$5,),B125))</f>
        <v>5.2</v>
      </c>
      <c r="E125" s="33">
        <f t="shared" ca="1" si="9"/>
        <v>3.6538461538461537</v>
      </c>
      <c r="F125" s="33">
        <f ca="1">IF(B125="","",INDEX(OFFSET(Arb!$X$2,,,Arb!$AJ$5,),B125)/D125)</f>
        <v>3.8461538461538458</v>
      </c>
      <c r="G125" s="33">
        <f ca="1">IF(B125="","",(INDEX(OFFSET(Arb!$U$2,,,Arb!$AJ$5,),B125)+INDEX(OFFSET(Arb!$V$2,,,Arb!$AJ$5,),B125))/D125)</f>
        <v>4.615384615384615</v>
      </c>
      <c r="H125" s="33">
        <f t="shared" ca="1" si="10"/>
        <v>0.86786481835921558</v>
      </c>
      <c r="I125" s="21">
        <f t="shared" ca="1" si="11"/>
        <v>54.500423337154565</v>
      </c>
      <c r="J125" s="74">
        <f ca="1">IF(B125="","",DATE(INDEX(OFFSET(Arb!$C$2,,,Arb!$AJ$5,),B125),INDEX(OFFSET(Arb!$B$2,,,Arb!$AJ$5,),B125),INDEX(OFFSET(Arb!$A$2,,,Arb!$AJ$5,),B125))+ROW()*0.001)</f>
        <v>43896.125</v>
      </c>
      <c r="K125" s="11">
        <v>124</v>
      </c>
      <c r="L125" s="11">
        <v>2318</v>
      </c>
      <c r="M125" s="433">
        <f ca="1">IF(L125="",64,INDEX(OFFSET(Arb!$I$2,,,Arb!$AJ$5,),L125))</f>
        <v>58</v>
      </c>
      <c r="N125" s="34">
        <f ca="1">IF(L125="",60,INDEX(OFFSET(Arb!$H$2,,,Arb!$AJ$5,),L125))</f>
        <v>21.75</v>
      </c>
      <c r="O125" s="33">
        <f t="shared" ca="1" si="12"/>
        <v>2.6666666666666665</v>
      </c>
      <c r="P125" s="33">
        <f ca="1">IF(L125="","",INDEX(OFFSET(Arb!$X$2,,,Arb!$AJ$5,),L125)/N125)</f>
        <v>3.1724137931034484</v>
      </c>
      <c r="Q125" s="33">
        <f ca="1">IF(L125="","",(INDEX(OFFSET(Arb!$U$2,,,Arb!$AJ$5,),L125)+INDEX(OFFSET(Arb!$V$2,,,Arb!$AJ$5,),L125))/N125)</f>
        <v>3.7241379310344827</v>
      </c>
      <c r="R125" s="33">
        <f t="shared" ca="1" si="13"/>
        <v>3.2378203672419184</v>
      </c>
      <c r="S125" s="21">
        <f t="shared" ca="1" si="14"/>
        <v>47.479471546765346</v>
      </c>
      <c r="T125" s="74">
        <f ca="1">IF(L125="","",DATE(INDEX(OFFSET(Arb!$C$2,,,Arb!$AJ$5,),L125),INDEX(OFFSET(Arb!$B$2,,,Arb!$AJ$5,),L125),INDEX(OFFSET(Arb!$A$2,,,Arb!$AJ$5,),L125))+ROW()*0.001)</f>
        <v>43967.125</v>
      </c>
      <c r="U125" s="11">
        <v>124</v>
      </c>
      <c r="V125" s="11">
        <v>2809</v>
      </c>
      <c r="W125" s="433">
        <f ca="1">IF(V125="",164,INDEX(OFFSET(Arb!$I$2,,,Arb!$AJ$5,),V125))</f>
        <v>172</v>
      </c>
      <c r="X125" s="34">
        <f ca="1">IF(V125="",240,INDEX(OFFSET(Arb!$H$2,,,Arb!$AJ$5,),V125))</f>
        <v>68.849999999999994</v>
      </c>
      <c r="Y125" s="33">
        <f t="shared" ca="1" si="15"/>
        <v>2.4981844589687729</v>
      </c>
      <c r="Z125" s="33">
        <f ca="1">IF(V125="","",INDEX(OFFSET(Arb!$X$2,,,Arb!$AJ$5,),V125)/X125)</f>
        <v>3.0355846042120556</v>
      </c>
      <c r="AA125" s="33">
        <f ca="1">IF(V125="","",(INDEX(OFFSET(Arb!$U$2,,,Arb!$AJ$5,),V125)+INDEX(OFFSET(Arb!$V$2,,,Arb!$AJ$5,),V125))/X125)</f>
        <v>3.3260711692084244</v>
      </c>
      <c r="AB125" s="33">
        <f t="shared" ca="1" si="16"/>
        <v>7.7429821646308783</v>
      </c>
      <c r="AC125" s="21">
        <f t="shared" ca="1" si="17"/>
        <v>56.180033835934481</v>
      </c>
      <c r="AD125" s="74">
        <f ca="1">IF(V125="","",DATE(INDEX(OFFSET(Arb!$C$2,,,Arb!$AJ$5,),V125),INDEX(OFFSET(Arb!$B$2,,,Arb!$AJ$5,),V125),INDEX(OFFSET(Arb!$A$2,,,Arb!$AJ$5,),V125))+ROW()*0.001)</f>
        <v>43897.125</v>
      </c>
    </row>
    <row r="126" spans="1:30" x14ac:dyDescent="0.25">
      <c r="A126" s="11">
        <v>125</v>
      </c>
      <c r="B126" s="11">
        <v>377</v>
      </c>
      <c r="C126" s="433">
        <f ca="1">IF(B126="",16,INDEX(OFFSET(Arb!$I$2,,,Arb!$AJ$5,),B126))</f>
        <v>16</v>
      </c>
      <c r="D126" s="34">
        <f ca="1">IF(B126="",10,INDEX(OFFSET(Arb!$H$2,,,Arb!$AJ$5,),B126))</f>
        <v>4.38</v>
      </c>
      <c r="E126" s="33">
        <f t="shared" ca="1" si="9"/>
        <v>3.6529680365296806</v>
      </c>
      <c r="F126" s="33">
        <f ca="1">IF(B126="","",INDEX(OFFSET(Arb!$X$2,,,Arb!$AJ$5,),B126)/D126)</f>
        <v>3.6529680365296806</v>
      </c>
      <c r="G126" s="33">
        <f ca="1">IF(B126="","",(INDEX(OFFSET(Arb!$U$2,,,Arb!$AJ$5,),B126)+INDEX(OFFSET(Arb!$V$2,,,Arb!$AJ$5,),B126))/D126)</f>
        <v>4.3378995433789953</v>
      </c>
      <c r="H126" s="33">
        <f t="shared" ca="1" si="10"/>
        <v>0.76981435486611238</v>
      </c>
      <c r="I126" s="21">
        <f t="shared" ca="1" si="11"/>
        <v>61.44208626536502</v>
      </c>
      <c r="J126" s="74">
        <f ca="1">IF(B126="","",DATE(INDEX(OFFSET(Arb!$C$2,,,Arb!$AJ$5,),B126),INDEX(OFFSET(Arb!$B$2,,,Arb!$AJ$5,),B126),INDEX(OFFSET(Arb!$A$2,,,Arb!$AJ$5,),B126))+ROW()*0.001)</f>
        <v>43781.125999999997</v>
      </c>
      <c r="K126" s="11">
        <v>125</v>
      </c>
      <c r="L126" s="11">
        <v>2115</v>
      </c>
      <c r="M126" s="433">
        <f ca="1">IF(L126="",64,INDEX(OFFSET(Arb!$I$2,,,Arb!$AJ$5,),L126))</f>
        <v>64</v>
      </c>
      <c r="N126" s="34">
        <f ca="1">IF(L126="",60,INDEX(OFFSET(Arb!$H$2,,,Arb!$AJ$5,),L126))</f>
        <v>24.02</v>
      </c>
      <c r="O126" s="33">
        <f t="shared" ca="1" si="12"/>
        <v>2.6644462947543714</v>
      </c>
      <c r="P126" s="33">
        <f ca="1">IF(L126="","",INDEX(OFFSET(Arb!$X$2,,,Arb!$AJ$5,),L126)/N126)</f>
        <v>3.4970857618651126</v>
      </c>
      <c r="Q126" s="33">
        <f ca="1">IF(L126="","",(INDEX(OFFSET(Arb!$U$2,,,Arb!$AJ$5,),L126)+INDEX(OFFSET(Arb!$V$2,,,Arb!$AJ$5,),L126))/N126)</f>
        <v>3.9134054954204829</v>
      </c>
      <c r="R126" s="33">
        <f t="shared" ca="1" si="13"/>
        <v>3.4737145779137268</v>
      </c>
      <c r="S126" s="21">
        <f t="shared" ca="1" si="14"/>
        <v>44.255219175873819</v>
      </c>
      <c r="T126" s="74">
        <f ca="1">IF(L126="","",DATE(INDEX(OFFSET(Arb!$C$2,,,Arb!$AJ$5,),L126),INDEX(OFFSET(Arb!$B$2,,,Arb!$AJ$5,),L126),INDEX(OFFSET(Arb!$A$2,,,Arb!$AJ$5,),L126))+ROW()*0.001)</f>
        <v>43811.125999999997</v>
      </c>
      <c r="U126" s="11">
        <v>125</v>
      </c>
      <c r="V126" s="11">
        <v>3239</v>
      </c>
      <c r="W126" s="433">
        <f ca="1">IF(V126="",164,INDEX(OFFSET(Arb!$I$2,,,Arb!$AJ$5,),V126))</f>
        <v>181</v>
      </c>
      <c r="X126" s="34">
        <f ca="1">IF(V126="",240,INDEX(OFFSET(Arb!$H$2,,,Arb!$AJ$5,),V126))</f>
        <v>72.5</v>
      </c>
      <c r="Y126" s="33">
        <f t="shared" ca="1" si="15"/>
        <v>2.4965517241379311</v>
      </c>
      <c r="Z126" s="33">
        <f ca="1">IF(V126="","",INDEX(OFFSET(Arb!$X$2,,,Arb!$AJ$5,),V126)/X126)</f>
        <v>3.0344827586206895</v>
      </c>
      <c r="AA126" s="33">
        <f ca="1">IF(V126="","",(INDEX(OFFSET(Arb!$U$2,,,Arb!$AJ$5,),V126)+INDEX(OFFSET(Arb!$V$2,,,Arb!$AJ$5,),V126))/X126)</f>
        <v>3.3517241379310345</v>
      </c>
      <c r="AB126" s="33">
        <f t="shared" ca="1" si="16"/>
        <v>8.03333792895355</v>
      </c>
      <c r="AC126" s="21">
        <f t="shared" ca="1" si="17"/>
        <v>54.149471097460065</v>
      </c>
      <c r="AD126" s="74">
        <f ca="1">IF(V126="","",DATE(INDEX(OFFSET(Arb!$C$2,,,Arb!$AJ$5,),V126),INDEX(OFFSET(Arb!$B$2,,,Arb!$AJ$5,),V126),INDEX(OFFSET(Arb!$A$2,,,Arb!$AJ$5,),V126))+ROW()*0.001)</f>
        <v>44064.125999999997</v>
      </c>
    </row>
    <row r="127" spans="1:30" x14ac:dyDescent="0.25">
      <c r="A127" s="11">
        <v>126</v>
      </c>
      <c r="B127" s="11">
        <v>680</v>
      </c>
      <c r="C127" s="433">
        <f ca="1">IF(B127="",16,INDEX(OFFSET(Arb!$I$2,,,Arb!$AJ$5,),B127))</f>
        <v>15</v>
      </c>
      <c r="D127" s="34">
        <f ca="1">IF(B127="",10,INDEX(OFFSET(Arb!$H$2,,,Arb!$AJ$5,),B127))</f>
        <v>4.12</v>
      </c>
      <c r="E127" s="33">
        <f t="shared" ca="1" si="9"/>
        <v>3.6407766990291259</v>
      </c>
      <c r="F127" s="33">
        <f ca="1">IF(B127="","",INDEX(OFFSET(Arb!$X$2,,,Arb!$AJ$5,),B127)/D127)</f>
        <v>3.6407766990291259</v>
      </c>
      <c r="G127" s="33">
        <f ca="1">IF(B127="","",(INDEX(OFFSET(Arb!$U$2,,,Arb!$AJ$5,),B127)+INDEX(OFFSET(Arb!$V$2,,,Arb!$AJ$5,),B127))/D127)</f>
        <v>4.1262135922330092</v>
      </c>
      <c r="H127" s="33">
        <f t="shared" ca="1" si="10"/>
        <v>0.74000389936342537</v>
      </c>
      <c r="I127" s="21">
        <f t="shared" ca="1" si="11"/>
        <v>63.917230761470428</v>
      </c>
      <c r="J127" s="74">
        <f ca="1">IF(B127="","",DATE(INDEX(OFFSET(Arb!$C$2,,,Arb!$AJ$5,),B127),INDEX(OFFSET(Arb!$B$2,,,Arb!$AJ$5,),B127),INDEX(OFFSET(Arb!$A$2,,,Arb!$AJ$5,),B127))+ROW()*0.001)</f>
        <v>43801.127</v>
      </c>
      <c r="K127" s="11">
        <v>126</v>
      </c>
      <c r="L127" s="11">
        <v>2271</v>
      </c>
      <c r="M127" s="433">
        <f ca="1">IF(L127="",64,INDEX(OFFSET(Arb!$I$2,,,Arb!$AJ$5,),L127))</f>
        <v>81</v>
      </c>
      <c r="N127" s="34">
        <f ca="1">IF(L127="",60,INDEX(OFFSET(Arb!$H$2,,,Arb!$AJ$5,),L127))</f>
        <v>30.42</v>
      </c>
      <c r="O127" s="33">
        <f t="shared" ca="1" si="12"/>
        <v>2.6627218934911241</v>
      </c>
      <c r="P127" s="33">
        <f ca="1">IF(L127="","",INDEX(OFFSET(Arb!$X$2,,,Arb!$AJ$5,),L127)/N127)</f>
        <v>3.1886916502301115</v>
      </c>
      <c r="Q127" s="33">
        <f ca="1">IF(L127="","",(INDEX(OFFSET(Arb!$U$2,,,Arb!$AJ$5,),L127)+INDEX(OFFSET(Arb!$V$2,,,Arb!$AJ$5,),L127))/N127)</f>
        <v>3.6160420775805391</v>
      </c>
      <c r="R127" s="33">
        <f t="shared" ca="1" si="13"/>
        <v>4.1009609854475251</v>
      </c>
      <c r="S127" s="21">
        <f t="shared" ca="1" si="14"/>
        <v>37.486335652916217</v>
      </c>
      <c r="T127" s="74">
        <f ca="1">IF(L127="","",DATE(INDEX(OFFSET(Arb!$C$2,,,Arb!$AJ$5,),L127),INDEX(OFFSET(Arb!$B$2,,,Arb!$AJ$5,),L127),INDEX(OFFSET(Arb!$A$2,,,Arb!$AJ$5,),L127))+ROW()*0.001)</f>
        <v>43934.127</v>
      </c>
      <c r="U127" s="11">
        <v>126</v>
      </c>
      <c r="V127" s="11">
        <v>2886</v>
      </c>
      <c r="W127" s="433">
        <f ca="1">IF(V127="",164,INDEX(OFFSET(Arb!$I$2,,,Arb!$AJ$5,),V127))</f>
        <v>190</v>
      </c>
      <c r="X127" s="34">
        <f ca="1">IF(V127="",240,INDEX(OFFSET(Arb!$H$2,,,Arb!$AJ$5,),V127))</f>
        <v>76.150000000000006</v>
      </c>
      <c r="Y127" s="33">
        <f t="shared" ca="1" si="15"/>
        <v>2.4950755088640837</v>
      </c>
      <c r="Z127" s="33">
        <f ca="1">IF(V127="","",INDEX(OFFSET(Arb!$X$2,,,Arb!$AJ$5,),V127)/X127)</f>
        <v>2.9284307288246878</v>
      </c>
      <c r="AA127" s="33">
        <f ca="1">IF(V127="","",(INDEX(OFFSET(Arb!$U$2,,,Arb!$AJ$5,),V127)+INDEX(OFFSET(Arb!$V$2,,,Arb!$AJ$5,),V127))/X127)</f>
        <v>3.3092580433355216</v>
      </c>
      <c r="AB127" s="33">
        <f t="shared" ca="1" si="16"/>
        <v>8.3192704336038119</v>
      </c>
      <c r="AC127" s="21">
        <f t="shared" ca="1" si="17"/>
        <v>52.288359114149216</v>
      </c>
      <c r="AD127" s="74">
        <f ca="1">IF(V127="","",DATE(INDEX(OFFSET(Arb!$C$2,,,Arb!$AJ$5,),V127),INDEX(OFFSET(Arb!$B$2,,,Arb!$AJ$5,),V127),INDEX(OFFSET(Arb!$A$2,,,Arb!$AJ$5,),V127))+ROW()*0.001)</f>
        <v>43919.127</v>
      </c>
    </row>
    <row r="128" spans="1:30" x14ac:dyDescent="0.25">
      <c r="A128" s="11">
        <v>127</v>
      </c>
      <c r="B128" s="11">
        <v>1283</v>
      </c>
      <c r="C128" s="433">
        <f ca="1">IF(B128="",16,INDEX(OFFSET(Arb!$I$2,,,Arb!$AJ$5,),B128))</f>
        <v>19</v>
      </c>
      <c r="D128" s="34">
        <f ca="1">IF(B128="",10,INDEX(OFFSET(Arb!$H$2,,,Arb!$AJ$5,),B128))</f>
        <v>5.22</v>
      </c>
      <c r="E128" s="33">
        <f t="shared" ca="1" si="9"/>
        <v>3.6398467432950192</v>
      </c>
      <c r="F128" s="33">
        <f ca="1">IF(B128="","",INDEX(OFFSET(Arb!$X$2,,,Arb!$AJ$5,),B128)/D128)</f>
        <v>4.7892720306513414</v>
      </c>
      <c r="G128" s="33">
        <f ca="1">IF(B128="","",(INDEX(OFFSET(Arb!$U$2,,,Arb!$AJ$5,),B128)+INDEX(OFFSET(Arb!$V$2,,,Arb!$AJ$5,),B128))/D128)</f>
        <v>5.7471264367816097</v>
      </c>
      <c r="H128" s="33">
        <f t="shared" ca="1" si="10"/>
        <v>0.87354695491131584</v>
      </c>
      <c r="I128" s="21">
        <f t="shared" ca="1" si="11"/>
        <v>54.145915951137262</v>
      </c>
      <c r="J128" s="74">
        <f ca="1">IF(B128="","",DATE(INDEX(OFFSET(Arb!$C$2,,,Arb!$AJ$5,),B128),INDEX(OFFSET(Arb!$B$2,,,Arb!$AJ$5,),B128),INDEX(OFFSET(Arb!$A$2,,,Arb!$AJ$5,),B128))+ROW()*0.001)</f>
        <v>43906.127999999997</v>
      </c>
      <c r="K128" s="11">
        <v>127</v>
      </c>
      <c r="L128" s="11">
        <v>2036</v>
      </c>
      <c r="M128" s="433">
        <f ca="1">IF(L128="",64,INDEX(OFFSET(Arb!$I$2,,,Arb!$AJ$5,),L128))</f>
        <v>59</v>
      </c>
      <c r="N128" s="34">
        <f ca="1">IF(L128="",60,INDEX(OFFSET(Arb!$H$2,,,Arb!$AJ$5,),L128))</f>
        <v>22.16</v>
      </c>
      <c r="O128" s="33">
        <f t="shared" ca="1" si="12"/>
        <v>2.6624548736462095</v>
      </c>
      <c r="P128" s="33">
        <f ca="1">IF(L128="","",INDEX(OFFSET(Arb!$X$2,,,Arb!$AJ$5,),L128)/N128)</f>
        <v>3.2039711191335738</v>
      </c>
      <c r="Q128" s="33">
        <f ca="1">IF(L128="","",(INDEX(OFFSET(Arb!$U$2,,,Arb!$AJ$5,),L128)+INDEX(OFFSET(Arb!$V$2,,,Arb!$AJ$5,),L128))/N128)</f>
        <v>3.6552346570397112</v>
      </c>
      <c r="R128" s="33">
        <f t="shared" ca="1" si="13"/>
        <v>3.2856142517431404</v>
      </c>
      <c r="S128" s="21">
        <f t="shared" ca="1" si="14"/>
        <v>46.788815795536713</v>
      </c>
      <c r="T128" s="74">
        <f ca="1">IF(L128="","",DATE(INDEX(OFFSET(Arb!$C$2,,,Arb!$AJ$5,),L128),INDEX(OFFSET(Arb!$B$2,,,Arb!$AJ$5,),L128),INDEX(OFFSET(Arb!$A$2,,,Arb!$AJ$5,),L128))+ROW()*0.001)</f>
        <v>43797.127999999997</v>
      </c>
      <c r="U128" s="11">
        <v>127</v>
      </c>
      <c r="V128" s="11">
        <v>3269</v>
      </c>
      <c r="W128" s="433">
        <f ca="1">IF(V128="",164,INDEX(OFFSET(Arb!$I$2,,,Arb!$AJ$5,),V128))</f>
        <v>165</v>
      </c>
      <c r="X128" s="34">
        <f ca="1">IF(V128="",240,INDEX(OFFSET(Arb!$H$2,,,Arb!$AJ$5,),V128))</f>
        <v>66.180000000000007</v>
      </c>
      <c r="Y128" s="33">
        <f t="shared" ca="1" si="15"/>
        <v>2.4932003626473254</v>
      </c>
      <c r="Z128" s="33">
        <f ca="1">IF(V128="","",INDEX(OFFSET(Arb!$X$2,,,Arb!$AJ$5,),V128)/X128)</f>
        <v>3.082502266545784</v>
      </c>
      <c r="AA128" s="33">
        <f ca="1">IF(V128="","",(INDEX(OFFSET(Arb!$U$2,,,Arb!$AJ$5,),V128)+INDEX(OFFSET(Arb!$V$2,,,Arb!$AJ$5,),V128))/X128)</f>
        <v>3.5660320338470832</v>
      </c>
      <c r="AB128" s="33">
        <f t="shared" ca="1" si="16"/>
        <v>7.546603845995266</v>
      </c>
      <c r="AC128" s="21">
        <f t="shared" ca="1" si="17"/>
        <v>57.641955093593616</v>
      </c>
      <c r="AD128" s="74">
        <f ca="1">IF(V128="","",DATE(INDEX(OFFSET(Arb!$C$2,,,Arb!$AJ$5,),V128),INDEX(OFFSET(Arb!$B$2,,,Arb!$AJ$5,),V128),INDEX(OFFSET(Arb!$A$2,,,Arb!$AJ$5,),V128))+ROW()*0.001)</f>
        <v>44074.127999999997</v>
      </c>
    </row>
    <row r="129" spans="1:30" x14ac:dyDescent="0.25">
      <c r="A129" s="11">
        <v>128</v>
      </c>
      <c r="B129" s="11">
        <v>459</v>
      </c>
      <c r="C129" s="433">
        <f ca="1">IF(B129="",16,INDEX(OFFSET(Arb!$I$2,,,Arb!$AJ$5,),B129))</f>
        <v>21</v>
      </c>
      <c r="D129" s="34">
        <f ca="1">IF(B129="",10,INDEX(OFFSET(Arb!$H$2,,,Arb!$AJ$5,),B129))</f>
        <v>5.77</v>
      </c>
      <c r="E129" s="33">
        <f t="shared" ca="1" si="9"/>
        <v>3.6395147313691512</v>
      </c>
      <c r="F129" s="33">
        <f ca="1">IF(B129="","",INDEX(OFFSET(Arb!$X$2,,,Arb!$AJ$5,),B129)/D129)</f>
        <v>4.3327556325823231</v>
      </c>
      <c r="G129" s="33">
        <f ca="1">IF(B129="","",(INDEX(OFFSET(Arb!$U$2,,,Arb!$AJ$5,),B129)+INDEX(OFFSET(Arb!$V$2,,,Arb!$AJ$5,),B129))/D129)</f>
        <v>4.8526863084922018</v>
      </c>
      <c r="H129" s="33">
        <f t="shared" ca="1" si="10"/>
        <v>0.9370862978361123</v>
      </c>
      <c r="I129" s="21">
        <f t="shared" ca="1" si="11"/>
        <v>50.474540188263596</v>
      </c>
      <c r="J129" s="74">
        <f ca="1">IF(B129="","",DATE(INDEX(OFFSET(Arb!$C$2,,,Arb!$AJ$5,),B129),INDEX(OFFSET(Arb!$B$2,,,Arb!$AJ$5,),B129),INDEX(OFFSET(Arb!$A$2,,,Arb!$AJ$5,),B129))+ROW()*0.001)</f>
        <v>43784.129000000001</v>
      </c>
      <c r="K129" s="11">
        <v>128</v>
      </c>
      <c r="L129" s="11">
        <v>2185</v>
      </c>
      <c r="M129" s="433">
        <f ca="1">IF(L129="",64,INDEX(OFFSET(Arb!$I$2,,,Arb!$AJ$5,),L129))</f>
        <v>69</v>
      </c>
      <c r="N129" s="34">
        <f ca="1">IF(L129="",60,INDEX(OFFSET(Arb!$H$2,,,Arb!$AJ$5,),L129))</f>
        <v>25.93</v>
      </c>
      <c r="O129" s="33">
        <f t="shared" ca="1" si="12"/>
        <v>2.6610104126494409</v>
      </c>
      <c r="P129" s="33">
        <f ca="1">IF(L129="","",INDEX(OFFSET(Arb!$X$2,,,Arb!$AJ$5,),L129)/N129)</f>
        <v>3.316621673736984</v>
      </c>
      <c r="Q129" s="33">
        <f ca="1">IF(L129="","",(INDEX(OFFSET(Arb!$U$2,,,Arb!$AJ$5,),L129)+INDEX(OFFSET(Arb!$V$2,,,Arb!$AJ$5,),L129))/N129)</f>
        <v>3.8179714616274585</v>
      </c>
      <c r="R129" s="33">
        <f t="shared" ca="1" si="13"/>
        <v>3.6695700941217804</v>
      </c>
      <c r="S129" s="21">
        <f t="shared" ca="1" si="14"/>
        <v>41.893190770836441</v>
      </c>
      <c r="T129" s="74">
        <f ca="1">IF(L129="","",DATE(INDEX(OFFSET(Arb!$C$2,,,Arb!$AJ$5,),L129),INDEX(OFFSET(Arb!$B$2,,,Arb!$AJ$5,),L129),INDEX(OFFSET(Arb!$A$2,,,Arb!$AJ$5,),L129))+ROW()*0.001)</f>
        <v>43840.129000000001</v>
      </c>
      <c r="U129" s="11">
        <v>128</v>
      </c>
      <c r="V129" s="11">
        <v>2478</v>
      </c>
      <c r="W129" s="433">
        <f ca="1">IF(V129="",164,INDEX(OFFSET(Arb!$I$2,,,Arb!$AJ$5,),V129))</f>
        <v>186</v>
      </c>
      <c r="X129" s="34">
        <f ca="1">IF(V129="",240,INDEX(OFFSET(Arb!$H$2,,,Arb!$AJ$5,),V129))</f>
        <v>74.650000000000006</v>
      </c>
      <c r="Y129" s="33">
        <f t="shared" ca="1" si="15"/>
        <v>2.4916275954454119</v>
      </c>
      <c r="Z129" s="33">
        <f ca="1">IF(V129="","",INDEX(OFFSET(Arb!$X$2,,,Arb!$AJ$5,),V129)/X129)</f>
        <v>2.7729403884795709</v>
      </c>
      <c r="AA129" s="33">
        <f ca="1">IF(V129="","",(INDEX(OFFSET(Arb!$U$2,,,Arb!$AJ$5,),V129)+INDEX(OFFSET(Arb!$V$2,,,Arb!$AJ$5,),V129))/X129)</f>
        <v>3.1614199598124579</v>
      </c>
      <c r="AB129" s="33">
        <f t="shared" ca="1" si="16"/>
        <v>8.2155706794983736</v>
      </c>
      <c r="AC129" s="21">
        <f t="shared" ca="1" si="17"/>
        <v>52.94836073719474</v>
      </c>
      <c r="AD129" s="74">
        <f ca="1">IF(V129="","",DATE(INDEX(OFFSET(Arb!$C$2,,,Arb!$AJ$5,),V129),INDEX(OFFSET(Arb!$B$2,,,Arb!$AJ$5,),V129),INDEX(OFFSET(Arb!$A$2,,,Arb!$AJ$5,),V129))+ROW()*0.001)</f>
        <v>43781.129000000001</v>
      </c>
    </row>
    <row r="130" spans="1:30" x14ac:dyDescent="0.25">
      <c r="A130" s="11">
        <v>129</v>
      </c>
      <c r="B130" s="11">
        <v>1839</v>
      </c>
      <c r="C130" s="433">
        <f ca="1">IF(B130="",16,INDEX(OFFSET(Arb!$I$2,,,Arb!$AJ$5,),B130))</f>
        <v>25</v>
      </c>
      <c r="D130" s="34">
        <f ca="1">IF(B130="",10,INDEX(OFFSET(Arb!$H$2,,,Arb!$AJ$5,),B130))</f>
        <v>6.87</v>
      </c>
      <c r="E130" s="33">
        <f t="shared" ca="1" si="9"/>
        <v>3.6390101892285296</v>
      </c>
      <c r="F130" s="33">
        <f ca="1">IF(B130="","",INDEX(OFFSET(Arb!$X$2,,,Arb!$AJ$5,),B130)/D130)</f>
        <v>4.0756914119359537</v>
      </c>
      <c r="G130" s="33">
        <f ca="1">IF(B130="","",(INDEX(OFFSET(Arb!$U$2,,,Arb!$AJ$5,),B130)+INDEX(OFFSET(Arb!$V$2,,,Arb!$AJ$5,),B130))/D130)</f>
        <v>4.6579330422125178</v>
      </c>
      <c r="H130" s="33">
        <f t="shared" ca="1" si="10"/>
        <v>1.0589767966225079</v>
      </c>
      <c r="I130" s="21">
        <f t="shared" ca="1" si="11"/>
        <v>44.66481244051338</v>
      </c>
      <c r="J130" s="74">
        <f ca="1">IF(B130="","",DATE(INDEX(OFFSET(Arb!$C$2,,,Arb!$AJ$5,),B130),INDEX(OFFSET(Arb!$B$2,,,Arb!$AJ$5,),B130),INDEX(OFFSET(Arb!$A$2,,,Arb!$AJ$5,),B130))+ROW()*0.001)</f>
        <v>44168.13</v>
      </c>
      <c r="K130" s="11">
        <v>129</v>
      </c>
      <c r="L130" s="11">
        <v>2026</v>
      </c>
      <c r="M130" s="433">
        <f ca="1">IF(L130="",64,INDEX(OFFSET(Arb!$I$2,,,Arb!$AJ$5,),L130))</f>
        <v>88</v>
      </c>
      <c r="N130" s="34">
        <f ca="1">IF(L130="",60,INDEX(OFFSET(Arb!$H$2,,,Arb!$AJ$5,),L130))</f>
        <v>33.090000000000003</v>
      </c>
      <c r="O130" s="33">
        <f t="shared" ca="1" si="12"/>
        <v>2.6594137201571471</v>
      </c>
      <c r="P130" s="33">
        <f ca="1">IF(L130="","",INDEX(OFFSET(Arb!$X$2,,,Arb!$AJ$5,),L130)/N130)</f>
        <v>3.3242671501964338</v>
      </c>
      <c r="Q130" s="33">
        <f ca="1">IF(L130="","",(INDEX(OFFSET(Arb!$U$2,,,Arb!$AJ$5,),L130)+INDEX(OFFSET(Arb!$V$2,,,Arb!$AJ$5,),L130))/N130)</f>
        <v>3.7775763070414019</v>
      </c>
      <c r="R130" s="33">
        <f t="shared" ca="1" si="13"/>
        <v>4.3551371084645298</v>
      </c>
      <c r="S130" s="21">
        <f t="shared" ca="1" si="14"/>
        <v>35.29854426424702</v>
      </c>
      <c r="T130" s="74">
        <f ca="1">IF(L130="","",DATE(INDEX(OFFSET(Arb!$C$2,,,Arb!$AJ$5,),L130),INDEX(OFFSET(Arb!$B$2,,,Arb!$AJ$5,),L130),INDEX(OFFSET(Arb!$A$2,,,Arb!$AJ$5,),L130))+ROW()*0.001)</f>
        <v>43797.13</v>
      </c>
      <c r="U130" s="11">
        <v>129</v>
      </c>
      <c r="V130" s="11">
        <v>2990</v>
      </c>
      <c r="W130" s="433">
        <f ca="1">IF(V130="",164,INDEX(OFFSET(Arb!$I$2,,,Arb!$AJ$5,),V130))</f>
        <v>192</v>
      </c>
      <c r="X130" s="34">
        <f ca="1">IF(V130="",240,INDEX(OFFSET(Arb!$H$2,,,Arb!$AJ$5,),V130))</f>
        <v>77.069999999999993</v>
      </c>
      <c r="Y130" s="33">
        <f t="shared" ca="1" si="15"/>
        <v>2.4912417282989492</v>
      </c>
      <c r="Z130" s="33">
        <f ca="1">IF(V130="","",INDEX(OFFSET(Arb!$X$2,,,Arb!$AJ$5,),V130)/X130)</f>
        <v>3.0362008563643443</v>
      </c>
      <c r="AA130" s="33">
        <f ca="1">IF(V130="","",(INDEX(OFFSET(Arb!$U$2,,,Arb!$AJ$5,),V130)+INDEX(OFFSET(Arb!$V$2,,,Arb!$AJ$5,),V130))/X130)</f>
        <v>3.3995069417412744</v>
      </c>
      <c r="AB130" s="33">
        <f t="shared" ca="1" si="16"/>
        <v>8.4024102365545517</v>
      </c>
      <c r="AC130" s="21">
        <f t="shared" ca="1" si="17"/>
        <v>51.770978535127348</v>
      </c>
      <c r="AD130" s="74">
        <f ca="1">IF(V130="","",DATE(INDEX(OFFSET(Arb!$C$2,,,Arb!$AJ$5,),V130),INDEX(OFFSET(Arb!$B$2,,,Arb!$AJ$5,),V130),INDEX(OFFSET(Arb!$A$2,,,Arb!$AJ$5,),V130))+ROW()*0.001)</f>
        <v>43956.13</v>
      </c>
    </row>
    <row r="131" spans="1:30" x14ac:dyDescent="0.25">
      <c r="A131" s="11">
        <v>130</v>
      </c>
      <c r="B131" s="11">
        <v>1608</v>
      </c>
      <c r="C131" s="433">
        <f ca="1">IF(B131="",16,INDEX(OFFSET(Arb!$I$2,,,Arb!$AJ$5,),B131))</f>
        <v>14</v>
      </c>
      <c r="D131" s="34">
        <f ca="1">IF(B131="",10,INDEX(OFFSET(Arb!$H$2,,,Arb!$AJ$5,),B131))</f>
        <v>3.85</v>
      </c>
      <c r="E131" s="33">
        <f t="shared" ref="E131:E194" ca="1" si="18">C131/D131</f>
        <v>3.6363636363636362</v>
      </c>
      <c r="F131" s="33">
        <f ca="1">IF(B131="","",INDEX(OFFSET(Arb!$X$2,,,Arb!$AJ$5,),B131)/D131)</f>
        <v>4.6753246753246751</v>
      </c>
      <c r="G131" s="33">
        <f ca="1">IF(B131="","",(INDEX(OFFSET(Arb!$U$2,,,Arb!$AJ$5,),B131)+INDEX(OFFSET(Arb!$V$2,,,Arb!$AJ$5,),B131))/D131)</f>
        <v>5.1948051948051948</v>
      </c>
      <c r="H131" s="33">
        <f t="shared" ref="H131:H194" ca="1" si="19">D131^1.7/C131</f>
        <v>0.70657001716129886</v>
      </c>
      <c r="I131" s="21">
        <f t="shared" ref="I131:I194" ca="1" si="20">47.299/H131</f>
        <v>66.941702663845675</v>
      </c>
      <c r="J131" s="74">
        <f ca="1">IF(B131="","",DATE(INDEX(OFFSET(Arb!$C$2,,,Arb!$AJ$5,),B131),INDEX(OFFSET(Arb!$B$2,,,Arb!$AJ$5,),B131),INDEX(OFFSET(Arb!$A$2,,,Arb!$AJ$5,),B131))+ROW()*0.001)</f>
        <v>44062.131000000001</v>
      </c>
      <c r="K131" s="11">
        <v>130</v>
      </c>
      <c r="L131" s="11">
        <v>2153</v>
      </c>
      <c r="M131" s="433">
        <f ca="1">IF(L131="",64,INDEX(OFFSET(Arb!$I$2,,,Arb!$AJ$5,),L131))</f>
        <v>75</v>
      </c>
      <c r="N131" s="34">
        <f ca="1">IF(L131="",60,INDEX(OFFSET(Arb!$H$2,,,Arb!$AJ$5,),L131))</f>
        <v>28.21</v>
      </c>
      <c r="O131" s="33">
        <f t="shared" ref="O131:O194" ca="1" si="21">M131/N131</f>
        <v>2.6586316908897554</v>
      </c>
      <c r="P131" s="33">
        <f ca="1">IF(L131="","",INDEX(OFFSET(Arb!$X$2,,,Arb!$AJ$5,),L131)/N131)</f>
        <v>3.3321517192484933</v>
      </c>
      <c r="Q131" s="33">
        <f ca="1">IF(L131="","",(INDEX(OFFSET(Arb!$U$2,,,Arb!$AJ$5,),L131)+INDEX(OFFSET(Arb!$V$2,,,Arb!$AJ$5,),L131))/N131)</f>
        <v>3.6866359447004609</v>
      </c>
      <c r="R131" s="33">
        <f t="shared" ref="R131:R194" ca="1" si="22">N131^1.7/M131</f>
        <v>3.8960451673964438</v>
      </c>
      <c r="S131" s="21">
        <f t="shared" ref="S131:S194" ca="1" si="23">153.73/R131</f>
        <v>39.457961444202404</v>
      </c>
      <c r="T131" s="74">
        <f ca="1">IF(L131="","",DATE(INDEX(OFFSET(Arb!$C$2,,,Arb!$AJ$5,),L131),INDEX(OFFSET(Arb!$B$2,,,Arb!$AJ$5,),L131),INDEX(OFFSET(Arb!$A$2,,,Arb!$AJ$5,),L131))+ROW()*0.001)</f>
        <v>43821.131000000001</v>
      </c>
      <c r="U131" s="11">
        <v>130</v>
      </c>
      <c r="V131" s="11">
        <v>3177</v>
      </c>
      <c r="W131" s="433">
        <f ca="1">IF(V131="",164,INDEX(OFFSET(Arb!$I$2,,,Arb!$AJ$5,),V131))</f>
        <v>188</v>
      </c>
      <c r="X131" s="34">
        <f ca="1">IF(V131="",240,INDEX(OFFSET(Arb!$H$2,,,Arb!$AJ$5,),V131))</f>
        <v>75.48</v>
      </c>
      <c r="Y131" s="33">
        <f t="shared" ref="Y131:Y194" ca="1" si="24">W131/X131</f>
        <v>2.4907260201377848</v>
      </c>
      <c r="Z131" s="33">
        <f ca="1">IF(V131="","",INDEX(OFFSET(Arb!$X$2,,,Arb!$AJ$5,),V131)/X131)</f>
        <v>2.8881822999470055</v>
      </c>
      <c r="AA131" s="33">
        <f ca="1">IF(V131="","",(INDEX(OFFSET(Arb!$U$2,,,Arb!$AJ$5,),V131)+INDEX(OFFSET(Arb!$V$2,,,Arb!$AJ$5,),V131))/X131)</f>
        <v>3.2061473237943825</v>
      </c>
      <c r="AB131" s="33">
        <f t="shared" ref="AB131:AB194" ca="1" si="25">X131^1.7/W131</f>
        <v>8.2824031518752026</v>
      </c>
      <c r="AC131" s="21">
        <f t="shared" ref="AC131:AC194" ca="1" si="26">435.001/AB131</f>
        <v>52.521109154353617</v>
      </c>
      <c r="AD131" s="74">
        <f ca="1">IF(V131="","",DATE(INDEX(OFFSET(Arb!$C$2,,,Arb!$AJ$5,),V131),INDEX(OFFSET(Arb!$B$2,,,Arb!$AJ$5,),V131),INDEX(OFFSET(Arb!$A$2,,,Arb!$AJ$5,),V131))+ROW()*0.001)</f>
        <v>44046.131000000001</v>
      </c>
    </row>
    <row r="132" spans="1:30" x14ac:dyDescent="0.25">
      <c r="A132" s="11">
        <v>131</v>
      </c>
      <c r="B132" s="11">
        <v>1537</v>
      </c>
      <c r="C132" s="433">
        <f ca="1">IF(B132="",16,INDEX(OFFSET(Arb!$I$2,,,Arb!$AJ$5,),B132))</f>
        <v>19</v>
      </c>
      <c r="D132" s="34">
        <f ca="1">IF(B132="",10,INDEX(OFFSET(Arb!$H$2,,,Arb!$AJ$5,),B132))</f>
        <v>5.23</v>
      </c>
      <c r="E132" s="33">
        <f t="shared" ca="1" si="18"/>
        <v>3.6328871892925427</v>
      </c>
      <c r="F132" s="33">
        <f ca="1">IF(B132="","",INDEX(OFFSET(Arb!$X$2,,,Arb!$AJ$5,),B132)/D132)</f>
        <v>4.2065009560229445</v>
      </c>
      <c r="G132" s="33">
        <f ca="1">IF(B132="","",(INDEX(OFFSET(Arb!$U$2,,,Arb!$AJ$5,),B132)+INDEX(OFFSET(Arb!$V$2,,,Arb!$AJ$5,),B132))/D132)</f>
        <v>4.5889101338432114</v>
      </c>
      <c r="H132" s="33">
        <f t="shared" ca="1" si="19"/>
        <v>0.87639374675493809</v>
      </c>
      <c r="I132" s="21">
        <f t="shared" ca="1" si="20"/>
        <v>53.970033646561376</v>
      </c>
      <c r="J132" s="74">
        <f ca="1">IF(B132="","",DATE(INDEX(OFFSET(Arb!$C$2,,,Arb!$AJ$5,),B132),INDEX(OFFSET(Arb!$B$2,,,Arb!$AJ$5,),B132),INDEX(OFFSET(Arb!$A$2,,,Arb!$AJ$5,),B132))+ROW()*0.001)</f>
        <v>43984.131999999998</v>
      </c>
      <c r="K132" s="11">
        <v>131</v>
      </c>
      <c r="L132" s="11">
        <v>2407</v>
      </c>
      <c r="M132" s="433">
        <f ca="1">IF(L132="",64,INDEX(OFFSET(Arb!$I$2,,,Arb!$AJ$5,),L132))</f>
        <v>59</v>
      </c>
      <c r="N132" s="34">
        <f ca="1">IF(L132="",60,INDEX(OFFSET(Arb!$H$2,,,Arb!$AJ$5,),L132))</f>
        <v>22.2</v>
      </c>
      <c r="O132" s="33">
        <f t="shared" ca="1" si="21"/>
        <v>2.6576576576576576</v>
      </c>
      <c r="P132" s="33">
        <f ca="1">IF(L132="","",INDEX(OFFSET(Arb!$X$2,,,Arb!$AJ$5,),L132)/N132)</f>
        <v>3.1981981981981984</v>
      </c>
      <c r="Q132" s="33">
        <f ca="1">IF(L132="","",(INDEX(OFFSET(Arb!$U$2,,,Arb!$AJ$5,),L132)+INDEX(OFFSET(Arb!$V$2,,,Arb!$AJ$5,),L132))/N132)</f>
        <v>3.5585585585585586</v>
      </c>
      <c r="R132" s="33">
        <f t="shared" ca="1" si="22"/>
        <v>3.295702830018961</v>
      </c>
      <c r="S132" s="21">
        <f t="shared" ca="1" si="23"/>
        <v>46.645589098552172</v>
      </c>
      <c r="T132" s="74">
        <f ca="1">IF(L132="","",DATE(INDEX(OFFSET(Arb!$C$2,,,Arb!$AJ$5,),L132),INDEX(OFFSET(Arb!$B$2,,,Arb!$AJ$5,),L132),INDEX(OFFSET(Arb!$A$2,,,Arb!$AJ$5,),L132))+ROW()*0.001)</f>
        <v>44168.131999999998</v>
      </c>
      <c r="U132" s="11">
        <v>131</v>
      </c>
      <c r="V132" s="11">
        <v>3273</v>
      </c>
      <c r="W132" s="433">
        <f ca="1">IF(V132="",164,INDEX(OFFSET(Arb!$I$2,,,Arb!$AJ$5,),V132))</f>
        <v>170</v>
      </c>
      <c r="X132" s="34">
        <f ca="1">IF(V132="",240,INDEX(OFFSET(Arb!$H$2,,,Arb!$AJ$5,),V132))</f>
        <v>68.34</v>
      </c>
      <c r="Y132" s="33">
        <f t="shared" ca="1" si="24"/>
        <v>2.4875621890547261</v>
      </c>
      <c r="Z132" s="33">
        <f ca="1">IF(V132="","",INDEX(OFFSET(Arb!$X$2,,,Arb!$AJ$5,),V132)/X132)</f>
        <v>2.9850746268656714</v>
      </c>
      <c r="AA132" s="33">
        <f ca="1">IF(V132="","",(INDEX(OFFSET(Arb!$U$2,,,Arb!$AJ$5,),V132)+INDEX(OFFSET(Arb!$V$2,,,Arb!$AJ$5,),V132))/X132)</f>
        <v>3.1899326894937077</v>
      </c>
      <c r="AB132" s="33">
        <f t="shared" ca="1" si="25"/>
        <v>7.7356806967448755</v>
      </c>
      <c r="AC132" s="21">
        <f t="shared" ca="1" si="26"/>
        <v>56.233060418722502</v>
      </c>
      <c r="AD132" s="74">
        <f ca="1">IF(V132="","",DATE(INDEX(OFFSET(Arb!$C$2,,,Arb!$AJ$5,),V132),INDEX(OFFSET(Arb!$B$2,,,Arb!$AJ$5,),V132),INDEX(OFFSET(Arb!$A$2,,,Arb!$AJ$5,),V132))+ROW()*0.001)</f>
        <v>44075.131999999998</v>
      </c>
    </row>
    <row r="133" spans="1:30" x14ac:dyDescent="0.25">
      <c r="A133" s="11">
        <v>132</v>
      </c>
      <c r="B133" s="11">
        <v>1603</v>
      </c>
      <c r="C133" s="433">
        <f ca="1">IF(B133="",16,INDEX(OFFSET(Arb!$I$2,,,Arb!$AJ$5,),B133))</f>
        <v>20</v>
      </c>
      <c r="D133" s="34">
        <f ca="1">IF(B133="",10,INDEX(OFFSET(Arb!$H$2,,,Arb!$AJ$5,),B133))</f>
        <v>5.51</v>
      </c>
      <c r="E133" s="33">
        <f t="shared" ca="1" si="18"/>
        <v>3.6297640653357535</v>
      </c>
      <c r="F133" s="33">
        <f ca="1">IF(B133="","",INDEX(OFFSET(Arb!$X$2,,,Arb!$AJ$5,),B133)/D133)</f>
        <v>4.1742286751361162</v>
      </c>
      <c r="G133" s="33">
        <f ca="1">IF(B133="","",(INDEX(OFFSET(Arb!$U$2,,,Arb!$AJ$5,),B133)+INDEX(OFFSET(Arb!$V$2,,,Arb!$AJ$5,),B133))/D133)</f>
        <v>4.900181488203267</v>
      </c>
      <c r="H133" s="33">
        <f t="shared" ca="1" si="19"/>
        <v>0.90976185258775966</v>
      </c>
      <c r="I133" s="21">
        <f t="shared" ca="1" si="20"/>
        <v>51.990529021920416</v>
      </c>
      <c r="J133" s="74">
        <f ca="1">IF(B133="","",DATE(INDEX(OFFSET(Arb!$C$2,,,Arb!$AJ$5,),B133),INDEX(OFFSET(Arb!$B$2,,,Arb!$AJ$5,),B133),INDEX(OFFSET(Arb!$A$2,,,Arb!$AJ$5,),B133))+ROW()*0.001)</f>
        <v>44054.133000000002</v>
      </c>
      <c r="K133" s="11">
        <v>132</v>
      </c>
      <c r="L133" s="11">
        <v>2286</v>
      </c>
      <c r="M133" s="433">
        <f ca="1">IF(L133="",64,INDEX(OFFSET(Arb!$I$2,,,Arb!$AJ$5,),L133))</f>
        <v>76</v>
      </c>
      <c r="N133" s="34">
        <f ca="1">IF(L133="",60,INDEX(OFFSET(Arb!$H$2,,,Arb!$AJ$5,),L133))</f>
        <v>28.63</v>
      </c>
      <c r="O133" s="33">
        <f t="shared" ca="1" si="21"/>
        <v>2.6545581557806499</v>
      </c>
      <c r="P133" s="33">
        <f ca="1">IF(L133="","",INDEX(OFFSET(Arb!$X$2,,,Arb!$AJ$5,),L133)/N133)</f>
        <v>3.597624869018512</v>
      </c>
      <c r="Q133" s="33">
        <f ca="1">IF(L133="","",(INDEX(OFFSET(Arb!$U$2,,,Arb!$AJ$5,),L133)+INDEX(OFFSET(Arb!$V$2,,,Arb!$AJ$5,),L133))/N133)</f>
        <v>4.0866224240307369</v>
      </c>
      <c r="R133" s="33">
        <f t="shared" ca="1" si="22"/>
        <v>3.9425998346117539</v>
      </c>
      <c r="S133" s="21">
        <f t="shared" ca="1" si="23"/>
        <v>38.992037348152145</v>
      </c>
      <c r="T133" s="74">
        <f ca="1">IF(L133="","",DATE(INDEX(OFFSET(Arb!$C$2,,,Arb!$AJ$5,),L133),INDEX(OFFSET(Arb!$B$2,,,Arb!$AJ$5,),L133),INDEX(OFFSET(Arb!$A$2,,,Arb!$AJ$5,),L133))+ROW()*0.001)</f>
        <v>43935.133000000002</v>
      </c>
      <c r="U133" s="11">
        <v>132</v>
      </c>
      <c r="V133" s="11">
        <v>2926</v>
      </c>
      <c r="W133" s="433">
        <f ca="1">IF(V133="",164,INDEX(OFFSET(Arb!$I$2,,,Arb!$AJ$5,),V133))</f>
        <v>184</v>
      </c>
      <c r="X133" s="34">
        <f ca="1">IF(V133="",240,INDEX(OFFSET(Arb!$H$2,,,Arb!$AJ$5,),V133))</f>
        <v>74.040000000000006</v>
      </c>
      <c r="Y133" s="33">
        <f t="shared" ca="1" si="24"/>
        <v>2.4851431658562935</v>
      </c>
      <c r="Z133" s="33">
        <f ca="1">IF(V133="","",INDEX(OFFSET(Arb!$X$2,,,Arb!$AJ$5,),V133)/X133)</f>
        <v>2.9443544030253914</v>
      </c>
      <c r="AA133" s="33">
        <f ca="1">IF(V133="","",(INDEX(OFFSET(Arb!$U$2,,,Arb!$AJ$5,),V133)+INDEX(OFFSET(Arb!$V$2,,,Arb!$AJ$5,),V133))/X133)</f>
        <v>3.2414910858995136</v>
      </c>
      <c r="AB133" s="33">
        <f t="shared" ca="1" si="25"/>
        <v>8.1898335286809694</v>
      </c>
      <c r="AC133" s="21">
        <f t="shared" ca="1" si="26"/>
        <v>53.114754833125403</v>
      </c>
      <c r="AD133" s="74">
        <f ca="1">IF(V133="","",DATE(INDEX(OFFSET(Arb!$C$2,,,Arb!$AJ$5,),V133),INDEX(OFFSET(Arb!$B$2,,,Arb!$AJ$5,),V133),INDEX(OFFSET(Arb!$A$2,,,Arb!$AJ$5,),V133))+ROW()*0.001)</f>
        <v>43936.133000000002</v>
      </c>
    </row>
    <row r="134" spans="1:30" x14ac:dyDescent="0.25">
      <c r="A134" s="11">
        <v>133</v>
      </c>
      <c r="B134" s="11">
        <v>489</v>
      </c>
      <c r="C134" s="433">
        <f ca="1">IF(B134="",16,INDEX(OFFSET(Arb!$I$2,,,Arb!$AJ$5,),B134))</f>
        <v>25</v>
      </c>
      <c r="D134" s="34">
        <f ca="1">IF(B134="",10,INDEX(OFFSET(Arb!$H$2,,,Arb!$AJ$5,),B134))</f>
        <v>6.9</v>
      </c>
      <c r="E134" s="33">
        <f t="shared" ca="1" si="18"/>
        <v>3.6231884057971011</v>
      </c>
      <c r="F134" s="33">
        <f ca="1">IF(B134="","",INDEX(OFFSET(Arb!$X$2,,,Arb!$AJ$5,),B134)/D134)</f>
        <v>3.9130434782608692</v>
      </c>
      <c r="G134" s="33">
        <f ca="1">IF(B134="","",(INDEX(OFFSET(Arb!$U$2,,,Arb!$AJ$5,),B134)+INDEX(OFFSET(Arb!$V$2,,,Arb!$AJ$5,),B134))/D134)</f>
        <v>4.7826086956521738</v>
      </c>
      <c r="H134" s="33">
        <f t="shared" ca="1" si="19"/>
        <v>1.0668502064232337</v>
      </c>
      <c r="I134" s="21">
        <f t="shared" ca="1" si="20"/>
        <v>44.335183810458815</v>
      </c>
      <c r="J134" s="74">
        <f ca="1">IF(B134="","",DATE(INDEX(OFFSET(Arb!$C$2,,,Arb!$AJ$5,),B134),INDEX(OFFSET(Arb!$B$2,,,Arb!$AJ$5,),B134),INDEX(OFFSET(Arb!$A$2,,,Arb!$AJ$5,),B134))+ROW()*0.001)</f>
        <v>43786.133999999998</v>
      </c>
      <c r="K134" s="11">
        <v>133</v>
      </c>
      <c r="L134" s="11">
        <v>2212</v>
      </c>
      <c r="M134" s="433">
        <f ca="1">IF(L134="",64,INDEX(OFFSET(Arb!$I$2,,,Arb!$AJ$5,),L134))</f>
        <v>52</v>
      </c>
      <c r="N134" s="34">
        <f ca="1">IF(L134="",60,INDEX(OFFSET(Arb!$H$2,,,Arb!$AJ$5,),L134))</f>
        <v>19.59</v>
      </c>
      <c r="O134" s="33">
        <f t="shared" ca="1" si="21"/>
        <v>2.6544155181214908</v>
      </c>
      <c r="P134" s="33">
        <f ca="1">IF(L134="","",INDEX(OFFSET(Arb!$X$2,,,Arb!$AJ$5,),L134)/N134)</f>
        <v>3.0627871362940278</v>
      </c>
      <c r="Q134" s="33">
        <f ca="1">IF(L134="","",(INDEX(OFFSET(Arb!$U$2,,,Arb!$AJ$5,),L134)+INDEX(OFFSET(Arb!$V$2,,,Arb!$AJ$5,),L134))/N134)</f>
        <v>3.624298111281266</v>
      </c>
      <c r="R134" s="33">
        <f t="shared" ca="1" si="22"/>
        <v>3.0231186851502039</v>
      </c>
      <c r="S134" s="21">
        <f t="shared" ca="1" si="23"/>
        <v>50.85146036612251</v>
      </c>
      <c r="T134" s="74">
        <f ca="1">IF(L134="","",DATE(INDEX(OFFSET(Arb!$C$2,,,Arb!$AJ$5,),L134),INDEX(OFFSET(Arb!$B$2,,,Arb!$AJ$5,),L134),INDEX(OFFSET(Arb!$A$2,,,Arb!$AJ$5,),L134))+ROW()*0.001)</f>
        <v>43869.133999999998</v>
      </c>
      <c r="U134" s="11">
        <v>133</v>
      </c>
      <c r="V134" s="11">
        <v>3309</v>
      </c>
      <c r="W134" s="433">
        <f ca="1">IF(V134="",164,INDEX(OFFSET(Arb!$I$2,,,Arb!$AJ$5,),V134))</f>
        <v>170</v>
      </c>
      <c r="X134" s="34">
        <f ca="1">IF(V134="",240,INDEX(OFFSET(Arb!$H$2,,,Arb!$AJ$5,),V134))</f>
        <v>68.41</v>
      </c>
      <c r="Y134" s="33">
        <f t="shared" ca="1" si="24"/>
        <v>2.4850168104078354</v>
      </c>
      <c r="Z134" s="33">
        <f ca="1">IF(V134="","",INDEX(OFFSET(Arb!$X$2,,,Arb!$AJ$5,),V134)/X134)</f>
        <v>3.1281976319251572</v>
      </c>
      <c r="AA134" s="33">
        <f ca="1">IF(V134="","",(INDEX(OFFSET(Arb!$U$2,,,Arb!$AJ$5,),V134)+INDEX(OFFSET(Arb!$V$2,,,Arb!$AJ$5,),V134))/X134)</f>
        <v>3.4497880426838181</v>
      </c>
      <c r="AB134" s="33">
        <f t="shared" ca="1" si="25"/>
        <v>7.7491556160651047</v>
      </c>
      <c r="AC134" s="21">
        <f t="shared" ca="1" si="26"/>
        <v>56.135277384052124</v>
      </c>
      <c r="AD134" s="74">
        <f ca="1">IF(V134="","",DATE(INDEX(OFFSET(Arb!$C$2,,,Arb!$AJ$5,),V134),INDEX(OFFSET(Arb!$B$2,,,Arb!$AJ$5,),V134),INDEX(OFFSET(Arb!$A$2,,,Arb!$AJ$5,),V134))+ROW()*0.001)</f>
        <v>44092.133999999998</v>
      </c>
    </row>
    <row r="135" spans="1:30" x14ac:dyDescent="0.25">
      <c r="A135" s="11">
        <v>134</v>
      </c>
      <c r="B135" s="11">
        <v>1411</v>
      </c>
      <c r="C135" s="433">
        <f ca="1">IF(B135="",16,INDEX(OFFSET(Arb!$I$2,,,Arb!$AJ$5,),B135))</f>
        <v>18</v>
      </c>
      <c r="D135" s="34">
        <f ca="1">IF(B135="",10,INDEX(OFFSET(Arb!$H$2,,,Arb!$AJ$5,),B135))</f>
        <v>4.9800000000000004</v>
      </c>
      <c r="E135" s="33">
        <f t="shared" ca="1" si="18"/>
        <v>3.6144578313253009</v>
      </c>
      <c r="F135" s="33">
        <f ca="1">IF(B135="","",INDEX(OFFSET(Arb!$X$2,,,Arb!$AJ$5,),B135)/D135)</f>
        <v>4.2168674698795181</v>
      </c>
      <c r="G135" s="33">
        <f ca="1">IF(B135="","",(INDEX(OFFSET(Arb!$U$2,,,Arb!$AJ$5,),B135)+INDEX(OFFSET(Arb!$V$2,,,Arb!$AJ$5,),B135))/D135)</f>
        <v>5.2208835341365454</v>
      </c>
      <c r="H135" s="33">
        <f t="shared" ca="1" si="19"/>
        <v>0.85117209578973885</v>
      </c>
      <c r="I135" s="21">
        <f t="shared" ca="1" si="20"/>
        <v>55.569255893092688</v>
      </c>
      <c r="J135" s="74">
        <f ca="1">IF(B135="","",DATE(INDEX(OFFSET(Arb!$C$2,,,Arb!$AJ$5,),B135),INDEX(OFFSET(Arb!$B$2,,,Arb!$AJ$5,),B135),INDEX(OFFSET(Arb!$A$2,,,Arb!$AJ$5,),B135))+ROW()*0.001)</f>
        <v>43940.135000000002</v>
      </c>
      <c r="K135" s="11">
        <v>134</v>
      </c>
      <c r="L135" s="11">
        <v>2285</v>
      </c>
      <c r="M135" s="433">
        <f ca="1">IF(L135="",64,INDEX(OFFSET(Arb!$I$2,,,Arb!$AJ$5,),L135))</f>
        <v>59</v>
      </c>
      <c r="N135" s="34">
        <f ca="1">IF(L135="",60,INDEX(OFFSET(Arb!$H$2,,,Arb!$AJ$5,),L135))</f>
        <v>22.23</v>
      </c>
      <c r="O135" s="33">
        <f t="shared" ca="1" si="21"/>
        <v>2.6540710751237064</v>
      </c>
      <c r="P135" s="33">
        <f ca="1">IF(L135="","",INDEX(OFFSET(Arb!$X$2,,,Arb!$AJ$5,),L135)/N135)</f>
        <v>3.1938821412505622</v>
      </c>
      <c r="Q135" s="33">
        <f ca="1">IF(L135="","",(INDEX(OFFSET(Arb!$U$2,,,Arb!$AJ$5,),L135)+INDEX(OFFSET(Arb!$V$2,,,Arb!$AJ$5,),L135))/N135)</f>
        <v>3.5087719298245612</v>
      </c>
      <c r="R135" s="33">
        <f t="shared" ca="1" si="22"/>
        <v>3.3032776197166807</v>
      </c>
      <c r="S135" s="21">
        <f t="shared" ca="1" si="23"/>
        <v>46.538625479860599</v>
      </c>
      <c r="T135" s="74">
        <f ca="1">IF(L135="","",DATE(INDEX(OFFSET(Arb!$C$2,,,Arb!$AJ$5,),L135),INDEX(OFFSET(Arb!$B$2,,,Arb!$AJ$5,),L135),INDEX(OFFSET(Arb!$A$2,,,Arb!$AJ$5,),L135))+ROW()*0.001)</f>
        <v>43935.135000000002</v>
      </c>
      <c r="U135" s="11">
        <v>134</v>
      </c>
      <c r="V135" s="11">
        <v>3101</v>
      </c>
      <c r="W135" s="433">
        <f ca="1">IF(V135="",164,INDEX(OFFSET(Arb!$I$2,,,Arb!$AJ$5,),V135))</f>
        <v>192</v>
      </c>
      <c r="X135" s="34">
        <f ca="1">IF(V135="",240,INDEX(OFFSET(Arb!$H$2,,,Arb!$AJ$5,),V135))</f>
        <v>77.28</v>
      </c>
      <c r="Y135" s="33">
        <f t="shared" ca="1" si="24"/>
        <v>2.4844720496894408</v>
      </c>
      <c r="Z135" s="33">
        <f ca="1">IF(V135="","",INDEX(OFFSET(Arb!$X$2,,,Arb!$AJ$5,),V135)/X135)</f>
        <v>2.9114906832298137</v>
      </c>
      <c r="AA135" s="33">
        <f ca="1">IF(V135="","",(INDEX(OFFSET(Arb!$U$2,,,Arb!$AJ$5,),V135)+INDEX(OFFSET(Arb!$V$2,,,Arb!$AJ$5,),V135))/X135)</f>
        <v>3.2996894409937889</v>
      </c>
      <c r="AB135" s="33">
        <f t="shared" ca="1" si="25"/>
        <v>8.4413685911316882</v>
      </c>
      <c r="AC135" s="21">
        <f t="shared" ca="1" si="26"/>
        <v>51.532046646677912</v>
      </c>
      <c r="AD135" s="74">
        <f ca="1">IF(V135="","",DATE(INDEX(OFFSET(Arb!$C$2,,,Arb!$AJ$5,),V135),INDEX(OFFSET(Arb!$B$2,,,Arb!$AJ$5,),V135),INDEX(OFFSET(Arb!$A$2,,,Arb!$AJ$5,),V135))+ROW()*0.001)</f>
        <v>44005.135000000002</v>
      </c>
    </row>
    <row r="136" spans="1:30" x14ac:dyDescent="0.25">
      <c r="A136" s="11">
        <v>135</v>
      </c>
      <c r="B136" s="11">
        <v>1631</v>
      </c>
      <c r="C136" s="433">
        <f ca="1">IF(B136="",16,INDEX(OFFSET(Arb!$I$2,,,Arb!$AJ$5,),B136))</f>
        <v>13</v>
      </c>
      <c r="D136" s="34">
        <f ca="1">IF(B136="",10,INDEX(OFFSET(Arb!$H$2,,,Arb!$AJ$5,),B136))</f>
        <v>3.6</v>
      </c>
      <c r="E136" s="33">
        <f t="shared" ca="1" si="18"/>
        <v>3.6111111111111112</v>
      </c>
      <c r="F136" s="33">
        <f ca="1">IF(B136="","",INDEX(OFFSET(Arb!$X$2,,,Arb!$AJ$5,),B136)/D136)</f>
        <v>3.8888888888888888</v>
      </c>
      <c r="G136" s="33">
        <f ca="1">IF(B136="","",(INDEX(OFFSET(Arb!$U$2,,,Arb!$AJ$5,),B136)+INDEX(OFFSET(Arb!$V$2,,,Arb!$AJ$5,),B136))/D136)</f>
        <v>5.5555555555555554</v>
      </c>
      <c r="H136" s="33">
        <f t="shared" ca="1" si="19"/>
        <v>0.67884543051298263</v>
      </c>
      <c r="I136" s="21">
        <f t="shared" ca="1" si="20"/>
        <v>69.675654978273329</v>
      </c>
      <c r="J136" s="74">
        <f ca="1">IF(B136="","",DATE(INDEX(OFFSET(Arb!$C$2,,,Arb!$AJ$5,),B136),INDEX(OFFSET(Arb!$B$2,,,Arb!$AJ$5,),B136),INDEX(OFFSET(Arb!$A$2,,,Arb!$AJ$5,),B136))+ROW()*0.001)</f>
        <v>44093.135999999999</v>
      </c>
      <c r="K136" s="11">
        <v>135</v>
      </c>
      <c r="L136" s="11">
        <v>1975</v>
      </c>
      <c r="M136" s="433">
        <f ca="1">IF(L136="",64,INDEX(OFFSET(Arb!$I$2,,,Arb!$AJ$5,),L136))</f>
        <v>66</v>
      </c>
      <c r="N136" s="34">
        <f ca="1">IF(L136="",60,INDEX(OFFSET(Arb!$H$2,,,Arb!$AJ$5,),L136))</f>
        <v>24.87</v>
      </c>
      <c r="O136" s="33">
        <f t="shared" ca="1" si="21"/>
        <v>2.6537997587454765</v>
      </c>
      <c r="P136" s="33">
        <f ca="1">IF(L136="","",INDEX(OFFSET(Arb!$X$2,,,Arb!$AJ$5,),L136)/N136)</f>
        <v>3.3775633293124243</v>
      </c>
      <c r="Q136" s="33">
        <f ca="1">IF(L136="","",(INDEX(OFFSET(Arb!$U$2,,,Arb!$AJ$5,),L136)+INDEX(OFFSET(Arb!$V$2,,,Arb!$AJ$5,),L136))/N136)</f>
        <v>3.9806996381182147</v>
      </c>
      <c r="R136" s="33">
        <f t="shared" ca="1" si="22"/>
        <v>3.5735914419666712</v>
      </c>
      <c r="S136" s="21">
        <f t="shared" ca="1" si="23"/>
        <v>43.018347927147779</v>
      </c>
      <c r="T136" s="74">
        <f ca="1">IF(L136="","",DATE(INDEX(OFFSET(Arb!$C$2,,,Arb!$AJ$5,),L136),INDEX(OFFSET(Arb!$B$2,,,Arb!$AJ$5,),L136),INDEX(OFFSET(Arb!$A$2,,,Arb!$AJ$5,),L136))+ROW()*0.001)</f>
        <v>43781.135999999999</v>
      </c>
      <c r="U136" s="11">
        <v>135</v>
      </c>
      <c r="V136" s="11">
        <v>3029</v>
      </c>
      <c r="W136" s="433">
        <f ca="1">IF(V136="",164,INDEX(OFFSET(Arb!$I$2,,,Arb!$AJ$5,),V136))</f>
        <v>206</v>
      </c>
      <c r="X136" s="34">
        <f ca="1">IF(V136="",240,INDEX(OFFSET(Arb!$H$2,,,Arb!$AJ$5,),V136))</f>
        <v>82.94</v>
      </c>
      <c r="Y136" s="33">
        <f t="shared" ca="1" si="24"/>
        <v>2.4837231733783458</v>
      </c>
      <c r="Z136" s="33">
        <f ca="1">IF(V136="","",INDEX(OFFSET(Arb!$X$2,,,Arb!$AJ$5,),V136)/X136)</f>
        <v>2.8574873402459611</v>
      </c>
      <c r="AA136" s="33">
        <f ca="1">IF(V136="","",(INDEX(OFFSET(Arb!$U$2,,,Arb!$AJ$5,),V136)+INDEX(OFFSET(Arb!$V$2,,,Arb!$AJ$5,),V136))/X136)</f>
        <v>3.134796238244514</v>
      </c>
      <c r="AB136" s="33">
        <f t="shared" ca="1" si="25"/>
        <v>8.8722063150217956</v>
      </c>
      <c r="AC136" s="21">
        <f t="shared" ca="1" si="26"/>
        <v>49.029630799216974</v>
      </c>
      <c r="AD136" s="74">
        <f ca="1">IF(V136="","",DATE(INDEX(OFFSET(Arb!$C$2,,,Arb!$AJ$5,),V136),INDEX(OFFSET(Arb!$B$2,,,Arb!$AJ$5,),V136),INDEX(OFFSET(Arb!$A$2,,,Arb!$AJ$5,),V136))+ROW()*0.001)</f>
        <v>43978.135999999999</v>
      </c>
    </row>
    <row r="137" spans="1:30" x14ac:dyDescent="0.25">
      <c r="A137" s="11">
        <v>136</v>
      </c>
      <c r="B137" s="11">
        <v>1071</v>
      </c>
      <c r="C137" s="433">
        <f ca="1">IF(B137="",16,INDEX(OFFSET(Arb!$I$2,,,Arb!$AJ$5,),B137))</f>
        <v>26</v>
      </c>
      <c r="D137" s="34">
        <f ca="1">IF(B137="",10,INDEX(OFFSET(Arb!$H$2,,,Arb!$AJ$5,),B137))</f>
        <v>7.2</v>
      </c>
      <c r="E137" s="33">
        <f t="shared" ca="1" si="18"/>
        <v>3.6111111111111112</v>
      </c>
      <c r="F137" s="33">
        <f ca="1">IF(B137="","",INDEX(OFFSET(Arb!$X$2,,,Arb!$AJ$5,),B137)/D137)</f>
        <v>4.0277777777777777</v>
      </c>
      <c r="G137" s="33">
        <f ca="1">IF(B137="","",(INDEX(OFFSET(Arb!$U$2,,,Arb!$AJ$5,),B137)+INDEX(OFFSET(Arb!$V$2,,,Arb!$AJ$5,),B137))/D137)</f>
        <v>4.4444444444444446</v>
      </c>
      <c r="H137" s="33">
        <f t="shared" ca="1" si="19"/>
        <v>1.1027876553793006</v>
      </c>
      <c r="I137" s="21">
        <f t="shared" ca="1" si="20"/>
        <v>42.890396686324571</v>
      </c>
      <c r="J137" s="74">
        <f ca="1">IF(B137="","",DATE(INDEX(OFFSET(Arb!$C$2,,,Arb!$AJ$5,),B137),INDEX(OFFSET(Arb!$B$2,,,Arb!$AJ$5,),B137),INDEX(OFFSET(Arb!$A$2,,,Arb!$AJ$5,),B137))+ROW()*0.001)</f>
        <v>43841.137000000002</v>
      </c>
      <c r="K137" s="11">
        <v>136</v>
      </c>
      <c r="L137" s="11">
        <v>2347</v>
      </c>
      <c r="M137" s="433">
        <f ca="1">IF(L137="",64,INDEX(OFFSET(Arb!$I$2,,,Arb!$AJ$5,),L137))</f>
        <v>77</v>
      </c>
      <c r="N137" s="34">
        <f ca="1">IF(L137="",60,INDEX(OFFSET(Arb!$H$2,,,Arb!$AJ$5,),L137))</f>
        <v>29.05</v>
      </c>
      <c r="O137" s="33">
        <f t="shared" ca="1" si="21"/>
        <v>2.6506024096385543</v>
      </c>
      <c r="P137" s="33">
        <f ca="1">IF(L137="","",INDEX(OFFSET(Arb!$X$2,,,Arb!$AJ$5,),L137)/N137)</f>
        <v>3.3390705679862305</v>
      </c>
      <c r="Q137" s="33">
        <f ca="1">IF(L137="","",(INDEX(OFFSET(Arb!$U$2,,,Arb!$AJ$5,),L137)+INDEX(OFFSET(Arb!$V$2,,,Arb!$AJ$5,),L137))/N137)</f>
        <v>3.5800344234079171</v>
      </c>
      <c r="R137" s="33">
        <f t="shared" ca="1" si="22"/>
        <v>3.988941868046505</v>
      </c>
      <c r="S137" s="21">
        <f t="shared" ca="1" si="23"/>
        <v>38.539042454204981</v>
      </c>
      <c r="T137" s="74">
        <f ca="1">IF(L137="","",DATE(INDEX(OFFSET(Arb!$C$2,,,Arb!$AJ$5,),L137),INDEX(OFFSET(Arb!$B$2,,,Arb!$AJ$5,),L137),INDEX(OFFSET(Arb!$A$2,,,Arb!$AJ$5,),L137))+ROW()*0.001)</f>
        <v>44106.137000000002</v>
      </c>
      <c r="U137" s="11">
        <v>136</v>
      </c>
      <c r="V137" s="11">
        <v>3170</v>
      </c>
      <c r="W137" s="433">
        <f ca="1">IF(V137="",164,INDEX(OFFSET(Arb!$I$2,,,Arb!$AJ$5,),V137))</f>
        <v>174</v>
      </c>
      <c r="X137" s="34">
        <f ca="1">IF(V137="",240,INDEX(OFFSET(Arb!$H$2,,,Arb!$AJ$5,),V137))</f>
        <v>70.16</v>
      </c>
      <c r="Y137" s="33">
        <f t="shared" ca="1" si="24"/>
        <v>2.4800456100342076</v>
      </c>
      <c r="Z137" s="33">
        <f ca="1">IF(V137="","",INDEX(OFFSET(Arb!$X$2,,,Arb!$AJ$5,),V137)/X137)</f>
        <v>2.9931584948688714</v>
      </c>
      <c r="AA137" s="33">
        <f ca="1">IF(V137="","",(INDEX(OFFSET(Arb!$U$2,,,Arb!$AJ$5,),V137)+INDEX(OFFSET(Arb!$V$2,,,Arb!$AJ$5,),V137))/X137)</f>
        <v>3.2354618015963514</v>
      </c>
      <c r="AB137" s="33">
        <f t="shared" ca="1" si="25"/>
        <v>7.9032011992792377</v>
      </c>
      <c r="AC137" s="21">
        <f t="shared" ca="1" si="26"/>
        <v>55.04111423098675</v>
      </c>
      <c r="AD137" s="74">
        <f ca="1">IF(V137="","",DATE(INDEX(OFFSET(Arb!$C$2,,,Arb!$AJ$5,),V137),INDEX(OFFSET(Arb!$B$2,,,Arb!$AJ$5,),V137),INDEX(OFFSET(Arb!$A$2,,,Arb!$AJ$5,),V137))+ROW()*0.001)</f>
        <v>44035.137000000002</v>
      </c>
    </row>
    <row r="138" spans="1:30" x14ac:dyDescent="0.25">
      <c r="A138" s="11">
        <v>137</v>
      </c>
      <c r="B138" s="11">
        <v>613</v>
      </c>
      <c r="C138" s="433">
        <f ca="1">IF(B138="",16,INDEX(OFFSET(Arb!$I$2,,,Arb!$AJ$5,),B138))</f>
        <v>23</v>
      </c>
      <c r="D138" s="34">
        <f ca="1">IF(B138="",10,INDEX(OFFSET(Arb!$H$2,,,Arb!$AJ$5,),B138))</f>
        <v>6.37</v>
      </c>
      <c r="E138" s="33">
        <f t="shared" ca="1" si="18"/>
        <v>3.6106750392464679</v>
      </c>
      <c r="F138" s="33">
        <f ca="1">IF(B138="","",INDEX(OFFSET(Arb!$X$2,,,Arb!$AJ$5,),B138)/D138)</f>
        <v>3.6106750392464679</v>
      </c>
      <c r="G138" s="33">
        <f ca="1">IF(B138="","",(INDEX(OFFSET(Arb!$U$2,,,Arb!$AJ$5,),B138)+INDEX(OFFSET(Arb!$V$2,,,Arb!$AJ$5,),B138))/D138)</f>
        <v>3.9246467817896389</v>
      </c>
      <c r="H138" s="33">
        <f t="shared" ca="1" si="19"/>
        <v>1.0122999116679245</v>
      </c>
      <c r="I138" s="21">
        <f t="shared" ca="1" si="20"/>
        <v>46.724295295123952</v>
      </c>
      <c r="J138" s="74">
        <f ca="1">IF(B138="","",DATE(INDEX(OFFSET(Arb!$C$2,,,Arb!$AJ$5,),B138),INDEX(OFFSET(Arb!$B$2,,,Arb!$AJ$5,),B138),INDEX(OFFSET(Arb!$A$2,,,Arb!$AJ$5,),B138))+ROW()*0.001)</f>
        <v>43799.137999999999</v>
      </c>
      <c r="K138" s="11">
        <v>137</v>
      </c>
      <c r="L138" s="11">
        <v>1976</v>
      </c>
      <c r="M138" s="433">
        <f ca="1">IF(L138="",64,INDEX(OFFSET(Arb!$I$2,,,Arb!$AJ$5,),L138))</f>
        <v>76</v>
      </c>
      <c r="N138" s="34">
        <f ca="1">IF(L138="",60,INDEX(OFFSET(Arb!$H$2,,,Arb!$AJ$5,),L138))</f>
        <v>28.75</v>
      </c>
      <c r="O138" s="33">
        <f t="shared" ca="1" si="21"/>
        <v>2.6434782608695651</v>
      </c>
      <c r="P138" s="33">
        <f ca="1">IF(L138="","",INDEX(OFFSET(Arb!$X$2,,,Arb!$AJ$5,),L138)/N138)</f>
        <v>3.2347826086956522</v>
      </c>
      <c r="Q138" s="33">
        <f ca="1">IF(L138="","",(INDEX(OFFSET(Arb!$U$2,,,Arb!$AJ$5,),L138)+INDEX(OFFSET(Arb!$V$2,,,Arb!$AJ$5,),L138))/N138)</f>
        <v>3.652173913043478</v>
      </c>
      <c r="R138" s="33">
        <f t="shared" ca="1" si="22"/>
        <v>3.970733602004763</v>
      </c>
      <c r="S138" s="21">
        <f t="shared" ca="1" si="23"/>
        <v>38.71576776704034</v>
      </c>
      <c r="T138" s="74">
        <f ca="1">IF(L138="","",DATE(INDEX(OFFSET(Arb!$C$2,,,Arb!$AJ$5,),L138),INDEX(OFFSET(Arb!$B$2,,,Arb!$AJ$5,),L138),INDEX(OFFSET(Arb!$A$2,,,Arb!$AJ$5,),L138))+ROW()*0.001)</f>
        <v>43781.137999999999</v>
      </c>
      <c r="U138" s="11">
        <v>137</v>
      </c>
      <c r="V138" s="11">
        <v>3255</v>
      </c>
      <c r="W138" s="433">
        <f ca="1">IF(V138="",164,INDEX(OFFSET(Arb!$I$2,,,Arb!$AJ$5,),V138))</f>
        <v>188</v>
      </c>
      <c r="X138" s="34">
        <f ca="1">IF(V138="",240,INDEX(OFFSET(Arb!$H$2,,,Arb!$AJ$5,),V138))</f>
        <v>75.81</v>
      </c>
      <c r="Y138" s="33">
        <f t="shared" ca="1" si="24"/>
        <v>2.4798839203271337</v>
      </c>
      <c r="Z138" s="33">
        <f ca="1">IF(V138="","",INDEX(OFFSET(Arb!$X$2,,,Arb!$AJ$5,),V138)/X138)</f>
        <v>2.8624192059095104</v>
      </c>
      <c r="AA138" s="33">
        <f ca="1">IF(V138="","",(INDEX(OFFSET(Arb!$U$2,,,Arb!$AJ$5,),V138)+INDEX(OFFSET(Arb!$V$2,,,Arb!$AJ$5,),V138))/X138)</f>
        <v>3.1658092599920855</v>
      </c>
      <c r="AB138" s="33">
        <f t="shared" ca="1" si="25"/>
        <v>8.3440557096324053</v>
      </c>
      <c r="AC138" s="21">
        <f t="shared" ca="1" si="26"/>
        <v>52.133041189769791</v>
      </c>
      <c r="AD138" s="74">
        <f ca="1">IF(V138="","",DATE(INDEX(OFFSET(Arb!$C$2,,,Arb!$AJ$5,),V138),INDEX(OFFSET(Arb!$B$2,,,Arb!$AJ$5,),V138),INDEX(OFFSET(Arb!$A$2,,,Arb!$AJ$5,),V138))+ROW()*0.001)</f>
        <v>44070.137999999999</v>
      </c>
    </row>
    <row r="139" spans="1:30" x14ac:dyDescent="0.25">
      <c r="A139" s="11">
        <v>138</v>
      </c>
      <c r="B139" s="11">
        <v>596</v>
      </c>
      <c r="C139" s="433">
        <f ca="1">IF(B139="",16,INDEX(OFFSET(Arb!$I$2,,,Arb!$AJ$5,),B139))</f>
        <v>33</v>
      </c>
      <c r="D139" s="34">
        <f ca="1">IF(B139="",10,INDEX(OFFSET(Arb!$H$2,,,Arb!$AJ$5,),B139))</f>
        <v>9.14</v>
      </c>
      <c r="E139" s="33">
        <f t="shared" ca="1" si="18"/>
        <v>3.6105032822757108</v>
      </c>
      <c r="F139" s="33">
        <f ca="1">IF(B139="","",INDEX(OFFSET(Arb!$X$2,,,Arb!$AJ$5,),B139)/D139)</f>
        <v>4.0481400437636763</v>
      </c>
      <c r="G139" s="33">
        <f ca="1">IF(B139="","",(INDEX(OFFSET(Arb!$U$2,,,Arb!$AJ$5,),B139)+INDEX(OFFSET(Arb!$V$2,,,Arb!$AJ$5,),B139))/D139)</f>
        <v>4.7045951859956237</v>
      </c>
      <c r="H139" s="33">
        <f t="shared" ca="1" si="19"/>
        <v>1.3034506496869618</v>
      </c>
      <c r="I139" s="21">
        <f t="shared" ca="1" si="20"/>
        <v>36.287526506169897</v>
      </c>
      <c r="J139" s="74">
        <f ca="1">IF(B139="","",DATE(INDEX(OFFSET(Arb!$C$2,,,Arb!$AJ$5,),B139),INDEX(OFFSET(Arb!$B$2,,,Arb!$AJ$5,),B139),INDEX(OFFSET(Arb!$A$2,,,Arb!$AJ$5,),B139))+ROW()*0.001)</f>
        <v>43798.139000000003</v>
      </c>
      <c r="K139" s="11">
        <v>138</v>
      </c>
      <c r="L139" s="11">
        <v>2237</v>
      </c>
      <c r="M139" s="433">
        <f ca="1">IF(L139="",64,INDEX(OFFSET(Arb!$I$2,,,Arb!$AJ$5,),L139))</f>
        <v>57</v>
      </c>
      <c r="N139" s="34">
        <f ca="1">IF(L139="",60,INDEX(OFFSET(Arb!$H$2,,,Arb!$AJ$5,),L139))</f>
        <v>21.57</v>
      </c>
      <c r="O139" s="33">
        <f t="shared" ca="1" si="21"/>
        <v>2.642559109874826</v>
      </c>
      <c r="P139" s="33">
        <f ca="1">IF(L139="","",INDEX(OFFSET(Arb!$X$2,,,Arb!$AJ$5,),L139)/N139)</f>
        <v>3.1525266573945294</v>
      </c>
      <c r="Q139" s="33">
        <f ca="1">IF(L139="","",(INDEX(OFFSET(Arb!$U$2,,,Arb!$AJ$5,),L139)+INDEX(OFFSET(Arb!$V$2,,,Arb!$AJ$5,),L139))/N139)</f>
        <v>3.3843300880853038</v>
      </c>
      <c r="R139" s="33">
        <f t="shared" ca="1" si="22"/>
        <v>3.2484066508496441</v>
      </c>
      <c r="S139" s="21">
        <f t="shared" ca="1" si="23"/>
        <v>47.324739948981083</v>
      </c>
      <c r="T139" s="74">
        <f ca="1">IF(L139="","",DATE(INDEX(OFFSET(Arb!$C$2,,,Arb!$AJ$5,),L139),INDEX(OFFSET(Arb!$B$2,,,Arb!$AJ$5,),L139),INDEX(OFFSET(Arb!$A$2,,,Arb!$AJ$5,),L139))+ROW()*0.001)</f>
        <v>43890.139000000003</v>
      </c>
      <c r="U139" s="11">
        <v>138</v>
      </c>
      <c r="V139" s="11">
        <v>2600</v>
      </c>
      <c r="W139" s="433">
        <f ca="1">IF(V139="",164,INDEX(OFFSET(Arb!$I$2,,,Arb!$AJ$5,),V139))</f>
        <v>195</v>
      </c>
      <c r="X139" s="34">
        <f ca="1">IF(V139="",240,INDEX(OFFSET(Arb!$H$2,,,Arb!$AJ$5,),V139))</f>
        <v>78.66</v>
      </c>
      <c r="Y139" s="33">
        <f t="shared" ca="1" si="24"/>
        <v>2.4790236460717012</v>
      </c>
      <c r="Z139" s="33">
        <f ca="1">IF(V139="","",INDEX(OFFSET(Arb!$X$2,,,Arb!$AJ$5,),V139)/X139)</f>
        <v>2.7459954233409611</v>
      </c>
      <c r="AA139" s="33">
        <f ca="1">IF(V139="","",(INDEX(OFFSET(Arb!$U$2,,,Arb!$AJ$5,),V139)+INDEX(OFFSET(Arb!$V$2,,,Arb!$AJ$5,),V139))/X139)</f>
        <v>2.949402491736588</v>
      </c>
      <c r="AB139" s="33">
        <f t="shared" ca="1" si="25"/>
        <v>8.5653889760285278</v>
      </c>
      <c r="AC139" s="21">
        <f t="shared" ca="1" si="26"/>
        <v>50.785901401257178</v>
      </c>
      <c r="AD139" s="74">
        <f ca="1">IF(V139="","",DATE(INDEX(OFFSET(Arb!$C$2,,,Arb!$AJ$5,),V139),INDEX(OFFSET(Arb!$B$2,,,Arb!$AJ$5,),V139),INDEX(OFFSET(Arb!$A$2,,,Arb!$AJ$5,),V139))+ROW()*0.001)</f>
        <v>43809.139000000003</v>
      </c>
    </row>
    <row r="140" spans="1:30" x14ac:dyDescent="0.25">
      <c r="A140" s="11">
        <v>139</v>
      </c>
      <c r="B140" s="11">
        <v>1306</v>
      </c>
      <c r="C140" s="433">
        <f ca="1">IF(B140="",16,INDEX(OFFSET(Arb!$I$2,,,Arb!$AJ$5,),B140))</f>
        <v>17</v>
      </c>
      <c r="D140" s="34">
        <f ca="1">IF(B140="",10,INDEX(OFFSET(Arb!$H$2,,,Arb!$AJ$5,),B140))</f>
        <v>4.71</v>
      </c>
      <c r="E140" s="33">
        <f t="shared" ca="1" si="18"/>
        <v>3.6093418259023355</v>
      </c>
      <c r="F140" s="33">
        <f ca="1">IF(B140="","",INDEX(OFFSET(Arb!$X$2,,,Arb!$AJ$5,),B140)/D140)</f>
        <v>4.4585987261146496</v>
      </c>
      <c r="G140" s="33">
        <f ca="1">IF(B140="","",(INDEX(OFFSET(Arb!$U$2,,,Arb!$AJ$5,),B140)+INDEX(OFFSET(Arb!$V$2,,,Arb!$AJ$5,),B140))/D140)</f>
        <v>4.6709129511677281</v>
      </c>
      <c r="H140" s="33">
        <f t="shared" ca="1" si="19"/>
        <v>0.81975980660438585</v>
      </c>
      <c r="I140" s="21">
        <f t="shared" ca="1" si="20"/>
        <v>57.69860832275031</v>
      </c>
      <c r="J140" s="74">
        <f ca="1">IF(B140="","",DATE(INDEX(OFFSET(Arb!$C$2,,,Arb!$AJ$5,),B140),INDEX(OFFSET(Arb!$B$2,,,Arb!$AJ$5,),B140),INDEX(OFFSET(Arb!$A$2,,,Arb!$AJ$5,),B140))+ROW()*0.001)</f>
        <v>43912.14</v>
      </c>
      <c r="K140" s="11">
        <v>139</v>
      </c>
      <c r="L140" s="11">
        <v>2211</v>
      </c>
      <c r="M140" s="433">
        <f ca="1">IF(L140="",64,INDEX(OFFSET(Arb!$I$2,,,Arb!$AJ$5,),L140))</f>
        <v>71</v>
      </c>
      <c r="N140" s="34">
        <f ca="1">IF(L140="",60,INDEX(OFFSET(Arb!$H$2,,,Arb!$AJ$5,),L140))</f>
        <v>26.88</v>
      </c>
      <c r="O140" s="33">
        <f t="shared" ca="1" si="21"/>
        <v>2.6413690476190479</v>
      </c>
      <c r="P140" s="33">
        <f ca="1">IF(L140="","",INDEX(OFFSET(Arb!$X$2,,,Arb!$AJ$5,),L140)/N140)</f>
        <v>3.125</v>
      </c>
      <c r="Q140" s="33">
        <f ca="1">IF(L140="","",(INDEX(OFFSET(Arb!$U$2,,,Arb!$AJ$5,),L140)+INDEX(OFFSET(Arb!$V$2,,,Arb!$AJ$5,),L140))/N140)</f>
        <v>3.4970238095238098</v>
      </c>
      <c r="R140" s="33">
        <f t="shared" ca="1" si="22"/>
        <v>3.7911537775954964</v>
      </c>
      <c r="S140" s="21">
        <f t="shared" ca="1" si="23"/>
        <v>40.549660873292723</v>
      </c>
      <c r="T140" s="74">
        <f ca="1">IF(L140="","",DATE(INDEX(OFFSET(Arb!$C$2,,,Arb!$AJ$5,),L140),INDEX(OFFSET(Arb!$B$2,,,Arb!$AJ$5,),L140),INDEX(OFFSET(Arb!$A$2,,,Arb!$AJ$5,),L140))+ROW()*0.001)</f>
        <v>43869.14</v>
      </c>
      <c r="U140" s="11">
        <v>139</v>
      </c>
      <c r="V140" s="11">
        <v>3207</v>
      </c>
      <c r="W140" s="433">
        <f ca="1">IF(V140="",164,INDEX(OFFSET(Arb!$I$2,,,Arb!$AJ$5,),V140))</f>
        <v>203</v>
      </c>
      <c r="X140" s="34">
        <f ca="1">IF(V140="",240,INDEX(OFFSET(Arb!$H$2,,,Arb!$AJ$5,),V140))</f>
        <v>81.92</v>
      </c>
      <c r="Y140" s="33">
        <f t="shared" ca="1" si="24"/>
        <v>2.47802734375</v>
      </c>
      <c r="Z140" s="33">
        <f ca="1">IF(V140="","",INDEX(OFFSET(Arb!$X$2,,,Arb!$AJ$5,),V140)/X140)</f>
        <v>2.9052734375</v>
      </c>
      <c r="AA140" s="33">
        <f ca="1">IF(V140="","",(INDEX(OFFSET(Arb!$U$2,,,Arb!$AJ$5,),V140)+INDEX(OFFSET(Arb!$V$2,,,Arb!$AJ$5,),V140))/X140)</f>
        <v>3.28369140625</v>
      </c>
      <c r="AB140" s="33">
        <f t="shared" ca="1" si="25"/>
        <v>8.8159042829391669</v>
      </c>
      <c r="AC140" s="21">
        <f t="shared" ca="1" si="26"/>
        <v>49.342754417357781</v>
      </c>
      <c r="AD140" s="74">
        <f ca="1">IF(V140="","",DATE(INDEX(OFFSET(Arb!$C$2,,,Arb!$AJ$5,),V140),INDEX(OFFSET(Arb!$B$2,,,Arb!$AJ$5,),V140),INDEX(OFFSET(Arb!$A$2,,,Arb!$AJ$5,),V140))+ROW()*0.001)</f>
        <v>44058.14</v>
      </c>
    </row>
    <row r="141" spans="1:30" x14ac:dyDescent="0.25">
      <c r="A141" s="11">
        <v>140</v>
      </c>
      <c r="B141" s="11">
        <v>1017</v>
      </c>
      <c r="C141" s="433">
        <f ca="1">IF(B141="",16,INDEX(OFFSET(Arb!$I$2,,,Arb!$AJ$5,),B141))</f>
        <v>19</v>
      </c>
      <c r="D141" s="34">
        <f ca="1">IF(B141="",10,INDEX(OFFSET(Arb!$H$2,,,Arb!$AJ$5,),B141))</f>
        <v>5.27</v>
      </c>
      <c r="E141" s="33">
        <f t="shared" ca="1" si="18"/>
        <v>3.6053130929791273</v>
      </c>
      <c r="F141" s="33">
        <f ca="1">IF(B141="","",INDEX(OFFSET(Arb!$X$2,,,Arb!$AJ$5,),B141)/D141)</f>
        <v>3.6053130929791273</v>
      </c>
      <c r="G141" s="33">
        <f ca="1">IF(B141="","",(INDEX(OFFSET(Arb!$U$2,,,Arb!$AJ$5,),B141)+INDEX(OFFSET(Arb!$V$2,,,Arb!$AJ$5,),B141))/D141)</f>
        <v>4.1745730550284632</v>
      </c>
      <c r="H141" s="33">
        <f t="shared" ca="1" si="19"/>
        <v>0.88781902021460446</v>
      </c>
      <c r="I141" s="21">
        <f t="shared" ca="1" si="20"/>
        <v>53.275497509128428</v>
      </c>
      <c r="J141" s="74">
        <f ca="1">IF(B141="","",DATE(INDEX(OFFSET(Arb!$C$2,,,Arb!$AJ$5,),B141),INDEX(OFFSET(Arb!$B$2,,,Arb!$AJ$5,),B141),INDEX(OFFSET(Arb!$A$2,,,Arb!$AJ$5,),B141))+ROW()*0.001)</f>
        <v>43839.141000000003</v>
      </c>
      <c r="K141" s="11">
        <v>140</v>
      </c>
      <c r="L141" s="11">
        <v>2229</v>
      </c>
      <c r="M141" s="433">
        <f ca="1">IF(L141="",64,INDEX(OFFSET(Arb!$I$2,,,Arb!$AJ$5,),L141))</f>
        <v>73</v>
      </c>
      <c r="N141" s="34">
        <f ca="1">IF(L141="",60,INDEX(OFFSET(Arb!$H$2,,,Arb!$AJ$5,),L141))</f>
        <v>27.65</v>
      </c>
      <c r="O141" s="33">
        <f t="shared" ca="1" si="21"/>
        <v>2.6401446654611211</v>
      </c>
      <c r="P141" s="33">
        <f ca="1">IF(L141="","",INDEX(OFFSET(Arb!$X$2,,,Arb!$AJ$5,),L141)/N141)</f>
        <v>3.1103074141048825</v>
      </c>
      <c r="Q141" s="33">
        <f ca="1">IF(L141="","",(INDEX(OFFSET(Arb!$U$2,,,Arb!$AJ$5,),L141)+INDEX(OFFSET(Arb!$V$2,,,Arb!$AJ$5,),L141))/N141)</f>
        <v>3.6889692585895117</v>
      </c>
      <c r="R141" s="33">
        <f t="shared" ca="1" si="22"/>
        <v>3.8686449221033175</v>
      </c>
      <c r="S141" s="21">
        <f t="shared" ca="1" si="23"/>
        <v>39.737428245655472</v>
      </c>
      <c r="T141" s="74">
        <f ca="1">IF(L141="","",DATE(INDEX(OFFSET(Arb!$C$2,,,Arb!$AJ$5,),L141),INDEX(OFFSET(Arb!$B$2,,,Arb!$AJ$5,),L141),INDEX(OFFSET(Arb!$A$2,,,Arb!$AJ$5,),L141))+ROW()*0.001)</f>
        <v>43885.141000000003</v>
      </c>
      <c r="U141" s="11">
        <v>140</v>
      </c>
      <c r="V141" s="11">
        <v>2929</v>
      </c>
      <c r="W141" s="433">
        <f ca="1">IF(V141="",164,INDEX(OFFSET(Arb!$I$2,,,Arb!$AJ$5,),V141))</f>
        <v>177</v>
      </c>
      <c r="X141" s="34">
        <f ca="1">IF(V141="",240,INDEX(OFFSET(Arb!$H$2,,,Arb!$AJ$5,),V141))</f>
        <v>71.44</v>
      </c>
      <c r="Y141" s="33">
        <f t="shared" ca="1" si="24"/>
        <v>2.4776035834266517</v>
      </c>
      <c r="Z141" s="33">
        <f ca="1">IF(V141="","",INDEX(OFFSET(Arb!$X$2,,,Arb!$AJ$5,),V141)/X141)</f>
        <v>2.9815229563269878</v>
      </c>
      <c r="AA141" s="33">
        <f ca="1">IF(V141="","",(INDEX(OFFSET(Arb!$U$2,,,Arb!$AJ$5,),V141)+INDEX(OFFSET(Arb!$V$2,,,Arb!$AJ$5,),V141))/X141)</f>
        <v>3.35946248600224</v>
      </c>
      <c r="AB141" s="33">
        <f t="shared" ca="1" si="25"/>
        <v>8.0117463584253112</v>
      </c>
      <c r="AC141" s="21">
        <f t="shared" ca="1" si="26"/>
        <v>54.295403341438075</v>
      </c>
      <c r="AD141" s="74">
        <f ca="1">IF(V141="","",DATE(INDEX(OFFSET(Arb!$C$2,,,Arb!$AJ$5,),V141),INDEX(OFFSET(Arb!$B$2,,,Arb!$AJ$5,),V141),INDEX(OFFSET(Arb!$A$2,,,Arb!$AJ$5,),V141))+ROW()*0.001)</f>
        <v>43937.141000000003</v>
      </c>
    </row>
    <row r="142" spans="1:30" x14ac:dyDescent="0.25">
      <c r="A142" s="11">
        <v>141</v>
      </c>
      <c r="B142" s="11">
        <v>831</v>
      </c>
      <c r="C142" s="433">
        <f ca="1">IF(B142="",16,INDEX(OFFSET(Arb!$I$2,,,Arb!$AJ$5,),B142))</f>
        <v>31</v>
      </c>
      <c r="D142" s="34">
        <f ca="1">IF(B142="",10,INDEX(OFFSET(Arb!$H$2,,,Arb!$AJ$5,),B142))</f>
        <v>8.6</v>
      </c>
      <c r="E142" s="33">
        <f t="shared" ca="1" si="18"/>
        <v>3.6046511627906979</v>
      </c>
      <c r="F142" s="33">
        <f ca="1">IF(B142="","",INDEX(OFFSET(Arb!$X$2,,,Arb!$AJ$5,),B142)/D142)</f>
        <v>3.3720930232558142</v>
      </c>
      <c r="G142" s="33">
        <f ca="1">IF(B142="","",(INDEX(OFFSET(Arb!$U$2,,,Arb!$AJ$5,),B142)+INDEX(OFFSET(Arb!$V$2,,,Arb!$AJ$5,),B142))/D142)</f>
        <v>4.5348837209302326</v>
      </c>
      <c r="H142" s="33">
        <f t="shared" ca="1" si="19"/>
        <v>1.2510817049415552</v>
      </c>
      <c r="I142" s="21">
        <f t="shared" ca="1" si="20"/>
        <v>37.806483631866065</v>
      </c>
      <c r="J142" s="74">
        <f ca="1">IF(B142="","",DATE(INDEX(OFFSET(Arb!$C$2,,,Arb!$AJ$5,),B142),INDEX(OFFSET(Arb!$B$2,,,Arb!$AJ$5,),B142),INDEX(OFFSET(Arb!$A$2,,,Arb!$AJ$5,),B142))+ROW()*0.001)</f>
        <v>43813.142</v>
      </c>
      <c r="K142" s="11">
        <v>141</v>
      </c>
      <c r="L142" s="11">
        <v>1998</v>
      </c>
      <c r="M142" s="433">
        <f ca="1">IF(L142="",64,INDEX(OFFSET(Arb!$I$2,,,Arb!$AJ$5,),L142))</f>
        <v>91</v>
      </c>
      <c r="N142" s="34">
        <f ca="1">IF(L142="",60,INDEX(OFFSET(Arb!$H$2,,,Arb!$AJ$5,),L142))</f>
        <v>34.49</v>
      </c>
      <c r="O142" s="33">
        <f t="shared" ca="1" si="21"/>
        <v>2.6384459263554652</v>
      </c>
      <c r="P142" s="33">
        <f ca="1">IF(L142="","",INDEX(OFFSET(Arb!$X$2,,,Arb!$AJ$5,),L142)/N142)</f>
        <v>3.044360684256306</v>
      </c>
      <c r="Q142" s="33">
        <f ca="1">IF(L142="","",(INDEX(OFFSET(Arb!$U$2,,,Arb!$AJ$5,),L142)+INDEX(OFFSET(Arb!$V$2,,,Arb!$AJ$5,),L142))/N142)</f>
        <v>3.5952449985503043</v>
      </c>
      <c r="R142" s="33">
        <f t="shared" ca="1" si="22"/>
        <v>4.5189448182263554</v>
      </c>
      <c r="S142" s="21">
        <f t="shared" ca="1" si="23"/>
        <v>34.019003591271471</v>
      </c>
      <c r="T142" s="74">
        <f ca="1">IF(L142="","",DATE(INDEX(OFFSET(Arb!$C$2,,,Arb!$AJ$5,),L142),INDEX(OFFSET(Arb!$B$2,,,Arb!$AJ$5,),L142),INDEX(OFFSET(Arb!$A$2,,,Arb!$AJ$5,),L142))+ROW()*0.001)</f>
        <v>43786.142</v>
      </c>
      <c r="U142" s="11">
        <v>141</v>
      </c>
      <c r="V142" s="11">
        <v>3084</v>
      </c>
      <c r="W142" s="433">
        <f ca="1">IF(V142="",164,INDEX(OFFSET(Arb!$I$2,,,Arb!$AJ$5,),V142))</f>
        <v>181</v>
      </c>
      <c r="X142" s="34">
        <f ca="1">IF(V142="",240,INDEX(OFFSET(Arb!$H$2,,,Arb!$AJ$5,),V142))</f>
        <v>73.09</v>
      </c>
      <c r="Y142" s="33">
        <f t="shared" ca="1" si="24"/>
        <v>2.4763989601860716</v>
      </c>
      <c r="Z142" s="33">
        <f ca="1">IF(V142="","",INDEX(OFFSET(Arb!$X$2,,,Arb!$AJ$5,),V142)/X142)</f>
        <v>2.9826241619920646</v>
      </c>
      <c r="AA142" s="33">
        <f ca="1">IF(V142="","",(INDEX(OFFSET(Arb!$U$2,,,Arb!$AJ$5,),V142)+INDEX(OFFSET(Arb!$V$2,,,Arb!$AJ$5,),V142))/X142)</f>
        <v>3.2973046928444383</v>
      </c>
      <c r="AB142" s="33">
        <f t="shared" ca="1" si="25"/>
        <v>8.1447912961475044</v>
      </c>
      <c r="AC142" s="21">
        <f t="shared" ca="1" si="26"/>
        <v>53.408489448435091</v>
      </c>
      <c r="AD142" s="74">
        <f ca="1">IF(V142="","",DATE(INDEX(OFFSET(Arb!$C$2,,,Arb!$AJ$5,),V142),INDEX(OFFSET(Arb!$B$2,,,Arb!$AJ$5,),V142),INDEX(OFFSET(Arb!$A$2,,,Arb!$AJ$5,),V142))+ROW()*0.001)</f>
        <v>44003.142</v>
      </c>
    </row>
    <row r="143" spans="1:30" x14ac:dyDescent="0.25">
      <c r="A143" s="11">
        <v>142</v>
      </c>
      <c r="B143" s="11">
        <v>1318</v>
      </c>
      <c r="C143" s="433">
        <f ca="1">IF(B143="",16,INDEX(OFFSET(Arb!$I$2,,,Arb!$AJ$5,),B143))</f>
        <v>25</v>
      </c>
      <c r="D143" s="34">
        <f ca="1">IF(B143="",10,INDEX(OFFSET(Arb!$H$2,,,Arb!$AJ$5,),B143))</f>
        <v>6.94</v>
      </c>
      <c r="E143" s="33">
        <f t="shared" ca="1" si="18"/>
        <v>3.6023054755043225</v>
      </c>
      <c r="F143" s="33">
        <f ca="1">IF(B143="","",INDEX(OFFSET(Arb!$X$2,,,Arb!$AJ$5,),B143)/D143)</f>
        <v>4.7550432276657055</v>
      </c>
      <c r="G143" s="33">
        <f ca="1">IF(B143="","",(INDEX(OFFSET(Arb!$U$2,,,Arb!$AJ$5,),B143)+INDEX(OFFSET(Arb!$V$2,,,Arb!$AJ$5,),B143))/D143)</f>
        <v>5.7636887608069163</v>
      </c>
      <c r="H143" s="33">
        <f t="shared" ca="1" si="19"/>
        <v>1.0773854126945843</v>
      </c>
      <c r="I143" s="21">
        <f t="shared" ca="1" si="20"/>
        <v>43.90165250307529</v>
      </c>
      <c r="J143" s="74">
        <f ca="1">IF(B143="","",DATE(INDEX(OFFSET(Arb!$C$2,,,Arb!$AJ$5,),B143),INDEX(OFFSET(Arb!$B$2,,,Arb!$AJ$5,),B143),INDEX(OFFSET(Arb!$A$2,,,Arb!$AJ$5,),B143))+ROW()*0.001)</f>
        <v>43912.142999999996</v>
      </c>
      <c r="K143" s="11">
        <v>142</v>
      </c>
      <c r="L143" s="11">
        <v>1973</v>
      </c>
      <c r="M143" s="433">
        <f ca="1">IF(L143="",64,INDEX(OFFSET(Arb!$I$2,,,Arb!$AJ$5,),L143))</f>
        <v>64</v>
      </c>
      <c r="N143" s="34">
        <f ca="1">IF(L143="",60,INDEX(OFFSET(Arb!$H$2,,,Arb!$AJ$5,),L143))</f>
        <v>24.26</v>
      </c>
      <c r="O143" s="33">
        <f t="shared" ca="1" si="21"/>
        <v>2.6380873866446826</v>
      </c>
      <c r="P143" s="33">
        <f ca="1">IF(L143="","",INDEX(OFFSET(Arb!$X$2,,,Arb!$AJ$5,),L143)/N143)</f>
        <v>3.2563891178895297</v>
      </c>
      <c r="Q143" s="33">
        <f ca="1">IF(L143="","",(INDEX(OFFSET(Arb!$U$2,,,Arb!$AJ$5,),L143)+INDEX(OFFSET(Arb!$V$2,,,Arb!$AJ$5,),L143))/N143)</f>
        <v>3.4212695795548225</v>
      </c>
      <c r="R143" s="33">
        <f t="shared" ca="1" si="22"/>
        <v>3.5329246922238067</v>
      </c>
      <c r="S143" s="21">
        <f t="shared" ca="1" si="23"/>
        <v>43.513523041792979</v>
      </c>
      <c r="T143" s="74">
        <f ca="1">IF(L143="","",DATE(INDEX(OFFSET(Arb!$C$2,,,Arb!$AJ$5,),L143),INDEX(OFFSET(Arb!$B$2,,,Arb!$AJ$5,),L143),INDEX(OFFSET(Arb!$A$2,,,Arb!$AJ$5,),L143))+ROW()*0.001)</f>
        <v>43779.142999999996</v>
      </c>
      <c r="U143" s="11">
        <v>142</v>
      </c>
      <c r="V143" s="11">
        <v>3330</v>
      </c>
      <c r="W143" s="433">
        <f ca="1">IF(V143="",164,INDEX(OFFSET(Arb!$I$2,,,Arb!$AJ$5,),V143))</f>
        <v>169</v>
      </c>
      <c r="X143" s="34">
        <f ca="1">IF(V143="",240,INDEX(OFFSET(Arb!$H$2,,,Arb!$AJ$5,),V143))</f>
        <v>68.27</v>
      </c>
      <c r="Y143" s="33">
        <f t="shared" ca="1" si="24"/>
        <v>2.4754650651823642</v>
      </c>
      <c r="Z143" s="33">
        <f ca="1">IF(V143="","",INDEX(OFFSET(Arb!$X$2,,,Arb!$AJ$5,),V143)/X143)</f>
        <v>3.0613739563497879</v>
      </c>
      <c r="AA143" s="33">
        <f ca="1">IF(V143="","",(INDEX(OFFSET(Arb!$U$2,,,Arb!$AJ$5,),V143)+INDEX(OFFSET(Arb!$V$2,,,Arb!$AJ$5,),V143))/X143)</f>
        <v>3.368976124212685</v>
      </c>
      <c r="AB143" s="33">
        <f t="shared" ca="1" si="25"/>
        <v>7.7679090179821495</v>
      </c>
      <c r="AC143" s="21">
        <f t="shared" ca="1" si="26"/>
        <v>55.999754759357252</v>
      </c>
      <c r="AD143" s="74">
        <f ca="1">IF(V143="","",DATE(INDEX(OFFSET(Arb!$C$2,,,Arb!$AJ$5,),V143),INDEX(OFFSET(Arb!$B$2,,,Arb!$AJ$5,),V143),INDEX(OFFSET(Arb!$A$2,,,Arb!$AJ$5,),V143))+ROW()*0.001)</f>
        <v>44096.142999999996</v>
      </c>
    </row>
    <row r="144" spans="1:30" x14ac:dyDescent="0.25">
      <c r="A144" s="11">
        <v>143</v>
      </c>
      <c r="B144" s="11">
        <v>293</v>
      </c>
      <c r="C144" s="433">
        <f ca="1">IF(B144="",16,INDEX(OFFSET(Arb!$I$2,,,Arb!$AJ$5,),B144))</f>
        <v>18</v>
      </c>
      <c r="D144" s="34">
        <f ca="1">IF(B144="",10,INDEX(OFFSET(Arb!$H$2,,,Arb!$AJ$5,),B144))</f>
        <v>5.01</v>
      </c>
      <c r="E144" s="33">
        <f t="shared" ca="1" si="18"/>
        <v>3.5928143712574854</v>
      </c>
      <c r="F144" s="33">
        <f ca="1">IF(B144="","",INDEX(OFFSET(Arb!$X$2,,,Arb!$AJ$5,),B144)/D144)</f>
        <v>3.7924151696606789</v>
      </c>
      <c r="G144" s="33">
        <f ca="1">IF(B144="","",(INDEX(OFFSET(Arb!$U$2,,,Arb!$AJ$5,),B144)+INDEX(OFFSET(Arb!$V$2,,,Arb!$AJ$5,),B144))/D144)</f>
        <v>4.1916167664670656</v>
      </c>
      <c r="H144" s="33">
        <f t="shared" ca="1" si="19"/>
        <v>0.85990728625046309</v>
      </c>
      <c r="I144" s="21">
        <f t="shared" ca="1" si="20"/>
        <v>55.004767090929541</v>
      </c>
      <c r="J144" s="74">
        <f ca="1">IF(B144="","",DATE(INDEX(OFFSET(Arb!$C$2,,,Arb!$AJ$5,),B144),INDEX(OFFSET(Arb!$B$2,,,Arb!$AJ$5,),B144),INDEX(OFFSET(Arb!$A$2,,,Arb!$AJ$5,),B144))+ROW()*0.001)</f>
        <v>43777.144</v>
      </c>
      <c r="K144" s="11">
        <v>143</v>
      </c>
      <c r="L144" s="11">
        <v>2046</v>
      </c>
      <c r="M144" s="433">
        <f ca="1">IF(L144="",64,INDEX(OFFSET(Arb!$I$2,,,Arb!$AJ$5,),L144))</f>
        <v>68</v>
      </c>
      <c r="N144" s="34">
        <f ca="1">IF(L144="",60,INDEX(OFFSET(Arb!$H$2,,,Arb!$AJ$5,),L144))</f>
        <v>25.8</v>
      </c>
      <c r="O144" s="33">
        <f t="shared" ca="1" si="21"/>
        <v>2.635658914728682</v>
      </c>
      <c r="P144" s="33">
        <f ca="1">IF(L144="","",INDEX(OFFSET(Arb!$X$2,,,Arb!$AJ$5,),L144)/N144)</f>
        <v>3.4108527131782944</v>
      </c>
      <c r="Q144" s="33">
        <f ca="1">IF(L144="","",(INDEX(OFFSET(Arb!$U$2,,,Arb!$AJ$5,),L144)+INDEX(OFFSET(Arb!$V$2,,,Arb!$AJ$5,),L144))/N144)</f>
        <v>3.9147286821705425</v>
      </c>
      <c r="R144" s="33">
        <f t="shared" ca="1" si="22"/>
        <v>3.6918545914504239</v>
      </c>
      <c r="S144" s="21">
        <f t="shared" ca="1" si="23"/>
        <v>41.64031821730115</v>
      </c>
      <c r="T144" s="74">
        <f ca="1">IF(L144="","",DATE(INDEX(OFFSET(Arb!$C$2,,,Arb!$AJ$5,),L144),INDEX(OFFSET(Arb!$B$2,,,Arb!$AJ$5,),L144),INDEX(OFFSET(Arb!$A$2,,,Arb!$AJ$5,),L144))+ROW()*0.001)</f>
        <v>43798.144</v>
      </c>
      <c r="U144" s="11">
        <v>143</v>
      </c>
      <c r="V144" s="11">
        <v>3144</v>
      </c>
      <c r="W144" s="433">
        <f ca="1">IF(V144="",164,INDEX(OFFSET(Arb!$I$2,,,Arb!$AJ$5,),V144))</f>
        <v>193</v>
      </c>
      <c r="X144" s="34">
        <f ca="1">IF(V144="",240,INDEX(OFFSET(Arb!$H$2,,,Arb!$AJ$5,),V144))</f>
        <v>78.03</v>
      </c>
      <c r="Y144" s="33">
        <f t="shared" ca="1" si="24"/>
        <v>2.4734076637190823</v>
      </c>
      <c r="Z144" s="33">
        <f ca="1">IF(V144="","",INDEX(OFFSET(Arb!$X$2,,,Arb!$AJ$5,),V144)/X144)</f>
        <v>2.8706907599641163</v>
      </c>
      <c r="AA144" s="33">
        <f ca="1">IF(V144="","",(INDEX(OFFSET(Arb!$U$2,,,Arb!$AJ$5,),V144)+INDEX(OFFSET(Arb!$V$2,,,Arb!$AJ$5,),V144))/X144)</f>
        <v>3.1782647699602715</v>
      </c>
      <c r="AB144" s="33">
        <f t="shared" ca="1" si="25"/>
        <v>8.536648956264786</v>
      </c>
      <c r="AC144" s="21">
        <f t="shared" ca="1" si="26"/>
        <v>50.956880413920032</v>
      </c>
      <c r="AD144" s="74">
        <f ca="1">IF(V144="","",DATE(INDEX(OFFSET(Arb!$C$2,,,Arb!$AJ$5,),V144),INDEX(OFFSET(Arb!$B$2,,,Arb!$AJ$5,),V144),INDEX(OFFSET(Arb!$A$2,,,Arb!$AJ$5,),V144))+ROW()*0.001)</f>
        <v>44024.144</v>
      </c>
    </row>
    <row r="145" spans="1:30" x14ac:dyDescent="0.25">
      <c r="A145" s="11">
        <v>144</v>
      </c>
      <c r="B145" s="11">
        <v>1717</v>
      </c>
      <c r="C145" s="433">
        <f ca="1">IF(B145="",16,INDEX(OFFSET(Arb!$I$2,,,Arb!$AJ$5,),B145))</f>
        <v>33</v>
      </c>
      <c r="D145" s="34">
        <f ca="1">IF(B145="",10,INDEX(OFFSET(Arb!$H$2,,,Arb!$AJ$5,),B145))</f>
        <v>9.19</v>
      </c>
      <c r="E145" s="33">
        <f t="shared" ca="1" si="18"/>
        <v>3.5908596300326443</v>
      </c>
      <c r="F145" s="33">
        <f ca="1">IF(B145="","",INDEX(OFFSET(Arb!$X$2,,,Arb!$AJ$5,),B145)/D145)</f>
        <v>3.4820457018498367</v>
      </c>
      <c r="G145" s="33">
        <f ca="1">IF(B145="","",(INDEX(OFFSET(Arb!$U$2,,,Arb!$AJ$5,),B145)+INDEX(OFFSET(Arb!$V$2,,,Arb!$AJ$5,),B145))/D145)</f>
        <v>4.2437431991294892</v>
      </c>
      <c r="H145" s="33">
        <f t="shared" ca="1" si="19"/>
        <v>1.3155956519829526</v>
      </c>
      <c r="I145" s="21">
        <f t="shared" ca="1" si="20"/>
        <v>35.952535970081556</v>
      </c>
      <c r="J145" s="74">
        <f ca="1">IF(B145="","",DATE(INDEX(OFFSET(Arb!$C$2,,,Arb!$AJ$5,),B145),INDEX(OFFSET(Arb!$B$2,,,Arb!$AJ$5,),B145),INDEX(OFFSET(Arb!$A$2,,,Arb!$AJ$5,),B145))+ROW()*0.001)</f>
        <v>44107.144999999997</v>
      </c>
      <c r="K145" s="11">
        <v>144</v>
      </c>
      <c r="L145" s="11">
        <v>2404</v>
      </c>
      <c r="M145" s="433">
        <f ca="1">IF(L145="",64,INDEX(OFFSET(Arb!$I$2,,,Arb!$AJ$5,),L145))</f>
        <v>59</v>
      </c>
      <c r="N145" s="34">
        <f ca="1">IF(L145="",60,INDEX(OFFSET(Arb!$H$2,,,Arb!$AJ$5,),L145))</f>
        <v>22.43</v>
      </c>
      <c r="O145" s="33">
        <f t="shared" ca="1" si="21"/>
        <v>2.6304057066428892</v>
      </c>
      <c r="P145" s="33">
        <f ca="1">IF(L145="","",INDEX(OFFSET(Arb!$X$2,,,Arb!$AJ$5,),L145)/N145)</f>
        <v>3.0316540347748551</v>
      </c>
      <c r="Q145" s="33">
        <f ca="1">IF(L145="","",(INDEX(OFFSET(Arb!$U$2,,,Arb!$AJ$5,),L145)+INDEX(OFFSET(Arb!$V$2,,,Arb!$AJ$5,),L145))/N145)</f>
        <v>3.4329023629068214</v>
      </c>
      <c r="R145" s="33">
        <f t="shared" ca="1" si="22"/>
        <v>3.3539590318038397</v>
      </c>
      <c r="S145" s="21">
        <f t="shared" ca="1" si="23"/>
        <v>45.835383957364648</v>
      </c>
      <c r="T145" s="74">
        <f ca="1">IF(L145="","",DATE(INDEX(OFFSET(Arb!$C$2,,,Arb!$AJ$5,),L145),INDEX(OFFSET(Arb!$B$2,,,Arb!$AJ$5,),L145),INDEX(OFFSET(Arb!$A$2,,,Arb!$AJ$5,),L145))+ROW()*0.001)</f>
        <v>44168.144999999997</v>
      </c>
      <c r="U145" s="11">
        <v>144</v>
      </c>
      <c r="V145" s="11">
        <v>3272</v>
      </c>
      <c r="W145" s="433">
        <f ca="1">IF(V145="",164,INDEX(OFFSET(Arb!$I$2,,,Arb!$AJ$5,),V145))</f>
        <v>178</v>
      </c>
      <c r="X145" s="34">
        <f ca="1">IF(V145="",240,INDEX(OFFSET(Arb!$H$2,,,Arb!$AJ$5,),V145))</f>
        <v>72.010000000000005</v>
      </c>
      <c r="Y145" s="33">
        <f t="shared" ca="1" si="24"/>
        <v>2.4718789057075403</v>
      </c>
      <c r="Z145" s="33">
        <f ca="1">IF(V145="","",INDEX(OFFSET(Arb!$X$2,,,Arb!$AJ$5,),V145)/X145)</f>
        <v>2.8607137897514234</v>
      </c>
      <c r="AA145" s="33">
        <f ca="1">IF(V145="","",(INDEX(OFFSET(Arb!$U$2,,,Arb!$AJ$5,),V145)+INDEX(OFFSET(Arb!$V$2,,,Arb!$AJ$5,),V145))/X145)</f>
        <v>3.2495486737953061</v>
      </c>
      <c r="AB145" s="33">
        <f t="shared" ca="1" si="25"/>
        <v>8.0750975275522432</v>
      </c>
      <c r="AC145" s="21">
        <f t="shared" ca="1" si="26"/>
        <v>53.869442259462005</v>
      </c>
      <c r="AD145" s="74">
        <f ca="1">IF(V145="","",DATE(INDEX(OFFSET(Arb!$C$2,,,Arb!$AJ$5,),V145),INDEX(OFFSET(Arb!$B$2,,,Arb!$AJ$5,),V145),INDEX(OFFSET(Arb!$A$2,,,Arb!$AJ$5,),V145))+ROW()*0.001)</f>
        <v>44074.144999999997</v>
      </c>
    </row>
    <row r="146" spans="1:30" x14ac:dyDescent="0.25">
      <c r="A146" s="11">
        <v>145</v>
      </c>
      <c r="B146" s="11">
        <v>931</v>
      </c>
      <c r="C146" s="433">
        <f ca="1">IF(B146="",16,INDEX(OFFSET(Arb!$I$2,,,Arb!$AJ$5,),B146))</f>
        <v>27</v>
      </c>
      <c r="D146" s="34">
        <f ca="1">IF(B146="",10,INDEX(OFFSET(Arb!$H$2,,,Arb!$AJ$5,),B146))</f>
        <v>7.52</v>
      </c>
      <c r="E146" s="33">
        <f t="shared" ca="1" si="18"/>
        <v>3.5904255319148937</v>
      </c>
      <c r="F146" s="33">
        <f ca="1">IF(B146="","",INDEX(OFFSET(Arb!$X$2,,,Arb!$AJ$5,),B146)/D146)</f>
        <v>3.5904255319148937</v>
      </c>
      <c r="G146" s="33">
        <f ca="1">IF(B146="","",(INDEX(OFFSET(Arb!$U$2,,,Arb!$AJ$5,),B146)+INDEX(OFFSET(Arb!$V$2,,,Arb!$AJ$5,),B146))/D146)</f>
        <v>4.2553191489361701</v>
      </c>
      <c r="H146" s="33">
        <f t="shared" ca="1" si="19"/>
        <v>1.1434220548927425</v>
      </c>
      <c r="I146" s="21">
        <f t="shared" ca="1" si="20"/>
        <v>41.36617777976727</v>
      </c>
      <c r="J146" s="74">
        <f ca="1">IF(B146="","",DATE(INDEX(OFFSET(Arb!$C$2,,,Arb!$AJ$5,),B146),INDEX(OFFSET(Arb!$B$2,,,Arb!$AJ$5,),B146),INDEX(OFFSET(Arb!$A$2,,,Arb!$AJ$5,),B146))+ROW()*0.001)</f>
        <v>43822.146000000001</v>
      </c>
      <c r="K146" s="11">
        <v>145</v>
      </c>
      <c r="L146" s="11">
        <v>2088</v>
      </c>
      <c r="M146" s="433">
        <f ca="1">IF(L146="",64,INDEX(OFFSET(Arb!$I$2,,,Arb!$AJ$5,),L146))</f>
        <v>81</v>
      </c>
      <c r="N146" s="34">
        <f ca="1">IF(L146="",60,INDEX(OFFSET(Arb!$H$2,,,Arb!$AJ$5,),L146))</f>
        <v>30.8</v>
      </c>
      <c r="O146" s="33">
        <f t="shared" ca="1" si="21"/>
        <v>2.6298701298701297</v>
      </c>
      <c r="P146" s="33">
        <f ca="1">IF(L146="","",INDEX(OFFSET(Arb!$X$2,,,Arb!$AJ$5,),L146)/N146)</f>
        <v>3.5389610389610389</v>
      </c>
      <c r="Q146" s="33">
        <f ca="1">IF(L146="","",(INDEX(OFFSET(Arb!$U$2,,,Arb!$AJ$5,),L146)+INDEX(OFFSET(Arb!$V$2,,,Arb!$AJ$5,),L146))/N146)</f>
        <v>4.0584415584415581</v>
      </c>
      <c r="R146" s="33">
        <f t="shared" ca="1" si="22"/>
        <v>4.1884293979030565</v>
      </c>
      <c r="S146" s="21">
        <f t="shared" ca="1" si="23"/>
        <v>36.703495605528211</v>
      </c>
      <c r="T146" s="74">
        <f ca="1">IF(L146="","",DATE(INDEX(OFFSET(Arb!$C$2,,,Arb!$AJ$5,),L146),INDEX(OFFSET(Arb!$B$2,,,Arb!$AJ$5,),L146),INDEX(OFFSET(Arb!$A$2,,,Arb!$AJ$5,),L146))+ROW()*0.001)</f>
        <v>43809.146000000001</v>
      </c>
      <c r="U146" s="11">
        <v>145</v>
      </c>
      <c r="V146" s="11">
        <v>2919</v>
      </c>
      <c r="W146" s="433">
        <f ca="1">IF(V146="",164,INDEX(OFFSET(Arb!$I$2,,,Arb!$AJ$5,),V146))</f>
        <v>162</v>
      </c>
      <c r="X146" s="34">
        <f ca="1">IF(V146="",240,INDEX(OFFSET(Arb!$H$2,,,Arb!$AJ$5,),V146))</f>
        <v>65.540000000000006</v>
      </c>
      <c r="Y146" s="33">
        <f t="shared" ca="1" si="24"/>
        <v>2.4717729630759839</v>
      </c>
      <c r="Z146" s="33">
        <f ca="1">IF(V146="","",INDEX(OFFSET(Arb!$X$2,,,Arb!$AJ$5,),V146)/X146)</f>
        <v>3.0668294171498318</v>
      </c>
      <c r="AA146" s="33">
        <f ca="1">IF(V146="","",(INDEX(OFFSET(Arb!$U$2,,,Arb!$AJ$5,),V146)+INDEX(OFFSET(Arb!$V$2,,,Arb!$AJ$5,),V146))/X146)</f>
        <v>3.4177601464754344</v>
      </c>
      <c r="AB146" s="33">
        <f t="shared" ca="1" si="25"/>
        <v>7.5604201067826819</v>
      </c>
      <c r="AC146" s="21">
        <f t="shared" ca="1" si="26"/>
        <v>57.536617523376435</v>
      </c>
      <c r="AD146" s="74">
        <f ca="1">IF(V146="","",DATE(INDEX(OFFSET(Arb!$C$2,,,Arb!$AJ$5,),V146),INDEX(OFFSET(Arb!$B$2,,,Arb!$AJ$5,),V146),INDEX(OFFSET(Arb!$A$2,,,Arb!$AJ$5,),V146))+ROW()*0.001)</f>
        <v>43935.146000000001</v>
      </c>
    </row>
    <row r="147" spans="1:30" x14ac:dyDescent="0.25">
      <c r="A147" s="11">
        <v>146</v>
      </c>
      <c r="B147" s="11">
        <v>212</v>
      </c>
      <c r="C147" s="433">
        <f ca="1">IF(B147="",16,INDEX(OFFSET(Arb!$I$2,,,Arb!$AJ$5,),B147))</f>
        <v>23</v>
      </c>
      <c r="D147" s="34">
        <f ca="1">IF(B147="",10,INDEX(OFFSET(Arb!$H$2,,,Arb!$AJ$5,),B147))</f>
        <v>6.41</v>
      </c>
      <c r="E147" s="33">
        <f t="shared" ca="1" si="18"/>
        <v>3.5881435257410295</v>
      </c>
      <c r="F147" s="33">
        <f ca="1">IF(B147="","",INDEX(OFFSET(Arb!$X$2,,,Arb!$AJ$5,),B147)/D147)</f>
        <v>4.0561622464898592</v>
      </c>
      <c r="G147" s="33">
        <f ca="1">IF(B147="","",(INDEX(OFFSET(Arb!$U$2,,,Arb!$AJ$5,),B147)+INDEX(OFFSET(Arb!$V$2,,,Arb!$AJ$5,),B147))/D147)</f>
        <v>4.6801872074882995</v>
      </c>
      <c r="H147" s="33">
        <f t="shared" ca="1" si="19"/>
        <v>1.0231299882713694</v>
      </c>
      <c r="I147" s="21">
        <f t="shared" ca="1" si="20"/>
        <v>46.229707409821977</v>
      </c>
      <c r="J147" s="74">
        <f ca="1">IF(B147="","",DATE(INDEX(OFFSET(Arb!$C$2,,,Arb!$AJ$5,),B147),INDEX(OFFSET(Arb!$B$2,,,Arb!$AJ$5,),B147),INDEX(OFFSET(Arb!$A$2,,,Arb!$AJ$5,),B147))+ROW()*0.001)</f>
        <v>43774.146999999997</v>
      </c>
      <c r="K147" s="11">
        <v>146</v>
      </c>
      <c r="L147" s="11">
        <v>2298</v>
      </c>
      <c r="M147" s="433">
        <f ca="1">IF(L147="",64,INDEX(OFFSET(Arb!$I$2,,,Arb!$AJ$5,),L147))</f>
        <v>37</v>
      </c>
      <c r="N147" s="34">
        <f ca="1">IF(L147="",60,INDEX(OFFSET(Arb!$H$2,,,Arb!$AJ$5,),L147))</f>
        <v>14.12</v>
      </c>
      <c r="O147" s="33">
        <f t="shared" ca="1" si="21"/>
        <v>2.6203966005665724</v>
      </c>
      <c r="P147" s="33">
        <f ca="1">IF(L147="","",INDEX(OFFSET(Arb!$X$2,,,Arb!$AJ$5,),L147)/N147)</f>
        <v>3.3286118980169972</v>
      </c>
      <c r="Q147" s="33">
        <f ca="1">IF(L147="","",(INDEX(OFFSET(Arb!$U$2,,,Arb!$AJ$5,),L147)+INDEX(OFFSET(Arb!$V$2,,,Arb!$AJ$5,),L147))/N147)</f>
        <v>3.6827195467422098</v>
      </c>
      <c r="R147" s="33">
        <f t="shared" ca="1" si="22"/>
        <v>2.4351025773436783</v>
      </c>
      <c r="S147" s="21">
        <f t="shared" ca="1" si="23"/>
        <v>63.130810763502097</v>
      </c>
      <c r="T147" s="74">
        <f ca="1">IF(L147="","",DATE(INDEX(OFFSET(Arb!$C$2,,,Arb!$AJ$5,),L147),INDEX(OFFSET(Arb!$B$2,,,Arb!$AJ$5,),L147),INDEX(OFFSET(Arb!$A$2,,,Arb!$AJ$5,),L147))+ROW()*0.001)</f>
        <v>43937.146999999997</v>
      </c>
      <c r="U147" s="11">
        <v>146</v>
      </c>
      <c r="V147" s="11">
        <v>3245</v>
      </c>
      <c r="W147" s="433">
        <f ca="1">IF(V147="",164,INDEX(OFFSET(Arb!$I$2,,,Arb!$AJ$5,),V147))</f>
        <v>184</v>
      </c>
      <c r="X147" s="34">
        <f ca="1">IF(V147="",240,INDEX(OFFSET(Arb!$H$2,,,Arb!$AJ$5,),V147))</f>
        <v>74.47</v>
      </c>
      <c r="Y147" s="33">
        <f t="shared" ca="1" si="24"/>
        <v>2.4707936081643616</v>
      </c>
      <c r="Z147" s="33">
        <f ca="1">IF(V147="","",INDEX(OFFSET(Arb!$X$2,,,Arb!$AJ$5,),V147)/X147)</f>
        <v>2.9407815227608434</v>
      </c>
      <c r="AA147" s="33">
        <f ca="1">IF(V147="","",(INDEX(OFFSET(Arb!$U$2,,,Arb!$AJ$5,),V147)+INDEX(OFFSET(Arb!$V$2,,,Arb!$AJ$5,),V147))/X147)</f>
        <v>3.4107694373573252</v>
      </c>
      <c r="AB147" s="33">
        <f t="shared" ca="1" si="25"/>
        <v>8.270856360523771</v>
      </c>
      <c r="AC147" s="21">
        <f t="shared" ca="1" si="26"/>
        <v>52.594432914616903</v>
      </c>
      <c r="AD147" s="74">
        <f ca="1">IF(V147="","",DATE(INDEX(OFFSET(Arb!$C$2,,,Arb!$AJ$5,),V147),INDEX(OFFSET(Arb!$B$2,,,Arb!$AJ$5,),V147),INDEX(OFFSET(Arb!$A$2,,,Arb!$AJ$5,),V147))+ROW()*0.001)</f>
        <v>44066.146999999997</v>
      </c>
    </row>
    <row r="148" spans="1:30" x14ac:dyDescent="0.25">
      <c r="A148" s="11">
        <v>147</v>
      </c>
      <c r="B148" s="11">
        <v>1385</v>
      </c>
      <c r="C148" s="433">
        <f ca="1">IF(B148="",16,INDEX(OFFSET(Arb!$I$2,,,Arb!$AJ$5,),B148))</f>
        <v>18</v>
      </c>
      <c r="D148" s="34">
        <f ca="1">IF(B148="",10,INDEX(OFFSET(Arb!$H$2,,,Arb!$AJ$5,),B148))</f>
        <v>5.0199999999999996</v>
      </c>
      <c r="E148" s="33">
        <f t="shared" ca="1" si="18"/>
        <v>3.5856573705179287</v>
      </c>
      <c r="F148" s="33">
        <f ca="1">IF(B148="","",INDEX(OFFSET(Arb!$X$2,,,Arb!$AJ$5,),B148)/D148)</f>
        <v>3.9840637450199208</v>
      </c>
      <c r="G148" s="33">
        <f ca="1">IF(B148="","",(INDEX(OFFSET(Arb!$U$2,,,Arb!$AJ$5,),B148)+INDEX(OFFSET(Arb!$V$2,,,Arb!$AJ$5,),B148))/D148)</f>
        <v>5.1792828685258971</v>
      </c>
      <c r="H148" s="33">
        <f t="shared" ca="1" si="19"/>
        <v>0.86282717333647596</v>
      </c>
      <c r="I148" s="21">
        <f t="shared" ca="1" si="20"/>
        <v>54.818625863507485</v>
      </c>
      <c r="J148" s="74">
        <f ca="1">IF(B148="","",DATE(INDEX(OFFSET(Arb!$C$2,,,Arb!$AJ$5,),B148),INDEX(OFFSET(Arb!$B$2,,,Arb!$AJ$5,),B148),INDEX(OFFSET(Arb!$A$2,,,Arb!$AJ$5,),B148))+ROW()*0.001)</f>
        <v>43940.148000000001</v>
      </c>
      <c r="K148" s="11">
        <v>147</v>
      </c>
      <c r="L148" s="11">
        <v>2192</v>
      </c>
      <c r="M148" s="433">
        <f ca="1">IF(L148="",64,INDEX(OFFSET(Arb!$I$2,,,Arb!$AJ$5,),L148))</f>
        <v>68</v>
      </c>
      <c r="N148" s="34">
        <f ca="1">IF(L148="",60,INDEX(OFFSET(Arb!$H$2,,,Arb!$AJ$5,),L148))</f>
        <v>26.02</v>
      </c>
      <c r="O148" s="33">
        <f t="shared" ca="1" si="21"/>
        <v>2.6133743274404306</v>
      </c>
      <c r="P148" s="33">
        <f ca="1">IF(L148="","",INDEX(OFFSET(Arb!$X$2,,,Arb!$AJ$5,),L148)/N148)</f>
        <v>3.2282859338970025</v>
      </c>
      <c r="Q148" s="33">
        <f ca="1">IF(L148="","",(INDEX(OFFSET(Arb!$U$2,,,Arb!$AJ$5,),L148)+INDEX(OFFSET(Arb!$V$2,,,Arb!$AJ$5,),L148))/N148)</f>
        <v>3.7279016141429668</v>
      </c>
      <c r="R148" s="33">
        <f t="shared" ca="1" si="22"/>
        <v>3.7455317607068221</v>
      </c>
      <c r="S148" s="21">
        <f t="shared" ca="1" si="23"/>
        <v>41.043571332843136</v>
      </c>
      <c r="T148" s="74">
        <f ca="1">IF(L148="","",DATE(INDEX(OFFSET(Arb!$C$2,,,Arb!$AJ$5,),L148),INDEX(OFFSET(Arb!$B$2,,,Arb!$AJ$5,),L148),INDEX(OFFSET(Arb!$A$2,,,Arb!$AJ$5,),L148))+ROW()*0.001)</f>
        <v>43852.148000000001</v>
      </c>
      <c r="U148" s="11">
        <v>147</v>
      </c>
      <c r="V148" s="11">
        <v>2971</v>
      </c>
      <c r="W148" s="433">
        <f ca="1">IF(V148="",164,INDEX(OFFSET(Arb!$I$2,,,Arb!$AJ$5,),V148))</f>
        <v>175</v>
      </c>
      <c r="X148" s="34">
        <f ca="1">IF(V148="",240,INDEX(OFFSET(Arb!$H$2,,,Arb!$AJ$5,),V148))</f>
        <v>70.89</v>
      </c>
      <c r="Y148" s="33">
        <f t="shared" ca="1" si="24"/>
        <v>2.4686133446184231</v>
      </c>
      <c r="Z148" s="33">
        <f ca="1">IF(V148="","",INDEX(OFFSET(Arb!$X$2,,,Arb!$AJ$5,),V148)/X148)</f>
        <v>2.8776978417266186</v>
      </c>
      <c r="AA148" s="33">
        <f ca="1">IF(V148="","",(INDEX(OFFSET(Arb!$U$2,,,Arb!$AJ$5,),V148)+INDEX(OFFSET(Arb!$V$2,,,Arb!$AJ$5,),V148))/X148)</f>
        <v>3.1175059952038371</v>
      </c>
      <c r="AB148" s="33">
        <f t="shared" ca="1" si="25"/>
        <v>7.9975398197213998</v>
      </c>
      <c r="AC148" s="21">
        <f t="shared" ca="1" si="26"/>
        <v>54.391851720114794</v>
      </c>
      <c r="AD148" s="74">
        <f ca="1">IF(V148="","",DATE(INDEX(OFFSET(Arb!$C$2,,,Arb!$AJ$5,),V148),INDEX(OFFSET(Arb!$B$2,,,Arb!$AJ$5,),V148),INDEX(OFFSET(Arb!$A$2,,,Arb!$AJ$5,),V148))+ROW()*0.001)</f>
        <v>43952.148000000001</v>
      </c>
    </row>
    <row r="149" spans="1:30" x14ac:dyDescent="0.25">
      <c r="A149" s="11">
        <v>148</v>
      </c>
      <c r="B149" s="11">
        <v>1817</v>
      </c>
      <c r="C149" s="433">
        <f ca="1">IF(B149="",16,INDEX(OFFSET(Arb!$I$2,,,Arb!$AJ$5,),B149))</f>
        <v>20</v>
      </c>
      <c r="D149" s="34">
        <f ca="1">IF(B149="",10,INDEX(OFFSET(Arb!$H$2,,,Arb!$AJ$5,),B149))</f>
        <v>5.58</v>
      </c>
      <c r="E149" s="33">
        <f t="shared" ca="1" si="18"/>
        <v>3.5842293906810037</v>
      </c>
      <c r="F149" s="33">
        <f ca="1">IF(B149="","",INDEX(OFFSET(Arb!$X$2,,,Arb!$AJ$5,),B149)/D149)</f>
        <v>3.0465949820788532</v>
      </c>
      <c r="G149" s="33">
        <f ca="1">IF(B149="","",(INDEX(OFFSET(Arb!$U$2,,,Arb!$AJ$5,),B149)+INDEX(OFFSET(Arb!$V$2,,,Arb!$AJ$5,),B149))/D149)</f>
        <v>3.4050179211469533</v>
      </c>
      <c r="H149" s="33">
        <f t="shared" ca="1" si="19"/>
        <v>0.92949732131045426</v>
      </c>
      <c r="I149" s="21">
        <f t="shared" ca="1" si="20"/>
        <v>50.886644765490423</v>
      </c>
      <c r="J149" s="74">
        <f ca="1">IF(B149="","",DATE(INDEX(OFFSET(Arb!$C$2,,,Arb!$AJ$5,),B149),INDEX(OFFSET(Arb!$B$2,,,Arb!$AJ$5,),B149),INDEX(OFFSET(Arb!$A$2,,,Arb!$AJ$5,),B149))+ROW()*0.001)</f>
        <v>44168.148999999998</v>
      </c>
      <c r="K149" s="11">
        <v>148</v>
      </c>
      <c r="L149" s="11">
        <v>2217</v>
      </c>
      <c r="M149" s="433">
        <f ca="1">IF(L149="",64,INDEX(OFFSET(Arb!$I$2,,,Arb!$AJ$5,),L149))</f>
        <v>75</v>
      </c>
      <c r="N149" s="34">
        <f ca="1">IF(L149="",60,INDEX(OFFSET(Arb!$H$2,,,Arb!$AJ$5,),L149))</f>
        <v>28.72</v>
      </c>
      <c r="O149" s="33">
        <f t="shared" ca="1" si="21"/>
        <v>2.6114206128133706</v>
      </c>
      <c r="P149" s="33">
        <f ca="1">IF(L149="","",INDEX(OFFSET(Arb!$X$2,,,Arb!$AJ$5,),L149)/N149)</f>
        <v>3.3077994428969362</v>
      </c>
      <c r="Q149" s="33">
        <f ca="1">IF(L149="","",(INDEX(OFFSET(Arb!$U$2,,,Arb!$AJ$5,),L149)+INDEX(OFFSET(Arb!$V$2,,,Arb!$AJ$5,),L149))/N149)</f>
        <v>3.6908077994428972</v>
      </c>
      <c r="R149" s="33">
        <f t="shared" ca="1" si="22"/>
        <v>4.0165416711546396</v>
      </c>
      <c r="S149" s="21">
        <f t="shared" ca="1" si="23"/>
        <v>38.274220109312864</v>
      </c>
      <c r="T149" s="74">
        <f ca="1">IF(L149="","",DATE(INDEX(OFFSET(Arb!$C$2,,,Arb!$AJ$5,),L149),INDEX(OFFSET(Arb!$B$2,,,Arb!$AJ$5,),L149),INDEX(OFFSET(Arb!$A$2,,,Arb!$AJ$5,),L149))+ROW()*0.001)</f>
        <v>43870.148999999998</v>
      </c>
      <c r="U149" s="11">
        <v>148</v>
      </c>
      <c r="V149" s="11">
        <v>3241</v>
      </c>
      <c r="W149" s="433">
        <f ca="1">IF(V149="",164,INDEX(OFFSET(Arb!$I$2,,,Arb!$AJ$5,),V149))</f>
        <v>146</v>
      </c>
      <c r="X149" s="34">
        <f ca="1">IF(V149="",240,INDEX(OFFSET(Arb!$H$2,,,Arb!$AJ$5,),V149))</f>
        <v>59.17</v>
      </c>
      <c r="Y149" s="33">
        <f t="shared" ca="1" si="24"/>
        <v>2.467466621598783</v>
      </c>
      <c r="Z149" s="33">
        <f ca="1">IF(V149="","",INDEX(OFFSET(Arb!$X$2,,,Arb!$AJ$5,),V149)/X149)</f>
        <v>3.0927835051546393</v>
      </c>
      <c r="AA149" s="33">
        <f ca="1">IF(V149="","",(INDEX(OFFSET(Arb!$U$2,,,Arb!$AJ$5,),V149)+INDEX(OFFSET(Arb!$V$2,,,Arb!$AJ$5,),V149))/X149)</f>
        <v>3.5152949129626498</v>
      </c>
      <c r="AB149" s="33">
        <f t="shared" ca="1" si="25"/>
        <v>7.0504982963677216</v>
      </c>
      <c r="AC149" s="21">
        <f t="shared" ca="1" si="26"/>
        <v>61.697908674639912</v>
      </c>
      <c r="AD149" s="74">
        <f ca="1">IF(V149="","",DATE(INDEX(OFFSET(Arb!$C$2,,,Arb!$AJ$5,),V149),INDEX(OFFSET(Arb!$B$2,,,Arb!$AJ$5,),V149),INDEX(OFFSET(Arb!$A$2,,,Arb!$AJ$5,),V149))+ROW()*0.001)</f>
        <v>44064.148999999998</v>
      </c>
    </row>
    <row r="150" spans="1:30" x14ac:dyDescent="0.25">
      <c r="A150" s="11">
        <v>149</v>
      </c>
      <c r="B150" s="11">
        <v>1400</v>
      </c>
      <c r="C150" s="433">
        <f ca="1">IF(B150="",16,INDEX(OFFSET(Arb!$I$2,,,Arb!$AJ$5,),B150))</f>
        <v>12</v>
      </c>
      <c r="D150" s="34">
        <f ca="1">IF(B150="",10,INDEX(OFFSET(Arb!$H$2,,,Arb!$AJ$5,),B150))</f>
        <v>3.35</v>
      </c>
      <c r="E150" s="33">
        <f t="shared" ca="1" si="18"/>
        <v>3.5820895522388061</v>
      </c>
      <c r="F150" s="33">
        <f ca="1">IF(B150="","",INDEX(OFFSET(Arb!$X$2,,,Arb!$AJ$5,),B150)/D150)</f>
        <v>4.1791044776119399</v>
      </c>
      <c r="G150" s="33">
        <f ca="1">IF(B150="","",(INDEX(OFFSET(Arb!$U$2,,,Arb!$AJ$5,),B150)+INDEX(OFFSET(Arb!$V$2,,,Arb!$AJ$5,),B150))/D150)</f>
        <v>5.0746268656716413</v>
      </c>
      <c r="H150" s="33">
        <f t="shared" ca="1" si="19"/>
        <v>0.65072115500174688</v>
      </c>
      <c r="I150" s="21">
        <f t="shared" ca="1" si="20"/>
        <v>72.687048263972642</v>
      </c>
      <c r="J150" s="74">
        <f ca="1">IF(B150="","",DATE(INDEX(OFFSET(Arb!$C$2,,,Arb!$AJ$5,),B150),INDEX(OFFSET(Arb!$B$2,,,Arb!$AJ$5,),B150),INDEX(OFFSET(Arb!$A$2,,,Arb!$AJ$5,),B150))+ROW()*0.001)</f>
        <v>43940.15</v>
      </c>
      <c r="K150" s="11">
        <v>149</v>
      </c>
      <c r="L150" s="11">
        <v>1913</v>
      </c>
      <c r="M150" s="433">
        <f ca="1">IF(L150="",64,INDEX(OFFSET(Arb!$I$2,,,Arb!$AJ$5,),L150))</f>
        <v>75</v>
      </c>
      <c r="N150" s="34">
        <f ca="1">IF(L150="",60,INDEX(OFFSET(Arb!$H$2,,,Arb!$AJ$5,),L150))</f>
        <v>28.73</v>
      </c>
      <c r="O150" s="33">
        <f t="shared" ca="1" si="21"/>
        <v>2.6105116602854159</v>
      </c>
      <c r="P150" s="33">
        <f ca="1">IF(L150="","",INDEX(OFFSET(Arb!$X$2,,,Arb!$AJ$5,),L150)/N150)</f>
        <v>2.8889662373825269</v>
      </c>
      <c r="Q150" s="33">
        <f ca="1">IF(L150="","",(INDEX(OFFSET(Arb!$U$2,,,Arb!$AJ$5,),L150)+INDEX(OFFSET(Arb!$V$2,,,Arb!$AJ$5,),L150))/N150)</f>
        <v>3.1674208144796379</v>
      </c>
      <c r="R150" s="33">
        <f t="shared" ca="1" si="22"/>
        <v>4.0189194402806105</v>
      </c>
      <c r="S150" s="21">
        <f t="shared" ca="1" si="23"/>
        <v>38.251575400890893</v>
      </c>
      <c r="T150" s="74">
        <f ca="1">IF(L150="","",DATE(INDEX(OFFSET(Arb!$C$2,,,Arb!$AJ$5,),L150),INDEX(OFFSET(Arb!$B$2,,,Arb!$AJ$5,),L150),INDEX(OFFSET(Arb!$A$2,,,Arb!$AJ$5,),L150))+ROW()*0.001)</f>
        <v>43769.15</v>
      </c>
      <c r="U150" s="11">
        <v>149</v>
      </c>
      <c r="V150" s="11">
        <v>3125</v>
      </c>
      <c r="W150" s="433">
        <f ca="1">IF(V150="",164,INDEX(OFFSET(Arb!$I$2,,,Arb!$AJ$5,),V150))</f>
        <v>180</v>
      </c>
      <c r="X150" s="34">
        <f ca="1">IF(V150="",240,INDEX(OFFSET(Arb!$H$2,,,Arb!$AJ$5,),V150))</f>
        <v>72.959999999999994</v>
      </c>
      <c r="Y150" s="33">
        <f t="shared" ca="1" si="24"/>
        <v>2.4671052631578951</v>
      </c>
      <c r="Z150" s="33">
        <f ca="1">IF(V150="","",INDEX(OFFSET(Arb!$X$2,,,Arb!$AJ$5,),V150)/X150)</f>
        <v>3.0564692982456143</v>
      </c>
      <c r="AA150" s="33">
        <f ca="1">IF(V150="","",(INDEX(OFFSET(Arb!$U$2,,,Arb!$AJ$5,),V150)+INDEX(OFFSET(Arb!$V$2,,,Arb!$AJ$5,),V150))/X150)</f>
        <v>3.3717105263157898</v>
      </c>
      <c r="AB150" s="33">
        <f t="shared" ca="1" si="25"/>
        <v>8.1652915813545448</v>
      </c>
      <c r="AC150" s="21">
        <f t="shared" ca="1" si="26"/>
        <v>53.274398797138538</v>
      </c>
      <c r="AD150" s="74">
        <f ca="1">IF(V150="","",DATE(INDEX(OFFSET(Arb!$C$2,,,Arb!$AJ$5,),V150),INDEX(OFFSET(Arb!$B$2,,,Arb!$AJ$5,),V150),INDEX(OFFSET(Arb!$A$2,,,Arb!$AJ$5,),V150))+ROW()*0.001)</f>
        <v>44014.15</v>
      </c>
    </row>
    <row r="151" spans="1:30" x14ac:dyDescent="0.25">
      <c r="A151" s="11">
        <v>150</v>
      </c>
      <c r="B151" s="11">
        <v>859</v>
      </c>
      <c r="C151" s="433">
        <f ca="1">IF(B151="",16,INDEX(OFFSET(Arb!$I$2,,,Arb!$AJ$5,),B151))</f>
        <v>17</v>
      </c>
      <c r="D151" s="34">
        <f ca="1">IF(B151="",10,INDEX(OFFSET(Arb!$H$2,,,Arb!$AJ$5,),B151))</f>
        <v>4.76</v>
      </c>
      <c r="E151" s="33">
        <f t="shared" ca="1" si="18"/>
        <v>3.5714285714285716</v>
      </c>
      <c r="F151" s="33">
        <f ca="1">IF(B151="","",INDEX(OFFSET(Arb!$X$2,,,Arb!$AJ$5,),B151)/D151)</f>
        <v>4.2016806722689077</v>
      </c>
      <c r="G151" s="33">
        <f ca="1">IF(B151="","",(INDEX(OFFSET(Arb!$U$2,,,Arb!$AJ$5,),B151)+INDEX(OFFSET(Arb!$V$2,,,Arb!$AJ$5,),B151))/D151)</f>
        <v>4.8319327731092443</v>
      </c>
      <c r="H151" s="33">
        <f t="shared" ca="1" si="19"/>
        <v>0.83460868220712303</v>
      </c>
      <c r="I151" s="21">
        <f t="shared" ca="1" si="20"/>
        <v>56.672068010265328</v>
      </c>
      <c r="J151" s="74">
        <f ca="1">IF(B151="","",DATE(INDEX(OFFSET(Arb!$C$2,,,Arb!$AJ$5,),B151),INDEX(OFFSET(Arb!$B$2,,,Arb!$AJ$5,),B151),INDEX(OFFSET(Arb!$A$2,,,Arb!$AJ$5,),B151))+ROW()*0.001)</f>
        <v>43817.150999999998</v>
      </c>
      <c r="K151" s="11">
        <v>150</v>
      </c>
      <c r="L151" s="11">
        <v>2007</v>
      </c>
      <c r="M151" s="433">
        <f ca="1">IF(L151="",64,INDEX(OFFSET(Arb!$I$2,,,Arb!$AJ$5,),L151))</f>
        <v>84</v>
      </c>
      <c r="N151" s="34">
        <f ca="1">IF(L151="",60,INDEX(OFFSET(Arb!$H$2,,,Arb!$AJ$5,),L151))</f>
        <v>32.21</v>
      </c>
      <c r="O151" s="33">
        <f t="shared" ca="1" si="21"/>
        <v>2.6078857497671528</v>
      </c>
      <c r="P151" s="33">
        <f ca="1">IF(L151="","",INDEX(OFFSET(Arb!$X$2,,,Arb!$AJ$5,),L151)/N151)</f>
        <v>2.9804408568767462</v>
      </c>
      <c r="Q151" s="33">
        <f ca="1">IF(L151="","",(INDEX(OFFSET(Arb!$U$2,,,Arb!$AJ$5,),L151)+INDEX(OFFSET(Arb!$V$2,,,Arb!$AJ$5,),L151))/N151)</f>
        <v>3.5392735175411363</v>
      </c>
      <c r="R151" s="33">
        <f t="shared" ca="1" si="22"/>
        <v>4.3581778201275556</v>
      </c>
      <c r="S151" s="21">
        <f t="shared" ca="1" si="23"/>
        <v>35.273916380837484</v>
      </c>
      <c r="T151" s="74">
        <f ca="1">IF(L151="","",DATE(INDEX(OFFSET(Arb!$C$2,,,Arb!$AJ$5,),L151),INDEX(OFFSET(Arb!$B$2,,,Arb!$AJ$5,),L151),INDEX(OFFSET(Arb!$A$2,,,Arb!$AJ$5,),L151))+ROW()*0.001)</f>
        <v>43786.150999999998</v>
      </c>
      <c r="U151" s="11">
        <v>150</v>
      </c>
      <c r="V151" s="11">
        <v>3236</v>
      </c>
      <c r="W151" s="433">
        <f ca="1">IF(V151="",164,INDEX(OFFSET(Arb!$I$2,,,Arb!$AJ$5,),V151))</f>
        <v>162</v>
      </c>
      <c r="X151" s="34">
        <f ca="1">IF(V151="",240,INDEX(OFFSET(Arb!$H$2,,,Arb!$AJ$5,),V151))</f>
        <v>65.67</v>
      </c>
      <c r="Y151" s="33">
        <f t="shared" ca="1" si="24"/>
        <v>2.4668798538145271</v>
      </c>
      <c r="Z151" s="33">
        <f ca="1">IF(V151="","",INDEX(OFFSET(Arb!$X$2,,,Arb!$AJ$5,),V151)/X151)</f>
        <v>3.0150753768844218</v>
      </c>
      <c r="AA151" s="33">
        <f ca="1">IF(V151="","",(INDEX(OFFSET(Arb!$U$2,,,Arb!$AJ$5,),V151)+INDEX(OFFSET(Arb!$V$2,,,Arb!$AJ$5,),V151))/X151)</f>
        <v>3.3044007918379776</v>
      </c>
      <c r="AB151" s="33">
        <f t="shared" ca="1" si="25"/>
        <v>7.5859314368721327</v>
      </c>
      <c r="AC151" s="21">
        <f t="shared" ca="1" si="26"/>
        <v>57.3431230719588</v>
      </c>
      <c r="AD151" s="74">
        <f ca="1">IF(V151="","",DATE(INDEX(OFFSET(Arb!$C$2,,,Arb!$AJ$5,),V151),INDEX(OFFSET(Arb!$B$2,,,Arb!$AJ$5,),V151),INDEX(OFFSET(Arb!$A$2,,,Arb!$AJ$5,),V151))+ROW()*0.001)</f>
        <v>44064.150999999998</v>
      </c>
    </row>
    <row r="152" spans="1:30" x14ac:dyDescent="0.25">
      <c r="A152" s="11">
        <v>151</v>
      </c>
      <c r="B152" s="11">
        <v>1727</v>
      </c>
      <c r="C152" s="433">
        <f ca="1">IF(B152="",16,INDEX(OFFSET(Arb!$I$2,,,Arb!$AJ$5,),B152))</f>
        <v>15</v>
      </c>
      <c r="D152" s="34">
        <f ca="1">IF(B152="",10,INDEX(OFFSET(Arb!$H$2,,,Arb!$AJ$5,),B152))</f>
        <v>4.2</v>
      </c>
      <c r="E152" s="33">
        <f t="shared" ca="1" si="18"/>
        <v>3.5714285714285712</v>
      </c>
      <c r="F152" s="33">
        <f ca="1">IF(B152="","",INDEX(OFFSET(Arb!$X$2,,,Arb!$AJ$5,),B152)/D152)</f>
        <v>4.0476190476190474</v>
      </c>
      <c r="G152" s="33">
        <f ca="1">IF(B152="","",(INDEX(OFFSET(Arb!$U$2,,,Arb!$AJ$5,),B152)+INDEX(OFFSET(Arb!$V$2,,,Arb!$AJ$5,),B152))/D152)</f>
        <v>4.2857142857142856</v>
      </c>
      <c r="H152" s="33">
        <f t="shared" ca="1" si="19"/>
        <v>0.76459690307766737</v>
      </c>
      <c r="I152" s="21">
        <f t="shared" ca="1" si="20"/>
        <v>61.861354407284843</v>
      </c>
      <c r="J152" s="74">
        <f ca="1">IF(B152="","",DATE(INDEX(OFFSET(Arb!$C$2,,,Arb!$AJ$5,),B152),INDEX(OFFSET(Arb!$B$2,,,Arb!$AJ$5,),B152),INDEX(OFFSET(Arb!$A$2,,,Arb!$AJ$5,),B152))+ROW()*0.001)</f>
        <v>44107.152000000002</v>
      </c>
      <c r="K152" s="11">
        <v>151</v>
      </c>
      <c r="L152" s="11">
        <v>2043</v>
      </c>
      <c r="M152" s="433">
        <f ca="1">IF(L152="",64,INDEX(OFFSET(Arb!$I$2,,,Arb!$AJ$5,),L152))</f>
        <v>60</v>
      </c>
      <c r="N152" s="34">
        <f ca="1">IF(L152="",60,INDEX(OFFSET(Arb!$H$2,,,Arb!$AJ$5,),L152))</f>
        <v>23.01</v>
      </c>
      <c r="O152" s="33">
        <f t="shared" ca="1" si="21"/>
        <v>2.6075619295958279</v>
      </c>
      <c r="P152" s="33">
        <f ca="1">IF(L152="","",INDEX(OFFSET(Arb!$X$2,,,Arb!$AJ$5,),L152)/N152)</f>
        <v>3.3029117774880485</v>
      </c>
      <c r="Q152" s="33">
        <f ca="1">IF(L152="","",(INDEX(OFFSET(Arb!$U$2,,,Arb!$AJ$5,),L152)+INDEX(OFFSET(Arb!$V$2,,,Arb!$AJ$5,),L152))/N152)</f>
        <v>3.6505867014341589</v>
      </c>
      <c r="R152" s="33">
        <f t="shared" ca="1" si="22"/>
        <v>3.4443478205541109</v>
      </c>
      <c r="S152" s="21">
        <f t="shared" ca="1" si="23"/>
        <v>44.632542358996893</v>
      </c>
      <c r="T152" s="74">
        <f ca="1">IF(L152="","",DATE(INDEX(OFFSET(Arb!$C$2,,,Arb!$AJ$5,),L152),INDEX(OFFSET(Arb!$B$2,,,Arb!$AJ$5,),L152),INDEX(OFFSET(Arb!$A$2,,,Arb!$AJ$5,),L152))+ROW()*0.001)</f>
        <v>43797.152000000002</v>
      </c>
      <c r="U152" s="11">
        <v>151</v>
      </c>
      <c r="V152" s="11">
        <v>3251</v>
      </c>
      <c r="W152" s="433">
        <f ca="1">IF(V152="",164,INDEX(OFFSET(Arb!$I$2,,,Arb!$AJ$5,),V152))</f>
        <v>181</v>
      </c>
      <c r="X152" s="34">
        <f ca="1">IF(V152="",240,INDEX(OFFSET(Arb!$H$2,,,Arb!$AJ$5,),V152))</f>
        <v>73.41</v>
      </c>
      <c r="Y152" s="33">
        <f t="shared" ca="1" si="24"/>
        <v>2.4656041411251874</v>
      </c>
      <c r="Z152" s="33">
        <f ca="1">IF(V152="","",INDEX(OFFSET(Arb!$X$2,,,Arb!$AJ$5,),V152)/X152)</f>
        <v>3.0785996458248195</v>
      </c>
      <c r="AA152" s="33">
        <f ca="1">IF(V152="","",(INDEX(OFFSET(Arb!$U$2,,,Arb!$AJ$5,),V152)+INDEX(OFFSET(Arb!$V$2,,,Arb!$AJ$5,),V152))/X152)</f>
        <v>3.4055305816646233</v>
      </c>
      <c r="AB152" s="33">
        <f t="shared" ca="1" si="25"/>
        <v>8.2055048412891072</v>
      </c>
      <c r="AC152" s="21">
        <f t="shared" ca="1" si="26"/>
        <v>53.013313429678036</v>
      </c>
      <c r="AD152" s="74">
        <f ca="1">IF(V152="","",DATE(INDEX(OFFSET(Arb!$C$2,,,Arb!$AJ$5,),V152),INDEX(OFFSET(Arb!$B$2,,,Arb!$AJ$5,),V152),INDEX(OFFSET(Arb!$A$2,,,Arb!$AJ$5,),V152))+ROW()*0.001)</f>
        <v>44069.152000000002</v>
      </c>
    </row>
    <row r="153" spans="1:30" x14ac:dyDescent="0.25">
      <c r="A153" s="11">
        <v>152</v>
      </c>
      <c r="B153" s="11">
        <v>455</v>
      </c>
      <c r="C153" s="433">
        <f ca="1">IF(B153="",16,INDEX(OFFSET(Arb!$I$2,,,Arb!$AJ$5,),B153))</f>
        <v>21</v>
      </c>
      <c r="D153" s="34">
        <f ca="1">IF(B153="",10,INDEX(OFFSET(Arb!$H$2,,,Arb!$AJ$5,),B153))</f>
        <v>5.89</v>
      </c>
      <c r="E153" s="33">
        <f t="shared" ca="1" si="18"/>
        <v>3.5653650254668934</v>
      </c>
      <c r="F153" s="33">
        <f ca="1">IF(B153="","",INDEX(OFFSET(Arb!$X$2,,,Arb!$AJ$5,),B153)/D153)</f>
        <v>3.9049235993208828</v>
      </c>
      <c r="G153" s="33">
        <f ca="1">IF(B153="","",(INDEX(OFFSET(Arb!$U$2,,,Arb!$AJ$5,),B153)+INDEX(OFFSET(Arb!$V$2,,,Arb!$AJ$5,),B153))/D153)</f>
        <v>4.2444821731748732</v>
      </c>
      <c r="H153" s="33">
        <f t="shared" ca="1" si="19"/>
        <v>0.97045791486712629</v>
      </c>
      <c r="I153" s="21">
        <f t="shared" ca="1" si="20"/>
        <v>48.738847172446533</v>
      </c>
      <c r="J153" s="74">
        <f ca="1">IF(B153="","",DATE(INDEX(OFFSET(Arb!$C$2,,,Arb!$AJ$5,),B153),INDEX(OFFSET(Arb!$B$2,,,Arb!$AJ$5,),B153),INDEX(OFFSET(Arb!$A$2,,,Arb!$AJ$5,),B153))+ROW()*0.001)</f>
        <v>43784.152999999998</v>
      </c>
      <c r="K153" s="11">
        <v>152</v>
      </c>
      <c r="L153" s="11">
        <v>1888</v>
      </c>
      <c r="M153" s="433">
        <f ca="1">IF(L153="",64,INDEX(OFFSET(Arb!$I$2,,,Arb!$AJ$5,),L153))</f>
        <v>60</v>
      </c>
      <c r="N153" s="34">
        <f ca="1">IF(L153="",60,INDEX(OFFSET(Arb!$H$2,,,Arb!$AJ$5,),L153))</f>
        <v>23.04</v>
      </c>
      <c r="O153" s="33">
        <f t="shared" ca="1" si="21"/>
        <v>2.604166666666667</v>
      </c>
      <c r="P153" s="33">
        <f ca="1">IF(L153="","",INDEX(OFFSET(Arb!$X$2,,,Arb!$AJ$5,),L153)/N153)</f>
        <v>3.385416666666667</v>
      </c>
      <c r="Q153" s="33">
        <f ca="1">IF(L153="","",(INDEX(OFFSET(Arb!$U$2,,,Arb!$AJ$5,),L153)+INDEX(OFFSET(Arb!$V$2,,,Arb!$AJ$5,),L153))/N153)</f>
        <v>3.7326388888888888</v>
      </c>
      <c r="R153" s="33">
        <f t="shared" ca="1" si="22"/>
        <v>3.4519854514516677</v>
      </c>
      <c r="S153" s="21">
        <f t="shared" ca="1" si="23"/>
        <v>44.533791396876175</v>
      </c>
      <c r="T153" s="74">
        <f ca="1">IF(L153="","",DATE(INDEX(OFFSET(Arb!$C$2,,,Arb!$AJ$5,),L153),INDEX(OFFSET(Arb!$B$2,,,Arb!$AJ$5,),L153),INDEX(OFFSET(Arb!$A$2,,,Arb!$AJ$5,),L153))+ROW()*0.001)</f>
        <v>43764.152999999998</v>
      </c>
      <c r="U153" s="11">
        <v>152</v>
      </c>
      <c r="V153" s="11">
        <v>3154</v>
      </c>
      <c r="W153" s="433">
        <f ca="1">IF(V153="",164,INDEX(OFFSET(Arb!$I$2,,,Arb!$AJ$5,),V153))</f>
        <v>185</v>
      </c>
      <c r="X153" s="34">
        <f ca="1">IF(V153="",240,INDEX(OFFSET(Arb!$H$2,,,Arb!$AJ$5,),V153))</f>
        <v>75.099999999999994</v>
      </c>
      <c r="Y153" s="33">
        <f t="shared" ca="1" si="24"/>
        <v>2.463382157123835</v>
      </c>
      <c r="Z153" s="33">
        <f ca="1">IF(V153="","",INDEX(OFFSET(Arb!$X$2,,,Arb!$AJ$5,),V153)/X153)</f>
        <v>2.8628495339547273</v>
      </c>
      <c r="AA153" s="33">
        <f ca="1">IF(V153="","",(INDEX(OFFSET(Arb!$U$2,,,Arb!$AJ$5,),V153)+INDEX(OFFSET(Arb!$V$2,,,Arb!$AJ$5,),V153))/X153)</f>
        <v>3.1557922769640481</v>
      </c>
      <c r="AB153" s="33">
        <f t="shared" ca="1" si="25"/>
        <v>8.3448044598895894</v>
      </c>
      <c r="AC153" s="21">
        <f t="shared" ca="1" si="26"/>
        <v>52.12836347345106</v>
      </c>
      <c r="AD153" s="74">
        <f ca="1">IF(V153="","",DATE(INDEX(OFFSET(Arb!$C$2,,,Arb!$AJ$5,),V153),INDEX(OFFSET(Arb!$B$2,,,Arb!$AJ$5,),V153),INDEX(OFFSET(Arb!$A$2,,,Arb!$AJ$5,),V153))+ROW()*0.001)</f>
        <v>44029.152999999998</v>
      </c>
    </row>
    <row r="154" spans="1:30" x14ac:dyDescent="0.25">
      <c r="A154" s="11">
        <v>153</v>
      </c>
      <c r="B154" s="11">
        <v>1551</v>
      </c>
      <c r="C154" s="433">
        <f ca="1">IF(B154="",16,INDEX(OFFSET(Arb!$I$2,,,Arb!$AJ$5,),B154))</f>
        <v>18</v>
      </c>
      <c r="D154" s="34">
        <f ca="1">IF(B154="",10,INDEX(OFFSET(Arb!$H$2,,,Arb!$AJ$5,),B154))</f>
        <v>5.05</v>
      </c>
      <c r="E154" s="33">
        <f t="shared" ca="1" si="18"/>
        <v>3.5643564356435644</v>
      </c>
      <c r="F154" s="33">
        <f ca="1">IF(B154="","",INDEX(OFFSET(Arb!$X$2,,,Arb!$AJ$5,),B154)/D154)</f>
        <v>4.5544554455445549</v>
      </c>
      <c r="G154" s="33">
        <f ca="1">IF(B154="","",(INDEX(OFFSET(Arb!$U$2,,,Arb!$AJ$5,),B154)+INDEX(OFFSET(Arb!$V$2,,,Arb!$AJ$5,),B154))/D154)</f>
        <v>5.7425742574257423</v>
      </c>
      <c r="H154" s="33">
        <f t="shared" ca="1" si="19"/>
        <v>0.87161127125880511</v>
      </c>
      <c r="I154" s="21">
        <f t="shared" ca="1" si="20"/>
        <v>54.266163781578314</v>
      </c>
      <c r="J154" s="74">
        <f ca="1">IF(B154="","",DATE(INDEX(OFFSET(Arb!$C$2,,,Arb!$AJ$5,),B154),INDEX(OFFSET(Arb!$B$2,,,Arb!$AJ$5,),B154),INDEX(OFFSET(Arb!$A$2,,,Arb!$AJ$5,),B154))+ROW()*0.001)</f>
        <v>43984.154000000002</v>
      </c>
      <c r="K154" s="11">
        <v>153</v>
      </c>
      <c r="L154" s="11">
        <v>1990</v>
      </c>
      <c r="M154" s="433">
        <f ca="1">IF(L154="",64,INDEX(OFFSET(Arb!$I$2,,,Arb!$AJ$5,),L154))</f>
        <v>70</v>
      </c>
      <c r="N154" s="34">
        <f ca="1">IF(L154="",60,INDEX(OFFSET(Arb!$H$2,,,Arb!$AJ$5,),L154))</f>
        <v>26.91</v>
      </c>
      <c r="O154" s="33">
        <f t="shared" ca="1" si="21"/>
        <v>2.6012634708286884</v>
      </c>
      <c r="P154" s="33">
        <f ca="1">IF(L154="","",INDEX(OFFSET(Arb!$X$2,,,Arb!$AJ$5,),L154)/N154)</f>
        <v>2.7127461910070605</v>
      </c>
      <c r="Q154" s="33">
        <f ca="1">IF(L154="","",(INDEX(OFFSET(Arb!$U$2,,,Arb!$AJ$5,),L154)+INDEX(OFFSET(Arb!$V$2,,,Arb!$AJ$5,),L154))/N154)</f>
        <v>3.0471943515421778</v>
      </c>
      <c r="R154" s="33">
        <f t="shared" ca="1" si="22"/>
        <v>3.8526117618543676</v>
      </c>
      <c r="S154" s="21">
        <f t="shared" ca="1" si="23"/>
        <v>39.90280087968312</v>
      </c>
      <c r="T154" s="74">
        <f ca="1">IF(L154="","",DATE(INDEX(OFFSET(Arb!$C$2,,,Arb!$AJ$5,),L154),INDEX(OFFSET(Arb!$B$2,,,Arb!$AJ$5,),L154),INDEX(OFFSET(Arb!$A$2,,,Arb!$AJ$5,),L154))+ROW()*0.001)</f>
        <v>43784.154000000002</v>
      </c>
      <c r="U154" s="11">
        <v>153</v>
      </c>
      <c r="V154" s="11">
        <v>3339</v>
      </c>
      <c r="W154" s="433">
        <f ca="1">IF(V154="",164,INDEX(OFFSET(Arb!$I$2,,,Arb!$AJ$5,),V154))</f>
        <v>200</v>
      </c>
      <c r="X154" s="34">
        <f ca="1">IF(V154="",240,INDEX(OFFSET(Arb!$H$2,,,Arb!$AJ$5,),V154))</f>
        <v>81.22</v>
      </c>
      <c r="Y154" s="33">
        <f t="shared" ca="1" si="24"/>
        <v>2.4624476729869489</v>
      </c>
      <c r="Z154" s="33">
        <f ca="1">IF(V154="","",INDEX(OFFSET(Arb!$X$2,,,Arb!$AJ$5,),V154)/X154)</f>
        <v>2.7825658704752523</v>
      </c>
      <c r="AA154" s="33">
        <f ca="1">IF(V154="","",(INDEX(OFFSET(Arb!$U$2,,,Arb!$AJ$5,),V154)+INDEX(OFFSET(Arb!$V$2,,,Arb!$AJ$5,),V154))/X154)</f>
        <v>3.053435114503817</v>
      </c>
      <c r="AB154" s="33">
        <f t="shared" ca="1" si="25"/>
        <v>8.8185479177651409</v>
      </c>
      <c r="AC154" s="21">
        <f t="shared" ca="1" si="26"/>
        <v>49.327962387513004</v>
      </c>
      <c r="AD154" s="74">
        <f ca="1">IF(V154="","",DATE(INDEX(OFFSET(Arb!$C$2,,,Arb!$AJ$5,),V154),INDEX(OFFSET(Arb!$B$2,,,Arb!$AJ$5,),V154),INDEX(OFFSET(Arb!$A$2,,,Arb!$AJ$5,),V154))+ROW()*0.001)</f>
        <v>44096.154000000002</v>
      </c>
    </row>
    <row r="155" spans="1:30" x14ac:dyDescent="0.25">
      <c r="A155" s="11">
        <v>154</v>
      </c>
      <c r="B155" s="11">
        <v>809</v>
      </c>
      <c r="C155" s="433">
        <f ca="1">IF(B155="",16,INDEX(OFFSET(Arb!$I$2,,,Arb!$AJ$5,),B155))</f>
        <v>18</v>
      </c>
      <c r="D155" s="34">
        <f ca="1">IF(B155="",10,INDEX(OFFSET(Arb!$H$2,,,Arb!$AJ$5,),B155))</f>
        <v>5.05</v>
      </c>
      <c r="E155" s="33">
        <f t="shared" ca="1" si="18"/>
        <v>3.5643564356435644</v>
      </c>
      <c r="F155" s="33">
        <f ca="1">IF(B155="","",INDEX(OFFSET(Arb!$X$2,,,Arb!$AJ$5,),B155)/D155)</f>
        <v>3.7623762376237626</v>
      </c>
      <c r="G155" s="33">
        <f ca="1">IF(B155="","",(INDEX(OFFSET(Arb!$U$2,,,Arb!$AJ$5,),B155)+INDEX(OFFSET(Arb!$V$2,,,Arb!$AJ$5,),B155))/D155)</f>
        <v>4.7524752475247523</v>
      </c>
      <c r="H155" s="33">
        <f t="shared" ca="1" si="19"/>
        <v>0.87161127125880511</v>
      </c>
      <c r="I155" s="21">
        <f t="shared" ca="1" si="20"/>
        <v>54.266163781578314</v>
      </c>
      <c r="J155" s="74">
        <f ca="1">IF(B155="","",DATE(INDEX(OFFSET(Arb!$C$2,,,Arb!$AJ$5,),B155),INDEX(OFFSET(Arb!$B$2,,,Arb!$AJ$5,),B155),INDEX(OFFSET(Arb!$A$2,,,Arb!$AJ$5,),B155))+ROW()*0.001)</f>
        <v>43811.154999999999</v>
      </c>
      <c r="K155" s="11">
        <v>154</v>
      </c>
      <c r="L155" s="11">
        <v>2095</v>
      </c>
      <c r="M155" s="433">
        <f ca="1">IF(L155="",64,INDEX(OFFSET(Arb!$I$2,,,Arb!$AJ$5,),L155))</f>
        <v>62</v>
      </c>
      <c r="N155" s="34">
        <f ca="1">IF(L155="",60,INDEX(OFFSET(Arb!$H$2,,,Arb!$AJ$5,),L155))</f>
        <v>23.87</v>
      </c>
      <c r="O155" s="33">
        <f t="shared" ca="1" si="21"/>
        <v>2.5974025974025974</v>
      </c>
      <c r="P155" s="33">
        <f ca="1">IF(L155="","",INDEX(OFFSET(Arb!$X$2,,,Arb!$AJ$5,),L155)/N155)</f>
        <v>3.3514872224549643</v>
      </c>
      <c r="Q155" s="33">
        <f ca="1">IF(L155="","",(INDEX(OFFSET(Arb!$U$2,,,Arb!$AJ$5,),L155)+INDEX(OFFSET(Arb!$V$2,,,Arb!$AJ$5,),L155))/N155)</f>
        <v>3.8961038961038961</v>
      </c>
      <c r="R155" s="33">
        <f t="shared" ca="1" si="22"/>
        <v>3.5477860588708769</v>
      </c>
      <c r="S155" s="21">
        <f t="shared" ca="1" si="23"/>
        <v>43.331248685532721</v>
      </c>
      <c r="T155" s="74">
        <f ca="1">IF(L155="","",DATE(INDEX(OFFSET(Arb!$C$2,,,Arb!$AJ$5,),L155),INDEX(OFFSET(Arb!$B$2,,,Arb!$AJ$5,),L155),INDEX(OFFSET(Arb!$A$2,,,Arb!$AJ$5,),L155))+ROW()*0.001)</f>
        <v>43809.154999999999</v>
      </c>
      <c r="U155" s="11">
        <v>154</v>
      </c>
      <c r="V155" s="11">
        <v>2704</v>
      </c>
      <c r="W155" s="433">
        <f ca="1">IF(V155="",164,INDEX(OFFSET(Arb!$I$2,,,Arb!$AJ$5,),V155))</f>
        <v>199</v>
      </c>
      <c r="X155" s="34">
        <f ca="1">IF(V155="",240,INDEX(OFFSET(Arb!$H$2,,,Arb!$AJ$5,),V155))</f>
        <v>80.819999999999993</v>
      </c>
      <c r="Y155" s="33">
        <f t="shared" ca="1" si="24"/>
        <v>2.462261816382084</v>
      </c>
      <c r="Z155" s="33">
        <f ca="1">IF(V155="","",INDEX(OFFSET(Arb!$X$2,,,Arb!$AJ$5,),V155)/X155)</f>
        <v>3.0932937391734723</v>
      </c>
      <c r="AA155" s="33">
        <f ca="1">IF(V155="","",(INDEX(OFFSET(Arb!$U$2,,,Arb!$AJ$5,),V155)+INDEX(OFFSET(Arb!$V$2,,,Arb!$AJ$5,),V155))/X155)</f>
        <v>3.5882207374412278</v>
      </c>
      <c r="AB155" s="33">
        <f t="shared" ca="1" si="25"/>
        <v>8.788787459049141</v>
      </c>
      <c r="AC155" s="21">
        <f t="shared" ca="1" si="26"/>
        <v>49.494995985152968</v>
      </c>
      <c r="AD155" s="74">
        <f ca="1">IF(V155="","",DATE(INDEX(OFFSET(Arb!$C$2,,,Arb!$AJ$5,),V155),INDEX(OFFSET(Arb!$B$2,,,Arb!$AJ$5,),V155),INDEX(OFFSET(Arb!$A$2,,,Arb!$AJ$5,),V155))+ROW()*0.001)</f>
        <v>43841.154999999999</v>
      </c>
    </row>
    <row r="156" spans="1:30" x14ac:dyDescent="0.25">
      <c r="A156" s="11">
        <v>155</v>
      </c>
      <c r="B156" s="11">
        <v>1371</v>
      </c>
      <c r="C156" s="433">
        <f ca="1">IF(B156="",16,INDEX(OFFSET(Arb!$I$2,,,Arb!$AJ$5,),B156))</f>
        <v>26</v>
      </c>
      <c r="D156" s="34">
        <f ca="1">IF(B156="",10,INDEX(OFFSET(Arb!$H$2,,,Arb!$AJ$5,),B156))</f>
        <v>7.3</v>
      </c>
      <c r="E156" s="33">
        <f t="shared" ca="1" si="18"/>
        <v>3.5616438356164384</v>
      </c>
      <c r="F156" s="33">
        <f ca="1">IF(B156="","",INDEX(OFFSET(Arb!$X$2,,,Arb!$AJ$5,),B156)/D156)</f>
        <v>4.3835616438356162</v>
      </c>
      <c r="G156" s="33">
        <f ca="1">IF(B156="","",(INDEX(OFFSET(Arb!$U$2,,,Arb!$AJ$5,),B156)+INDEX(OFFSET(Arb!$V$2,,,Arb!$AJ$5,),B156))/D156)</f>
        <v>4.794520547945206</v>
      </c>
      <c r="H156" s="33">
        <f t="shared" ca="1" si="19"/>
        <v>1.1289520960485675</v>
      </c>
      <c r="I156" s="21">
        <f t="shared" ca="1" si="20"/>
        <v>41.896374669528228</v>
      </c>
      <c r="J156" s="74">
        <f ca="1">IF(B156="","",DATE(INDEX(OFFSET(Arb!$C$2,,,Arb!$AJ$5,),B156),INDEX(OFFSET(Arb!$B$2,,,Arb!$AJ$5,),B156),INDEX(OFFSET(Arb!$A$2,,,Arb!$AJ$5,),B156))+ROW()*0.001)</f>
        <v>43935.156000000003</v>
      </c>
      <c r="K156" s="11">
        <v>155</v>
      </c>
      <c r="L156" s="11">
        <v>2181</v>
      </c>
      <c r="M156" s="433">
        <f ca="1">IF(L156="",64,INDEX(OFFSET(Arb!$I$2,,,Arb!$AJ$5,),L156))</f>
        <v>90</v>
      </c>
      <c r="N156" s="34">
        <f ca="1">IF(L156="",60,INDEX(OFFSET(Arb!$H$2,,,Arb!$AJ$5,),L156))</f>
        <v>34.68</v>
      </c>
      <c r="O156" s="33">
        <f t="shared" ca="1" si="21"/>
        <v>2.5951557093425608</v>
      </c>
      <c r="P156" s="33">
        <f ca="1">IF(L156="","",INDEX(OFFSET(Arb!$X$2,,,Arb!$AJ$5,),L156)/N156)</f>
        <v>3.1141868512110729</v>
      </c>
      <c r="Q156" s="33">
        <f ca="1">IF(L156="","",(INDEX(OFFSET(Arb!$U$2,,,Arb!$AJ$5,),L156)+INDEX(OFFSET(Arb!$V$2,,,Arb!$AJ$5,),L156))/N156)</f>
        <v>3.5755478662053055</v>
      </c>
      <c r="R156" s="33">
        <f t="shared" ca="1" si="22"/>
        <v>4.6120280664755153</v>
      </c>
      <c r="S156" s="21">
        <f t="shared" ca="1" si="23"/>
        <v>33.332407735644928</v>
      </c>
      <c r="T156" s="74">
        <f ca="1">IF(L156="","",DATE(INDEX(OFFSET(Arb!$C$2,,,Arb!$AJ$5,),L156),INDEX(OFFSET(Arb!$B$2,,,Arb!$AJ$5,),L156),INDEX(OFFSET(Arb!$A$2,,,Arb!$AJ$5,),L156))+ROW()*0.001)</f>
        <v>43840.156000000003</v>
      </c>
      <c r="U156" s="11">
        <v>155</v>
      </c>
      <c r="V156" s="11">
        <v>3363</v>
      </c>
      <c r="W156" s="433">
        <f ca="1">IF(V156="",164,INDEX(OFFSET(Arb!$I$2,,,Arb!$AJ$5,),V156))</f>
        <v>199</v>
      </c>
      <c r="X156" s="34">
        <f ca="1">IF(V156="",240,INDEX(OFFSET(Arb!$H$2,,,Arb!$AJ$5,),V156))</f>
        <v>80.84</v>
      </c>
      <c r="Y156" s="33">
        <f t="shared" ca="1" si="24"/>
        <v>2.4616526472043541</v>
      </c>
      <c r="Z156" s="33">
        <f ca="1">IF(V156="","",INDEX(OFFSET(Arb!$X$2,,,Arb!$AJ$5,),V156)/X156)</f>
        <v>2.7090549233052945</v>
      </c>
      <c r="AA156" s="33">
        <f ca="1">IF(V156="","",(INDEX(OFFSET(Arb!$U$2,,,Arb!$AJ$5,),V156)+INDEX(OFFSET(Arb!$V$2,,,Arb!$AJ$5,),V156))/X156)</f>
        <v>2.9688273132112815</v>
      </c>
      <c r="AB156" s="33">
        <f t="shared" ca="1" si="25"/>
        <v>8.7924851162420001</v>
      </c>
      <c r="AC156" s="21">
        <f t="shared" ca="1" si="26"/>
        <v>49.474180990814567</v>
      </c>
      <c r="AD156" s="74">
        <f ca="1">IF(V156="","",DATE(INDEX(OFFSET(Arb!$C$2,,,Arb!$AJ$5,),V156),INDEX(OFFSET(Arb!$B$2,,,Arb!$AJ$5,),V156),INDEX(OFFSET(Arb!$A$2,,,Arb!$AJ$5,),V156))+ROW()*0.001)</f>
        <v>44107.156000000003</v>
      </c>
    </row>
    <row r="157" spans="1:30" x14ac:dyDescent="0.25">
      <c r="A157" s="11">
        <v>156</v>
      </c>
      <c r="B157" s="11">
        <v>1610</v>
      </c>
      <c r="C157" s="433">
        <f ca="1">IF(B157="",16,INDEX(OFFSET(Arb!$I$2,,,Arb!$AJ$5,),B157))</f>
        <v>25</v>
      </c>
      <c r="D157" s="34">
        <f ca="1">IF(B157="",10,INDEX(OFFSET(Arb!$H$2,,,Arb!$AJ$5,),B157))</f>
        <v>7.02</v>
      </c>
      <c r="E157" s="33">
        <f t="shared" ca="1" si="18"/>
        <v>3.5612535612535616</v>
      </c>
      <c r="F157" s="33">
        <f ca="1">IF(B157="","",INDEX(OFFSET(Arb!$X$2,,,Arb!$AJ$5,),B157)/D157)</f>
        <v>4.2735042735042734</v>
      </c>
      <c r="G157" s="33">
        <f ca="1">IF(B157="","",(INDEX(OFFSET(Arb!$U$2,,,Arb!$AJ$5,),B157)+INDEX(OFFSET(Arb!$V$2,,,Arb!$AJ$5,),B157))/D157)</f>
        <v>4.700854700854701</v>
      </c>
      <c r="H157" s="33">
        <f t="shared" ca="1" si="19"/>
        <v>1.0985835253746041</v>
      </c>
      <c r="I157" s="21">
        <f t="shared" ca="1" si="20"/>
        <v>43.054532411517449</v>
      </c>
      <c r="J157" s="74">
        <f ca="1">IF(B157="","",DATE(INDEX(OFFSET(Arb!$C$2,,,Arb!$AJ$5,),B157),INDEX(OFFSET(Arb!$B$2,,,Arb!$AJ$5,),B157),INDEX(OFFSET(Arb!$A$2,,,Arb!$AJ$5,),B157))+ROW()*0.001)</f>
        <v>44062.156999999999</v>
      </c>
      <c r="K157" s="11">
        <v>156</v>
      </c>
      <c r="L157" s="11">
        <v>2184</v>
      </c>
      <c r="M157" s="433">
        <f ca="1">IF(L157="",64,INDEX(OFFSET(Arb!$I$2,,,Arb!$AJ$5,),L157))</f>
        <v>59</v>
      </c>
      <c r="N157" s="34">
        <f ca="1">IF(L157="",60,INDEX(OFFSET(Arb!$H$2,,,Arb!$AJ$5,),L157))</f>
        <v>22.74</v>
      </c>
      <c r="O157" s="33">
        <f t="shared" ca="1" si="21"/>
        <v>2.5945470536499564</v>
      </c>
      <c r="P157" s="33">
        <f ca="1">IF(L157="","",INDEX(OFFSET(Arb!$X$2,,,Arb!$AJ$5,),L157)/N157)</f>
        <v>2.8583992963940195</v>
      </c>
      <c r="Q157" s="33">
        <f ca="1">IF(L157="","",(INDEX(OFFSET(Arb!$U$2,,,Arb!$AJ$5,),L157)+INDEX(OFFSET(Arb!$V$2,,,Arb!$AJ$5,),L157))/N157)</f>
        <v>3.0343007915567286</v>
      </c>
      <c r="R157" s="33">
        <f t="shared" ca="1" si="22"/>
        <v>3.4331420322134254</v>
      </c>
      <c r="S157" s="21">
        <f t="shared" ca="1" si="23"/>
        <v>44.778223142980991</v>
      </c>
      <c r="T157" s="74">
        <f ca="1">IF(L157="","",DATE(INDEX(OFFSET(Arb!$C$2,,,Arb!$AJ$5,),L157),INDEX(OFFSET(Arb!$B$2,,,Arb!$AJ$5,),L157),INDEX(OFFSET(Arb!$A$2,,,Arb!$AJ$5,),L157))+ROW()*0.001)</f>
        <v>43840.156999999999</v>
      </c>
      <c r="U157" s="11">
        <v>156</v>
      </c>
      <c r="V157" s="11">
        <v>3139</v>
      </c>
      <c r="W157" s="433">
        <f ca="1">IF(V157="",164,INDEX(OFFSET(Arb!$I$2,,,Arb!$AJ$5,),V157))</f>
        <v>182</v>
      </c>
      <c r="X157" s="34">
        <f ca="1">IF(V157="",240,INDEX(OFFSET(Arb!$H$2,,,Arb!$AJ$5,),V157))</f>
        <v>73.97</v>
      </c>
      <c r="Y157" s="33">
        <f t="shared" ca="1" si="24"/>
        <v>2.4604569420035149</v>
      </c>
      <c r="Z157" s="33">
        <f ca="1">IF(V157="","",INDEX(OFFSET(Arb!$X$2,,,Arb!$AJ$5,),V157)/X157)</f>
        <v>2.9336217385426524</v>
      </c>
      <c r="AA157" s="33">
        <f ca="1">IF(V157="","",(INDEX(OFFSET(Arb!$U$2,,,Arb!$AJ$5,),V157)+INDEX(OFFSET(Arb!$V$2,,,Arb!$AJ$5,),V157))/X157)</f>
        <v>3.2310396106529673</v>
      </c>
      <c r="AB157" s="33">
        <f t="shared" ca="1" si="25"/>
        <v>8.2665284321264281</v>
      </c>
      <c r="AC157" s="21">
        <f t="shared" ca="1" si="26"/>
        <v>52.621968650037431</v>
      </c>
      <c r="AD157" s="74">
        <f ca="1">IF(V157="","",DATE(INDEX(OFFSET(Arb!$C$2,,,Arb!$AJ$5,),V157),INDEX(OFFSET(Arb!$B$2,,,Arb!$AJ$5,),V157),INDEX(OFFSET(Arb!$A$2,,,Arb!$AJ$5,),V157))+ROW()*0.001)</f>
        <v>44021.156999999999</v>
      </c>
    </row>
    <row r="158" spans="1:30" x14ac:dyDescent="0.25">
      <c r="A158" s="11">
        <v>157</v>
      </c>
      <c r="B158" s="11">
        <v>385</v>
      </c>
      <c r="C158" s="433">
        <f ca="1">IF(B158="",16,INDEX(OFFSET(Arb!$I$2,,,Arb!$AJ$5,),B158))</f>
        <v>32</v>
      </c>
      <c r="D158" s="34">
        <f ca="1">IF(B158="",10,INDEX(OFFSET(Arb!$H$2,,,Arb!$AJ$5,),B158))</f>
        <v>8.99</v>
      </c>
      <c r="E158" s="33">
        <f t="shared" ca="1" si="18"/>
        <v>3.5595105672969964</v>
      </c>
      <c r="F158" s="33">
        <f ca="1">IF(B158="","",INDEX(OFFSET(Arb!$X$2,,,Arb!$AJ$5,),B158)/D158)</f>
        <v>4.1156840934371521</v>
      </c>
      <c r="G158" s="33">
        <f ca="1">IF(B158="","",(INDEX(OFFSET(Arb!$U$2,,,Arb!$AJ$5,),B158)+INDEX(OFFSET(Arb!$V$2,,,Arb!$AJ$5,),B158))/D158)</f>
        <v>4.6718576195773078</v>
      </c>
      <c r="H158" s="33">
        <f t="shared" ca="1" si="19"/>
        <v>1.3068974110355198</v>
      </c>
      <c r="I158" s="21">
        <f t="shared" ca="1" si="20"/>
        <v>36.19182316883056</v>
      </c>
      <c r="J158" s="74">
        <f ca="1">IF(B158="","",DATE(INDEX(OFFSET(Arb!$C$2,,,Arb!$AJ$5,),B158),INDEX(OFFSET(Arb!$B$2,,,Arb!$AJ$5,),B158),INDEX(OFFSET(Arb!$A$2,,,Arb!$AJ$5,),B158))+ROW()*0.001)</f>
        <v>43781.158000000003</v>
      </c>
      <c r="K158" s="11">
        <v>157</v>
      </c>
      <c r="L158" s="11">
        <v>2218</v>
      </c>
      <c r="M158" s="433">
        <f ca="1">IF(L158="",64,INDEX(OFFSET(Arb!$I$2,,,Arb!$AJ$5,),L158))</f>
        <v>66</v>
      </c>
      <c r="N158" s="34">
        <f ca="1">IF(L158="",60,INDEX(OFFSET(Arb!$H$2,,,Arb!$AJ$5,),L158))</f>
        <v>25.45</v>
      </c>
      <c r="O158" s="33">
        <f t="shared" ca="1" si="21"/>
        <v>2.5933202357563849</v>
      </c>
      <c r="P158" s="33">
        <f ca="1">IF(L158="","",INDEX(OFFSET(Arb!$X$2,,,Arb!$AJ$5,),L158)/N158)</f>
        <v>3.2220039292730847</v>
      </c>
      <c r="Q158" s="33">
        <f ca="1">IF(L158="","",(INDEX(OFFSET(Arb!$U$2,,,Arb!$AJ$5,),L158)+INDEX(OFFSET(Arb!$V$2,,,Arb!$AJ$5,),L158))/N158)</f>
        <v>3.6149312377210219</v>
      </c>
      <c r="R158" s="33">
        <f t="shared" ca="1" si="22"/>
        <v>3.7164243918637148</v>
      </c>
      <c r="S158" s="21">
        <f t="shared" ca="1" si="23"/>
        <v>41.365028261185039</v>
      </c>
      <c r="T158" s="74">
        <f ca="1">IF(L158="","",DATE(INDEX(OFFSET(Arb!$C$2,,,Arb!$AJ$5,),L158),INDEX(OFFSET(Arb!$B$2,,,Arb!$AJ$5,),L158),INDEX(OFFSET(Arb!$A$2,,,Arb!$AJ$5,),L158))+ROW()*0.001)</f>
        <v>43870.158000000003</v>
      </c>
      <c r="U158" s="11">
        <v>157</v>
      </c>
      <c r="V158" s="11">
        <v>2644</v>
      </c>
      <c r="W158" s="433">
        <f ca="1">IF(V158="",164,INDEX(OFFSET(Arb!$I$2,,,Arb!$AJ$5,),V158))</f>
        <v>204</v>
      </c>
      <c r="X158" s="34">
        <f ca="1">IF(V158="",240,INDEX(OFFSET(Arb!$H$2,,,Arb!$AJ$5,),V158))</f>
        <v>82.93</v>
      </c>
      <c r="Y158" s="33">
        <f t="shared" ca="1" si="24"/>
        <v>2.4599059447726996</v>
      </c>
      <c r="Z158" s="33">
        <f ca="1">IF(V158="","",INDEX(OFFSET(Arb!$X$2,,,Arb!$AJ$5,),V158)/X158)</f>
        <v>2.8457735439527312</v>
      </c>
      <c r="AA158" s="33">
        <f ca="1">IF(V158="","",(INDEX(OFFSET(Arb!$U$2,,,Arb!$AJ$5,),V158)+INDEX(OFFSET(Arb!$V$2,,,Arb!$AJ$5,),V158))/X158)</f>
        <v>3.2075244181840104</v>
      </c>
      <c r="AB158" s="33">
        <f t="shared" ca="1" si="25"/>
        <v>8.9573524653327148</v>
      </c>
      <c r="AC158" s="21">
        <f t="shared" ca="1" si="26"/>
        <v>48.563568496781507</v>
      </c>
      <c r="AD158" s="74">
        <f ca="1">IF(V158="","",DATE(INDEX(OFFSET(Arb!$C$2,,,Arb!$AJ$5,),V158),INDEX(OFFSET(Arb!$B$2,,,Arb!$AJ$5,),V158),INDEX(OFFSET(Arb!$A$2,,,Arb!$AJ$5,),V158))+ROW()*0.001)</f>
        <v>43817.158000000003</v>
      </c>
    </row>
    <row r="159" spans="1:30" x14ac:dyDescent="0.25">
      <c r="A159" s="11">
        <v>158</v>
      </c>
      <c r="B159" s="11">
        <v>791</v>
      </c>
      <c r="C159" s="433">
        <f ca="1">IF(B159="",16,INDEX(OFFSET(Arb!$I$2,,,Arb!$AJ$5,),B159))</f>
        <v>17</v>
      </c>
      <c r="D159" s="34">
        <f ca="1">IF(B159="",10,INDEX(OFFSET(Arb!$H$2,,,Arb!$AJ$5,),B159))</f>
        <v>4.78</v>
      </c>
      <c r="E159" s="33">
        <f t="shared" ca="1" si="18"/>
        <v>3.5564853556485354</v>
      </c>
      <c r="F159" s="33">
        <f ca="1">IF(B159="","",INDEX(OFFSET(Arb!$X$2,,,Arb!$AJ$5,),B159)/D159)</f>
        <v>3.5564853556485354</v>
      </c>
      <c r="G159" s="33">
        <f ca="1">IF(B159="","",(INDEX(OFFSET(Arb!$U$2,,,Arb!$AJ$5,),B159)+INDEX(OFFSET(Arb!$V$2,,,Arb!$AJ$5,),B159))/D159)</f>
        <v>4.1841004184100417</v>
      </c>
      <c r="H159" s="33">
        <f t="shared" ca="1" si="19"/>
        <v>0.84057893601368905</v>
      </c>
      <c r="I159" s="21">
        <f t="shared" ca="1" si="20"/>
        <v>56.269551821400533</v>
      </c>
      <c r="J159" s="74">
        <f ca="1">IF(B159="","",DATE(INDEX(OFFSET(Arb!$C$2,,,Arb!$AJ$5,),B159),INDEX(OFFSET(Arb!$B$2,,,Arb!$AJ$5,),B159),INDEX(OFFSET(Arb!$A$2,,,Arb!$AJ$5,),B159))+ROW()*0.001)</f>
        <v>43811.159</v>
      </c>
      <c r="K159" s="11">
        <v>158</v>
      </c>
      <c r="L159" s="11">
        <v>1980</v>
      </c>
      <c r="M159" s="433">
        <f ca="1">IF(L159="",64,INDEX(OFFSET(Arb!$I$2,,,Arb!$AJ$5,),L159))</f>
        <v>73</v>
      </c>
      <c r="N159" s="34">
        <f ca="1">IF(L159="",60,INDEX(OFFSET(Arb!$H$2,,,Arb!$AJ$5,),L159))</f>
        <v>28.15</v>
      </c>
      <c r="O159" s="33">
        <f t="shared" ca="1" si="21"/>
        <v>2.5932504440497337</v>
      </c>
      <c r="P159" s="33">
        <f ca="1">IF(L159="","",INDEX(OFFSET(Arb!$X$2,,,Arb!$AJ$5,),L159)/N159)</f>
        <v>3.374777975133215</v>
      </c>
      <c r="Q159" s="33">
        <f ca="1">IF(L159="","",(INDEX(OFFSET(Arb!$U$2,,,Arb!$AJ$5,),L159)+INDEX(OFFSET(Arb!$V$2,,,Arb!$AJ$5,),L159))/N159)</f>
        <v>3.7655417406749558</v>
      </c>
      <c r="R159" s="33">
        <f t="shared" ca="1" si="22"/>
        <v>3.9883238768270166</v>
      </c>
      <c r="S159" s="21">
        <f t="shared" ca="1" si="23"/>
        <v>38.545014083034467</v>
      </c>
      <c r="T159" s="74">
        <f ca="1">IF(L159="","",DATE(INDEX(OFFSET(Arb!$C$2,,,Arb!$AJ$5,),L159),INDEX(OFFSET(Arb!$B$2,,,Arb!$AJ$5,),L159),INDEX(OFFSET(Arb!$A$2,,,Arb!$AJ$5,),L159))+ROW()*0.001)</f>
        <v>43782.159</v>
      </c>
      <c r="U159" s="11">
        <v>158</v>
      </c>
      <c r="V159" s="11">
        <v>3102</v>
      </c>
      <c r="W159" s="433">
        <f ca="1">IF(V159="",164,INDEX(OFFSET(Arb!$I$2,,,Arb!$AJ$5,),V159))</f>
        <v>193</v>
      </c>
      <c r="X159" s="34">
        <f ca="1">IF(V159="",240,INDEX(OFFSET(Arb!$H$2,,,Arb!$AJ$5,),V159))</f>
        <v>78.48</v>
      </c>
      <c r="Y159" s="33">
        <f t="shared" ca="1" si="24"/>
        <v>2.4592252803261978</v>
      </c>
      <c r="Z159" s="33">
        <f ca="1">IF(V159="","",INDEX(OFFSET(Arb!$X$2,,,Arb!$AJ$5,),V159)/X159)</f>
        <v>2.9306829765545359</v>
      </c>
      <c r="AA159" s="33">
        <f ca="1">IF(V159="","",(INDEX(OFFSET(Arb!$U$2,,,Arb!$AJ$5,),V159)+INDEX(OFFSET(Arb!$V$2,,,Arb!$AJ$5,),V159))/X159)</f>
        <v>3.2874617737003056</v>
      </c>
      <c r="AB159" s="33">
        <f t="shared" ca="1" si="25"/>
        <v>8.6205104256254597</v>
      </c>
      <c r="AC159" s="21">
        <f t="shared" ca="1" si="26"/>
        <v>50.461165119284516</v>
      </c>
      <c r="AD159" s="74">
        <f ca="1">IF(V159="","",DATE(INDEX(OFFSET(Arb!$C$2,,,Arb!$AJ$5,),V159),INDEX(OFFSET(Arb!$B$2,,,Arb!$AJ$5,),V159),INDEX(OFFSET(Arb!$A$2,,,Arb!$AJ$5,),V159))+ROW()*0.001)</f>
        <v>44005.159</v>
      </c>
    </row>
    <row r="160" spans="1:30" x14ac:dyDescent="0.25">
      <c r="A160" s="11">
        <v>159</v>
      </c>
      <c r="B160" s="11">
        <v>263</v>
      </c>
      <c r="C160" s="433">
        <f ca="1">IF(B160="",16,INDEX(OFFSET(Arb!$I$2,,,Arb!$AJ$5,),B160))</f>
        <v>24</v>
      </c>
      <c r="D160" s="34">
        <f ca="1">IF(B160="",10,INDEX(OFFSET(Arb!$H$2,,,Arb!$AJ$5,),B160))</f>
        <v>6.75</v>
      </c>
      <c r="E160" s="33">
        <f t="shared" ca="1" si="18"/>
        <v>3.5555555555555554</v>
      </c>
      <c r="F160" s="33">
        <f ca="1">IF(B160="","",INDEX(OFFSET(Arb!$X$2,,,Arb!$AJ$5,),B160)/D160)</f>
        <v>3.7037037037037037</v>
      </c>
      <c r="G160" s="33">
        <f ca="1">IF(B160="","",(INDEX(OFFSET(Arb!$U$2,,,Arb!$AJ$5,),B160)+INDEX(OFFSET(Arb!$V$2,,,Arb!$AJ$5,),B160))/D160)</f>
        <v>4</v>
      </c>
      <c r="H160" s="33">
        <f t="shared" ca="1" si="19"/>
        <v>1.0705456031023279</v>
      </c>
      <c r="I160" s="21">
        <f t="shared" ca="1" si="20"/>
        <v>44.182144004825673</v>
      </c>
      <c r="J160" s="74">
        <f ca="1">IF(B160="","",DATE(INDEX(OFFSET(Arb!$C$2,,,Arb!$AJ$5,),B160),INDEX(OFFSET(Arb!$B$2,,,Arb!$AJ$5,),B160),INDEX(OFFSET(Arb!$A$2,,,Arb!$AJ$5,),B160))+ROW()*0.001)</f>
        <v>43776.160000000003</v>
      </c>
      <c r="K160" s="11">
        <v>159</v>
      </c>
      <c r="L160" s="11">
        <v>2131</v>
      </c>
      <c r="M160" s="433">
        <f ca="1">IF(L160="",64,INDEX(OFFSET(Arb!$I$2,,,Arb!$AJ$5,),L160))</f>
        <v>83</v>
      </c>
      <c r="N160" s="34">
        <f ca="1">IF(L160="",60,INDEX(OFFSET(Arb!$H$2,,,Arb!$AJ$5,),L160))</f>
        <v>32.01</v>
      </c>
      <c r="O160" s="33">
        <f t="shared" ca="1" si="21"/>
        <v>2.5929397063417685</v>
      </c>
      <c r="P160" s="33">
        <f ca="1">IF(L160="","",INDEX(OFFSET(Arb!$X$2,,,Arb!$AJ$5,),L160)/N160)</f>
        <v>3.0303030303030303</v>
      </c>
      <c r="Q160" s="33">
        <f ca="1">IF(L160="","",(INDEX(OFFSET(Arb!$U$2,,,Arb!$AJ$5,),L160)+INDEX(OFFSET(Arb!$V$2,,,Arb!$AJ$5,),L160))/N160)</f>
        <v>3.4676663542642925</v>
      </c>
      <c r="R160" s="33">
        <f t="shared" ca="1" si="22"/>
        <v>4.3642292294911389</v>
      </c>
      <c r="S160" s="21">
        <f t="shared" ca="1" si="23"/>
        <v>35.225005818020385</v>
      </c>
      <c r="T160" s="74">
        <f ca="1">IF(L160="","",DATE(INDEX(OFFSET(Arb!$C$2,,,Arb!$AJ$5,),L160),INDEX(OFFSET(Arb!$B$2,,,Arb!$AJ$5,),L160),INDEX(OFFSET(Arb!$A$2,,,Arb!$AJ$5,),L160))+ROW()*0.001)</f>
        <v>43813.16</v>
      </c>
      <c r="U160" s="11">
        <v>159</v>
      </c>
      <c r="V160" s="11">
        <v>2835</v>
      </c>
      <c r="W160" s="433">
        <f ca="1">IF(V160="",164,INDEX(OFFSET(Arb!$I$2,,,Arb!$AJ$5,),V160))</f>
        <v>176</v>
      </c>
      <c r="X160" s="34">
        <f ca="1">IF(V160="",240,INDEX(OFFSET(Arb!$H$2,,,Arb!$AJ$5,),V160))</f>
        <v>71.569999999999993</v>
      </c>
      <c r="Y160" s="33">
        <f t="shared" ca="1" si="24"/>
        <v>2.4591309207768619</v>
      </c>
      <c r="Z160" s="33">
        <f ca="1">IF(V160="","",INDEX(OFFSET(Arb!$X$2,,,Arb!$AJ$5,),V160)/X160)</f>
        <v>3.0459689814167952</v>
      </c>
      <c r="AA160" s="33">
        <f ca="1">IF(V160="","",(INDEX(OFFSET(Arb!$U$2,,,Arb!$AJ$5,),V160)+INDEX(OFFSET(Arb!$V$2,,,Arb!$AJ$5,),V160))/X160)</f>
        <v>3.3813050160681852</v>
      </c>
      <c r="AB160" s="33">
        <f t="shared" ca="1" si="25"/>
        <v>8.0822087145374315</v>
      </c>
      <c r="AC160" s="21">
        <f t="shared" ca="1" si="26"/>
        <v>53.82204485978761</v>
      </c>
      <c r="AD160" s="74">
        <f ca="1">IF(V160="","",DATE(INDEX(OFFSET(Arb!$C$2,,,Arb!$AJ$5,),V160),INDEX(OFFSET(Arb!$B$2,,,Arb!$AJ$5,),V160),INDEX(OFFSET(Arb!$A$2,,,Arb!$AJ$5,),V160))+ROW()*0.001)</f>
        <v>43902.16</v>
      </c>
    </row>
    <row r="161" spans="1:30" x14ac:dyDescent="0.25">
      <c r="A161" s="11">
        <v>160</v>
      </c>
      <c r="B161" s="11">
        <v>119</v>
      </c>
      <c r="C161" s="433">
        <f ca="1">IF(B161="",16,INDEX(OFFSET(Arb!$I$2,,,Arb!$AJ$5,),B161))</f>
        <v>15</v>
      </c>
      <c r="D161" s="34">
        <f ca="1">IF(B161="",10,INDEX(OFFSET(Arb!$H$2,,,Arb!$AJ$5,),B161))</f>
        <v>4.22</v>
      </c>
      <c r="E161" s="33">
        <f t="shared" ca="1" si="18"/>
        <v>3.5545023696682465</v>
      </c>
      <c r="F161" s="33">
        <f ca="1">IF(B161="","",INDEX(OFFSET(Arb!$X$2,,,Arb!$AJ$5,),B161)/D161)</f>
        <v>3.7914691943127963</v>
      </c>
      <c r="G161" s="33">
        <f ca="1">IF(B161="","",(INDEX(OFFSET(Arb!$U$2,,,Arb!$AJ$5,),B161)+INDEX(OFFSET(Arb!$V$2,,,Arb!$AJ$5,),B161))/D161)</f>
        <v>4.2654028436018958</v>
      </c>
      <c r="H161" s="33">
        <f t="shared" ca="1" si="19"/>
        <v>0.77079680814013452</v>
      </c>
      <c r="I161" s="21">
        <f t="shared" ca="1" si="20"/>
        <v>61.363772527974476</v>
      </c>
      <c r="J161" s="74">
        <f ca="1">IF(B161="","",DATE(INDEX(OFFSET(Arb!$C$2,,,Arb!$AJ$5,),B161),INDEX(OFFSET(Arb!$B$2,,,Arb!$AJ$5,),B161),INDEX(OFFSET(Arb!$A$2,,,Arb!$AJ$5,),B161))+ROW()*0.001)</f>
        <v>43770.161</v>
      </c>
      <c r="K161" s="11">
        <v>160</v>
      </c>
      <c r="L161" s="11">
        <v>2100</v>
      </c>
      <c r="M161" s="433">
        <f ca="1">IF(L161="",64,INDEX(OFFSET(Arb!$I$2,,,Arb!$AJ$5,),L161))</f>
        <v>52</v>
      </c>
      <c r="N161" s="34">
        <f ca="1">IF(L161="",60,INDEX(OFFSET(Arb!$H$2,,,Arb!$AJ$5,),L161))</f>
        <v>20.07</v>
      </c>
      <c r="O161" s="33">
        <f t="shared" ca="1" si="21"/>
        <v>2.5909317389138016</v>
      </c>
      <c r="P161" s="33">
        <f ca="1">IF(L161="","",INDEX(OFFSET(Arb!$X$2,,,Arb!$AJ$5,),L161)/N161)</f>
        <v>3.338315894369706</v>
      </c>
      <c r="Q161" s="33">
        <f ca="1">IF(L161="","",(INDEX(OFFSET(Arb!$U$2,,,Arb!$AJ$5,),L161)+INDEX(OFFSET(Arb!$V$2,,,Arb!$AJ$5,),L161))/N161)</f>
        <v>3.7369207772795217</v>
      </c>
      <c r="R161" s="33">
        <f t="shared" ca="1" si="22"/>
        <v>3.1501206641794344</v>
      </c>
      <c r="S161" s="21">
        <f t="shared" ca="1" si="23"/>
        <v>48.801305216047865</v>
      </c>
      <c r="T161" s="74">
        <f ca="1">IF(L161="","",DATE(INDEX(OFFSET(Arb!$C$2,,,Arb!$AJ$5,),L161),INDEX(OFFSET(Arb!$B$2,,,Arb!$AJ$5,),L161),INDEX(OFFSET(Arb!$A$2,,,Arb!$AJ$5,),L161))+ROW()*0.001)</f>
        <v>43810.161</v>
      </c>
      <c r="U161" s="11">
        <v>160</v>
      </c>
      <c r="V161" s="11">
        <v>3005</v>
      </c>
      <c r="W161" s="433">
        <f ca="1">IF(V161="",164,INDEX(OFFSET(Arb!$I$2,,,Arb!$AJ$5,),V161))</f>
        <v>159</v>
      </c>
      <c r="X161" s="34">
        <f ca="1">IF(V161="",240,INDEX(OFFSET(Arb!$H$2,,,Arb!$AJ$5,),V161))</f>
        <v>64.680000000000007</v>
      </c>
      <c r="Y161" s="33">
        <f t="shared" ca="1" si="24"/>
        <v>2.458256029684601</v>
      </c>
      <c r="Z161" s="33">
        <f ca="1">IF(V161="","",INDEX(OFFSET(Arb!$X$2,,,Arb!$AJ$5,),V161)/X161)</f>
        <v>2.7520098948670375</v>
      </c>
      <c r="AA161" s="33">
        <f ca="1">IF(V161="","",(INDEX(OFFSET(Arb!$U$2,,,Arb!$AJ$5,),V161)+INDEX(OFFSET(Arb!$V$2,,,Arb!$AJ$5,),V161))/X161)</f>
        <v>3.0612244897959182</v>
      </c>
      <c r="AB161" s="33">
        <f t="shared" ca="1" si="25"/>
        <v>7.53202746164677</v>
      </c>
      <c r="AC161" s="21">
        <f t="shared" ca="1" si="26"/>
        <v>57.753506903026242</v>
      </c>
      <c r="AD161" s="74">
        <f ca="1">IF(V161="","",DATE(INDEX(OFFSET(Arb!$C$2,,,Arb!$AJ$5,),V161),INDEX(OFFSET(Arb!$B$2,,,Arb!$AJ$5,),V161),INDEX(OFFSET(Arb!$A$2,,,Arb!$AJ$5,),V161))+ROW()*0.001)</f>
        <v>43957.161</v>
      </c>
    </row>
    <row r="162" spans="1:30" x14ac:dyDescent="0.25">
      <c r="A162" s="11">
        <v>161</v>
      </c>
      <c r="B162" s="11">
        <v>568</v>
      </c>
      <c r="C162" s="433">
        <f ca="1">IF(B162="",16,INDEX(OFFSET(Arb!$I$2,,,Arb!$AJ$5,),B162))</f>
        <v>27</v>
      </c>
      <c r="D162" s="34">
        <f ca="1">IF(B162="",10,INDEX(OFFSET(Arb!$H$2,,,Arb!$AJ$5,),B162))</f>
        <v>7.6</v>
      </c>
      <c r="E162" s="33">
        <f t="shared" ca="1" si="18"/>
        <v>3.5526315789473686</v>
      </c>
      <c r="F162" s="33">
        <f ca="1">IF(B162="","",INDEX(OFFSET(Arb!$X$2,,,Arb!$AJ$5,),B162)/D162)</f>
        <v>4.0789473684210531</v>
      </c>
      <c r="G162" s="33">
        <f ca="1">IF(B162="","",(INDEX(OFFSET(Arb!$U$2,,,Arb!$AJ$5,),B162)+INDEX(OFFSET(Arb!$V$2,,,Arb!$AJ$5,),B162))/D162)</f>
        <v>4.4736842105263159</v>
      </c>
      <c r="H162" s="33">
        <f t="shared" ca="1" si="19"/>
        <v>1.1641778787070116</v>
      </c>
      <c r="I162" s="21">
        <f t="shared" ca="1" si="20"/>
        <v>40.628670983279974</v>
      </c>
      <c r="J162" s="74">
        <f ca="1">IF(B162="","",DATE(INDEX(OFFSET(Arb!$C$2,,,Arb!$AJ$5,),B162),INDEX(OFFSET(Arb!$B$2,,,Arb!$AJ$5,),B162),INDEX(OFFSET(Arb!$A$2,,,Arb!$AJ$5,),B162))+ROW()*0.001)</f>
        <v>43797.161999999997</v>
      </c>
      <c r="K162" s="11">
        <v>161</v>
      </c>
      <c r="L162" s="11">
        <v>2143</v>
      </c>
      <c r="M162" s="433">
        <f ca="1">IF(L162="",64,INDEX(OFFSET(Arb!$I$2,,,Arb!$AJ$5,),L162))</f>
        <v>45</v>
      </c>
      <c r="N162" s="34">
        <f ca="1">IF(L162="",60,INDEX(OFFSET(Arb!$H$2,,,Arb!$AJ$5,),L162))</f>
        <v>17.37</v>
      </c>
      <c r="O162" s="33">
        <f t="shared" ca="1" si="21"/>
        <v>2.5906735751295336</v>
      </c>
      <c r="P162" s="33">
        <f ca="1">IF(L162="","",INDEX(OFFSET(Arb!$X$2,,,Arb!$AJ$5,),L162)/N162)</f>
        <v>3.2239493379389752</v>
      </c>
      <c r="Q162" s="33">
        <f ca="1">IF(L162="","",(INDEX(OFFSET(Arb!$U$2,,,Arb!$AJ$5,),L162)+INDEX(OFFSET(Arb!$V$2,,,Arb!$AJ$5,),L162))/N162)</f>
        <v>3.7420840529648816</v>
      </c>
      <c r="R162" s="33">
        <f t="shared" ca="1" si="22"/>
        <v>2.8473914562817582</v>
      </c>
      <c r="S162" s="21">
        <f t="shared" ca="1" si="23"/>
        <v>53.989766549607829</v>
      </c>
      <c r="T162" s="74">
        <f ca="1">IF(L162="","",DATE(INDEX(OFFSET(Arb!$C$2,,,Arb!$AJ$5,),L162),INDEX(OFFSET(Arb!$B$2,,,Arb!$AJ$5,),L162),INDEX(OFFSET(Arb!$A$2,,,Arb!$AJ$5,),L162))+ROW()*0.001)</f>
        <v>43817.161999999997</v>
      </c>
      <c r="U162" s="11">
        <v>161</v>
      </c>
      <c r="V162" s="11">
        <v>3009</v>
      </c>
      <c r="W162" s="433">
        <f ca="1">IF(V162="",164,INDEX(OFFSET(Arb!$I$2,,,Arb!$AJ$5,),V162))</f>
        <v>205</v>
      </c>
      <c r="X162" s="34">
        <f ca="1">IF(V162="",240,INDEX(OFFSET(Arb!$H$2,,,Arb!$AJ$5,),V162))</f>
        <v>83.41</v>
      </c>
      <c r="Y162" s="33">
        <f t="shared" ca="1" si="24"/>
        <v>2.4577388802301883</v>
      </c>
      <c r="Z162" s="33">
        <f ca="1">IF(V162="","",INDEX(OFFSET(Arb!$X$2,,,Arb!$AJ$5,),V162)/X162)</f>
        <v>2.8054190145066542</v>
      </c>
      <c r="AA162" s="33">
        <f ca="1">IF(V162="","",(INDEX(OFFSET(Arb!$U$2,,,Arb!$AJ$5,),V162)+INDEX(OFFSET(Arb!$V$2,,,Arb!$AJ$5,),V162))/X162)</f>
        <v>3.093154298045798</v>
      </c>
      <c r="AB162" s="33">
        <f t="shared" ca="1" si="25"/>
        <v>9.0015426796065654</v>
      </c>
      <c r="AC162" s="21">
        <f t="shared" ca="1" si="26"/>
        <v>48.325161084390125</v>
      </c>
      <c r="AD162" s="74">
        <f ca="1">IF(V162="","",DATE(INDEX(OFFSET(Arb!$C$2,,,Arb!$AJ$5,),V162),INDEX(OFFSET(Arb!$B$2,,,Arb!$AJ$5,),V162),INDEX(OFFSET(Arb!$A$2,,,Arb!$AJ$5,),V162))+ROW()*0.001)</f>
        <v>43957.161999999997</v>
      </c>
    </row>
    <row r="163" spans="1:30" x14ac:dyDescent="0.25">
      <c r="A163" s="11">
        <v>162</v>
      </c>
      <c r="B163" s="11">
        <v>865</v>
      </c>
      <c r="C163" s="433">
        <f ca="1">IF(B163="",16,INDEX(OFFSET(Arb!$I$2,,,Arb!$AJ$5,),B163))</f>
        <v>20</v>
      </c>
      <c r="D163" s="34">
        <f ca="1">IF(B163="",10,INDEX(OFFSET(Arb!$H$2,,,Arb!$AJ$5,),B163))</f>
        <v>5.63</v>
      </c>
      <c r="E163" s="33">
        <f t="shared" ca="1" si="18"/>
        <v>3.5523978685612789</v>
      </c>
      <c r="F163" s="33">
        <f ca="1">IF(B163="","",INDEX(OFFSET(Arb!$X$2,,,Arb!$AJ$5,),B163)/D163)</f>
        <v>3.9076376554174068</v>
      </c>
      <c r="G163" s="33">
        <f ca="1">IF(B163="","",(INDEX(OFFSET(Arb!$U$2,,,Arb!$AJ$5,),B163)+INDEX(OFFSET(Arb!$V$2,,,Arb!$AJ$5,),B163))/D163)</f>
        <v>4.4404973357015987</v>
      </c>
      <c r="H163" s="33">
        <f t="shared" ca="1" si="19"/>
        <v>0.94370069650613586</v>
      </c>
      <c r="I163" s="21">
        <f t="shared" ca="1" si="20"/>
        <v>50.120764109971667</v>
      </c>
      <c r="J163" s="74">
        <f ca="1">IF(B163="","",DATE(INDEX(OFFSET(Arb!$C$2,,,Arb!$AJ$5,),B163),INDEX(OFFSET(Arb!$B$2,,,Arb!$AJ$5,),B163),INDEX(OFFSET(Arb!$A$2,,,Arb!$AJ$5,),B163))+ROW()*0.001)</f>
        <v>43818.163</v>
      </c>
      <c r="K163" s="11">
        <v>162</v>
      </c>
      <c r="L163" s="11">
        <v>2270</v>
      </c>
      <c r="M163" s="433">
        <f ca="1">IF(L163="",64,INDEX(OFFSET(Arb!$I$2,,,Arb!$AJ$5,),L163))</f>
        <v>63</v>
      </c>
      <c r="N163" s="34">
        <f ca="1">IF(L163="",60,INDEX(OFFSET(Arb!$H$2,,,Arb!$AJ$5,),L163))</f>
        <v>24.32</v>
      </c>
      <c r="O163" s="33">
        <f t="shared" ca="1" si="21"/>
        <v>2.5904605263157894</v>
      </c>
      <c r="P163" s="33">
        <f ca="1">IF(L163="","",INDEX(OFFSET(Arb!$X$2,,,Arb!$AJ$5,),L163)/N163)</f>
        <v>2.9605263157894735</v>
      </c>
      <c r="Q163" s="33">
        <f ca="1">IF(L163="","",(INDEX(OFFSET(Arb!$U$2,,,Arb!$AJ$5,),L163)+INDEX(OFFSET(Arb!$V$2,,,Arb!$AJ$5,),L163))/N163)</f>
        <v>3.2894736842105261</v>
      </c>
      <c r="R163" s="33">
        <f t="shared" ca="1" si="22"/>
        <v>3.6041057102181044</v>
      </c>
      <c r="S163" s="21">
        <f t="shared" ca="1" si="23"/>
        <v>42.654131804224171</v>
      </c>
      <c r="T163" s="74">
        <f ca="1">IF(L163="","",DATE(INDEX(OFFSET(Arb!$C$2,,,Arb!$AJ$5,),L163),INDEX(OFFSET(Arb!$B$2,,,Arb!$AJ$5,),L163),INDEX(OFFSET(Arb!$A$2,,,Arb!$AJ$5,),L163))+ROW()*0.001)</f>
        <v>43934.163</v>
      </c>
      <c r="U163" s="11">
        <v>162</v>
      </c>
      <c r="V163" s="11">
        <v>3122</v>
      </c>
      <c r="W163" s="433">
        <f ca="1">IF(V163="",164,INDEX(OFFSET(Arb!$I$2,,,Arb!$AJ$5,),V163))</f>
        <v>163</v>
      </c>
      <c r="X163" s="34">
        <f ca="1">IF(V163="",240,INDEX(OFFSET(Arb!$H$2,,,Arb!$AJ$5,),V163))</f>
        <v>66.33</v>
      </c>
      <c r="Y163" s="33">
        <f t="shared" ca="1" si="24"/>
        <v>2.4574099200964872</v>
      </c>
      <c r="Z163" s="33">
        <f ca="1">IF(V163="","",INDEX(OFFSET(Arb!$X$2,,,Arb!$AJ$5,),V163)/X163)</f>
        <v>3.1056837026986281</v>
      </c>
      <c r="AA163" s="33">
        <f ca="1">IF(V163="","",(INDEX(OFFSET(Arb!$U$2,,,Arb!$AJ$5,),V163)+INDEX(OFFSET(Arb!$V$2,,,Arb!$AJ$5,),V163))/X163)</f>
        <v>3.5579677370722149</v>
      </c>
      <c r="AB163" s="33">
        <f t="shared" ca="1" si="25"/>
        <v>7.6686583722506301</v>
      </c>
      <c r="AC163" s="21">
        <f t="shared" ca="1" si="26"/>
        <v>56.72452453666078</v>
      </c>
      <c r="AD163" s="74">
        <f ca="1">IF(V163="","",DATE(INDEX(OFFSET(Arb!$C$2,,,Arb!$AJ$5,),V163),INDEX(OFFSET(Arb!$B$2,,,Arb!$AJ$5,),V163),INDEX(OFFSET(Arb!$A$2,,,Arb!$AJ$5,),V163))+ROW()*0.001)</f>
        <v>44013.163</v>
      </c>
    </row>
    <row r="164" spans="1:30" x14ac:dyDescent="0.25">
      <c r="A164" s="11">
        <v>163</v>
      </c>
      <c r="B164" s="11">
        <v>850</v>
      </c>
      <c r="C164" s="433">
        <f ca="1">IF(B164="",16,INDEX(OFFSET(Arb!$I$2,,,Arb!$AJ$5,),B164))</f>
        <v>31</v>
      </c>
      <c r="D164" s="34">
        <f ca="1">IF(B164="",10,INDEX(OFFSET(Arb!$H$2,,,Arb!$AJ$5,),B164))</f>
        <v>8.73</v>
      </c>
      <c r="E164" s="33">
        <f t="shared" ca="1" si="18"/>
        <v>3.5509736540664374</v>
      </c>
      <c r="F164" s="33">
        <f ca="1">IF(B164="","",INDEX(OFFSET(Arb!$X$2,,,Arb!$AJ$5,),B164)/D164)</f>
        <v>4.1237113402061851</v>
      </c>
      <c r="G164" s="33">
        <f ca="1">IF(B164="","",(INDEX(OFFSET(Arb!$U$2,,,Arb!$AJ$5,),B164)+INDEX(OFFSET(Arb!$V$2,,,Arb!$AJ$5,),B164))/D164)</f>
        <v>4.4673539518900345</v>
      </c>
      <c r="H164" s="33">
        <f t="shared" ca="1" si="19"/>
        <v>1.2834014347497829</v>
      </c>
      <c r="I164" s="21">
        <f t="shared" ca="1" si="20"/>
        <v>36.854407918923357</v>
      </c>
      <c r="J164" s="74">
        <f ca="1">IF(B164="","",DATE(INDEX(OFFSET(Arb!$C$2,,,Arb!$AJ$5,),B164),INDEX(OFFSET(Arb!$B$2,,,Arb!$AJ$5,),B164),INDEX(OFFSET(Arb!$A$2,,,Arb!$AJ$5,),B164))+ROW()*0.001)</f>
        <v>43815.163999999997</v>
      </c>
      <c r="K164" s="11">
        <v>163</v>
      </c>
      <c r="L164" s="11">
        <v>1894</v>
      </c>
      <c r="M164" s="433">
        <f ca="1">IF(L164="",64,INDEX(OFFSET(Arb!$I$2,,,Arb!$AJ$5,),L164))</f>
        <v>65</v>
      </c>
      <c r="N164" s="34">
        <f ca="1">IF(L164="",60,INDEX(OFFSET(Arb!$H$2,,,Arb!$AJ$5,),L164))</f>
        <v>25.13</v>
      </c>
      <c r="O164" s="33">
        <f t="shared" ca="1" si="21"/>
        <v>2.5865499403103862</v>
      </c>
      <c r="P164" s="33">
        <f ca="1">IF(L164="","",INDEX(OFFSET(Arb!$X$2,,,Arb!$AJ$5,),L164)/N164)</f>
        <v>2.8651014723438122</v>
      </c>
      <c r="Q164" s="33">
        <f ca="1">IF(L164="","",(INDEX(OFFSET(Arb!$U$2,,,Arb!$AJ$5,),L164)+INDEX(OFFSET(Arb!$V$2,,,Arb!$AJ$5,),L164))/N164)</f>
        <v>2.9446876243533628</v>
      </c>
      <c r="R164" s="33">
        <f t="shared" ca="1" si="22"/>
        <v>3.6932939445041595</v>
      </c>
      <c r="S164" s="21">
        <f t="shared" ca="1" si="23"/>
        <v>41.624090123874204</v>
      </c>
      <c r="T164" s="74">
        <f ca="1">IF(L164="","",DATE(INDEX(OFFSET(Arb!$C$2,,,Arb!$AJ$5,),L164),INDEX(OFFSET(Arb!$B$2,,,Arb!$AJ$5,),L164),INDEX(OFFSET(Arb!$A$2,,,Arb!$AJ$5,),L164))+ROW()*0.001)</f>
        <v>43764.163999999997</v>
      </c>
      <c r="U164" s="11">
        <v>163</v>
      </c>
      <c r="V164" s="11">
        <v>3270</v>
      </c>
      <c r="W164" s="433">
        <f ca="1">IF(V164="",164,INDEX(OFFSET(Arb!$I$2,,,Arb!$AJ$5,),V164))</f>
        <v>180</v>
      </c>
      <c r="X164" s="34">
        <f ca="1">IF(V164="",240,INDEX(OFFSET(Arb!$H$2,,,Arb!$AJ$5,),V164))</f>
        <v>73.25</v>
      </c>
      <c r="Y164" s="33">
        <f t="shared" ca="1" si="24"/>
        <v>2.4573378839590445</v>
      </c>
      <c r="Z164" s="33">
        <f ca="1">IF(V164="","",INDEX(OFFSET(Arb!$X$2,,,Arb!$AJ$5,),V164)/X164)</f>
        <v>2.9215017064846416</v>
      </c>
      <c r="AA164" s="33">
        <f ca="1">IF(V164="","",(INDEX(OFFSET(Arb!$U$2,,,Arb!$AJ$5,),V164)+INDEX(OFFSET(Arb!$V$2,,,Arb!$AJ$5,),V164))/X164)</f>
        <v>3.2354948805460753</v>
      </c>
      <c r="AB164" s="33">
        <f t="shared" ca="1" si="25"/>
        <v>8.2205422211405814</v>
      </c>
      <c r="AC164" s="21">
        <f t="shared" ca="1" si="26"/>
        <v>52.916339129226515</v>
      </c>
      <c r="AD164" s="74">
        <f ca="1">IF(V164="","",DATE(INDEX(OFFSET(Arb!$C$2,,,Arb!$AJ$5,),V164),INDEX(OFFSET(Arb!$B$2,,,Arb!$AJ$5,),V164),INDEX(OFFSET(Arb!$A$2,,,Arb!$AJ$5,),V164))+ROW()*0.001)</f>
        <v>44074.163999999997</v>
      </c>
    </row>
    <row r="165" spans="1:30" x14ac:dyDescent="0.25">
      <c r="A165" s="11">
        <v>164</v>
      </c>
      <c r="B165" s="11">
        <v>1868</v>
      </c>
      <c r="C165" s="433">
        <f ca="1">IF(B165="",16,INDEX(OFFSET(Arb!$I$2,,,Arb!$AJ$5,),B165))</f>
        <v>23</v>
      </c>
      <c r="D165" s="34">
        <f ca="1">IF(B165="",10,INDEX(OFFSET(Arb!$H$2,,,Arb!$AJ$5,),B165))</f>
        <v>6.48</v>
      </c>
      <c r="E165" s="33">
        <f t="shared" ca="1" si="18"/>
        <v>3.5493827160493825</v>
      </c>
      <c r="F165" s="33">
        <f ca="1">IF(B165="","",INDEX(OFFSET(Arb!$X$2,,,Arb!$AJ$5,),B165)/D165)</f>
        <v>3.7037037037037033</v>
      </c>
      <c r="G165" s="33">
        <f ca="1">IF(B165="","",(INDEX(OFFSET(Arb!$U$2,,,Arb!$AJ$5,),B165)+INDEX(OFFSET(Arb!$V$2,,,Arb!$AJ$5,),B165))/D165)</f>
        <v>4.0123456790123457</v>
      </c>
      <c r="H165" s="33">
        <f t="shared" ca="1" si="19"/>
        <v>1.042196652664273</v>
      </c>
      <c r="I165" s="21">
        <f t="shared" ca="1" si="20"/>
        <v>45.383949256682769</v>
      </c>
      <c r="J165" s="74">
        <f ca="1">IF(B165="","",DATE(INDEX(OFFSET(Arb!$C$2,,,Arb!$AJ$5,),B165),INDEX(OFFSET(Arb!$B$2,,,Arb!$AJ$5,),B165),INDEX(OFFSET(Arb!$A$2,,,Arb!$AJ$5,),B165))+ROW()*0.001)</f>
        <v>44168.165000000001</v>
      </c>
      <c r="K165" s="11">
        <v>164</v>
      </c>
      <c r="L165" s="11">
        <v>2351</v>
      </c>
      <c r="M165" s="433">
        <f ca="1">IF(L165="",64,INDEX(OFFSET(Arb!$I$2,,,Arb!$AJ$5,),L165))</f>
        <v>57</v>
      </c>
      <c r="N165" s="34">
        <f ca="1">IF(L165="",60,INDEX(OFFSET(Arb!$H$2,,,Arb!$AJ$5,),L165))</f>
        <v>22.06</v>
      </c>
      <c r="O165" s="33">
        <f t="shared" ca="1" si="21"/>
        <v>2.5838621940163193</v>
      </c>
      <c r="P165" s="33">
        <f ca="1">IF(L165="","",INDEX(OFFSET(Arb!$X$2,,,Arb!$AJ$5,),L165)/N165)</f>
        <v>3.2638259292837719</v>
      </c>
      <c r="Q165" s="33">
        <f ca="1">IF(L165="","",(INDEX(OFFSET(Arb!$U$2,,,Arb!$AJ$5,),L165)+INDEX(OFFSET(Arb!$V$2,,,Arb!$AJ$5,),L165))/N165)</f>
        <v>3.6264732547597465</v>
      </c>
      <c r="R165" s="33">
        <f t="shared" ca="1" si="22"/>
        <v>3.3748502591081353</v>
      </c>
      <c r="S165" s="21">
        <f t="shared" ca="1" si="23"/>
        <v>45.551650650309412</v>
      </c>
      <c r="T165" s="74">
        <f ca="1">IF(L165="","",DATE(INDEX(OFFSET(Arb!$C$2,,,Arb!$AJ$5,),L165),INDEX(OFFSET(Arb!$B$2,,,Arb!$AJ$5,),L165),INDEX(OFFSET(Arb!$A$2,,,Arb!$AJ$5,),L165))+ROW()*0.001)</f>
        <v>44106.165000000001</v>
      </c>
      <c r="U165" s="11">
        <v>164</v>
      </c>
      <c r="V165" s="11">
        <v>3402</v>
      </c>
      <c r="W165" s="433">
        <f ca="1">IF(V165="",164,INDEX(OFFSET(Arb!$I$2,,,Arb!$AJ$5,),V165))</f>
        <v>201</v>
      </c>
      <c r="X165" s="34">
        <f ca="1">IF(V165="",240,INDEX(OFFSET(Arb!$H$2,,,Arb!$AJ$5,),V165))</f>
        <v>81.84</v>
      </c>
      <c r="Y165" s="33">
        <f t="shared" ca="1" si="24"/>
        <v>2.4560117302052786</v>
      </c>
      <c r="Z165" s="33">
        <f ca="1">IF(V165="","",INDEX(OFFSET(Arb!$X$2,,,Arb!$AJ$5,),V165)/X165)</f>
        <v>2.4315738025415445</v>
      </c>
      <c r="AA165" s="33">
        <f ca="1">IF(V165="","",(INDEX(OFFSET(Arb!$U$2,,,Arb!$AJ$5,),V165)+INDEX(OFFSET(Arb!$V$2,,,Arb!$AJ$5,),V165))/X165)</f>
        <v>2.82258064516129</v>
      </c>
      <c r="AB165" s="33">
        <f t="shared" ca="1" si="25"/>
        <v>8.8888483680656289</v>
      </c>
      <c r="AC165" s="21">
        <f t="shared" ca="1" si="26"/>
        <v>48.937835587655989</v>
      </c>
      <c r="AD165" s="74">
        <f ca="1">IF(V165="","",DATE(INDEX(OFFSET(Arb!$C$2,,,Arb!$AJ$5,),V165),INDEX(OFFSET(Arb!$B$2,,,Arb!$AJ$5,),V165),INDEX(OFFSET(Arb!$A$2,,,Arb!$AJ$5,),V165))+ROW()*0.001)</f>
        <v>44146.165000000001</v>
      </c>
    </row>
    <row r="166" spans="1:30" x14ac:dyDescent="0.25">
      <c r="A166" s="11">
        <v>165</v>
      </c>
      <c r="B166" s="11">
        <v>1639</v>
      </c>
      <c r="C166" s="433">
        <f ca="1">IF(B166="",16,INDEX(OFFSET(Arb!$I$2,,,Arb!$AJ$5,),B166))</f>
        <v>17</v>
      </c>
      <c r="D166" s="34">
        <f ca="1">IF(B166="",10,INDEX(OFFSET(Arb!$H$2,,,Arb!$AJ$5,),B166))</f>
        <v>4.79</v>
      </c>
      <c r="E166" s="33">
        <f t="shared" ca="1" si="18"/>
        <v>3.5490605427974948</v>
      </c>
      <c r="F166" s="33">
        <f ca="1">IF(B166="","",INDEX(OFFSET(Arb!$X$2,,,Arb!$AJ$5,),B166)/D166)</f>
        <v>4.1753653444676413</v>
      </c>
      <c r="G166" s="33">
        <f ca="1">IF(B166="","",(INDEX(OFFSET(Arb!$U$2,,,Arb!$AJ$5,),B166)+INDEX(OFFSET(Arb!$V$2,,,Arb!$AJ$5,),B166))/D166)</f>
        <v>4.5929018789144047</v>
      </c>
      <c r="H166" s="33">
        <f t="shared" ca="1" si="19"/>
        <v>0.84357063120157938</v>
      </c>
      <c r="I166" s="21">
        <f t="shared" ca="1" si="20"/>
        <v>56.069993727291632</v>
      </c>
      <c r="J166" s="74">
        <f ca="1">IF(B166="","",DATE(INDEX(OFFSET(Arb!$C$2,,,Arb!$AJ$5,),B166),INDEX(OFFSET(Arb!$B$2,,,Arb!$AJ$5,),B166),INDEX(OFFSET(Arb!$A$2,,,Arb!$AJ$5,),B166))+ROW()*0.001)</f>
        <v>44093.165999999997</v>
      </c>
      <c r="K166" s="11">
        <v>165</v>
      </c>
      <c r="L166" s="11">
        <v>2328</v>
      </c>
      <c r="M166" s="433">
        <f ca="1">IF(L166="",64,INDEX(OFFSET(Arb!$I$2,,,Arb!$AJ$5,),L166))</f>
        <v>70</v>
      </c>
      <c r="N166" s="34">
        <f ca="1">IF(L166="",60,INDEX(OFFSET(Arb!$H$2,,,Arb!$AJ$5,),L166))</f>
        <v>27.1</v>
      </c>
      <c r="O166" s="33">
        <f t="shared" ca="1" si="21"/>
        <v>2.5830258302583022</v>
      </c>
      <c r="P166" s="33">
        <f ca="1">IF(L166="","",INDEX(OFFSET(Arb!$X$2,,,Arb!$AJ$5,),L166)/N166)</f>
        <v>3.4317343173431731</v>
      </c>
      <c r="Q166" s="33">
        <f ca="1">IF(L166="","",(INDEX(OFFSET(Arb!$U$2,,,Arb!$AJ$5,),L166)+INDEX(OFFSET(Arb!$V$2,,,Arb!$AJ$5,),L166))/N166)</f>
        <v>4.1328413284132841</v>
      </c>
      <c r="R166" s="33">
        <f t="shared" ca="1" si="22"/>
        <v>3.898968751027466</v>
      </c>
      <c r="S166" s="21">
        <f t="shared" ca="1" si="23"/>
        <v>39.428374479659183</v>
      </c>
      <c r="T166" s="74">
        <f ca="1">IF(L166="","",DATE(INDEX(OFFSET(Arb!$C$2,,,Arb!$AJ$5,),L166),INDEX(OFFSET(Arb!$B$2,,,Arb!$AJ$5,),L166),INDEX(OFFSET(Arb!$A$2,,,Arb!$AJ$5,),L166))+ROW()*0.001)</f>
        <v>44090.165999999997</v>
      </c>
      <c r="U166" s="11">
        <v>165</v>
      </c>
      <c r="V166" s="11">
        <v>2418</v>
      </c>
      <c r="W166" s="433">
        <f ca="1">IF(V166="",164,INDEX(OFFSET(Arb!$I$2,,,Arb!$AJ$5,),V166))</f>
        <v>214</v>
      </c>
      <c r="X166" s="34">
        <f ca="1">IF(V166="",240,INDEX(OFFSET(Arb!$H$2,,,Arb!$AJ$5,),V166))</f>
        <v>87.15</v>
      </c>
      <c r="Y166" s="33">
        <f t="shared" ca="1" si="24"/>
        <v>2.4555364314400459</v>
      </c>
      <c r="Z166" s="33">
        <f ca="1">IF(V166="","",INDEX(OFFSET(Arb!$X$2,,,Arb!$AJ$5,),V166)/X166)</f>
        <v>2.822719449225473</v>
      </c>
      <c r="AA166" s="33">
        <f ca="1">IF(V166="","",(INDEX(OFFSET(Arb!$U$2,,,Arb!$AJ$5,),V166)+INDEX(OFFSET(Arb!$V$2,,,Arb!$AJ$5,),V166))/X166)</f>
        <v>3.0981067125645438</v>
      </c>
      <c r="AB166" s="33">
        <f t="shared" ca="1" si="25"/>
        <v>9.2905364618440398</v>
      </c>
      <c r="AC166" s="21">
        <f t="shared" ca="1" si="26"/>
        <v>46.82194637376822</v>
      </c>
      <c r="AD166" s="74">
        <f ca="1">IF(V166="","",DATE(INDEX(OFFSET(Arb!$C$2,,,Arb!$AJ$5,),V166),INDEX(OFFSET(Arb!$B$2,,,Arb!$AJ$5,),V166),INDEX(OFFSET(Arb!$A$2,,,Arb!$AJ$5,),V166))+ROW()*0.001)</f>
        <v>43766.165999999997</v>
      </c>
    </row>
    <row r="167" spans="1:30" x14ac:dyDescent="0.25">
      <c r="A167" s="11">
        <v>166</v>
      </c>
      <c r="B167" s="11">
        <v>1389</v>
      </c>
      <c r="C167" s="433">
        <f ca="1">IF(B167="",16,INDEX(OFFSET(Arb!$I$2,,,Arb!$AJ$5,),B167))</f>
        <v>22</v>
      </c>
      <c r="D167" s="34">
        <f ca="1">IF(B167="",10,INDEX(OFFSET(Arb!$H$2,,,Arb!$AJ$5,),B167))</f>
        <v>6.2</v>
      </c>
      <c r="E167" s="33">
        <f t="shared" ca="1" si="18"/>
        <v>3.5483870967741935</v>
      </c>
      <c r="F167" s="33">
        <f ca="1">IF(B167="","",INDEX(OFFSET(Arb!$X$2,,,Arb!$AJ$5,),B167)/D167)</f>
        <v>3.8709677419354835</v>
      </c>
      <c r="G167" s="33">
        <f ca="1">IF(B167="","",(INDEX(OFFSET(Arb!$U$2,,,Arb!$AJ$5,),B167)+INDEX(OFFSET(Arb!$V$2,,,Arb!$AJ$5,),B167))/D167)</f>
        <v>4.67741935483871</v>
      </c>
      <c r="H167" s="33">
        <f t="shared" ca="1" si="19"/>
        <v>1.0107486997616448</v>
      </c>
      <c r="I167" s="21">
        <f t="shared" ca="1" si="20"/>
        <v>46.796003805054674</v>
      </c>
      <c r="J167" s="74">
        <f ca="1">IF(B167="","",DATE(INDEX(OFFSET(Arb!$C$2,,,Arb!$AJ$5,),B167),INDEX(OFFSET(Arb!$B$2,,,Arb!$AJ$5,),B167),INDEX(OFFSET(Arb!$A$2,,,Arb!$AJ$5,),B167))+ROW()*0.001)</f>
        <v>43940.167000000001</v>
      </c>
      <c r="K167" s="11">
        <v>166</v>
      </c>
      <c r="L167" s="11">
        <v>2283</v>
      </c>
      <c r="M167" s="433">
        <f ca="1">IF(L167="",64,INDEX(OFFSET(Arb!$I$2,,,Arb!$AJ$5,),L167))</f>
        <v>57</v>
      </c>
      <c r="N167" s="34">
        <f ca="1">IF(L167="",60,INDEX(OFFSET(Arb!$H$2,,,Arb!$AJ$5,),L167))</f>
        <v>22.1</v>
      </c>
      <c r="O167" s="33">
        <f t="shared" ca="1" si="21"/>
        <v>2.5791855203619907</v>
      </c>
      <c r="P167" s="33">
        <f ca="1">IF(L167="","",INDEX(OFFSET(Arb!$X$2,,,Arb!$AJ$5,),L167)/N167)</f>
        <v>3.5294117647058822</v>
      </c>
      <c r="Q167" s="33">
        <f ca="1">IF(L167="","",(INDEX(OFFSET(Arb!$U$2,,,Arb!$AJ$5,),L167)+INDEX(OFFSET(Arb!$V$2,,,Arb!$AJ$5,),L167))/N167)</f>
        <v>3.9819004524886874</v>
      </c>
      <c r="R167" s="33">
        <f t="shared" ca="1" si="22"/>
        <v>3.385259843559477</v>
      </c>
      <c r="S167" s="21">
        <f t="shared" ca="1" si="23"/>
        <v>45.411580529770653</v>
      </c>
      <c r="T167" s="74">
        <f ca="1">IF(L167="","",DATE(INDEX(OFFSET(Arb!$C$2,,,Arb!$AJ$5,),L167),INDEX(OFFSET(Arb!$B$2,,,Arb!$AJ$5,),L167),INDEX(OFFSET(Arb!$A$2,,,Arb!$AJ$5,),L167))+ROW()*0.001)</f>
        <v>43935.167000000001</v>
      </c>
      <c r="U167" s="11">
        <v>166</v>
      </c>
      <c r="V167" s="11">
        <v>3094</v>
      </c>
      <c r="W167" s="433">
        <f ca="1">IF(V167="",164,INDEX(OFFSET(Arb!$I$2,,,Arb!$AJ$5,),V167))</f>
        <v>195</v>
      </c>
      <c r="X167" s="34">
        <f ca="1">IF(V167="",240,INDEX(OFFSET(Arb!$H$2,,,Arb!$AJ$5,),V167))</f>
        <v>79.430000000000007</v>
      </c>
      <c r="Y167" s="33">
        <f t="shared" ca="1" si="24"/>
        <v>2.4549918166939442</v>
      </c>
      <c r="Z167" s="33">
        <f ca="1">IF(V167="","",INDEX(OFFSET(Arb!$X$2,,,Arb!$AJ$5,),V167)/X167)</f>
        <v>2.8452725670401611</v>
      </c>
      <c r="AA167" s="33">
        <f ca="1">IF(V167="","",(INDEX(OFFSET(Arb!$U$2,,,Arb!$AJ$5,),V167)+INDEX(OFFSET(Arb!$V$2,,,Arb!$AJ$5,),V167))/X167)</f>
        <v>3.0844768978975194</v>
      </c>
      <c r="AB167" s="33">
        <f t="shared" ca="1" si="25"/>
        <v>8.708415557072966</v>
      </c>
      <c r="AC167" s="21">
        <f t="shared" ca="1" si="26"/>
        <v>49.951796299694564</v>
      </c>
      <c r="AD167" s="74">
        <f ca="1">IF(V167="","",DATE(INDEX(OFFSET(Arb!$C$2,,,Arb!$AJ$5,),V167),INDEX(OFFSET(Arb!$B$2,,,Arb!$AJ$5,),V167),INDEX(OFFSET(Arb!$A$2,,,Arb!$AJ$5,),V167))+ROW()*0.001)</f>
        <v>44004.167000000001</v>
      </c>
    </row>
    <row r="168" spans="1:30" x14ac:dyDescent="0.25">
      <c r="A168" s="11">
        <v>167</v>
      </c>
      <c r="B168" s="11">
        <v>1835</v>
      </c>
      <c r="C168" s="433">
        <f ca="1">IF(B168="",16,INDEX(OFFSET(Arb!$I$2,,,Arb!$AJ$5,),B168))</f>
        <v>16</v>
      </c>
      <c r="D168" s="34">
        <f ca="1">IF(B168="",10,INDEX(OFFSET(Arb!$H$2,,,Arb!$AJ$5,),B168))</f>
        <v>4.51</v>
      </c>
      <c r="E168" s="33">
        <f t="shared" ca="1" si="18"/>
        <v>3.5476718403547673</v>
      </c>
      <c r="F168" s="33">
        <f ca="1">IF(B168="","",INDEX(OFFSET(Arb!$X$2,,,Arb!$AJ$5,),B168)/D168)</f>
        <v>3.9911308203991132</v>
      </c>
      <c r="G168" s="33">
        <f ca="1">IF(B168="","",(INDEX(OFFSET(Arb!$U$2,,,Arb!$AJ$5,),B168)+INDEX(OFFSET(Arb!$V$2,,,Arb!$AJ$5,),B168))/D168)</f>
        <v>4.6563192904656319</v>
      </c>
      <c r="H168" s="33">
        <f t="shared" ca="1" si="19"/>
        <v>0.80905889787673368</v>
      </c>
      <c r="I168" s="21">
        <f t="shared" ca="1" si="20"/>
        <v>58.46175120764368</v>
      </c>
      <c r="J168" s="74">
        <f ca="1">IF(B168="","",DATE(INDEX(OFFSET(Arb!$C$2,,,Arb!$AJ$5,),B168),INDEX(OFFSET(Arb!$B$2,,,Arb!$AJ$5,),B168),INDEX(OFFSET(Arb!$A$2,,,Arb!$AJ$5,),B168))+ROW()*0.001)</f>
        <v>44168.167999999998</v>
      </c>
      <c r="K168" s="11">
        <v>167</v>
      </c>
      <c r="L168" s="11">
        <v>2312</v>
      </c>
      <c r="M168" s="433">
        <f ca="1">IF(L168="",64,INDEX(OFFSET(Arb!$I$2,,,Arb!$AJ$5,),L168))</f>
        <v>58</v>
      </c>
      <c r="N168" s="34">
        <f ca="1">IF(L168="",60,INDEX(OFFSET(Arb!$H$2,,,Arb!$AJ$5,),L168))</f>
        <v>22.5</v>
      </c>
      <c r="O168" s="33">
        <f t="shared" ca="1" si="21"/>
        <v>2.5777777777777779</v>
      </c>
      <c r="P168" s="33">
        <f ca="1">IF(L168="","",INDEX(OFFSET(Arb!$X$2,,,Arb!$AJ$5,),L168)/N168)</f>
        <v>2.9777777777777779</v>
      </c>
      <c r="Q168" s="33">
        <f ca="1">IF(L168="","",(INDEX(OFFSET(Arb!$U$2,,,Arb!$AJ$5,),L168)+INDEX(OFFSET(Arb!$V$2,,,Arb!$AJ$5,),L168))/N168)</f>
        <v>3.3777777777777778</v>
      </c>
      <c r="R168" s="33">
        <f t="shared" ca="1" si="22"/>
        <v>3.4299065472645696</v>
      </c>
      <c r="S168" s="21">
        <f t="shared" ca="1" si="23"/>
        <v>44.820463147196605</v>
      </c>
      <c r="T168" s="74">
        <f ca="1">IF(L168="","",DATE(INDEX(OFFSET(Arb!$C$2,,,Arb!$AJ$5,),L168),INDEX(OFFSET(Arb!$B$2,,,Arb!$AJ$5,),L168),INDEX(OFFSET(Arb!$A$2,,,Arb!$AJ$5,),L168))+ROW()*0.001)</f>
        <v>43952.167999999998</v>
      </c>
      <c r="U168" s="11">
        <v>167</v>
      </c>
      <c r="V168" s="11">
        <v>2957</v>
      </c>
      <c r="W168" s="433">
        <f ca="1">IF(V168="",164,INDEX(OFFSET(Arb!$I$2,,,Arb!$AJ$5,),V168))</f>
        <v>168</v>
      </c>
      <c r="X168" s="34">
        <f ca="1">IF(V168="",240,INDEX(OFFSET(Arb!$H$2,,,Arb!$AJ$5,),V168))</f>
        <v>68.44</v>
      </c>
      <c r="Y168" s="33">
        <f t="shared" ca="1" si="24"/>
        <v>2.4547048509643483</v>
      </c>
      <c r="Z168" s="33">
        <f ca="1">IF(V168="","",INDEX(OFFSET(Arb!$X$2,,,Arb!$AJ$5,),V168)/X168)</f>
        <v>2.9368790181180597</v>
      </c>
      <c r="AA168" s="33">
        <f ca="1">IF(V168="","",(INDEX(OFFSET(Arb!$U$2,,,Arb!$AJ$5,),V168)+INDEX(OFFSET(Arb!$V$2,,,Arb!$AJ$5,),V168))/X168)</f>
        <v>3.1560490940970194</v>
      </c>
      <c r="AB168" s="33">
        <f t="shared" ca="1" si="25"/>
        <v>7.8472541746627673</v>
      </c>
      <c r="AC168" s="21">
        <f t="shared" ca="1" si="26"/>
        <v>55.433530037109314</v>
      </c>
      <c r="AD168" s="74">
        <f ca="1">IF(V168="","",DATE(INDEX(OFFSET(Arb!$C$2,,,Arb!$AJ$5,),V168),INDEX(OFFSET(Arb!$B$2,,,Arb!$AJ$5,),V168),INDEX(OFFSET(Arb!$A$2,,,Arb!$AJ$5,),V168))+ROW()*0.001)</f>
        <v>43950.167999999998</v>
      </c>
    </row>
    <row r="169" spans="1:30" x14ac:dyDescent="0.25">
      <c r="A169" s="11">
        <v>168</v>
      </c>
      <c r="B169" s="11">
        <v>543</v>
      </c>
      <c r="C169" s="433">
        <f ca="1">IF(B169="",16,INDEX(OFFSET(Arb!$I$2,,,Arb!$AJ$5,),B169))</f>
        <v>16</v>
      </c>
      <c r="D169" s="34">
        <f ca="1">IF(B169="",10,INDEX(OFFSET(Arb!$H$2,,,Arb!$AJ$5,),B169))</f>
        <v>4.51</v>
      </c>
      <c r="E169" s="33">
        <f t="shared" ca="1" si="18"/>
        <v>3.5476718403547673</v>
      </c>
      <c r="F169" s="33">
        <f ca="1">IF(B169="","",INDEX(OFFSET(Arb!$X$2,,,Arb!$AJ$5,),B169)/D169)</f>
        <v>3.9911308203991132</v>
      </c>
      <c r="G169" s="33">
        <f ca="1">IF(B169="","",(INDEX(OFFSET(Arb!$U$2,,,Arb!$AJ$5,),B169)+INDEX(OFFSET(Arb!$V$2,,,Arb!$AJ$5,),B169))/D169)</f>
        <v>4.8780487804878048</v>
      </c>
      <c r="H169" s="33">
        <f t="shared" ca="1" si="19"/>
        <v>0.80905889787673368</v>
      </c>
      <c r="I169" s="21">
        <f t="shared" ca="1" si="20"/>
        <v>58.46175120764368</v>
      </c>
      <c r="J169" s="74">
        <f ca="1">IF(B169="","",DATE(INDEX(OFFSET(Arb!$C$2,,,Arb!$AJ$5,),B169),INDEX(OFFSET(Arb!$B$2,,,Arb!$AJ$5,),B169),INDEX(OFFSET(Arb!$A$2,,,Arb!$AJ$5,),B169))+ROW()*0.001)</f>
        <v>43797.169000000002</v>
      </c>
      <c r="K169" s="11">
        <v>168</v>
      </c>
      <c r="L169" s="11">
        <v>2233</v>
      </c>
      <c r="M169" s="433">
        <f ca="1">IF(L169="",64,INDEX(OFFSET(Arb!$I$2,,,Arb!$AJ$5,),L169))</f>
        <v>55</v>
      </c>
      <c r="N169" s="34">
        <f ca="1">IF(L169="",60,INDEX(OFFSET(Arb!$H$2,,,Arb!$AJ$5,),L169))</f>
        <v>21.34</v>
      </c>
      <c r="O169" s="33">
        <f t="shared" ca="1" si="21"/>
        <v>2.5773195876288661</v>
      </c>
      <c r="P169" s="33">
        <f ca="1">IF(L169="","",INDEX(OFFSET(Arb!$X$2,,,Arb!$AJ$5,),L169)/N169)</f>
        <v>3.4208059981255858</v>
      </c>
      <c r="Q169" s="33">
        <f ca="1">IF(L169="","",(INDEX(OFFSET(Arb!$U$2,,,Arb!$AJ$5,),L169)+INDEX(OFFSET(Arb!$V$2,,,Arb!$AJ$5,),L169))/N169)</f>
        <v>3.9831302717900656</v>
      </c>
      <c r="R169" s="33">
        <f t="shared" ca="1" si="22"/>
        <v>3.3057333268237175</v>
      </c>
      <c r="S169" s="21">
        <f t="shared" ca="1" si="23"/>
        <v>46.50405365508113</v>
      </c>
      <c r="T169" s="74">
        <f ca="1">IF(L169="","",DATE(INDEX(OFFSET(Arb!$C$2,,,Arb!$AJ$5,),L169),INDEX(OFFSET(Arb!$B$2,,,Arb!$AJ$5,),L169),INDEX(OFFSET(Arb!$A$2,,,Arb!$AJ$5,),L169))+ROW()*0.001)</f>
        <v>43885.169000000002</v>
      </c>
      <c r="U169" s="11">
        <v>168</v>
      </c>
      <c r="V169" s="11">
        <v>2875</v>
      </c>
      <c r="W169" s="433">
        <f ca="1">IF(V169="",164,INDEX(OFFSET(Arb!$I$2,,,Arb!$AJ$5,),V169))</f>
        <v>176</v>
      </c>
      <c r="X169" s="34">
        <f ca="1">IF(V169="",240,INDEX(OFFSET(Arb!$H$2,,,Arb!$AJ$5,),V169))</f>
        <v>71.72</v>
      </c>
      <c r="Y169" s="33">
        <f t="shared" ca="1" si="24"/>
        <v>2.4539877300613497</v>
      </c>
      <c r="Z169" s="33">
        <f ca="1">IF(V169="","",INDEX(OFFSET(Arb!$X$2,,,Arb!$AJ$5,),V169)/X169)</f>
        <v>2.830451756832125</v>
      </c>
      <c r="AA169" s="33">
        <f ca="1">IF(V169="","",(INDEX(OFFSET(Arb!$U$2,,,Arb!$AJ$5,),V169)+INDEX(OFFSET(Arb!$V$2,,,Arb!$AJ$5,),V169))/X169)</f>
        <v>3.0117122141662018</v>
      </c>
      <c r="AB169" s="33">
        <f t="shared" ca="1" si="25"/>
        <v>8.1110263017966773</v>
      </c>
      <c r="AC169" s="21">
        <f t="shared" ca="1" si="26"/>
        <v>53.630821034773703</v>
      </c>
      <c r="AD169" s="74">
        <f ca="1">IF(V169="","",DATE(INDEX(OFFSET(Arb!$C$2,,,Arb!$AJ$5,),V169),INDEX(OFFSET(Arb!$B$2,,,Arb!$AJ$5,),V169),INDEX(OFFSET(Arb!$A$2,,,Arb!$AJ$5,),V169))+ROW()*0.001)</f>
        <v>43916.169000000002</v>
      </c>
    </row>
    <row r="170" spans="1:30" x14ac:dyDescent="0.25">
      <c r="A170" s="11">
        <v>169</v>
      </c>
      <c r="B170" s="11">
        <v>571</v>
      </c>
      <c r="C170" s="433">
        <f ca="1">IF(B170="",16,INDEX(OFFSET(Arb!$I$2,,,Arb!$AJ$5,),B170))</f>
        <v>19</v>
      </c>
      <c r="D170" s="34">
        <f ca="1">IF(B170="",10,INDEX(OFFSET(Arb!$H$2,,,Arb!$AJ$5,),B170))</f>
        <v>5.36</v>
      </c>
      <c r="E170" s="33">
        <f t="shared" ca="1" si="18"/>
        <v>3.544776119402985</v>
      </c>
      <c r="F170" s="33">
        <f ca="1">IF(B170="","",INDEX(OFFSET(Arb!$X$2,,,Arb!$AJ$5,),B170)/D170)</f>
        <v>4.6641791044776113</v>
      </c>
      <c r="G170" s="33">
        <f ca="1">IF(B170="","",(INDEX(OFFSET(Arb!$U$2,,,Arb!$AJ$5,),B170)+INDEX(OFFSET(Arb!$V$2,,,Arb!$AJ$5,),B170))/D170)</f>
        <v>5.2238805970149249</v>
      </c>
      <c r="H170" s="33">
        <f t="shared" ca="1" si="19"/>
        <v>0.91374821489272273</v>
      </c>
      <c r="I170" s="21">
        <f t="shared" ca="1" si="20"/>
        <v>51.763712616995996</v>
      </c>
      <c r="J170" s="74">
        <f ca="1">IF(B170="","",DATE(INDEX(OFFSET(Arb!$C$2,,,Arb!$AJ$5,),B170),INDEX(OFFSET(Arb!$B$2,,,Arb!$AJ$5,),B170),INDEX(OFFSET(Arb!$A$2,,,Arb!$AJ$5,),B170))+ROW()*0.001)</f>
        <v>43797.17</v>
      </c>
      <c r="K170" s="11">
        <v>169</v>
      </c>
      <c r="L170" s="11">
        <v>2099</v>
      </c>
      <c r="M170" s="433">
        <f ca="1">IF(L170="",64,INDEX(OFFSET(Arb!$I$2,,,Arb!$AJ$5,),L170))</f>
        <v>64</v>
      </c>
      <c r="N170" s="34">
        <f ca="1">IF(L170="",60,INDEX(OFFSET(Arb!$H$2,,,Arb!$AJ$5,),L170))</f>
        <v>24.85</v>
      </c>
      <c r="O170" s="33">
        <f t="shared" ca="1" si="21"/>
        <v>2.5754527162977867</v>
      </c>
      <c r="P170" s="33">
        <f ca="1">IF(L170="","",INDEX(OFFSET(Arb!$X$2,,,Arb!$AJ$5,),L170)/N170)</f>
        <v>3.4607645875251509</v>
      </c>
      <c r="Q170" s="33">
        <f ca="1">IF(L170="","",(INDEX(OFFSET(Arb!$U$2,,,Arb!$AJ$5,),L170)+INDEX(OFFSET(Arb!$V$2,,,Arb!$AJ$5,),L170))/N170)</f>
        <v>3.9436619718309855</v>
      </c>
      <c r="R170" s="33">
        <f t="shared" ca="1" si="22"/>
        <v>3.6802294322694205</v>
      </c>
      <c r="S170" s="21">
        <f t="shared" ca="1" si="23"/>
        <v>41.771852225311427</v>
      </c>
      <c r="T170" s="74">
        <f ca="1">IF(L170="","",DATE(INDEX(OFFSET(Arb!$C$2,,,Arb!$AJ$5,),L170),INDEX(OFFSET(Arb!$B$2,,,Arb!$AJ$5,),L170),INDEX(OFFSET(Arb!$A$2,,,Arb!$AJ$5,),L170))+ROW()*0.001)</f>
        <v>43810.17</v>
      </c>
      <c r="U170" s="11">
        <v>169</v>
      </c>
      <c r="V170" s="11">
        <v>2724</v>
      </c>
      <c r="W170" s="433">
        <f ca="1">IF(V170="",164,INDEX(OFFSET(Arb!$I$2,,,Arb!$AJ$5,),V170))</f>
        <v>203</v>
      </c>
      <c r="X170" s="34">
        <f ca="1">IF(V170="",240,INDEX(OFFSET(Arb!$H$2,,,Arb!$AJ$5,),V170))</f>
        <v>82.74</v>
      </c>
      <c r="Y170" s="33">
        <f t="shared" ca="1" si="24"/>
        <v>2.4534686971235198</v>
      </c>
      <c r="Z170" s="33">
        <f ca="1">IF(V170="","",INDEX(OFFSET(Arb!$X$2,,,Arb!$AJ$5,),V170)/X170)</f>
        <v>2.7556200145032634</v>
      </c>
      <c r="AA170" s="33">
        <f ca="1">IF(V170="","",(INDEX(OFFSET(Arb!$U$2,,,Arb!$AJ$5,),V170)+INDEX(OFFSET(Arb!$V$2,,,Arb!$AJ$5,),V170))/X170)</f>
        <v>3.0456852791878175</v>
      </c>
      <c r="AB170" s="33">
        <f t="shared" ca="1" si="25"/>
        <v>8.9664460604637117</v>
      </c>
      <c r="AC170" s="21">
        <f t="shared" ca="1" si="26"/>
        <v>48.514316270531751</v>
      </c>
      <c r="AD170" s="74">
        <f ca="1">IF(V170="","",DATE(INDEX(OFFSET(Arb!$C$2,,,Arb!$AJ$5,),V170),INDEX(OFFSET(Arb!$B$2,,,Arb!$AJ$5,),V170),INDEX(OFFSET(Arb!$A$2,,,Arb!$AJ$5,),V170))+ROW()*0.001)</f>
        <v>43854.17</v>
      </c>
    </row>
    <row r="171" spans="1:30" x14ac:dyDescent="0.25">
      <c r="A171" s="11">
        <v>170</v>
      </c>
      <c r="B171" s="11">
        <v>483</v>
      </c>
      <c r="C171" s="433">
        <f ca="1">IF(B171="",16,INDEX(OFFSET(Arb!$I$2,,,Arb!$AJ$5,),B171))</f>
        <v>16</v>
      </c>
      <c r="D171" s="34">
        <f ca="1">IF(B171="",10,INDEX(OFFSET(Arb!$H$2,,,Arb!$AJ$5,),B171))</f>
        <v>4.5199999999999996</v>
      </c>
      <c r="E171" s="33">
        <f t="shared" ca="1" si="18"/>
        <v>3.5398230088495577</v>
      </c>
      <c r="F171" s="33">
        <f ca="1">IF(B171="","",INDEX(OFFSET(Arb!$X$2,,,Arb!$AJ$5,),B171)/D171)</f>
        <v>3.5398230088495577</v>
      </c>
      <c r="G171" s="33">
        <f ca="1">IF(B171="","",(INDEX(OFFSET(Arb!$U$2,,,Arb!$AJ$5,),B171)+INDEX(OFFSET(Arb!$V$2,,,Arb!$AJ$5,),B171))/D171)</f>
        <v>4.4247787610619476</v>
      </c>
      <c r="H171" s="33">
        <f t="shared" ca="1" si="19"/>
        <v>0.81211093174276572</v>
      </c>
      <c r="I171" s="21">
        <f t="shared" ca="1" si="20"/>
        <v>58.242043237243173</v>
      </c>
      <c r="J171" s="74">
        <f ca="1">IF(B171="","",DATE(INDEX(OFFSET(Arb!$C$2,,,Arb!$AJ$5,),B171),INDEX(OFFSET(Arb!$B$2,,,Arb!$AJ$5,),B171),INDEX(OFFSET(Arb!$A$2,,,Arb!$AJ$5,),B171))+ROW()*0.001)</f>
        <v>43786.171000000002</v>
      </c>
      <c r="K171" s="11">
        <v>170</v>
      </c>
      <c r="L171" s="11">
        <v>2382</v>
      </c>
      <c r="M171" s="433">
        <f ca="1">IF(L171="",64,INDEX(OFFSET(Arb!$I$2,,,Arb!$AJ$5,),L171))</f>
        <v>56</v>
      </c>
      <c r="N171" s="34">
        <f ca="1">IF(L171="",60,INDEX(OFFSET(Arb!$H$2,,,Arb!$AJ$5,),L171))</f>
        <v>21.75</v>
      </c>
      <c r="O171" s="33">
        <f t="shared" ca="1" si="21"/>
        <v>2.5747126436781609</v>
      </c>
      <c r="P171" s="33">
        <f ca="1">IF(L171="","",INDEX(OFFSET(Arb!$X$2,,,Arb!$AJ$5,),L171)/N171)</f>
        <v>2.9425287356321839</v>
      </c>
      <c r="Q171" s="33">
        <f ca="1">IF(L171="","",(INDEX(OFFSET(Arb!$U$2,,,Arb!$AJ$5,),L171)+INDEX(OFFSET(Arb!$V$2,,,Arb!$AJ$5,),L171))/N171)</f>
        <v>3.3563218390804597</v>
      </c>
      <c r="R171" s="33">
        <f t="shared" ca="1" si="22"/>
        <v>3.3534568089291299</v>
      </c>
      <c r="S171" s="21">
        <f t="shared" ca="1" si="23"/>
        <v>45.842248389980334</v>
      </c>
      <c r="T171" s="74">
        <f ca="1">IF(L171="","",DATE(INDEX(OFFSET(Arb!$C$2,,,Arb!$AJ$5,),L171),INDEX(OFFSET(Arb!$B$2,,,Arb!$AJ$5,),L171),INDEX(OFFSET(Arb!$A$2,,,Arb!$AJ$5,),L171))+ROW()*0.001)</f>
        <v>44117.171000000002</v>
      </c>
      <c r="U171" s="11">
        <v>170</v>
      </c>
      <c r="V171" s="11">
        <v>3292</v>
      </c>
      <c r="W171" s="433">
        <f ca="1">IF(V171="",164,INDEX(OFFSET(Arb!$I$2,,,Arb!$AJ$5,),V171))</f>
        <v>178</v>
      </c>
      <c r="X171" s="34">
        <f ca="1">IF(V171="",240,INDEX(OFFSET(Arb!$H$2,,,Arb!$AJ$5,),V171))</f>
        <v>72.56</v>
      </c>
      <c r="Y171" s="33">
        <f t="shared" ca="1" si="24"/>
        <v>2.4531422271223815</v>
      </c>
      <c r="Z171" s="33">
        <f ca="1">IF(V171="","",INDEX(OFFSET(Arb!$X$2,,,Arb!$AJ$5,),V171)/X171)</f>
        <v>2.8252480705622931</v>
      </c>
      <c r="AA171" s="33">
        <f ca="1">IF(V171="","",(INDEX(OFFSET(Arb!$U$2,,,Arb!$AJ$5,),V171)+INDEX(OFFSET(Arb!$V$2,,,Arb!$AJ$5,),V171))/X171)</f>
        <v>3.1284454244762956</v>
      </c>
      <c r="AB171" s="33">
        <f t="shared" ca="1" si="25"/>
        <v>8.1802271532872446</v>
      </c>
      <c r="AC171" s="21">
        <f t="shared" ca="1" si="26"/>
        <v>53.177129662615023</v>
      </c>
      <c r="AD171" s="74">
        <f ca="1">IF(V171="","",DATE(INDEX(OFFSET(Arb!$C$2,,,Arb!$AJ$5,),V171),INDEX(OFFSET(Arb!$B$2,,,Arb!$AJ$5,),V171),INDEX(OFFSET(Arb!$A$2,,,Arb!$AJ$5,),V171))+ROW()*0.001)</f>
        <v>44084.171000000002</v>
      </c>
    </row>
    <row r="172" spans="1:30" x14ac:dyDescent="0.25">
      <c r="A172" s="11">
        <v>171</v>
      </c>
      <c r="B172" s="11">
        <v>1787</v>
      </c>
      <c r="C172" s="433">
        <f ca="1">IF(B172="",16,INDEX(OFFSET(Arb!$I$2,,,Arb!$AJ$5,),B172))</f>
        <v>24</v>
      </c>
      <c r="D172" s="34">
        <f ca="1">IF(B172="",10,INDEX(OFFSET(Arb!$H$2,,,Arb!$AJ$5,),B172))</f>
        <v>6.78</v>
      </c>
      <c r="E172" s="33">
        <f t="shared" ca="1" si="18"/>
        <v>3.5398230088495573</v>
      </c>
      <c r="F172" s="33">
        <f ca="1">IF(B172="","",INDEX(OFFSET(Arb!$X$2,,,Arb!$AJ$5,),B172)/D172)</f>
        <v>3.9823008849557522</v>
      </c>
      <c r="G172" s="33">
        <f ca="1">IF(B172="","",(INDEX(OFFSET(Arb!$U$2,,,Arb!$AJ$5,),B172)+INDEX(OFFSET(Arb!$V$2,,,Arb!$AJ$5,),B172))/D172)</f>
        <v>4.5722713864306783</v>
      </c>
      <c r="H172" s="33">
        <f t="shared" ca="1" si="19"/>
        <v>1.0786467465122778</v>
      </c>
      <c r="I172" s="21">
        <f t="shared" ca="1" si="20"/>
        <v>43.850315363150834</v>
      </c>
      <c r="J172" s="74">
        <f ca="1">IF(B172="","",DATE(INDEX(OFFSET(Arb!$C$2,,,Arb!$AJ$5,),B172),INDEX(OFFSET(Arb!$B$2,,,Arb!$AJ$5,),B172),INDEX(OFFSET(Arb!$A$2,,,Arb!$AJ$5,),B172))+ROW()*0.001)</f>
        <v>44168.171999999999</v>
      </c>
      <c r="K172" s="11">
        <v>171</v>
      </c>
      <c r="L172" s="11">
        <v>2357</v>
      </c>
      <c r="M172" s="433">
        <f ca="1">IF(L172="",64,INDEX(OFFSET(Arb!$I$2,,,Arb!$AJ$5,),L172))</f>
        <v>56</v>
      </c>
      <c r="N172" s="34">
        <f ca="1">IF(L172="",60,INDEX(OFFSET(Arb!$H$2,,,Arb!$AJ$5,),L172))</f>
        <v>21.78</v>
      </c>
      <c r="O172" s="33">
        <f t="shared" ca="1" si="21"/>
        <v>2.5711662075298438</v>
      </c>
      <c r="P172" s="33">
        <f ca="1">IF(L172="","",INDEX(OFFSET(Arb!$X$2,,,Arb!$AJ$5,),L172)/N172)</f>
        <v>2.9843893480257115</v>
      </c>
      <c r="Q172" s="33">
        <f ca="1">IF(L172="","",(INDEX(OFFSET(Arb!$U$2,,,Arb!$AJ$5,),L172)+INDEX(OFFSET(Arb!$V$2,,,Arb!$AJ$5,),L172))/N172)</f>
        <v>3.3516988062442605</v>
      </c>
      <c r="R172" s="33">
        <f t="shared" ca="1" si="22"/>
        <v>3.3613238825057579</v>
      </c>
      <c r="S172" s="21">
        <f t="shared" ca="1" si="23"/>
        <v>45.734956039225608</v>
      </c>
      <c r="T172" s="74">
        <f ca="1">IF(L172="","",DATE(INDEX(OFFSET(Arb!$C$2,,,Arb!$AJ$5,),L172),INDEX(OFFSET(Arb!$B$2,,,Arb!$AJ$5,),L172),INDEX(OFFSET(Arb!$A$2,,,Arb!$AJ$5,),L172))+ROW()*0.001)</f>
        <v>44114.171999999999</v>
      </c>
      <c r="U172" s="11">
        <v>171</v>
      </c>
      <c r="V172" s="11">
        <v>2955</v>
      </c>
      <c r="W172" s="433">
        <f ca="1">IF(V172="",164,INDEX(OFFSET(Arb!$I$2,,,Arb!$AJ$5,),V172))</f>
        <v>190</v>
      </c>
      <c r="X172" s="34">
        <f ca="1">IF(V172="",240,INDEX(OFFSET(Arb!$H$2,,,Arb!$AJ$5,),V172))</f>
        <v>77.5</v>
      </c>
      <c r="Y172" s="33">
        <f t="shared" ca="1" si="24"/>
        <v>2.4516129032258065</v>
      </c>
      <c r="Z172" s="33">
        <f ca="1">IF(V172="","",INDEX(OFFSET(Arb!$X$2,,,Arb!$AJ$5,),V172)/X172)</f>
        <v>2.8516129032258064</v>
      </c>
      <c r="AA172" s="33">
        <f ca="1">IF(V172="","",(INDEX(OFFSET(Arb!$U$2,,,Arb!$AJ$5,),V172)+INDEX(OFFSET(Arb!$V$2,,,Arb!$AJ$5,),V172))/X172)</f>
        <v>3.1870967741935483</v>
      </c>
      <c r="AB172" s="33">
        <f t="shared" ca="1" si="25"/>
        <v>8.5715486278425441</v>
      </c>
      <c r="AC172" s="21">
        <f t="shared" ca="1" si="26"/>
        <v>50.749405840971072</v>
      </c>
      <c r="AD172" s="74">
        <f ca="1">IF(V172="","",DATE(INDEX(OFFSET(Arb!$C$2,,,Arb!$AJ$5,),V172),INDEX(OFFSET(Arb!$B$2,,,Arb!$AJ$5,),V172),INDEX(OFFSET(Arb!$A$2,,,Arb!$AJ$5,),V172))+ROW()*0.001)</f>
        <v>43949.171999999999</v>
      </c>
    </row>
    <row r="173" spans="1:30" x14ac:dyDescent="0.25">
      <c r="A173" s="11">
        <v>172</v>
      </c>
      <c r="B173" s="11">
        <v>84</v>
      </c>
      <c r="C173" s="433">
        <f ca="1">IF(B173="",16,INDEX(OFFSET(Arb!$I$2,,,Arb!$AJ$5,),B173))</f>
        <v>15</v>
      </c>
      <c r="D173" s="34">
        <f ca="1">IF(B173="",10,INDEX(OFFSET(Arb!$H$2,,,Arb!$AJ$5,),B173))</f>
        <v>4.24</v>
      </c>
      <c r="E173" s="33">
        <f t="shared" ca="1" si="18"/>
        <v>3.5377358490566038</v>
      </c>
      <c r="F173" s="33">
        <f ca="1">IF(B173="","",INDEX(OFFSET(Arb!$X$2,,,Arb!$AJ$5,),B173)/D173)</f>
        <v>4.2452830188679247</v>
      </c>
      <c r="G173" s="33">
        <f ca="1">IF(B173="","",(INDEX(OFFSET(Arb!$U$2,,,Arb!$AJ$5,),B173)+INDEX(OFFSET(Arb!$V$2,,,Arb!$AJ$5,),B173))/D173)</f>
        <v>4.9528301886792452</v>
      </c>
      <c r="H173" s="33">
        <f t="shared" ca="1" si="19"/>
        <v>0.77701731581420708</v>
      </c>
      <c r="I173" s="21">
        <f t="shared" ca="1" si="20"/>
        <v>60.872517300901031</v>
      </c>
      <c r="J173" s="74">
        <f ca="1">IF(B173="","",DATE(INDEX(OFFSET(Arb!$C$2,,,Arb!$AJ$5,),B173),INDEX(OFFSET(Arb!$B$2,,,Arb!$AJ$5,),B173),INDEX(OFFSET(Arb!$A$2,,,Arb!$AJ$5,),B173))+ROW()*0.001)</f>
        <v>43767.173000000003</v>
      </c>
      <c r="K173" s="11">
        <v>172</v>
      </c>
      <c r="L173" s="11">
        <v>2355</v>
      </c>
      <c r="M173" s="433">
        <f ca="1">IF(L173="",64,INDEX(OFFSET(Arb!$I$2,,,Arb!$AJ$5,),L173))</f>
        <v>74</v>
      </c>
      <c r="N173" s="34">
        <f ca="1">IF(L173="",60,INDEX(OFFSET(Arb!$H$2,,,Arb!$AJ$5,),L173))</f>
        <v>28.82</v>
      </c>
      <c r="O173" s="33">
        <f t="shared" ca="1" si="21"/>
        <v>2.5676613462873004</v>
      </c>
      <c r="P173" s="33">
        <f ca="1">IF(L173="","",INDEX(OFFSET(Arb!$X$2,,,Arb!$AJ$5,),L173)/N173)</f>
        <v>3.2269257460097154</v>
      </c>
      <c r="Q173" s="33">
        <f ca="1">IF(L173="","",(INDEX(OFFSET(Arb!$U$2,,,Arb!$AJ$5,),L173)+INDEX(OFFSET(Arb!$V$2,,,Arb!$AJ$5,),L173))/N173)</f>
        <v>3.6433032616238723</v>
      </c>
      <c r="R173" s="33">
        <f t="shared" ca="1" si="22"/>
        <v>4.0949446911009639</v>
      </c>
      <c r="S173" s="21">
        <f t="shared" ca="1" si="23"/>
        <v>37.541410591962901</v>
      </c>
      <c r="T173" s="74">
        <f ca="1">IF(L173="","",DATE(INDEX(OFFSET(Arb!$C$2,,,Arb!$AJ$5,),L173),INDEX(OFFSET(Arb!$B$2,,,Arb!$AJ$5,),L173),INDEX(OFFSET(Arb!$A$2,,,Arb!$AJ$5,),L173))+ROW()*0.001)</f>
        <v>44114.173000000003</v>
      </c>
      <c r="U173" s="11">
        <v>172</v>
      </c>
      <c r="V173" s="11">
        <v>2916</v>
      </c>
      <c r="W173" s="433">
        <f ca="1">IF(V173="",164,INDEX(OFFSET(Arb!$I$2,,,Arb!$AJ$5,),V173))</f>
        <v>171</v>
      </c>
      <c r="X173" s="34">
        <f ca="1">IF(V173="",240,INDEX(OFFSET(Arb!$H$2,,,Arb!$AJ$5,),V173))</f>
        <v>69.75</v>
      </c>
      <c r="Y173" s="33">
        <f t="shared" ca="1" si="24"/>
        <v>2.4516129032258065</v>
      </c>
      <c r="Z173" s="33">
        <f ca="1">IF(V173="","",INDEX(OFFSET(Arb!$X$2,,,Arb!$AJ$5,),V173)/X173)</f>
        <v>2.838709677419355</v>
      </c>
      <c r="AA173" s="33">
        <f ca="1">IF(V173="","",(INDEX(OFFSET(Arb!$U$2,,,Arb!$AJ$5,),V173)+INDEX(OFFSET(Arb!$V$2,,,Arb!$AJ$5,),V173))/X173)</f>
        <v>3.1254480286738353</v>
      </c>
      <c r="AB173" s="33">
        <f t="shared" ca="1" si="25"/>
        <v>7.9621260721956419</v>
      </c>
      <c r="AC173" s="21">
        <f t="shared" ca="1" si="26"/>
        <v>54.633774453667222</v>
      </c>
      <c r="AD173" s="74">
        <f ca="1">IF(V173="","",DATE(INDEX(OFFSET(Arb!$C$2,,,Arb!$AJ$5,),V173),INDEX(OFFSET(Arb!$B$2,,,Arb!$AJ$5,),V173),INDEX(OFFSET(Arb!$A$2,,,Arb!$AJ$5,),V173))+ROW()*0.001)</f>
        <v>43934.173000000003</v>
      </c>
    </row>
    <row r="174" spans="1:30" x14ac:dyDescent="0.25">
      <c r="A174" s="11">
        <v>173</v>
      </c>
      <c r="B174" s="11">
        <v>329</v>
      </c>
      <c r="C174" s="433">
        <f ca="1">IF(B174="",16,INDEX(OFFSET(Arb!$I$2,,,Arb!$AJ$5,),B174))</f>
        <v>18</v>
      </c>
      <c r="D174" s="34">
        <f ca="1">IF(B174="",10,INDEX(OFFSET(Arb!$H$2,,,Arb!$AJ$5,),B174))</f>
        <v>5.09</v>
      </c>
      <c r="E174" s="33">
        <f t="shared" ca="1" si="18"/>
        <v>3.5363457760314341</v>
      </c>
      <c r="F174" s="33">
        <f ca="1">IF(B174="","",INDEX(OFFSET(Arb!$X$2,,,Arb!$AJ$5,),B174)/D174)</f>
        <v>4.1257367387033401</v>
      </c>
      <c r="G174" s="33">
        <f ca="1">IF(B174="","",(INDEX(OFFSET(Arb!$U$2,,,Arb!$AJ$5,),B174)+INDEX(OFFSET(Arb!$V$2,,,Arb!$AJ$5,),B174))/D174)</f>
        <v>4.5186640471512769</v>
      </c>
      <c r="H174" s="33">
        <f t="shared" ca="1" si="19"/>
        <v>0.88338033032829355</v>
      </c>
      <c r="I174" s="21">
        <f t="shared" ca="1" si="20"/>
        <v>53.543189016244128</v>
      </c>
      <c r="J174" s="74">
        <f ca="1">IF(B174="","",DATE(INDEX(OFFSET(Arb!$C$2,,,Arb!$AJ$5,),B174),INDEX(OFFSET(Arb!$B$2,,,Arb!$AJ$5,),B174),INDEX(OFFSET(Arb!$A$2,,,Arb!$AJ$5,),B174))+ROW()*0.001)</f>
        <v>43779.173999999999</v>
      </c>
      <c r="K174" s="11">
        <v>173</v>
      </c>
      <c r="L174" s="11">
        <v>2133</v>
      </c>
      <c r="M174" s="433">
        <f ca="1">IF(L174="",64,INDEX(OFFSET(Arb!$I$2,,,Arb!$AJ$5,),L174))</f>
        <v>60</v>
      </c>
      <c r="N174" s="34">
        <f ca="1">IF(L174="",60,INDEX(OFFSET(Arb!$H$2,,,Arb!$AJ$5,),L174))</f>
        <v>23.39</v>
      </c>
      <c r="O174" s="33">
        <f t="shared" ca="1" si="21"/>
        <v>2.5651988029072252</v>
      </c>
      <c r="P174" s="33">
        <f ca="1">IF(L174="","",INDEX(OFFSET(Arb!$X$2,,,Arb!$AJ$5,),L174)/N174)</f>
        <v>3.4202650705429671</v>
      </c>
      <c r="Q174" s="33">
        <f ca="1">IF(L174="","",(INDEX(OFFSET(Arb!$U$2,,,Arb!$AJ$5,),L174)+INDEX(OFFSET(Arb!$V$2,,,Arb!$AJ$5,),L174))/N174)</f>
        <v>3.9760581445061991</v>
      </c>
      <c r="R174" s="33">
        <f t="shared" ca="1" si="22"/>
        <v>3.5416050374176589</v>
      </c>
      <c r="S174" s="21">
        <f t="shared" ca="1" si="23"/>
        <v>43.406872978724735</v>
      </c>
      <c r="T174" s="74">
        <f ca="1">IF(L174="","",DATE(INDEX(OFFSET(Arb!$C$2,,,Arb!$AJ$5,),L174),INDEX(OFFSET(Arb!$B$2,,,Arb!$AJ$5,),L174),INDEX(OFFSET(Arb!$A$2,,,Arb!$AJ$5,),L174))+ROW()*0.001)</f>
        <v>43815.173999999999</v>
      </c>
      <c r="U174" s="11">
        <v>173</v>
      </c>
      <c r="V174" s="11">
        <v>2930</v>
      </c>
      <c r="W174" s="433">
        <f ca="1">IF(V174="",164,INDEX(OFFSET(Arb!$I$2,,,Arb!$AJ$5,),V174))</f>
        <v>195</v>
      </c>
      <c r="X174" s="34">
        <f ca="1">IF(V174="",240,INDEX(OFFSET(Arb!$H$2,,,Arb!$AJ$5,),V174))</f>
        <v>79.58</v>
      </c>
      <c r="Y174" s="33">
        <f t="shared" ca="1" si="24"/>
        <v>2.450364413169138</v>
      </c>
      <c r="Z174" s="33">
        <f ca="1">IF(V174="","",INDEX(OFFSET(Arb!$X$2,,,Arb!$AJ$5,),V174)/X174)</f>
        <v>2.9153053531037951</v>
      </c>
      <c r="AA174" s="33">
        <f ca="1">IF(V174="","",(INDEX(OFFSET(Arb!$U$2,,,Arb!$AJ$5,),V174)+INDEX(OFFSET(Arb!$V$2,,,Arb!$AJ$5,),V174))/X174)</f>
        <v>3.4933400351847199</v>
      </c>
      <c r="AB174" s="33">
        <f t="shared" ca="1" si="25"/>
        <v>8.7363913023420849</v>
      </c>
      <c r="AC174" s="21">
        <f t="shared" ca="1" si="26"/>
        <v>49.791840239960777</v>
      </c>
      <c r="AD174" s="74">
        <f ca="1">IF(V174="","",DATE(INDEX(OFFSET(Arb!$C$2,,,Arb!$AJ$5,),V174),INDEX(OFFSET(Arb!$B$2,,,Arb!$AJ$5,),V174),INDEX(OFFSET(Arb!$A$2,,,Arb!$AJ$5,),V174))+ROW()*0.001)</f>
        <v>43937.173999999999</v>
      </c>
    </row>
    <row r="175" spans="1:30" x14ac:dyDescent="0.25">
      <c r="A175" s="11">
        <v>174</v>
      </c>
      <c r="B175" s="11">
        <v>1042</v>
      </c>
      <c r="C175" s="433">
        <f ca="1">IF(B175="",16,INDEX(OFFSET(Arb!$I$2,,,Arb!$AJ$5,),B175))</f>
        <v>21</v>
      </c>
      <c r="D175" s="34">
        <f ca="1">IF(B175="",10,INDEX(OFFSET(Arb!$H$2,,,Arb!$AJ$5,),B175))</f>
        <v>5.94</v>
      </c>
      <c r="E175" s="33">
        <f t="shared" ca="1" si="18"/>
        <v>3.535353535353535</v>
      </c>
      <c r="F175" s="33">
        <f ca="1">IF(B175="","",INDEX(OFFSET(Arb!$X$2,,,Arb!$AJ$5,),B175)/D175)</f>
        <v>3.7037037037037033</v>
      </c>
      <c r="G175" s="33">
        <f ca="1">IF(B175="","",(INDEX(OFFSET(Arb!$U$2,,,Arb!$AJ$5,),B175)+INDEX(OFFSET(Arb!$V$2,,,Arb!$AJ$5,),B175))/D175)</f>
        <v>4.3771043771043772</v>
      </c>
      <c r="H175" s="33">
        <f t="shared" ca="1" si="19"/>
        <v>0.98450440064240774</v>
      </c>
      <c r="I175" s="21">
        <f t="shared" ca="1" si="20"/>
        <v>48.043462242663928</v>
      </c>
      <c r="J175" s="74">
        <f ca="1">IF(B175="","",DATE(INDEX(OFFSET(Arb!$C$2,,,Arb!$AJ$5,),B175),INDEX(OFFSET(Arb!$B$2,,,Arb!$AJ$5,),B175),INDEX(OFFSET(Arb!$A$2,,,Arb!$AJ$5,),B175))+ROW()*0.001)</f>
        <v>43841.175000000003</v>
      </c>
      <c r="K175" s="11">
        <v>174</v>
      </c>
      <c r="L175" s="11">
        <v>2030</v>
      </c>
      <c r="M175" s="433">
        <f ca="1">IF(L175="",64,INDEX(OFFSET(Arb!$I$2,,,Arb!$AJ$5,),L175))</f>
        <v>66</v>
      </c>
      <c r="N175" s="34">
        <f ca="1">IF(L175="",60,INDEX(OFFSET(Arb!$H$2,,,Arb!$AJ$5,),L175))</f>
        <v>25.73</v>
      </c>
      <c r="O175" s="33">
        <f t="shared" ca="1" si="21"/>
        <v>2.5650991061018265</v>
      </c>
      <c r="P175" s="33">
        <f ca="1">IF(L175="","",INDEX(OFFSET(Arb!$X$2,,,Arb!$AJ$5,),L175)/N175)</f>
        <v>3.2646715895841432</v>
      </c>
      <c r="Q175" s="33">
        <f ca="1">IF(L175="","",(INDEX(OFFSET(Arb!$U$2,,,Arb!$AJ$5,),L175)+INDEX(OFFSET(Arb!$V$2,,,Arb!$AJ$5,),L175))/N175)</f>
        <v>3.7310532452390204</v>
      </c>
      <c r="R175" s="33">
        <f t="shared" ca="1" si="22"/>
        <v>3.7862013065387585</v>
      </c>
      <c r="S175" s="21">
        <f t="shared" ca="1" si="23"/>
        <v>40.602701112196208</v>
      </c>
      <c r="T175" s="74">
        <f ca="1">IF(L175="","",DATE(INDEX(OFFSET(Arb!$C$2,,,Arb!$AJ$5,),L175),INDEX(OFFSET(Arb!$B$2,,,Arb!$AJ$5,),L175),INDEX(OFFSET(Arb!$A$2,,,Arb!$AJ$5,),L175))+ROW()*0.001)</f>
        <v>43797.175000000003</v>
      </c>
      <c r="U175" s="11">
        <v>174</v>
      </c>
      <c r="V175" s="11">
        <v>2977</v>
      </c>
      <c r="W175" s="433">
        <f ca="1">IF(V175="",164,INDEX(OFFSET(Arb!$I$2,,,Arb!$AJ$5,),V175))</f>
        <v>172</v>
      </c>
      <c r="X175" s="34">
        <f ca="1">IF(V175="",240,INDEX(OFFSET(Arb!$H$2,,,Arb!$AJ$5,),V175))</f>
        <v>70.23</v>
      </c>
      <c r="Y175" s="33">
        <f t="shared" ca="1" si="24"/>
        <v>2.4490958279937347</v>
      </c>
      <c r="Z175" s="33">
        <f ca="1">IF(V175="","",INDEX(OFFSET(Arb!$X$2,,,Arb!$AJ$5,),V175)/X175)</f>
        <v>2.9901751388295597</v>
      </c>
      <c r="AA175" s="33">
        <f ca="1">IF(V175="","",(INDEX(OFFSET(Arb!$U$2,,,Arb!$AJ$5,),V175)+INDEX(OFFSET(Arb!$V$2,,,Arb!$AJ$5,),V175))/X175)</f>
        <v>3.3319094404100809</v>
      </c>
      <c r="AB175" s="33">
        <f t="shared" ca="1" si="25"/>
        <v>8.0086642948687778</v>
      </c>
      <c r="AC175" s="21">
        <f t="shared" ca="1" si="26"/>
        <v>54.316298446759589</v>
      </c>
      <c r="AD175" s="74">
        <f ca="1">IF(V175="","",DATE(INDEX(OFFSET(Arb!$C$2,,,Arb!$AJ$5,),V175),INDEX(OFFSET(Arb!$B$2,,,Arb!$AJ$5,),V175),INDEX(OFFSET(Arb!$A$2,,,Arb!$AJ$5,),V175))+ROW()*0.001)</f>
        <v>43955.175000000003</v>
      </c>
    </row>
    <row r="176" spans="1:30" x14ac:dyDescent="0.25">
      <c r="A176" s="11">
        <v>175</v>
      </c>
      <c r="B176" s="11">
        <v>1509</v>
      </c>
      <c r="C176" s="433">
        <f ca="1">IF(B176="",16,INDEX(OFFSET(Arb!$I$2,,,Arb!$AJ$5,),B176))</f>
        <v>16</v>
      </c>
      <c r="D176" s="34">
        <f ca="1">IF(B176="",10,INDEX(OFFSET(Arb!$H$2,,,Arb!$AJ$5,),B176))</f>
        <v>4.53</v>
      </c>
      <c r="E176" s="33">
        <f t="shared" ca="1" si="18"/>
        <v>3.5320088300220749</v>
      </c>
      <c r="F176" s="33">
        <f ca="1">IF(B176="","",INDEX(OFFSET(Arb!$X$2,,,Arb!$AJ$5,),B176)/D176)</f>
        <v>3.5320088300220749</v>
      </c>
      <c r="G176" s="33">
        <f ca="1">IF(B176="","",(INDEX(OFFSET(Arb!$U$2,,,Arb!$AJ$5,),B176)+INDEX(OFFSET(Arb!$V$2,,,Arb!$AJ$5,),B176))/D176)</f>
        <v>4.6357615894039732</v>
      </c>
      <c r="H176" s="33">
        <f t="shared" ca="1" si="19"/>
        <v>0.81516769587429683</v>
      </c>
      <c r="I176" s="21">
        <f t="shared" ca="1" si="20"/>
        <v>58.023643772181273</v>
      </c>
      <c r="J176" s="74">
        <f ca="1">IF(B176="","",DATE(INDEX(OFFSET(Arb!$C$2,,,Arb!$AJ$5,),B176),INDEX(OFFSET(Arb!$B$2,,,Arb!$AJ$5,),B176),INDEX(OFFSET(Arb!$A$2,,,Arb!$AJ$5,),B176))+ROW()*0.001)</f>
        <v>43984.175999999999</v>
      </c>
      <c r="K176" s="11">
        <v>175</v>
      </c>
      <c r="L176" s="11">
        <v>2248</v>
      </c>
      <c r="M176" s="433">
        <f ca="1">IF(L176="",64,INDEX(OFFSET(Arb!$I$2,,,Arb!$AJ$5,),L176))</f>
        <v>72</v>
      </c>
      <c r="N176" s="34">
        <f ca="1">IF(L176="",60,INDEX(OFFSET(Arb!$H$2,,,Arb!$AJ$5,),L176))</f>
        <v>28.07</v>
      </c>
      <c r="O176" s="33">
        <f t="shared" ca="1" si="21"/>
        <v>2.5650160313501957</v>
      </c>
      <c r="P176" s="33">
        <f ca="1">IF(L176="","",INDEX(OFFSET(Arb!$X$2,,,Arb!$AJ$5,),L176)/N176)</f>
        <v>3.7050231563947276</v>
      </c>
      <c r="Q176" s="33">
        <f ca="1">IF(L176="","",(INDEX(OFFSET(Arb!$U$2,,,Arb!$AJ$5,),L176)+INDEX(OFFSET(Arb!$V$2,,,Arb!$AJ$5,),L176))/N176)</f>
        <v>4.2394014962593518</v>
      </c>
      <c r="R176" s="33">
        <f t="shared" ca="1" si="22"/>
        <v>4.0242004477638247</v>
      </c>
      <c r="S176" s="21">
        <f t="shared" ca="1" si="23"/>
        <v>38.20137739048883</v>
      </c>
      <c r="T176" s="74">
        <f ca="1">IF(L176="","",DATE(INDEX(OFFSET(Arb!$C$2,,,Arb!$AJ$5,),L176),INDEX(OFFSET(Arb!$B$2,,,Arb!$AJ$5,),L176),INDEX(OFFSET(Arb!$A$2,,,Arb!$AJ$5,),L176))+ROW()*0.001)</f>
        <v>43894.175999999999</v>
      </c>
      <c r="U176" s="11">
        <v>175</v>
      </c>
      <c r="V176" s="11">
        <v>3323</v>
      </c>
      <c r="W176" s="433">
        <f ca="1">IF(V176="",164,INDEX(OFFSET(Arb!$I$2,,,Arb!$AJ$5,),V176))</f>
        <v>175</v>
      </c>
      <c r="X176" s="34">
        <f ca="1">IF(V176="",240,INDEX(OFFSET(Arb!$H$2,,,Arb!$AJ$5,),V176))</f>
        <v>71.459999999999994</v>
      </c>
      <c r="Y176" s="33">
        <f t="shared" ca="1" si="24"/>
        <v>2.4489224741113911</v>
      </c>
      <c r="Z176" s="33">
        <f ca="1">IF(V176="","",INDEX(OFFSET(Arb!$X$2,,,Arb!$AJ$5,),V176)/X176)</f>
        <v>2.8967254408060454</v>
      </c>
      <c r="AA176" s="33">
        <f ca="1">IF(V176="","",(INDEX(OFFSET(Arb!$U$2,,,Arb!$AJ$5,),V176)+INDEX(OFFSET(Arb!$V$2,,,Arb!$AJ$5,),V176))/X176)</f>
        <v>3.2185838231178283</v>
      </c>
      <c r="AB176" s="33">
        <f t="shared" ca="1" si="25"/>
        <v>8.1071661099393246</v>
      </c>
      <c r="AC176" s="21">
        <f t="shared" ca="1" si="26"/>
        <v>53.656357116784868</v>
      </c>
      <c r="AD176" s="74">
        <f ca="1">IF(V176="","",DATE(INDEX(OFFSET(Arb!$C$2,,,Arb!$AJ$5,),V176),INDEX(OFFSET(Arb!$B$2,,,Arb!$AJ$5,),V176),INDEX(OFFSET(Arb!$A$2,,,Arb!$AJ$5,),V176))+ROW()*0.001)</f>
        <v>44095.175999999999</v>
      </c>
    </row>
    <row r="177" spans="1:30" x14ac:dyDescent="0.25">
      <c r="A177" s="11">
        <v>176</v>
      </c>
      <c r="B177" s="11">
        <v>1573</v>
      </c>
      <c r="C177" s="433">
        <f ca="1">IF(B177="",16,INDEX(OFFSET(Arb!$I$2,,,Arb!$AJ$5,),B177))</f>
        <v>19</v>
      </c>
      <c r="D177" s="34">
        <f ca="1">IF(B177="",10,INDEX(OFFSET(Arb!$H$2,,,Arb!$AJ$5,),B177))</f>
        <v>5.38</v>
      </c>
      <c r="E177" s="33">
        <f t="shared" ca="1" si="18"/>
        <v>3.5315985130111525</v>
      </c>
      <c r="F177" s="33">
        <f ca="1">IF(B177="","",INDEX(OFFSET(Arb!$X$2,,,Arb!$AJ$5,),B177)/D177)</f>
        <v>4.0892193308550189</v>
      </c>
      <c r="G177" s="33">
        <f ca="1">IF(B177="","",(INDEX(OFFSET(Arb!$U$2,,,Arb!$AJ$5,),B177)+INDEX(OFFSET(Arb!$V$2,,,Arb!$AJ$5,),B177))/D177)</f>
        <v>4.8327137546468402</v>
      </c>
      <c r="H177" s="33">
        <f t="shared" ca="1" si="19"/>
        <v>0.91955194573857979</v>
      </c>
      <c r="I177" s="21">
        <f t="shared" ca="1" si="20"/>
        <v>51.437007141570092</v>
      </c>
      <c r="J177" s="74">
        <f ca="1">IF(B177="","",DATE(INDEX(OFFSET(Arb!$C$2,,,Arb!$AJ$5,),B177),INDEX(OFFSET(Arb!$B$2,,,Arb!$AJ$5,),B177),INDEX(OFFSET(Arb!$A$2,,,Arb!$AJ$5,),B177))+ROW()*0.001)</f>
        <v>44006.177000000003</v>
      </c>
      <c r="K177" s="11">
        <v>176</v>
      </c>
      <c r="L177" s="11">
        <v>2297</v>
      </c>
      <c r="M177" s="433">
        <f ca="1">IF(L177="",64,INDEX(OFFSET(Arb!$I$2,,,Arb!$AJ$5,),L177))</f>
        <v>53</v>
      </c>
      <c r="N177" s="34">
        <f ca="1">IF(L177="",60,INDEX(OFFSET(Arb!$H$2,,,Arb!$AJ$5,),L177))</f>
        <v>20.7</v>
      </c>
      <c r="O177" s="33">
        <f t="shared" ca="1" si="21"/>
        <v>2.560386473429952</v>
      </c>
      <c r="P177" s="33">
        <f ca="1">IF(L177="","",INDEX(OFFSET(Arb!$X$2,,,Arb!$AJ$5,),L177)/N177)</f>
        <v>3.2850241545893719</v>
      </c>
      <c r="Q177" s="33">
        <f ca="1">IF(L177="","",(INDEX(OFFSET(Arb!$U$2,,,Arb!$AJ$5,),L177)+INDEX(OFFSET(Arb!$V$2,,,Arb!$AJ$5,),L177))/N177)</f>
        <v>3.6714975845410631</v>
      </c>
      <c r="R177" s="33">
        <f t="shared" ca="1" si="22"/>
        <v>3.2574196934914577</v>
      </c>
      <c r="S177" s="21">
        <f t="shared" ca="1" si="23"/>
        <v>47.193795846191634</v>
      </c>
      <c r="T177" s="74">
        <f ca="1">IF(L177="","",DATE(INDEX(OFFSET(Arb!$C$2,,,Arb!$AJ$5,),L177),INDEX(OFFSET(Arb!$B$2,,,Arb!$AJ$5,),L177),INDEX(OFFSET(Arb!$A$2,,,Arb!$AJ$5,),L177))+ROW()*0.001)</f>
        <v>43937.177000000003</v>
      </c>
      <c r="U177" s="11">
        <v>176</v>
      </c>
      <c r="V177" s="11">
        <v>3335</v>
      </c>
      <c r="W177" s="433">
        <f ca="1">IF(V177="",164,INDEX(OFFSET(Arb!$I$2,,,Arb!$AJ$5,),V177))</f>
        <v>173</v>
      </c>
      <c r="X177" s="34">
        <f ca="1">IF(V177="",240,INDEX(OFFSET(Arb!$H$2,,,Arb!$AJ$5,),V177))</f>
        <v>70.67</v>
      </c>
      <c r="Y177" s="33">
        <f t="shared" ca="1" si="24"/>
        <v>2.4479977359558509</v>
      </c>
      <c r="Z177" s="33">
        <f ca="1">IF(V177="","",INDEX(OFFSET(Arb!$X$2,,,Arb!$AJ$5,),V177)/X177)</f>
        <v>3.0564596009622185</v>
      </c>
      <c r="AA177" s="33">
        <f ca="1">IF(V177="","",(INDEX(OFFSET(Arb!$U$2,,,Arb!$AJ$5,),V177)+INDEX(OFFSET(Arb!$V$2,,,Arb!$AJ$5,),V177))/X177)</f>
        <v>3.4385170510824961</v>
      </c>
      <c r="AB177" s="33">
        <f t="shared" ca="1" si="25"/>
        <v>8.0473622626320118</v>
      </c>
      <c r="AC177" s="21">
        <f t="shared" ca="1" si="26"/>
        <v>54.055103498935352</v>
      </c>
      <c r="AD177" s="74">
        <f ca="1">IF(V177="","",DATE(INDEX(OFFSET(Arb!$C$2,,,Arb!$AJ$5,),V177),INDEX(OFFSET(Arb!$B$2,,,Arb!$AJ$5,),V177),INDEX(OFFSET(Arb!$A$2,,,Arb!$AJ$5,),V177))+ROW()*0.001)</f>
        <v>44096.177000000003</v>
      </c>
    </row>
    <row r="178" spans="1:30" x14ac:dyDescent="0.25">
      <c r="A178" s="11">
        <v>177</v>
      </c>
      <c r="B178" s="11">
        <v>1619</v>
      </c>
      <c r="C178" s="433">
        <f ca="1">IF(B178="",16,INDEX(OFFSET(Arb!$I$2,,,Arb!$AJ$5,),B178))</f>
        <v>12</v>
      </c>
      <c r="D178" s="34">
        <f ca="1">IF(B178="",10,INDEX(OFFSET(Arb!$H$2,,,Arb!$AJ$5,),B178))</f>
        <v>3.4</v>
      </c>
      <c r="E178" s="33">
        <f t="shared" ca="1" si="18"/>
        <v>3.5294117647058822</v>
      </c>
      <c r="F178" s="33">
        <f ca="1">IF(B178="","",INDEX(OFFSET(Arb!$X$2,,,Arb!$AJ$5,),B178)/D178)</f>
        <v>4.1176470588235299</v>
      </c>
      <c r="G178" s="33">
        <f ca="1">IF(B178="","",(INDEX(OFFSET(Arb!$U$2,,,Arb!$AJ$5,),B178)+INDEX(OFFSET(Arb!$V$2,,,Arb!$AJ$5,),B178))/D178)</f>
        <v>5</v>
      </c>
      <c r="H178" s="33">
        <f t="shared" ca="1" si="19"/>
        <v>0.66731811279785891</v>
      </c>
      <c r="I178" s="21">
        <f t="shared" ca="1" si="20"/>
        <v>70.879238990966229</v>
      </c>
      <c r="J178" s="74">
        <f ca="1">IF(B178="","",DATE(INDEX(OFFSET(Arb!$C$2,,,Arb!$AJ$5,),B178),INDEX(OFFSET(Arb!$B$2,,,Arb!$AJ$5,),B178),INDEX(OFFSET(Arb!$A$2,,,Arb!$AJ$5,),B178))+ROW()*0.001)</f>
        <v>44093.178</v>
      </c>
      <c r="K178" s="11">
        <v>177</v>
      </c>
      <c r="L178" s="11">
        <v>2054</v>
      </c>
      <c r="M178" s="433">
        <f ca="1">IF(L178="",64,INDEX(OFFSET(Arb!$I$2,,,Arb!$AJ$5,),L178))</f>
        <v>75</v>
      </c>
      <c r="N178" s="34">
        <f ca="1">IF(L178="",60,INDEX(OFFSET(Arb!$H$2,,,Arb!$AJ$5,),L178))</f>
        <v>29.32</v>
      </c>
      <c r="O178" s="33">
        <f t="shared" ca="1" si="21"/>
        <v>2.5579809004092771</v>
      </c>
      <c r="P178" s="33">
        <f ca="1">IF(L178="","",INDEX(OFFSET(Arb!$X$2,,,Arb!$AJ$5,),L178)/N178)</f>
        <v>3.3424283765347886</v>
      </c>
      <c r="Q178" s="33">
        <f ca="1">IF(L178="","",(INDEX(OFFSET(Arb!$U$2,,,Arb!$AJ$5,),L178)+INDEX(OFFSET(Arb!$V$2,,,Arb!$AJ$5,),L178))/N178)</f>
        <v>3.7858117326057297</v>
      </c>
      <c r="R178" s="33">
        <f t="shared" ca="1" si="22"/>
        <v>4.1602313154179065</v>
      </c>
      <c r="S178" s="21">
        <f t="shared" ca="1" si="23"/>
        <v>36.952272204257802</v>
      </c>
      <c r="T178" s="74">
        <f ca="1">IF(L178="","",DATE(INDEX(OFFSET(Arb!$C$2,,,Arb!$AJ$5,),L178),INDEX(OFFSET(Arb!$B$2,,,Arb!$AJ$5,),L178),INDEX(OFFSET(Arb!$A$2,,,Arb!$AJ$5,),L178))+ROW()*0.001)</f>
        <v>43800.178</v>
      </c>
      <c r="U178" s="11">
        <v>177</v>
      </c>
      <c r="V178" s="11">
        <v>3382</v>
      </c>
      <c r="W178" s="433">
        <f ca="1">IF(V178="",164,INDEX(OFFSET(Arb!$I$2,,,Arb!$AJ$5,),V178))</f>
        <v>181</v>
      </c>
      <c r="X178" s="34">
        <f ca="1">IF(V178="",240,INDEX(OFFSET(Arb!$H$2,,,Arb!$AJ$5,),V178))</f>
        <v>74.010000000000005</v>
      </c>
      <c r="Y178" s="33">
        <f t="shared" ca="1" si="24"/>
        <v>2.4456154573706255</v>
      </c>
      <c r="Z178" s="33">
        <f ca="1">IF(V178="","",INDEX(OFFSET(Arb!$X$2,,,Arb!$AJ$5,),V178)/X178)</f>
        <v>2.7293608971760572</v>
      </c>
      <c r="AA178" s="33">
        <f ca="1">IF(V178="","",(INDEX(OFFSET(Arb!$U$2,,,Arb!$AJ$5,),V178)+INDEX(OFFSET(Arb!$V$2,,,Arb!$AJ$5,),V178))/X178)</f>
        <v>3.4454803404945276</v>
      </c>
      <c r="AB178" s="33">
        <f t="shared" ca="1" si="25"/>
        <v>8.3198426416422926</v>
      </c>
      <c r="AC178" s="21">
        <f t="shared" ca="1" si="26"/>
        <v>52.284762913993418</v>
      </c>
      <c r="AD178" s="74">
        <f ca="1">IF(V178="","",DATE(INDEX(OFFSET(Arb!$C$2,,,Arb!$AJ$5,),V178),INDEX(OFFSET(Arb!$B$2,,,Arb!$AJ$5,),V178),INDEX(OFFSET(Arb!$A$2,,,Arb!$AJ$5,),V178))+ROW()*0.001)</f>
        <v>44135.178</v>
      </c>
    </row>
    <row r="179" spans="1:30" x14ac:dyDescent="0.25">
      <c r="A179" s="11">
        <v>178</v>
      </c>
      <c r="B179" s="11">
        <v>992</v>
      </c>
      <c r="C179" s="433">
        <f ca="1">IF(B179="",16,INDEX(OFFSET(Arb!$I$2,,,Arb!$AJ$5,),B179))</f>
        <v>27</v>
      </c>
      <c r="D179" s="34">
        <f ca="1">IF(B179="",10,INDEX(OFFSET(Arb!$H$2,,,Arb!$AJ$5,),B179))</f>
        <v>7.66</v>
      </c>
      <c r="E179" s="33">
        <f t="shared" ca="1" si="18"/>
        <v>3.524804177545692</v>
      </c>
      <c r="F179" s="33">
        <f ca="1">IF(B179="","",INDEX(OFFSET(Arb!$X$2,,,Arb!$AJ$5,),B179)/D179)</f>
        <v>4.5691906005221927</v>
      </c>
      <c r="G179" s="33">
        <f ca="1">IF(B179="","",(INDEX(OFFSET(Arb!$U$2,,,Arb!$AJ$5,),B179)+INDEX(OFFSET(Arb!$V$2,,,Arb!$AJ$5,),B179))/D179)</f>
        <v>5.0913838120104442</v>
      </c>
      <c r="H179" s="33">
        <f t="shared" ca="1" si="19"/>
        <v>1.1798455102329259</v>
      </c>
      <c r="I179" s="21">
        <f t="shared" ca="1" si="20"/>
        <v>40.089146917770783</v>
      </c>
      <c r="J179" s="74">
        <f ca="1">IF(B179="","",DATE(INDEX(OFFSET(Arb!$C$2,,,Arb!$AJ$5,),B179),INDEX(OFFSET(Arb!$B$2,,,Arb!$AJ$5,),B179),INDEX(OFFSET(Arb!$A$2,,,Arb!$AJ$5,),B179))+ROW()*0.001)</f>
        <v>43822.178999999996</v>
      </c>
      <c r="K179" s="11">
        <v>178</v>
      </c>
      <c r="L179" s="11">
        <v>2084</v>
      </c>
      <c r="M179" s="433">
        <f ca="1">IF(L179="",64,INDEX(OFFSET(Arb!$I$2,,,Arb!$AJ$5,),L179))</f>
        <v>70</v>
      </c>
      <c r="N179" s="34">
        <f ca="1">IF(L179="",60,INDEX(OFFSET(Arb!$H$2,,,Arb!$AJ$5,),L179))</f>
        <v>27.37</v>
      </c>
      <c r="O179" s="33">
        <f t="shared" ca="1" si="21"/>
        <v>2.5575447570332481</v>
      </c>
      <c r="P179" s="33">
        <f ca="1">IF(L179="","",INDEX(OFFSET(Arb!$X$2,,,Arb!$AJ$5,),L179)/N179)</f>
        <v>3.3978808914870293</v>
      </c>
      <c r="Q179" s="33">
        <f ca="1">IF(L179="","",(INDEX(OFFSET(Arb!$U$2,,,Arb!$AJ$5,),L179)+INDEX(OFFSET(Arb!$V$2,,,Arb!$AJ$5,),L179))/N179)</f>
        <v>3.8728534892217756</v>
      </c>
      <c r="R179" s="33">
        <f t="shared" ca="1" si="22"/>
        <v>3.9652366860551198</v>
      </c>
      <c r="S179" s="21">
        <f t="shared" ca="1" si="23"/>
        <v>38.769438540865714</v>
      </c>
      <c r="T179" s="74">
        <f ca="1">IF(L179="","",DATE(INDEX(OFFSET(Arb!$C$2,,,Arb!$AJ$5,),L179),INDEX(OFFSET(Arb!$B$2,,,Arb!$AJ$5,),L179),INDEX(OFFSET(Arb!$A$2,,,Arb!$AJ$5,),L179))+ROW()*0.001)</f>
        <v>43809.178999999996</v>
      </c>
      <c r="U179" s="11">
        <v>178</v>
      </c>
      <c r="V179" s="11">
        <v>2987</v>
      </c>
      <c r="W179" s="433">
        <f ca="1">IF(V179="",164,INDEX(OFFSET(Arb!$I$2,,,Arb!$AJ$5,),V179))</f>
        <v>183</v>
      </c>
      <c r="X179" s="34">
        <f ca="1">IF(V179="",240,INDEX(OFFSET(Arb!$H$2,,,Arb!$AJ$5,),V179))</f>
        <v>74.86</v>
      </c>
      <c r="Y179" s="33">
        <f t="shared" ca="1" si="24"/>
        <v>2.4445631846112743</v>
      </c>
      <c r="Z179" s="33">
        <f ca="1">IF(V179="","",INDEX(OFFSET(Arb!$X$2,,,Arb!$AJ$5,),V179)/X179)</f>
        <v>2.8987443227357734</v>
      </c>
      <c r="AA179" s="33">
        <f ca="1">IF(V179="","",(INDEX(OFFSET(Arb!$U$2,,,Arb!$AJ$5,),V179)+INDEX(OFFSET(Arb!$V$2,,,Arb!$AJ$5,),V179))/X179)</f>
        <v>3.1525514293347583</v>
      </c>
      <c r="AB179" s="33">
        <f t="shared" ca="1" si="25"/>
        <v>8.3902250302776764</v>
      </c>
      <c r="AC179" s="21">
        <f t="shared" ca="1" si="26"/>
        <v>51.846166036097785</v>
      </c>
      <c r="AD179" s="74">
        <f ca="1">IF(V179="","",DATE(INDEX(OFFSET(Arb!$C$2,,,Arb!$AJ$5,),V179),INDEX(OFFSET(Arb!$B$2,,,Arb!$AJ$5,),V179),INDEX(OFFSET(Arb!$A$2,,,Arb!$AJ$5,),V179))+ROW()*0.001)</f>
        <v>43956.178999999996</v>
      </c>
    </row>
    <row r="180" spans="1:30" x14ac:dyDescent="0.25">
      <c r="A180" s="11">
        <v>179</v>
      </c>
      <c r="B180" s="11">
        <v>1073</v>
      </c>
      <c r="C180" s="433">
        <f ca="1">IF(B180="",16,INDEX(OFFSET(Arb!$I$2,,,Arb!$AJ$5,),B180))</f>
        <v>25</v>
      </c>
      <c r="D180" s="34">
        <f ca="1">IF(B180="",10,INDEX(OFFSET(Arb!$H$2,,,Arb!$AJ$5,),B180))</f>
        <v>7.1</v>
      </c>
      <c r="E180" s="33">
        <f t="shared" ca="1" si="18"/>
        <v>3.5211267605633805</v>
      </c>
      <c r="F180" s="33">
        <f ca="1">IF(B180="","",INDEX(OFFSET(Arb!$X$2,,,Arb!$AJ$5,),B180)/D180)</f>
        <v>4.647887323943662</v>
      </c>
      <c r="G180" s="33">
        <f ca="1">IF(B180="","",(INDEX(OFFSET(Arb!$U$2,,,Arb!$AJ$5,),B180)+INDEX(OFFSET(Arb!$V$2,,,Arb!$AJ$5,),B180))/D180)</f>
        <v>5.352112676056338</v>
      </c>
      <c r="H180" s="33">
        <f t="shared" ca="1" si="19"/>
        <v>1.119951418483448</v>
      </c>
      <c r="I180" s="21">
        <f t="shared" ca="1" si="20"/>
        <v>42.233081917114461</v>
      </c>
      <c r="J180" s="74">
        <f ca="1">IF(B180="","",DATE(INDEX(OFFSET(Arb!$C$2,,,Arb!$AJ$5,),B180),INDEX(OFFSET(Arb!$B$2,,,Arb!$AJ$5,),B180),INDEX(OFFSET(Arb!$A$2,,,Arb!$AJ$5,),B180))+ROW()*0.001)</f>
        <v>43841.18</v>
      </c>
      <c r="K180" s="11">
        <v>179</v>
      </c>
      <c r="L180" s="11">
        <v>2108</v>
      </c>
      <c r="M180" s="433">
        <f ca="1">IF(L180="",64,INDEX(OFFSET(Arb!$I$2,,,Arb!$AJ$5,),L180))</f>
        <v>68</v>
      </c>
      <c r="N180" s="34">
        <f ca="1">IF(L180="",60,INDEX(OFFSET(Arb!$H$2,,,Arb!$AJ$5,),L180))</f>
        <v>26.6</v>
      </c>
      <c r="O180" s="33">
        <f t="shared" ca="1" si="21"/>
        <v>2.5563909774436091</v>
      </c>
      <c r="P180" s="33">
        <f ca="1">IF(L180="","",INDEX(OFFSET(Arb!$X$2,,,Arb!$AJ$5,),L180)/N180)</f>
        <v>3.2706766917293231</v>
      </c>
      <c r="Q180" s="33">
        <f ca="1">IF(L180="","",(INDEX(OFFSET(Arb!$U$2,,,Arb!$AJ$5,),L180)+INDEX(OFFSET(Arb!$V$2,,,Arb!$AJ$5,),L180))/N180)</f>
        <v>3.8721804511278193</v>
      </c>
      <c r="R180" s="33">
        <f t="shared" ca="1" si="22"/>
        <v>3.8885695367620476</v>
      </c>
      <c r="S180" s="21">
        <f t="shared" ca="1" si="23"/>
        <v>39.533817910842508</v>
      </c>
      <c r="T180" s="74">
        <f ca="1">IF(L180="","",DATE(INDEX(OFFSET(Arb!$C$2,,,Arb!$AJ$5,),L180),INDEX(OFFSET(Arb!$B$2,,,Arb!$AJ$5,),L180),INDEX(OFFSET(Arb!$A$2,,,Arb!$AJ$5,),L180))+ROW()*0.001)</f>
        <v>43811.18</v>
      </c>
      <c r="U180" s="11">
        <v>179</v>
      </c>
      <c r="V180" s="11">
        <v>3366</v>
      </c>
      <c r="W180" s="433">
        <f ca="1">IF(V180="",164,INDEX(OFFSET(Arb!$I$2,,,Arb!$AJ$5,),V180))</f>
        <v>200</v>
      </c>
      <c r="X180" s="34">
        <f ca="1">IF(V180="",240,INDEX(OFFSET(Arb!$H$2,,,Arb!$AJ$5,),V180))</f>
        <v>81.83</v>
      </c>
      <c r="Y180" s="33">
        <f t="shared" ca="1" si="24"/>
        <v>2.4440914090186974</v>
      </c>
      <c r="Z180" s="33">
        <f ca="1">IF(V180="","",INDEX(OFFSET(Arb!$X$2,,,Arb!$AJ$5,),V180)/X180)</f>
        <v>2.6029573506049126</v>
      </c>
      <c r="AA180" s="33">
        <f ca="1">IF(V180="","",(INDEX(OFFSET(Arb!$U$2,,,Arb!$AJ$5,),V180)+INDEX(OFFSET(Arb!$V$2,,,Arb!$AJ$5,),V180))/X180)</f>
        <v>2.8473664915067824</v>
      </c>
      <c r="AB180" s="33">
        <f t="shared" ca="1" si="25"/>
        <v>8.9314370444180309</v>
      </c>
      <c r="AC180" s="21">
        <f t="shared" ca="1" si="26"/>
        <v>48.704480346963528</v>
      </c>
      <c r="AD180" s="74">
        <f ca="1">IF(V180="","",DATE(INDEX(OFFSET(Arb!$C$2,,,Arb!$AJ$5,),V180),INDEX(OFFSET(Arb!$B$2,,,Arb!$AJ$5,),V180),INDEX(OFFSET(Arb!$A$2,,,Arb!$AJ$5,),V180))+ROW()*0.001)</f>
        <v>44115.18</v>
      </c>
    </row>
    <row r="181" spans="1:30" x14ac:dyDescent="0.25">
      <c r="A181" s="11">
        <v>180</v>
      </c>
      <c r="B181" s="11">
        <v>62</v>
      </c>
      <c r="C181" s="433">
        <f ca="1">IF(B181="",16,INDEX(OFFSET(Arb!$I$2,,,Arb!$AJ$5,),B181))</f>
        <v>28</v>
      </c>
      <c r="D181" s="34">
        <f ca="1">IF(B181="",10,INDEX(OFFSET(Arb!$H$2,,,Arb!$AJ$5,),B181))</f>
        <v>7.96</v>
      </c>
      <c r="E181" s="33">
        <f t="shared" ca="1" si="18"/>
        <v>3.5175879396984926</v>
      </c>
      <c r="F181" s="33">
        <f ca="1">IF(B181="","",INDEX(OFFSET(Arb!$X$2,,,Arb!$AJ$5,),B181)/D181)</f>
        <v>4.0201005025125625</v>
      </c>
      <c r="G181" s="33">
        <f ca="1">IF(B181="","",(INDEX(OFFSET(Arb!$U$2,,,Arb!$AJ$5,),B181)+INDEX(OFFSET(Arb!$V$2,,,Arb!$AJ$5,),B181))/D181)</f>
        <v>4.5226130653266328</v>
      </c>
      <c r="H181" s="33">
        <f t="shared" ca="1" si="19"/>
        <v>1.2144906728220437</v>
      </c>
      <c r="I181" s="21">
        <f t="shared" ca="1" si="20"/>
        <v>38.945544052713039</v>
      </c>
      <c r="J181" s="74">
        <f ca="1">IF(B181="","",DATE(INDEX(OFFSET(Arb!$C$2,,,Arb!$AJ$5,),B181),INDEX(OFFSET(Arb!$B$2,,,Arb!$AJ$5,),B181),INDEX(OFFSET(Arb!$A$2,,,Arb!$AJ$5,),B181))+ROW()*0.001)</f>
        <v>43766.180999999997</v>
      </c>
      <c r="K181" s="11">
        <v>180</v>
      </c>
      <c r="L181" s="11">
        <v>1918</v>
      </c>
      <c r="M181" s="433">
        <f ca="1">IF(L181="",64,INDEX(OFFSET(Arb!$I$2,,,Arb!$AJ$5,),L181))</f>
        <v>58</v>
      </c>
      <c r="N181" s="34">
        <f ca="1">IF(L181="",60,INDEX(OFFSET(Arb!$H$2,,,Arb!$AJ$5,),L181))</f>
        <v>22.69</v>
      </c>
      <c r="O181" s="33">
        <f t="shared" ca="1" si="21"/>
        <v>2.5561921551344202</v>
      </c>
      <c r="P181" s="33">
        <f ca="1">IF(L181="","",INDEX(OFFSET(Arb!$X$2,,,Arb!$AJ$5,),L181)/N181)</f>
        <v>3.2613486117232258</v>
      </c>
      <c r="Q181" s="33">
        <f ca="1">IF(L181="","",(INDEX(OFFSET(Arb!$U$2,,,Arb!$AJ$5,),L181)+INDEX(OFFSET(Arb!$V$2,,,Arb!$AJ$5,),L181))/N181)</f>
        <v>3.7902159541648301</v>
      </c>
      <c r="R181" s="33">
        <f t="shared" ca="1" si="22"/>
        <v>3.479290164978194</v>
      </c>
      <c r="S181" s="21">
        <f t="shared" ca="1" si="23"/>
        <v>44.184299874558889</v>
      </c>
      <c r="T181" s="74">
        <f ca="1">IF(L181="","",DATE(INDEX(OFFSET(Arb!$C$2,,,Arb!$AJ$5,),L181),INDEX(OFFSET(Arb!$B$2,,,Arb!$AJ$5,),L181),INDEX(OFFSET(Arb!$A$2,,,Arb!$AJ$5,),L181))+ROW()*0.001)</f>
        <v>43769.180999999997</v>
      </c>
      <c r="U181" s="11">
        <v>180</v>
      </c>
      <c r="V181" s="11">
        <v>3405</v>
      </c>
      <c r="W181" s="433">
        <f ca="1">IF(V181="",164,INDEX(OFFSET(Arb!$I$2,,,Arb!$AJ$5,),V181))</f>
        <v>172</v>
      </c>
      <c r="X181" s="34">
        <f ca="1">IF(V181="",240,INDEX(OFFSET(Arb!$H$2,,,Arb!$AJ$5,),V181))</f>
        <v>70.38</v>
      </c>
      <c r="Y181" s="33">
        <f t="shared" ca="1" si="24"/>
        <v>2.4438761011651038</v>
      </c>
      <c r="Z181" s="33">
        <f ca="1">IF(V181="","",INDEX(OFFSET(Arb!$X$2,,,Arb!$AJ$5,),V181)/X181)</f>
        <v>2.4865018471156581</v>
      </c>
      <c r="AA181" s="33">
        <f ca="1">IF(V181="","",(INDEX(OFFSET(Arb!$U$2,,,Arb!$AJ$5,),V181)+INDEX(OFFSET(Arb!$V$2,,,Arb!$AJ$5,),V181))/X181)</f>
        <v>2.770673486786019</v>
      </c>
      <c r="AB181" s="33">
        <f t="shared" ca="1" si="25"/>
        <v>8.0377649030175995</v>
      </c>
      <c r="AC181" s="21">
        <f t="shared" ca="1" si="26"/>
        <v>54.119647097004361</v>
      </c>
      <c r="AD181" s="74">
        <f ca="1">IF(V181="","",DATE(INDEX(OFFSET(Arb!$C$2,,,Arb!$AJ$5,),V181),INDEX(OFFSET(Arb!$B$2,,,Arb!$AJ$5,),V181),INDEX(OFFSET(Arb!$A$2,,,Arb!$AJ$5,),V181))+ROW()*0.001)</f>
        <v>44146.180999999997</v>
      </c>
    </row>
    <row r="182" spans="1:30" x14ac:dyDescent="0.25">
      <c r="A182" s="11">
        <v>181</v>
      </c>
      <c r="B182" s="11">
        <v>1465</v>
      </c>
      <c r="C182" s="433">
        <f ca="1">IF(B182="",16,INDEX(OFFSET(Arb!$I$2,,,Arb!$AJ$5,),B182))</f>
        <v>11</v>
      </c>
      <c r="D182" s="34">
        <f ca="1">IF(B182="",10,INDEX(OFFSET(Arb!$H$2,,,Arb!$AJ$5,),B182))</f>
        <v>3.13</v>
      </c>
      <c r="E182" s="33">
        <f t="shared" ca="1" si="18"/>
        <v>3.5143769968051117</v>
      </c>
      <c r="F182" s="33">
        <f ca="1">IF(B182="","",INDEX(OFFSET(Arb!$X$2,,,Arb!$AJ$5,),B182)/D182)</f>
        <v>3.8338658146964857</v>
      </c>
      <c r="G182" s="33">
        <f ca="1">IF(B182="","",(INDEX(OFFSET(Arb!$U$2,,,Arb!$AJ$5,),B182)+INDEX(OFFSET(Arb!$V$2,,,Arb!$AJ$5,),B182))/D182)</f>
        <v>4.4728434504792336</v>
      </c>
      <c r="H182" s="33">
        <f t="shared" ca="1" si="19"/>
        <v>0.63245945382493141</v>
      </c>
      <c r="I182" s="21">
        <f t="shared" ca="1" si="20"/>
        <v>74.785821785016196</v>
      </c>
      <c r="J182" s="74">
        <f ca="1">IF(B182="","",DATE(INDEX(OFFSET(Arb!$C$2,,,Arb!$AJ$5,),B182),INDEX(OFFSET(Arb!$B$2,,,Arb!$AJ$5,),B182),INDEX(OFFSET(Arb!$A$2,,,Arb!$AJ$5,),B182))+ROW()*0.001)</f>
        <v>43952.182000000001</v>
      </c>
      <c r="K182" s="11">
        <v>181</v>
      </c>
      <c r="L182" s="11">
        <v>2066</v>
      </c>
      <c r="M182" s="433">
        <f ca="1">IF(L182="",64,INDEX(OFFSET(Arb!$I$2,,,Arb!$AJ$5,),L182))</f>
        <v>61</v>
      </c>
      <c r="N182" s="34">
        <f ca="1">IF(L182="",60,INDEX(OFFSET(Arb!$H$2,,,Arb!$AJ$5,),L182))</f>
        <v>23.87</v>
      </c>
      <c r="O182" s="33">
        <f t="shared" ca="1" si="21"/>
        <v>2.5555090071219104</v>
      </c>
      <c r="P182" s="33">
        <f ca="1">IF(L182="","",INDEX(OFFSET(Arb!$X$2,,,Arb!$AJ$5,),L182)/N182)</f>
        <v>3.26770004189359</v>
      </c>
      <c r="Q182" s="33">
        <f ca="1">IF(L182="","",(INDEX(OFFSET(Arb!$U$2,,,Arb!$AJ$5,),L182)+INDEX(OFFSET(Arb!$V$2,,,Arb!$AJ$5,),L182))/N182)</f>
        <v>3.6028487641390865</v>
      </c>
      <c r="R182" s="33">
        <f t="shared" ca="1" si="22"/>
        <v>3.6059464860654811</v>
      </c>
      <c r="S182" s="21">
        <f t="shared" ca="1" si="23"/>
        <v>42.632357577701548</v>
      </c>
      <c r="T182" s="74">
        <f ca="1">IF(L182="","",DATE(INDEX(OFFSET(Arb!$C$2,,,Arb!$AJ$5,),L182),INDEX(OFFSET(Arb!$B$2,,,Arb!$AJ$5,),L182),INDEX(OFFSET(Arb!$A$2,,,Arb!$AJ$5,),L182))+ROW()*0.001)</f>
        <v>43800.182000000001</v>
      </c>
      <c r="U182" s="11">
        <v>181</v>
      </c>
      <c r="V182" s="11">
        <v>3104</v>
      </c>
      <c r="W182" s="433">
        <f ca="1">IF(V182="",164,INDEX(OFFSET(Arb!$I$2,,,Arb!$AJ$5,),V182))</f>
        <v>171</v>
      </c>
      <c r="X182" s="34">
        <f ca="1">IF(V182="",240,INDEX(OFFSET(Arb!$H$2,,,Arb!$AJ$5,),V182))</f>
        <v>69.98</v>
      </c>
      <c r="Y182" s="33">
        <f t="shared" ca="1" si="24"/>
        <v>2.4435553015147184</v>
      </c>
      <c r="Z182" s="33">
        <f ca="1">IF(V182="","",INDEX(OFFSET(Arb!$X$2,,,Arb!$AJ$5,),V182)/X182)</f>
        <v>2.9436981994855671</v>
      </c>
      <c r="AA182" s="33">
        <f ca="1">IF(V182="","",(INDEX(OFFSET(Arb!$U$2,,,Arb!$AJ$5,),V182)+INDEX(OFFSET(Arb!$V$2,,,Arb!$AJ$5,),V182))/X182)</f>
        <v>3.2580737353529576</v>
      </c>
      <c r="AB182" s="33">
        <f t="shared" ca="1" si="25"/>
        <v>8.0068111347454121</v>
      </c>
      <c r="AC182" s="21">
        <f t="shared" ca="1" si="26"/>
        <v>54.328869843366355</v>
      </c>
      <c r="AD182" s="74">
        <f ca="1">IF(V182="","",DATE(INDEX(OFFSET(Arb!$C$2,,,Arb!$AJ$5,),V182),INDEX(OFFSET(Arb!$B$2,,,Arb!$AJ$5,),V182),INDEX(OFFSET(Arb!$A$2,,,Arb!$AJ$5,),V182))+ROW()*0.001)</f>
        <v>44005.182000000001</v>
      </c>
    </row>
    <row r="183" spans="1:30" x14ac:dyDescent="0.25">
      <c r="A183" s="11">
        <v>182</v>
      </c>
      <c r="B183" s="11">
        <v>655</v>
      </c>
      <c r="C183" s="433">
        <f ca="1">IF(B183="",16,INDEX(OFFSET(Arb!$I$2,,,Arb!$AJ$5,),B183))</f>
        <v>17</v>
      </c>
      <c r="D183" s="34">
        <f ca="1">IF(B183="",10,INDEX(OFFSET(Arb!$H$2,,,Arb!$AJ$5,),B183))</f>
        <v>4.84</v>
      </c>
      <c r="E183" s="33">
        <f t="shared" ca="1" si="18"/>
        <v>3.5123966942148761</v>
      </c>
      <c r="F183" s="33">
        <f ca="1">IF(B183="","",INDEX(OFFSET(Arb!$X$2,,,Arb!$AJ$5,),B183)/D183)</f>
        <v>3.9256198347107438</v>
      </c>
      <c r="G183" s="33">
        <f ca="1">IF(B183="","",(INDEX(OFFSET(Arb!$U$2,,,Arb!$AJ$5,),B183)+INDEX(OFFSET(Arb!$V$2,,,Arb!$AJ$5,),B183))/D183)</f>
        <v>4.338842975206612</v>
      </c>
      <c r="H183" s="33">
        <f t="shared" ca="1" si="19"/>
        <v>0.85859468045197751</v>
      </c>
      <c r="I183" s="21">
        <f t="shared" ca="1" si="20"/>
        <v>55.088857498046778</v>
      </c>
      <c r="J183" s="74">
        <f ca="1">IF(B183="","",DATE(INDEX(OFFSET(Arb!$C$2,,,Arb!$AJ$5,),B183),INDEX(OFFSET(Arb!$B$2,,,Arb!$AJ$5,),B183),INDEX(OFFSET(Arb!$A$2,,,Arb!$AJ$5,),B183))+ROW()*0.001)</f>
        <v>43800.182999999997</v>
      </c>
      <c r="K183" s="11">
        <v>182</v>
      </c>
      <c r="L183" s="11">
        <v>2113</v>
      </c>
      <c r="M183" s="433">
        <f ca="1">IF(L183="",64,INDEX(OFFSET(Arb!$I$2,,,Arb!$AJ$5,),L183))</f>
        <v>59</v>
      </c>
      <c r="N183" s="34">
        <f ca="1">IF(L183="",60,INDEX(OFFSET(Arb!$H$2,,,Arb!$AJ$5,),L183))</f>
        <v>23.09</v>
      </c>
      <c r="O183" s="33">
        <f t="shared" ca="1" si="21"/>
        <v>2.5552187093980079</v>
      </c>
      <c r="P183" s="33">
        <f ca="1">IF(L183="","",INDEX(OFFSET(Arb!$X$2,,,Arb!$AJ$5,),L183)/N183)</f>
        <v>3.2048505846686877</v>
      </c>
      <c r="Q183" s="33">
        <f ca="1">IF(L183="","",(INDEX(OFFSET(Arb!$U$2,,,Arb!$AJ$5,),L183)+INDEX(OFFSET(Arb!$V$2,,,Arb!$AJ$5,),L183))/N183)</f>
        <v>3.8111736682546558</v>
      </c>
      <c r="R183" s="33">
        <f t="shared" ca="1" si="22"/>
        <v>3.5234545543036306</v>
      </c>
      <c r="S183" s="21">
        <f t="shared" ca="1" si="23"/>
        <v>43.630476179189124</v>
      </c>
      <c r="T183" s="74">
        <f ca="1">IF(L183="","",DATE(INDEX(OFFSET(Arb!$C$2,,,Arb!$AJ$5,),L183),INDEX(OFFSET(Arb!$B$2,,,Arb!$AJ$5,),L183),INDEX(OFFSET(Arb!$A$2,,,Arb!$AJ$5,),L183))+ROW()*0.001)</f>
        <v>43811.182999999997</v>
      </c>
      <c r="U183" s="11">
        <v>182</v>
      </c>
      <c r="V183" s="11">
        <v>3448</v>
      </c>
      <c r="W183" s="433">
        <f ca="1">IF(V183="",164,INDEX(OFFSET(Arb!$I$2,,,Arb!$AJ$5,),V183))</f>
        <v>176</v>
      </c>
      <c r="X183" s="34">
        <f ca="1">IF(V183="",240,INDEX(OFFSET(Arb!$H$2,,,Arb!$AJ$5,),V183))</f>
        <v>72.12</v>
      </c>
      <c r="Y183" s="33">
        <f t="shared" ca="1" si="24"/>
        <v>2.4403771491957849</v>
      </c>
      <c r="Z183" s="33">
        <f ca="1">IF(V183="","",INDEX(OFFSET(Arb!$X$2,,,Arb!$AJ$5,),V183)/X183)</f>
        <v>2.7315585135884635</v>
      </c>
      <c r="AA183" s="33">
        <f ca="1">IF(V183="","",(INDEX(OFFSET(Arb!$U$2,,,Arb!$AJ$5,),V183)+INDEX(OFFSET(Arb!$V$2,,,Arb!$AJ$5,),V183))/X183)</f>
        <v>3.0366056572379367</v>
      </c>
      <c r="AB183" s="33">
        <f t="shared" ca="1" si="25"/>
        <v>8.1880795413408762</v>
      </c>
      <c r="AC183" s="21">
        <f t="shared" ca="1" si="26"/>
        <v>53.126132666850523</v>
      </c>
      <c r="AD183" s="74">
        <f ca="1">IF(V183="","",DATE(INDEX(OFFSET(Arb!$C$2,,,Arb!$AJ$5,),V183),INDEX(OFFSET(Arb!$B$2,,,Arb!$AJ$5,),V183),INDEX(OFFSET(Arb!$A$2,,,Arb!$AJ$5,),V183))+ROW()*0.001)</f>
        <v>44177.182999999997</v>
      </c>
    </row>
    <row r="184" spans="1:30" x14ac:dyDescent="0.25">
      <c r="A184" s="11">
        <v>183</v>
      </c>
      <c r="B184" s="11">
        <v>383</v>
      </c>
      <c r="C184" s="433">
        <f ca="1">IF(B184="",16,INDEX(OFFSET(Arb!$I$2,,,Arb!$AJ$5,),B184))</f>
        <v>17</v>
      </c>
      <c r="D184" s="34">
        <f ca="1">IF(B184="",10,INDEX(OFFSET(Arb!$H$2,,,Arb!$AJ$5,),B184))</f>
        <v>4.84</v>
      </c>
      <c r="E184" s="33">
        <f t="shared" ca="1" si="18"/>
        <v>3.5123966942148761</v>
      </c>
      <c r="F184" s="33">
        <f ca="1">IF(B184="","",INDEX(OFFSET(Arb!$X$2,,,Arb!$AJ$5,),B184)/D184)</f>
        <v>4.1322314049586781</v>
      </c>
      <c r="G184" s="33">
        <f ca="1">IF(B184="","",(INDEX(OFFSET(Arb!$U$2,,,Arb!$AJ$5,),B184)+INDEX(OFFSET(Arb!$V$2,,,Arb!$AJ$5,),B184))/D184)</f>
        <v>4.338842975206612</v>
      </c>
      <c r="H184" s="33">
        <f t="shared" ca="1" si="19"/>
        <v>0.85859468045197751</v>
      </c>
      <c r="I184" s="21">
        <f t="shared" ca="1" si="20"/>
        <v>55.088857498046778</v>
      </c>
      <c r="J184" s="74">
        <f ca="1">IF(B184="","",DATE(INDEX(OFFSET(Arb!$C$2,,,Arb!$AJ$5,),B184),INDEX(OFFSET(Arb!$B$2,,,Arb!$AJ$5,),B184),INDEX(OFFSET(Arb!$A$2,,,Arb!$AJ$5,),B184))+ROW()*0.001)</f>
        <v>43781.184000000001</v>
      </c>
      <c r="K184" s="11">
        <v>183</v>
      </c>
      <c r="L184" s="11">
        <v>2018</v>
      </c>
      <c r="M184" s="433">
        <f ca="1">IF(L184="",64,INDEX(OFFSET(Arb!$I$2,,,Arb!$AJ$5,),L184))</f>
        <v>58</v>
      </c>
      <c r="N184" s="34">
        <f ca="1">IF(L184="",60,INDEX(OFFSET(Arb!$H$2,,,Arb!$AJ$5,),L184))</f>
        <v>22.7</v>
      </c>
      <c r="O184" s="33">
        <f t="shared" ca="1" si="21"/>
        <v>2.5550660792951541</v>
      </c>
      <c r="P184" s="33">
        <f ca="1">IF(L184="","",INDEX(OFFSET(Arb!$X$2,,,Arb!$AJ$5,),L184)/N184)</f>
        <v>3.1718061674008813</v>
      </c>
      <c r="Q184" s="33">
        <f ca="1">IF(L184="","",(INDEX(OFFSET(Arb!$U$2,,,Arb!$AJ$5,),L184)+INDEX(OFFSET(Arb!$V$2,,,Arb!$AJ$5,),L184))/N184)</f>
        <v>3.4361233480176212</v>
      </c>
      <c r="R184" s="33">
        <f t="shared" ca="1" si="22"/>
        <v>3.4818973512341289</v>
      </c>
      <c r="S184" s="21">
        <f t="shared" ca="1" si="23"/>
        <v>44.151215412916095</v>
      </c>
      <c r="T184" s="74">
        <f ca="1">IF(L184="","",DATE(INDEX(OFFSET(Arb!$C$2,,,Arb!$AJ$5,),L184),INDEX(OFFSET(Arb!$B$2,,,Arb!$AJ$5,),L184),INDEX(OFFSET(Arb!$A$2,,,Arb!$AJ$5,),L184))+ROW()*0.001)</f>
        <v>43795.184000000001</v>
      </c>
      <c r="U184" s="11">
        <v>183</v>
      </c>
      <c r="V184" s="11">
        <v>2604</v>
      </c>
      <c r="W184" s="433">
        <f ca="1">IF(V184="",164,INDEX(OFFSET(Arb!$I$2,,,Arb!$AJ$5,),V184))</f>
        <v>185</v>
      </c>
      <c r="X184" s="34">
        <f ca="1">IF(V184="",240,INDEX(OFFSET(Arb!$H$2,,,Arb!$AJ$5,),V184))</f>
        <v>75.819999999999993</v>
      </c>
      <c r="Y184" s="33">
        <f t="shared" ca="1" si="24"/>
        <v>2.4399894486942761</v>
      </c>
      <c r="Z184" s="33">
        <f ca="1">IF(V184="","",INDEX(OFFSET(Arb!$X$2,,,Arb!$AJ$5,),V184)/X184)</f>
        <v>2.8224742811922976</v>
      </c>
      <c r="AA184" s="33">
        <f ca="1">IF(V184="","",(INDEX(OFFSET(Arb!$U$2,,,Arb!$AJ$5,),V184)+INDEX(OFFSET(Arb!$V$2,,,Arb!$AJ$5,),V184))/X184)</f>
        <v>2.980743867053548</v>
      </c>
      <c r="AB184" s="33">
        <f t="shared" ca="1" si="25"/>
        <v>8.4812662625627198</v>
      </c>
      <c r="AC184" s="21">
        <f t="shared" ca="1" si="26"/>
        <v>51.289628993272409</v>
      </c>
      <c r="AD184" s="74">
        <f ca="1">IF(V184="","",DATE(INDEX(OFFSET(Arb!$C$2,,,Arb!$AJ$5,),V184),INDEX(OFFSET(Arb!$B$2,,,Arb!$AJ$5,),V184),INDEX(OFFSET(Arb!$A$2,,,Arb!$AJ$5,),V184))+ROW()*0.001)</f>
        <v>43809.184000000001</v>
      </c>
    </row>
    <row r="185" spans="1:30" x14ac:dyDescent="0.25">
      <c r="A185" s="11">
        <v>184</v>
      </c>
      <c r="B185" s="11">
        <v>1683</v>
      </c>
      <c r="C185" s="433">
        <f ca="1">IF(B185="",16,INDEX(OFFSET(Arb!$I$2,,,Arb!$AJ$5,),B185))</f>
        <v>19</v>
      </c>
      <c r="D185" s="34">
        <f ca="1">IF(B185="",10,INDEX(OFFSET(Arb!$H$2,,,Arb!$AJ$5,),B185))</f>
        <v>5.41</v>
      </c>
      <c r="E185" s="33">
        <f t="shared" ca="1" si="18"/>
        <v>3.512014787430684</v>
      </c>
      <c r="F185" s="33">
        <f ca="1">IF(B185="","",INDEX(OFFSET(Arb!$X$2,,,Arb!$AJ$5,),B185)/D185)</f>
        <v>3.3271719038817005</v>
      </c>
      <c r="G185" s="33">
        <f ca="1">IF(B185="","",(INDEX(OFFSET(Arb!$U$2,,,Arb!$AJ$5,),B185)+INDEX(OFFSET(Arb!$V$2,,,Arb!$AJ$5,),B185))/D185)</f>
        <v>4.066543438077634</v>
      </c>
      <c r="H185" s="33">
        <f t="shared" ca="1" si="19"/>
        <v>0.92828589112529902</v>
      </c>
      <c r="I185" s="21">
        <f t="shared" ca="1" si="20"/>
        <v>50.953052774143295</v>
      </c>
      <c r="J185" s="74">
        <f ca="1">IF(B185="","",DATE(INDEX(OFFSET(Arb!$C$2,,,Arb!$AJ$5,),B185),INDEX(OFFSET(Arb!$B$2,,,Arb!$AJ$5,),B185),INDEX(OFFSET(Arb!$A$2,,,Arb!$AJ$5,),B185))+ROW()*0.001)</f>
        <v>44106.184999999998</v>
      </c>
      <c r="K185" s="11">
        <v>184</v>
      </c>
      <c r="L185" s="11">
        <v>2134</v>
      </c>
      <c r="M185" s="433">
        <f ca="1">IF(L185="",64,INDEX(OFFSET(Arb!$I$2,,,Arb!$AJ$5,),L185))</f>
        <v>64</v>
      </c>
      <c r="N185" s="34">
        <f ca="1">IF(L185="",60,INDEX(OFFSET(Arb!$H$2,,,Arb!$AJ$5,),L185))</f>
        <v>25.05</v>
      </c>
      <c r="O185" s="33">
        <f t="shared" ca="1" si="21"/>
        <v>2.5548902195608783</v>
      </c>
      <c r="P185" s="33">
        <f ca="1">IF(L185="","",INDEX(OFFSET(Arb!$X$2,,,Arb!$AJ$5,),L185)/N185)</f>
        <v>3.2734530938123751</v>
      </c>
      <c r="Q185" s="33">
        <f ca="1">IF(L185="","",(INDEX(OFFSET(Arb!$U$2,,,Arb!$AJ$5,),L185)+INDEX(OFFSET(Arb!$V$2,,,Arb!$AJ$5,),L185))/N185)</f>
        <v>3.8722554890219558</v>
      </c>
      <c r="R185" s="33">
        <f t="shared" ca="1" si="22"/>
        <v>3.7307243982389364</v>
      </c>
      <c r="S185" s="21">
        <f t="shared" ca="1" si="23"/>
        <v>41.206474558283432</v>
      </c>
      <c r="T185" s="74">
        <f ca="1">IF(L185="","",DATE(INDEX(OFFSET(Arb!$C$2,,,Arb!$AJ$5,),L185),INDEX(OFFSET(Arb!$B$2,,,Arb!$AJ$5,),L185),INDEX(OFFSET(Arb!$A$2,,,Arb!$AJ$5,),L185))+ROW()*0.001)</f>
        <v>43817.184999999998</v>
      </c>
      <c r="U185" s="11">
        <v>184</v>
      </c>
      <c r="V185" s="11">
        <v>2748</v>
      </c>
      <c r="W185" s="433">
        <f ca="1">IF(V185="",164,INDEX(OFFSET(Arb!$I$2,,,Arb!$AJ$5,),V185))</f>
        <v>195</v>
      </c>
      <c r="X185" s="34">
        <f ca="1">IF(V185="",240,INDEX(OFFSET(Arb!$H$2,,,Arb!$AJ$5,),V185))</f>
        <v>79.930000000000007</v>
      </c>
      <c r="Y185" s="33">
        <f t="shared" ca="1" si="24"/>
        <v>2.4396346803453017</v>
      </c>
      <c r="Z185" s="33">
        <f ca="1">IF(V185="","",INDEX(OFFSET(Arb!$X$2,,,Arb!$AJ$5,),V185)/X185)</f>
        <v>2.8274740397848115</v>
      </c>
      <c r="AA185" s="33">
        <f ca="1">IF(V185="","",(INDEX(OFFSET(Arb!$U$2,,,Arb!$AJ$5,),V185)+INDEX(OFFSET(Arb!$V$2,,,Arb!$AJ$5,),V185))/X185)</f>
        <v>3.2028024521456273</v>
      </c>
      <c r="AB185" s="33">
        <f t="shared" ca="1" si="25"/>
        <v>8.8018116465370735</v>
      </c>
      <c r="AC185" s="21">
        <f t="shared" ca="1" si="26"/>
        <v>49.421757414127796</v>
      </c>
      <c r="AD185" s="74">
        <f ca="1">IF(V185="","",DATE(INDEX(OFFSET(Arb!$C$2,,,Arb!$AJ$5,),V185),INDEX(OFFSET(Arb!$B$2,,,Arb!$AJ$5,),V185),INDEX(OFFSET(Arb!$A$2,,,Arb!$AJ$5,),V185))+ROW()*0.001)</f>
        <v>43881.184999999998</v>
      </c>
    </row>
    <row r="186" spans="1:30" x14ac:dyDescent="0.25">
      <c r="A186" s="11">
        <v>185</v>
      </c>
      <c r="B186" s="11">
        <v>774</v>
      </c>
      <c r="C186" s="433">
        <f ca="1">IF(B186="",16,INDEX(OFFSET(Arb!$I$2,,,Arb!$AJ$5,),B186))</f>
        <v>30</v>
      </c>
      <c r="D186" s="34">
        <f ca="1">IF(B186="",10,INDEX(OFFSET(Arb!$H$2,,,Arb!$AJ$5,),B186))</f>
        <v>8.5500000000000007</v>
      </c>
      <c r="E186" s="33">
        <f t="shared" ca="1" si="18"/>
        <v>3.5087719298245612</v>
      </c>
      <c r="F186" s="33">
        <f ca="1">IF(B186="","",INDEX(OFFSET(Arb!$X$2,,,Arb!$AJ$5,),B186)/D186)</f>
        <v>3.8596491228070171</v>
      </c>
      <c r="G186" s="33">
        <f ca="1">IF(B186="","",(INDEX(OFFSET(Arb!$U$2,,,Arb!$AJ$5,),B186)+INDEX(OFFSET(Arb!$V$2,,,Arb!$AJ$5,),B186))/D186)</f>
        <v>4.4444444444444438</v>
      </c>
      <c r="H186" s="33">
        <f t="shared" ca="1" si="19"/>
        <v>1.2800329238398134</v>
      </c>
      <c r="I186" s="21">
        <f t="shared" ca="1" si="20"/>
        <v>36.951393295504886</v>
      </c>
      <c r="J186" s="74">
        <f ca="1">IF(B186="","",DATE(INDEX(OFFSET(Arb!$C$2,,,Arb!$AJ$5,),B186),INDEX(OFFSET(Arb!$B$2,,,Arb!$AJ$5,),B186),INDEX(OFFSET(Arb!$A$2,,,Arb!$AJ$5,),B186))+ROW()*0.001)</f>
        <v>43809.186000000002</v>
      </c>
      <c r="K186" s="11">
        <v>185</v>
      </c>
      <c r="L186" s="11">
        <v>1921</v>
      </c>
      <c r="M186" s="433">
        <f ca="1">IF(L186="",64,INDEX(OFFSET(Arb!$I$2,,,Arb!$AJ$5,),L186))</f>
        <v>71</v>
      </c>
      <c r="N186" s="34">
        <f ca="1">IF(L186="",60,INDEX(OFFSET(Arb!$H$2,,,Arb!$AJ$5,),L186))</f>
        <v>27.8</v>
      </c>
      <c r="O186" s="33">
        <f t="shared" ca="1" si="21"/>
        <v>2.5539568345323742</v>
      </c>
      <c r="P186" s="33">
        <f ca="1">IF(L186="","",INDEX(OFFSET(Arb!$X$2,,,Arb!$AJ$5,),L186)/N186)</f>
        <v>3.0575539568345325</v>
      </c>
      <c r="Q186" s="33">
        <f ca="1">IF(L186="","",(INDEX(OFFSET(Arb!$U$2,,,Arb!$AJ$5,),L186)+INDEX(OFFSET(Arb!$V$2,,,Arb!$AJ$5,),L186))/N186)</f>
        <v>3.4172661870503598</v>
      </c>
      <c r="R186" s="33">
        <f t="shared" ca="1" si="22"/>
        <v>4.0143737519830722</v>
      </c>
      <c r="S186" s="21">
        <f t="shared" ca="1" si="23"/>
        <v>38.294889688350132</v>
      </c>
      <c r="T186" s="74">
        <f ca="1">IF(L186="","",DATE(INDEX(OFFSET(Arb!$C$2,,,Arb!$AJ$5,),L186),INDEX(OFFSET(Arb!$B$2,,,Arb!$AJ$5,),L186),INDEX(OFFSET(Arb!$A$2,,,Arb!$AJ$5,),L186))+ROW()*0.001)</f>
        <v>43769.186000000002</v>
      </c>
      <c r="U186" s="11">
        <v>185</v>
      </c>
      <c r="V186" s="11">
        <v>3045</v>
      </c>
      <c r="W186" s="433">
        <f ca="1">IF(V186="",164,INDEX(OFFSET(Arb!$I$2,,,Arb!$AJ$5,),V186))</f>
        <v>188</v>
      </c>
      <c r="X186" s="34">
        <f ca="1">IF(V186="",240,INDEX(OFFSET(Arb!$H$2,,,Arb!$AJ$5,),V186))</f>
        <v>77.09</v>
      </c>
      <c r="Y186" s="33">
        <f t="shared" ca="1" si="24"/>
        <v>2.4387080036321183</v>
      </c>
      <c r="Z186" s="33">
        <f ca="1">IF(V186="","",INDEX(OFFSET(Arb!$X$2,,,Arb!$AJ$5,),V186)/X186)</f>
        <v>2.8667790893760539</v>
      </c>
      <c r="AA186" s="33">
        <f ca="1">IF(V186="","",(INDEX(OFFSET(Arb!$U$2,,,Arb!$AJ$5,),V186)+INDEX(OFFSET(Arb!$V$2,,,Arb!$AJ$5,),V186))/X186)</f>
        <v>3.1521598132053441</v>
      </c>
      <c r="AB186" s="33">
        <f t="shared" ca="1" si="25"/>
        <v>8.5849709194057109</v>
      </c>
      <c r="AC186" s="21">
        <f t="shared" ca="1" si="26"/>
        <v>50.670060980254625</v>
      </c>
      <c r="AD186" s="74">
        <f ca="1">IF(V186="","",DATE(INDEX(OFFSET(Arb!$C$2,,,Arb!$AJ$5,),V186),INDEX(OFFSET(Arb!$B$2,,,Arb!$AJ$5,),V186),INDEX(OFFSET(Arb!$A$2,,,Arb!$AJ$5,),V186))+ROW()*0.001)</f>
        <v>43980.186000000002</v>
      </c>
    </row>
    <row r="187" spans="1:30" x14ac:dyDescent="0.25">
      <c r="A187" s="11">
        <v>186</v>
      </c>
      <c r="B187" s="11">
        <v>1331</v>
      </c>
      <c r="C187" s="433">
        <f ca="1">IF(B187="",16,INDEX(OFFSET(Arb!$I$2,,,Arb!$AJ$5,),B187))</f>
        <v>31</v>
      </c>
      <c r="D187" s="34">
        <f ca="1">IF(B187="",10,INDEX(OFFSET(Arb!$H$2,,,Arb!$AJ$5,),B187))</f>
        <v>8.84</v>
      </c>
      <c r="E187" s="33">
        <f t="shared" ca="1" si="18"/>
        <v>3.5067873303167421</v>
      </c>
      <c r="F187" s="33">
        <f ca="1">IF(B187="","",INDEX(OFFSET(Arb!$X$2,,,Arb!$AJ$5,),B187)/D187)</f>
        <v>3.5067873303167421</v>
      </c>
      <c r="G187" s="33">
        <f ca="1">IF(B187="","",(INDEX(OFFSET(Arb!$U$2,,,Arb!$AJ$5,),B187)+INDEX(OFFSET(Arb!$V$2,,,Arb!$AJ$5,),B187))/D187)</f>
        <v>3.8461538461538463</v>
      </c>
      <c r="H187" s="33">
        <f t="shared" ca="1" si="19"/>
        <v>1.3110134785094871</v>
      </c>
      <c r="I187" s="21">
        <f t="shared" ca="1" si="20"/>
        <v>36.078195056983709</v>
      </c>
      <c r="J187" s="74">
        <f ca="1">IF(B187="","",DATE(INDEX(OFFSET(Arb!$C$2,,,Arb!$AJ$5,),B187),INDEX(OFFSET(Arb!$B$2,,,Arb!$AJ$5,),B187),INDEX(OFFSET(Arb!$A$2,,,Arb!$AJ$5,),B187))+ROW()*0.001)</f>
        <v>43935.186999999998</v>
      </c>
      <c r="K187" s="11">
        <v>186</v>
      </c>
      <c r="L187" s="11">
        <v>2104</v>
      </c>
      <c r="M187" s="433">
        <f ca="1">IF(L187="",64,INDEX(OFFSET(Arb!$I$2,,,Arb!$AJ$5,),L187))</f>
        <v>69</v>
      </c>
      <c r="N187" s="34">
        <f ca="1">IF(L187="",60,INDEX(OFFSET(Arb!$H$2,,,Arb!$AJ$5,),L187))</f>
        <v>27.02</v>
      </c>
      <c r="O187" s="33">
        <f t="shared" ca="1" si="21"/>
        <v>2.5536639526276832</v>
      </c>
      <c r="P187" s="33">
        <f ca="1">IF(L187="","",INDEX(OFFSET(Arb!$X$2,,,Arb!$AJ$5,),L187)/N187)</f>
        <v>3.1828275351591415</v>
      </c>
      <c r="Q187" s="33">
        <f ca="1">IF(L187="","",(INDEX(OFFSET(Arb!$U$2,,,Arb!$AJ$5,),L187)+INDEX(OFFSET(Arb!$V$2,,,Arb!$AJ$5,),L187))/N187)</f>
        <v>3.5899333826794968</v>
      </c>
      <c r="R187" s="33">
        <f t="shared" ca="1" si="22"/>
        <v>3.9356457031986607</v>
      </c>
      <c r="S187" s="21">
        <f t="shared" ca="1" si="23"/>
        <v>39.060934747011736</v>
      </c>
      <c r="T187" s="74">
        <f ca="1">IF(L187="","",DATE(INDEX(OFFSET(Arb!$C$2,,,Arb!$AJ$5,),L187),INDEX(OFFSET(Arb!$B$2,,,Arb!$AJ$5,),L187),INDEX(OFFSET(Arb!$A$2,,,Arb!$AJ$5,),L187))+ROW()*0.001)</f>
        <v>43811.186999999998</v>
      </c>
      <c r="U187" s="11">
        <v>186</v>
      </c>
      <c r="V187" s="11">
        <v>3225</v>
      </c>
      <c r="W187" s="433">
        <f ca="1">IF(V187="",164,INDEX(OFFSET(Arb!$I$2,,,Arb!$AJ$5,),V187))</f>
        <v>147</v>
      </c>
      <c r="X187" s="34">
        <f ca="1">IF(V187="",240,INDEX(OFFSET(Arb!$H$2,,,Arb!$AJ$5,),V187))</f>
        <v>60.28</v>
      </c>
      <c r="Y187" s="33">
        <f t="shared" ca="1" si="24"/>
        <v>2.4386197743861975</v>
      </c>
      <c r="Z187" s="33">
        <f ca="1">IF(V187="","",INDEX(OFFSET(Arb!$X$2,,,Arb!$AJ$5,),V187)/X187)</f>
        <v>3.0524220305242205</v>
      </c>
      <c r="AA187" s="33">
        <f ca="1">IF(V187="","",(INDEX(OFFSET(Arb!$U$2,,,Arb!$AJ$5,),V187)+INDEX(OFFSET(Arb!$V$2,,,Arb!$AJ$5,),V187))/X187)</f>
        <v>3.2680822826808229</v>
      </c>
      <c r="AB187" s="33">
        <f t="shared" ca="1" si="25"/>
        <v>7.2273182574162922</v>
      </c>
      <c r="AC187" s="21">
        <f t="shared" ca="1" si="26"/>
        <v>60.18843843684688</v>
      </c>
      <c r="AD187" s="74">
        <f ca="1">IF(V187="","",DATE(INDEX(OFFSET(Arb!$C$2,,,Arb!$AJ$5,),V187),INDEX(OFFSET(Arb!$B$2,,,Arb!$AJ$5,),V187),INDEX(OFFSET(Arb!$A$2,,,Arb!$AJ$5,),V187))+ROW()*0.001)</f>
        <v>44061.186999999998</v>
      </c>
    </row>
    <row r="188" spans="1:30" x14ac:dyDescent="0.25">
      <c r="A188" s="11">
        <v>187</v>
      </c>
      <c r="B188" s="11">
        <v>936</v>
      </c>
      <c r="C188" s="433">
        <f ca="1">IF(B188="",16,INDEX(OFFSET(Arb!$I$2,,,Arb!$AJ$5,),B188))</f>
        <v>11</v>
      </c>
      <c r="D188" s="34">
        <f ca="1">IF(B188="",10,INDEX(OFFSET(Arb!$H$2,,,Arb!$AJ$5,),B188))</f>
        <v>3.14</v>
      </c>
      <c r="E188" s="33">
        <f t="shared" ca="1" si="18"/>
        <v>3.5031847133757958</v>
      </c>
      <c r="F188" s="33">
        <f ca="1">IF(B188="","",INDEX(OFFSET(Arb!$X$2,,,Arb!$AJ$5,),B188)/D188)</f>
        <v>3.8216560509554141</v>
      </c>
      <c r="G188" s="33">
        <f ca="1">IF(B188="","",(INDEX(OFFSET(Arb!$U$2,,,Arb!$AJ$5,),B188)+INDEX(OFFSET(Arb!$V$2,,,Arb!$AJ$5,),B188))/D188)</f>
        <v>4.1401273885350314</v>
      </c>
      <c r="H188" s="33">
        <f t="shared" ca="1" si="19"/>
        <v>0.63589837704198993</v>
      </c>
      <c r="I188" s="21">
        <f t="shared" ca="1" si="20"/>
        <v>74.381381849126385</v>
      </c>
      <c r="J188" s="74">
        <f ca="1">IF(B188="","",DATE(INDEX(OFFSET(Arb!$C$2,,,Arb!$AJ$5,),B188),INDEX(OFFSET(Arb!$B$2,,,Arb!$AJ$5,),B188),INDEX(OFFSET(Arb!$A$2,,,Arb!$AJ$5,),B188))+ROW()*0.001)</f>
        <v>43822.188000000002</v>
      </c>
      <c r="K188" s="11">
        <v>187</v>
      </c>
      <c r="L188" s="11">
        <v>2151</v>
      </c>
      <c r="M188" s="433">
        <f ca="1">IF(L188="",64,INDEX(OFFSET(Arb!$I$2,,,Arb!$AJ$5,),L188))</f>
        <v>66</v>
      </c>
      <c r="N188" s="34">
        <f ca="1">IF(L188="",60,INDEX(OFFSET(Arb!$H$2,,,Arb!$AJ$5,),L188))</f>
        <v>25.85</v>
      </c>
      <c r="O188" s="33">
        <f t="shared" ca="1" si="21"/>
        <v>2.5531914893617018</v>
      </c>
      <c r="P188" s="33">
        <f ca="1">IF(L188="","",INDEX(OFFSET(Arb!$X$2,,,Arb!$AJ$5,),L188)/N188)</f>
        <v>3.3268858800773691</v>
      </c>
      <c r="Q188" s="33">
        <f ca="1">IF(L188="","",(INDEX(OFFSET(Arb!$U$2,,,Arb!$AJ$5,),L188)+INDEX(OFFSET(Arb!$V$2,,,Arb!$AJ$5,),L188))/N188)</f>
        <v>3.4816247582205029</v>
      </c>
      <c r="R188" s="33">
        <f t="shared" ca="1" si="22"/>
        <v>3.8162691367449222</v>
      </c>
      <c r="S188" s="21">
        <f t="shared" ca="1" si="23"/>
        <v>40.28279832777298</v>
      </c>
      <c r="T188" s="74">
        <f ca="1">IF(L188="","",DATE(INDEX(OFFSET(Arb!$C$2,,,Arb!$AJ$5,),L188),INDEX(OFFSET(Arb!$B$2,,,Arb!$AJ$5,),L188),INDEX(OFFSET(Arb!$A$2,,,Arb!$AJ$5,),L188))+ROW()*0.001)</f>
        <v>43821.188000000002</v>
      </c>
      <c r="U188" s="11">
        <v>187</v>
      </c>
      <c r="V188" s="11">
        <v>2959</v>
      </c>
      <c r="W188" s="433">
        <f ca="1">IF(V188="",164,INDEX(OFFSET(Arb!$I$2,,,Arb!$AJ$5,),V188))</f>
        <v>196</v>
      </c>
      <c r="X188" s="34">
        <f ca="1">IF(V188="",240,INDEX(OFFSET(Arb!$H$2,,,Arb!$AJ$5,),V188))</f>
        <v>80.39</v>
      </c>
      <c r="Y188" s="33">
        <f t="shared" ca="1" si="24"/>
        <v>2.4381141933076251</v>
      </c>
      <c r="Z188" s="33">
        <f ca="1">IF(V188="","",INDEX(OFFSET(Arb!$X$2,,,Arb!$AJ$5,),V188)/X188)</f>
        <v>2.7490981465356388</v>
      </c>
      <c r="AA188" s="33">
        <f ca="1">IF(V188="","",(INDEX(OFFSET(Arb!$U$2,,,Arb!$AJ$5,),V188)+INDEX(OFFSET(Arb!$V$2,,,Arb!$AJ$5,),V188))/X188)</f>
        <v>3.0725214578927726</v>
      </c>
      <c r="AB188" s="33">
        <f t="shared" ca="1" si="25"/>
        <v>8.8427506198950674</v>
      </c>
      <c r="AC188" s="21">
        <f t="shared" ca="1" si="26"/>
        <v>49.192951231860242</v>
      </c>
      <c r="AD188" s="74">
        <f ca="1">IF(V188="","",DATE(INDEX(OFFSET(Arb!$C$2,,,Arb!$AJ$5,),V188),INDEX(OFFSET(Arb!$B$2,,,Arb!$AJ$5,),V188),INDEX(OFFSET(Arb!$A$2,,,Arb!$AJ$5,),V188))+ROW()*0.001)</f>
        <v>43951.188000000002</v>
      </c>
    </row>
    <row r="189" spans="1:30" x14ac:dyDescent="0.25">
      <c r="A189" s="11">
        <v>188</v>
      </c>
      <c r="B189" s="11">
        <v>1659</v>
      </c>
      <c r="C189" s="433">
        <f ca="1">IF(B189="",16,INDEX(OFFSET(Arb!$I$2,,,Arb!$AJ$5,),B189))</f>
        <v>16</v>
      </c>
      <c r="D189" s="34">
        <f ca="1">IF(B189="",10,INDEX(OFFSET(Arb!$H$2,,,Arb!$AJ$5,),B189))</f>
        <v>4.57</v>
      </c>
      <c r="E189" s="33">
        <f t="shared" ca="1" si="18"/>
        <v>3.5010940919037199</v>
      </c>
      <c r="F189" s="33">
        <f ca="1">IF(B189="","",INDEX(OFFSET(Arb!$X$2,,,Arb!$AJ$5,),B189)/D189)</f>
        <v>4.814004376367615</v>
      </c>
      <c r="G189" s="33">
        <f ca="1">IF(B189="","",(INDEX(OFFSET(Arb!$U$2,,,Arb!$AJ$5,),B189)+INDEX(OFFSET(Arb!$V$2,,,Arb!$AJ$5,),B189))/D189)</f>
        <v>5.4704595185995624</v>
      </c>
      <c r="H189" s="33">
        <f t="shared" ca="1" si="19"/>
        <v>0.82744199248884143</v>
      </c>
      <c r="I189" s="21">
        <f t="shared" ca="1" si="20"/>
        <v>57.162919490864319</v>
      </c>
      <c r="J189" s="74">
        <f ca="1">IF(B189="","",DATE(INDEX(OFFSET(Arb!$C$2,,,Arb!$AJ$5,),B189),INDEX(OFFSET(Arb!$B$2,,,Arb!$AJ$5,),B189),INDEX(OFFSET(Arb!$A$2,,,Arb!$AJ$5,),B189))+ROW()*0.001)</f>
        <v>44096.188999999998</v>
      </c>
      <c r="K189" s="11">
        <v>188</v>
      </c>
      <c r="L189" s="11">
        <v>2195</v>
      </c>
      <c r="M189" s="433">
        <f ca="1">IF(L189="",64,INDEX(OFFSET(Arb!$I$2,,,Arb!$AJ$5,),L189))</f>
        <v>57</v>
      </c>
      <c r="N189" s="34">
        <f ca="1">IF(L189="",60,INDEX(OFFSET(Arb!$H$2,,,Arb!$AJ$5,),L189))</f>
        <v>22.33</v>
      </c>
      <c r="O189" s="33">
        <f t="shared" ca="1" si="21"/>
        <v>2.5526197939991047</v>
      </c>
      <c r="P189" s="33">
        <f ca="1">IF(L189="","",INDEX(OFFSET(Arb!$X$2,,,Arb!$AJ$5,),L189)/N189)</f>
        <v>2.8660994178235559</v>
      </c>
      <c r="Q189" s="33">
        <f ca="1">IF(L189="","",(INDEX(OFFSET(Arb!$U$2,,,Arb!$AJ$5,),L189)+INDEX(OFFSET(Arb!$V$2,,,Arb!$AJ$5,),L189))/N189)</f>
        <v>3.3139274518584867</v>
      </c>
      <c r="R189" s="33">
        <f t="shared" ca="1" si="22"/>
        <v>3.4453708385466419</v>
      </c>
      <c r="S189" s="21">
        <f t="shared" ca="1" si="23"/>
        <v>44.619289825082454</v>
      </c>
      <c r="T189" s="74">
        <f ca="1">IF(L189="","",DATE(INDEX(OFFSET(Arb!$C$2,,,Arb!$AJ$5,),L189),INDEX(OFFSET(Arb!$B$2,,,Arb!$AJ$5,),L189),INDEX(OFFSET(Arb!$A$2,,,Arb!$AJ$5,),L189))+ROW()*0.001)</f>
        <v>43852.188999999998</v>
      </c>
      <c r="U189" s="11">
        <v>188</v>
      </c>
      <c r="V189" s="11">
        <v>2742</v>
      </c>
      <c r="W189" s="433">
        <f ca="1">IF(V189="",164,INDEX(OFFSET(Arb!$I$2,,,Arb!$AJ$5,),V189))</f>
        <v>218</v>
      </c>
      <c r="X189" s="34">
        <f ca="1">IF(V189="",240,INDEX(OFFSET(Arb!$H$2,,,Arb!$AJ$5,),V189))</f>
        <v>89.42</v>
      </c>
      <c r="Y189" s="33">
        <f t="shared" ca="1" si="24"/>
        <v>2.4379333482442407</v>
      </c>
      <c r="Z189" s="33">
        <f ca="1">IF(V189="","",INDEX(OFFSET(Arb!$X$2,,,Arb!$AJ$5,),V189)/X189)</f>
        <v>2.9747260120778347</v>
      </c>
      <c r="AA189" s="33">
        <f ca="1">IF(V189="","",(INDEX(OFFSET(Arb!$U$2,,,Arb!$AJ$5,),V189)+INDEX(OFFSET(Arb!$V$2,,,Arb!$AJ$5,),V189))/X189)</f>
        <v>3.2543055244911652</v>
      </c>
      <c r="AB189" s="33">
        <f t="shared" ca="1" si="25"/>
        <v>9.5275763519278787</v>
      </c>
      <c r="AC189" s="21">
        <f t="shared" ca="1" si="26"/>
        <v>45.65704686396753</v>
      </c>
      <c r="AD189" s="74">
        <f ca="1">IF(V189="","",DATE(INDEX(OFFSET(Arb!$C$2,,,Arb!$AJ$5,),V189),INDEX(OFFSET(Arb!$B$2,,,Arb!$AJ$5,),V189),INDEX(OFFSET(Arb!$A$2,,,Arb!$AJ$5,),V189))+ROW()*0.001)</f>
        <v>43870.188999999998</v>
      </c>
    </row>
    <row r="190" spans="1:30" x14ac:dyDescent="0.25">
      <c r="A190" s="11">
        <v>189</v>
      </c>
      <c r="B190" s="11">
        <v>1602</v>
      </c>
      <c r="C190" s="433">
        <f ca="1">IF(B190="",16,INDEX(OFFSET(Arb!$I$2,,,Arb!$AJ$5,),B190))</f>
        <v>16</v>
      </c>
      <c r="D190" s="34">
        <f ca="1">IF(B190="",10,INDEX(OFFSET(Arb!$H$2,,,Arb!$AJ$5,),B190))</f>
        <v>4.57</v>
      </c>
      <c r="E190" s="33">
        <f t="shared" ca="1" si="18"/>
        <v>3.5010940919037199</v>
      </c>
      <c r="F190" s="33">
        <f ca="1">IF(B190="","",INDEX(OFFSET(Arb!$X$2,,,Arb!$AJ$5,),B190)/D190)</f>
        <v>3.7199124726477022</v>
      </c>
      <c r="G190" s="33">
        <f ca="1">IF(B190="","",(INDEX(OFFSET(Arb!$U$2,,,Arb!$AJ$5,),B190)+INDEX(OFFSET(Arb!$V$2,,,Arb!$AJ$5,),B190))/D190)</f>
        <v>4.3763676148796495</v>
      </c>
      <c r="H190" s="33">
        <f t="shared" ca="1" si="19"/>
        <v>0.82744199248884143</v>
      </c>
      <c r="I190" s="21">
        <f t="shared" ca="1" si="20"/>
        <v>57.162919490864319</v>
      </c>
      <c r="J190" s="74">
        <f ca="1">IF(B190="","",DATE(INDEX(OFFSET(Arb!$C$2,,,Arb!$AJ$5,),B190),INDEX(OFFSET(Arb!$B$2,,,Arb!$AJ$5,),B190),INDEX(OFFSET(Arb!$A$2,,,Arb!$AJ$5,),B190))+ROW()*0.001)</f>
        <v>44054.19</v>
      </c>
      <c r="K190" s="11">
        <v>189</v>
      </c>
      <c r="L190" s="11">
        <v>2378</v>
      </c>
      <c r="M190" s="433">
        <f ca="1">IF(L190="",64,INDEX(OFFSET(Arb!$I$2,,,Arb!$AJ$5,),L190))</f>
        <v>70</v>
      </c>
      <c r="N190" s="34">
        <f ca="1">IF(L190="",60,INDEX(OFFSET(Arb!$H$2,,,Arb!$AJ$5,),L190))</f>
        <v>27.45</v>
      </c>
      <c r="O190" s="33">
        <f t="shared" ca="1" si="21"/>
        <v>2.5500910746812386</v>
      </c>
      <c r="P190" s="33">
        <f ca="1">IF(L190="","",INDEX(OFFSET(Arb!$X$2,,,Arb!$AJ$5,),L190)/N190)</f>
        <v>3.1693989071038251</v>
      </c>
      <c r="Q190" s="33">
        <f ca="1">IF(L190="","",(INDEX(OFFSET(Arb!$U$2,,,Arb!$AJ$5,),L190)+INDEX(OFFSET(Arb!$V$2,,,Arb!$AJ$5,),L190))/N190)</f>
        <v>3.7522768670309654</v>
      </c>
      <c r="R190" s="33">
        <f t="shared" ca="1" si="22"/>
        <v>3.9849598761650236</v>
      </c>
      <c r="S190" s="21">
        <f t="shared" ca="1" si="23"/>
        <v>38.577552792813563</v>
      </c>
      <c r="T190" s="74">
        <f ca="1">IF(L190="","",DATE(INDEX(OFFSET(Arb!$C$2,,,Arb!$AJ$5,),L190),INDEX(OFFSET(Arb!$B$2,,,Arb!$AJ$5,),L190),INDEX(OFFSET(Arb!$A$2,,,Arb!$AJ$5,),L190))+ROW()*0.001)</f>
        <v>44114.19</v>
      </c>
      <c r="U190" s="11">
        <v>189</v>
      </c>
      <c r="V190" s="11">
        <v>2675</v>
      </c>
      <c r="W190" s="433">
        <f ca="1">IF(V190="",164,INDEX(OFFSET(Arb!$I$2,,,Arb!$AJ$5,),V190))</f>
        <v>194</v>
      </c>
      <c r="X190" s="34">
        <f ca="1">IF(V190="",240,INDEX(OFFSET(Arb!$H$2,,,Arb!$AJ$5,),V190))</f>
        <v>79.650000000000006</v>
      </c>
      <c r="Y190" s="33">
        <f t="shared" ca="1" si="24"/>
        <v>2.4356559949780285</v>
      </c>
      <c r="Z190" s="33">
        <f ca="1">IF(V190="","",INDEX(OFFSET(Arb!$X$2,,,Arb!$AJ$5,),V190)/X190)</f>
        <v>2.7997489014438166</v>
      </c>
      <c r="AA190" s="33">
        <f ca="1">IF(V190="","",(INDEX(OFFSET(Arb!$U$2,,,Arb!$AJ$5,),V190)+INDEX(OFFSET(Arb!$V$2,,,Arb!$AJ$5,),V190))/X190)</f>
        <v>3.0634023854362837</v>
      </c>
      <c r="AB190" s="33">
        <f t="shared" ca="1" si="25"/>
        <v>8.7945595974655504</v>
      </c>
      <c r="AC190" s="21">
        <f t="shared" ca="1" si="26"/>
        <v>49.462510905646738</v>
      </c>
      <c r="AD190" s="74">
        <f ca="1">IF(V190="","",DATE(INDEX(OFFSET(Arb!$C$2,,,Arb!$AJ$5,),V190),INDEX(OFFSET(Arb!$B$2,,,Arb!$AJ$5,),V190),INDEX(OFFSET(Arb!$A$2,,,Arb!$AJ$5,),V190))+ROW()*0.001)</f>
        <v>43827.19</v>
      </c>
    </row>
    <row r="191" spans="1:30" x14ac:dyDescent="0.25">
      <c r="A191" s="11">
        <v>190</v>
      </c>
      <c r="B191" s="11">
        <v>1606</v>
      </c>
      <c r="C191" s="433">
        <f ca="1">IF(B191="",16,INDEX(OFFSET(Arb!$I$2,,,Arb!$AJ$5,),B191))</f>
        <v>24</v>
      </c>
      <c r="D191" s="34">
        <f ca="1">IF(B191="",10,INDEX(OFFSET(Arb!$H$2,,,Arb!$AJ$5,),B191))</f>
        <v>6.86</v>
      </c>
      <c r="E191" s="33">
        <f t="shared" ca="1" si="18"/>
        <v>3.4985422740524781</v>
      </c>
      <c r="F191" s="33">
        <f ca="1">IF(B191="","",INDEX(OFFSET(Arb!$X$2,,,Arb!$AJ$5,),B191)/D191)</f>
        <v>4.3731778425655978</v>
      </c>
      <c r="G191" s="33">
        <f ca="1">IF(B191="","",(INDEX(OFFSET(Arb!$U$2,,,Arb!$AJ$5,),B191)+INDEX(OFFSET(Arb!$V$2,,,Arb!$AJ$5,),B191))/D191)</f>
        <v>5.1020408163265305</v>
      </c>
      <c r="H191" s="33">
        <f t="shared" ca="1" si="19"/>
        <v>1.1003725679619734</v>
      </c>
      <c r="I191" s="21">
        <f t="shared" ca="1" si="20"/>
        <v>42.984532127698913</v>
      </c>
      <c r="J191" s="74">
        <f ca="1">IF(B191="","",DATE(INDEX(OFFSET(Arb!$C$2,,,Arb!$AJ$5,),B191),INDEX(OFFSET(Arb!$B$2,,,Arb!$AJ$5,),B191),INDEX(OFFSET(Arb!$A$2,,,Arb!$AJ$5,),B191))+ROW()*0.001)</f>
        <v>44062.190999999999</v>
      </c>
      <c r="K191" s="11">
        <v>190</v>
      </c>
      <c r="L191" s="11">
        <v>1948</v>
      </c>
      <c r="M191" s="433">
        <f ca="1">IF(L191="",64,INDEX(OFFSET(Arb!$I$2,,,Arb!$AJ$5,),L191))</f>
        <v>65</v>
      </c>
      <c r="N191" s="34">
        <f ca="1">IF(L191="",60,INDEX(OFFSET(Arb!$H$2,,,Arb!$AJ$5,),L191))</f>
        <v>25.5</v>
      </c>
      <c r="O191" s="33">
        <f t="shared" ca="1" si="21"/>
        <v>2.5490196078431371</v>
      </c>
      <c r="P191" s="33">
        <f ca="1">IF(L191="","",INDEX(OFFSET(Arb!$X$2,,,Arb!$AJ$5,),L191)/N191)</f>
        <v>3.2941176470588234</v>
      </c>
      <c r="Q191" s="33">
        <f ca="1">IF(L191="","",(INDEX(OFFSET(Arb!$U$2,,,Arb!$AJ$5,),L191)+INDEX(OFFSET(Arb!$V$2,,,Arb!$AJ$5,),L191))/N191)</f>
        <v>3.9215686274509802</v>
      </c>
      <c r="R191" s="33">
        <f t="shared" ca="1" si="22"/>
        <v>3.786212196089739</v>
      </c>
      <c r="S191" s="21">
        <f t="shared" ca="1" si="23"/>
        <v>40.60258433448783</v>
      </c>
      <c r="T191" s="74">
        <f ca="1">IF(L191="","",DATE(INDEX(OFFSET(Arb!$C$2,,,Arb!$AJ$5,),L191),INDEX(OFFSET(Arb!$B$2,,,Arb!$AJ$5,),L191),INDEX(OFFSET(Arb!$A$2,,,Arb!$AJ$5,),L191))+ROW()*0.001)</f>
        <v>43776.190999999999</v>
      </c>
      <c r="U191" s="11">
        <v>190</v>
      </c>
      <c r="V191" s="11">
        <v>3037</v>
      </c>
      <c r="W191" s="433">
        <f ca="1">IF(V191="",164,INDEX(OFFSET(Arb!$I$2,,,Arb!$AJ$5,),V191))</f>
        <v>180</v>
      </c>
      <c r="X191" s="34">
        <f ca="1">IF(V191="",240,INDEX(OFFSET(Arb!$H$2,,,Arb!$AJ$5,),V191))</f>
        <v>73.930000000000007</v>
      </c>
      <c r="Y191" s="33">
        <f t="shared" ca="1" si="24"/>
        <v>2.4347355606654943</v>
      </c>
      <c r="Z191" s="33">
        <f ca="1">IF(V191="","",INDEX(OFFSET(Arb!$X$2,,,Arb!$AJ$5,),V191)/X191)</f>
        <v>2.9081563641282293</v>
      </c>
      <c r="AA191" s="33">
        <f ca="1">IF(V191="","",(INDEX(OFFSET(Arb!$U$2,,,Arb!$AJ$5,),V191)+INDEX(OFFSET(Arb!$V$2,,,Arb!$AJ$5,),V191))/X191)</f>
        <v>3.2192614635465979</v>
      </c>
      <c r="AB191" s="33">
        <f t="shared" ca="1" si="25"/>
        <v>8.3506964149846699</v>
      </c>
      <c r="AC191" s="21">
        <f t="shared" ca="1" si="26"/>
        <v>52.091583549777333</v>
      </c>
      <c r="AD191" s="74">
        <f ca="1">IF(V191="","",DATE(INDEX(OFFSET(Arb!$C$2,,,Arb!$AJ$5,),V191),INDEX(OFFSET(Arb!$B$2,,,Arb!$AJ$5,),V191),INDEX(OFFSET(Arb!$A$2,,,Arb!$AJ$5,),V191))+ROW()*0.001)</f>
        <v>43979.190999999999</v>
      </c>
    </row>
    <row r="192" spans="1:30" x14ac:dyDescent="0.25">
      <c r="A192" s="11">
        <v>191</v>
      </c>
      <c r="B192" s="11">
        <v>503</v>
      </c>
      <c r="C192" s="433">
        <f ca="1">IF(B192="",16,INDEX(OFFSET(Arb!$I$2,,,Arb!$AJ$5,),B192))</f>
        <v>24</v>
      </c>
      <c r="D192" s="34">
        <f ca="1">IF(B192="",10,INDEX(OFFSET(Arb!$H$2,,,Arb!$AJ$5,),B192))</f>
        <v>6.86</v>
      </c>
      <c r="E192" s="33">
        <f t="shared" ca="1" si="18"/>
        <v>3.4985422740524781</v>
      </c>
      <c r="F192" s="33">
        <f ca="1">IF(B192="","",INDEX(OFFSET(Arb!$X$2,,,Arb!$AJ$5,),B192)/D192)</f>
        <v>4.518950437317784</v>
      </c>
      <c r="G192" s="33">
        <f ca="1">IF(B192="","",(INDEX(OFFSET(Arb!$U$2,,,Arb!$AJ$5,),B192)+INDEX(OFFSET(Arb!$V$2,,,Arb!$AJ$5,),B192))/D192)</f>
        <v>5.2478134110787167</v>
      </c>
      <c r="H192" s="33">
        <f t="shared" ca="1" si="19"/>
        <v>1.1003725679619734</v>
      </c>
      <c r="I192" s="21">
        <f t="shared" ca="1" si="20"/>
        <v>42.984532127698913</v>
      </c>
      <c r="J192" s="74">
        <f ca="1">IF(B192="","",DATE(INDEX(OFFSET(Arb!$C$2,,,Arb!$AJ$5,),B192),INDEX(OFFSET(Arb!$B$2,,,Arb!$AJ$5,),B192),INDEX(OFFSET(Arb!$A$2,,,Arb!$AJ$5,),B192))+ROW()*0.001)</f>
        <v>43788.192000000003</v>
      </c>
      <c r="K192" s="11">
        <v>191</v>
      </c>
      <c r="L192" s="11">
        <v>2273</v>
      </c>
      <c r="M192" s="433">
        <f ca="1">IF(L192="",64,INDEX(OFFSET(Arb!$I$2,,,Arb!$AJ$5,),L192))</f>
        <v>67</v>
      </c>
      <c r="N192" s="34">
        <f ca="1">IF(L192="",60,INDEX(OFFSET(Arb!$H$2,,,Arb!$AJ$5,),L192))</f>
        <v>26.36</v>
      </c>
      <c r="O192" s="33">
        <f t="shared" ca="1" si="21"/>
        <v>2.5417298937784523</v>
      </c>
      <c r="P192" s="33">
        <f ca="1">IF(L192="","",INDEX(OFFSET(Arb!$X$2,,,Arb!$AJ$5,),L192)/N192)</f>
        <v>3.4142640364188166</v>
      </c>
      <c r="Q192" s="33">
        <f ca="1">IF(L192="","",(INDEX(OFFSET(Arb!$U$2,,,Arb!$AJ$5,),L192)+INDEX(OFFSET(Arb!$V$2,,,Arb!$AJ$5,),L192))/N192)</f>
        <v>4.0212443095599397</v>
      </c>
      <c r="R192" s="33">
        <f t="shared" ca="1" si="22"/>
        <v>3.8862647856413846</v>
      </c>
      <c r="S192" s="21">
        <f t="shared" ca="1" si="23"/>
        <v>39.557263459758978</v>
      </c>
      <c r="T192" s="74">
        <f ca="1">IF(L192="","",DATE(INDEX(OFFSET(Arb!$C$2,,,Arb!$AJ$5,),L192),INDEX(OFFSET(Arb!$B$2,,,Arb!$AJ$5,),L192),INDEX(OFFSET(Arb!$A$2,,,Arb!$AJ$5,),L192))+ROW()*0.001)</f>
        <v>43934.192000000003</v>
      </c>
      <c r="U192" s="11">
        <v>191</v>
      </c>
      <c r="V192" s="11">
        <v>3156</v>
      </c>
      <c r="W192" s="433">
        <f ca="1">IF(V192="",164,INDEX(OFFSET(Arb!$I$2,,,Arb!$AJ$5,),V192))</f>
        <v>179</v>
      </c>
      <c r="X192" s="34">
        <f ca="1">IF(V192="",240,INDEX(OFFSET(Arb!$H$2,,,Arb!$AJ$5,),V192))</f>
        <v>73.56</v>
      </c>
      <c r="Y192" s="33">
        <f t="shared" ca="1" si="24"/>
        <v>2.4333877107123434</v>
      </c>
      <c r="Z192" s="33">
        <f ca="1">IF(V192="","",INDEX(OFFSET(Arb!$X$2,,,Arb!$AJ$5,),V192)/X192)</f>
        <v>2.9635671560630779</v>
      </c>
      <c r="AA192" s="33">
        <f ca="1">IF(V192="","",(INDEX(OFFSET(Arb!$U$2,,,Arb!$AJ$5,),V192)+INDEX(OFFSET(Arb!$V$2,,,Arb!$AJ$5,),V192))/X192)</f>
        <v>3.3578031538879825</v>
      </c>
      <c r="AB192" s="33">
        <f t="shared" ca="1" si="25"/>
        <v>8.3260285160815091</v>
      </c>
      <c r="AC192" s="21">
        <f t="shared" ca="1" si="26"/>
        <v>52.245917625649106</v>
      </c>
      <c r="AD192" s="74">
        <f ca="1">IF(V192="","",DATE(INDEX(OFFSET(Arb!$C$2,,,Arb!$AJ$5,),V192),INDEX(OFFSET(Arb!$B$2,,,Arb!$AJ$5,),V192),INDEX(OFFSET(Arb!$A$2,,,Arb!$AJ$5,),V192))+ROW()*0.001)</f>
        <v>44029.192000000003</v>
      </c>
    </row>
    <row r="193" spans="1:30" x14ac:dyDescent="0.25">
      <c r="A193" s="11">
        <v>192</v>
      </c>
      <c r="B193" s="11">
        <v>123</v>
      </c>
      <c r="C193" s="433">
        <f ca="1">IF(B193="",16,INDEX(OFFSET(Arb!$I$2,,,Arb!$AJ$5,),B193))</f>
        <v>27</v>
      </c>
      <c r="D193" s="34">
        <f ca="1">IF(B193="",10,INDEX(OFFSET(Arb!$H$2,,,Arb!$AJ$5,),B193))</f>
        <v>7.72</v>
      </c>
      <c r="E193" s="33">
        <f t="shared" ca="1" si="18"/>
        <v>3.4974093264248705</v>
      </c>
      <c r="F193" s="33">
        <f ca="1">IF(B193="","",INDEX(OFFSET(Arb!$X$2,,,Arb!$AJ$5,),B193)/D193)</f>
        <v>3.8860103626943006</v>
      </c>
      <c r="G193" s="33">
        <f ca="1">IF(B193="","",(INDEX(OFFSET(Arb!$U$2,,,Arb!$AJ$5,),B193)+INDEX(OFFSET(Arb!$V$2,,,Arb!$AJ$5,),B193))/D193)</f>
        <v>4.4041450777202078</v>
      </c>
      <c r="H193" s="33">
        <f t="shared" ca="1" si="19"/>
        <v>1.1955992843503873</v>
      </c>
      <c r="I193" s="21">
        <f t="shared" ca="1" si="20"/>
        <v>39.560913609695973</v>
      </c>
      <c r="J193" s="74">
        <f ca="1">IF(B193="","",DATE(INDEX(OFFSET(Arb!$C$2,,,Arb!$AJ$5,),B193),INDEX(OFFSET(Arb!$B$2,,,Arb!$AJ$5,),B193),INDEX(OFFSET(Arb!$A$2,,,Arb!$AJ$5,),B193))+ROW()*0.001)</f>
        <v>43770.192999999999</v>
      </c>
      <c r="K193" s="11">
        <v>192</v>
      </c>
      <c r="L193" s="11">
        <v>2341</v>
      </c>
      <c r="M193" s="433">
        <f ca="1">IF(L193="",64,INDEX(OFFSET(Arb!$I$2,,,Arb!$AJ$5,),L193))</f>
        <v>92</v>
      </c>
      <c r="N193" s="34">
        <f ca="1">IF(L193="",60,INDEX(OFFSET(Arb!$H$2,,,Arb!$AJ$5,),L193))</f>
        <v>36.229999999999997</v>
      </c>
      <c r="O193" s="33">
        <f t="shared" ca="1" si="21"/>
        <v>2.5393320452663541</v>
      </c>
      <c r="P193" s="33">
        <f ca="1">IF(L193="","",INDEX(OFFSET(Arb!$X$2,,,Arb!$AJ$5,),L193)/N193)</f>
        <v>2.8705492685619656</v>
      </c>
      <c r="Q193" s="33">
        <f ca="1">IF(L193="","",(INDEX(OFFSET(Arb!$U$2,,,Arb!$AJ$5,),L193)+INDEX(OFFSET(Arb!$V$2,,,Arb!$AJ$5,),L193))/N193)</f>
        <v>3.5881865857024566</v>
      </c>
      <c r="R193" s="33">
        <f t="shared" ca="1" si="22"/>
        <v>4.8599112736388257</v>
      </c>
      <c r="S193" s="21">
        <f t="shared" ca="1" si="23"/>
        <v>31.632264735750145</v>
      </c>
      <c r="T193" s="74">
        <f ca="1">IF(L193="","",DATE(INDEX(OFFSET(Arb!$C$2,,,Arb!$AJ$5,),L193),INDEX(OFFSET(Arb!$B$2,,,Arb!$AJ$5,),L193),INDEX(OFFSET(Arb!$A$2,,,Arb!$AJ$5,),L193))+ROW()*0.001)</f>
        <v>44106.192999999999</v>
      </c>
      <c r="U193" s="11">
        <v>192</v>
      </c>
      <c r="V193" s="11">
        <v>2547</v>
      </c>
      <c r="W193" s="433">
        <f ca="1">IF(V193="",164,INDEX(OFFSET(Arb!$I$2,,,Arb!$AJ$5,),V193))</f>
        <v>177</v>
      </c>
      <c r="X193" s="34">
        <f ca="1">IF(V193="",240,INDEX(OFFSET(Arb!$H$2,,,Arb!$AJ$5,),V193))</f>
        <v>72.75</v>
      </c>
      <c r="Y193" s="33">
        <f t="shared" ca="1" si="24"/>
        <v>2.4329896907216493</v>
      </c>
      <c r="Z193" s="33">
        <f ca="1">IF(V193="","",INDEX(OFFSET(Arb!$X$2,,,Arb!$AJ$5,),V193)/X193)</f>
        <v>2.9553264604810998</v>
      </c>
      <c r="AA193" s="33">
        <f ca="1">IF(V193="","",(INDEX(OFFSET(Arb!$U$2,,,Arb!$AJ$5,),V193)+INDEX(OFFSET(Arb!$V$2,,,Arb!$AJ$5,),V193))/X193)</f>
        <v>3.2577319587628866</v>
      </c>
      <c r="AB193" s="33">
        <f t="shared" ca="1" si="25"/>
        <v>8.2630965949920139</v>
      </c>
      <c r="AC193" s="21">
        <f t="shared" ca="1" si="26"/>
        <v>52.643823656090319</v>
      </c>
      <c r="AD193" s="74">
        <f ca="1">IF(V193="","",DATE(INDEX(OFFSET(Arb!$C$2,,,Arb!$AJ$5,),V193),INDEX(OFFSET(Arb!$B$2,,,Arb!$AJ$5,),V193),INDEX(OFFSET(Arb!$A$2,,,Arb!$AJ$5,),V193))+ROW()*0.001)</f>
        <v>43797.192999999999</v>
      </c>
    </row>
    <row r="194" spans="1:30" x14ac:dyDescent="0.25">
      <c r="A194" s="11">
        <v>193</v>
      </c>
      <c r="B194" s="11">
        <v>553</v>
      </c>
      <c r="C194" s="433">
        <f ca="1">IF(B194="",16,INDEX(OFFSET(Arb!$I$2,,,Arb!$AJ$5,),B194))</f>
        <v>20</v>
      </c>
      <c r="D194" s="34">
        <f ca="1">IF(B194="",10,INDEX(OFFSET(Arb!$H$2,,,Arb!$AJ$5,),B194))</f>
        <v>5.72</v>
      </c>
      <c r="E194" s="33">
        <f t="shared" ca="1" si="18"/>
        <v>3.4965034965034967</v>
      </c>
      <c r="F194" s="33">
        <f ca="1">IF(B194="","",INDEX(OFFSET(Arb!$X$2,,,Arb!$AJ$5,),B194)/D194)</f>
        <v>4.3706293706293708</v>
      </c>
      <c r="G194" s="33">
        <f ca="1">IF(B194="","",(INDEX(OFFSET(Arb!$U$2,,,Arb!$AJ$5,),B194)+INDEX(OFFSET(Arb!$V$2,,,Arb!$AJ$5,),B194))/D194)</f>
        <v>4.5454545454545459</v>
      </c>
      <c r="H194" s="33">
        <f t="shared" ca="1" si="19"/>
        <v>0.96948982021748886</v>
      </c>
      <c r="I194" s="21">
        <f t="shared" ca="1" si="20"/>
        <v>48.78751588066109</v>
      </c>
      <c r="J194" s="74">
        <f ca="1">IF(B194="","",DATE(INDEX(OFFSET(Arb!$C$2,,,Arb!$AJ$5,),B194),INDEX(OFFSET(Arb!$B$2,,,Arb!$AJ$5,),B194),INDEX(OFFSET(Arb!$A$2,,,Arb!$AJ$5,),B194))+ROW()*0.001)</f>
        <v>43797.194000000003</v>
      </c>
      <c r="K194" s="11">
        <v>193</v>
      </c>
      <c r="L194" s="11">
        <v>1901</v>
      </c>
      <c r="M194" s="433">
        <f ca="1">IF(L194="",64,INDEX(OFFSET(Arb!$I$2,,,Arb!$AJ$5,),L194))</f>
        <v>67</v>
      </c>
      <c r="N194" s="34">
        <f ca="1">IF(L194="",60,INDEX(OFFSET(Arb!$H$2,,,Arb!$AJ$5,),L194))</f>
        <v>26.39</v>
      </c>
      <c r="O194" s="33">
        <f t="shared" ca="1" si="21"/>
        <v>2.5388404698749527</v>
      </c>
      <c r="P194" s="33">
        <f ca="1">IF(L194="","",INDEX(OFFSET(Arb!$X$2,,,Arb!$AJ$5,),L194)/N194)</f>
        <v>3.1451307313376278</v>
      </c>
      <c r="Q194" s="33">
        <f ca="1">IF(L194="","",(INDEX(OFFSET(Arb!$U$2,,,Arb!$AJ$5,),L194)+INDEX(OFFSET(Arb!$V$2,,,Arb!$AJ$5,),L194))/N194)</f>
        <v>3.6377415687760513</v>
      </c>
      <c r="R194" s="33">
        <f t="shared" ca="1" si="22"/>
        <v>3.8937867296494941</v>
      </c>
      <c r="S194" s="21">
        <f t="shared" ca="1" si="23"/>
        <v>39.480847481813228</v>
      </c>
      <c r="T194" s="74">
        <f ca="1">IF(L194="","",DATE(INDEX(OFFSET(Arb!$C$2,,,Arb!$AJ$5,),L194),INDEX(OFFSET(Arb!$B$2,,,Arb!$AJ$5,),L194),INDEX(OFFSET(Arb!$A$2,,,Arb!$AJ$5,),L194))+ROW()*0.001)</f>
        <v>43765.194000000003</v>
      </c>
      <c r="U194" s="11">
        <v>193</v>
      </c>
      <c r="V194" s="11">
        <v>3188</v>
      </c>
      <c r="W194" s="433">
        <f ca="1">IF(V194="",164,INDEX(OFFSET(Arb!$I$2,,,Arb!$AJ$5,),V194))</f>
        <v>151</v>
      </c>
      <c r="X194" s="34">
        <f ca="1">IF(V194="",240,INDEX(OFFSET(Arb!$H$2,,,Arb!$AJ$5,),V194))</f>
        <v>62.08</v>
      </c>
      <c r="Y194" s="33">
        <f t="shared" ca="1" si="24"/>
        <v>2.4323453608247423</v>
      </c>
      <c r="Z194" s="33">
        <f ca="1">IF(V194="","",INDEX(OFFSET(Arb!$X$2,,,Arb!$AJ$5,),V194)/X194)</f>
        <v>3.1572164948453607</v>
      </c>
      <c r="AA194" s="33">
        <f ca="1">IF(V194="","",(INDEX(OFFSET(Arb!$U$2,,,Arb!$AJ$5,),V194)+INDEX(OFFSET(Arb!$V$2,,,Arb!$AJ$5,),V194))/X194)</f>
        <v>3.4632731958762886</v>
      </c>
      <c r="AB194" s="33">
        <f t="shared" ca="1" si="25"/>
        <v>7.3967502782908712</v>
      </c>
      <c r="AC194" s="21">
        <f t="shared" ca="1" si="26"/>
        <v>58.809745311628042</v>
      </c>
      <c r="AD194" s="74">
        <f ca="1">IF(V194="","",DATE(INDEX(OFFSET(Arb!$C$2,,,Arb!$AJ$5,),V194),INDEX(OFFSET(Arb!$B$2,,,Arb!$AJ$5,),V194),INDEX(OFFSET(Arb!$A$2,,,Arb!$AJ$5,),V194))+ROW()*0.001)</f>
        <v>44054.194000000003</v>
      </c>
    </row>
    <row r="195" spans="1:30" x14ac:dyDescent="0.25">
      <c r="A195" s="11">
        <v>194</v>
      </c>
      <c r="B195" s="11">
        <v>1555</v>
      </c>
      <c r="C195" s="433">
        <f ca="1">IF(B195="",16,INDEX(OFFSET(Arb!$I$2,,,Arb!$AJ$5,),B195))</f>
        <v>18</v>
      </c>
      <c r="D195" s="34">
        <f ca="1">IF(B195="",10,INDEX(OFFSET(Arb!$H$2,,,Arb!$AJ$5,),B195))</f>
        <v>5.15</v>
      </c>
      <c r="E195" s="33">
        <f t="shared" ref="E195:E201" ca="1" si="27">C195/D195</f>
        <v>3.4951456310679609</v>
      </c>
      <c r="F195" s="33">
        <f ca="1">IF(B195="","",INDEX(OFFSET(Arb!$X$2,,,Arb!$AJ$5,),B195)/D195)</f>
        <v>4.0776699029126213</v>
      </c>
      <c r="G195" s="33">
        <f ca="1">IF(B195="","",(INDEX(OFFSET(Arb!$U$2,,,Arb!$AJ$5,),B195)+INDEX(OFFSET(Arb!$V$2,,,Arb!$AJ$5,),B195))/D195)</f>
        <v>4.6601941747572813</v>
      </c>
      <c r="H195" s="33">
        <f t="shared" ref="H195:H201" ca="1" si="28">D195^1.7/C195</f>
        <v>0.90115559669574352</v>
      </c>
      <c r="I195" s="21">
        <f t="shared" ref="I195:I201" ca="1" si="29">47.299/H195</f>
        <v>52.487051263323089</v>
      </c>
      <c r="J195" s="74">
        <f ca="1">IF(B195="","",DATE(INDEX(OFFSET(Arb!$C$2,,,Arb!$AJ$5,),B195),INDEX(OFFSET(Arb!$B$2,,,Arb!$AJ$5,),B195),INDEX(OFFSET(Arb!$A$2,,,Arb!$AJ$5,),B195))+ROW()*0.001)</f>
        <v>43989.195</v>
      </c>
      <c r="K195" s="11">
        <v>194</v>
      </c>
      <c r="L195" s="11">
        <v>1978</v>
      </c>
      <c r="M195" s="433">
        <f ca="1">IF(L195="",64,INDEX(OFFSET(Arb!$I$2,,,Arb!$AJ$5,),L195))</f>
        <v>95</v>
      </c>
      <c r="N195" s="34">
        <f ca="1">IF(L195="",60,INDEX(OFFSET(Arb!$H$2,,,Arb!$AJ$5,),L195))</f>
        <v>37.42</v>
      </c>
      <c r="O195" s="33">
        <f t="shared" ref="O195:O201" ca="1" si="30">M195/N195</f>
        <v>2.5387493319080705</v>
      </c>
      <c r="P195" s="33">
        <f ca="1">IF(L195="","",INDEX(OFFSET(Arb!$X$2,,,Arb!$AJ$5,),L195)/N195)</f>
        <v>3.019775521111705</v>
      </c>
      <c r="Q195" s="33">
        <f ca="1">IF(L195="","",(INDEX(OFFSET(Arb!$U$2,,,Arb!$AJ$5,),L195)+INDEX(OFFSET(Arb!$V$2,,,Arb!$AJ$5,),L195))/N195)</f>
        <v>3.4206306787814</v>
      </c>
      <c r="R195" s="33">
        <f t="shared" ref="R195:R201" ca="1" si="31">N195^1.7/M195</f>
        <v>4.9722485077103764</v>
      </c>
      <c r="S195" s="21">
        <f t="shared" ref="S195:S201" ca="1" si="32">153.73/R195</f>
        <v>30.917601918249588</v>
      </c>
      <c r="T195" s="74">
        <f ca="1">IF(L195="","",DATE(INDEX(OFFSET(Arb!$C$2,,,Arb!$AJ$5,),L195),INDEX(OFFSET(Arb!$B$2,,,Arb!$AJ$5,),L195),INDEX(OFFSET(Arb!$A$2,,,Arb!$AJ$5,),L195))+ROW()*0.001)</f>
        <v>43781.195</v>
      </c>
      <c r="U195" s="11">
        <v>194</v>
      </c>
      <c r="V195" s="11">
        <v>2847</v>
      </c>
      <c r="W195" s="433">
        <f ca="1">IF(V195="",164,INDEX(OFFSET(Arb!$I$2,,,Arb!$AJ$5,),V195))</f>
        <v>167</v>
      </c>
      <c r="X195" s="34">
        <f ca="1">IF(V195="",240,INDEX(OFFSET(Arb!$H$2,,,Arb!$AJ$5,),V195))</f>
        <v>68.67</v>
      </c>
      <c r="Y195" s="33">
        <f t="shared" ref="Y195:Y201" ca="1" si="33">W195/X195</f>
        <v>2.4319207805446337</v>
      </c>
      <c r="Z195" s="33">
        <f ca="1">IF(V195="","",INDEX(OFFSET(Arb!$X$2,,,Arb!$AJ$5,),V195)/X195)</f>
        <v>2.9561671763506627</v>
      </c>
      <c r="AA195" s="33">
        <f ca="1">IF(V195="","",(INDEX(OFFSET(Arb!$U$2,,,Arb!$AJ$5,),V195)+INDEX(OFFSET(Arb!$V$2,,,Arb!$AJ$5,),V195))/X195)</f>
        <v>3.2765399737876799</v>
      </c>
      <c r="AB195" s="33">
        <f t="shared" ref="AB195:AB201" ca="1" si="34">X195^1.7/W195</f>
        <v>7.9393968274603441</v>
      </c>
      <c r="AC195" s="21">
        <f t="shared" ref="AC195:AC201" ca="1" si="35">435.001/AB195</f>
        <v>54.790182359375549</v>
      </c>
      <c r="AD195" s="74">
        <f ca="1">IF(V195="","",DATE(INDEX(OFFSET(Arb!$C$2,,,Arb!$AJ$5,),V195),INDEX(OFFSET(Arb!$B$2,,,Arb!$AJ$5,),V195),INDEX(OFFSET(Arb!$A$2,,,Arb!$AJ$5,),V195))+ROW()*0.001)</f>
        <v>43904.195</v>
      </c>
    </row>
    <row r="196" spans="1:30" x14ac:dyDescent="0.25">
      <c r="A196" s="11">
        <v>195</v>
      </c>
      <c r="B196" s="11">
        <v>683</v>
      </c>
      <c r="C196" s="433">
        <f ca="1">IF(B196="",16,INDEX(OFFSET(Arb!$I$2,,,Arb!$AJ$5,),B196))</f>
        <v>24</v>
      </c>
      <c r="D196" s="34">
        <f ca="1">IF(B196="",10,INDEX(OFFSET(Arb!$H$2,,,Arb!$AJ$5,),B196))</f>
        <v>6.87</v>
      </c>
      <c r="E196" s="33">
        <f t="shared" ca="1" si="27"/>
        <v>3.4934497816593888</v>
      </c>
      <c r="F196" s="33">
        <f ca="1">IF(B196="","",INDEX(OFFSET(Arb!$X$2,,,Arb!$AJ$5,),B196)/D196)</f>
        <v>4.8034934497816595</v>
      </c>
      <c r="G196" s="33">
        <f ca="1">IF(B196="","",(INDEX(OFFSET(Arb!$U$2,,,Arb!$AJ$5,),B196)+INDEX(OFFSET(Arb!$V$2,,,Arb!$AJ$5,),B196))/D196)</f>
        <v>6.259097525473071</v>
      </c>
      <c r="H196" s="33">
        <f t="shared" ca="1" si="28"/>
        <v>1.1031008298151124</v>
      </c>
      <c r="I196" s="21">
        <f t="shared" ca="1" si="29"/>
        <v>42.878219942892848</v>
      </c>
      <c r="J196" s="74">
        <f ca="1">IF(B196="","",DATE(INDEX(OFFSET(Arb!$C$2,,,Arb!$AJ$5,),B196),INDEX(OFFSET(Arb!$B$2,,,Arb!$AJ$5,),B196),INDEX(OFFSET(Arb!$A$2,,,Arb!$AJ$5,),B196))+ROW()*0.001)</f>
        <v>43801.196000000004</v>
      </c>
      <c r="K196" s="11">
        <v>195</v>
      </c>
      <c r="L196" s="11">
        <v>2009</v>
      </c>
      <c r="M196" s="433">
        <f ca="1">IF(L196="",64,INDEX(OFFSET(Arb!$I$2,,,Arb!$AJ$5,),L196))</f>
        <v>71</v>
      </c>
      <c r="N196" s="34">
        <f ca="1">IF(L196="",60,INDEX(OFFSET(Arb!$H$2,,,Arb!$AJ$5,),L196))</f>
        <v>27.97</v>
      </c>
      <c r="O196" s="33">
        <f t="shared" ca="1" si="30"/>
        <v>2.5384340364676441</v>
      </c>
      <c r="P196" s="33">
        <f ca="1">IF(L196="","",INDEX(OFFSET(Arb!$X$2,,,Arb!$AJ$5,),L196)/N196)</f>
        <v>3.0747229174115125</v>
      </c>
      <c r="Q196" s="33">
        <f ca="1">IF(L196="","",(INDEX(OFFSET(Arb!$U$2,,,Arb!$AJ$5,),L196)+INDEX(OFFSET(Arb!$V$2,,,Arb!$AJ$5,),L196))/N196)</f>
        <v>3.6825169824812298</v>
      </c>
      <c r="R196" s="33">
        <f t="shared" ca="1" si="31"/>
        <v>4.0561951750895568</v>
      </c>
      <c r="S196" s="21">
        <f t="shared" ca="1" si="32"/>
        <v>37.900050013398527</v>
      </c>
      <c r="T196" s="74">
        <f ca="1">IF(L196="","",DATE(INDEX(OFFSET(Arb!$C$2,,,Arb!$AJ$5,),L196),INDEX(OFFSET(Arb!$B$2,,,Arb!$AJ$5,),L196),INDEX(OFFSET(Arb!$A$2,,,Arb!$AJ$5,),L196))+ROW()*0.001)</f>
        <v>43786.196000000004</v>
      </c>
      <c r="U196" s="11">
        <v>195</v>
      </c>
      <c r="V196" s="11">
        <v>2827</v>
      </c>
      <c r="W196" s="433">
        <f ca="1">IF(V196="",164,INDEX(OFFSET(Arb!$I$2,,,Arb!$AJ$5,),V196))</f>
        <v>180</v>
      </c>
      <c r="X196" s="34">
        <f ca="1">IF(V196="",240,INDEX(OFFSET(Arb!$H$2,,,Arb!$AJ$5,),V196))</f>
        <v>74.02</v>
      </c>
      <c r="Y196" s="33">
        <f t="shared" ca="1" si="33"/>
        <v>2.4317751958930018</v>
      </c>
      <c r="Z196" s="33">
        <f ca="1">IF(V196="","",INDEX(OFFSET(Arb!$X$2,,,Arb!$AJ$5,),V196)/X196)</f>
        <v>2.8911105106727915</v>
      </c>
      <c r="AA196" s="33">
        <f ca="1">IF(V196="","",(INDEX(OFFSET(Arb!$U$2,,,Arb!$AJ$5,),V196)+INDEX(OFFSET(Arb!$V$2,,,Arb!$AJ$5,),V196))/X196)</f>
        <v>3.2693866522561472</v>
      </c>
      <c r="AB196" s="33">
        <f t="shared" ca="1" si="34"/>
        <v>8.3679857544614702</v>
      </c>
      <c r="AC196" s="21">
        <f t="shared" ca="1" si="35"/>
        <v>51.983955609398009</v>
      </c>
      <c r="AD196" s="74">
        <f ca="1">IF(V196="","",DATE(INDEX(OFFSET(Arb!$C$2,,,Arb!$AJ$5,),V196),INDEX(OFFSET(Arb!$B$2,,,Arb!$AJ$5,),V196),INDEX(OFFSET(Arb!$A$2,,,Arb!$AJ$5,),V196))+ROW()*0.001)</f>
        <v>43901.196000000004</v>
      </c>
    </row>
    <row r="197" spans="1:30" x14ac:dyDescent="0.25">
      <c r="A197" s="11">
        <v>196</v>
      </c>
      <c r="B197" s="11">
        <v>1345</v>
      </c>
      <c r="C197" s="433">
        <f ca="1">IF(B197="",16,INDEX(OFFSET(Arb!$I$2,,,Arb!$AJ$5,),B197))</f>
        <v>22</v>
      </c>
      <c r="D197" s="34">
        <f ca="1">IF(B197="",10,INDEX(OFFSET(Arb!$H$2,,,Arb!$AJ$5,),B197))</f>
        <v>6.3</v>
      </c>
      <c r="E197" s="33">
        <f t="shared" ca="1" si="27"/>
        <v>3.4920634920634921</v>
      </c>
      <c r="F197" s="33">
        <f ca="1">IF(B197="","",INDEX(OFFSET(Arb!$X$2,,,Arb!$AJ$5,),B197)/D197)</f>
        <v>4.1269841269841274</v>
      </c>
      <c r="G197" s="33">
        <f ca="1">IF(B197="","",(INDEX(OFFSET(Arb!$U$2,,,Arb!$AJ$5,),B197)+INDEX(OFFSET(Arb!$V$2,,,Arb!$AJ$5,),B197))/D197)</f>
        <v>4.7619047619047619</v>
      </c>
      <c r="H197" s="33">
        <f t="shared" ca="1" si="28"/>
        <v>1.0386189764228768</v>
      </c>
      <c r="I197" s="21">
        <f t="shared" ca="1" si="29"/>
        <v>45.540280963191329</v>
      </c>
      <c r="J197" s="74">
        <f ca="1">IF(B197="","",DATE(INDEX(OFFSET(Arb!$C$2,,,Arb!$AJ$5,),B197),INDEX(OFFSET(Arb!$B$2,,,Arb!$AJ$5,),B197),INDEX(OFFSET(Arb!$A$2,,,Arb!$AJ$5,),B197))+ROW()*0.001)</f>
        <v>43935.197</v>
      </c>
      <c r="K197" s="11">
        <v>196</v>
      </c>
      <c r="L197" s="11">
        <v>2359</v>
      </c>
      <c r="M197" s="433">
        <f ca="1">IF(L197="",64,INDEX(OFFSET(Arb!$I$2,,,Arb!$AJ$5,),L197))</f>
        <v>68</v>
      </c>
      <c r="N197" s="34">
        <f ca="1">IF(L197="",60,INDEX(OFFSET(Arb!$H$2,,,Arb!$AJ$5,),L197))</f>
        <v>26.79</v>
      </c>
      <c r="O197" s="33">
        <f t="shared" ca="1" si="30"/>
        <v>2.5382605449794702</v>
      </c>
      <c r="P197" s="33">
        <f ca="1">IF(L197="","",INDEX(OFFSET(Arb!$X$2,,,Arb!$AJ$5,),L197)/N197)</f>
        <v>2.8368794326241136</v>
      </c>
      <c r="Q197" s="33">
        <f ca="1">IF(L197="","",(INDEX(OFFSET(Arb!$U$2,,,Arb!$AJ$5,),L197)+INDEX(OFFSET(Arb!$V$2,,,Arb!$AJ$5,),L197))/N197)</f>
        <v>3.5460992907801421</v>
      </c>
      <c r="R197" s="33">
        <f t="shared" ca="1" si="31"/>
        <v>3.9359058428745763</v>
      </c>
      <c r="S197" s="21">
        <f t="shared" ca="1" si="32"/>
        <v>39.058353054432772</v>
      </c>
      <c r="T197" s="74">
        <f ca="1">IF(L197="","",DATE(INDEX(OFFSET(Arb!$C$2,,,Arb!$AJ$5,),L197),INDEX(OFFSET(Arb!$B$2,,,Arb!$AJ$5,),L197),INDEX(OFFSET(Arb!$A$2,,,Arb!$AJ$5,),L197))+ROW()*0.001)</f>
        <v>44114.197</v>
      </c>
      <c r="U197" s="11">
        <v>196</v>
      </c>
      <c r="V197" s="11">
        <v>2586</v>
      </c>
      <c r="W197" s="433">
        <f ca="1">IF(V197="",164,INDEX(OFFSET(Arb!$I$2,,,Arb!$AJ$5,),V197))</f>
        <v>182</v>
      </c>
      <c r="X197" s="34">
        <f ca="1">IF(V197="",240,INDEX(OFFSET(Arb!$H$2,,,Arb!$AJ$5,),V197))</f>
        <v>74.86</v>
      </c>
      <c r="Y197" s="33">
        <f t="shared" ca="1" si="33"/>
        <v>2.431204915842907</v>
      </c>
      <c r="Z197" s="33">
        <f ca="1">IF(V197="","",INDEX(OFFSET(Arb!$X$2,,,Arb!$AJ$5,),V197)/X197)</f>
        <v>2.8319529788939355</v>
      </c>
      <c r="AA197" s="33">
        <f ca="1">IF(V197="","",(INDEX(OFFSET(Arb!$U$2,,,Arb!$AJ$5,),V197)+INDEX(OFFSET(Arb!$V$2,,,Arb!$AJ$5,),V197))/X197)</f>
        <v>3.0991183542612877</v>
      </c>
      <c r="AB197" s="33">
        <f t="shared" ca="1" si="34"/>
        <v>8.4363251678066735</v>
      </c>
      <c r="AC197" s="21">
        <f t="shared" ca="1" si="35"/>
        <v>51.562853653386874</v>
      </c>
      <c r="AD197" s="74">
        <f ca="1">IF(V197="","",DATE(INDEX(OFFSET(Arb!$C$2,,,Arb!$AJ$5,),V197),INDEX(OFFSET(Arb!$B$2,,,Arb!$AJ$5,),V197),INDEX(OFFSET(Arb!$A$2,,,Arb!$AJ$5,),V197))+ROW()*0.001)</f>
        <v>43805.197</v>
      </c>
    </row>
    <row r="198" spans="1:30" x14ac:dyDescent="0.25">
      <c r="A198" s="11">
        <v>197</v>
      </c>
      <c r="B198" s="11">
        <v>256</v>
      </c>
      <c r="C198" s="433">
        <f ca="1">IF(B198="",16,INDEX(OFFSET(Arb!$I$2,,,Arb!$AJ$5,),B198))</f>
        <v>14</v>
      </c>
      <c r="D198" s="34">
        <f ca="1">IF(B198="",10,INDEX(OFFSET(Arb!$H$2,,,Arb!$AJ$5,),B198))</f>
        <v>4.01</v>
      </c>
      <c r="E198" s="33">
        <f t="shared" ca="1" si="27"/>
        <v>3.491271820448878</v>
      </c>
      <c r="F198" s="33">
        <f ca="1">IF(B198="","",INDEX(OFFSET(Arb!$X$2,,,Arb!$AJ$5,),B198)/D198)</f>
        <v>3.9900249376558605</v>
      </c>
      <c r="G198" s="33">
        <f ca="1">IF(B198="","",(INDEX(OFFSET(Arb!$U$2,,,Arb!$AJ$5,),B198)+INDEX(OFFSET(Arb!$V$2,,,Arb!$AJ$5,),B198))/D198)</f>
        <v>4.2394014962593518</v>
      </c>
      <c r="H198" s="33">
        <f t="shared" ca="1" si="28"/>
        <v>0.75721184290742138</v>
      </c>
      <c r="I198" s="21">
        <f t="shared" ca="1" si="29"/>
        <v>62.464685996442995</v>
      </c>
      <c r="J198" s="74">
        <f ca="1">IF(B198="","",DATE(INDEX(OFFSET(Arb!$C$2,,,Arb!$AJ$5,),B198),INDEX(OFFSET(Arb!$B$2,,,Arb!$AJ$5,),B198),INDEX(OFFSET(Arb!$A$2,,,Arb!$AJ$5,),B198))+ROW()*0.001)</f>
        <v>43776.197999999997</v>
      </c>
      <c r="K198" s="11">
        <v>197</v>
      </c>
      <c r="L198" s="11">
        <v>1977</v>
      </c>
      <c r="M198" s="433">
        <f ca="1">IF(L198="",64,INDEX(OFFSET(Arb!$I$2,,,Arb!$AJ$5,),L198))</f>
        <v>65</v>
      </c>
      <c r="N198" s="34">
        <f ca="1">IF(L198="",60,INDEX(OFFSET(Arb!$H$2,,,Arb!$AJ$5,),L198))</f>
        <v>25.64</v>
      </c>
      <c r="O198" s="33">
        <f t="shared" ca="1" si="30"/>
        <v>2.5351014040561624</v>
      </c>
      <c r="P198" s="33">
        <f ca="1">IF(L198="","",INDEX(OFFSET(Arb!$X$2,,,Arb!$AJ$5,),L198)/N198)</f>
        <v>3.1981279251170047</v>
      </c>
      <c r="Q198" s="33">
        <f ca="1">IF(L198="","",(INDEX(OFFSET(Arb!$U$2,,,Arb!$AJ$5,),L198)+INDEX(OFFSET(Arb!$V$2,,,Arb!$AJ$5,),L198))/N198)</f>
        <v>3.627145085803432</v>
      </c>
      <c r="R198" s="33">
        <f t="shared" ca="1" si="31"/>
        <v>3.8216180437267879</v>
      </c>
      <c r="S198" s="21">
        <f t="shared" ca="1" si="32"/>
        <v>40.226416727424876</v>
      </c>
      <c r="T198" s="74">
        <f ca="1">IF(L198="","",DATE(INDEX(OFFSET(Arb!$C$2,,,Arb!$AJ$5,),L198),INDEX(OFFSET(Arb!$B$2,,,Arb!$AJ$5,),L198),INDEX(OFFSET(Arb!$A$2,,,Arb!$AJ$5,),L198))+ROW()*0.001)</f>
        <v>43781.197999999997</v>
      </c>
      <c r="U198" s="11">
        <v>197</v>
      </c>
      <c r="V198" s="11">
        <v>3106</v>
      </c>
      <c r="W198" s="433">
        <f ca="1">IF(V198="",164,INDEX(OFFSET(Arb!$I$2,,,Arb!$AJ$5,),V198))</f>
        <v>169</v>
      </c>
      <c r="X198" s="34">
        <f ca="1">IF(V198="",240,INDEX(OFFSET(Arb!$H$2,,,Arb!$AJ$5,),V198))</f>
        <v>69.540000000000006</v>
      </c>
      <c r="Y198" s="33">
        <f t="shared" ca="1" si="33"/>
        <v>2.4302559677883231</v>
      </c>
      <c r="Z198" s="33">
        <f ca="1">IF(V198="","",INDEX(OFFSET(Arb!$X$2,,,Arb!$AJ$5,),V198)/X198)</f>
        <v>3.0198446937014665</v>
      </c>
      <c r="AA198" s="33">
        <f ca="1">IF(V198="","",(INDEX(OFFSET(Arb!$U$2,,,Arb!$AJ$5,),V198)+INDEX(OFFSET(Arb!$V$2,,,Arb!$AJ$5,),V198))/X198)</f>
        <v>3.4081104400345121</v>
      </c>
      <c r="AB198" s="33">
        <f t="shared" ca="1" si="34"/>
        <v>8.0151612169417916</v>
      </c>
      <c r="AC198" s="21">
        <f t="shared" ca="1" si="35"/>
        <v>54.2722707910766</v>
      </c>
      <c r="AD198" s="74">
        <f ca="1">IF(V198="","",DATE(INDEX(OFFSET(Arb!$C$2,,,Arb!$AJ$5,),V198),INDEX(OFFSET(Arb!$B$2,,,Arb!$AJ$5,),V198),INDEX(OFFSET(Arb!$A$2,,,Arb!$AJ$5,),V198))+ROW()*0.001)</f>
        <v>44006.197999999997</v>
      </c>
    </row>
    <row r="199" spans="1:30" x14ac:dyDescent="0.25">
      <c r="A199" s="11">
        <v>198</v>
      </c>
      <c r="B199" s="11">
        <v>1496</v>
      </c>
      <c r="C199" s="433">
        <f ca="1">IF(B199="",16,INDEX(OFFSET(Arb!$I$2,,,Arb!$AJ$5,),B199))</f>
        <v>20</v>
      </c>
      <c r="D199" s="34">
        <f ca="1">IF(B199="",10,INDEX(OFFSET(Arb!$H$2,,,Arb!$AJ$5,),B199))</f>
        <v>5.73</v>
      </c>
      <c r="E199" s="33">
        <f t="shared" ca="1" si="27"/>
        <v>3.490401396160558</v>
      </c>
      <c r="F199" s="33">
        <f ca="1">IF(B199="","",INDEX(OFFSET(Arb!$X$2,,,Arb!$AJ$5,),B199)/D199)</f>
        <v>3.8394415357766141</v>
      </c>
      <c r="G199" s="33">
        <f ca="1">IF(B199="","",(INDEX(OFFSET(Arb!$U$2,,,Arb!$AJ$5,),B199)+INDEX(OFFSET(Arb!$V$2,,,Arb!$AJ$5,),B199))/D199)</f>
        <v>4.1884816753926701</v>
      </c>
      <c r="H199" s="33">
        <f t="shared" ca="1" si="28"/>
        <v>0.97237293383805912</v>
      </c>
      <c r="I199" s="21">
        <f t="shared" ca="1" si="29"/>
        <v>48.6428594976475</v>
      </c>
      <c r="J199" s="74">
        <f ca="1">IF(B199="","",DATE(INDEX(OFFSET(Arb!$C$2,,,Arb!$AJ$5,),B199),INDEX(OFFSET(Arb!$B$2,,,Arb!$AJ$5,),B199),INDEX(OFFSET(Arb!$A$2,,,Arb!$AJ$5,),B199))+ROW()*0.001)</f>
        <v>43978.199000000001</v>
      </c>
      <c r="K199" s="11">
        <v>198</v>
      </c>
      <c r="L199" s="11">
        <v>1968</v>
      </c>
      <c r="M199" s="433">
        <f ca="1">IF(L199="",64,INDEX(OFFSET(Arb!$I$2,,,Arb!$AJ$5,),L199))</f>
        <v>83</v>
      </c>
      <c r="N199" s="34">
        <f ca="1">IF(L199="",60,INDEX(OFFSET(Arb!$H$2,,,Arb!$AJ$5,),L199))</f>
        <v>32.75</v>
      </c>
      <c r="O199" s="33">
        <f t="shared" ca="1" si="30"/>
        <v>2.5343511450381677</v>
      </c>
      <c r="P199" s="33">
        <f ca="1">IF(L199="","",INDEX(OFFSET(Arb!$X$2,,,Arb!$AJ$5,),L199)/N199)</f>
        <v>3.3893129770992365</v>
      </c>
      <c r="Q199" s="33">
        <f ca="1">IF(L199="","",(INDEX(OFFSET(Arb!$U$2,,,Arb!$AJ$5,),L199)+INDEX(OFFSET(Arb!$V$2,,,Arb!$AJ$5,),L199))/N199)</f>
        <v>3.8167938931297711</v>
      </c>
      <c r="R199" s="33">
        <f t="shared" ca="1" si="31"/>
        <v>4.5371289754031299</v>
      </c>
      <c r="S199" s="21">
        <f t="shared" ca="1" si="32"/>
        <v>33.882660341684662</v>
      </c>
      <c r="T199" s="74">
        <f ca="1">IF(L199="","",DATE(INDEX(OFFSET(Arb!$C$2,,,Arb!$AJ$5,),L199),INDEX(OFFSET(Arb!$B$2,,,Arb!$AJ$5,),L199),INDEX(OFFSET(Arb!$A$2,,,Arb!$AJ$5,),L199))+ROW()*0.001)</f>
        <v>43779.199000000001</v>
      </c>
      <c r="U199" s="11">
        <v>198</v>
      </c>
      <c r="V199" s="11">
        <v>3300</v>
      </c>
      <c r="W199" s="433">
        <f ca="1">IF(V199="",164,INDEX(OFFSET(Arb!$I$2,,,Arb!$AJ$5,),V199))</f>
        <v>175</v>
      </c>
      <c r="X199" s="34">
        <f ca="1">IF(V199="",240,INDEX(OFFSET(Arb!$H$2,,,Arb!$AJ$5,),V199))</f>
        <v>72.040000000000006</v>
      </c>
      <c r="Y199" s="33">
        <f t="shared" ca="1" si="33"/>
        <v>2.4292059966685171</v>
      </c>
      <c r="Z199" s="33">
        <f ca="1">IF(V199="","",INDEX(OFFSET(Arb!$X$2,,,Arb!$AJ$5,),V199)/X199)</f>
        <v>2.970571904497501</v>
      </c>
      <c r="AA199" s="33">
        <f ca="1">IF(V199="","",(INDEX(OFFSET(Arb!$U$2,,,Arb!$AJ$5,),V199)+INDEX(OFFSET(Arb!$V$2,,,Arb!$AJ$5,),V199))/X199)</f>
        <v>3.3176013325930036</v>
      </c>
      <c r="AB199" s="33">
        <f t="shared" ca="1" si="34"/>
        <v>8.2193457266295162</v>
      </c>
      <c r="AC199" s="21">
        <f t="shared" ca="1" si="35"/>
        <v>52.924042188742391</v>
      </c>
      <c r="AD199" s="74">
        <f ca="1">IF(V199="","",DATE(INDEX(OFFSET(Arb!$C$2,,,Arb!$AJ$5,),V199),INDEX(OFFSET(Arb!$B$2,,,Arb!$AJ$5,),V199),INDEX(OFFSET(Arb!$A$2,,,Arb!$AJ$5,),V199))+ROW()*0.001)</f>
        <v>44090.199000000001</v>
      </c>
    </row>
    <row r="200" spans="1:30" x14ac:dyDescent="0.25">
      <c r="A200" s="11">
        <v>199</v>
      </c>
      <c r="B200" s="11">
        <v>1808</v>
      </c>
      <c r="C200" s="433">
        <f ca="1">IF(B200="",16,INDEX(OFFSET(Arb!$I$2,,,Arb!$AJ$5,),B200))</f>
        <v>15</v>
      </c>
      <c r="D200" s="34">
        <f ca="1">IF(B200="",10,INDEX(OFFSET(Arb!$H$2,,,Arb!$AJ$5,),B200))</f>
        <v>4.3</v>
      </c>
      <c r="E200" s="33">
        <f t="shared" ca="1" si="27"/>
        <v>3.4883720930232558</v>
      </c>
      <c r="F200" s="33">
        <f ca="1">IF(B200="","",INDEX(OFFSET(Arb!$X$2,,,Arb!$AJ$5,),B200)/D200)</f>
        <v>3.4883720930232558</v>
      </c>
      <c r="G200" s="33">
        <f ca="1">IF(B200="","",(INDEX(OFFSET(Arb!$U$2,,,Arb!$AJ$5,),B200)+INDEX(OFFSET(Arb!$V$2,,,Arb!$AJ$5,),B200))/D200)</f>
        <v>3.7209302325581395</v>
      </c>
      <c r="H200" s="33">
        <f t="shared" ca="1" si="28"/>
        <v>0.79580216336636178</v>
      </c>
      <c r="I200" s="21">
        <f t="shared" ca="1" si="29"/>
        <v>59.435626311843862</v>
      </c>
      <c r="J200" s="74">
        <f ca="1">IF(B200="","",DATE(INDEX(OFFSET(Arb!$C$2,,,Arb!$AJ$5,),B200),INDEX(OFFSET(Arb!$B$2,,,Arb!$AJ$5,),B200),INDEX(OFFSET(Arb!$A$2,,,Arb!$AJ$5,),B200))+ROW()*0.001)</f>
        <v>44168.2</v>
      </c>
      <c r="K200" s="11">
        <v>199</v>
      </c>
      <c r="L200" s="11">
        <v>1963</v>
      </c>
      <c r="M200" s="433">
        <f ca="1">IF(L200="",64,INDEX(OFFSET(Arb!$I$2,,,Arb!$AJ$5,),L200))</f>
        <v>76</v>
      </c>
      <c r="N200" s="34">
        <f ca="1">IF(L200="",60,INDEX(OFFSET(Arb!$H$2,,,Arb!$AJ$5,),L200))</f>
        <v>29.99</v>
      </c>
      <c r="O200" s="33">
        <f t="shared" ca="1" si="30"/>
        <v>2.5341780593531178</v>
      </c>
      <c r="P200" s="33">
        <f ca="1">IF(L200="","",INDEX(OFFSET(Arb!$X$2,,,Arb!$AJ$5,),L200)/N200)</f>
        <v>2.9009669889963323</v>
      </c>
      <c r="Q200" s="33">
        <f ca="1">IF(L200="","",(INDEX(OFFSET(Arb!$U$2,,,Arb!$AJ$5,),L200)+INDEX(OFFSET(Arb!$V$2,,,Arb!$AJ$5,),L200))/N200)</f>
        <v>3.4678226075358456</v>
      </c>
      <c r="R200" s="33">
        <f t="shared" ca="1" si="31"/>
        <v>4.2662509648912534</v>
      </c>
      <c r="S200" s="21">
        <f t="shared" ca="1" si="32"/>
        <v>36.033979544360577</v>
      </c>
      <c r="T200" s="74">
        <f ca="1">IF(L200="","",DATE(INDEX(OFFSET(Arb!$C$2,,,Arb!$AJ$5,),L200),INDEX(OFFSET(Arb!$B$2,,,Arb!$AJ$5,),L200),INDEX(OFFSET(Arb!$A$2,,,Arb!$AJ$5,),L200))+ROW()*0.001)</f>
        <v>43779.199999999997</v>
      </c>
      <c r="U200" s="11">
        <v>199</v>
      </c>
      <c r="V200" s="11">
        <v>3151</v>
      </c>
      <c r="W200" s="433">
        <f ca="1">IF(V200="",164,INDEX(OFFSET(Arb!$I$2,,,Arb!$AJ$5,),V200))</f>
        <v>174</v>
      </c>
      <c r="X200" s="34">
        <f ca="1">IF(V200="",240,INDEX(OFFSET(Arb!$H$2,,,Arb!$AJ$5,),V200))</f>
        <v>71.67</v>
      </c>
      <c r="Y200" s="33">
        <f t="shared" ca="1" si="33"/>
        <v>2.4277940560904145</v>
      </c>
      <c r="Z200" s="33">
        <f ca="1">IF(V200="","",INDEX(OFFSET(Arb!$X$2,,,Arb!$AJ$5,),V200)/X200)</f>
        <v>2.8324263987721499</v>
      </c>
      <c r="AA200" s="33">
        <f ca="1">IF(V200="","",(INDEX(OFFSET(Arb!$U$2,,,Arb!$AJ$5,),V200)+INDEX(OFFSET(Arb!$V$2,,,Arb!$AJ$5,),V200))/X200)</f>
        <v>3.1952002232454304</v>
      </c>
      <c r="AB200" s="33">
        <f t="shared" ca="1" si="34"/>
        <v>8.1945354681150455</v>
      </c>
      <c r="AC200" s="21">
        <f t="shared" ca="1" si="35"/>
        <v>53.084278137862697</v>
      </c>
      <c r="AD200" s="74">
        <f ca="1">IF(V200="","",DATE(INDEX(OFFSET(Arb!$C$2,,,Arb!$AJ$5,),V200),INDEX(OFFSET(Arb!$B$2,,,Arb!$AJ$5,),V200),INDEX(OFFSET(Arb!$A$2,,,Arb!$AJ$5,),V200))+ROW()*0.001)</f>
        <v>44028.2</v>
      </c>
    </row>
    <row r="201" spans="1:30" x14ac:dyDescent="0.25">
      <c r="A201" s="11">
        <v>200</v>
      </c>
      <c r="B201" s="11">
        <v>1743</v>
      </c>
      <c r="C201" s="433">
        <f ca="1">IF(B201="",16,INDEX(OFFSET(Arb!$I$2,,,Arb!$AJ$5,),B201))</f>
        <v>27</v>
      </c>
      <c r="D201" s="34">
        <f ca="1">IF(B201="",10,INDEX(OFFSET(Arb!$H$2,,,Arb!$AJ$5,),B201))</f>
        <v>7.74</v>
      </c>
      <c r="E201" s="33">
        <f t="shared" ca="1" si="27"/>
        <v>3.4883720930232558</v>
      </c>
      <c r="F201" s="33">
        <f ca="1">IF(B201="","",INDEX(OFFSET(Arb!$X$2,,,Arb!$AJ$5,),B201)/D201)</f>
        <v>3.2299741602067185</v>
      </c>
      <c r="G201" s="33">
        <f ca="1">IF(B201="","",(INDEX(OFFSET(Arb!$U$2,,,Arb!$AJ$5,),B201)+INDEX(OFFSET(Arb!$V$2,,,Arb!$AJ$5,),B201))/D201)</f>
        <v>4.2635658914728678</v>
      </c>
      <c r="H201" s="33">
        <f t="shared" ca="1" si="28"/>
        <v>1.2008696503187637</v>
      </c>
      <c r="I201" s="21">
        <f t="shared" ca="1" si="29"/>
        <v>39.387289026285877</v>
      </c>
      <c r="J201" s="74">
        <f ca="1">IF(B201="","",DATE(INDEX(OFFSET(Arb!$C$2,,,Arb!$AJ$5,),B201),INDEX(OFFSET(Arb!$B$2,,,Arb!$AJ$5,),B201),INDEX(OFFSET(Arb!$A$2,,,Arb!$AJ$5,),B201))+ROW()*0.001)</f>
        <v>44114.201000000001</v>
      </c>
      <c r="K201" s="11">
        <v>200</v>
      </c>
      <c r="L201" s="11">
        <v>2289</v>
      </c>
      <c r="M201" s="433">
        <f ca="1">IF(L201="",64,INDEX(OFFSET(Arb!$I$2,,,Arb!$AJ$5,),L201))</f>
        <v>58</v>
      </c>
      <c r="N201" s="34">
        <f ca="1">IF(L201="",60,INDEX(OFFSET(Arb!$H$2,,,Arb!$AJ$5,),L201))</f>
        <v>22.94</v>
      </c>
      <c r="O201" s="33">
        <f t="shared" ca="1" si="30"/>
        <v>2.5283347863993022</v>
      </c>
      <c r="P201" s="33">
        <f ca="1">IF(L201="","",INDEX(OFFSET(Arb!$X$2,,,Arb!$AJ$5,),L201)/N201)</f>
        <v>3.400174367916303</v>
      </c>
      <c r="Q201" s="33">
        <f ca="1">IF(L201="","",(INDEX(OFFSET(Arb!$U$2,,,Arb!$AJ$5,),L201)+INDEX(OFFSET(Arb!$V$2,,,Arb!$AJ$5,),L201))/N201)</f>
        <v>3.7925021795989537</v>
      </c>
      <c r="R201" s="33">
        <f t="shared" ca="1" si="31"/>
        <v>3.5447108084331473</v>
      </c>
      <c r="S201" s="21">
        <f t="shared" ca="1" si="32"/>
        <v>43.368841157440592</v>
      </c>
      <c r="T201" s="74">
        <f ca="1">IF(L201="","",DATE(INDEX(OFFSET(Arb!$C$2,,,Arb!$AJ$5,),L201),INDEX(OFFSET(Arb!$B$2,,,Arb!$AJ$5,),L201),INDEX(OFFSET(Arb!$A$2,,,Arb!$AJ$5,),L201))+ROW()*0.001)</f>
        <v>43937.201000000001</v>
      </c>
      <c r="U201" s="11">
        <v>200</v>
      </c>
      <c r="V201" s="11">
        <v>3171</v>
      </c>
      <c r="W201" s="433">
        <f ca="1">IF(V201="",164,INDEX(OFFSET(Arb!$I$2,,,Arb!$AJ$5,),V201))</f>
        <v>177</v>
      </c>
      <c r="X201" s="34">
        <f ca="1">IF(V201="",240,INDEX(OFFSET(Arb!$H$2,,,Arb!$AJ$5,),V201))</f>
        <v>72.91</v>
      </c>
      <c r="Y201" s="33">
        <f t="shared" ca="1" si="33"/>
        <v>2.4276505280482787</v>
      </c>
      <c r="Z201" s="33">
        <f ca="1">IF(V201="","",INDEX(OFFSET(Arb!$X$2,,,Arb!$AJ$5,),V201)/X201)</f>
        <v>2.893978878068852</v>
      </c>
      <c r="AA201" s="33">
        <f ca="1">IF(V201="","",(INDEX(OFFSET(Arb!$U$2,,,Arb!$AJ$5,),V201)+INDEX(OFFSET(Arb!$V$2,,,Arb!$AJ$5,),V201))/X201)</f>
        <v>3.0997119736661638</v>
      </c>
      <c r="AB201" s="33">
        <f t="shared" ca="1" si="34"/>
        <v>8.2940146977536742</v>
      </c>
      <c r="AC201" s="21">
        <f t="shared" ca="1" si="35"/>
        <v>52.447580074558381</v>
      </c>
      <c r="AD201" s="74">
        <f ca="1">IF(V201="","",DATE(INDEX(OFFSET(Arb!$C$2,,,Arb!$AJ$5,),V201),INDEX(OFFSET(Arb!$B$2,,,Arb!$AJ$5,),V201),INDEX(OFFSET(Arb!$A$2,,,Arb!$AJ$5,),V201))+ROW()*0.001)</f>
        <v>44038.201000000001</v>
      </c>
    </row>
  </sheetData>
  <phoneticPr fontId="1" type="noConversion"/>
  <conditionalFormatting sqref="J1:J1048576">
    <cfRule type="expression" dxfId="133" priority="7">
      <formula>YEAR(NOW())-YEAR(J1)=0</formula>
    </cfRule>
    <cfRule type="expression" dxfId="132" priority="8">
      <formula>YEAR(NOW())-YEAR(J1)=1</formula>
    </cfRule>
    <cfRule type="expression" dxfId="131" priority="9">
      <formula>YEAR(NOW())-YEAR(J1)=2</formula>
    </cfRule>
  </conditionalFormatting>
  <conditionalFormatting sqref="T1:T1048576">
    <cfRule type="expression" dxfId="130" priority="4">
      <formula>YEAR(NOW())-YEAR(T1)=0</formula>
    </cfRule>
    <cfRule type="expression" dxfId="129" priority="5">
      <formula>YEAR(NOW())-YEAR(T1)=1</formula>
    </cfRule>
    <cfRule type="expression" dxfId="128" priority="6">
      <formula>YEAR(NOW())-YEAR(T1)=2</formula>
    </cfRule>
  </conditionalFormatting>
  <conditionalFormatting sqref="AD1:AD1048576">
    <cfRule type="expression" dxfId="127" priority="1">
      <formula>YEAR(NOW())-YEAR(AD1)=0</formula>
    </cfRule>
    <cfRule type="expression" dxfId="126" priority="2">
      <formula>YEAR(NOW())-YEAR(AD1)=1</formula>
    </cfRule>
    <cfRule type="expression" dxfId="125" priority="3">
      <formula>YEAR(NOW())-YEAR(AD1)=2</formula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F0"/>
  </sheetPr>
  <dimension ref="A1:AD201"/>
  <sheetViews>
    <sheetView workbookViewId="0">
      <pane ySplit="1" topLeftCell="A2" activePane="bottomLeft" state="frozen"/>
      <selection pane="bottomLeft"/>
    </sheetView>
  </sheetViews>
  <sheetFormatPr defaultColWidth="9" defaultRowHeight="13.2" x14ac:dyDescent="0.25"/>
  <cols>
    <col min="1" max="1" width="5.33203125" style="11" bestFit="1" customWidth="1"/>
    <col min="2" max="2" width="6.44140625" style="11" hidden="1" customWidth="1"/>
    <col min="3" max="3" width="3.5546875" style="433" bestFit="1" customWidth="1"/>
    <col min="4" max="4" width="5.6640625" style="34" bestFit="1" customWidth="1"/>
    <col min="5" max="8" width="6.6640625" style="33" bestFit="1" customWidth="1"/>
    <col min="9" max="9" width="5.6640625" style="21" bestFit="1" customWidth="1"/>
    <col min="10" max="10" width="8.6640625" style="74" bestFit="1" customWidth="1"/>
    <col min="11" max="11" width="5.33203125" style="11" bestFit="1" customWidth="1"/>
    <col min="12" max="12" width="6.44140625" style="11" hidden="1" customWidth="1"/>
    <col min="13" max="13" width="3.5546875" style="433" bestFit="1" customWidth="1"/>
    <col min="14" max="14" width="6.6640625" style="34" bestFit="1" customWidth="1"/>
    <col min="15" max="18" width="6.6640625" style="33" bestFit="1" customWidth="1"/>
    <col min="19" max="19" width="5.6640625" style="21" bestFit="1" customWidth="1"/>
    <col min="20" max="20" width="8.6640625" style="74" bestFit="1" customWidth="1"/>
    <col min="21" max="21" width="5.33203125" style="11" bestFit="1" customWidth="1"/>
    <col min="22" max="22" width="6.44140625" style="11" hidden="1" customWidth="1"/>
    <col min="23" max="23" width="4.5546875" style="433" bestFit="1" customWidth="1"/>
    <col min="24" max="24" width="6.6640625" style="34" bestFit="1" customWidth="1"/>
    <col min="25" max="28" width="6.6640625" style="33" bestFit="1" customWidth="1"/>
    <col min="29" max="29" width="5.6640625" style="21" bestFit="1" customWidth="1"/>
    <col min="30" max="30" width="8.6640625" style="74" bestFit="1" customWidth="1"/>
    <col min="31" max="16384" width="9" style="19"/>
  </cols>
  <sheetData>
    <row r="1" spans="1:30" x14ac:dyDescent="0.25">
      <c r="A1" s="24" t="str">
        <f>Time!A1</f>
        <v>排位</v>
      </c>
      <c r="B1" s="24" t="s">
        <v>7</v>
      </c>
      <c r="C1" s="433" t="s">
        <v>288</v>
      </c>
      <c r="D1" s="38" t="s">
        <v>6</v>
      </c>
      <c r="E1" s="64" t="s">
        <v>2</v>
      </c>
      <c r="F1" s="64" t="s">
        <v>34</v>
      </c>
      <c r="G1" s="64" t="s">
        <v>33</v>
      </c>
      <c r="H1" s="64" t="s">
        <v>0</v>
      </c>
      <c r="I1" s="18" t="s">
        <v>289</v>
      </c>
      <c r="J1" s="73" t="str">
        <f>IF(Arb!$AJ$28=1,"Date","日期")</f>
        <v>日期</v>
      </c>
      <c r="K1" s="24" t="str">
        <f>A1</f>
        <v>排位</v>
      </c>
      <c r="L1" s="24" t="s">
        <v>7</v>
      </c>
      <c r="M1" s="433" t="s">
        <v>288</v>
      </c>
      <c r="N1" s="38" t="s">
        <v>6</v>
      </c>
      <c r="O1" s="64" t="s">
        <v>2</v>
      </c>
      <c r="P1" s="64" t="s">
        <v>34</v>
      </c>
      <c r="Q1" s="64" t="s">
        <v>33</v>
      </c>
      <c r="R1" s="64" t="s">
        <v>0</v>
      </c>
      <c r="S1" s="18" t="s">
        <v>289</v>
      </c>
      <c r="T1" s="73" t="str">
        <f>IF(Arb!$AJ$28=1,"Date","日期")</f>
        <v>日期</v>
      </c>
      <c r="U1" s="24" t="str">
        <f>A1</f>
        <v>排位</v>
      </c>
      <c r="V1" s="24" t="s">
        <v>7</v>
      </c>
      <c r="W1" s="433" t="s">
        <v>288</v>
      </c>
      <c r="X1" s="38" t="s">
        <v>6</v>
      </c>
      <c r="Y1" s="64" t="s">
        <v>2</v>
      </c>
      <c r="Z1" s="64" t="s">
        <v>34</v>
      </c>
      <c r="AA1" s="64" t="s">
        <v>33</v>
      </c>
      <c r="AB1" s="64" t="s">
        <v>0</v>
      </c>
      <c r="AC1" s="18" t="s">
        <v>289</v>
      </c>
      <c r="AD1" s="73" t="str">
        <f>IF(Arb!$AJ$28=1,"Date","日期")</f>
        <v>日期</v>
      </c>
    </row>
    <row r="2" spans="1:30" x14ac:dyDescent="0.25">
      <c r="A2" s="11">
        <v>1</v>
      </c>
      <c r="B2" s="11">
        <v>1626</v>
      </c>
      <c r="C2" s="433">
        <f ca="1">IF(B2="",16,INDEX(OFFSET(Arb!$I$2,,,Arb!$AJ$5,),B2))</f>
        <v>18</v>
      </c>
      <c r="D2" s="560">
        <f ca="1">IF(B2="",10,INDEX(OFFSET(Arb!$H$2,,,Arb!$AJ$5,),B2))</f>
        <v>3.69</v>
      </c>
      <c r="E2" s="721">
        <f ca="1">C2/D2</f>
        <v>4.8780487804878048</v>
      </c>
      <c r="F2" s="721">
        <f ca="1">IF(B2="","",INDEX(OFFSET(Arb!$X$2,,,Arb!$AJ$5,),B2)/D2)</f>
        <v>4.8780487804878048</v>
      </c>
      <c r="G2" s="565">
        <f ca="1">IF(B2="","",(INDEX(OFFSET(Arb!$U$2,,,Arb!$AJ$5,),B2)+INDEX(OFFSET(Arb!$V$2,,,Arb!$AJ$5,),B2))/D2)</f>
        <v>5.1490514905149052</v>
      </c>
      <c r="H2" s="33">
        <f ca="1">D2^1.7/C2</f>
        <v>0.51129590843483819</v>
      </c>
      <c r="I2" s="321">
        <f ca="1">47.299/H2</f>
        <v>92.508074521445138</v>
      </c>
      <c r="J2" s="74">
        <f ca="1">IF(B2="","",DATE(INDEX(OFFSET(Arb!$C$2,,,Arb!$AJ$5,),B2),INDEX(OFFSET(Arb!$B$2,,,Arb!$AJ$5,),B2),INDEX(OFFSET(Arb!$A$2,,,Arb!$AJ$5,),B2))+ROW()*0.001)</f>
        <v>44093.002</v>
      </c>
      <c r="K2" s="11">
        <v>1</v>
      </c>
      <c r="L2" s="11">
        <v>2298</v>
      </c>
      <c r="M2" s="433">
        <f ca="1">IF(L2="",64,INDEX(OFFSET(Arb!$I$2,,,Arb!$AJ$5,),L2))</f>
        <v>37</v>
      </c>
      <c r="N2" s="683">
        <f ca="1">IF(L2="",60,INDEX(OFFSET(Arb!$H$2,,,Arb!$AJ$5,),L2))</f>
        <v>14.12</v>
      </c>
      <c r="O2" s="726">
        <f ca="1">M2/N2</f>
        <v>2.6203966005665724</v>
      </c>
      <c r="P2" s="724">
        <f ca="1">IF(L2="","",INDEX(OFFSET(Arb!$X$2,,,Arb!$AJ$5,),L2)/N2)</f>
        <v>3.3286118980169972</v>
      </c>
      <c r="Q2" s="562">
        <f ca="1">IF(L2="","",(INDEX(OFFSET(Arb!$U$2,,,Arb!$AJ$5,),L2)+INDEX(OFFSET(Arb!$V$2,,,Arb!$AJ$5,),L2))/N2)</f>
        <v>3.6827195467422098</v>
      </c>
      <c r="R2" s="33">
        <f ca="1">N2^1.7/M2</f>
        <v>2.4351025773436783</v>
      </c>
      <c r="S2" s="775">
        <f ca="1">153.73/R2</f>
        <v>63.130810763502097</v>
      </c>
      <c r="T2" s="74">
        <f ca="1">IF(L2="","",DATE(INDEX(OFFSET(Arb!$C$2,,,Arb!$AJ$5,),L2),INDEX(OFFSET(Arb!$B$2,,,Arb!$AJ$5,),L2),INDEX(OFFSET(Arb!$A$2,,,Arb!$AJ$5,),L2))+ROW()*0.001)</f>
        <v>43937.002</v>
      </c>
      <c r="U2" s="11">
        <v>1</v>
      </c>
      <c r="V2" s="11">
        <v>3333</v>
      </c>
      <c r="W2" s="433">
        <f ca="1">IF(V2="",164,INDEX(OFFSET(Arb!$I$2,,,Arb!$AJ$5,),V2))</f>
        <v>180</v>
      </c>
      <c r="X2" s="693">
        <f ca="1">IF(V2="",240,INDEX(OFFSET(Arb!$H$2,,,Arb!$AJ$5,),V2))</f>
        <v>63.73</v>
      </c>
      <c r="Y2" s="725">
        <f ca="1">W2/X2</f>
        <v>2.8244155029028715</v>
      </c>
      <c r="Z2" s="724">
        <f ca="1">IF(V2="","",INDEX(OFFSET(Arb!$X$2,,,Arb!$AJ$5,),V2)/X2)</f>
        <v>3.3108426172916996</v>
      </c>
      <c r="AA2" s="562">
        <f ca="1">IF(V2="","",(INDEX(OFFSET(Arb!$U$2,,,Arb!$AJ$5,),V2)+INDEX(OFFSET(Arb!$V$2,,,Arb!$AJ$5,),V2))/X2)</f>
        <v>3.5305193786285893</v>
      </c>
      <c r="AB2" s="33">
        <f ca="1">X2^1.7/W2</f>
        <v>6.4880196466748812</v>
      </c>
      <c r="AC2" s="775">
        <f ca="1">435.001/AB2</f>
        <v>67.046806836187457</v>
      </c>
      <c r="AD2" s="74">
        <f ca="1">IF(V2="","",DATE(INDEX(OFFSET(Arb!$C$2,,,Arb!$AJ$5,),V2),INDEX(OFFSET(Arb!$B$2,,,Arb!$AJ$5,),V2),INDEX(OFFSET(Arb!$A$2,,,Arb!$AJ$5,),V2))+ROW()*0.001)</f>
        <v>44096.002</v>
      </c>
    </row>
    <row r="3" spans="1:30" x14ac:dyDescent="0.25">
      <c r="A3" s="11">
        <v>2</v>
      </c>
      <c r="B3" s="11">
        <v>1776</v>
      </c>
      <c r="C3" s="433">
        <f ca="1">IF(B3="",16,INDEX(OFFSET(Arb!$I$2,,,Arb!$AJ$5,),B3))</f>
        <v>14</v>
      </c>
      <c r="D3" s="686">
        <f ca="1">IF(B3="",10,INDEX(OFFSET(Arb!$H$2,,,Arb!$AJ$5,),B3))</f>
        <v>3.23</v>
      </c>
      <c r="E3" s="722">
        <f t="shared" ref="E3:E66" ca="1" si="0">C3/D3</f>
        <v>4.3343653250773997</v>
      </c>
      <c r="F3" s="722">
        <f ca="1">IF(B3="","",INDEX(OFFSET(Arb!$X$2,,,Arb!$AJ$5,),B3)/D3)</f>
        <v>4.3343653250773997</v>
      </c>
      <c r="G3" s="721">
        <f ca="1">IF(B3="","",(INDEX(OFFSET(Arb!$U$2,,,Arb!$AJ$5,),B3)+INDEX(OFFSET(Arb!$V$2,,,Arb!$AJ$5,),B3))/D3)</f>
        <v>4.9535603715170282</v>
      </c>
      <c r="H3" s="33">
        <f t="shared" ref="H3:H66" ca="1" si="1">D3^1.7/C3</f>
        <v>0.52422321826333906</v>
      </c>
      <c r="I3" s="321">
        <f t="shared" ref="I3:I66" ca="1" si="2">47.299/H3</f>
        <v>90.226831533127083</v>
      </c>
      <c r="J3" s="74">
        <f ca="1">IF(B3="","",DATE(INDEX(OFFSET(Arb!$C$2,,,Arb!$AJ$5,),B3),INDEX(OFFSET(Arb!$B$2,,,Arb!$AJ$5,),B3),INDEX(OFFSET(Arb!$A$2,,,Arb!$AJ$5,),B3))+ROW()*0.001)</f>
        <v>44167.002999999997</v>
      </c>
      <c r="K3" s="11">
        <v>2</v>
      </c>
      <c r="L3" s="11">
        <v>2114</v>
      </c>
      <c r="M3" s="433">
        <f ca="1">IF(L3="",64,INDEX(OFFSET(Arb!$I$2,,,Arb!$AJ$5,),L3))</f>
        <v>55</v>
      </c>
      <c r="N3" s="688">
        <f ca="1">IF(L3="",60,INDEX(OFFSET(Arb!$H$2,,,Arb!$AJ$5,),L3))</f>
        <v>18.7</v>
      </c>
      <c r="O3" s="725">
        <f t="shared" ref="O3:O66" ca="1" si="3">M3/N3</f>
        <v>2.9411764705882355</v>
      </c>
      <c r="P3" s="724">
        <f ca="1">IF(L3="","",INDEX(OFFSET(Arb!$X$2,,,Arb!$AJ$5,),L3)/N3)</f>
        <v>3.4224598930481283</v>
      </c>
      <c r="Q3" s="562">
        <f ca="1">IF(L3="","",(INDEX(OFFSET(Arb!$U$2,,,Arb!$AJ$5,),L3)+INDEX(OFFSET(Arb!$V$2,,,Arb!$AJ$5,),L3))/N3)</f>
        <v>3.6363636363636367</v>
      </c>
      <c r="R3" s="33">
        <f t="shared" ref="R3:R66" ca="1" si="4">N3^1.7/M3</f>
        <v>2.6409978132937173</v>
      </c>
      <c r="S3" s="776">
        <f t="shared" ref="S3:S66" ca="1" si="5">153.73/R3</f>
        <v>58.209059934160187</v>
      </c>
      <c r="T3" s="74">
        <f ca="1">IF(L3="","",DATE(INDEX(OFFSET(Arb!$C$2,,,Arb!$AJ$5,),L3),INDEX(OFFSET(Arb!$B$2,,,Arb!$AJ$5,),L3),INDEX(OFFSET(Arb!$A$2,,,Arb!$AJ$5,),L3))+ROW()*0.001)</f>
        <v>43811.002999999997</v>
      </c>
      <c r="U3" s="11">
        <v>2</v>
      </c>
      <c r="V3" s="11">
        <v>3265</v>
      </c>
      <c r="W3" s="433">
        <f ca="1">IF(V3="",164,INDEX(OFFSET(Arb!$I$2,,,Arb!$AJ$5,),V3))</f>
        <v>173</v>
      </c>
      <c r="X3" s="693">
        <f ca="1">IF(V3="",240,INDEX(OFFSET(Arb!$H$2,,,Arb!$AJ$5,),V3))</f>
        <v>63.97</v>
      </c>
      <c r="Y3" s="726">
        <f t="shared" ref="Y3:Y66" ca="1" si="6">W3/X3</f>
        <v>2.7043926840706582</v>
      </c>
      <c r="Z3" s="724">
        <f ca="1">IF(V3="","",INDEX(OFFSET(Arb!$X$2,,,Arb!$AJ$5,),V3)/X3)</f>
        <v>3.2515241519462248</v>
      </c>
      <c r="AA3" s="562">
        <f ca="1">IF(V3="","",(INDEX(OFFSET(Arb!$U$2,,,Arb!$AJ$5,),V3)+INDEX(OFFSET(Arb!$V$2,,,Arb!$AJ$5,),V3))/X3)</f>
        <v>3.6267000156323279</v>
      </c>
      <c r="AB3" s="33">
        <f t="shared" ref="AB3:AB66" ca="1" si="7">X3^1.7/W3</f>
        <v>6.7938146326502151</v>
      </c>
      <c r="AC3" s="775">
        <f t="shared" ref="AC3:AC66" ca="1" si="8">435.001/AB3</f>
        <v>64.028976873970052</v>
      </c>
      <c r="AD3" s="74">
        <f ca="1">IF(V3="","",DATE(INDEX(OFFSET(Arb!$C$2,,,Arb!$AJ$5,),V3),INDEX(OFFSET(Arb!$B$2,,,Arb!$AJ$5,),V3),INDEX(OFFSET(Arb!$A$2,,,Arb!$AJ$5,),V3))+ROW()*0.001)</f>
        <v>44073.002999999997</v>
      </c>
    </row>
    <row r="4" spans="1:30" x14ac:dyDescent="0.25">
      <c r="A4" s="11">
        <v>3</v>
      </c>
      <c r="B4" s="11">
        <v>1860</v>
      </c>
      <c r="C4" s="433">
        <f ca="1">IF(B4="",16,INDEX(OFFSET(Arb!$I$2,,,Arb!$AJ$5,),B4))</f>
        <v>14</v>
      </c>
      <c r="D4" s="686">
        <f ca="1">IF(B4="",10,INDEX(OFFSET(Arb!$H$2,,,Arb!$AJ$5,),B4))</f>
        <v>3.38</v>
      </c>
      <c r="E4" s="563">
        <f t="shared" ca="1" si="0"/>
        <v>4.1420118343195265</v>
      </c>
      <c r="F4" s="722">
        <f ca="1">IF(B4="","",INDEX(OFFSET(Arb!$X$2,,,Arb!$AJ$5,),B4)/D4)</f>
        <v>4.4378698224852071</v>
      </c>
      <c r="G4" s="565">
        <f ca="1">IF(B4="","",(INDEX(OFFSET(Arb!$U$2,,,Arb!$AJ$5,),B4)+INDEX(OFFSET(Arb!$V$2,,,Arb!$AJ$5,),B4))/D4)</f>
        <v>5.0295857988165684</v>
      </c>
      <c r="H4" s="33">
        <f t="shared" ca="1" si="1"/>
        <v>0.56627886743091593</v>
      </c>
      <c r="I4" s="761">
        <f t="shared" ca="1" si="2"/>
        <v>83.525984670035939</v>
      </c>
      <c r="J4" s="74">
        <f ca="1">IF(B4="","",DATE(INDEX(OFFSET(Arb!$C$2,,,Arb!$AJ$5,),B4),INDEX(OFFSET(Arb!$B$2,,,Arb!$AJ$5,),B4),INDEX(OFFSET(Arb!$A$2,,,Arb!$AJ$5,),B4))+ROW()*0.001)</f>
        <v>44168.004000000001</v>
      </c>
      <c r="K4" s="11">
        <v>3</v>
      </c>
      <c r="L4" s="11">
        <v>2118</v>
      </c>
      <c r="M4" s="433">
        <f ca="1">IF(L4="",64,INDEX(OFFSET(Arb!$I$2,,,Arb!$AJ$5,),L4))</f>
        <v>52</v>
      </c>
      <c r="N4" s="688">
        <f ca="1">IF(L4="",60,INDEX(OFFSET(Arb!$H$2,,,Arb!$AJ$5,),L4))</f>
        <v>18.12</v>
      </c>
      <c r="O4" s="725">
        <f t="shared" ca="1" si="3"/>
        <v>2.869757174392936</v>
      </c>
      <c r="P4" s="724">
        <f ca="1">IF(L4="","",INDEX(OFFSET(Arb!$X$2,,,Arb!$AJ$5,),L4)/N4)</f>
        <v>3.3112582781456954</v>
      </c>
      <c r="Q4" s="723">
        <f ca="1">IF(L4="","",(INDEX(OFFSET(Arb!$U$2,,,Arb!$AJ$5,),L4)+INDEX(OFFSET(Arb!$V$2,,,Arb!$AJ$5,),L4))/N4)</f>
        <v>3.7527593818984544</v>
      </c>
      <c r="R4" s="33">
        <f t="shared" ca="1" si="4"/>
        <v>2.6476805496926712</v>
      </c>
      <c r="S4" s="776">
        <f t="shared" ca="1" si="5"/>
        <v>58.062140471532395</v>
      </c>
      <c r="T4" s="74">
        <f ca="1">IF(L4="","",DATE(INDEX(OFFSET(Arb!$C$2,,,Arb!$AJ$5,),L4),INDEX(OFFSET(Arb!$B$2,,,Arb!$AJ$5,),L4),INDEX(OFFSET(Arb!$A$2,,,Arb!$AJ$5,),L4))+ROW()*0.001)</f>
        <v>43811.004000000001</v>
      </c>
      <c r="U4" s="11">
        <v>3</v>
      </c>
      <c r="V4" s="11">
        <v>3038</v>
      </c>
      <c r="W4" s="433">
        <f ca="1">IF(V4="",164,INDEX(OFFSET(Arb!$I$2,,,Arb!$AJ$5,),V4))</f>
        <v>191</v>
      </c>
      <c r="X4" s="692">
        <f ca="1">IF(V4="",240,INDEX(OFFSET(Arb!$H$2,,,Arb!$AJ$5,),V4))</f>
        <v>67.900000000000006</v>
      </c>
      <c r="Y4" s="725">
        <f t="shared" ca="1" si="6"/>
        <v>2.8129602356406478</v>
      </c>
      <c r="Z4" s="561">
        <f ca="1">IF(V4="","",INDEX(OFFSET(Arb!$X$2,,,Arb!$AJ$5,),V4)/X4)</f>
        <v>3.1369661266568483</v>
      </c>
      <c r="AA4" s="724">
        <f ca="1">IF(V4="","",(INDEX(OFFSET(Arb!$U$2,,,Arb!$AJ$5,),V4)+INDEX(OFFSET(Arb!$V$2,,,Arb!$AJ$5,),V4))/X4)</f>
        <v>3.3873343151693662</v>
      </c>
      <c r="AB4" s="33">
        <f t="shared" ca="1" si="7"/>
        <v>6.8099707889207757</v>
      </c>
      <c r="AC4" s="775">
        <f t="shared" ca="1" si="8"/>
        <v>63.87707282206091</v>
      </c>
      <c r="AD4" s="74">
        <f ca="1">IF(V4="","",DATE(INDEX(OFFSET(Arb!$C$2,,,Arb!$AJ$5,),V4),INDEX(OFFSET(Arb!$B$2,,,Arb!$AJ$5,),V4),INDEX(OFFSET(Arb!$A$2,,,Arb!$AJ$5,),V4))+ROW()*0.001)</f>
        <v>43979.004000000001</v>
      </c>
    </row>
    <row r="5" spans="1:30" x14ac:dyDescent="0.25">
      <c r="A5" s="11">
        <v>4</v>
      </c>
      <c r="B5" s="11">
        <v>1049</v>
      </c>
      <c r="C5" s="433">
        <f ca="1">IF(B5="",16,INDEX(OFFSET(Arb!$I$2,,,Arb!$AJ$5,),B5))</f>
        <v>17</v>
      </c>
      <c r="D5" s="560">
        <f ca="1">IF(B5="",10,INDEX(OFFSET(Arb!$H$2,,,Arb!$AJ$5,),B5))</f>
        <v>3.84</v>
      </c>
      <c r="E5" s="722">
        <f t="shared" ca="1" si="0"/>
        <v>4.4270833333333339</v>
      </c>
      <c r="F5" s="722">
        <f ca="1">IF(B5="","",INDEX(OFFSET(Arb!$X$2,,,Arb!$AJ$5,),B5)/D5)</f>
        <v>4.4270833333333339</v>
      </c>
      <c r="G5" s="564">
        <f ca="1">IF(B5="","",(INDEX(OFFSET(Arb!$U$2,,,Arb!$AJ$5,),B5)+INDEX(OFFSET(Arb!$V$2,,,Arb!$AJ$5,),B5))/D5)</f>
        <v>4.6875</v>
      </c>
      <c r="H5" s="33">
        <f t="shared" ca="1" si="1"/>
        <v>0.57931418146233005</v>
      </c>
      <c r="I5" s="761">
        <f t="shared" ca="1" si="2"/>
        <v>81.646542607684495</v>
      </c>
      <c r="J5" s="74">
        <f ca="1">IF(B5="","",DATE(INDEX(OFFSET(Arb!$C$2,,,Arb!$AJ$5,),B5),INDEX(OFFSET(Arb!$B$2,,,Arb!$AJ$5,),B5),INDEX(OFFSET(Arb!$A$2,,,Arb!$AJ$5,),B5))+ROW()*0.001)</f>
        <v>43841.004999999997</v>
      </c>
      <c r="K5" s="11">
        <v>4</v>
      </c>
      <c r="L5" s="11">
        <v>2409</v>
      </c>
      <c r="M5" s="433">
        <f ca="1">IF(L5="",64,INDEX(OFFSET(Arb!$I$2,,,Arb!$AJ$5,),L5))</f>
        <v>30</v>
      </c>
      <c r="N5" s="560">
        <f ca="1">IF(L5="",60,INDEX(OFFSET(Arb!$H$2,,,Arb!$AJ$5,),L5))</f>
        <v>13.41</v>
      </c>
      <c r="O5" s="768">
        <f t="shared" ca="1" si="3"/>
        <v>2.2371364653243848</v>
      </c>
      <c r="P5" s="769">
        <f ca="1">IF(L5="","",INDEX(OFFSET(Arb!$X$2,,,Arb!$AJ$5,),L5)/N5)</f>
        <v>2.4608501118568231</v>
      </c>
      <c r="Q5" s="725">
        <f ca="1">IF(L5="","",(INDEX(OFFSET(Arb!$U$2,,,Arb!$AJ$5,),L5)+INDEX(OFFSET(Arb!$V$2,,,Arb!$AJ$5,),L5))/N5)</f>
        <v>2.9082774049217002</v>
      </c>
      <c r="R5" s="33">
        <f t="shared" ca="1" si="4"/>
        <v>2.7511081763835135</v>
      </c>
      <c r="S5" s="774">
        <f t="shared" ca="1" si="5"/>
        <v>55.879300319657631</v>
      </c>
      <c r="T5" s="74">
        <f ca="1">IF(L5="","",DATE(INDEX(OFFSET(Arb!$C$2,,,Arb!$AJ$5,),L5),INDEX(OFFSET(Arb!$B$2,,,Arb!$AJ$5,),L5),INDEX(OFFSET(Arb!$A$2,,,Arb!$AJ$5,),L5))+ROW()*0.001)</f>
        <v>44168.004999999997</v>
      </c>
      <c r="U5" s="11">
        <v>4</v>
      </c>
      <c r="V5" s="11">
        <v>3353</v>
      </c>
      <c r="W5" s="433">
        <f ca="1">IF(V5="",164,INDEX(OFFSET(Arb!$I$2,,,Arb!$AJ$5,),V5))</f>
        <v>181</v>
      </c>
      <c r="X5" s="691">
        <f ca="1">IF(V5="",240,INDEX(OFFSET(Arb!$H$2,,,Arb!$AJ$5,),V5))</f>
        <v>65.95</v>
      </c>
      <c r="Y5" s="726">
        <f t="shared" ca="1" si="6"/>
        <v>2.7445034116755118</v>
      </c>
      <c r="Z5" s="724">
        <f ca="1">IF(V5="","",INDEX(OFFSET(Arb!$X$2,,,Arb!$AJ$5,),V5)/X5)</f>
        <v>3.3510235026535251</v>
      </c>
      <c r="AA5" s="723">
        <f ca="1">IF(V5="","",(INDEX(OFFSET(Arb!$U$2,,,Arb!$AJ$5,),V5)+INDEX(OFFSET(Arb!$V$2,,,Arb!$AJ$5,),V5))/X5)</f>
        <v>3.821076573161486</v>
      </c>
      <c r="AB5" s="33">
        <f t="shared" ca="1" si="7"/>
        <v>6.8389052202952882</v>
      </c>
      <c r="AC5" s="775">
        <f t="shared" ca="1" si="8"/>
        <v>63.60681804875454</v>
      </c>
      <c r="AD5" s="74">
        <f ca="1">IF(V5="","",DATE(INDEX(OFFSET(Arb!$C$2,,,Arb!$AJ$5,),V5),INDEX(OFFSET(Arb!$B$2,,,Arb!$AJ$5,),V5),INDEX(OFFSET(Arb!$A$2,,,Arb!$AJ$5,),V5))+ROW()*0.001)</f>
        <v>44098.004999999997</v>
      </c>
    </row>
    <row r="6" spans="1:30" x14ac:dyDescent="0.25">
      <c r="A6" s="11">
        <v>5</v>
      </c>
      <c r="B6" s="11">
        <v>1215</v>
      </c>
      <c r="C6" s="433">
        <f ca="1">IF(B6="",16,INDEX(OFFSET(Arb!$I$2,,,Arb!$AJ$5,),B6))</f>
        <v>12</v>
      </c>
      <c r="D6" s="686">
        <f ca="1">IF(B6="",10,INDEX(OFFSET(Arb!$H$2,,,Arb!$AJ$5,),B6))</f>
        <v>3.13</v>
      </c>
      <c r="E6" s="723">
        <f t="shared" ca="1" si="0"/>
        <v>3.8338658146964857</v>
      </c>
      <c r="F6" s="563">
        <f ca="1">IF(B6="","",INDEX(OFFSET(Arb!$X$2,,,Arb!$AJ$5,),B6)/D6)</f>
        <v>4.1533546325878596</v>
      </c>
      <c r="G6" s="563">
        <f ca="1">IF(B6="","",(INDEX(OFFSET(Arb!$U$2,,,Arb!$AJ$5,),B6)+INDEX(OFFSET(Arb!$V$2,,,Arb!$AJ$5,),B6))/D6)</f>
        <v>4.1533546325878596</v>
      </c>
      <c r="H6" s="33">
        <f t="shared" ca="1" si="1"/>
        <v>0.57975449933952039</v>
      </c>
      <c r="I6" s="761">
        <f t="shared" ca="1" si="2"/>
        <v>81.584532856381315</v>
      </c>
      <c r="J6" s="74">
        <f ca="1">IF(B6="","",DATE(INDEX(OFFSET(Arb!$C$2,,,Arb!$AJ$5,),B6),INDEX(OFFSET(Arb!$B$2,,,Arb!$AJ$5,),B6),INDEX(OFFSET(Arb!$A$2,,,Arb!$AJ$5,),B6))+ROW()*0.001)</f>
        <v>43896.006000000001</v>
      </c>
      <c r="K6" s="11">
        <v>5</v>
      </c>
      <c r="L6" s="11">
        <v>2112</v>
      </c>
      <c r="M6" s="433">
        <f ca="1">IF(L6="",64,INDEX(OFFSET(Arb!$I$2,,,Arb!$AJ$5,),L6))</f>
        <v>48</v>
      </c>
      <c r="N6" s="559">
        <f ca="1">IF(L6="",60,INDEX(OFFSET(Arb!$H$2,,,Arb!$AJ$5,),L6))</f>
        <v>17.829999999999998</v>
      </c>
      <c r="O6" s="726">
        <f t="shared" ca="1" si="3"/>
        <v>2.6920919798093106</v>
      </c>
      <c r="P6" s="724">
        <f ca="1">IF(L6="","",INDEX(OFFSET(Arb!$X$2,,,Arb!$AJ$5,),L6)/N6)</f>
        <v>3.3090297251822776</v>
      </c>
      <c r="Q6" s="723">
        <f ca="1">IF(L6="","",(INDEX(OFFSET(Arb!$U$2,,,Arb!$AJ$5,),L6)+INDEX(OFFSET(Arb!$V$2,,,Arb!$AJ$5,),L6))/N6)</f>
        <v>3.7577117218171625</v>
      </c>
      <c r="R6" s="33">
        <f t="shared" ca="1" si="4"/>
        <v>2.7907185941003854</v>
      </c>
      <c r="S6" s="774">
        <f t="shared" ca="1" si="5"/>
        <v>55.086170395319385</v>
      </c>
      <c r="T6" s="74">
        <f ca="1">IF(L6="","",DATE(INDEX(OFFSET(Arb!$C$2,,,Arb!$AJ$5,),L6),INDEX(OFFSET(Arb!$B$2,,,Arb!$AJ$5,),L6),INDEX(OFFSET(Arb!$A$2,,,Arb!$AJ$5,),L6))+ROW()*0.001)</f>
        <v>43811.006000000001</v>
      </c>
      <c r="U6" s="11">
        <v>5</v>
      </c>
      <c r="V6" s="11">
        <v>3438</v>
      </c>
      <c r="W6" s="433">
        <f ca="1">IF(V6="",164,INDEX(OFFSET(Arb!$I$2,,,Arb!$AJ$5,),V6))</f>
        <v>150</v>
      </c>
      <c r="X6" s="688">
        <f ca="1">IF(V6="",240,INDEX(OFFSET(Arb!$H$2,,,Arb!$AJ$5,),V6))</f>
        <v>59.06</v>
      </c>
      <c r="Y6" s="726">
        <f t="shared" ca="1" si="6"/>
        <v>2.5397900440230274</v>
      </c>
      <c r="Z6" s="725">
        <f ca="1">IF(V6="","",INDEX(OFFSET(Arb!$X$2,,,Arb!$AJ$5,),V6)/X6)</f>
        <v>2.8953606501862512</v>
      </c>
      <c r="AA6" s="561">
        <f ca="1">IF(V6="","",(INDEX(OFFSET(Arb!$U$2,,,Arb!$AJ$5,),V6)+INDEX(OFFSET(Arb!$V$2,,,Arb!$AJ$5,),V6))/X6)</f>
        <v>3.1832035218421941</v>
      </c>
      <c r="AB6" s="33">
        <f t="shared" ca="1" si="7"/>
        <v>6.8408110258800496</v>
      </c>
      <c r="AC6" s="775">
        <f t="shared" ca="1" si="8"/>
        <v>63.589097601777183</v>
      </c>
      <c r="AD6" s="74">
        <f ca="1">IF(V6="","",DATE(INDEX(OFFSET(Arb!$C$2,,,Arb!$AJ$5,),V6),INDEX(OFFSET(Arb!$B$2,,,Arb!$AJ$5,),V6),INDEX(OFFSET(Arb!$A$2,,,Arb!$AJ$5,),V6))+ROW()*0.001)</f>
        <v>44167.006000000001</v>
      </c>
    </row>
    <row r="7" spans="1:30" x14ac:dyDescent="0.25">
      <c r="A7" s="11">
        <v>6</v>
      </c>
      <c r="B7" s="11">
        <v>1380</v>
      </c>
      <c r="C7" s="433">
        <f ca="1">IF(B7="",16,INDEX(OFFSET(Arb!$I$2,,,Arb!$AJ$5,),B7))</f>
        <v>16</v>
      </c>
      <c r="D7" s="560">
        <f ca="1">IF(B7="",10,INDEX(OFFSET(Arb!$H$2,,,Arb!$AJ$5,),B7))</f>
        <v>3.72</v>
      </c>
      <c r="E7" s="722">
        <f t="shared" ca="1" si="0"/>
        <v>4.301075268817204</v>
      </c>
      <c r="F7" s="722">
        <f ca="1">IF(B7="","",INDEX(OFFSET(Arb!$X$2,,,Arb!$AJ$5,),B7)/D7)</f>
        <v>4.301075268817204</v>
      </c>
      <c r="G7" s="564">
        <f ca="1">IF(B7="","",(INDEX(OFFSET(Arb!$U$2,,,Arb!$AJ$5,),B7)+INDEX(OFFSET(Arb!$V$2,,,Arb!$AJ$5,),B7))/D7)</f>
        <v>4.5698924731182791</v>
      </c>
      <c r="H7" s="33">
        <f t="shared" ca="1" si="1"/>
        <v>0.58318052852073199</v>
      </c>
      <c r="I7" s="280">
        <f t="shared" ca="1" si="2"/>
        <v>81.105245608896439</v>
      </c>
      <c r="J7" s="74">
        <f ca="1">IF(B7="","",DATE(INDEX(OFFSET(Arb!$C$2,,,Arb!$AJ$5,),B7),INDEX(OFFSET(Arb!$B$2,,,Arb!$AJ$5,),B7),INDEX(OFFSET(Arb!$A$2,,,Arb!$AJ$5,),B7))+ROW()*0.001)</f>
        <v>43937.006999999998</v>
      </c>
      <c r="K7" s="11">
        <v>6</v>
      </c>
      <c r="L7" s="11">
        <v>2330</v>
      </c>
      <c r="M7" s="433">
        <f ca="1">IF(L7="",64,INDEX(OFFSET(Arb!$I$2,,,Arb!$AJ$5,),L7))</f>
        <v>48</v>
      </c>
      <c r="N7" s="559">
        <f ca="1">IF(L7="",60,INDEX(OFFSET(Arb!$H$2,,,Arb!$AJ$5,),L7))</f>
        <v>17.940000000000001</v>
      </c>
      <c r="O7" s="726">
        <f t="shared" ca="1" si="3"/>
        <v>2.6755852842809364</v>
      </c>
      <c r="P7" s="724">
        <f ca="1">IF(L7="","",INDEX(OFFSET(Arb!$X$2,,,Arb!$AJ$5,),L7)/N7)</f>
        <v>3.4559643255295427</v>
      </c>
      <c r="Q7" s="563">
        <f ca="1">IF(L7="","",(INDEX(OFFSET(Arb!$U$2,,,Arb!$AJ$5,),L7)+INDEX(OFFSET(Arb!$V$2,,,Arb!$AJ$5,),L7))/N7)</f>
        <v>4.1248606465997764</v>
      </c>
      <c r="R7" s="33">
        <f t="shared" ca="1" si="4"/>
        <v>2.8200506488228569</v>
      </c>
      <c r="S7" s="774">
        <f t="shared" ca="1" si="5"/>
        <v>54.51320530862445</v>
      </c>
      <c r="T7" s="74">
        <f ca="1">IF(L7="","",DATE(INDEX(OFFSET(Arb!$C$2,,,Arb!$AJ$5,),L7),INDEX(OFFSET(Arb!$B$2,,,Arb!$AJ$5,),L7),INDEX(OFFSET(Arb!$A$2,,,Arb!$AJ$5,),L7))+ROW()*0.001)</f>
        <v>44093.006999999998</v>
      </c>
      <c r="U7" s="11">
        <v>6</v>
      </c>
      <c r="V7" s="11">
        <v>3247</v>
      </c>
      <c r="W7" s="433">
        <f ca="1">IF(V7="",164,INDEX(OFFSET(Arb!$I$2,,,Arb!$AJ$5,),V7))</f>
        <v>174</v>
      </c>
      <c r="X7" s="691">
        <f ca="1">IF(V7="",240,INDEX(OFFSET(Arb!$H$2,,,Arb!$AJ$5,),V7))</f>
        <v>65.12</v>
      </c>
      <c r="Y7" s="726">
        <f t="shared" ca="1" si="6"/>
        <v>2.671990171990172</v>
      </c>
      <c r="Z7" s="561">
        <f ca="1">IF(V7="","",INDEX(OFFSET(Arb!$X$2,,,Arb!$AJ$5,),V7)/X7)</f>
        <v>3.0098280098280097</v>
      </c>
      <c r="AA7" s="724">
        <f ca="1">IF(V7="","",(INDEX(OFFSET(Arb!$U$2,,,Arb!$AJ$5,),V7)+INDEX(OFFSET(Arb!$V$2,,,Arb!$AJ$5,),V7))/X7)</f>
        <v>3.3783783783783781</v>
      </c>
      <c r="AB7" s="33">
        <f t="shared" ca="1" si="7"/>
        <v>6.9625001560460129</v>
      </c>
      <c r="AC7" s="776">
        <f t="shared" ca="1" si="8"/>
        <v>62.477700574593023</v>
      </c>
      <c r="AD7" s="74">
        <f ca="1">IF(V7="","",DATE(INDEX(OFFSET(Arb!$C$2,,,Arb!$AJ$5,),V7),INDEX(OFFSET(Arb!$B$2,,,Arb!$AJ$5,),V7),INDEX(OFFSET(Arb!$A$2,,,Arb!$AJ$5,),V7))+ROW()*0.001)</f>
        <v>44067.006999999998</v>
      </c>
    </row>
    <row r="8" spans="1:30" x14ac:dyDescent="0.25">
      <c r="A8" s="11">
        <v>7</v>
      </c>
      <c r="B8" s="11">
        <v>1642</v>
      </c>
      <c r="C8" s="433">
        <f ca="1">IF(B8="",16,INDEX(OFFSET(Arb!$I$2,,,Arb!$AJ$5,),B8))</f>
        <v>15</v>
      </c>
      <c r="D8" s="560">
        <f ca="1">IF(B8="",10,INDEX(OFFSET(Arb!$H$2,,,Arb!$AJ$5,),B8))</f>
        <v>3.61</v>
      </c>
      <c r="E8" s="563">
        <f t="shared" ca="1" si="0"/>
        <v>4.1551246537396125</v>
      </c>
      <c r="F8" s="563">
        <f ca="1">IF(B8="","",INDEX(OFFSET(Arb!$X$2,,,Arb!$AJ$5,),B8)/D8)</f>
        <v>4.1551246537396125</v>
      </c>
      <c r="G8" s="772">
        <f ca="1">IF(B8="","",(INDEX(OFFSET(Arb!$U$2,,,Arb!$AJ$5,),B8)+INDEX(OFFSET(Arb!$V$2,,,Arb!$AJ$5,),B8))/D8)</f>
        <v>5.2631578947368425</v>
      </c>
      <c r="H8" s="33">
        <f t="shared" ca="1" si="1"/>
        <v>0.59111364453990722</v>
      </c>
      <c r="I8" s="280">
        <f t="shared" ca="1" si="2"/>
        <v>80.016762321254035</v>
      </c>
      <c r="J8" s="74">
        <f ca="1">IF(B8="","",DATE(INDEX(OFFSET(Arb!$C$2,,,Arb!$AJ$5,),B8),INDEX(OFFSET(Arb!$B$2,,,Arb!$AJ$5,),B8),INDEX(OFFSET(Arb!$A$2,,,Arb!$AJ$5,),B8))+ROW()*0.001)</f>
        <v>44093.008000000002</v>
      </c>
      <c r="K8" s="11">
        <v>7</v>
      </c>
      <c r="L8" s="11">
        <v>2370</v>
      </c>
      <c r="M8" s="433">
        <f ca="1">IF(L8="",64,INDEX(OFFSET(Arb!$I$2,,,Arb!$AJ$5,),L8))</f>
        <v>75</v>
      </c>
      <c r="N8" s="679">
        <f ca="1">IF(L8="",60,INDEX(OFFSET(Arb!$H$2,,,Arb!$AJ$5,),L8))</f>
        <v>23.35</v>
      </c>
      <c r="O8" s="561">
        <f t="shared" ca="1" si="3"/>
        <v>3.2119914346895073</v>
      </c>
      <c r="P8" s="561">
        <f ca="1">IF(L8="","",INDEX(OFFSET(Arb!$X$2,,,Arb!$AJ$5,),L8)/N8)</f>
        <v>3.1263383297644536</v>
      </c>
      <c r="Q8" s="562">
        <f ca="1">IF(L8="","",(INDEX(OFFSET(Arb!$U$2,,,Arb!$AJ$5,),L8)+INDEX(OFFSET(Arb!$V$2,,,Arb!$AJ$5,),L8))/N8)</f>
        <v>3.6402569593147751</v>
      </c>
      <c r="R8" s="33">
        <f t="shared" ca="1" si="4"/>
        <v>2.8250519659592186</v>
      </c>
      <c r="S8" s="774">
        <f t="shared" ca="1" si="5"/>
        <v>54.416698118260094</v>
      </c>
      <c r="T8" s="74">
        <f ca="1">IF(L8="","",DATE(INDEX(OFFSET(Arb!$C$2,,,Arb!$AJ$5,),L8),INDEX(OFFSET(Arb!$B$2,,,Arb!$AJ$5,),L8),INDEX(OFFSET(Arb!$A$2,,,Arb!$AJ$5,),L8))+ROW()*0.001)</f>
        <v>44114.008000000002</v>
      </c>
      <c r="U8" s="11">
        <v>7</v>
      </c>
      <c r="V8" s="11">
        <v>3227</v>
      </c>
      <c r="W8" s="433">
        <f ca="1">IF(V8="",164,INDEX(OFFSET(Arb!$I$2,,,Arb!$AJ$5,),V8))</f>
        <v>154</v>
      </c>
      <c r="X8" s="688">
        <f ca="1">IF(V8="",240,INDEX(OFFSET(Arb!$H$2,,,Arb!$AJ$5,),V8))</f>
        <v>60.75</v>
      </c>
      <c r="Y8" s="726">
        <f t="shared" ca="1" si="6"/>
        <v>2.5349794238683128</v>
      </c>
      <c r="Z8" s="561">
        <f ca="1">IF(V8="","",INDEX(OFFSET(Arb!$X$2,,,Arb!$AJ$5,),V8)/X8)</f>
        <v>3.094650205761317</v>
      </c>
      <c r="AA8" s="724">
        <f ca="1">IF(V8="","",(INDEX(OFFSET(Arb!$U$2,,,Arb!$AJ$5,),V8)+INDEX(OFFSET(Arb!$V$2,,,Arb!$AJ$5,),V8))/X8)</f>
        <v>3.3580246913580245</v>
      </c>
      <c r="AB8" s="33">
        <f t="shared" ca="1" si="7"/>
        <v>6.9904954765589871</v>
      </c>
      <c r="AC8" s="776">
        <f t="shared" ca="1" si="8"/>
        <v>62.227491807794657</v>
      </c>
      <c r="AD8" s="74">
        <f ca="1">IF(V8="","",DATE(INDEX(OFFSET(Arb!$C$2,,,Arb!$AJ$5,),V8),INDEX(OFFSET(Arb!$B$2,,,Arb!$AJ$5,),V8),INDEX(OFFSET(Arb!$A$2,,,Arb!$AJ$5,),V8))+ROW()*0.001)</f>
        <v>44061.008000000002</v>
      </c>
    </row>
    <row r="9" spans="1:30" x14ac:dyDescent="0.25">
      <c r="A9" s="11">
        <v>8</v>
      </c>
      <c r="B9" s="11">
        <v>1661</v>
      </c>
      <c r="C9" s="433">
        <f ca="1">IF(B9="",16,INDEX(OFFSET(Arb!$I$2,,,Arb!$AJ$5,),B9))</f>
        <v>12</v>
      </c>
      <c r="D9" s="686">
        <f ca="1">IF(B9="",10,INDEX(OFFSET(Arb!$H$2,,,Arb!$AJ$5,),B9))</f>
        <v>3.19</v>
      </c>
      <c r="E9" s="723">
        <f t="shared" ca="1" si="0"/>
        <v>3.761755485893417</v>
      </c>
      <c r="F9" s="563">
        <f ca="1">IF(B9="","",INDEX(OFFSET(Arb!$X$2,,,Arb!$AJ$5,),B9)/D9)</f>
        <v>4.0752351097178687</v>
      </c>
      <c r="G9" s="722">
        <f ca="1">IF(B9="","",(INDEX(OFFSET(Arb!$U$2,,,Arb!$AJ$5,),B9)+INDEX(OFFSET(Arb!$V$2,,,Arb!$AJ$5,),B9))/D9)</f>
        <v>4.3887147335423196</v>
      </c>
      <c r="H9" s="33">
        <f t="shared" ca="1" si="1"/>
        <v>0.59877397384525743</v>
      </c>
      <c r="I9" s="280">
        <f t="shared" ca="1" si="2"/>
        <v>78.993079302113401</v>
      </c>
      <c r="J9" s="74">
        <f ca="1">IF(B9="","",DATE(INDEX(OFFSET(Arb!$C$2,,,Arb!$AJ$5,),B9),INDEX(OFFSET(Arb!$B$2,,,Arb!$AJ$5,),B9),INDEX(OFFSET(Arb!$A$2,,,Arb!$AJ$5,),B9))+ROW()*0.001)</f>
        <v>44096.008999999998</v>
      </c>
      <c r="K9" s="11">
        <v>8</v>
      </c>
      <c r="L9" s="11">
        <v>2143</v>
      </c>
      <c r="M9" s="433">
        <f ca="1">IF(L9="",64,INDEX(OFFSET(Arb!$I$2,,,Arb!$AJ$5,),L9))</f>
        <v>45</v>
      </c>
      <c r="N9" s="559">
        <f ca="1">IF(L9="",60,INDEX(OFFSET(Arb!$H$2,,,Arb!$AJ$5,),L9))</f>
        <v>17.37</v>
      </c>
      <c r="O9" s="726">
        <f t="shared" ca="1" si="3"/>
        <v>2.5906735751295336</v>
      </c>
      <c r="P9" s="561">
        <f ca="1">IF(L9="","",INDEX(OFFSET(Arb!$X$2,,,Arb!$AJ$5,),L9)/N9)</f>
        <v>3.2239493379389752</v>
      </c>
      <c r="Q9" s="562">
        <f ca="1">IF(L9="","",(INDEX(OFFSET(Arb!$U$2,,,Arb!$AJ$5,),L9)+INDEX(OFFSET(Arb!$V$2,,,Arb!$AJ$5,),L9))/N9)</f>
        <v>3.7420840529648816</v>
      </c>
      <c r="R9" s="33">
        <f t="shared" ca="1" si="4"/>
        <v>2.8473914562817582</v>
      </c>
      <c r="S9" s="774">
        <f t="shared" ca="1" si="5"/>
        <v>53.989766549607829</v>
      </c>
      <c r="T9" s="74">
        <f ca="1">IF(L9="","",DATE(INDEX(OFFSET(Arb!$C$2,,,Arb!$AJ$5,),L9),INDEX(OFFSET(Arb!$B$2,,,Arb!$AJ$5,),L9),INDEX(OFFSET(Arb!$A$2,,,Arb!$AJ$5,),L9))+ROW()*0.001)</f>
        <v>43817.008999999998</v>
      </c>
      <c r="U9" s="11">
        <v>8</v>
      </c>
      <c r="V9" s="11">
        <v>2985</v>
      </c>
      <c r="W9" s="433">
        <f ca="1">IF(V9="",164,INDEX(OFFSET(Arb!$I$2,,,Arb!$AJ$5,),V9))</f>
        <v>163</v>
      </c>
      <c r="X9" s="693">
        <f ca="1">IF(V9="",240,INDEX(OFFSET(Arb!$H$2,,,Arb!$AJ$5,),V9))</f>
        <v>62.97</v>
      </c>
      <c r="Y9" s="726">
        <f t="shared" ca="1" si="6"/>
        <v>2.5885342226457042</v>
      </c>
      <c r="Z9" s="561">
        <f ca="1">IF(V9="","",INDEX(OFFSET(Arb!$X$2,,,Arb!$AJ$5,),V9)/X9)</f>
        <v>3.0331904081308561</v>
      </c>
      <c r="AA9" s="724">
        <f ca="1">IF(V9="","",(INDEX(OFFSET(Arb!$U$2,,,Arb!$AJ$5,),V9)+INDEX(OFFSET(Arb!$V$2,,,Arb!$AJ$5,),V9))/X9)</f>
        <v>3.3508019691916786</v>
      </c>
      <c r="AB9" s="33">
        <f t="shared" ca="1" si="7"/>
        <v>7.0200414139566645</v>
      </c>
      <c r="AC9" s="776">
        <f t="shared" ca="1" si="8"/>
        <v>61.96558885467072</v>
      </c>
      <c r="AD9" s="74">
        <f ca="1">IF(V9="","",DATE(INDEX(OFFSET(Arb!$C$2,,,Arb!$AJ$5,),V9),INDEX(OFFSET(Arb!$B$2,,,Arb!$AJ$5,),V9),INDEX(OFFSET(Arb!$A$2,,,Arb!$AJ$5,),V9))+ROW()*0.001)</f>
        <v>43956.008999999998</v>
      </c>
    </row>
    <row r="10" spans="1:30" x14ac:dyDescent="0.25">
      <c r="A10" s="11">
        <v>9</v>
      </c>
      <c r="B10" s="11">
        <v>1540</v>
      </c>
      <c r="C10" s="433">
        <f ca="1">IF(B10="",16,INDEX(OFFSET(Arb!$I$2,,,Arb!$AJ$5,),B10))</f>
        <v>12</v>
      </c>
      <c r="D10" s="686">
        <f ca="1">IF(B10="",10,INDEX(OFFSET(Arb!$H$2,,,Arb!$AJ$5,),B10))</f>
        <v>3.26</v>
      </c>
      <c r="E10" s="562">
        <f t="shared" ca="1" si="0"/>
        <v>3.6809815950920246</v>
      </c>
      <c r="F10" s="562">
        <f ca="1">IF(B10="","",INDEX(OFFSET(Arb!$X$2,,,Arb!$AJ$5,),B10)/D10)</f>
        <v>3.6809815950920246</v>
      </c>
      <c r="G10" s="722">
        <f ca="1">IF(B10="","",(INDEX(OFFSET(Arb!$U$2,,,Arb!$AJ$5,),B10)+INDEX(OFFSET(Arb!$V$2,,,Arb!$AJ$5,),B10))/D10)</f>
        <v>4.294478527607362</v>
      </c>
      <c r="H10" s="33">
        <f t="shared" ca="1" si="1"/>
        <v>0.62128186095658544</v>
      </c>
      <c r="I10" s="280">
        <f t="shared" ca="1" si="2"/>
        <v>76.131306855110651</v>
      </c>
      <c r="J10" s="74">
        <f ca="1">IF(B10="","",DATE(INDEX(OFFSET(Arb!$C$2,,,Arb!$AJ$5,),B10),INDEX(OFFSET(Arb!$B$2,,,Arb!$AJ$5,),B10),INDEX(OFFSET(Arb!$A$2,,,Arb!$AJ$5,),B10))+ROW()*0.001)</f>
        <v>43984.01</v>
      </c>
      <c r="K10" s="11">
        <v>9</v>
      </c>
      <c r="L10" s="11">
        <v>2139</v>
      </c>
      <c r="M10" s="433">
        <f ca="1">IF(L10="",64,INDEX(OFFSET(Arb!$I$2,,,Arb!$AJ$5,),L10))</f>
        <v>71</v>
      </c>
      <c r="N10" s="679">
        <f ca="1">IF(L10="",60,INDEX(OFFSET(Arb!$H$2,,,Arb!$AJ$5,),L10))</f>
        <v>22.85</v>
      </c>
      <c r="O10" s="561">
        <f t="shared" ca="1" si="3"/>
        <v>3.1072210065645511</v>
      </c>
      <c r="P10" s="723">
        <f ca="1">IF(L10="","",INDEX(OFFSET(Arb!$X$2,,,Arb!$AJ$5,),L10)/N10)</f>
        <v>3.7636761487964985</v>
      </c>
      <c r="Q10" s="722">
        <f ca="1">IF(L10="","",(INDEX(OFFSET(Arb!$U$2,,,Arb!$AJ$5,),L10)+INDEX(OFFSET(Arb!$V$2,,,Arb!$AJ$5,),L10))/N10)</f>
        <v>4.288840262582057</v>
      </c>
      <c r="R10" s="33">
        <f t="shared" ca="1" si="4"/>
        <v>2.8763928383218662</v>
      </c>
      <c r="S10" s="774">
        <f t="shared" ca="1" si="5"/>
        <v>53.445411889458235</v>
      </c>
      <c r="T10" s="74">
        <f ca="1">IF(L10="","",DATE(INDEX(OFFSET(Arb!$C$2,,,Arb!$AJ$5,),L10),INDEX(OFFSET(Arb!$B$2,,,Arb!$AJ$5,),L10),INDEX(OFFSET(Arb!$A$2,,,Arb!$AJ$5,),L10))+ROW()*0.001)</f>
        <v>43817.01</v>
      </c>
      <c r="U10" s="11">
        <v>9</v>
      </c>
      <c r="V10" s="11">
        <v>3210</v>
      </c>
      <c r="W10" s="433">
        <f ca="1">IF(V10="",164,INDEX(OFFSET(Arb!$I$2,,,Arb!$AJ$5,),V10))</f>
        <v>152</v>
      </c>
      <c r="X10" s="688">
        <f ca="1">IF(V10="",240,INDEX(OFFSET(Arb!$H$2,,,Arb!$AJ$5,),V10))</f>
        <v>60.46</v>
      </c>
      <c r="Y10" s="726">
        <f t="shared" ca="1" si="6"/>
        <v>2.5140588819053922</v>
      </c>
      <c r="Z10" s="561">
        <f ca="1">IF(V10="","",INDEX(OFFSET(Arb!$X$2,,,Arb!$AJ$5,),V10)/X10)</f>
        <v>3.1260337413165731</v>
      </c>
      <c r="AA10" s="724">
        <f ca="1">IF(V10="","",(INDEX(OFFSET(Arb!$U$2,,,Arb!$AJ$5,),V10)+INDEX(OFFSET(Arb!$V$2,,,Arb!$AJ$5,),V10))/X10)</f>
        <v>3.4733708236850811</v>
      </c>
      <c r="AB10" s="33">
        <f t="shared" ca="1" si="7"/>
        <v>7.0250958626178575</v>
      </c>
      <c r="AC10" s="776">
        <f t="shared" ca="1" si="8"/>
        <v>61.921005564456401</v>
      </c>
      <c r="AD10" s="74">
        <f ca="1">IF(V10="","",DATE(INDEX(OFFSET(Arb!$C$2,,,Arb!$AJ$5,),V10),INDEX(OFFSET(Arb!$B$2,,,Arb!$AJ$5,),V10),INDEX(OFFSET(Arb!$A$2,,,Arb!$AJ$5,),V10))+ROW()*0.001)</f>
        <v>44059.01</v>
      </c>
    </row>
    <row r="11" spans="1:30" x14ac:dyDescent="0.25">
      <c r="A11" s="11">
        <v>10</v>
      </c>
      <c r="B11" s="11">
        <v>1684</v>
      </c>
      <c r="C11" s="433">
        <f ca="1">IF(B11="",16,INDEX(OFFSET(Arb!$I$2,,,Arb!$AJ$5,),B11))</f>
        <v>15</v>
      </c>
      <c r="D11" s="560">
        <f ca="1">IF(B11="",10,INDEX(OFFSET(Arb!$H$2,,,Arb!$AJ$5,),B11))</f>
        <v>3.72</v>
      </c>
      <c r="E11" s="563">
        <f t="shared" ca="1" si="0"/>
        <v>4.032258064516129</v>
      </c>
      <c r="F11" s="563">
        <f ca="1">IF(B11="","",INDEX(OFFSET(Arb!$X$2,,,Arb!$AJ$5,),B11)/D11)</f>
        <v>4.032258064516129</v>
      </c>
      <c r="G11" s="722">
        <f ca="1">IF(B11="","",(INDEX(OFFSET(Arb!$U$2,,,Arb!$AJ$5,),B11)+INDEX(OFFSET(Arb!$V$2,,,Arb!$AJ$5,),B11))/D11)</f>
        <v>4.301075268817204</v>
      </c>
      <c r="H11" s="33">
        <f t="shared" ca="1" si="1"/>
        <v>0.62205923042211408</v>
      </c>
      <c r="I11" s="280">
        <f t="shared" ca="1" si="2"/>
        <v>76.036167758340412</v>
      </c>
      <c r="J11" s="74">
        <f ca="1">IF(B11="","",DATE(INDEX(OFFSET(Arb!$C$2,,,Arb!$AJ$5,),B11),INDEX(OFFSET(Arb!$B$2,,,Arb!$AJ$5,),B11),INDEX(OFFSET(Arb!$A$2,,,Arb!$AJ$5,),B11))+ROW()*0.001)</f>
        <v>44106.010999999999</v>
      </c>
      <c r="K11" s="11">
        <v>10</v>
      </c>
      <c r="L11" s="11">
        <v>2250</v>
      </c>
      <c r="M11" s="433">
        <f ca="1">IF(L11="",64,INDEX(OFFSET(Arb!$I$2,,,Arb!$AJ$5,),L11))</f>
        <v>58</v>
      </c>
      <c r="N11" s="691">
        <f ca="1">IF(L11="",60,INDEX(OFFSET(Arb!$H$2,,,Arb!$AJ$5,),L11))</f>
        <v>20.43</v>
      </c>
      <c r="O11" s="725">
        <f t="shared" ca="1" si="3"/>
        <v>2.8389623103279491</v>
      </c>
      <c r="P11" s="724">
        <f ca="1">IF(L11="","",INDEX(OFFSET(Arb!$X$2,,,Arb!$AJ$5,),L11)/N11)</f>
        <v>3.475281448849731</v>
      </c>
      <c r="Q11" s="562">
        <f ca="1">IF(L11="","",(INDEX(OFFSET(Arb!$U$2,,,Arb!$AJ$5,),L11)+INDEX(OFFSET(Arb!$V$2,,,Arb!$AJ$5,),L11))/N11)</f>
        <v>3.6710719530102791</v>
      </c>
      <c r="R11" s="33">
        <f t="shared" ca="1" si="4"/>
        <v>2.9109063246548206</v>
      </c>
      <c r="S11" s="774">
        <f t="shared" ca="1" si="5"/>
        <v>52.811730387177441</v>
      </c>
      <c r="T11" s="74">
        <f ca="1">IF(L11="","",DATE(INDEX(OFFSET(Arb!$C$2,,,Arb!$AJ$5,),L11),INDEX(OFFSET(Arb!$B$2,,,Arb!$AJ$5,),L11),INDEX(OFFSET(Arb!$A$2,,,Arb!$AJ$5,),L11))+ROW()*0.001)</f>
        <v>43894.010999999999</v>
      </c>
      <c r="U11" s="11">
        <v>10</v>
      </c>
      <c r="V11" s="11">
        <v>3238</v>
      </c>
      <c r="W11" s="433">
        <f ca="1">IF(V11="",164,INDEX(OFFSET(Arb!$I$2,,,Arb!$AJ$5,),V11))</f>
        <v>197</v>
      </c>
      <c r="X11" s="679">
        <f ca="1">IF(V11="",240,INDEX(OFFSET(Arb!$H$2,,,Arb!$AJ$5,),V11))</f>
        <v>70.430000000000007</v>
      </c>
      <c r="Y11" s="725">
        <f t="shared" ca="1" si="6"/>
        <v>2.7971035070282548</v>
      </c>
      <c r="Z11" s="561">
        <f ca="1">IF(V11="","",INDEX(OFFSET(Arb!$X$2,,,Arb!$AJ$5,),V11)/X11)</f>
        <v>3.2372568507738175</v>
      </c>
      <c r="AA11" s="562">
        <f ca="1">IF(V11="","",(INDEX(OFFSET(Arb!$U$2,,,Arb!$AJ$5,),V11)+INDEX(OFFSET(Arb!$V$2,,,Arb!$AJ$5,),V11))/X11)</f>
        <v>3.6064177197217093</v>
      </c>
      <c r="AB11" s="33">
        <f t="shared" ca="1" si="7"/>
        <v>7.0262216197358605</v>
      </c>
      <c r="AC11" s="776">
        <f t="shared" ca="1" si="8"/>
        <v>61.911084440907963</v>
      </c>
      <c r="AD11" s="74">
        <f ca="1">IF(V11="","",DATE(INDEX(OFFSET(Arb!$C$2,,,Arb!$AJ$5,),V11),INDEX(OFFSET(Arb!$B$2,,,Arb!$AJ$5,),V11),INDEX(OFFSET(Arb!$A$2,,,Arb!$AJ$5,),V11))+ROW()*0.001)</f>
        <v>44064.010999999999</v>
      </c>
    </row>
    <row r="12" spans="1:30" x14ac:dyDescent="0.25">
      <c r="A12" s="11">
        <v>11</v>
      </c>
      <c r="B12" s="11">
        <v>1465</v>
      </c>
      <c r="C12" s="433">
        <f ca="1">IF(B12="",16,INDEX(OFFSET(Arb!$I$2,,,Arb!$AJ$5,),B12))</f>
        <v>11</v>
      </c>
      <c r="D12" s="686">
        <f ca="1">IF(B12="",10,INDEX(OFFSET(Arb!$H$2,,,Arb!$AJ$5,),B12))</f>
        <v>3.13</v>
      </c>
      <c r="E12" s="562">
        <f t="shared" ca="1" si="0"/>
        <v>3.5143769968051117</v>
      </c>
      <c r="F12" s="723">
        <f ca="1">IF(B12="","",INDEX(OFFSET(Arb!$X$2,,,Arb!$AJ$5,),B12)/D12)</f>
        <v>3.8338658146964857</v>
      </c>
      <c r="G12" s="722">
        <f ca="1">IF(B12="","",(INDEX(OFFSET(Arb!$U$2,,,Arb!$AJ$5,),B12)+INDEX(OFFSET(Arb!$V$2,,,Arb!$AJ$5,),B12))/D12)</f>
        <v>4.4728434504792336</v>
      </c>
      <c r="H12" s="33">
        <f t="shared" ca="1" si="1"/>
        <v>0.63245945382493141</v>
      </c>
      <c r="I12" s="773">
        <f t="shared" ca="1" si="2"/>
        <v>74.785821785016196</v>
      </c>
      <c r="J12" s="74">
        <f ca="1">IF(B12="","",DATE(INDEX(OFFSET(Arb!$C$2,,,Arb!$AJ$5,),B12),INDEX(OFFSET(Arb!$B$2,,,Arb!$AJ$5,),B12),INDEX(OFFSET(Arb!$A$2,,,Arb!$AJ$5,),B12))+ROW()*0.001)</f>
        <v>43952.012000000002</v>
      </c>
      <c r="K12" s="11">
        <v>11</v>
      </c>
      <c r="L12" s="11">
        <v>1892</v>
      </c>
      <c r="M12" s="433">
        <f ca="1">IF(L12="",64,INDEX(OFFSET(Arb!$I$2,,,Arb!$AJ$5,),L12))</f>
        <v>58</v>
      </c>
      <c r="N12" s="691">
        <f ca="1">IF(L12="",60,INDEX(OFFSET(Arb!$H$2,,,Arb!$AJ$5,),L12))</f>
        <v>20.48</v>
      </c>
      <c r="O12" s="725">
        <f t="shared" ca="1" si="3"/>
        <v>2.83203125</v>
      </c>
      <c r="P12" s="561">
        <f ca="1">IF(L12="","",INDEX(OFFSET(Arb!$X$2,,,Arb!$AJ$5,),L12)/N12)</f>
        <v>3.125</v>
      </c>
      <c r="Q12" s="724">
        <f ca="1">IF(L12="","",(INDEX(OFFSET(Arb!$U$2,,,Arb!$AJ$5,),L12)+INDEX(OFFSET(Arb!$V$2,,,Arb!$AJ$5,),L12))/N12)</f>
        <v>3.3203125</v>
      </c>
      <c r="R12" s="33">
        <f t="shared" ca="1" si="4"/>
        <v>2.9230276622795661</v>
      </c>
      <c r="S12" s="774">
        <f t="shared" ca="1" si="5"/>
        <v>52.592728417804771</v>
      </c>
      <c r="T12" s="74">
        <f ca="1">IF(L12="","",DATE(INDEX(OFFSET(Arb!$C$2,,,Arb!$AJ$5,),L12),INDEX(OFFSET(Arb!$B$2,,,Arb!$AJ$5,),L12),INDEX(OFFSET(Arb!$A$2,,,Arb!$AJ$5,),L12))+ROW()*0.001)</f>
        <v>43764.012000000002</v>
      </c>
      <c r="U12" s="11">
        <v>11</v>
      </c>
      <c r="V12" s="11">
        <v>3241</v>
      </c>
      <c r="W12" s="433">
        <f ca="1">IF(V12="",164,INDEX(OFFSET(Arb!$I$2,,,Arb!$AJ$5,),V12))</f>
        <v>146</v>
      </c>
      <c r="X12" s="688">
        <f ca="1">IF(V12="",240,INDEX(OFFSET(Arb!$H$2,,,Arb!$AJ$5,),V12))</f>
        <v>59.17</v>
      </c>
      <c r="Y12" s="769">
        <f t="shared" ca="1" si="6"/>
        <v>2.467466621598783</v>
      </c>
      <c r="Z12" s="561">
        <f ca="1">IF(V12="","",INDEX(OFFSET(Arb!$X$2,,,Arb!$AJ$5,),V12)/X12)</f>
        <v>3.0927835051546393</v>
      </c>
      <c r="AA12" s="562">
        <f ca="1">IF(V12="","",(INDEX(OFFSET(Arb!$U$2,,,Arb!$AJ$5,),V12)+INDEX(OFFSET(Arb!$V$2,,,Arb!$AJ$5,),V12))/X12)</f>
        <v>3.5152949129626498</v>
      </c>
      <c r="AB12" s="33">
        <f t="shared" ca="1" si="7"/>
        <v>7.0504982963677216</v>
      </c>
      <c r="AC12" s="776">
        <f t="shared" ca="1" si="8"/>
        <v>61.697908674639912</v>
      </c>
      <c r="AD12" s="74">
        <f ca="1">IF(V12="","",DATE(INDEX(OFFSET(Arb!$C$2,,,Arb!$AJ$5,),V12),INDEX(OFFSET(Arb!$B$2,,,Arb!$AJ$5,),V12),INDEX(OFFSET(Arb!$A$2,,,Arb!$AJ$5,),V12))+ROW()*0.001)</f>
        <v>44064.012000000002</v>
      </c>
    </row>
    <row r="13" spans="1:30" x14ac:dyDescent="0.25">
      <c r="A13" s="11">
        <v>12</v>
      </c>
      <c r="B13" s="11">
        <v>936</v>
      </c>
      <c r="C13" s="433">
        <f ca="1">IF(B13="",16,INDEX(OFFSET(Arb!$I$2,,,Arb!$AJ$5,),B13))</f>
        <v>11</v>
      </c>
      <c r="D13" s="686">
        <f ca="1">IF(B13="",10,INDEX(OFFSET(Arb!$H$2,,,Arb!$AJ$5,),B13))</f>
        <v>3.14</v>
      </c>
      <c r="E13" s="562">
        <f t="shared" ca="1" si="0"/>
        <v>3.5031847133757958</v>
      </c>
      <c r="F13" s="723">
        <f ca="1">IF(B13="","",INDEX(OFFSET(Arb!$X$2,,,Arb!$AJ$5,),B13)/D13)</f>
        <v>3.8216560509554141</v>
      </c>
      <c r="G13" s="563">
        <f ca="1">IF(B13="","",(INDEX(OFFSET(Arb!$U$2,,,Arb!$AJ$5,),B13)+INDEX(OFFSET(Arb!$V$2,,,Arb!$AJ$5,),B13))/D13)</f>
        <v>4.1401273885350314</v>
      </c>
      <c r="H13" s="33">
        <f t="shared" ca="1" si="1"/>
        <v>0.63589837704198993</v>
      </c>
      <c r="I13" s="773">
        <f t="shared" ca="1" si="2"/>
        <v>74.381381849126385</v>
      </c>
      <c r="J13" s="74">
        <f ca="1">IF(B13="","",DATE(INDEX(OFFSET(Arb!$C$2,,,Arb!$AJ$5,),B13),INDEX(OFFSET(Arb!$B$2,,,Arb!$AJ$5,),B13),INDEX(OFFSET(Arb!$A$2,,,Arb!$AJ$5,),B13))+ROW()*0.001)</f>
        <v>43822.012999999999</v>
      </c>
      <c r="K13" s="11">
        <v>12</v>
      </c>
      <c r="L13" s="11">
        <v>2123</v>
      </c>
      <c r="M13" s="433">
        <f ca="1">IF(L13="",64,INDEX(OFFSET(Arb!$I$2,,,Arb!$AJ$5,),L13))</f>
        <v>74</v>
      </c>
      <c r="N13" s="679">
        <f ca="1">IF(L13="",60,INDEX(OFFSET(Arb!$H$2,,,Arb!$AJ$5,),L13))</f>
        <v>23.7</v>
      </c>
      <c r="O13" s="561">
        <f t="shared" ca="1" si="3"/>
        <v>3.1223628691983123</v>
      </c>
      <c r="P13" s="562">
        <f ca="1">IF(L13="","",INDEX(OFFSET(Arb!$X$2,,,Arb!$AJ$5,),L13)/N13)</f>
        <v>3.5864978902953588</v>
      </c>
      <c r="Q13" s="723">
        <f ca="1">IF(L13="","",(INDEX(OFFSET(Arb!$U$2,,,Arb!$AJ$5,),L13)+INDEX(OFFSET(Arb!$V$2,,,Arb!$AJ$5,),L13))/N13)</f>
        <v>3.9240506329113924</v>
      </c>
      <c r="R13" s="33">
        <f t="shared" ca="1" si="4"/>
        <v>2.9365707489343689</v>
      </c>
      <c r="S13" s="774">
        <f t="shared" ca="1" si="5"/>
        <v>52.350177517700182</v>
      </c>
      <c r="T13" s="74">
        <f ca="1">IF(L13="","",DATE(INDEX(OFFSET(Arb!$C$2,,,Arb!$AJ$5,),L13),INDEX(OFFSET(Arb!$B$2,,,Arb!$AJ$5,),L13),INDEX(OFFSET(Arb!$A$2,,,Arb!$AJ$5,),L13))+ROW()*0.001)</f>
        <v>43811.012999999999</v>
      </c>
      <c r="U13" s="11">
        <v>12</v>
      </c>
      <c r="V13" s="11">
        <v>3288</v>
      </c>
      <c r="W13" s="433">
        <f ca="1">IF(V13="",164,INDEX(OFFSET(Arb!$I$2,,,Arb!$AJ$5,),V13))</f>
        <v>176</v>
      </c>
      <c r="X13" s="691">
        <f ca="1">IF(V13="",240,INDEX(OFFSET(Arb!$H$2,,,Arb!$AJ$5,),V13))</f>
        <v>66.17</v>
      </c>
      <c r="Y13" s="726">
        <f t="shared" ca="1" si="6"/>
        <v>2.6598156264168051</v>
      </c>
      <c r="Z13" s="561">
        <f ca="1">IF(V13="","",INDEX(OFFSET(Arb!$X$2,,,Arb!$AJ$5,),V13)/X13)</f>
        <v>3.1434184675834969</v>
      </c>
      <c r="AA13" s="724">
        <f ca="1">IF(V13="","",(INDEX(OFFSET(Arb!$U$2,,,Arb!$AJ$5,),V13)+INDEX(OFFSET(Arb!$V$2,,,Arb!$AJ$5,),V13))/X13)</f>
        <v>3.4758954208855974</v>
      </c>
      <c r="AB13" s="33">
        <f t="shared" ca="1" si="7"/>
        <v>7.0731238249031092</v>
      </c>
      <c r="AC13" s="776">
        <f t="shared" ca="1" si="8"/>
        <v>61.500549229527849</v>
      </c>
      <c r="AD13" s="74">
        <f ca="1">IF(V13="","",DATE(INDEX(OFFSET(Arb!$C$2,,,Arb!$AJ$5,),V13),INDEX(OFFSET(Arb!$B$2,,,Arb!$AJ$5,),V13),INDEX(OFFSET(Arb!$A$2,,,Arb!$AJ$5,),V13))+ROW()*0.001)</f>
        <v>44084.012999999999</v>
      </c>
    </row>
    <row r="14" spans="1:30" x14ac:dyDescent="0.25">
      <c r="A14" s="11">
        <v>13</v>
      </c>
      <c r="B14" s="11">
        <v>1238</v>
      </c>
      <c r="C14" s="433">
        <f ca="1">IF(B14="",16,INDEX(OFFSET(Arb!$I$2,,,Arb!$AJ$5,),B14))</f>
        <v>20</v>
      </c>
      <c r="D14" s="683">
        <f ca="1">IF(B14="",10,INDEX(OFFSET(Arb!$H$2,,,Arb!$AJ$5,),B14))</f>
        <v>4.4800000000000004</v>
      </c>
      <c r="E14" s="722">
        <f t="shared" ca="1" si="0"/>
        <v>4.4642857142857135</v>
      </c>
      <c r="F14" s="722">
        <f ca="1">IF(B14="","",INDEX(OFFSET(Arb!$X$2,,,Arb!$AJ$5,),B14)/D14)</f>
        <v>4.4642857142857135</v>
      </c>
      <c r="G14" s="721">
        <f ca="1">IF(B14="","",(INDEX(OFFSET(Arb!$U$2,,,Arb!$AJ$5,),B14)+INDEX(OFFSET(Arb!$V$2,,,Arb!$AJ$5,),B14))/D14)</f>
        <v>4.9107142857142856</v>
      </c>
      <c r="H14" s="33">
        <f t="shared" ca="1" si="1"/>
        <v>0.63994496748630658</v>
      </c>
      <c r="I14" s="773">
        <f t="shared" ca="1" si="2"/>
        <v>73.911042985133079</v>
      </c>
      <c r="J14" s="74">
        <f ca="1">IF(B14="","",DATE(INDEX(OFFSET(Arb!$C$2,,,Arb!$AJ$5,),B14),INDEX(OFFSET(Arb!$B$2,,,Arb!$AJ$5,),B14),INDEX(OFFSET(Arb!$A$2,,,Arb!$AJ$5,),B14))+ROW()*0.001)</f>
        <v>43901.014000000003</v>
      </c>
      <c r="K14" s="11">
        <v>13</v>
      </c>
      <c r="L14" s="11">
        <v>2314</v>
      </c>
      <c r="M14" s="433">
        <f ca="1">IF(L14="",64,INDEX(OFFSET(Arb!$I$2,,,Arb!$AJ$5,),L14))</f>
        <v>69</v>
      </c>
      <c r="N14" s="679">
        <f ca="1">IF(L14="",60,INDEX(OFFSET(Arb!$H$2,,,Arb!$AJ$5,),L14))</f>
        <v>22.8</v>
      </c>
      <c r="O14" s="561">
        <f t="shared" ca="1" si="3"/>
        <v>3.0263157894736841</v>
      </c>
      <c r="P14" s="724">
        <f ca="1">IF(L14="","",INDEX(OFFSET(Arb!$X$2,,,Arb!$AJ$5,),L14)/N14)</f>
        <v>3.4210526315789473</v>
      </c>
      <c r="Q14" s="723">
        <f ca="1">IF(L14="","",(INDEX(OFFSET(Arb!$U$2,,,Arb!$AJ$5,),L14)+INDEX(OFFSET(Arb!$V$2,,,Arb!$AJ$5,),L14))/N14)</f>
        <v>3.8596491228070176</v>
      </c>
      <c r="R14" s="33">
        <f t="shared" ca="1" si="4"/>
        <v>2.9487649053663869</v>
      </c>
      <c r="S14" s="774">
        <f t="shared" ca="1" si="5"/>
        <v>52.133691539881809</v>
      </c>
      <c r="T14" s="74">
        <f ca="1">IF(L14="","",DATE(INDEX(OFFSET(Arb!$C$2,,,Arb!$AJ$5,),L14),INDEX(OFFSET(Arb!$B$2,,,Arb!$AJ$5,),L14),INDEX(OFFSET(Arb!$A$2,,,Arb!$AJ$5,),L14))+ROW()*0.001)</f>
        <v>43952.014000000003</v>
      </c>
      <c r="U14" s="11">
        <v>13</v>
      </c>
      <c r="V14" s="11">
        <v>3332</v>
      </c>
      <c r="W14" s="433">
        <f ca="1">IF(V14="",164,INDEX(OFFSET(Arb!$I$2,,,Arb!$AJ$5,),V14))</f>
        <v>160</v>
      </c>
      <c r="X14" s="693">
        <f ca="1">IF(V14="",240,INDEX(OFFSET(Arb!$H$2,,,Arb!$AJ$5,),V14))</f>
        <v>62.63</v>
      </c>
      <c r="Y14" s="726">
        <f t="shared" ca="1" si="6"/>
        <v>2.5546862525946032</v>
      </c>
      <c r="Z14" s="561">
        <f ca="1">IF(V14="","",INDEX(OFFSET(Arb!$X$2,,,Arb!$AJ$5,),V14)/X14)</f>
        <v>3.1773910266645378</v>
      </c>
      <c r="AA14" s="724">
        <f ca="1">IF(V14="","",(INDEX(OFFSET(Arb!$U$2,,,Arb!$AJ$5,),V14)+INDEX(OFFSET(Arb!$V$2,,,Arb!$AJ$5,),V14))/X14)</f>
        <v>3.432859651923998</v>
      </c>
      <c r="AB14" s="33">
        <f t="shared" ca="1" si="7"/>
        <v>7.0861463446750745</v>
      </c>
      <c r="AC14" s="776">
        <f t="shared" ca="1" si="8"/>
        <v>61.387526991576173</v>
      </c>
      <c r="AD14" s="74">
        <f ca="1">IF(V14="","",DATE(INDEX(OFFSET(Arb!$C$2,,,Arb!$AJ$5,),V14),INDEX(OFFSET(Arb!$B$2,,,Arb!$AJ$5,),V14),INDEX(OFFSET(Arb!$A$2,,,Arb!$AJ$5,),V14))+ROW()*0.001)</f>
        <v>44096.014000000003</v>
      </c>
    </row>
    <row r="15" spans="1:30" x14ac:dyDescent="0.25">
      <c r="A15" s="11">
        <v>14</v>
      </c>
      <c r="B15" s="11">
        <v>1557</v>
      </c>
      <c r="C15" s="433">
        <f ca="1">IF(B15="",16,INDEX(OFFSET(Arb!$I$2,,,Arb!$AJ$5,),B15))</f>
        <v>16</v>
      </c>
      <c r="D15" s="560">
        <f ca="1">IF(B15="",10,INDEX(OFFSET(Arb!$H$2,,,Arb!$AJ$5,),B15))</f>
        <v>3.93</v>
      </c>
      <c r="E15" s="563">
        <f t="shared" ca="1" si="0"/>
        <v>4.0712468193384224</v>
      </c>
      <c r="F15" s="722">
        <f ca="1">IF(B15="","",INDEX(OFFSET(Arb!$X$2,,,Arb!$AJ$5,),B15)/D15)</f>
        <v>4.325699745547074</v>
      </c>
      <c r="G15" s="564">
        <f ca="1">IF(B15="","",(INDEX(OFFSET(Arb!$U$2,,,Arb!$AJ$5,),B15)+INDEX(OFFSET(Arb!$V$2,,,Arb!$AJ$5,),B15))/D15)</f>
        <v>4.5801526717557248</v>
      </c>
      <c r="H15" s="33">
        <f t="shared" ca="1" si="1"/>
        <v>0.64024670634524128</v>
      </c>
      <c r="I15" s="773">
        <f t="shared" ca="1" si="2"/>
        <v>73.876209797313479</v>
      </c>
      <c r="J15" s="74">
        <f ca="1">IF(B15="","",DATE(INDEX(OFFSET(Arb!$C$2,,,Arb!$AJ$5,),B15),INDEX(OFFSET(Arb!$B$2,,,Arb!$AJ$5,),B15),INDEX(OFFSET(Arb!$A$2,,,Arb!$AJ$5,),B15))+ROW()*0.001)</f>
        <v>43989.014999999999</v>
      </c>
      <c r="K15" s="11">
        <v>14</v>
      </c>
      <c r="L15" s="11">
        <v>2334</v>
      </c>
      <c r="M15" s="433">
        <f ca="1">IF(L15="",64,INDEX(OFFSET(Arb!$I$2,,,Arb!$AJ$5,),L15))</f>
        <v>64</v>
      </c>
      <c r="N15" s="692">
        <f ca="1">IF(L15="",60,INDEX(OFFSET(Arb!$H$2,,,Arb!$AJ$5,),L15))</f>
        <v>21.85</v>
      </c>
      <c r="O15" s="725">
        <f t="shared" ca="1" si="3"/>
        <v>2.9290617848970251</v>
      </c>
      <c r="P15" s="723">
        <f ca="1">IF(L15="","",INDEX(OFFSET(Arb!$X$2,,,Arb!$AJ$5,),L15)/N15)</f>
        <v>3.7528604118993134</v>
      </c>
      <c r="Q15" s="563">
        <f ca="1">IF(L15="","",(INDEX(OFFSET(Arb!$U$2,,,Arb!$AJ$5,),L15)+INDEX(OFFSET(Arb!$V$2,,,Arb!$AJ$5,),L15))/N15)</f>
        <v>4.0732265446224254</v>
      </c>
      <c r="R15" s="33">
        <f t="shared" ca="1" si="4"/>
        <v>2.9572461579945655</v>
      </c>
      <c r="S15" s="774">
        <f t="shared" ca="1" si="5"/>
        <v>51.984174392926036</v>
      </c>
      <c r="T15" s="74">
        <f ca="1">IF(L15="","",DATE(INDEX(OFFSET(Arb!$C$2,,,Arb!$AJ$5,),L15),INDEX(OFFSET(Arb!$B$2,,,Arb!$AJ$5,),L15),INDEX(OFFSET(Arb!$A$2,,,Arb!$AJ$5,),L15))+ROW()*0.001)</f>
        <v>44093.014999999999</v>
      </c>
      <c r="U15" s="11">
        <v>14</v>
      </c>
      <c r="V15" s="11">
        <v>3358</v>
      </c>
      <c r="W15" s="433">
        <f ca="1">IF(V15="",164,INDEX(OFFSET(Arb!$I$2,,,Arb!$AJ$5,),V15))</f>
        <v>141</v>
      </c>
      <c r="X15" s="559">
        <f ca="1">IF(V15="",240,INDEX(OFFSET(Arb!$H$2,,,Arb!$AJ$5,),V15))</f>
        <v>58.3</v>
      </c>
      <c r="Y15" s="769">
        <f t="shared" ca="1" si="6"/>
        <v>2.4185248713550602</v>
      </c>
      <c r="Z15" s="725">
        <f ca="1">IF(V15="","",INDEX(OFFSET(Arb!$X$2,,,Arb!$AJ$5,),V15)/X15)</f>
        <v>2.8301886792452833</v>
      </c>
      <c r="AA15" s="561">
        <f ca="1">IF(V15="","",(INDEX(OFFSET(Arb!$U$2,,,Arb!$AJ$5,),V15)+INDEX(OFFSET(Arb!$V$2,,,Arb!$AJ$5,),V15))/X15)</f>
        <v>3.1560891938250428</v>
      </c>
      <c r="AB15" s="33">
        <f t="shared" ca="1" si="7"/>
        <v>7.1189743873509741</v>
      </c>
      <c r="AC15" s="776">
        <f t="shared" ca="1" si="8"/>
        <v>61.104447962744707</v>
      </c>
      <c r="AD15" s="74">
        <f ca="1">IF(V15="","",DATE(INDEX(OFFSET(Arb!$C$2,,,Arb!$AJ$5,),V15),INDEX(OFFSET(Arb!$B$2,,,Arb!$AJ$5,),V15),INDEX(OFFSET(Arb!$A$2,,,Arb!$AJ$5,),V15))+ROW()*0.001)</f>
        <v>44099.014999999999</v>
      </c>
    </row>
    <row r="16" spans="1:30" x14ac:dyDescent="0.25">
      <c r="A16" s="11">
        <v>15</v>
      </c>
      <c r="B16" s="11">
        <v>1636</v>
      </c>
      <c r="C16" s="433">
        <f ca="1">IF(B16="",16,INDEX(OFFSET(Arb!$I$2,,,Arb!$AJ$5,),B16))</f>
        <v>16</v>
      </c>
      <c r="D16" s="560">
        <f ca="1">IF(B16="",10,INDEX(OFFSET(Arb!$H$2,,,Arb!$AJ$5,),B16))</f>
        <v>3.95</v>
      </c>
      <c r="E16" s="563">
        <f t="shared" ca="1" si="0"/>
        <v>4.0506329113924044</v>
      </c>
      <c r="F16" s="565">
        <f ca="1">IF(B16="","",INDEX(OFFSET(Arb!$X$2,,,Arb!$AJ$5,),B16)/D16)</f>
        <v>5.0632911392405058</v>
      </c>
      <c r="G16" s="565">
        <f ca="1">IF(B16="","",(INDEX(OFFSET(Arb!$U$2,,,Arb!$AJ$5,),B16)+INDEX(OFFSET(Arb!$V$2,,,Arb!$AJ$5,),B16))/D16)</f>
        <v>5.0632911392405058</v>
      </c>
      <c r="H16" s="33">
        <f t="shared" ca="1" si="1"/>
        <v>0.64579559731892844</v>
      </c>
      <c r="I16" s="773">
        <f t="shared" ca="1" si="2"/>
        <v>73.241440784615975</v>
      </c>
      <c r="J16" s="74">
        <f ca="1">IF(B16="","",DATE(INDEX(OFFSET(Arb!$C$2,,,Arb!$AJ$5,),B16),INDEX(OFFSET(Arb!$B$2,,,Arb!$AJ$5,),B16),INDEX(OFFSET(Arb!$A$2,,,Arb!$AJ$5,),B16))+ROW()*0.001)</f>
        <v>44093.016000000003</v>
      </c>
      <c r="K16" s="11">
        <v>15</v>
      </c>
      <c r="L16" s="11">
        <v>2342</v>
      </c>
      <c r="M16" s="433">
        <f ca="1">IF(L16="",64,INDEX(OFFSET(Arb!$I$2,,,Arb!$AJ$5,),L16))</f>
        <v>62</v>
      </c>
      <c r="N16" s="692">
        <f ca="1">IF(L16="",60,INDEX(OFFSET(Arb!$H$2,,,Arb!$AJ$5,),L16))</f>
        <v>21.45</v>
      </c>
      <c r="O16" s="725">
        <f t="shared" ca="1" si="3"/>
        <v>2.8904428904428907</v>
      </c>
      <c r="P16" s="724">
        <f ca="1">IF(L16="","",INDEX(OFFSET(Arb!$X$2,,,Arb!$AJ$5,),L16)/N16)</f>
        <v>3.4032634032634035</v>
      </c>
      <c r="Q16" s="562">
        <f ca="1">IF(L16="","",(INDEX(OFFSET(Arb!$U$2,,,Arb!$AJ$5,),L16)+INDEX(OFFSET(Arb!$V$2,,,Arb!$AJ$5,),L16))/N16)</f>
        <v>3.6829836829836831</v>
      </c>
      <c r="R16" s="33">
        <f t="shared" ca="1" si="4"/>
        <v>2.9582489196716182</v>
      </c>
      <c r="S16" s="774">
        <f t="shared" ca="1" si="5"/>
        <v>51.966553246325482</v>
      </c>
      <c r="T16" s="74">
        <f ca="1">IF(L16="","",DATE(INDEX(OFFSET(Arb!$C$2,,,Arb!$AJ$5,),L16),INDEX(OFFSET(Arb!$B$2,,,Arb!$AJ$5,),L16),INDEX(OFFSET(Arb!$A$2,,,Arb!$AJ$5,),L16))+ROW()*0.001)</f>
        <v>44106.016000000003</v>
      </c>
      <c r="U16" s="11">
        <v>15</v>
      </c>
      <c r="V16" s="11">
        <v>3149</v>
      </c>
      <c r="W16" s="433">
        <f ca="1">IF(V16="",164,INDEX(OFFSET(Arb!$I$2,,,Arb!$AJ$5,),V16))</f>
        <v>170</v>
      </c>
      <c r="X16" s="691">
        <f ca="1">IF(V16="",240,INDEX(OFFSET(Arb!$H$2,,,Arb!$AJ$5,),V16))</f>
        <v>65.13</v>
      </c>
      <c r="Y16" s="726">
        <f t="shared" ca="1" si="6"/>
        <v>2.6101642868109938</v>
      </c>
      <c r="Z16" s="725">
        <f ca="1">IF(V16="","",INDEX(OFFSET(Arb!$X$2,,,Arb!$AJ$5,),V16)/X16)</f>
        <v>2.9325963457699986</v>
      </c>
      <c r="AA16" s="561">
        <f ca="1">IF(V16="","",(INDEX(OFFSET(Arb!$U$2,,,Arb!$AJ$5,),V16)+INDEX(OFFSET(Arb!$V$2,,,Arb!$AJ$5,),V16))/X16)</f>
        <v>3.1936127744510978</v>
      </c>
      <c r="AB16" s="33">
        <f t="shared" ca="1" si="7"/>
        <v>7.1281841623161908</v>
      </c>
      <c r="AC16" s="776">
        <f t="shared" ca="1" si="8"/>
        <v>61.025499635611723</v>
      </c>
      <c r="AD16" s="74">
        <f ca="1">IF(V16="","",DATE(INDEX(OFFSET(Arb!$C$2,,,Arb!$AJ$5,),V16),INDEX(OFFSET(Arb!$B$2,,,Arb!$AJ$5,),V16),INDEX(OFFSET(Arb!$A$2,,,Arb!$AJ$5,),V16))+ROW()*0.001)</f>
        <v>44028.016000000003</v>
      </c>
    </row>
    <row r="17" spans="1:30" x14ac:dyDescent="0.25">
      <c r="A17" s="11">
        <v>16</v>
      </c>
      <c r="B17" s="11">
        <v>1712</v>
      </c>
      <c r="C17" s="433">
        <f ca="1">IF(B17="",16,INDEX(OFFSET(Arb!$I$2,,,Arb!$AJ$5,),B17))</f>
        <v>20</v>
      </c>
      <c r="D17" s="274">
        <f ca="1">IF(B17="",10,INDEX(OFFSET(Arb!$H$2,,,Arb!$AJ$5,),B17))</f>
        <v>4.51</v>
      </c>
      <c r="E17" s="722">
        <f t="shared" ca="1" si="0"/>
        <v>4.434589800443459</v>
      </c>
      <c r="F17" s="723">
        <f ca="1">IF(B17="","",INDEX(OFFSET(Arb!$X$2,,,Arb!$AJ$5,),B17)/D17)</f>
        <v>3.9911308203991132</v>
      </c>
      <c r="G17" s="564">
        <f ca="1">IF(B17="","",(INDEX(OFFSET(Arb!$U$2,,,Arb!$AJ$5,),B17)+INDEX(OFFSET(Arb!$V$2,,,Arb!$AJ$5,),B17))/D17)</f>
        <v>4.6563192904656319</v>
      </c>
      <c r="H17" s="33">
        <f t="shared" ca="1" si="1"/>
        <v>0.64724711830138693</v>
      </c>
      <c r="I17" s="773">
        <f t="shared" ca="1" si="2"/>
        <v>73.077189009554601</v>
      </c>
      <c r="J17" s="74">
        <f ca="1">IF(B17="","",DATE(INDEX(OFFSET(Arb!$C$2,,,Arb!$AJ$5,),B17),INDEX(OFFSET(Arb!$B$2,,,Arb!$AJ$5,),B17),INDEX(OFFSET(Arb!$A$2,,,Arb!$AJ$5,),B17))+ROW()*0.001)</f>
        <v>44107.017</v>
      </c>
      <c r="K17" s="11">
        <v>16</v>
      </c>
      <c r="L17" s="11">
        <v>2052</v>
      </c>
      <c r="M17" s="433">
        <f ca="1">IF(L17="",64,INDEX(OFFSET(Arb!$I$2,,,Arb!$AJ$5,),L17))</f>
        <v>41</v>
      </c>
      <c r="N17" s="684">
        <f ca="1">IF(L17="",60,INDEX(OFFSET(Arb!$H$2,,,Arb!$AJ$5,),L17))</f>
        <v>16.829999999999998</v>
      </c>
      <c r="O17" s="769">
        <f t="shared" ca="1" si="3"/>
        <v>2.4361259655377303</v>
      </c>
      <c r="P17" s="561">
        <f ca="1">IF(L17="","",INDEX(OFFSET(Arb!$X$2,,,Arb!$AJ$5,),L17)/N17)</f>
        <v>3.1491384432560907</v>
      </c>
      <c r="Q17" s="723">
        <f ca="1">IF(L17="","",(INDEX(OFFSET(Arb!$U$2,,,Arb!$AJ$5,),L17)+INDEX(OFFSET(Arb!$V$2,,,Arb!$AJ$5,),L17))/N17)</f>
        <v>3.8027332144979207</v>
      </c>
      <c r="R17" s="33">
        <f t="shared" ca="1" si="4"/>
        <v>2.9618232668638624</v>
      </c>
      <c r="S17" s="774">
        <f t="shared" ca="1" si="5"/>
        <v>51.903839678718434</v>
      </c>
      <c r="T17" s="74">
        <f ca="1">IF(L17="","",DATE(INDEX(OFFSET(Arb!$C$2,,,Arb!$AJ$5,),L17),INDEX(OFFSET(Arb!$B$2,,,Arb!$AJ$5,),L17),INDEX(OFFSET(Arb!$A$2,,,Arb!$AJ$5,),L17))+ROW()*0.001)</f>
        <v>43798.017</v>
      </c>
      <c r="U17" s="11">
        <v>16</v>
      </c>
      <c r="V17" s="11">
        <v>3342</v>
      </c>
      <c r="W17" s="433">
        <f ca="1">IF(V17="",164,INDEX(OFFSET(Arb!$I$2,,,Arb!$AJ$5,),V17))</f>
        <v>161</v>
      </c>
      <c r="X17" s="693">
        <f ca="1">IF(V17="",240,INDEX(OFFSET(Arb!$H$2,,,Arb!$AJ$5,),V17))</f>
        <v>63.13</v>
      </c>
      <c r="Y17" s="726">
        <f t="shared" ca="1" si="6"/>
        <v>2.5502930460953586</v>
      </c>
      <c r="Z17" s="725">
        <f ca="1">IF(V17="","",INDEX(OFFSET(Arb!$X$2,,,Arb!$AJ$5,),V17)/X17)</f>
        <v>2.8829399651512748</v>
      </c>
      <c r="AA17" s="561">
        <f ca="1">IF(V17="","",(INDEX(OFFSET(Arb!$U$2,,,Arb!$AJ$5,),V17)+INDEX(OFFSET(Arb!$V$2,,,Arb!$AJ$5,),V17))/X17)</f>
        <v>3.1522255662917789</v>
      </c>
      <c r="AB17" s="33">
        <f t="shared" ca="1" si="7"/>
        <v>7.13797406764155</v>
      </c>
      <c r="AC17" s="776">
        <f t="shared" ca="1" si="8"/>
        <v>60.941801676190195</v>
      </c>
      <c r="AD17" s="74">
        <f ca="1">IF(V17="","",DATE(INDEX(OFFSET(Arb!$C$2,,,Arb!$AJ$5,),V17),INDEX(OFFSET(Arb!$B$2,,,Arb!$AJ$5,),V17),INDEX(OFFSET(Arb!$A$2,,,Arb!$AJ$5,),V17))+ROW()*0.001)</f>
        <v>44097.017</v>
      </c>
    </row>
    <row r="18" spans="1:30" x14ac:dyDescent="0.25">
      <c r="A18" s="11">
        <v>17</v>
      </c>
      <c r="B18" s="11">
        <v>1278</v>
      </c>
      <c r="C18" s="433">
        <f ca="1">IF(B18="",16,INDEX(OFFSET(Arb!$I$2,,,Arb!$AJ$5,),B18))</f>
        <v>10</v>
      </c>
      <c r="D18" s="686">
        <f ca="1">IF(B18="",10,INDEX(OFFSET(Arb!$H$2,,,Arb!$AJ$5,),B18))</f>
        <v>3</v>
      </c>
      <c r="E18" s="724">
        <f t="shared" ca="1" si="0"/>
        <v>3.3333333333333335</v>
      </c>
      <c r="F18" s="563">
        <f ca="1">IF(B18="","",INDEX(OFFSET(Arb!$X$2,,,Arb!$AJ$5,),B18)/D18)</f>
        <v>4</v>
      </c>
      <c r="G18" s="564">
        <f ca="1">IF(B18="","",(INDEX(OFFSET(Arb!$U$2,,,Arb!$AJ$5,),B18)+INDEX(OFFSET(Arb!$V$2,,,Arb!$AJ$5,),B18))/D18)</f>
        <v>4.666666666666667</v>
      </c>
      <c r="H18" s="33">
        <f t="shared" ca="1" si="1"/>
        <v>0.647300783992378</v>
      </c>
      <c r="I18" s="773">
        <f t="shared" ca="1" si="2"/>
        <v>73.071130407524649</v>
      </c>
      <c r="J18" s="74">
        <f ca="1">IF(B18="","",DATE(INDEX(OFFSET(Arb!$C$2,,,Arb!$AJ$5,),B18),INDEX(OFFSET(Arb!$B$2,,,Arb!$AJ$5,),B18),INDEX(OFFSET(Arb!$A$2,,,Arb!$AJ$5,),B18))+ROW()*0.001)</f>
        <v>43906.017999999996</v>
      </c>
      <c r="K18" s="11">
        <v>17</v>
      </c>
      <c r="L18" s="11">
        <v>2247</v>
      </c>
      <c r="M18" s="433">
        <f ca="1">IF(L18="",64,INDEX(OFFSET(Arb!$I$2,,,Arb!$AJ$5,),L18))</f>
        <v>97</v>
      </c>
      <c r="N18" s="682">
        <f ca="1">IF(L18="",60,INDEX(OFFSET(Arb!$H$2,,,Arb!$AJ$5,),L18))</f>
        <v>27.97</v>
      </c>
      <c r="O18" s="724">
        <f t="shared" ca="1" si="3"/>
        <v>3.4680014301036826</v>
      </c>
      <c r="P18" s="723">
        <f ca="1">IF(L18="","",INDEX(OFFSET(Arb!$X$2,,,Arb!$AJ$5,),L18)/N18)</f>
        <v>3.8255273507329282</v>
      </c>
      <c r="Q18" s="563">
        <f ca="1">IF(L18="","",(INDEX(OFFSET(Arb!$U$2,,,Arb!$AJ$5,),L18)+INDEX(OFFSET(Arb!$V$2,,,Arb!$AJ$5,),L18))/N18)</f>
        <v>4.1115480872363248</v>
      </c>
      <c r="R18" s="33">
        <f t="shared" ca="1" si="4"/>
        <v>2.9689676023851397</v>
      </c>
      <c r="S18" s="774">
        <f t="shared" ca="1" si="5"/>
        <v>51.778941567600796</v>
      </c>
      <c r="T18" s="74">
        <f ca="1">IF(L18="","",DATE(INDEX(OFFSET(Arb!$C$2,,,Arb!$AJ$5,),L18),INDEX(OFFSET(Arb!$B$2,,,Arb!$AJ$5,),L18),INDEX(OFFSET(Arb!$A$2,,,Arb!$AJ$5,),L18))+ROW()*0.001)</f>
        <v>43892.017999999996</v>
      </c>
      <c r="U18" s="11">
        <v>17</v>
      </c>
      <c r="V18" s="11">
        <v>3217</v>
      </c>
      <c r="W18" s="433">
        <f ca="1">IF(V18="",164,INDEX(OFFSET(Arb!$I$2,,,Arb!$AJ$5,),V18))</f>
        <v>194</v>
      </c>
      <c r="X18" s="679">
        <f ca="1">IF(V18="",240,INDEX(OFFSET(Arb!$H$2,,,Arb!$AJ$5,),V18))</f>
        <v>70.53</v>
      </c>
      <c r="Y18" s="725">
        <f t="shared" ca="1" si="6"/>
        <v>2.7506025804622145</v>
      </c>
      <c r="Z18" s="561">
        <f ca="1">IF(V18="","",INDEX(OFFSET(Arb!$X$2,,,Arb!$AJ$5,),V18)/X18)</f>
        <v>3.2184885864171275</v>
      </c>
      <c r="AA18" s="562">
        <f ca="1">IF(V18="","",(INDEX(OFFSET(Arb!$U$2,,,Arb!$AJ$5,),V18)+INDEX(OFFSET(Arb!$V$2,,,Arb!$AJ$5,),V18))/X18)</f>
        <v>3.5162342265702535</v>
      </c>
      <c r="AB18" s="33">
        <f t="shared" ca="1" si="7"/>
        <v>7.1521048500870341</v>
      </c>
      <c r="AC18" s="776">
        <f t="shared" ca="1" si="8"/>
        <v>60.821395815346087</v>
      </c>
      <c r="AD18" s="74">
        <f ca="1">IF(V18="","",DATE(INDEX(OFFSET(Arb!$C$2,,,Arb!$AJ$5,),V18),INDEX(OFFSET(Arb!$B$2,,,Arb!$AJ$5,),V18),INDEX(OFFSET(Arb!$A$2,,,Arb!$AJ$5,),V18))+ROW()*0.001)</f>
        <v>44059.017999999996</v>
      </c>
    </row>
    <row r="19" spans="1:30" x14ac:dyDescent="0.25">
      <c r="A19" s="11">
        <v>18</v>
      </c>
      <c r="B19" s="11">
        <v>1400</v>
      </c>
      <c r="C19" s="433">
        <f ca="1">IF(B19="",16,INDEX(OFFSET(Arb!$I$2,,,Arb!$AJ$5,),B19))</f>
        <v>12</v>
      </c>
      <c r="D19" s="686">
        <f ca="1">IF(B19="",10,INDEX(OFFSET(Arb!$H$2,,,Arb!$AJ$5,),B19))</f>
        <v>3.35</v>
      </c>
      <c r="E19" s="562">
        <f t="shared" ca="1" si="0"/>
        <v>3.5820895522388061</v>
      </c>
      <c r="F19" s="563">
        <f ca="1">IF(B19="","",INDEX(OFFSET(Arb!$X$2,,,Arb!$AJ$5,),B19)/D19)</f>
        <v>4.1791044776119399</v>
      </c>
      <c r="G19" s="565">
        <f ca="1">IF(B19="","",(INDEX(OFFSET(Arb!$U$2,,,Arb!$AJ$5,),B19)+INDEX(OFFSET(Arb!$V$2,,,Arb!$AJ$5,),B19))/D19)</f>
        <v>5.0746268656716413</v>
      </c>
      <c r="H19" s="33">
        <f t="shared" ca="1" si="1"/>
        <v>0.65072115500174688</v>
      </c>
      <c r="I19" s="773">
        <f t="shared" ca="1" si="2"/>
        <v>72.687048263972642</v>
      </c>
      <c r="J19" s="74">
        <f ca="1">IF(B19="","",DATE(INDEX(OFFSET(Arb!$C$2,,,Arb!$AJ$5,),B19),INDEX(OFFSET(Arb!$B$2,,,Arb!$AJ$5,),B19),INDEX(OFFSET(Arb!$A$2,,,Arb!$AJ$5,),B19))+ROW()*0.001)</f>
        <v>43940.019</v>
      </c>
      <c r="K19" s="11">
        <v>18</v>
      </c>
      <c r="L19" s="11">
        <v>2375</v>
      </c>
      <c r="M19" s="433">
        <f ca="1">IF(L19="",64,INDEX(OFFSET(Arb!$I$2,,,Arb!$AJ$5,),L19))</f>
        <v>78</v>
      </c>
      <c r="N19" s="680">
        <f ca="1">IF(L19="",60,INDEX(OFFSET(Arb!$H$2,,,Arb!$AJ$5,),L19))</f>
        <v>24.71</v>
      </c>
      <c r="O19" s="561">
        <f t="shared" ca="1" si="3"/>
        <v>3.1566167543504653</v>
      </c>
      <c r="P19" s="724">
        <f ca="1">IF(L19="","",INDEX(OFFSET(Arb!$X$2,,,Arb!$AJ$5,),L19)/N19)</f>
        <v>3.4399028733306354</v>
      </c>
      <c r="Q19" s="563">
        <f ca="1">IF(L19="","",(INDEX(OFFSET(Arb!$U$2,,,Arb!$AJ$5,),L19)+INDEX(OFFSET(Arb!$V$2,,,Arb!$AJ$5,),L19))/N19)</f>
        <v>4.0064751112909756</v>
      </c>
      <c r="R19" s="33">
        <f t="shared" ca="1" si="4"/>
        <v>2.9908116556717697</v>
      </c>
      <c r="S19" s="774">
        <f t="shared" ca="1" si="5"/>
        <v>51.400762635275512</v>
      </c>
      <c r="T19" s="74">
        <f ca="1">IF(L19="","",DATE(INDEX(OFFSET(Arb!$C$2,,,Arb!$AJ$5,),L19),INDEX(OFFSET(Arb!$B$2,,,Arb!$AJ$5,),L19),INDEX(OFFSET(Arb!$A$2,,,Arb!$AJ$5,),L19))+ROW()*0.001)</f>
        <v>44114.019</v>
      </c>
      <c r="U19" s="11">
        <v>18</v>
      </c>
      <c r="V19" s="11">
        <v>3346</v>
      </c>
      <c r="W19" s="433">
        <f ca="1">IF(V19="",164,INDEX(OFFSET(Arb!$I$2,,,Arb!$AJ$5,),V19))</f>
        <v>158</v>
      </c>
      <c r="X19" s="693">
        <f ca="1">IF(V19="",240,INDEX(OFFSET(Arb!$H$2,,,Arb!$AJ$5,),V19))</f>
        <v>62.62</v>
      </c>
      <c r="Y19" s="726">
        <f t="shared" ca="1" si="6"/>
        <v>2.523155541360588</v>
      </c>
      <c r="Z19" s="561">
        <f ca="1">IF(V19="","",INDEX(OFFSET(Arb!$X$2,,,Arb!$AJ$5,),V19)/X19)</f>
        <v>3.018205046311083</v>
      </c>
      <c r="AA19" s="724">
        <f ca="1">IF(V19="","",(INDEX(OFFSET(Arb!$U$2,,,Arb!$AJ$5,),V19)+INDEX(OFFSET(Arb!$V$2,,,Arb!$AJ$5,),V19))/X19)</f>
        <v>3.2896838070903867</v>
      </c>
      <c r="AB19" s="33">
        <f t="shared" ca="1" si="7"/>
        <v>7.1738967302240342</v>
      </c>
      <c r="AC19" s="776">
        <f t="shared" ca="1" si="8"/>
        <v>60.636640916130851</v>
      </c>
      <c r="AD19" s="74">
        <f ca="1">IF(V19="","",DATE(INDEX(OFFSET(Arb!$C$2,,,Arb!$AJ$5,),V19),INDEX(OFFSET(Arb!$B$2,,,Arb!$AJ$5,),V19),INDEX(OFFSET(Arb!$A$2,,,Arb!$AJ$5,),V19))+ROW()*0.001)</f>
        <v>44098.019</v>
      </c>
    </row>
    <row r="20" spans="1:30" x14ac:dyDescent="0.25">
      <c r="A20" s="11">
        <v>19</v>
      </c>
      <c r="B20" s="11">
        <v>1619</v>
      </c>
      <c r="C20" s="433">
        <f ca="1">IF(B20="",16,INDEX(OFFSET(Arb!$I$2,,,Arb!$AJ$5,),B20))</f>
        <v>12</v>
      </c>
      <c r="D20" s="686">
        <f ca="1">IF(B20="",10,INDEX(OFFSET(Arb!$H$2,,,Arb!$AJ$5,),B20))</f>
        <v>3.4</v>
      </c>
      <c r="E20" s="562">
        <f t="shared" ca="1" si="0"/>
        <v>3.5294117647058822</v>
      </c>
      <c r="F20" s="563">
        <f ca="1">IF(B20="","",INDEX(OFFSET(Arb!$X$2,,,Arb!$AJ$5,),B20)/D20)</f>
        <v>4.1176470588235299</v>
      </c>
      <c r="G20" s="565">
        <f ca="1">IF(B20="","",(INDEX(OFFSET(Arb!$U$2,,,Arb!$AJ$5,),B20)+INDEX(OFFSET(Arb!$V$2,,,Arb!$AJ$5,),B20))/D20)</f>
        <v>5</v>
      </c>
      <c r="H20" s="33">
        <f t="shared" ca="1" si="1"/>
        <v>0.66731811279785891</v>
      </c>
      <c r="I20" s="773">
        <f t="shared" ca="1" si="2"/>
        <v>70.879238990966229</v>
      </c>
      <c r="J20" s="74">
        <f ca="1">IF(B20="","",DATE(INDEX(OFFSET(Arb!$C$2,,,Arb!$AJ$5,),B20),INDEX(OFFSET(Arb!$B$2,,,Arb!$AJ$5,),B20),INDEX(OFFSET(Arb!$A$2,,,Arb!$AJ$5,),B20))+ROW()*0.001)</f>
        <v>44093.02</v>
      </c>
      <c r="K20" s="11">
        <v>19</v>
      </c>
      <c r="L20" s="11">
        <v>2316</v>
      </c>
      <c r="M20" s="433">
        <f ca="1">IF(L20="",64,INDEX(OFFSET(Arb!$I$2,,,Arb!$AJ$5,),L20))</f>
        <v>67</v>
      </c>
      <c r="N20" s="679">
        <f ca="1">IF(L20="",60,INDEX(OFFSET(Arb!$H$2,,,Arb!$AJ$5,),L20))</f>
        <v>22.6</v>
      </c>
      <c r="O20" s="725">
        <f t="shared" ca="1" si="3"/>
        <v>2.9646017699115044</v>
      </c>
      <c r="P20" s="724">
        <f ca="1">IF(L20="","",INDEX(OFFSET(Arb!$X$2,,,Arb!$AJ$5,),L20)/N20)</f>
        <v>3.4513274336283182</v>
      </c>
      <c r="Q20" s="723">
        <f ca="1">IF(L20="","",(INDEX(OFFSET(Arb!$U$2,,,Arb!$AJ$5,),L20)+INDEX(OFFSET(Arb!$V$2,,,Arb!$AJ$5,),L20))/N20)</f>
        <v>3.8495575221238933</v>
      </c>
      <c r="R20" s="33">
        <f t="shared" ca="1" si="4"/>
        <v>2.99164146370379</v>
      </c>
      <c r="S20" s="774">
        <f t="shared" ca="1" si="5"/>
        <v>51.386505323293378</v>
      </c>
      <c r="T20" s="74">
        <f ca="1">IF(L20="","",DATE(INDEX(OFFSET(Arb!$C$2,,,Arb!$AJ$5,),L20),INDEX(OFFSET(Arb!$B$2,,,Arb!$AJ$5,),L20),INDEX(OFFSET(Arb!$A$2,,,Arb!$AJ$5,),L20))+ROW()*0.001)</f>
        <v>43967.02</v>
      </c>
      <c r="U20" s="11">
        <v>19</v>
      </c>
      <c r="V20" s="11">
        <v>3211</v>
      </c>
      <c r="W20" s="433">
        <f ca="1">IF(V20="",164,INDEX(OFFSET(Arb!$I$2,,,Arb!$AJ$5,),V20))</f>
        <v>171</v>
      </c>
      <c r="X20" s="691">
        <f ca="1">IF(V20="",240,INDEX(OFFSET(Arb!$H$2,,,Arb!$AJ$5,),V20))</f>
        <v>65.650000000000006</v>
      </c>
      <c r="Y20" s="726">
        <f t="shared" ca="1" si="6"/>
        <v>2.6047220106626043</v>
      </c>
      <c r="Z20" s="724">
        <f ca="1">IF(V20="","",INDEX(OFFSET(Arb!$X$2,,,Arb!$AJ$5,),V20)/X20)</f>
        <v>3.3054074638233053</v>
      </c>
      <c r="AA20" s="562">
        <f ca="1">IF(V20="","",(INDEX(OFFSET(Arb!$U$2,,,Arb!$AJ$5,),V20)+INDEX(OFFSET(Arb!$V$2,,,Arb!$AJ$5,),V20))/X20)</f>
        <v>3.6557501904036553</v>
      </c>
      <c r="AB20" s="33">
        <f t="shared" ca="1" si="7"/>
        <v>7.182951455134563</v>
      </c>
      <c r="AC20" s="776">
        <f t="shared" ca="1" si="8"/>
        <v>60.560203241948656</v>
      </c>
      <c r="AD20" s="74">
        <f ca="1">IF(V20="","",DATE(INDEX(OFFSET(Arb!$C$2,,,Arb!$AJ$5,),V20),INDEX(OFFSET(Arb!$B$2,,,Arb!$AJ$5,),V20),INDEX(OFFSET(Arb!$A$2,,,Arb!$AJ$5,),V20))+ROW()*0.001)</f>
        <v>44059.02</v>
      </c>
    </row>
    <row r="21" spans="1:30" x14ac:dyDescent="0.25">
      <c r="A21" s="11">
        <v>20</v>
      </c>
      <c r="B21" s="11">
        <v>213</v>
      </c>
      <c r="C21" s="433">
        <f ca="1">IF(B21="",16,INDEX(OFFSET(Arb!$I$2,,,Arb!$AJ$5,),B21))</f>
        <v>16</v>
      </c>
      <c r="D21" s="683">
        <f ca="1">IF(B21="",10,INDEX(OFFSET(Arb!$H$2,,,Arb!$AJ$5,),B21))</f>
        <v>4.03</v>
      </c>
      <c r="E21" s="723">
        <f t="shared" ca="1" si="0"/>
        <v>3.9702233250620345</v>
      </c>
      <c r="F21" s="723">
        <f ca="1">IF(B21="","",INDEX(OFFSET(Arb!$X$2,,,Arb!$AJ$5,),B21)/D21)</f>
        <v>3.9702233250620345</v>
      </c>
      <c r="G21" s="563">
        <f ca="1">IF(B21="","",(INDEX(OFFSET(Arb!$U$2,,,Arb!$AJ$5,),B21)+INDEX(OFFSET(Arb!$V$2,,,Arb!$AJ$5,),B21))/D21)</f>
        <v>4.2183622828784113</v>
      </c>
      <c r="H21" s="33">
        <f t="shared" ca="1" si="1"/>
        <v>0.668187882937192</v>
      </c>
      <c r="I21" s="773">
        <f t="shared" ca="1" si="2"/>
        <v>70.786976549297862</v>
      </c>
      <c r="J21" s="74">
        <f ca="1">IF(B21="","",DATE(INDEX(OFFSET(Arb!$C$2,,,Arb!$AJ$5,),B21),INDEX(OFFSET(Arb!$B$2,,,Arb!$AJ$5,),B21),INDEX(OFFSET(Arb!$A$2,,,Arb!$AJ$5,),B21))+ROW()*0.001)</f>
        <v>43774.021000000001</v>
      </c>
      <c r="K21" s="11">
        <v>20</v>
      </c>
      <c r="L21" s="11">
        <v>2039</v>
      </c>
      <c r="M21" s="433">
        <f ca="1">IF(L21="",64,INDEX(OFFSET(Arb!$I$2,,,Arb!$AJ$5,),L21))</f>
        <v>84</v>
      </c>
      <c r="N21" s="680">
        <f ca="1">IF(L21="",60,INDEX(OFFSET(Arb!$H$2,,,Arb!$AJ$5,),L21))</f>
        <v>25.83</v>
      </c>
      <c r="O21" s="724">
        <f t="shared" ca="1" si="3"/>
        <v>3.2520325203252036</v>
      </c>
      <c r="P21" s="724">
        <f ca="1">IF(L21="","",INDEX(OFFSET(Arb!$X$2,,,Arb!$AJ$5,),L21)/N21)</f>
        <v>3.4068912117692607</v>
      </c>
      <c r="Q21" s="562">
        <f ca="1">IF(L21="","",(INDEX(OFFSET(Arb!$U$2,,,Arb!$AJ$5,),L21)+INDEX(OFFSET(Arb!$V$2,,,Arb!$AJ$5,),L21))/N21)</f>
        <v>3.6004645760743323</v>
      </c>
      <c r="R21" s="33">
        <f t="shared" ca="1" si="4"/>
        <v>2.994554382163396</v>
      </c>
      <c r="S21" s="774">
        <f t="shared" ca="1" si="5"/>
        <v>51.336519689096036</v>
      </c>
      <c r="T21" s="74">
        <f ca="1">IF(L21="","",DATE(INDEX(OFFSET(Arb!$C$2,,,Arb!$AJ$5,),L21),INDEX(OFFSET(Arb!$B$2,,,Arb!$AJ$5,),L21),INDEX(OFFSET(Arb!$A$2,,,Arb!$AJ$5,),L21))+ROW()*0.001)</f>
        <v>43797.021000000001</v>
      </c>
      <c r="U21" s="11">
        <v>20</v>
      </c>
      <c r="V21" s="11">
        <v>3426</v>
      </c>
      <c r="W21" s="433">
        <f ca="1">IF(V21="",164,INDEX(OFFSET(Arb!$I$2,,,Arb!$AJ$5,),V21))</f>
        <v>188</v>
      </c>
      <c r="X21" s="679">
        <f ca="1">IF(V21="",240,INDEX(OFFSET(Arb!$H$2,,,Arb!$AJ$5,),V21))</f>
        <v>69.58</v>
      </c>
      <c r="Y21" s="726">
        <f t="shared" ca="1" si="6"/>
        <v>2.7019258407588387</v>
      </c>
      <c r="Z21" s="726">
        <f ca="1">IF(V21="","",INDEX(OFFSET(Arb!$X$2,,,Arb!$AJ$5,),V21)/X21)</f>
        <v>2.644438056912906</v>
      </c>
      <c r="AA21" s="725">
        <f ca="1">IF(V21="","",(INDEX(OFFSET(Arb!$U$2,,,Arb!$AJ$5,),V21)+INDEX(OFFSET(Arb!$V$2,,,Arb!$AJ$5,),V21))/X21)</f>
        <v>2.9175050301810868</v>
      </c>
      <c r="AB21" s="33">
        <f t="shared" ca="1" si="7"/>
        <v>7.2121653035266275</v>
      </c>
      <c r="AC21" s="776">
        <f t="shared" ca="1" si="8"/>
        <v>60.314895969909593</v>
      </c>
      <c r="AD21" s="74">
        <f ca="1">IF(V21="","",DATE(INDEX(OFFSET(Arb!$C$2,,,Arb!$AJ$5,),V21),INDEX(OFFSET(Arb!$B$2,,,Arb!$AJ$5,),V21),INDEX(OFFSET(Arb!$A$2,,,Arb!$AJ$5,),V21))+ROW()*0.001)</f>
        <v>44149.021000000001</v>
      </c>
    </row>
    <row r="22" spans="1:30" x14ac:dyDescent="0.25">
      <c r="A22" s="11">
        <v>21</v>
      </c>
      <c r="B22" s="11">
        <v>656</v>
      </c>
      <c r="C22" s="433">
        <f ca="1">IF(B22="",16,INDEX(OFFSET(Arb!$I$2,,,Arb!$AJ$5,),B22))</f>
        <v>14</v>
      </c>
      <c r="D22" s="560">
        <f ca="1">IF(B22="",10,INDEX(OFFSET(Arb!$H$2,,,Arb!$AJ$5,),B22))</f>
        <v>3.75</v>
      </c>
      <c r="E22" s="562">
        <f t="shared" ca="1" si="0"/>
        <v>3.7333333333333334</v>
      </c>
      <c r="F22" s="562">
        <f ca="1">IF(B22="","",INDEX(OFFSET(Arb!$X$2,,,Arb!$AJ$5,),B22)/D22)</f>
        <v>3.7333333333333334</v>
      </c>
      <c r="G22" s="722">
        <f ca="1">IF(B22="","",(INDEX(OFFSET(Arb!$U$2,,,Arb!$AJ$5,),B22)+INDEX(OFFSET(Arb!$V$2,,,Arb!$AJ$5,),B22))/D22)</f>
        <v>4.2666666666666666</v>
      </c>
      <c r="H22" s="33">
        <f t="shared" ca="1" si="1"/>
        <v>0.67565519364200599</v>
      </c>
      <c r="I22" s="773">
        <f t="shared" ca="1" si="2"/>
        <v>70.004642079405428</v>
      </c>
      <c r="J22" s="74">
        <f ca="1">IF(B22="","",DATE(INDEX(OFFSET(Arb!$C$2,,,Arb!$AJ$5,),B22),INDEX(OFFSET(Arb!$B$2,,,Arb!$AJ$5,),B22),INDEX(OFFSET(Arb!$A$2,,,Arb!$AJ$5,),B22))+ROW()*0.001)</f>
        <v>43800.021999999997</v>
      </c>
      <c r="K22" s="11">
        <v>21</v>
      </c>
      <c r="L22" s="11">
        <v>2213</v>
      </c>
      <c r="M22" s="433">
        <f ca="1">IF(L22="",64,INDEX(OFFSET(Arb!$I$2,,,Arb!$AJ$5,),L22))</f>
        <v>55</v>
      </c>
      <c r="N22" s="691">
        <f ca="1">IF(L22="",60,INDEX(OFFSET(Arb!$H$2,,,Arb!$AJ$5,),L22))</f>
        <v>20.14</v>
      </c>
      <c r="O22" s="726">
        <f t="shared" ca="1" si="3"/>
        <v>2.730883813306852</v>
      </c>
      <c r="P22" s="561">
        <f ca="1">IF(L22="","",INDEX(OFFSET(Arb!$X$2,,,Arb!$AJ$5,),L22)/N22)</f>
        <v>3.1777557100297913</v>
      </c>
      <c r="Q22" s="562">
        <f ca="1">IF(L22="","",(INDEX(OFFSET(Arb!$U$2,,,Arb!$AJ$5,),L22)+INDEX(OFFSET(Arb!$V$2,,,Arb!$AJ$5,),L22))/N22)</f>
        <v>3.5253227408142997</v>
      </c>
      <c r="R22" s="33">
        <f t="shared" ca="1" si="4"/>
        <v>2.9959765039808985</v>
      </c>
      <c r="S22" s="774">
        <f t="shared" ca="1" si="5"/>
        <v>51.312151412312986</v>
      </c>
      <c r="T22" s="74">
        <f ca="1">IF(L22="","",DATE(INDEX(OFFSET(Arb!$C$2,,,Arb!$AJ$5,),L22),INDEX(OFFSET(Arb!$B$2,,,Arb!$AJ$5,),L22),INDEX(OFFSET(Arb!$A$2,,,Arb!$AJ$5,),L22))+ROW()*0.001)</f>
        <v>43869.021999999997</v>
      </c>
      <c r="U22" s="11">
        <v>21</v>
      </c>
      <c r="V22" s="11">
        <v>3356</v>
      </c>
      <c r="W22" s="433">
        <f ca="1">IF(V22="",164,INDEX(OFFSET(Arb!$I$2,,,Arb!$AJ$5,),V22))</f>
        <v>142</v>
      </c>
      <c r="X22" s="688">
        <f ca="1">IF(V22="",240,INDEX(OFFSET(Arb!$H$2,,,Arb!$AJ$5,),V22))</f>
        <v>59.01</v>
      </c>
      <c r="Y22" s="769">
        <f t="shared" ca="1" si="6"/>
        <v>2.4063718013895952</v>
      </c>
      <c r="Z22" s="725">
        <f ca="1">IF(V22="","",INDEX(OFFSET(Arb!$X$2,,,Arb!$AJ$5,),V22)/X22)</f>
        <v>2.9655990510083039</v>
      </c>
      <c r="AA22" s="561">
        <f ca="1">IF(V22="","",(INDEX(OFFSET(Arb!$U$2,,,Arb!$AJ$5,),V22)+INDEX(OFFSET(Arb!$V$2,,,Arb!$AJ$5,),V22))/X22)</f>
        <v>3.219793255380444</v>
      </c>
      <c r="AB22" s="33">
        <f t="shared" ca="1" si="7"/>
        <v>7.2158118485423914</v>
      </c>
      <c r="AC22" s="776">
        <f t="shared" ca="1" si="8"/>
        <v>60.284415548871479</v>
      </c>
      <c r="AD22" s="74">
        <f ca="1">IF(V22="","",DATE(INDEX(OFFSET(Arb!$C$2,,,Arb!$AJ$5,),V22),INDEX(OFFSET(Arb!$B$2,,,Arb!$AJ$5,),V22),INDEX(OFFSET(Arb!$A$2,,,Arb!$AJ$5,),V22))+ROW()*0.001)</f>
        <v>44099.021999999997</v>
      </c>
    </row>
    <row r="23" spans="1:30" x14ac:dyDescent="0.25">
      <c r="A23" s="11">
        <v>22</v>
      </c>
      <c r="B23" s="11">
        <v>1307</v>
      </c>
      <c r="C23" s="433">
        <f ca="1">IF(B23="",16,INDEX(OFFSET(Arb!$I$2,,,Arb!$AJ$5,),B23))</f>
        <v>11</v>
      </c>
      <c r="D23" s="686">
        <f ca="1">IF(B23="",10,INDEX(OFFSET(Arb!$H$2,,,Arb!$AJ$5,),B23))</f>
        <v>3.26</v>
      </c>
      <c r="E23" s="724">
        <f t="shared" ca="1" si="0"/>
        <v>3.3742331288343559</v>
      </c>
      <c r="F23" s="770">
        <f ca="1">IF(B23="","",INDEX(OFFSET(Arb!$X$2,,,Arb!$AJ$5,),B23)/D23)</f>
        <v>5.8282208588957056</v>
      </c>
      <c r="G23" s="771">
        <f ca="1">IF(B23="","",(INDEX(OFFSET(Arb!$U$2,,,Arb!$AJ$5,),B23)+INDEX(OFFSET(Arb!$V$2,,,Arb!$AJ$5,),B23))/D23)</f>
        <v>6.1349693251533743</v>
      </c>
      <c r="H23" s="33">
        <f t="shared" ca="1" si="1"/>
        <v>0.67776203013445679</v>
      </c>
      <c r="I23" s="773">
        <f t="shared" ca="1" si="2"/>
        <v>69.787031283851448</v>
      </c>
      <c r="J23" s="74">
        <f ca="1">IF(B23="","",DATE(INDEX(OFFSET(Arb!$C$2,,,Arb!$AJ$5,),B23),INDEX(OFFSET(Arb!$B$2,,,Arb!$AJ$5,),B23),INDEX(OFFSET(Arb!$A$2,,,Arb!$AJ$5,),B23))+ROW()*0.001)</f>
        <v>43912.023000000001</v>
      </c>
      <c r="K23" s="11">
        <v>22</v>
      </c>
      <c r="L23" s="11">
        <v>2132</v>
      </c>
      <c r="M23" s="433">
        <f ca="1">IF(L23="",64,INDEX(OFFSET(Arb!$I$2,,,Arb!$AJ$5,),L23))</f>
        <v>54</v>
      </c>
      <c r="N23" s="693">
        <f ca="1">IF(L23="",60,INDEX(OFFSET(Arb!$H$2,,,Arb!$AJ$5,),L23))</f>
        <v>19.989999999999998</v>
      </c>
      <c r="O23" s="726">
        <f t="shared" ca="1" si="3"/>
        <v>2.701350675337669</v>
      </c>
      <c r="P23" s="725">
        <f ca="1">IF(L23="","",INDEX(OFFSET(Arb!$X$2,,,Arb!$AJ$5,),L23)/N23)</f>
        <v>2.8514257128564284</v>
      </c>
      <c r="Q23" s="725">
        <f ca="1">IF(L23="","",(INDEX(OFFSET(Arb!$U$2,,,Arb!$AJ$5,),L23)+INDEX(OFFSET(Arb!$V$2,,,Arb!$AJ$5,),L23))/N23)</f>
        <v>2.9514757378689347</v>
      </c>
      <c r="R23" s="33">
        <f t="shared" ca="1" si="4"/>
        <v>3.0129227047617997</v>
      </c>
      <c r="S23" s="774">
        <f t="shared" ca="1" si="5"/>
        <v>51.023545926696386</v>
      </c>
      <c r="T23" s="74">
        <f ca="1">IF(L23="","",DATE(INDEX(OFFSET(Arb!$C$2,,,Arb!$AJ$5,),L23),INDEX(OFFSET(Arb!$B$2,,,Arb!$AJ$5,),L23),INDEX(OFFSET(Arb!$A$2,,,Arb!$AJ$5,),L23))+ROW()*0.001)</f>
        <v>43815.023000000001</v>
      </c>
      <c r="U23" s="11">
        <v>22</v>
      </c>
      <c r="V23" s="11">
        <v>3267</v>
      </c>
      <c r="W23" s="433">
        <f ca="1">IF(V23="",164,INDEX(OFFSET(Arb!$I$2,,,Arb!$AJ$5,),V23))</f>
        <v>178</v>
      </c>
      <c r="X23" s="692">
        <f ca="1">IF(V23="",240,INDEX(OFFSET(Arb!$H$2,,,Arb!$AJ$5,),V23))</f>
        <v>67.459999999999994</v>
      </c>
      <c r="Y23" s="726">
        <f t="shared" ca="1" si="6"/>
        <v>2.6386006522383636</v>
      </c>
      <c r="Z23" s="561">
        <f ca="1">IF(V23="","",INDEX(OFFSET(Arb!$X$2,,,Arb!$AJ$5,),V23)/X23)</f>
        <v>3.0833086273347172</v>
      </c>
      <c r="AA23" s="724">
        <f ca="1">IF(V23="","",(INDEX(OFFSET(Arb!$U$2,,,Arb!$AJ$5,),V23)+INDEX(OFFSET(Arb!$V$2,,,Arb!$AJ$5,),V23))/X23)</f>
        <v>3.4835458049214352</v>
      </c>
      <c r="AB23" s="33">
        <f t="shared" ca="1" si="7"/>
        <v>7.2270119085449824</v>
      </c>
      <c r="AC23" s="776">
        <f t="shared" ca="1" si="8"/>
        <v>60.190989790077559</v>
      </c>
      <c r="AD23" s="74">
        <f ca="1">IF(V23="","",DATE(INDEX(OFFSET(Arb!$C$2,,,Arb!$AJ$5,),V23),INDEX(OFFSET(Arb!$B$2,,,Arb!$AJ$5,),V23),INDEX(OFFSET(Arb!$A$2,,,Arb!$AJ$5,),V23))+ROW()*0.001)</f>
        <v>44073.023000000001</v>
      </c>
    </row>
    <row r="24" spans="1:30" x14ac:dyDescent="0.25">
      <c r="A24" s="11">
        <v>23</v>
      </c>
      <c r="B24" s="11">
        <v>1631</v>
      </c>
      <c r="C24" s="433">
        <f ca="1">IF(B24="",16,INDEX(OFFSET(Arb!$I$2,,,Arb!$AJ$5,),B24))</f>
        <v>13</v>
      </c>
      <c r="D24" s="560">
        <f ca="1">IF(B24="",10,INDEX(OFFSET(Arb!$H$2,,,Arb!$AJ$5,),B24))</f>
        <v>3.6</v>
      </c>
      <c r="E24" s="562">
        <f t="shared" ca="1" si="0"/>
        <v>3.6111111111111112</v>
      </c>
      <c r="F24" s="723">
        <f ca="1">IF(B24="","",INDEX(OFFSET(Arb!$X$2,,,Arb!$AJ$5,),B24)/D24)</f>
        <v>3.8888888888888888</v>
      </c>
      <c r="G24" s="779">
        <f ca="1">IF(B24="","",(INDEX(OFFSET(Arb!$U$2,,,Arb!$AJ$5,),B24)+INDEX(OFFSET(Arb!$V$2,,,Arb!$AJ$5,),B24))/D24)</f>
        <v>5.5555555555555554</v>
      </c>
      <c r="H24" s="33">
        <f t="shared" ca="1" si="1"/>
        <v>0.67884543051298263</v>
      </c>
      <c r="I24" s="773">
        <f t="shared" ca="1" si="2"/>
        <v>69.675654978273329</v>
      </c>
      <c r="J24" s="74">
        <f ca="1">IF(B24="","",DATE(INDEX(OFFSET(Arb!$C$2,,,Arb!$AJ$5,),B24),INDEX(OFFSET(Arb!$B$2,,,Arb!$AJ$5,),B24),INDEX(OFFSET(Arb!$A$2,,,Arb!$AJ$5,),B24))+ROW()*0.001)</f>
        <v>44093.023999999998</v>
      </c>
      <c r="K24" s="11">
        <v>23</v>
      </c>
      <c r="L24" s="11">
        <v>2365</v>
      </c>
      <c r="M24" s="433">
        <f ca="1">IF(L24="",64,INDEX(OFFSET(Arb!$I$2,,,Arb!$AJ$5,),L24))</f>
        <v>58</v>
      </c>
      <c r="N24" s="691">
        <f ca="1">IF(L24="",60,INDEX(OFFSET(Arb!$H$2,,,Arb!$AJ$5,),L24))</f>
        <v>20.85</v>
      </c>
      <c r="O24" s="725">
        <f t="shared" ca="1" si="3"/>
        <v>2.7817745803357314</v>
      </c>
      <c r="P24" s="561">
        <f ca="1">IF(L24="","",INDEX(OFFSET(Arb!$X$2,,,Arb!$AJ$5,),L24)/N24)</f>
        <v>3.1654676258992804</v>
      </c>
      <c r="Q24" s="562">
        <f ca="1">IF(L24="","",(INDEX(OFFSET(Arb!$U$2,,,Arb!$AJ$5,),L24)+INDEX(OFFSET(Arb!$V$2,,,Arb!$AJ$5,),L24))/N24)</f>
        <v>3.5971223021582732</v>
      </c>
      <c r="R24" s="33">
        <f t="shared" ca="1" si="4"/>
        <v>3.0133689382881479</v>
      </c>
      <c r="S24" s="774">
        <f t="shared" ca="1" si="5"/>
        <v>51.015990125434762</v>
      </c>
      <c r="T24" s="74">
        <f ca="1">IF(L24="","",DATE(INDEX(OFFSET(Arb!$C$2,,,Arb!$AJ$5,),L24),INDEX(OFFSET(Arb!$B$2,,,Arb!$AJ$5,),L24),INDEX(OFFSET(Arb!$A$2,,,Arb!$AJ$5,),L24))+ROW()*0.001)</f>
        <v>44114.023999999998</v>
      </c>
      <c r="U24" s="11">
        <v>23</v>
      </c>
      <c r="V24" s="11">
        <v>3225</v>
      </c>
      <c r="W24" s="433">
        <f ca="1">IF(V24="",164,INDEX(OFFSET(Arb!$I$2,,,Arb!$AJ$5,),V24))</f>
        <v>147</v>
      </c>
      <c r="X24" s="688">
        <f ca="1">IF(V24="",240,INDEX(OFFSET(Arb!$H$2,,,Arb!$AJ$5,),V24))</f>
        <v>60.28</v>
      </c>
      <c r="Y24" s="769">
        <f t="shared" ca="1" si="6"/>
        <v>2.4386197743861975</v>
      </c>
      <c r="Z24" s="561">
        <f ca="1">IF(V24="","",INDEX(OFFSET(Arb!$X$2,,,Arb!$AJ$5,),V24)/X24)</f>
        <v>3.0524220305242205</v>
      </c>
      <c r="AA24" s="724">
        <f ca="1">IF(V24="","",(INDEX(OFFSET(Arb!$U$2,,,Arb!$AJ$5,),V24)+INDEX(OFFSET(Arb!$V$2,,,Arb!$AJ$5,),V24))/X24)</f>
        <v>3.2680822826808229</v>
      </c>
      <c r="AB24" s="33">
        <f t="shared" ca="1" si="7"/>
        <v>7.2273182574162922</v>
      </c>
      <c r="AC24" s="776">
        <f t="shared" ca="1" si="8"/>
        <v>60.18843843684688</v>
      </c>
      <c r="AD24" s="74">
        <f ca="1">IF(V24="","",DATE(INDEX(OFFSET(Arb!$C$2,,,Arb!$AJ$5,),V24),INDEX(OFFSET(Arb!$B$2,,,Arb!$AJ$5,),V24),INDEX(OFFSET(Arb!$A$2,,,Arb!$AJ$5,),V24))+ROW()*0.001)</f>
        <v>44061.023999999998</v>
      </c>
    </row>
    <row r="25" spans="1:30" x14ac:dyDescent="0.25">
      <c r="A25" s="11">
        <v>24</v>
      </c>
      <c r="B25" s="11">
        <v>887</v>
      </c>
      <c r="C25" s="433">
        <f ca="1">IF(B25="",16,INDEX(OFFSET(Arb!$I$2,,,Arb!$AJ$5,),B25))</f>
        <v>12</v>
      </c>
      <c r="D25" s="686">
        <f ca="1">IF(B25="",10,INDEX(OFFSET(Arb!$H$2,,,Arb!$AJ$5,),B25))</f>
        <v>3.45</v>
      </c>
      <c r="E25" s="724">
        <f t="shared" ca="1" si="0"/>
        <v>3.4782608695652173</v>
      </c>
      <c r="F25" s="724">
        <f ca="1">IF(B25="","",INDEX(OFFSET(Arb!$X$2,,,Arb!$AJ$5,),B25)/D25)</f>
        <v>3.4782608695652173</v>
      </c>
      <c r="G25" s="563">
        <f ca="1">IF(B25="","",(INDEX(OFFSET(Arb!$U$2,,,Arb!$AJ$5,),B25)+INDEX(OFFSET(Arb!$V$2,,,Arb!$AJ$5,),B25))/D25)</f>
        <v>4.057971014492753</v>
      </c>
      <c r="H25" s="33">
        <f t="shared" ca="1" si="1"/>
        <v>0.68408680808012223</v>
      </c>
      <c r="I25" s="773">
        <f t="shared" ca="1" si="2"/>
        <v>69.141809842443564</v>
      </c>
      <c r="J25" s="74">
        <f ca="1">IF(B25="","",DATE(INDEX(OFFSET(Arb!$C$2,,,Arb!$AJ$5,),B25),INDEX(OFFSET(Arb!$B$2,,,Arb!$AJ$5,),B25),INDEX(OFFSET(Arb!$A$2,,,Arb!$AJ$5,),B25))+ROW()*0.001)</f>
        <v>43818.025000000001</v>
      </c>
      <c r="K25" s="11">
        <v>24</v>
      </c>
      <c r="L25" s="11">
        <v>2212</v>
      </c>
      <c r="M25" s="433">
        <f ca="1">IF(L25="",64,INDEX(OFFSET(Arb!$I$2,,,Arb!$AJ$5,),L25))</f>
        <v>52</v>
      </c>
      <c r="N25" s="693">
        <f ca="1">IF(L25="",60,INDEX(OFFSET(Arb!$H$2,,,Arb!$AJ$5,),L25))</f>
        <v>19.59</v>
      </c>
      <c r="O25" s="726">
        <f t="shared" ca="1" si="3"/>
        <v>2.6544155181214908</v>
      </c>
      <c r="P25" s="561">
        <f ca="1">IF(L25="","",INDEX(OFFSET(Arb!$X$2,,,Arb!$AJ$5,),L25)/N25)</f>
        <v>3.0627871362940278</v>
      </c>
      <c r="Q25" s="562">
        <f ca="1">IF(L25="","",(INDEX(OFFSET(Arb!$U$2,,,Arb!$AJ$5,),L25)+INDEX(OFFSET(Arb!$V$2,,,Arb!$AJ$5,),L25))/N25)</f>
        <v>3.624298111281266</v>
      </c>
      <c r="R25" s="33">
        <f t="shared" ca="1" si="4"/>
        <v>3.0231186851502039</v>
      </c>
      <c r="S25" s="774">
        <f t="shared" ca="1" si="5"/>
        <v>50.85146036612251</v>
      </c>
      <c r="T25" s="74">
        <f ca="1">IF(L25="","",DATE(INDEX(OFFSET(Arb!$C$2,,,Arb!$AJ$5,),L25),INDEX(OFFSET(Arb!$B$2,,,Arb!$AJ$5,),L25),INDEX(OFFSET(Arb!$A$2,,,Arb!$AJ$5,),L25))+ROW()*0.001)</f>
        <v>43869.025000000001</v>
      </c>
      <c r="U25" s="11">
        <v>24</v>
      </c>
      <c r="V25" s="11">
        <v>3237</v>
      </c>
      <c r="W25" s="433">
        <f ca="1">IF(V25="",164,INDEX(OFFSET(Arb!$I$2,,,Arb!$AJ$5,),V25))</f>
        <v>201</v>
      </c>
      <c r="X25" s="679">
        <f ca="1">IF(V25="",240,INDEX(OFFSET(Arb!$H$2,,,Arb!$AJ$5,),V25))</f>
        <v>72.66</v>
      </c>
      <c r="Y25" s="725">
        <f t="shared" ca="1" si="6"/>
        <v>2.7663088356729975</v>
      </c>
      <c r="Z25" s="561">
        <f ca="1">IF(V25="","",INDEX(OFFSET(Arb!$X$2,,,Arb!$AJ$5,),V25)/X25)</f>
        <v>3.2342416735480319</v>
      </c>
      <c r="AA25" s="724">
        <f ca="1">IF(V25="","",(INDEX(OFFSET(Arb!$U$2,,,Arb!$AJ$5,),V25)+INDEX(OFFSET(Arb!$V$2,,,Arb!$AJ$5,),V25))/X25)</f>
        <v>3.454445361959813</v>
      </c>
      <c r="AB25" s="33">
        <f t="shared" ca="1" si="7"/>
        <v>7.2611617557595283</v>
      </c>
      <c r="AC25" s="776">
        <f t="shared" ca="1" si="8"/>
        <v>59.90790656260463</v>
      </c>
      <c r="AD25" s="74">
        <f ca="1">IF(V25="","",DATE(INDEX(OFFSET(Arb!$C$2,,,Arb!$AJ$5,),V25),INDEX(OFFSET(Arb!$B$2,,,Arb!$AJ$5,),V25),INDEX(OFFSET(Arb!$A$2,,,Arb!$AJ$5,),V25))+ROW()*0.001)</f>
        <v>44064.025000000001</v>
      </c>
    </row>
    <row r="26" spans="1:30" x14ac:dyDescent="0.25">
      <c r="A26" s="11">
        <v>25</v>
      </c>
      <c r="B26" s="11">
        <v>1193</v>
      </c>
      <c r="C26" s="433">
        <f ca="1">IF(B26="",16,INDEX(OFFSET(Arb!$I$2,,,Arb!$AJ$5,),B26))</f>
        <v>15</v>
      </c>
      <c r="D26" s="560">
        <f ca="1">IF(B26="",10,INDEX(OFFSET(Arb!$H$2,,,Arb!$AJ$5,),B26))</f>
        <v>3.95</v>
      </c>
      <c r="E26" s="723">
        <f t="shared" ca="1" si="0"/>
        <v>3.7974683544303796</v>
      </c>
      <c r="F26" s="723">
        <f ca="1">IF(B26="","",INDEX(OFFSET(Arb!$X$2,,,Arb!$AJ$5,),B26)/D26)</f>
        <v>3.7974683544303796</v>
      </c>
      <c r="G26" s="563">
        <f ca="1">IF(B26="","",(INDEX(OFFSET(Arb!$U$2,,,Arb!$AJ$5,),B26)+INDEX(OFFSET(Arb!$V$2,,,Arb!$AJ$5,),B26))/D26)</f>
        <v>4.0506329113924044</v>
      </c>
      <c r="H26" s="33">
        <f t="shared" ca="1" si="1"/>
        <v>0.68884863714019029</v>
      </c>
      <c r="I26" s="775">
        <f t="shared" ca="1" si="2"/>
        <v>68.663850735577483</v>
      </c>
      <c r="J26" s="74">
        <f ca="1">IF(B26="","",DATE(INDEX(OFFSET(Arb!$C$2,,,Arb!$AJ$5,),B26),INDEX(OFFSET(Arb!$B$2,,,Arb!$AJ$5,),B26),INDEX(OFFSET(Arb!$A$2,,,Arb!$AJ$5,),B26))+ROW()*0.001)</f>
        <v>43893.025999999998</v>
      </c>
      <c r="K26" s="11">
        <v>25</v>
      </c>
      <c r="L26" s="11">
        <v>2329</v>
      </c>
      <c r="M26" s="433">
        <f ca="1">IF(L26="",64,INDEX(OFFSET(Arb!$I$2,,,Arb!$AJ$5,),L26))</f>
        <v>62</v>
      </c>
      <c r="N26" s="692">
        <f ca="1">IF(L26="",60,INDEX(OFFSET(Arb!$H$2,,,Arb!$AJ$5,),L26))</f>
        <v>21.75</v>
      </c>
      <c r="O26" s="725">
        <f t="shared" ca="1" si="3"/>
        <v>2.8505747126436782</v>
      </c>
      <c r="P26" s="724">
        <f ca="1">IF(L26="","",INDEX(OFFSET(Arb!$X$2,,,Arb!$AJ$5,),L26)/N26)</f>
        <v>3.3563218390804597</v>
      </c>
      <c r="Q26" s="723">
        <f ca="1">IF(L26="","",(INDEX(OFFSET(Arb!$U$2,,,Arb!$AJ$5,),L26)+INDEX(OFFSET(Arb!$V$2,,,Arb!$AJ$5,),L26))/N26)</f>
        <v>3.9540229885057472</v>
      </c>
      <c r="R26" s="33">
        <f t="shared" ca="1" si="4"/>
        <v>3.0289287306456654</v>
      </c>
      <c r="S26" s="774">
        <f t="shared" ca="1" si="5"/>
        <v>50.753917860335378</v>
      </c>
      <c r="T26" s="74">
        <f ca="1">IF(L26="","",DATE(INDEX(OFFSET(Arb!$C$2,,,Arb!$AJ$5,),L26),INDEX(OFFSET(Arb!$B$2,,,Arb!$AJ$5,),L26),INDEX(OFFSET(Arb!$A$2,,,Arb!$AJ$5,),L26))+ROW()*0.001)</f>
        <v>44090.025999999998</v>
      </c>
      <c r="U26" s="11">
        <v>25</v>
      </c>
      <c r="V26" s="11">
        <v>3447</v>
      </c>
      <c r="W26" s="433">
        <f ca="1">IF(V26="",164,INDEX(OFFSET(Arb!$I$2,,,Arb!$AJ$5,),V26))</f>
        <v>181</v>
      </c>
      <c r="X26" s="692">
        <f ca="1">IF(V26="",240,INDEX(OFFSET(Arb!$H$2,,,Arb!$AJ$5,),V26))</f>
        <v>68.349999999999994</v>
      </c>
      <c r="Y26" s="726">
        <f t="shared" ca="1" si="6"/>
        <v>2.6481346013167522</v>
      </c>
      <c r="Z26" s="725">
        <f ca="1">IF(V26="","",INDEX(OFFSET(Arb!$X$2,,,Arb!$AJ$5,),V26)/X26)</f>
        <v>2.8675932699341629</v>
      </c>
      <c r="AA26" s="561">
        <f ca="1">IF(V26="","",(INDEX(OFFSET(Arb!$U$2,,,Arb!$AJ$5,),V26)+INDEX(OFFSET(Arb!$V$2,,,Arb!$AJ$5,),V26))/X26)</f>
        <v>3.1894659839063646</v>
      </c>
      <c r="AB26" s="33">
        <f t="shared" ca="1" si="7"/>
        <v>7.2673639004196833</v>
      </c>
      <c r="AC26" s="776">
        <f t="shared" ca="1" si="8"/>
        <v>59.856779701767664</v>
      </c>
      <c r="AD26" s="74">
        <f ca="1">IF(V26="","",DATE(INDEX(OFFSET(Arb!$C$2,,,Arb!$AJ$5,),V26),INDEX(OFFSET(Arb!$B$2,,,Arb!$AJ$5,),V26),INDEX(OFFSET(Arb!$A$2,,,Arb!$AJ$5,),V26))+ROW()*0.001)</f>
        <v>44177.025999999998</v>
      </c>
    </row>
    <row r="27" spans="1:30" x14ac:dyDescent="0.25">
      <c r="A27" s="11">
        <v>26</v>
      </c>
      <c r="B27" s="11">
        <v>798</v>
      </c>
      <c r="C27" s="433">
        <f ca="1">IF(B27="",16,INDEX(OFFSET(Arb!$I$2,,,Arb!$AJ$5,),B27))</f>
        <v>14</v>
      </c>
      <c r="D27" s="560">
        <f ca="1">IF(B27="",10,INDEX(OFFSET(Arb!$H$2,,,Arb!$AJ$5,),B27))</f>
        <v>3.8</v>
      </c>
      <c r="E27" s="562">
        <f t="shared" ca="1" si="0"/>
        <v>3.6842105263157898</v>
      </c>
      <c r="F27" s="562">
        <f ca="1">IF(B27="","",INDEX(OFFSET(Arb!$X$2,,,Arb!$AJ$5,),B27)/D27)</f>
        <v>3.6842105263157898</v>
      </c>
      <c r="G27" s="564">
        <f ca="1">IF(B27="","",(INDEX(OFFSET(Arb!$U$2,,,Arb!$AJ$5,),B27)+INDEX(OFFSET(Arb!$V$2,,,Arb!$AJ$5,),B27))/D27)</f>
        <v>4.7368421052631584</v>
      </c>
      <c r="H27" s="33">
        <f t="shared" ca="1" si="1"/>
        <v>0.69104141912083172</v>
      </c>
      <c r="I27" s="775">
        <f t="shared" ca="1" si="2"/>
        <v>68.445969649945908</v>
      </c>
      <c r="J27" s="74">
        <f ca="1">IF(B27="","",DATE(INDEX(OFFSET(Arb!$C$2,,,Arb!$AJ$5,),B27),INDEX(OFFSET(Arb!$B$2,,,Arb!$AJ$5,),B27),INDEX(OFFSET(Arb!$A$2,,,Arb!$AJ$5,),B27))+ROW()*0.001)</f>
        <v>43811.027000000002</v>
      </c>
      <c r="K27" s="11">
        <v>26</v>
      </c>
      <c r="L27" s="11">
        <v>2373</v>
      </c>
      <c r="M27" s="433">
        <f ca="1">IF(L27="",64,INDEX(OFFSET(Arb!$I$2,,,Arb!$AJ$5,),L27))</f>
        <v>43</v>
      </c>
      <c r="N27" s="559">
        <f ca="1">IF(L27="",60,INDEX(OFFSET(Arb!$H$2,,,Arb!$AJ$5,),L27))</f>
        <v>17.57</v>
      </c>
      <c r="O27" s="769">
        <f t="shared" ca="1" si="3"/>
        <v>2.4473534433693795</v>
      </c>
      <c r="P27" s="561">
        <f ca="1">IF(L27="","",INDEX(OFFSET(Arb!$X$2,,,Arb!$AJ$5,),L27)/N27)</f>
        <v>3.1303357996585088</v>
      </c>
      <c r="Q27" s="562">
        <f ca="1">IF(L27="","",(INDEX(OFFSET(Arb!$U$2,,,Arb!$AJ$5,),L27)+INDEX(OFFSET(Arb!$V$2,,,Arb!$AJ$5,),L27))/N27)</f>
        <v>3.528742174160501</v>
      </c>
      <c r="R27" s="33">
        <f t="shared" ca="1" si="4"/>
        <v>3.038390146390173</v>
      </c>
      <c r="S27" s="774">
        <f t="shared" ca="1" si="5"/>
        <v>50.595872351232558</v>
      </c>
      <c r="T27" s="74">
        <f ca="1">IF(L27="","",DATE(INDEX(OFFSET(Arb!$C$2,,,Arb!$AJ$5,),L27),INDEX(OFFSET(Arb!$B$2,,,Arb!$AJ$5,),L27),INDEX(OFFSET(Arb!$A$2,,,Arb!$AJ$5,),L27))+ROW()*0.001)</f>
        <v>44114.027000000002</v>
      </c>
      <c r="U27" s="11">
        <v>26</v>
      </c>
      <c r="V27" s="11">
        <v>3299</v>
      </c>
      <c r="W27" s="433">
        <f ca="1">IF(V27="",164,INDEX(OFFSET(Arb!$I$2,,,Arb!$AJ$5,),V27))</f>
        <v>202</v>
      </c>
      <c r="X27" s="679">
        <f ca="1">IF(V27="",240,INDEX(OFFSET(Arb!$H$2,,,Arb!$AJ$5,),V27))</f>
        <v>73.099999999999994</v>
      </c>
      <c r="Y27" s="725">
        <f t="shared" ca="1" si="6"/>
        <v>2.7633378932968538</v>
      </c>
      <c r="Z27" s="724">
        <f ca="1">IF(V27="","",INDEX(OFFSET(Arb!$X$2,,,Arb!$AJ$5,),V27)/X27)</f>
        <v>3.2831737346101235</v>
      </c>
      <c r="AA27" s="562">
        <f ca="1">IF(V27="","",(INDEX(OFFSET(Arb!$U$2,,,Arb!$AJ$5,),V27)+INDEX(OFFSET(Arb!$V$2,,,Arb!$AJ$5,),V27))/X27)</f>
        <v>3.5294117647058827</v>
      </c>
      <c r="AB27" s="33">
        <f t="shared" ca="1" si="7"/>
        <v>7.2997531030584328</v>
      </c>
      <c r="AC27" s="776">
        <f t="shared" ca="1" si="8"/>
        <v>59.591193545675445</v>
      </c>
      <c r="AD27" s="74">
        <f ca="1">IF(V27="","",DATE(INDEX(OFFSET(Arb!$C$2,,,Arb!$AJ$5,),V27),INDEX(OFFSET(Arb!$B$2,,,Arb!$AJ$5,),V27),INDEX(OFFSET(Arb!$A$2,,,Arb!$AJ$5,),V27))+ROW()*0.001)</f>
        <v>44090.027000000002</v>
      </c>
    </row>
    <row r="28" spans="1:30" x14ac:dyDescent="0.25">
      <c r="A28" s="11">
        <v>27</v>
      </c>
      <c r="B28" s="11">
        <v>1405</v>
      </c>
      <c r="C28" s="433">
        <f ca="1">IF(B28="",16,INDEX(OFFSET(Arb!$I$2,,,Arb!$AJ$5,),B28))</f>
        <v>11</v>
      </c>
      <c r="D28" s="686">
        <f ca="1">IF(B28="",10,INDEX(OFFSET(Arb!$H$2,,,Arb!$AJ$5,),B28))</f>
        <v>3.3</v>
      </c>
      <c r="E28" s="724">
        <f t="shared" ca="1" si="0"/>
        <v>3.3333333333333335</v>
      </c>
      <c r="F28" s="563">
        <f ca="1">IF(B28="","",INDEX(OFFSET(Arb!$X$2,,,Arb!$AJ$5,),B28)/D28)</f>
        <v>4.2424242424242422</v>
      </c>
      <c r="G28" s="565">
        <f ca="1">IF(B28="","",(INDEX(OFFSET(Arb!$U$2,,,Arb!$AJ$5,),B28)+INDEX(OFFSET(Arb!$V$2,,,Arb!$AJ$5,),B28))/D28)</f>
        <v>5.1515151515151514</v>
      </c>
      <c r="H28" s="33">
        <f t="shared" ca="1" si="1"/>
        <v>0.69196003605674161</v>
      </c>
      <c r="I28" s="775">
        <f t="shared" ca="1" si="2"/>
        <v>68.355103669775261</v>
      </c>
      <c r="J28" s="74">
        <f ca="1">IF(B28="","",DATE(INDEX(OFFSET(Arb!$C$2,,,Arb!$AJ$5,),B28),INDEX(OFFSET(Arb!$B$2,,,Arb!$AJ$5,),B28),INDEX(OFFSET(Arb!$A$2,,,Arb!$AJ$5,),B28))+ROW()*0.001)</f>
        <v>43940.027999999998</v>
      </c>
      <c r="K28" s="11">
        <v>27</v>
      </c>
      <c r="L28" s="11">
        <v>2215</v>
      </c>
      <c r="M28" s="433">
        <f ca="1">IF(L28="",64,INDEX(OFFSET(Arb!$I$2,,,Arb!$AJ$5,),L28))</f>
        <v>54</v>
      </c>
      <c r="N28" s="691">
        <f ca="1">IF(L28="",60,INDEX(OFFSET(Arb!$H$2,,,Arb!$AJ$5,),L28))</f>
        <v>20.09</v>
      </c>
      <c r="O28" s="726">
        <f t="shared" ca="1" si="3"/>
        <v>2.6879044300647088</v>
      </c>
      <c r="P28" s="724">
        <f ca="1">IF(L28="","",INDEX(OFFSET(Arb!$X$2,,,Arb!$AJ$5,),L28)/N28)</f>
        <v>3.3847685415629667</v>
      </c>
      <c r="Q28" s="562">
        <f ca="1">IF(L28="","",(INDEX(OFFSET(Arb!$U$2,,,Arb!$AJ$5,),L28)+INDEX(OFFSET(Arb!$V$2,,,Arb!$AJ$5,),L28))/N28)</f>
        <v>3.7332005973120954</v>
      </c>
      <c r="R28" s="33">
        <f t="shared" ca="1" si="4"/>
        <v>3.0385901987496711</v>
      </c>
      <c r="S28" s="774">
        <f t="shared" ca="1" si="5"/>
        <v>50.592541259185694</v>
      </c>
      <c r="T28" s="74">
        <f ca="1">IF(L28="","",DATE(INDEX(OFFSET(Arb!$C$2,,,Arb!$AJ$5,),L28),INDEX(OFFSET(Arb!$B$2,,,Arb!$AJ$5,),L28),INDEX(OFFSET(Arb!$A$2,,,Arb!$AJ$5,),L28))+ROW()*0.001)</f>
        <v>43870.027999999998</v>
      </c>
      <c r="U28" s="11">
        <v>27</v>
      </c>
      <c r="V28" s="11">
        <v>3185</v>
      </c>
      <c r="W28" s="433">
        <f ca="1">IF(V28="",164,INDEX(OFFSET(Arb!$I$2,,,Arb!$AJ$5,),V28))</f>
        <v>187</v>
      </c>
      <c r="X28" s="679">
        <f ca="1">IF(V28="",240,INDEX(OFFSET(Arb!$H$2,,,Arb!$AJ$5,),V28))</f>
        <v>69.86</v>
      </c>
      <c r="Y28" s="726">
        <f t="shared" ca="1" si="6"/>
        <v>2.6767821356999715</v>
      </c>
      <c r="Z28" s="561">
        <f ca="1">IF(V28="","",INDEX(OFFSET(Arb!$X$2,,,Arb!$AJ$5,),V28)/X28)</f>
        <v>3.2064128256513027</v>
      </c>
      <c r="AA28" s="724">
        <f ca="1">IF(V28="","",(INDEX(OFFSET(Arb!$U$2,,,Arb!$AJ$5,),V28)+INDEX(OFFSET(Arb!$V$2,,,Arb!$AJ$5,),V28))/X28)</f>
        <v>3.4354423131978242</v>
      </c>
      <c r="AB28" s="33">
        <f t="shared" ca="1" si="7"/>
        <v>7.300405467384401</v>
      </c>
      <c r="AC28" s="776">
        <f t="shared" ca="1" si="8"/>
        <v>59.585868475857779</v>
      </c>
      <c r="AD28" s="74">
        <f ca="1">IF(V28="","",DATE(INDEX(OFFSET(Arb!$C$2,,,Arb!$AJ$5,),V28),INDEX(OFFSET(Arb!$B$2,,,Arb!$AJ$5,),V28),INDEX(OFFSET(Arb!$A$2,,,Arb!$AJ$5,),V28))+ROW()*0.001)</f>
        <v>44052.027999999998</v>
      </c>
    </row>
    <row r="29" spans="1:30" x14ac:dyDescent="0.25">
      <c r="A29" s="11">
        <v>28</v>
      </c>
      <c r="B29" s="11">
        <v>446</v>
      </c>
      <c r="C29" s="433">
        <f ca="1">IF(B29="",16,INDEX(OFFSET(Arb!$I$2,,,Arb!$AJ$5,),B29))</f>
        <v>18</v>
      </c>
      <c r="D29" s="683">
        <f ca="1">IF(B29="",10,INDEX(OFFSET(Arb!$H$2,,,Arb!$AJ$5,),B29))</f>
        <v>4.41</v>
      </c>
      <c r="E29" s="563">
        <f t="shared" ca="1" si="0"/>
        <v>4.0816326530612246</v>
      </c>
      <c r="F29" s="563">
        <f ca="1">IF(B29="","",INDEX(OFFSET(Arb!$X$2,,,Arb!$AJ$5,),B29)/D29)</f>
        <v>4.0816326530612246</v>
      </c>
      <c r="G29" s="564">
        <f ca="1">IF(B29="","",(INDEX(OFFSET(Arb!$U$2,,,Arb!$AJ$5,),B29)+INDEX(OFFSET(Arb!$V$2,,,Arb!$AJ$5,),B29))/D29)</f>
        <v>4.5351473922902494</v>
      </c>
      <c r="H29" s="33">
        <f t="shared" ca="1" si="1"/>
        <v>0.69226615115262069</v>
      </c>
      <c r="I29" s="775">
        <f t="shared" ca="1" si="2"/>
        <v>68.324877536258754</v>
      </c>
      <c r="J29" s="74">
        <f ca="1">IF(B29="","",DATE(INDEX(OFFSET(Arb!$C$2,,,Arb!$AJ$5,),B29),INDEX(OFFSET(Arb!$B$2,,,Arb!$AJ$5,),B29),INDEX(OFFSET(Arb!$A$2,,,Arb!$AJ$5,),B29))+ROW()*0.001)</f>
        <v>43782.029000000002</v>
      </c>
      <c r="K29" s="11">
        <v>28</v>
      </c>
      <c r="L29" s="11">
        <v>1941</v>
      </c>
      <c r="M29" s="433">
        <f ca="1">IF(L29="",64,INDEX(OFFSET(Arb!$I$2,,,Arb!$AJ$5,),L29))</f>
        <v>66</v>
      </c>
      <c r="N29" s="679">
        <f ca="1">IF(L29="",60,INDEX(OFFSET(Arb!$H$2,,,Arb!$AJ$5,),L29))</f>
        <v>22.67</v>
      </c>
      <c r="O29" s="725">
        <f t="shared" ca="1" si="3"/>
        <v>2.911336568151742</v>
      </c>
      <c r="P29" s="724">
        <f ca="1">IF(L29="","",INDEX(OFFSET(Arb!$X$2,,,Arb!$AJ$5,),L29)/N29)</f>
        <v>3.3524481693868546</v>
      </c>
      <c r="Q29" s="562">
        <f ca="1">IF(L29="","",(INDEX(OFFSET(Arb!$U$2,,,Arb!$AJ$5,),L29)+INDEX(OFFSET(Arb!$V$2,,,Arb!$AJ$5,),L29))/N29)</f>
        <v>3.6612262902514332</v>
      </c>
      <c r="R29" s="33">
        <f t="shared" ca="1" si="4"/>
        <v>3.0529778166891304</v>
      </c>
      <c r="S29" s="774">
        <f t="shared" ca="1" si="5"/>
        <v>50.354116285953204</v>
      </c>
      <c r="T29" s="74">
        <f ca="1">IF(L29="","",DATE(INDEX(OFFSET(Arb!$C$2,,,Arb!$AJ$5,),L29),INDEX(OFFSET(Arb!$B$2,,,Arb!$AJ$5,),L29),INDEX(OFFSET(Arb!$A$2,,,Arb!$AJ$5,),L29))+ROW()*0.001)</f>
        <v>43773.029000000002</v>
      </c>
      <c r="U29" s="11">
        <v>28</v>
      </c>
      <c r="V29" s="11">
        <v>3386</v>
      </c>
      <c r="W29" s="433">
        <f ca="1">IF(V29="",164,INDEX(OFFSET(Arb!$I$2,,,Arb!$AJ$5,),V29))</f>
        <v>174</v>
      </c>
      <c r="X29" s="692">
        <f ca="1">IF(V29="",240,INDEX(OFFSET(Arb!$H$2,,,Arb!$AJ$5,),V29))</f>
        <v>66.98</v>
      </c>
      <c r="Y29" s="726">
        <f t="shared" ca="1" si="6"/>
        <v>2.5977903851896085</v>
      </c>
      <c r="Z29" s="725">
        <f ca="1">IF(V29="","",INDEX(OFFSET(Arb!$X$2,,,Arb!$AJ$5,),V29)/X29)</f>
        <v>2.8814571513884739</v>
      </c>
      <c r="AA29" s="724">
        <f ca="1">IF(V29="","",(INDEX(OFFSET(Arb!$U$2,,,Arb!$AJ$5,),V29)+INDEX(OFFSET(Arb!$V$2,,,Arb!$AJ$5,),V29))/X29)</f>
        <v>3.3741415347865034</v>
      </c>
      <c r="AB29" s="33">
        <f t="shared" ca="1" si="7"/>
        <v>7.3039450158052679</v>
      </c>
      <c r="AC29" s="776">
        <f t="shared" ca="1" si="8"/>
        <v>59.556992701709248</v>
      </c>
      <c r="AD29" s="74">
        <f ca="1">IF(V29="","",DATE(INDEX(OFFSET(Arb!$C$2,,,Arb!$AJ$5,),V29),INDEX(OFFSET(Arb!$B$2,,,Arb!$AJ$5,),V29),INDEX(OFFSET(Arb!$A$2,,,Arb!$AJ$5,),V29))+ROW()*0.001)</f>
        <v>44137.029000000002</v>
      </c>
    </row>
    <row r="30" spans="1:30" x14ac:dyDescent="0.25">
      <c r="A30" s="11">
        <v>29</v>
      </c>
      <c r="B30" s="11">
        <v>1560</v>
      </c>
      <c r="C30" s="433">
        <f ca="1">IF(B30="",16,INDEX(OFFSET(Arb!$I$2,,,Arb!$AJ$5,),B30))</f>
        <v>12</v>
      </c>
      <c r="D30" s="560">
        <f ca="1">IF(B30="",10,INDEX(OFFSET(Arb!$H$2,,,Arb!$AJ$5,),B30))</f>
        <v>3.5</v>
      </c>
      <c r="E30" s="724">
        <f t="shared" ca="1" si="0"/>
        <v>3.4285714285714284</v>
      </c>
      <c r="F30" s="724">
        <f ca="1">IF(B30="","",INDEX(OFFSET(Arb!$X$2,,,Arb!$AJ$5,),B30)/D30)</f>
        <v>3.4285714285714284</v>
      </c>
      <c r="G30" s="562">
        <f ca="1">IF(B30="","",(INDEX(OFFSET(Arb!$U$2,,,Arb!$AJ$5,),B30)+INDEX(OFFSET(Arb!$V$2,,,Arb!$AJ$5,),B30))/D30)</f>
        <v>3.7142857142857144</v>
      </c>
      <c r="H30" s="33">
        <f t="shared" ca="1" si="1"/>
        <v>0.70102649031028486</v>
      </c>
      <c r="I30" s="775">
        <f t="shared" ca="1" si="2"/>
        <v>67.471059444650592</v>
      </c>
      <c r="J30" s="74">
        <f ca="1">IF(B30="","",DATE(INDEX(OFFSET(Arb!$C$2,,,Arb!$AJ$5,),B30),INDEX(OFFSET(Arb!$B$2,,,Arb!$AJ$5,),B30),INDEX(OFFSET(Arb!$A$2,,,Arb!$AJ$5,),B30))+ROW()*0.001)</f>
        <v>43989.03</v>
      </c>
      <c r="K30" s="11">
        <v>29</v>
      </c>
      <c r="L30" s="11">
        <v>2142</v>
      </c>
      <c r="M30" s="433">
        <f ca="1">IF(L30="",64,INDEX(OFFSET(Arb!$I$2,,,Arb!$AJ$5,),L30))</f>
        <v>59</v>
      </c>
      <c r="N30" s="692">
        <f ca="1">IF(L30="",60,INDEX(OFFSET(Arb!$H$2,,,Arb!$AJ$5,),L30))</f>
        <v>21.36</v>
      </c>
      <c r="O30" s="725">
        <f t="shared" ca="1" si="3"/>
        <v>2.762172284644195</v>
      </c>
      <c r="P30" s="561">
        <f ca="1">IF(L30="","",INDEX(OFFSET(Arb!$X$2,,,Arb!$AJ$5,),L30)/N30)</f>
        <v>3.0430711610486894</v>
      </c>
      <c r="Q30" s="724">
        <f ca="1">IF(L30="","",(INDEX(OFFSET(Arb!$U$2,,,Arb!$AJ$5,),L30)+INDEX(OFFSET(Arb!$V$2,,,Arb!$AJ$5,),L30))/N30)</f>
        <v>3.464419475655431</v>
      </c>
      <c r="R30" s="33">
        <f t="shared" ca="1" si="4"/>
        <v>3.0865272144042475</v>
      </c>
      <c r="S30" s="777">
        <f t="shared" ca="1" si="5"/>
        <v>49.806785853878338</v>
      </c>
      <c r="T30" s="74">
        <f ca="1">IF(L30="","",DATE(INDEX(OFFSET(Arb!$C$2,,,Arb!$AJ$5,),L30),INDEX(OFFSET(Arb!$B$2,,,Arb!$AJ$5,),L30),INDEX(OFFSET(Arb!$A$2,,,Arb!$AJ$5,),L30))+ROW()*0.001)</f>
        <v>43817.03</v>
      </c>
      <c r="U30" s="11">
        <v>29</v>
      </c>
      <c r="V30" s="11">
        <v>2869</v>
      </c>
      <c r="W30" s="433">
        <f ca="1">IF(V30="",164,INDEX(OFFSET(Arb!$I$2,,,Arb!$AJ$5,),V30))</f>
        <v>195</v>
      </c>
      <c r="X30" s="679">
        <f ca="1">IF(V30="",240,INDEX(OFFSET(Arb!$H$2,,,Arb!$AJ$5,),V30))</f>
        <v>71.650000000000006</v>
      </c>
      <c r="Y30" s="726">
        <f t="shared" ca="1" si="6"/>
        <v>2.7215631542219119</v>
      </c>
      <c r="Z30" s="561">
        <f ca="1">IF(V30="","",INDEX(OFFSET(Arb!$X$2,,,Arb!$AJ$5,),V30)/X30)</f>
        <v>3.1402651779483599</v>
      </c>
      <c r="AA30" s="724">
        <f ca="1">IF(V30="","",(INDEX(OFFSET(Arb!$U$2,,,Arb!$AJ$5,),V30)+INDEX(OFFSET(Arb!$V$2,,,Arb!$AJ$5,),V30))/X30)</f>
        <v>3.3775296580600136</v>
      </c>
      <c r="AB30" s="33">
        <f t="shared" ca="1" si="7"/>
        <v>7.3085785620843566</v>
      </c>
      <c r="AC30" s="776">
        <f t="shared" ca="1" si="8"/>
        <v>59.519234322349632</v>
      </c>
      <c r="AD30" s="74">
        <f ca="1">IF(V30="","",DATE(INDEX(OFFSET(Arb!$C$2,,,Arb!$AJ$5,),V30),INDEX(OFFSET(Arb!$B$2,,,Arb!$AJ$5,),V30),INDEX(OFFSET(Arb!$A$2,,,Arb!$AJ$5,),V30))+ROW()*0.001)</f>
        <v>43911.03</v>
      </c>
    </row>
    <row r="31" spans="1:30" x14ac:dyDescent="0.25">
      <c r="A31" s="11">
        <v>30</v>
      </c>
      <c r="B31" s="11">
        <v>1595</v>
      </c>
      <c r="C31" s="433">
        <f ca="1">IF(B31="",16,INDEX(OFFSET(Arb!$I$2,,,Arb!$AJ$5,),B31))</f>
        <v>24</v>
      </c>
      <c r="D31" s="684">
        <f ca="1">IF(B31="",10,INDEX(OFFSET(Arb!$H$2,,,Arb!$AJ$5,),B31))</f>
        <v>5.28</v>
      </c>
      <c r="E31" s="564">
        <f t="shared" ca="1" si="0"/>
        <v>4.545454545454545</v>
      </c>
      <c r="F31" s="564">
        <f ca="1">IF(B31="","",INDEX(OFFSET(Arb!$X$2,,,Arb!$AJ$5,),B31)/D31)</f>
        <v>4.7348484848484844</v>
      </c>
      <c r="G31" s="565">
        <f ca="1">IF(B31="","",(INDEX(OFFSET(Arb!$U$2,,,Arb!$AJ$5,),B31)+INDEX(OFFSET(Arb!$V$2,,,Arb!$AJ$5,),B31))/D31)</f>
        <v>5.1136363636363633</v>
      </c>
      <c r="H31" s="33">
        <f t="shared" ca="1" si="1"/>
        <v>0.70512550959045417</v>
      </c>
      <c r="I31" s="775">
        <f t="shared" ca="1" si="2"/>
        <v>67.078838244657831</v>
      </c>
      <c r="J31" s="74">
        <f ca="1">IF(B31="","",DATE(INDEX(OFFSET(Arb!$C$2,,,Arb!$AJ$5,),B31),INDEX(OFFSET(Arb!$B$2,,,Arb!$AJ$5,),B31),INDEX(OFFSET(Arb!$A$2,,,Arb!$AJ$5,),B31))+ROW()*0.001)</f>
        <v>44054.031000000003</v>
      </c>
      <c r="K31" s="11">
        <v>30</v>
      </c>
      <c r="L31" s="11">
        <v>2235</v>
      </c>
      <c r="M31" s="433">
        <f ca="1">IF(L31="",64,INDEX(OFFSET(Arb!$I$2,,,Arb!$AJ$5,),L31))</f>
        <v>68</v>
      </c>
      <c r="N31" s="679">
        <f ca="1">IF(L31="",60,INDEX(OFFSET(Arb!$H$2,,,Arb!$AJ$5,),L31))</f>
        <v>23.25</v>
      </c>
      <c r="O31" s="725">
        <f t="shared" ca="1" si="3"/>
        <v>2.924731182795699</v>
      </c>
      <c r="P31" s="562">
        <f ca="1">IF(L31="","",INDEX(OFFSET(Arb!$X$2,,,Arb!$AJ$5,),L31)/N31)</f>
        <v>3.5268817204301075</v>
      </c>
      <c r="Q31" s="723">
        <f ca="1">IF(L31="","",(INDEX(OFFSET(Arb!$U$2,,,Arb!$AJ$5,),L31)+INDEX(OFFSET(Arb!$V$2,,,Arb!$AJ$5,),L31))/N31)</f>
        <v>3.870967741935484</v>
      </c>
      <c r="R31" s="33">
        <f t="shared" ca="1" si="4"/>
        <v>3.0932150500874243</v>
      </c>
      <c r="S31" s="777">
        <f t="shared" ca="1" si="5"/>
        <v>49.699098675876122</v>
      </c>
      <c r="T31" s="74">
        <f ca="1">IF(L31="","",DATE(INDEX(OFFSET(Arb!$C$2,,,Arb!$AJ$5,),L31),INDEX(OFFSET(Arb!$B$2,,,Arb!$AJ$5,),L31),INDEX(OFFSET(Arb!$A$2,,,Arb!$AJ$5,),L31))+ROW()*0.001)</f>
        <v>43890.031000000003</v>
      </c>
      <c r="U31" s="11">
        <v>30</v>
      </c>
      <c r="V31" s="11">
        <v>3349</v>
      </c>
      <c r="W31" s="433">
        <f ca="1">IF(V31="",164,INDEX(OFFSET(Arb!$I$2,,,Arb!$AJ$5,),V31))</f>
        <v>181</v>
      </c>
      <c r="X31" s="692">
        <f ca="1">IF(V31="",240,INDEX(OFFSET(Arb!$H$2,,,Arb!$AJ$5,),V31))</f>
        <v>68.599999999999994</v>
      </c>
      <c r="Y31" s="726">
        <f t="shared" ca="1" si="6"/>
        <v>2.6384839650145775</v>
      </c>
      <c r="Z31" s="561">
        <f ca="1">IF(V31="","",INDEX(OFFSET(Arb!$X$2,,,Arb!$AJ$5,),V31)/X31)</f>
        <v>3.0320699708454812</v>
      </c>
      <c r="AA31" s="724">
        <f ca="1">IF(V31="","",(INDEX(OFFSET(Arb!$U$2,,,Arb!$AJ$5,),V31)+INDEX(OFFSET(Arb!$V$2,,,Arb!$AJ$5,),V31))/X31)</f>
        <v>3.4110787172011663</v>
      </c>
      <c r="AB31" s="33">
        <f t="shared" ca="1" si="7"/>
        <v>7.3126101652534672</v>
      </c>
      <c r="AC31" s="776">
        <f t="shared" ca="1" si="8"/>
        <v>59.486420056541071</v>
      </c>
      <c r="AD31" s="74">
        <f ca="1">IF(V31="","",DATE(INDEX(OFFSET(Arb!$C$2,,,Arb!$AJ$5,),V31),INDEX(OFFSET(Arb!$B$2,,,Arb!$AJ$5,),V31),INDEX(OFFSET(Arb!$A$2,,,Arb!$AJ$5,),V31))+ROW()*0.001)</f>
        <v>44098.031000000003</v>
      </c>
    </row>
    <row r="32" spans="1:30" x14ac:dyDescent="0.25">
      <c r="A32" s="11">
        <v>31</v>
      </c>
      <c r="B32" s="11">
        <v>15</v>
      </c>
      <c r="C32" s="433">
        <f ca="1">IF(B32="",16,INDEX(OFFSET(Arb!$I$2,,,Arb!$AJ$5,),B32))</f>
        <v>16</v>
      </c>
      <c r="D32" s="683">
        <f ca="1">IF(B32="",10,INDEX(OFFSET(Arb!$H$2,,,Arb!$AJ$5,),B32))</f>
        <v>4.16</v>
      </c>
      <c r="E32" s="723">
        <f t="shared" ca="1" si="0"/>
        <v>3.8461538461538458</v>
      </c>
      <c r="F32" s="564">
        <f ca="1">IF(B32="","",INDEX(OFFSET(Arb!$X$2,,,Arb!$AJ$5,),B32)/D32)</f>
        <v>4.5673076923076925</v>
      </c>
      <c r="G32" s="772">
        <f ca="1">IF(B32="","",(INDEX(OFFSET(Arb!$U$2,,,Arb!$AJ$5,),B32)+INDEX(OFFSET(Arb!$V$2,,,Arb!$AJ$5,),B32))/D32)</f>
        <v>5.2884615384615383</v>
      </c>
      <c r="H32" s="33">
        <f t="shared" ca="1" si="1"/>
        <v>0.70524282984760323</v>
      </c>
      <c r="I32" s="775">
        <f t="shared" ca="1" si="2"/>
        <v>67.067679383881</v>
      </c>
      <c r="J32" s="74">
        <f ca="1">IF(B32="","",DATE(INDEX(OFFSET(Arb!$C$2,,,Arb!$AJ$5,),B32),INDEX(OFFSET(Arb!$B$2,,,Arb!$AJ$5,),B32),INDEX(OFFSET(Arb!$A$2,,,Arb!$AJ$5,),B32))+ROW()*0.001)</f>
        <v>43765.031999999999</v>
      </c>
      <c r="K32" s="11">
        <v>31</v>
      </c>
      <c r="L32" s="11">
        <v>2240</v>
      </c>
      <c r="M32" s="433">
        <f ca="1">IF(L32="",64,INDEX(OFFSET(Arb!$I$2,,,Arb!$AJ$5,),L32))</f>
        <v>62</v>
      </c>
      <c r="N32" s="679">
        <f ca="1">IF(L32="",60,INDEX(OFFSET(Arb!$H$2,,,Arb!$AJ$5,),L32))</f>
        <v>22.03</v>
      </c>
      <c r="O32" s="725">
        <f t="shared" ca="1" si="3"/>
        <v>2.8143440762596459</v>
      </c>
      <c r="P32" s="561">
        <f ca="1">IF(L32="","",INDEX(OFFSET(Arb!$X$2,,,Arb!$AJ$5,),L32)/N32)</f>
        <v>3.1320926009986381</v>
      </c>
      <c r="Q32" s="724">
        <f ca="1">IF(L32="","",(INDEX(OFFSET(Arb!$U$2,,,Arb!$AJ$5,),L32)+INDEX(OFFSET(Arb!$V$2,,,Arb!$AJ$5,),L32))/N32)</f>
        <v>3.4498411257376302</v>
      </c>
      <c r="R32" s="33">
        <f t="shared" ca="1" si="4"/>
        <v>3.0955153053103679</v>
      </c>
      <c r="S32" s="777">
        <f t="shared" ca="1" si="5"/>
        <v>49.662167632082323</v>
      </c>
      <c r="T32" s="74">
        <f ca="1">IF(L32="","",DATE(INDEX(OFFSET(Arb!$C$2,,,Arb!$AJ$5,),L32),INDEX(OFFSET(Arb!$B$2,,,Arb!$AJ$5,),L32),INDEX(OFFSET(Arb!$A$2,,,Arb!$AJ$5,),L32))+ROW()*0.001)</f>
        <v>43890.031999999999</v>
      </c>
      <c r="U32" s="11">
        <v>31</v>
      </c>
      <c r="V32" s="11">
        <v>3284</v>
      </c>
      <c r="W32" s="433">
        <f ca="1">IF(V32="",164,INDEX(OFFSET(Arb!$I$2,,,Arb!$AJ$5,),V32))</f>
        <v>188</v>
      </c>
      <c r="X32" s="679">
        <f ca="1">IF(V32="",240,INDEX(OFFSET(Arb!$H$2,,,Arb!$AJ$5,),V32))</f>
        <v>70.16</v>
      </c>
      <c r="Y32" s="726">
        <f t="shared" ca="1" si="6"/>
        <v>2.6795895096921325</v>
      </c>
      <c r="Z32" s="561">
        <f ca="1">IF(V32="","",INDEX(OFFSET(Arb!$X$2,,,Arb!$AJ$5,),V32)/X32)</f>
        <v>3.0929304446978336</v>
      </c>
      <c r="AA32" s="724">
        <f ca="1">IF(V32="","",(INDEX(OFFSET(Arb!$U$2,,,Arb!$AJ$5,),V32)+INDEX(OFFSET(Arb!$V$2,,,Arb!$AJ$5,),V32))/X32)</f>
        <v>3.3494868871151655</v>
      </c>
      <c r="AB32" s="33">
        <f t="shared" ca="1" si="7"/>
        <v>7.3146649397584431</v>
      </c>
      <c r="AC32" s="776">
        <f t="shared" ca="1" si="8"/>
        <v>59.469709628882235</v>
      </c>
      <c r="AD32" s="74">
        <f ca="1">IF(V32="","",DATE(INDEX(OFFSET(Arb!$C$2,,,Arb!$AJ$5,),V32),INDEX(OFFSET(Arb!$B$2,,,Arb!$AJ$5,),V32),INDEX(OFFSET(Arb!$A$2,,,Arb!$AJ$5,),V32))+ROW()*0.001)</f>
        <v>44083.031999999999</v>
      </c>
    </row>
    <row r="33" spans="1:30" x14ac:dyDescent="0.25">
      <c r="A33" s="11">
        <v>32</v>
      </c>
      <c r="B33" s="11">
        <v>1608</v>
      </c>
      <c r="C33" s="433">
        <f ca="1">IF(B33="",16,INDEX(OFFSET(Arb!$I$2,,,Arb!$AJ$5,),B33))</f>
        <v>14</v>
      </c>
      <c r="D33" s="560">
        <f ca="1">IF(B33="",10,INDEX(OFFSET(Arb!$H$2,,,Arb!$AJ$5,),B33))</f>
        <v>3.85</v>
      </c>
      <c r="E33" s="562">
        <f t="shared" ca="1" si="0"/>
        <v>3.6363636363636362</v>
      </c>
      <c r="F33" s="564">
        <f ca="1">IF(B33="","",INDEX(OFFSET(Arb!$X$2,,,Arb!$AJ$5,),B33)/D33)</f>
        <v>4.6753246753246751</v>
      </c>
      <c r="G33" s="565">
        <f ca="1">IF(B33="","",(INDEX(OFFSET(Arb!$U$2,,,Arb!$AJ$5,),B33)+INDEX(OFFSET(Arb!$V$2,,,Arb!$AJ$5,),B33))/D33)</f>
        <v>5.1948051948051948</v>
      </c>
      <c r="H33" s="33">
        <f t="shared" ca="1" si="1"/>
        <v>0.70657001716129886</v>
      </c>
      <c r="I33" s="775">
        <f t="shared" ca="1" si="2"/>
        <v>66.941702663845675</v>
      </c>
      <c r="J33" s="74">
        <f ca="1">IF(B33="","",DATE(INDEX(OFFSET(Arb!$C$2,,,Arb!$AJ$5,),B33),INDEX(OFFSET(Arb!$B$2,,,Arb!$AJ$5,),B33),INDEX(OFFSET(Arb!$A$2,,,Arb!$AJ$5,),B33))+ROW()*0.001)</f>
        <v>44062.033000000003</v>
      </c>
      <c r="K33" s="11">
        <v>32</v>
      </c>
      <c r="L33" s="11">
        <v>2306</v>
      </c>
      <c r="M33" s="433">
        <f ca="1">IF(L33="",64,INDEX(OFFSET(Arb!$I$2,,,Arb!$AJ$5,),L33))</f>
        <v>64</v>
      </c>
      <c r="N33" s="679">
        <f ca="1">IF(L33="",60,INDEX(OFFSET(Arb!$H$2,,,Arb!$AJ$5,),L33))</f>
        <v>22.52</v>
      </c>
      <c r="O33" s="725">
        <f t="shared" ca="1" si="3"/>
        <v>2.8419182948490231</v>
      </c>
      <c r="P33" s="724">
        <f ca="1">IF(L33="","",INDEX(OFFSET(Arb!$X$2,,,Arb!$AJ$5,),L33)/N33)</f>
        <v>3.374777975133215</v>
      </c>
      <c r="Q33" s="723">
        <f ca="1">IF(L33="","",(INDEX(OFFSET(Arb!$U$2,,,Arb!$AJ$5,),L33)+INDEX(OFFSET(Arb!$V$2,,,Arb!$AJ$5,),L33))/N33)</f>
        <v>3.7744227353463589</v>
      </c>
      <c r="R33" s="33">
        <f t="shared" ca="1" si="4"/>
        <v>3.1130513361043426</v>
      </c>
      <c r="S33" s="777">
        <f t="shared" ca="1" si="5"/>
        <v>49.382417249943899</v>
      </c>
      <c r="T33" s="74">
        <f ca="1">IF(L33="","",DATE(INDEX(OFFSET(Arb!$C$2,,,Arb!$AJ$5,),L33),INDEX(OFFSET(Arb!$B$2,,,Arb!$AJ$5,),L33),INDEX(OFFSET(Arb!$A$2,,,Arb!$AJ$5,),L33))+ROW()*0.001)</f>
        <v>43950.033000000003</v>
      </c>
      <c r="U33" s="11">
        <v>32</v>
      </c>
      <c r="V33" s="11">
        <v>3435</v>
      </c>
      <c r="W33" s="433">
        <f ca="1">IF(V33="",164,INDEX(OFFSET(Arb!$I$2,,,Arb!$AJ$5,),V33))</f>
        <v>166</v>
      </c>
      <c r="X33" s="691">
        <f ca="1">IF(V33="",240,INDEX(OFFSET(Arb!$H$2,,,Arb!$AJ$5,),V33))</f>
        <v>65.510000000000005</v>
      </c>
      <c r="Y33" s="726">
        <f t="shared" ca="1" si="6"/>
        <v>2.533964280262555</v>
      </c>
      <c r="Z33" s="726">
        <f ca="1">IF(V33="","",INDEX(OFFSET(Arb!$X$2,,,Arb!$AJ$5,),V33)/X33)</f>
        <v>2.7476721111280717</v>
      </c>
      <c r="AA33" s="725">
        <f ca="1">IF(V33="","",(INDEX(OFFSET(Arb!$U$2,,,Arb!$AJ$5,),V33)+INDEX(OFFSET(Arb!$V$2,,,Arb!$AJ$5,),V33))/X33)</f>
        <v>2.946115096931766</v>
      </c>
      <c r="AB33" s="33">
        <f t="shared" ca="1" si="7"/>
        <v>7.3725008448929534</v>
      </c>
      <c r="AC33" s="776">
        <f t="shared" ca="1" si="8"/>
        <v>59.003180759393466</v>
      </c>
      <c r="AD33" s="74">
        <f ca="1">IF(V33="","",DATE(INDEX(OFFSET(Arb!$C$2,,,Arb!$AJ$5,),V33),INDEX(OFFSET(Arb!$B$2,,,Arb!$AJ$5,),V33),INDEX(OFFSET(Arb!$A$2,,,Arb!$AJ$5,),V33))+ROW()*0.001)</f>
        <v>44167.033000000003</v>
      </c>
    </row>
    <row r="34" spans="1:30" x14ac:dyDescent="0.25">
      <c r="A34" s="11">
        <v>33</v>
      </c>
      <c r="B34" s="11">
        <v>1391</v>
      </c>
      <c r="C34" s="433">
        <f ca="1">IF(B34="",16,INDEX(OFFSET(Arb!$I$2,,,Arb!$AJ$5,),B34))</f>
        <v>10</v>
      </c>
      <c r="D34" s="686">
        <f ca="1">IF(B34="",10,INDEX(OFFSET(Arb!$H$2,,,Arb!$AJ$5,),B34))</f>
        <v>3.16</v>
      </c>
      <c r="E34" s="561">
        <f t="shared" ca="1" si="0"/>
        <v>3.1645569620253164</v>
      </c>
      <c r="F34" s="722">
        <f ca="1">IF(B34="","",INDEX(OFFSET(Arb!$X$2,,,Arb!$AJ$5,),B34)/D34)</f>
        <v>4.4303797468354427</v>
      </c>
      <c r="G34" s="565">
        <f ca="1">IF(B34="","",(INDEX(OFFSET(Arb!$U$2,,,Arb!$AJ$5,),B34)+INDEX(OFFSET(Arb!$V$2,,,Arb!$AJ$5,),B34))/D34)</f>
        <v>5.0632911392405058</v>
      </c>
      <c r="H34" s="33">
        <f t="shared" ca="1" si="1"/>
        <v>0.70707916510758362</v>
      </c>
      <c r="I34" s="775">
        <f t="shared" ca="1" si="2"/>
        <v>66.893499814555213</v>
      </c>
      <c r="J34" s="74">
        <f ca="1">IF(B34="","",DATE(INDEX(OFFSET(Arb!$C$2,,,Arb!$AJ$5,),B34),INDEX(OFFSET(Arb!$B$2,,,Arb!$AJ$5,),B34),INDEX(OFFSET(Arb!$A$2,,,Arb!$AJ$5,),B34))+ROW()*0.001)</f>
        <v>43940.034</v>
      </c>
      <c r="K34" s="11">
        <v>33</v>
      </c>
      <c r="L34" s="11">
        <v>2150</v>
      </c>
      <c r="M34" s="433">
        <f ca="1">IF(L34="",64,INDEX(OFFSET(Arb!$I$2,,,Arb!$AJ$5,),L34))</f>
        <v>45</v>
      </c>
      <c r="N34" s="688">
        <f ca="1">IF(L34="",60,INDEX(OFFSET(Arb!$H$2,,,Arb!$AJ$5,),L34))</f>
        <v>18.37</v>
      </c>
      <c r="O34" s="769">
        <f t="shared" ca="1" si="3"/>
        <v>2.4496461622210122</v>
      </c>
      <c r="P34" s="725">
        <f ca="1">IF(L34="","",INDEX(OFFSET(Arb!$X$2,,,Arb!$AJ$5,),L34)/N34)</f>
        <v>2.9395753946652148</v>
      </c>
      <c r="Q34" s="724">
        <f ca="1">IF(L34="","",(INDEX(OFFSET(Arb!$U$2,,,Arb!$AJ$5,),L34)+INDEX(OFFSET(Arb!$V$2,,,Arb!$AJ$5,),L34))/N34)</f>
        <v>3.4295046271094174</v>
      </c>
      <c r="R34" s="33">
        <f t="shared" ca="1" si="4"/>
        <v>3.1316487996771722</v>
      </c>
      <c r="S34" s="777">
        <f t="shared" ca="1" si="5"/>
        <v>49.089157128937103</v>
      </c>
      <c r="T34" s="74">
        <f ca="1">IF(L34="","",DATE(INDEX(OFFSET(Arb!$C$2,,,Arb!$AJ$5,),L34),INDEX(OFFSET(Arb!$B$2,,,Arb!$AJ$5,),L34),INDEX(OFFSET(Arb!$A$2,,,Arb!$AJ$5,),L34))+ROW()*0.001)</f>
        <v>43821.034</v>
      </c>
      <c r="U34" s="11">
        <v>33</v>
      </c>
      <c r="V34" s="11">
        <v>2873</v>
      </c>
      <c r="W34" s="433">
        <f ca="1">IF(V34="",164,INDEX(OFFSET(Arb!$I$2,,,Arb!$AJ$5,),V34))</f>
        <v>208</v>
      </c>
      <c r="X34" s="680">
        <f ca="1">IF(V34="",240,INDEX(OFFSET(Arb!$H$2,,,Arb!$AJ$5,),V34))</f>
        <v>74.819999999999993</v>
      </c>
      <c r="Y34" s="725">
        <f t="shared" ca="1" si="6"/>
        <v>2.7800053461641276</v>
      </c>
      <c r="Z34" s="561">
        <f ca="1">IF(V34="","",INDEX(OFFSET(Arb!$X$2,,,Arb!$AJ$5,),V34)/X34)</f>
        <v>3.2076984763432241</v>
      </c>
      <c r="AA34" s="724">
        <f ca="1">IF(V34="","",(INDEX(OFFSET(Arb!$U$2,,,Arb!$AJ$5,),V34)+INDEX(OFFSET(Arb!$V$2,,,Arb!$AJ$5,),V34))/X34)</f>
        <v>3.4883720930232562</v>
      </c>
      <c r="AB34" s="33">
        <f t="shared" ca="1" si="7"/>
        <v>7.3750804413100814</v>
      </c>
      <c r="AC34" s="776">
        <f t="shared" ca="1" si="8"/>
        <v>58.982543100604886</v>
      </c>
      <c r="AD34" s="74">
        <f ca="1">IF(V34="","",DATE(INDEX(OFFSET(Arb!$C$2,,,Arb!$AJ$5,),V34),INDEX(OFFSET(Arb!$B$2,,,Arb!$AJ$5,),V34),INDEX(OFFSET(Arb!$A$2,,,Arb!$AJ$5,),V34))+ROW()*0.001)</f>
        <v>43911.034</v>
      </c>
    </row>
    <row r="35" spans="1:30" x14ac:dyDescent="0.25">
      <c r="A35" s="11">
        <v>34</v>
      </c>
      <c r="B35" s="11">
        <v>676</v>
      </c>
      <c r="C35" s="433">
        <f ca="1">IF(B35="",16,INDEX(OFFSET(Arb!$I$2,,,Arb!$AJ$5,),B35))</f>
        <v>17</v>
      </c>
      <c r="D35" s="683">
        <f ca="1">IF(B35="",10,INDEX(OFFSET(Arb!$H$2,,,Arb!$AJ$5,),B35))</f>
        <v>4.32</v>
      </c>
      <c r="E35" s="723">
        <f t="shared" ca="1" si="0"/>
        <v>3.9351851851851851</v>
      </c>
      <c r="F35" s="723">
        <f ca="1">IF(B35="","",INDEX(OFFSET(Arb!$X$2,,,Arb!$AJ$5,),B35)/D35)</f>
        <v>3.9351851851851851</v>
      </c>
      <c r="G35" s="722">
        <f ca="1">IF(B35="","",(INDEX(OFFSET(Arb!$U$2,,,Arb!$AJ$5,),B35)+INDEX(OFFSET(Arb!$V$2,,,Arb!$AJ$5,),B35))/D35)</f>
        <v>4.3981481481481479</v>
      </c>
      <c r="H35" s="33">
        <f t="shared" ca="1" si="1"/>
        <v>0.70773952167542897</v>
      </c>
      <c r="I35" s="775">
        <f t="shared" ca="1" si="2"/>
        <v>66.831084814974389</v>
      </c>
      <c r="J35" s="74">
        <f ca="1">IF(B35="","",DATE(INDEX(OFFSET(Arb!$C$2,,,Arb!$AJ$5,),B35),INDEX(OFFSET(Arb!$B$2,,,Arb!$AJ$5,),B35),INDEX(OFFSET(Arb!$A$2,,,Arb!$AJ$5,),B35))+ROW()*0.001)</f>
        <v>43801.035000000003</v>
      </c>
      <c r="K35" s="11">
        <v>34</v>
      </c>
      <c r="L35" s="11">
        <v>2403</v>
      </c>
      <c r="M35" s="433">
        <f ca="1">IF(L35="",64,INDEX(OFFSET(Arb!$I$2,,,Arb!$AJ$5,),L35))</f>
        <v>65</v>
      </c>
      <c r="N35" s="679">
        <f ca="1">IF(L35="",60,INDEX(OFFSET(Arb!$H$2,,,Arb!$AJ$5,),L35))</f>
        <v>22.84</v>
      </c>
      <c r="O35" s="725">
        <f t="shared" ca="1" si="3"/>
        <v>2.8458844133099825</v>
      </c>
      <c r="P35" s="724">
        <f ca="1">IF(L35="","",INDEX(OFFSET(Arb!$X$2,,,Arb!$AJ$5,),L35)/N35)</f>
        <v>3.3712784588441331</v>
      </c>
      <c r="Q35" s="723">
        <f ca="1">IF(L35="","",(INDEX(OFFSET(Arb!$U$2,,,Arb!$AJ$5,),L35)+INDEX(OFFSET(Arb!$V$2,,,Arb!$AJ$5,),L35))/N35)</f>
        <v>3.8528896672504378</v>
      </c>
      <c r="R35" s="33">
        <f t="shared" ca="1" si="4"/>
        <v>3.1395688583776473</v>
      </c>
      <c r="S35" s="777">
        <f t="shared" ca="1" si="5"/>
        <v>48.965321970813221</v>
      </c>
      <c r="T35" s="74">
        <f ca="1">IF(L35="","",DATE(INDEX(OFFSET(Arb!$C$2,,,Arb!$AJ$5,),L35),INDEX(OFFSET(Arb!$B$2,,,Arb!$AJ$5,),L35),INDEX(OFFSET(Arb!$A$2,,,Arb!$AJ$5,),L35))+ROW()*0.001)</f>
        <v>44168.035000000003</v>
      </c>
      <c r="U35" s="11">
        <v>34</v>
      </c>
      <c r="V35" s="11">
        <v>3188</v>
      </c>
      <c r="W35" s="433">
        <f ca="1">IF(V35="",164,INDEX(OFFSET(Arb!$I$2,,,Arb!$AJ$5,),V35))</f>
        <v>151</v>
      </c>
      <c r="X35" s="693">
        <f ca="1">IF(V35="",240,INDEX(OFFSET(Arb!$H$2,,,Arb!$AJ$5,),V35))</f>
        <v>62.08</v>
      </c>
      <c r="Y35" s="769">
        <f t="shared" ca="1" si="6"/>
        <v>2.4323453608247423</v>
      </c>
      <c r="Z35" s="561">
        <f ca="1">IF(V35="","",INDEX(OFFSET(Arb!$X$2,,,Arb!$AJ$5,),V35)/X35)</f>
        <v>3.1572164948453607</v>
      </c>
      <c r="AA35" s="724">
        <f ca="1">IF(V35="","",(INDEX(OFFSET(Arb!$U$2,,,Arb!$AJ$5,),V35)+INDEX(OFFSET(Arb!$V$2,,,Arb!$AJ$5,),V35))/X35)</f>
        <v>3.4632731958762886</v>
      </c>
      <c r="AB35" s="33">
        <f t="shared" ca="1" si="7"/>
        <v>7.3967502782908712</v>
      </c>
      <c r="AC35" s="776">
        <f t="shared" ca="1" si="8"/>
        <v>58.809745311628042</v>
      </c>
      <c r="AD35" s="74">
        <f ca="1">IF(V35="","",DATE(INDEX(OFFSET(Arb!$C$2,,,Arb!$AJ$5,),V35),INDEX(OFFSET(Arb!$B$2,,,Arb!$AJ$5,),V35),INDEX(OFFSET(Arb!$A$2,,,Arb!$AJ$5,),V35))+ROW()*0.001)</f>
        <v>44054.035000000003</v>
      </c>
    </row>
    <row r="36" spans="1:30" x14ac:dyDescent="0.25">
      <c r="A36" s="11">
        <v>35</v>
      </c>
      <c r="B36" s="11">
        <v>1784</v>
      </c>
      <c r="C36" s="433">
        <f ca="1">IF(B36="",16,INDEX(OFFSET(Arb!$I$2,,,Arb!$AJ$5,),B36))</f>
        <v>15</v>
      </c>
      <c r="D36" s="683">
        <f ca="1">IF(B36="",10,INDEX(OFFSET(Arb!$H$2,,,Arb!$AJ$5,),B36))</f>
        <v>4.03</v>
      </c>
      <c r="E36" s="562">
        <f t="shared" ca="1" si="0"/>
        <v>3.7220843672456572</v>
      </c>
      <c r="F36" s="562">
        <f ca="1">IF(B36="","",INDEX(OFFSET(Arb!$X$2,,,Arb!$AJ$5,),B36)/D36)</f>
        <v>3.7220843672456572</v>
      </c>
      <c r="G36" s="722">
        <f ca="1">IF(B36="","",(INDEX(OFFSET(Arb!$U$2,,,Arb!$AJ$5,),B36)+INDEX(OFFSET(Arb!$V$2,,,Arb!$AJ$5,),B36))/D36)</f>
        <v>4.4665012406947886</v>
      </c>
      <c r="H36" s="33">
        <f t="shared" ca="1" si="1"/>
        <v>0.71273374179967142</v>
      </c>
      <c r="I36" s="775">
        <f t="shared" ca="1" si="2"/>
        <v>66.362790514966761</v>
      </c>
      <c r="J36" s="74">
        <f ca="1">IF(B36="","",DATE(INDEX(OFFSET(Arb!$C$2,,,Arb!$AJ$5,),B36),INDEX(OFFSET(Arb!$B$2,,,Arb!$AJ$5,),B36),INDEX(OFFSET(Arb!$A$2,,,Arb!$AJ$5,),B36))+ROW()*0.001)</f>
        <v>44168.036</v>
      </c>
      <c r="K36" s="11">
        <v>35</v>
      </c>
      <c r="L36" s="11">
        <v>2100</v>
      </c>
      <c r="M36" s="433">
        <f ca="1">IF(L36="",64,INDEX(OFFSET(Arb!$I$2,,,Arb!$AJ$5,),L36))</f>
        <v>52</v>
      </c>
      <c r="N36" s="691">
        <f ca="1">IF(L36="",60,INDEX(OFFSET(Arb!$H$2,,,Arb!$AJ$5,),L36))</f>
        <v>20.07</v>
      </c>
      <c r="O36" s="726">
        <f t="shared" ca="1" si="3"/>
        <v>2.5909317389138016</v>
      </c>
      <c r="P36" s="724">
        <f ca="1">IF(L36="","",INDEX(OFFSET(Arb!$X$2,,,Arb!$AJ$5,),L36)/N36)</f>
        <v>3.338315894369706</v>
      </c>
      <c r="Q36" s="562">
        <f ca="1">IF(L36="","",(INDEX(OFFSET(Arb!$U$2,,,Arb!$AJ$5,),L36)+INDEX(OFFSET(Arb!$V$2,,,Arb!$AJ$5,),L36))/N36)</f>
        <v>3.7369207772795217</v>
      </c>
      <c r="R36" s="33">
        <f t="shared" ca="1" si="4"/>
        <v>3.1501206641794344</v>
      </c>
      <c r="S36" s="777">
        <f t="shared" ca="1" si="5"/>
        <v>48.801305216047865</v>
      </c>
      <c r="T36" s="74">
        <f ca="1">IF(L36="","",DATE(INDEX(OFFSET(Arb!$C$2,,,Arb!$AJ$5,),L36),INDEX(OFFSET(Arb!$B$2,,,Arb!$AJ$5,),L36),INDEX(OFFSET(Arb!$A$2,,,Arb!$AJ$5,),L36))+ROW()*0.001)</f>
        <v>43810.036</v>
      </c>
      <c r="U36" s="11">
        <v>35</v>
      </c>
      <c r="V36" s="11">
        <v>2989</v>
      </c>
      <c r="W36" s="433">
        <f ca="1">IF(V36="",164,INDEX(OFFSET(Arb!$I$2,,,Arb!$AJ$5,),V36))</f>
        <v>180</v>
      </c>
      <c r="X36" s="692">
        <f ca="1">IF(V36="",240,INDEX(OFFSET(Arb!$H$2,,,Arb!$AJ$5,),V36))</f>
        <v>68.84</v>
      </c>
      <c r="Y36" s="726">
        <f t="shared" ca="1" si="6"/>
        <v>2.6147588611272514</v>
      </c>
      <c r="Z36" s="561">
        <f ca="1">IF(V36="","",INDEX(OFFSET(Arb!$X$2,,,Arb!$AJ$5,),V36)/X36)</f>
        <v>3.1231841952353281</v>
      </c>
      <c r="AA36" s="724">
        <f ca="1">IF(V36="","",(INDEX(OFFSET(Arb!$U$2,,,Arb!$AJ$5,),V36)+INDEX(OFFSET(Arb!$V$2,,,Arb!$AJ$5,),V36))/X36)</f>
        <v>3.471818710052295</v>
      </c>
      <c r="AB36" s="33">
        <f t="shared" ca="1" si="7"/>
        <v>7.3970228404011298</v>
      </c>
      <c r="AC36" s="776">
        <f t="shared" ca="1" si="8"/>
        <v>58.807578317063907</v>
      </c>
      <c r="AD36" s="74">
        <f ca="1">IF(V36="","",DATE(INDEX(OFFSET(Arb!$C$2,,,Arb!$AJ$5,),V36),INDEX(OFFSET(Arb!$B$2,,,Arb!$AJ$5,),V36),INDEX(OFFSET(Arb!$A$2,,,Arb!$AJ$5,),V36))+ROW()*0.001)</f>
        <v>43956.036</v>
      </c>
    </row>
    <row r="37" spans="1:30" x14ac:dyDescent="0.25">
      <c r="A37" s="11">
        <v>36</v>
      </c>
      <c r="B37" s="11">
        <v>1029</v>
      </c>
      <c r="C37" s="433">
        <f ca="1">IF(B37="",16,INDEX(OFFSET(Arb!$I$2,,,Arb!$AJ$5,),B37))</f>
        <v>11</v>
      </c>
      <c r="D37" s="686">
        <f ca="1">IF(B37="",10,INDEX(OFFSET(Arb!$H$2,,,Arb!$AJ$5,),B37))</f>
        <v>3.37</v>
      </c>
      <c r="E37" s="724">
        <f t="shared" ca="1" si="0"/>
        <v>3.2640949554896141</v>
      </c>
      <c r="F37" s="723">
        <f ca="1">IF(B37="","",INDEX(OFFSET(Arb!$X$2,,,Arb!$AJ$5,),B37)/D37)</f>
        <v>3.857566765578635</v>
      </c>
      <c r="G37" s="565">
        <f ca="1">IF(B37="","",(INDEX(OFFSET(Arb!$U$2,,,Arb!$AJ$5,),B37)+INDEX(OFFSET(Arb!$V$2,,,Arb!$AJ$5,),B37))/D37)</f>
        <v>5.0445103857566762</v>
      </c>
      <c r="H37" s="33">
        <f t="shared" ca="1" si="1"/>
        <v>0.71709739744408862</v>
      </c>
      <c r="I37" s="775">
        <f t="shared" ca="1" si="2"/>
        <v>65.958962016296894</v>
      </c>
      <c r="J37" s="74">
        <f ca="1">IF(B37="","",DATE(INDEX(OFFSET(Arb!$C$2,,,Arb!$AJ$5,),B37),INDEX(OFFSET(Arb!$B$2,,,Arb!$AJ$5,),B37),INDEX(OFFSET(Arb!$A$2,,,Arb!$AJ$5,),B37))+ROW()*0.001)</f>
        <v>43841.036999999997</v>
      </c>
      <c r="K37" s="11">
        <v>36</v>
      </c>
      <c r="L37" s="11">
        <v>2335</v>
      </c>
      <c r="M37" s="433">
        <f ca="1">IF(L37="",64,INDEX(OFFSET(Arb!$I$2,,,Arb!$AJ$5,),L37))</f>
        <v>59</v>
      </c>
      <c r="N37" s="692">
        <f ca="1">IF(L37="",60,INDEX(OFFSET(Arb!$H$2,,,Arb!$AJ$5,),L37))</f>
        <v>21.62</v>
      </c>
      <c r="O37" s="726">
        <f t="shared" ca="1" si="3"/>
        <v>2.7289546716003699</v>
      </c>
      <c r="P37" s="562">
        <f ca="1">IF(L37="","",INDEX(OFFSET(Arb!$X$2,,,Arb!$AJ$5,),L37)/N37)</f>
        <v>3.700277520814061</v>
      </c>
      <c r="Q37" s="722">
        <f ca="1">IF(L37="","",(INDEX(OFFSET(Arb!$U$2,,,Arb!$AJ$5,),L37)+INDEX(OFFSET(Arb!$V$2,,,Arb!$AJ$5,),L37))/N37)</f>
        <v>4.3015726179463458</v>
      </c>
      <c r="R37" s="33">
        <f t="shared" ca="1" si="4"/>
        <v>3.1506681354968884</v>
      </c>
      <c r="S37" s="777">
        <f t="shared" ca="1" si="5"/>
        <v>48.792825327430243</v>
      </c>
      <c r="T37" s="74">
        <f ca="1">IF(L37="","",DATE(INDEX(OFFSET(Arb!$C$2,,,Arb!$AJ$5,),L37),INDEX(OFFSET(Arb!$B$2,,,Arb!$AJ$5,),L37),INDEX(OFFSET(Arb!$A$2,,,Arb!$AJ$5,),L37))+ROW()*0.001)</f>
        <v>44093.036999999997</v>
      </c>
      <c r="U37" s="11">
        <v>36</v>
      </c>
      <c r="V37" s="11">
        <v>3281</v>
      </c>
      <c r="W37" s="433">
        <f ca="1">IF(V37="",164,INDEX(OFFSET(Arb!$I$2,,,Arb!$AJ$5,),V37))</f>
        <v>190</v>
      </c>
      <c r="X37" s="679">
        <f ca="1">IF(V37="",240,INDEX(OFFSET(Arb!$H$2,,,Arb!$AJ$5,),V37))</f>
        <v>71.099999999999994</v>
      </c>
      <c r="Y37" s="726">
        <f t="shared" ca="1" si="6"/>
        <v>2.6722925457102673</v>
      </c>
      <c r="Z37" s="561">
        <f ca="1">IF(V37="","",INDEX(OFFSET(Arb!$X$2,,,Arb!$AJ$5,),V37)/X37)</f>
        <v>3.0661040787623071</v>
      </c>
      <c r="AA37" s="724">
        <f ca="1">IF(V37="","",(INDEX(OFFSET(Arb!$U$2,,,Arb!$AJ$5,),V37)+INDEX(OFFSET(Arb!$V$2,,,Arb!$AJ$5,),V37))/X37)</f>
        <v>3.3052039381153309</v>
      </c>
      <c r="AB37" s="33">
        <f t="shared" ca="1" si="7"/>
        <v>7.4032892923441125</v>
      </c>
      <c r="AC37" s="776">
        <f t="shared" ca="1" si="8"/>
        <v>58.757801137103087</v>
      </c>
      <c r="AD37" s="74">
        <f ca="1">IF(V37="","",DATE(INDEX(OFFSET(Arb!$C$2,,,Arb!$AJ$5,),V37),INDEX(OFFSET(Arb!$B$2,,,Arb!$AJ$5,),V37),INDEX(OFFSET(Arb!$A$2,,,Arb!$AJ$5,),V37))+ROW()*0.001)</f>
        <v>44083.036999999997</v>
      </c>
    </row>
    <row r="38" spans="1:30" x14ac:dyDescent="0.25">
      <c r="A38" s="11">
        <v>37</v>
      </c>
      <c r="B38" s="11">
        <v>424</v>
      </c>
      <c r="C38" s="433">
        <f ca="1">IF(B38="",16,INDEX(OFFSET(Arb!$I$2,,,Arb!$AJ$5,),B38))</f>
        <v>10</v>
      </c>
      <c r="D38" s="686">
        <f ca="1">IF(B38="",10,INDEX(OFFSET(Arb!$H$2,,,Arb!$AJ$5,),B38))</f>
        <v>3.19</v>
      </c>
      <c r="E38" s="561">
        <f t="shared" ca="1" si="0"/>
        <v>3.134796238244514</v>
      </c>
      <c r="F38" s="724">
        <f ca="1">IF(B38="","",INDEX(OFFSET(Arb!$X$2,,,Arb!$AJ$5,),B38)/D38)</f>
        <v>3.4482758620689657</v>
      </c>
      <c r="G38" s="563">
        <f ca="1">IF(B38="","",(INDEX(OFFSET(Arb!$U$2,,,Arb!$AJ$5,),B38)+INDEX(OFFSET(Arb!$V$2,,,Arb!$AJ$5,),B38))/D38)</f>
        <v>4.0752351097178687</v>
      </c>
      <c r="H38" s="33">
        <f t="shared" ca="1" si="1"/>
        <v>0.71852876861430892</v>
      </c>
      <c r="I38" s="775">
        <f t="shared" ca="1" si="2"/>
        <v>65.827566085094503</v>
      </c>
      <c r="J38" s="74">
        <f ca="1">IF(B38="","",DATE(INDEX(OFFSET(Arb!$C$2,,,Arb!$AJ$5,),B38),INDEX(OFFSET(Arb!$B$2,,,Arb!$AJ$5,),B38),INDEX(OFFSET(Arb!$A$2,,,Arb!$AJ$5,),B38))+ROW()*0.001)</f>
        <v>43781.038</v>
      </c>
      <c r="K38" s="11">
        <v>37</v>
      </c>
      <c r="L38" s="11">
        <v>2272</v>
      </c>
      <c r="M38" s="433">
        <f ca="1">IF(L38="",64,INDEX(OFFSET(Arb!$I$2,,,Arb!$AJ$5,),L38))</f>
        <v>59</v>
      </c>
      <c r="N38" s="692">
        <f ca="1">IF(L38="",60,INDEX(OFFSET(Arb!$H$2,,,Arb!$AJ$5,),L38))</f>
        <v>21.67</v>
      </c>
      <c r="O38" s="726">
        <f t="shared" ca="1" si="3"/>
        <v>2.722658052607291</v>
      </c>
      <c r="P38" s="561">
        <f ca="1">IF(L38="","",INDEX(OFFSET(Arb!$X$2,,,Arb!$AJ$5,),L38)/N38)</f>
        <v>3.0456852791878171</v>
      </c>
      <c r="Q38" s="724">
        <f ca="1">IF(L38="","",(INDEX(OFFSET(Arb!$U$2,,,Arb!$AJ$5,),L38)+INDEX(OFFSET(Arb!$V$2,,,Arb!$AJ$5,),L38))/N38)</f>
        <v>3.3225657591139823</v>
      </c>
      <c r="R38" s="33">
        <f t="shared" ca="1" si="4"/>
        <v>3.1630651527865457</v>
      </c>
      <c r="S38" s="777">
        <f t="shared" ca="1" si="5"/>
        <v>48.601591359750977</v>
      </c>
      <c r="T38" s="74">
        <f ca="1">IF(L38="","",DATE(INDEX(OFFSET(Arb!$C$2,,,Arb!$AJ$5,),L38),INDEX(OFFSET(Arb!$B$2,,,Arb!$AJ$5,),L38),INDEX(OFFSET(Arb!$A$2,,,Arb!$AJ$5,),L38))+ROW()*0.001)</f>
        <v>43934.038</v>
      </c>
      <c r="U38" s="11">
        <v>37</v>
      </c>
      <c r="V38" s="11">
        <v>2927</v>
      </c>
      <c r="W38" s="433">
        <f ca="1">IF(V38="",164,INDEX(OFFSET(Arb!$I$2,,,Arb!$AJ$5,),V38))</f>
        <v>199</v>
      </c>
      <c r="X38" s="679">
        <f ca="1">IF(V38="",240,INDEX(OFFSET(Arb!$H$2,,,Arb!$AJ$5,),V38))</f>
        <v>73.11</v>
      </c>
      <c r="Y38" s="726">
        <f t="shared" ca="1" si="6"/>
        <v>2.7219258651347285</v>
      </c>
      <c r="Z38" s="561">
        <f ca="1">IF(V38="","",INDEX(OFFSET(Arb!$X$2,,,Arb!$AJ$5,),V38)/X38)</f>
        <v>3.2143345643550814</v>
      </c>
      <c r="AA38" s="562">
        <f ca="1">IF(V38="","",(INDEX(OFFSET(Arb!$U$2,,,Arb!$AJ$5,),V38)+INDEX(OFFSET(Arb!$V$2,,,Arb!$AJ$5,),V38))/X38)</f>
        <v>3.5289290110791955</v>
      </c>
      <c r="AB38" s="33">
        <f t="shared" ca="1" si="7"/>
        <v>7.4115229239725364</v>
      </c>
      <c r="AC38" s="776">
        <f t="shared" ca="1" si="8"/>
        <v>58.692525741638235</v>
      </c>
      <c r="AD38" s="74">
        <f ca="1">IF(V38="","",DATE(INDEX(OFFSET(Arb!$C$2,,,Arb!$AJ$5,),V38),INDEX(OFFSET(Arb!$B$2,,,Arb!$AJ$5,),V38),INDEX(OFFSET(Arb!$A$2,,,Arb!$AJ$5,),V38))+ROW()*0.001)</f>
        <v>43936.038</v>
      </c>
    </row>
    <row r="39" spans="1:30" x14ac:dyDescent="0.25">
      <c r="A39" s="11">
        <v>38</v>
      </c>
      <c r="B39" s="11">
        <v>9</v>
      </c>
      <c r="C39" s="433">
        <f ca="1">IF(B39="",16,INDEX(OFFSET(Arb!$I$2,,,Arb!$AJ$5,),B39))</f>
        <v>12</v>
      </c>
      <c r="D39" s="560">
        <f ca="1">IF(B39="",10,INDEX(OFFSET(Arb!$H$2,,,Arb!$AJ$5,),B39))</f>
        <v>3.57</v>
      </c>
      <c r="E39" s="724">
        <f t="shared" ca="1" si="0"/>
        <v>3.3613445378151261</v>
      </c>
      <c r="F39" s="724">
        <f ca="1">IF(B39="","",INDEX(OFFSET(Arb!$X$2,,,Arb!$AJ$5,),B39)/D39)</f>
        <v>3.3613445378151261</v>
      </c>
      <c r="G39" s="723">
        <f ca="1">IF(B39="","",(INDEX(OFFSET(Arb!$U$2,,,Arb!$AJ$5,),B39)+INDEX(OFFSET(Arb!$V$2,,,Arb!$AJ$5,),B39))/D39)</f>
        <v>3.9215686274509807</v>
      </c>
      <c r="H39" s="33">
        <f t="shared" ca="1" si="1"/>
        <v>0.72502790374615722</v>
      </c>
      <c r="I39" s="775">
        <f t="shared" ca="1" si="2"/>
        <v>65.237489144362726</v>
      </c>
      <c r="J39" s="74">
        <f ca="1">IF(B39="","",DATE(INDEX(OFFSET(Arb!$C$2,,,Arb!$AJ$5,),B39),INDEX(OFFSET(Arb!$B$2,,,Arb!$AJ$5,),B39),INDEX(OFFSET(Arb!$A$2,,,Arb!$AJ$5,),B39))+ROW()*0.001)</f>
        <v>43765.038999999997</v>
      </c>
      <c r="K39" s="11">
        <v>38</v>
      </c>
      <c r="L39" s="11">
        <v>2400</v>
      </c>
      <c r="M39" s="433">
        <f ca="1">IF(L39="",64,INDEX(OFFSET(Arb!$I$2,,,Arb!$AJ$5,),L39))</f>
        <v>65</v>
      </c>
      <c r="N39" s="679">
        <f ca="1">IF(L39="",60,INDEX(OFFSET(Arb!$H$2,,,Arb!$AJ$5,),L39))</f>
        <v>22.95</v>
      </c>
      <c r="O39" s="725">
        <f t="shared" ca="1" si="3"/>
        <v>2.8322440087145972</v>
      </c>
      <c r="P39" s="561">
        <f ca="1">IF(L39="","",INDEX(OFFSET(Arb!$X$2,,,Arb!$AJ$5,),L39)/N39)</f>
        <v>3.0065359477124183</v>
      </c>
      <c r="Q39" s="724">
        <f ca="1">IF(L39="","",(INDEX(OFFSET(Arb!$U$2,,,Arb!$AJ$5,),L39)+INDEX(OFFSET(Arb!$V$2,,,Arb!$AJ$5,),L39))/N39)</f>
        <v>3.3551198257080612</v>
      </c>
      <c r="R39" s="33">
        <f t="shared" ca="1" si="4"/>
        <v>3.165317043070333</v>
      </c>
      <c r="S39" s="777">
        <f t="shared" ca="1" si="5"/>
        <v>48.567014901888967</v>
      </c>
      <c r="T39" s="74">
        <f ca="1">IF(L39="","",DATE(INDEX(OFFSET(Arb!$C$2,,,Arb!$AJ$5,),L39),INDEX(OFFSET(Arb!$B$2,,,Arb!$AJ$5,),L39),INDEX(OFFSET(Arb!$A$2,,,Arb!$AJ$5,),L39))+ROW()*0.001)</f>
        <v>44168.038999999997</v>
      </c>
      <c r="U39" s="11">
        <v>38</v>
      </c>
      <c r="V39" s="11">
        <v>3011</v>
      </c>
      <c r="W39" s="433">
        <f ca="1">IF(V39="",164,INDEX(OFFSET(Arb!$I$2,,,Arb!$AJ$5,),V39))</f>
        <v>175</v>
      </c>
      <c r="X39" s="692">
        <f ca="1">IF(V39="",240,INDEX(OFFSET(Arb!$H$2,,,Arb!$AJ$5,),V39))</f>
        <v>67.790000000000006</v>
      </c>
      <c r="Y39" s="726">
        <f t="shared" ca="1" si="6"/>
        <v>2.5815016964154003</v>
      </c>
      <c r="Z39" s="561">
        <f ca="1">IF(V39="","",INDEX(OFFSET(Arb!$X$2,,,Arb!$AJ$5,),V39)/X39)</f>
        <v>3.1125534739637111</v>
      </c>
      <c r="AA39" s="724">
        <f ca="1">IF(V39="","",(INDEX(OFFSET(Arb!$U$2,,,Arb!$AJ$5,),V39)+INDEX(OFFSET(Arb!$V$2,,,Arb!$AJ$5,),V39))/X39)</f>
        <v>3.3633279244726357</v>
      </c>
      <c r="AB39" s="33">
        <f t="shared" ca="1" si="7"/>
        <v>7.4121385545985889</v>
      </c>
      <c r="AC39" s="776">
        <f t="shared" ca="1" si="8"/>
        <v>58.687650911506452</v>
      </c>
      <c r="AD39" s="74">
        <f ca="1">IF(V39="","",DATE(INDEX(OFFSET(Arb!$C$2,,,Arb!$AJ$5,),V39),INDEX(OFFSET(Arb!$B$2,,,Arb!$AJ$5,),V39),INDEX(OFFSET(Arb!$A$2,,,Arb!$AJ$5,),V39))+ROW()*0.001)</f>
        <v>43957.038999999997</v>
      </c>
    </row>
    <row r="40" spans="1:30" x14ac:dyDescent="0.25">
      <c r="A40" s="11">
        <v>39</v>
      </c>
      <c r="B40" s="11">
        <v>1224</v>
      </c>
      <c r="C40" s="433">
        <f ca="1">IF(B40="",16,INDEX(OFFSET(Arb!$I$2,,,Arb!$AJ$5,),B40))</f>
        <v>10</v>
      </c>
      <c r="D40" s="686">
        <f ca="1">IF(B40="",10,INDEX(OFFSET(Arb!$H$2,,,Arb!$AJ$5,),B40))</f>
        <v>3.21</v>
      </c>
      <c r="E40" s="561">
        <f t="shared" ca="1" si="0"/>
        <v>3.1152647975077881</v>
      </c>
      <c r="F40" s="563">
        <f ca="1">IF(B40="","",INDEX(OFFSET(Arb!$X$2,,,Arb!$AJ$5,),B40)/D40)</f>
        <v>4.0498442367601246</v>
      </c>
      <c r="G40" s="722">
        <f ca="1">IF(B40="","",(INDEX(OFFSET(Arb!$U$2,,,Arb!$AJ$5,),B40)+INDEX(OFFSET(Arb!$V$2,,,Arb!$AJ$5,),B40))/D40)</f>
        <v>4.3613707165109039</v>
      </c>
      <c r="H40" s="33">
        <f t="shared" ca="1" si="1"/>
        <v>0.7262038635025736</v>
      </c>
      <c r="I40" s="775">
        <f t="shared" ca="1" si="2"/>
        <v>65.131848475538135</v>
      </c>
      <c r="J40" s="74">
        <f ca="1">IF(B40="","",DATE(INDEX(OFFSET(Arb!$C$2,,,Arb!$AJ$5,),B40),INDEX(OFFSET(Arb!$B$2,,,Arb!$AJ$5,),B40),INDEX(OFFSET(Arb!$A$2,,,Arb!$AJ$5,),B40))+ROW()*0.001)</f>
        <v>43898.04</v>
      </c>
      <c r="K40" s="11">
        <v>39</v>
      </c>
      <c r="L40" s="11">
        <v>2129</v>
      </c>
      <c r="M40" s="433">
        <f ca="1">IF(L40="",64,INDEX(OFFSET(Arb!$I$2,,,Arb!$AJ$5,),L40))</f>
        <v>66</v>
      </c>
      <c r="N40" s="679">
        <f ca="1">IF(L40="",60,INDEX(OFFSET(Arb!$H$2,,,Arb!$AJ$5,),L40))</f>
        <v>23.16</v>
      </c>
      <c r="O40" s="725">
        <f t="shared" ca="1" si="3"/>
        <v>2.849740932642487</v>
      </c>
      <c r="P40" s="724">
        <f ca="1">IF(L40="","",INDEX(OFFSET(Arb!$X$2,,,Arb!$AJ$5,),L40)/N40)</f>
        <v>3.4974093264248705</v>
      </c>
      <c r="Q40" s="723">
        <f ca="1">IF(L40="","",(INDEX(OFFSET(Arb!$U$2,,,Arb!$AJ$5,),L40)+INDEX(OFFSET(Arb!$V$2,,,Arb!$AJ$5,),L40))/N40)</f>
        <v>3.8860103626943006</v>
      </c>
      <c r="R40" s="33">
        <f t="shared" ca="1" si="4"/>
        <v>3.1660050849575403</v>
      </c>
      <c r="S40" s="777">
        <f t="shared" ca="1" si="5"/>
        <v>48.556460231352311</v>
      </c>
      <c r="T40" s="74">
        <f ca="1">IF(L40="","",DATE(INDEX(OFFSET(Arb!$C$2,,,Arb!$AJ$5,),L40),INDEX(OFFSET(Arb!$B$2,,,Arb!$AJ$5,),L40),INDEX(OFFSET(Arb!$A$2,,,Arb!$AJ$5,),L40))+ROW()*0.001)</f>
        <v>43811.040000000001</v>
      </c>
      <c r="U40" s="11">
        <v>39</v>
      </c>
      <c r="V40" s="11">
        <v>3221</v>
      </c>
      <c r="W40" s="433">
        <f ca="1">IF(V40="",164,INDEX(OFFSET(Arb!$I$2,,,Arb!$AJ$5,),V40))</f>
        <v>184</v>
      </c>
      <c r="X40" s="679">
        <f ca="1">IF(V40="",240,INDEX(OFFSET(Arb!$H$2,,,Arb!$AJ$5,),V40))</f>
        <v>69.84</v>
      </c>
      <c r="Y40" s="726">
        <f t="shared" ca="1" si="6"/>
        <v>2.6345933562428407</v>
      </c>
      <c r="Z40" s="561">
        <f ca="1">IF(V40="","",INDEX(OFFSET(Arb!$X$2,,,Arb!$AJ$5,),V40)/X40)</f>
        <v>3.1500572737686139</v>
      </c>
      <c r="AA40" s="562">
        <f ca="1">IF(V40="","",(INDEX(OFFSET(Arb!$U$2,,,Arb!$AJ$5,),V40)+INDEX(OFFSET(Arb!$V$2,,,Arb!$AJ$5,),V40))/X40)</f>
        <v>3.5796105383734247</v>
      </c>
      <c r="AB40" s="33">
        <f t="shared" ca="1" si="7"/>
        <v>7.4158232323339952</v>
      </c>
      <c r="AC40" s="776">
        <f t="shared" ca="1" si="8"/>
        <v>58.658490955304408</v>
      </c>
      <c r="AD40" s="74">
        <f ca="1">IF(V40="","",DATE(INDEX(OFFSET(Arb!$C$2,,,Arb!$AJ$5,),V40),INDEX(OFFSET(Arb!$B$2,,,Arb!$AJ$5,),V40),INDEX(OFFSET(Arb!$A$2,,,Arb!$AJ$5,),V40))+ROW()*0.001)</f>
        <v>44060.04</v>
      </c>
    </row>
    <row r="41" spans="1:30" x14ac:dyDescent="0.25">
      <c r="A41" s="11">
        <v>40</v>
      </c>
      <c r="B41" s="11">
        <v>541</v>
      </c>
      <c r="C41" s="433">
        <f ca="1">IF(B41="",16,INDEX(OFFSET(Arb!$I$2,,,Arb!$AJ$5,),B41))</f>
        <v>10</v>
      </c>
      <c r="D41" s="686">
        <f ca="1">IF(B41="",10,INDEX(OFFSET(Arb!$H$2,,,Arb!$AJ$5,),B41))</f>
        <v>3.21</v>
      </c>
      <c r="E41" s="561">
        <f t="shared" ca="1" si="0"/>
        <v>3.1152647975077881</v>
      </c>
      <c r="F41" s="562">
        <f ca="1">IF(B41="","",INDEX(OFFSET(Arb!$X$2,,,Arb!$AJ$5,),B41)/D41)</f>
        <v>3.7383177570093458</v>
      </c>
      <c r="G41" s="563">
        <f ca="1">IF(B41="","",(INDEX(OFFSET(Arb!$U$2,,,Arb!$AJ$5,),B41)+INDEX(OFFSET(Arb!$V$2,,,Arb!$AJ$5,),B41))/D41)</f>
        <v>4.0498442367601246</v>
      </c>
      <c r="H41" s="33">
        <f t="shared" ca="1" si="1"/>
        <v>0.7262038635025736</v>
      </c>
      <c r="I41" s="775">
        <f t="shared" ca="1" si="2"/>
        <v>65.131848475538135</v>
      </c>
      <c r="J41" s="74">
        <f ca="1">IF(B41="","",DATE(INDEX(OFFSET(Arb!$C$2,,,Arb!$AJ$5,),B41),INDEX(OFFSET(Arb!$B$2,,,Arb!$AJ$5,),B41),INDEX(OFFSET(Arb!$A$2,,,Arb!$AJ$5,),B41))+ROW()*0.001)</f>
        <v>43797.040999999997</v>
      </c>
      <c r="K41" s="11">
        <v>40</v>
      </c>
      <c r="L41" s="11">
        <v>1992</v>
      </c>
      <c r="M41" s="433">
        <f ca="1">IF(L41="",64,INDEX(OFFSET(Arb!$I$2,,,Arb!$AJ$5,),L41))</f>
        <v>42</v>
      </c>
      <c r="N41" s="559">
        <f ca="1">IF(L41="",60,INDEX(OFFSET(Arb!$H$2,,,Arb!$AJ$5,),L41))</f>
        <v>17.809999999999999</v>
      </c>
      <c r="O41" s="769">
        <f t="shared" ca="1" si="3"/>
        <v>2.3582257158899496</v>
      </c>
      <c r="P41" s="725">
        <f ca="1">IF(L41="","",INDEX(OFFSET(Arb!$X$2,,,Arb!$AJ$5,),L41)/N41)</f>
        <v>2.9758562605277934</v>
      </c>
      <c r="Q41" s="562">
        <f ca="1">IF(L41="","",(INDEX(OFFSET(Arb!$U$2,,,Arb!$AJ$5,),L41)+INDEX(OFFSET(Arb!$V$2,,,Arb!$AJ$5,),L41))/N41)</f>
        <v>3.5373385738349246</v>
      </c>
      <c r="R41" s="33">
        <f t="shared" ca="1" si="4"/>
        <v>3.1833132188837383</v>
      </c>
      <c r="S41" s="777">
        <f t="shared" ca="1" si="5"/>
        <v>48.292451741178958</v>
      </c>
      <c r="T41" s="74">
        <f ca="1">IF(L41="","",DATE(INDEX(OFFSET(Arb!$C$2,,,Arb!$AJ$5,),L41),INDEX(OFFSET(Arb!$B$2,,,Arb!$AJ$5,),L41),INDEX(OFFSET(Arb!$A$2,,,Arb!$AJ$5,),L41))+ROW()*0.001)</f>
        <v>43784.040999999997</v>
      </c>
      <c r="U41" s="11">
        <v>40</v>
      </c>
      <c r="V41" s="11">
        <v>3219</v>
      </c>
      <c r="W41" s="433">
        <f ca="1">IF(V41="",164,INDEX(OFFSET(Arb!$I$2,,,Arb!$AJ$5,),V41))</f>
        <v>189</v>
      </c>
      <c r="X41" s="679">
        <f ca="1">IF(V41="",240,INDEX(OFFSET(Arb!$H$2,,,Arb!$AJ$5,),V41))</f>
        <v>70.97</v>
      </c>
      <c r="Y41" s="726">
        <f t="shared" ca="1" si="6"/>
        <v>2.6630970832746232</v>
      </c>
      <c r="Z41" s="561">
        <f ca="1">IF(V41="","",INDEX(OFFSET(Arb!$X$2,,,Arb!$AJ$5,),V41)/X41)</f>
        <v>3.1139918275327605</v>
      </c>
      <c r="AA41" s="724">
        <f ca="1">IF(V41="","",(INDEX(OFFSET(Arb!$U$2,,,Arb!$AJ$5,),V41)+INDEX(OFFSET(Arb!$V$2,,,Arb!$AJ$5,),V41))/X41)</f>
        <v>3.4944342680005636</v>
      </c>
      <c r="AB41" s="33">
        <f t="shared" ca="1" si="7"/>
        <v>7.419341556704004</v>
      </c>
      <c r="AC41" s="776">
        <f t="shared" ca="1" si="8"/>
        <v>58.630674524876092</v>
      </c>
      <c r="AD41" s="74">
        <f ca="1">IF(V41="","",DATE(INDEX(OFFSET(Arb!$C$2,,,Arb!$AJ$5,),V41),INDEX(OFFSET(Arb!$B$2,,,Arb!$AJ$5,),V41),INDEX(OFFSET(Arb!$A$2,,,Arb!$AJ$5,),V41))+ROW()*0.001)</f>
        <v>44059.040999999997</v>
      </c>
    </row>
    <row r="42" spans="1:30" x14ac:dyDescent="0.25">
      <c r="A42" s="11">
        <v>41</v>
      </c>
      <c r="B42" s="11">
        <v>689</v>
      </c>
      <c r="C42" s="433">
        <f ca="1">IF(B42="",16,INDEX(OFFSET(Arb!$I$2,,,Arb!$AJ$5,),B42))</f>
        <v>23</v>
      </c>
      <c r="D42" s="34">
        <f ca="1">IF(B42="",10,INDEX(OFFSET(Arb!$H$2,,,Arb!$AJ$5,),B42))</f>
        <v>5.25</v>
      </c>
      <c r="E42" s="33">
        <f t="shared" ca="1" si="0"/>
        <v>4.3809523809523814</v>
      </c>
      <c r="F42" s="33">
        <f ca="1">IF(B42="","",INDEX(OFFSET(Arb!$X$2,,,Arb!$AJ$5,),B42)/D42)</f>
        <v>4.5714285714285712</v>
      </c>
      <c r="G42" s="33">
        <f ca="1">IF(B42="","",(INDEX(OFFSET(Arb!$U$2,,,Arb!$AJ$5,),B42)+INDEX(OFFSET(Arb!$V$2,,,Arb!$AJ$5,),B42))/D42)</f>
        <v>5.1428571428571432</v>
      </c>
      <c r="H42" s="33">
        <f t="shared" ca="1" si="1"/>
        <v>0.72869028547558234</v>
      </c>
      <c r="I42" s="21">
        <f t="shared" ca="1" si="2"/>
        <v>64.909606924607402</v>
      </c>
      <c r="J42" s="74">
        <f ca="1">IF(B42="","",DATE(INDEX(OFFSET(Arb!$C$2,,,Arb!$AJ$5,),B42),INDEX(OFFSET(Arb!$B$2,,,Arb!$AJ$5,),B42),INDEX(OFFSET(Arb!$A$2,,,Arb!$AJ$5,),B42))+ROW()*0.001)</f>
        <v>43801.042000000001</v>
      </c>
      <c r="K42" s="11">
        <v>41</v>
      </c>
      <c r="L42" s="11">
        <v>2055</v>
      </c>
      <c r="M42" s="433">
        <f ca="1">IF(L42="",64,INDEX(OFFSET(Arb!$I$2,,,Arb!$AJ$5,),L42))</f>
        <v>77</v>
      </c>
      <c r="N42" s="34">
        <f ca="1">IF(L42="",60,INDEX(OFFSET(Arb!$H$2,,,Arb!$AJ$5,),L42))</f>
        <v>25.45</v>
      </c>
      <c r="O42" s="33">
        <f t="shared" ca="1" si="3"/>
        <v>3.0255402750491158</v>
      </c>
      <c r="P42" s="33">
        <f ca="1">IF(L42="","",INDEX(OFFSET(Arb!$X$2,,,Arb!$AJ$5,),L42)/N42)</f>
        <v>3.7721021611001966</v>
      </c>
      <c r="Q42" s="33">
        <f ca="1">IF(L42="","",(INDEX(OFFSET(Arb!$U$2,,,Arb!$AJ$5,),L42)+INDEX(OFFSET(Arb!$V$2,,,Arb!$AJ$5,),L42))/N42)</f>
        <v>4.1650294695481334</v>
      </c>
      <c r="R42" s="33">
        <f t="shared" ca="1" si="4"/>
        <v>3.1855066215974697</v>
      </c>
      <c r="S42" s="21">
        <f t="shared" ca="1" si="5"/>
        <v>48.259199638049218</v>
      </c>
      <c r="T42" s="74">
        <f ca="1">IF(L42="","",DATE(INDEX(OFFSET(Arb!$C$2,,,Arb!$AJ$5,),L42),INDEX(OFFSET(Arb!$B$2,,,Arb!$AJ$5,),L42),INDEX(OFFSET(Arb!$A$2,,,Arb!$AJ$5,),L42))+ROW()*0.001)</f>
        <v>43800.042000000001</v>
      </c>
      <c r="U42" s="11">
        <v>41</v>
      </c>
      <c r="V42" s="11">
        <v>3320</v>
      </c>
      <c r="W42" s="433">
        <f ca="1">IF(V42="",164,INDEX(OFFSET(Arb!$I$2,,,Arb!$AJ$5,),V42))</f>
        <v>180</v>
      </c>
      <c r="X42" s="34">
        <f ca="1">IF(V42="",240,INDEX(OFFSET(Arb!$H$2,,,Arb!$AJ$5,),V42))</f>
        <v>68.98</v>
      </c>
      <c r="Y42" s="33">
        <f t="shared" ca="1" si="6"/>
        <v>2.6094520150768337</v>
      </c>
      <c r="Z42" s="33">
        <f ca="1">IF(V42="","",INDEX(OFFSET(Arb!$X$2,,,Arb!$AJ$5,),V42)/X42)</f>
        <v>3.203827196288779</v>
      </c>
      <c r="AA42" s="33">
        <f ca="1">IF(V42="","",(INDEX(OFFSET(Arb!$U$2,,,Arb!$AJ$5,),V42)+INDEX(OFFSET(Arb!$V$2,,,Arb!$AJ$5,),V42))/X42)</f>
        <v>3.5952449985503043</v>
      </c>
      <c r="AB42" s="33">
        <f t="shared" ca="1" si="7"/>
        <v>7.4226147098253668</v>
      </c>
      <c r="AC42" s="21">
        <f t="shared" ca="1" si="8"/>
        <v>58.60482013490288</v>
      </c>
      <c r="AD42" s="74">
        <f ca="1">IF(V42="","",DATE(INDEX(OFFSET(Arb!$C$2,,,Arb!$AJ$5,),V42),INDEX(OFFSET(Arb!$B$2,,,Arb!$AJ$5,),V42),INDEX(OFFSET(Arb!$A$2,,,Arb!$AJ$5,),V42))+ROW()*0.001)</f>
        <v>44095.042000000001</v>
      </c>
    </row>
    <row r="43" spans="1:30" x14ac:dyDescent="0.25">
      <c r="A43" s="11">
        <v>42</v>
      </c>
      <c r="B43" s="11">
        <v>216</v>
      </c>
      <c r="C43" s="433">
        <f ca="1">IF(B43="",16,INDEX(OFFSET(Arb!$I$2,,,Arb!$AJ$5,),B43))</f>
        <v>15</v>
      </c>
      <c r="D43" s="34">
        <f ca="1">IF(B43="",10,INDEX(OFFSET(Arb!$H$2,,,Arb!$AJ$5,),B43))</f>
        <v>4.09</v>
      </c>
      <c r="E43" s="33">
        <f t="shared" ca="1" si="0"/>
        <v>3.6674816625916873</v>
      </c>
      <c r="F43" s="33">
        <f ca="1">IF(B43="","",INDEX(OFFSET(Arb!$X$2,,,Arb!$AJ$5,),B43)/D43)</f>
        <v>4.4009779951100247</v>
      </c>
      <c r="G43" s="33">
        <f ca="1">IF(B43="","",(INDEX(OFFSET(Arb!$U$2,,,Arb!$AJ$5,),B43)+INDEX(OFFSET(Arb!$V$2,,,Arb!$AJ$5,),B43))/D43)</f>
        <v>5.1344743276283618</v>
      </c>
      <c r="H43" s="33">
        <f t="shared" ca="1" si="1"/>
        <v>0.7308670192372736</v>
      </c>
      <c r="I43" s="21">
        <f t="shared" ca="1" si="2"/>
        <v>64.716287306767271</v>
      </c>
      <c r="J43" s="74">
        <f ca="1">IF(B43="","",DATE(INDEX(OFFSET(Arb!$C$2,,,Arb!$AJ$5,),B43),INDEX(OFFSET(Arb!$B$2,,,Arb!$AJ$5,),B43),INDEX(OFFSET(Arb!$A$2,,,Arb!$AJ$5,),B43))+ROW()*0.001)</f>
        <v>43774.042999999998</v>
      </c>
      <c r="K43" s="11">
        <v>42</v>
      </c>
      <c r="L43" s="11">
        <v>2254</v>
      </c>
      <c r="M43" s="433">
        <f ca="1">IF(L43="",64,INDEX(OFFSET(Arb!$I$2,,,Arb!$AJ$5,),L43))</f>
        <v>73</v>
      </c>
      <c r="N43" s="34">
        <f ca="1">IF(L43="",60,INDEX(OFFSET(Arb!$H$2,,,Arb!$AJ$5,),L43))</f>
        <v>24.74</v>
      </c>
      <c r="O43" s="33">
        <f t="shared" ca="1" si="3"/>
        <v>2.9506871463217466</v>
      </c>
      <c r="P43" s="33">
        <f ca="1">IF(L43="","",INDEX(OFFSET(Arb!$X$2,,,Arb!$AJ$5,),L43)/N43)</f>
        <v>3.3548908649959581</v>
      </c>
      <c r="Q43" s="33">
        <f ca="1">IF(L43="","",(INDEX(OFFSET(Arb!$U$2,,,Arb!$AJ$5,),L43)+INDEX(OFFSET(Arb!$V$2,,,Arb!$AJ$5,),L43))/N43)</f>
        <v>3.5974130962004853</v>
      </c>
      <c r="R43" s="33">
        <f t="shared" ca="1" si="4"/>
        <v>3.2022602310830304</v>
      </c>
      <c r="S43" s="21">
        <f t="shared" ca="1" si="5"/>
        <v>48.006716789536888</v>
      </c>
      <c r="T43" s="74">
        <f ca="1">IF(L43="","",DATE(INDEX(OFFSET(Arb!$C$2,,,Arb!$AJ$5,),L43),INDEX(OFFSET(Arb!$B$2,,,Arb!$AJ$5,),L43),INDEX(OFFSET(Arb!$A$2,,,Arb!$AJ$5,),L43))+ROW()*0.001)</f>
        <v>43901.042999999998</v>
      </c>
      <c r="U43" s="11">
        <v>42</v>
      </c>
      <c r="V43" s="11">
        <v>3146</v>
      </c>
      <c r="W43" s="433">
        <f ca="1">IF(V43="",164,INDEX(OFFSET(Arb!$I$2,,,Arb!$AJ$5,),V43))</f>
        <v>165</v>
      </c>
      <c r="X43" s="34">
        <f ca="1">IF(V43="",240,INDEX(OFFSET(Arb!$H$2,,,Arb!$AJ$5,),V43))</f>
        <v>65.56</v>
      </c>
      <c r="Y43" s="33">
        <f t="shared" ca="1" si="6"/>
        <v>2.5167785234899327</v>
      </c>
      <c r="Z43" s="33">
        <f ca="1">IF(V43="","",INDEX(OFFSET(Arb!$X$2,,,Arb!$AJ$5,),V43)/X43)</f>
        <v>2.9133618059792554</v>
      </c>
      <c r="AA43" s="33">
        <f ca="1">IF(V43="","",(INDEX(OFFSET(Arb!$U$2,,,Arb!$AJ$5,),V43)+INDEX(OFFSET(Arb!$V$2,,,Arb!$AJ$5,),V43))/X43)</f>
        <v>3.1421598535692494</v>
      </c>
      <c r="AB43" s="33">
        <f t="shared" ca="1" si="7"/>
        <v>7.4268091211320577</v>
      </c>
      <c r="AC43" s="21">
        <f t="shared" ca="1" si="8"/>
        <v>58.571722109062826</v>
      </c>
      <c r="AD43" s="74">
        <f ca="1">IF(V43="","",DATE(INDEX(OFFSET(Arb!$C$2,,,Arb!$AJ$5,),V43),INDEX(OFFSET(Arb!$B$2,,,Arb!$AJ$5,),V43),INDEX(OFFSET(Arb!$A$2,,,Arb!$AJ$5,),V43))+ROW()*0.001)</f>
        <v>44024.042999999998</v>
      </c>
    </row>
    <row r="44" spans="1:30" x14ac:dyDescent="0.25">
      <c r="A44" s="11">
        <v>43</v>
      </c>
      <c r="B44" s="11">
        <v>267</v>
      </c>
      <c r="C44" s="433">
        <f ca="1">IF(B44="",16,INDEX(OFFSET(Arb!$I$2,,,Arb!$AJ$5,),B44))</f>
        <v>21</v>
      </c>
      <c r="D44" s="34">
        <f ca="1">IF(B44="",10,INDEX(OFFSET(Arb!$H$2,,,Arb!$AJ$5,),B44))</f>
        <v>4.99</v>
      </c>
      <c r="E44" s="33">
        <f t="shared" ca="1" si="0"/>
        <v>4.2084168336673349</v>
      </c>
      <c r="F44" s="33">
        <f ca="1">IF(B44="","",INDEX(OFFSET(Arb!$X$2,,,Arb!$AJ$5,),B44)/D44)</f>
        <v>4.2084168336673349</v>
      </c>
      <c r="G44" s="33">
        <f ca="1">IF(B44="","",(INDEX(OFFSET(Arb!$U$2,,,Arb!$AJ$5,),B44)+INDEX(OFFSET(Arb!$V$2,,,Arb!$AJ$5,),B44))/D44)</f>
        <v>4.408817635270541</v>
      </c>
      <c r="H44" s="33">
        <f t="shared" ca="1" si="1"/>
        <v>0.73206835288244554</v>
      </c>
      <c r="I44" s="21">
        <f t="shared" ca="1" si="2"/>
        <v>64.610087041414843</v>
      </c>
      <c r="J44" s="74">
        <f ca="1">IF(B44="","",DATE(INDEX(OFFSET(Arb!$C$2,,,Arb!$AJ$5,),B44),INDEX(OFFSET(Arb!$B$2,,,Arb!$AJ$5,),B44),INDEX(OFFSET(Arb!$A$2,,,Arb!$AJ$5,),B44))+ROW()*0.001)</f>
        <v>43777.044000000002</v>
      </c>
      <c r="K44" s="11">
        <v>43</v>
      </c>
      <c r="L44" s="11">
        <v>2057</v>
      </c>
      <c r="M44" s="433">
        <f ca="1">IF(L44="",64,INDEX(OFFSET(Arb!$I$2,,,Arb!$AJ$5,),L44))</f>
        <v>62</v>
      </c>
      <c r="N44" s="34">
        <f ca="1">IF(L44="",60,INDEX(OFFSET(Arb!$H$2,,,Arb!$AJ$5,),L44))</f>
        <v>22.48</v>
      </c>
      <c r="O44" s="33">
        <f t="shared" ca="1" si="3"/>
        <v>2.7580071174377223</v>
      </c>
      <c r="P44" s="33">
        <f ca="1">IF(L44="","",INDEX(OFFSET(Arb!$X$2,,,Arb!$AJ$5,),L44)/N44)</f>
        <v>3.2028469750889679</v>
      </c>
      <c r="Q44" s="33">
        <f ca="1">IF(L44="","",(INDEX(OFFSET(Arb!$U$2,,,Arb!$AJ$5,),L44)+INDEX(OFFSET(Arb!$V$2,,,Arb!$AJ$5,),L44))/N44)</f>
        <v>3.6921708185053381</v>
      </c>
      <c r="R44" s="33">
        <f t="shared" ca="1" si="4"/>
        <v>3.2037751777361545</v>
      </c>
      <c r="S44" s="21">
        <f t="shared" ca="1" si="5"/>
        <v>47.984016190745443</v>
      </c>
      <c r="T44" s="74">
        <f ca="1">IF(L44="","",DATE(INDEX(OFFSET(Arb!$C$2,,,Arb!$AJ$5,),L44),INDEX(OFFSET(Arb!$B$2,,,Arb!$AJ$5,),L44),INDEX(OFFSET(Arb!$A$2,,,Arb!$AJ$5,),L44))+ROW()*0.001)</f>
        <v>43800.044000000002</v>
      </c>
      <c r="U44" s="11">
        <v>43</v>
      </c>
      <c r="V44" s="11">
        <v>3338</v>
      </c>
      <c r="W44" s="433">
        <f ca="1">IF(V44="",164,INDEX(OFFSET(Arb!$I$2,,,Arb!$AJ$5,),V44))</f>
        <v>174</v>
      </c>
      <c r="X44" s="34">
        <f ca="1">IF(V44="",240,INDEX(OFFSET(Arb!$H$2,,,Arb!$AJ$5,),V44))</f>
        <v>67.67</v>
      </c>
      <c r="Y44" s="33">
        <f t="shared" ca="1" si="6"/>
        <v>2.5713019063100337</v>
      </c>
      <c r="Z44" s="33">
        <f ca="1">IF(V44="","",INDEX(OFFSET(Arb!$X$2,,,Arb!$AJ$5,),V44)/X44)</f>
        <v>3.0294074183537756</v>
      </c>
      <c r="AA44" s="33">
        <f ca="1">IF(V44="","",(INDEX(OFFSET(Arb!$U$2,,,Arb!$AJ$5,),V44)+INDEX(OFFSET(Arb!$V$2,,,Arb!$AJ$5,),V44))/X44)</f>
        <v>3.3545145559332052</v>
      </c>
      <c r="AB44" s="33">
        <f t="shared" ca="1" si="7"/>
        <v>7.4323174623484709</v>
      </c>
      <c r="AC44" s="21">
        <f t="shared" ca="1" si="8"/>
        <v>58.528312629765942</v>
      </c>
      <c r="AD44" s="74">
        <f ca="1">IF(V44="","",DATE(INDEX(OFFSET(Arb!$C$2,,,Arb!$AJ$5,),V44),INDEX(OFFSET(Arb!$B$2,,,Arb!$AJ$5,),V44),INDEX(OFFSET(Arb!$A$2,,,Arb!$AJ$5,),V44))+ROW()*0.001)</f>
        <v>44096.044000000002</v>
      </c>
    </row>
    <row r="45" spans="1:30" x14ac:dyDescent="0.25">
      <c r="A45" s="11">
        <v>44</v>
      </c>
      <c r="B45" s="11">
        <v>1620</v>
      </c>
      <c r="C45" s="433">
        <f ca="1">IF(B45="",16,INDEX(OFFSET(Arb!$I$2,,,Arb!$AJ$5,),B45))</f>
        <v>29</v>
      </c>
      <c r="D45" s="34">
        <f ca="1">IF(B45="",10,INDEX(OFFSET(Arb!$H$2,,,Arb!$AJ$5,),B45))</f>
        <v>6.04</v>
      </c>
      <c r="E45" s="33">
        <f t="shared" ca="1" si="0"/>
        <v>4.8013245033112586</v>
      </c>
      <c r="F45" s="33">
        <f ca="1">IF(B45="","",INDEX(OFFSET(Arb!$X$2,,,Arb!$AJ$5,),B45)/D45)</f>
        <v>5.1324503311258276</v>
      </c>
      <c r="G45" s="33">
        <f ca="1">IF(B45="","",(INDEX(OFFSET(Arb!$U$2,,,Arb!$AJ$5,),B45)+INDEX(OFFSET(Arb!$V$2,,,Arb!$AJ$5,),B45))/D45)</f>
        <v>5.9602649006622519</v>
      </c>
      <c r="H45" s="33">
        <f t="shared" ca="1" si="1"/>
        <v>0.73344034813385295</v>
      </c>
      <c r="I45" s="21">
        <f t="shared" ca="1" si="2"/>
        <v>64.489225497815028</v>
      </c>
      <c r="J45" s="74">
        <f ca="1">IF(B45="","",DATE(INDEX(OFFSET(Arb!$C$2,,,Arb!$AJ$5,),B45),INDEX(OFFSET(Arb!$B$2,,,Arb!$AJ$5,),B45),INDEX(OFFSET(Arb!$A$2,,,Arb!$AJ$5,),B45))+ROW()*0.001)</f>
        <v>44093.044999999998</v>
      </c>
      <c r="K45" s="11">
        <v>44</v>
      </c>
      <c r="L45" s="11">
        <v>2311</v>
      </c>
      <c r="M45" s="433">
        <f ca="1">IF(L45="",64,INDEX(OFFSET(Arb!$I$2,,,Arb!$AJ$5,),L45))</f>
        <v>35</v>
      </c>
      <c r="N45" s="34">
        <f ca="1">IF(L45="",60,INDEX(OFFSET(Arb!$H$2,,,Arb!$AJ$5,),L45))</f>
        <v>16.059999999999999</v>
      </c>
      <c r="O45" s="33">
        <f t="shared" ca="1" si="3"/>
        <v>2.1793275217932755</v>
      </c>
      <c r="P45" s="33">
        <f ca="1">IF(L45="","",INDEX(OFFSET(Arb!$X$2,,,Arb!$AJ$5,),L45)/N45)</f>
        <v>3.1133250311332508</v>
      </c>
      <c r="Q45" s="33">
        <f ca="1">IF(L45="","",(INDEX(OFFSET(Arb!$U$2,,,Arb!$AJ$5,),L45)+INDEX(OFFSET(Arb!$V$2,,,Arb!$AJ$5,),L45))/N45)</f>
        <v>3.5491905354919058</v>
      </c>
      <c r="R45" s="33">
        <f t="shared" ca="1" si="4"/>
        <v>3.2040506677713521</v>
      </c>
      <c r="S45" s="21">
        <f t="shared" ca="1" si="5"/>
        <v>47.97989043878956</v>
      </c>
      <c r="T45" s="74">
        <f ca="1">IF(L45="","",DATE(INDEX(OFFSET(Arb!$C$2,,,Arb!$AJ$5,),L45),INDEX(OFFSET(Arb!$B$2,,,Arb!$AJ$5,),L45),INDEX(OFFSET(Arb!$A$2,,,Arb!$AJ$5,),L45))+ROW()*0.001)</f>
        <v>43952.044999999998</v>
      </c>
      <c r="U45" s="11">
        <v>44</v>
      </c>
      <c r="V45" s="11">
        <v>2871</v>
      </c>
      <c r="W45" s="433">
        <f ca="1">IF(V45="",164,INDEX(OFFSET(Arb!$I$2,,,Arb!$AJ$5,),V45))</f>
        <v>165</v>
      </c>
      <c r="X45" s="34">
        <f ca="1">IF(V45="",240,INDEX(OFFSET(Arb!$H$2,,,Arb!$AJ$5,),V45))</f>
        <v>65.599999999999994</v>
      </c>
      <c r="Y45" s="33">
        <f t="shared" ca="1" si="6"/>
        <v>2.5152439024390247</v>
      </c>
      <c r="Z45" s="33">
        <f ca="1">IF(V45="","",INDEX(OFFSET(Arb!$X$2,,,Arb!$AJ$5,),V45)/X45)</f>
        <v>3.0487804878048781</v>
      </c>
      <c r="AA45" s="33">
        <f ca="1">IF(V45="","",(INDEX(OFFSET(Arb!$U$2,,,Arb!$AJ$5,),V45)+INDEX(OFFSET(Arb!$V$2,,,Arb!$AJ$5,),V45))/X45)</f>
        <v>3.3231707317073176</v>
      </c>
      <c r="AB45" s="33">
        <f t="shared" ca="1" si="7"/>
        <v>7.4345139847489108</v>
      </c>
      <c r="AC45" s="21">
        <f t="shared" ca="1" si="8"/>
        <v>58.511020477243939</v>
      </c>
      <c r="AD45" s="74">
        <f ca="1">IF(V45="","",DATE(INDEX(OFFSET(Arb!$C$2,,,Arb!$AJ$5,),V45),INDEX(OFFSET(Arb!$B$2,,,Arb!$AJ$5,),V45),INDEX(OFFSET(Arb!$A$2,,,Arb!$AJ$5,),V45))+ROW()*0.001)</f>
        <v>43911.044999999998</v>
      </c>
    </row>
    <row r="46" spans="1:30" x14ac:dyDescent="0.25">
      <c r="A46" s="11">
        <v>45</v>
      </c>
      <c r="B46" s="11">
        <v>1696</v>
      </c>
      <c r="C46" s="433">
        <f ca="1">IF(B46="",16,INDEX(OFFSET(Arb!$I$2,,,Arb!$AJ$5,),B46))</f>
        <v>23</v>
      </c>
      <c r="D46" s="34">
        <f ca="1">IF(B46="",10,INDEX(OFFSET(Arb!$H$2,,,Arb!$AJ$5,),B46))</f>
        <v>5.28</v>
      </c>
      <c r="E46" s="33">
        <f t="shared" ca="1" si="0"/>
        <v>4.3560606060606055</v>
      </c>
      <c r="F46" s="33">
        <f ca="1">IF(B46="","",INDEX(OFFSET(Arb!$X$2,,,Arb!$AJ$5,),B46)/D46)</f>
        <v>4.3560606060606055</v>
      </c>
      <c r="G46" s="33">
        <f ca="1">IF(B46="","",(INDEX(OFFSET(Arb!$U$2,,,Arb!$AJ$5,),B46)+INDEX(OFFSET(Arb!$V$2,,,Arb!$AJ$5,),B46))/D46)</f>
        <v>4.7348484848484844</v>
      </c>
      <c r="H46" s="33">
        <f t="shared" ca="1" si="1"/>
        <v>0.73578314044221305</v>
      </c>
      <c r="I46" s="21">
        <f t="shared" ca="1" si="2"/>
        <v>64.283886651130416</v>
      </c>
      <c r="J46" s="74">
        <f ca="1">IF(B46="","",DATE(INDEX(OFFSET(Arb!$C$2,,,Arb!$AJ$5,),B46),INDEX(OFFSET(Arb!$B$2,,,Arb!$AJ$5,),B46),INDEX(OFFSET(Arb!$A$2,,,Arb!$AJ$5,),B46))+ROW()*0.001)</f>
        <v>44106.046000000002</v>
      </c>
      <c r="K46" s="11">
        <v>45</v>
      </c>
      <c r="L46" s="11">
        <v>2410</v>
      </c>
      <c r="M46" s="433">
        <f ca="1">IF(L46="",64,INDEX(OFFSET(Arb!$I$2,,,Arb!$AJ$5,),L46))</f>
        <v>65</v>
      </c>
      <c r="N46" s="34">
        <f ca="1">IF(L46="",60,INDEX(OFFSET(Arb!$H$2,,,Arb!$AJ$5,),L46))</f>
        <v>23.13</v>
      </c>
      <c r="O46" s="33">
        <f t="shared" ca="1" si="3"/>
        <v>2.8102031993082579</v>
      </c>
      <c r="P46" s="33">
        <f ca="1">IF(L46="","",INDEX(OFFSET(Arb!$X$2,,,Arb!$AJ$5,),L46)/N46)</f>
        <v>3.1993082576740166</v>
      </c>
      <c r="Q46" s="33">
        <f ca="1">IF(L46="","",(INDEX(OFFSET(Arb!$U$2,,,Arb!$AJ$5,),L46)+INDEX(OFFSET(Arb!$V$2,,,Arb!$AJ$5,),L46))/N46)</f>
        <v>3.3722438391699092</v>
      </c>
      <c r="R46" s="33">
        <f t="shared" ca="1" si="4"/>
        <v>3.2076370344170422</v>
      </c>
      <c r="S46" s="21">
        <f t="shared" ca="1" si="5"/>
        <v>47.926245504251376</v>
      </c>
      <c r="T46" s="74">
        <f ca="1">IF(L46="","",DATE(INDEX(OFFSET(Arb!$C$2,,,Arb!$AJ$5,),L46),INDEX(OFFSET(Arb!$B$2,,,Arb!$AJ$5,),L46),INDEX(OFFSET(Arb!$A$2,,,Arb!$AJ$5,),L46))+ROW()*0.001)</f>
        <v>44168.046000000002</v>
      </c>
      <c r="U46" s="11">
        <v>45</v>
      </c>
      <c r="V46" s="11">
        <v>3294</v>
      </c>
      <c r="W46" s="433">
        <f ca="1">IF(V46="",164,INDEX(OFFSET(Arb!$I$2,,,Arb!$AJ$5,),V46))</f>
        <v>187</v>
      </c>
      <c r="X46" s="34">
        <f ca="1">IF(V46="",240,INDEX(OFFSET(Arb!$H$2,,,Arb!$AJ$5,),V46))</f>
        <v>70.62</v>
      </c>
      <c r="Y46" s="33">
        <f t="shared" ca="1" si="6"/>
        <v>2.6479750778816196</v>
      </c>
      <c r="Z46" s="33">
        <f ca="1">IF(V46="","",INDEX(OFFSET(Arb!$X$2,,,Arb!$AJ$5,),V46)/X46)</f>
        <v>3.1152647975077881</v>
      </c>
      <c r="AA46" s="33">
        <f ca="1">IF(V46="","",(INDEX(OFFSET(Arb!$U$2,,,Arb!$AJ$5,),V46)+INDEX(OFFSET(Arb!$V$2,,,Arb!$AJ$5,),V46))/X46)</f>
        <v>3.4126309827244405</v>
      </c>
      <c r="AB46" s="33">
        <f t="shared" ca="1" si="7"/>
        <v>7.4359336498839506</v>
      </c>
      <c r="AC46" s="21">
        <f t="shared" ca="1" si="8"/>
        <v>58.499849579317974</v>
      </c>
      <c r="AD46" s="74">
        <f ca="1">IF(V46="","",DATE(INDEX(OFFSET(Arb!$C$2,,,Arb!$AJ$5,),V46),INDEX(OFFSET(Arb!$B$2,,,Arb!$AJ$5,),V46),INDEX(OFFSET(Arb!$A$2,,,Arb!$AJ$5,),V46))+ROW()*0.001)</f>
        <v>44084.046000000002</v>
      </c>
    </row>
    <row r="47" spans="1:30" x14ac:dyDescent="0.25">
      <c r="A47" s="11">
        <v>46</v>
      </c>
      <c r="B47" s="11">
        <v>1188</v>
      </c>
      <c r="C47" s="433">
        <f ca="1">IF(B47="",16,INDEX(OFFSET(Arb!$I$2,,,Arb!$AJ$5,),B47))</f>
        <v>17</v>
      </c>
      <c r="D47" s="34">
        <f ca="1">IF(B47="",10,INDEX(OFFSET(Arb!$H$2,,,Arb!$AJ$5,),B47))</f>
        <v>4.42</v>
      </c>
      <c r="E47" s="33">
        <f t="shared" ca="1" si="0"/>
        <v>3.8461538461538463</v>
      </c>
      <c r="F47" s="33">
        <f ca="1">IF(B47="","",INDEX(OFFSET(Arb!$X$2,,,Arb!$AJ$5,),B47)/D47)</f>
        <v>4.751131221719457</v>
      </c>
      <c r="G47" s="33">
        <f ca="1">IF(B47="","",(INDEX(OFFSET(Arb!$U$2,,,Arb!$AJ$5,),B47)+INDEX(OFFSET(Arb!$V$2,,,Arb!$AJ$5,),B47))/D47)</f>
        <v>4.9773755656108598</v>
      </c>
      <c r="H47" s="33">
        <f t="shared" ca="1" si="1"/>
        <v>0.73581550759547165</v>
      </c>
      <c r="I47" s="21">
        <f t="shared" ca="1" si="2"/>
        <v>64.281058922725933</v>
      </c>
      <c r="J47" s="74">
        <f ca="1">IF(B47="","",DATE(INDEX(OFFSET(Arb!$C$2,,,Arb!$AJ$5,),B47),INDEX(OFFSET(Arb!$B$2,,,Arb!$AJ$5,),B47),INDEX(OFFSET(Arb!$A$2,,,Arb!$AJ$5,),B47))+ROW()*0.001)</f>
        <v>43893.046999999999</v>
      </c>
      <c r="K47" s="11">
        <v>46</v>
      </c>
      <c r="L47" s="11">
        <v>2336</v>
      </c>
      <c r="M47" s="433">
        <f ca="1">IF(L47="",64,INDEX(OFFSET(Arb!$I$2,,,Arb!$AJ$5,),L47))</f>
        <v>47</v>
      </c>
      <c r="N47" s="34">
        <f ca="1">IF(L47="",60,INDEX(OFFSET(Arb!$H$2,,,Arb!$AJ$5,),L47))</f>
        <v>19.12</v>
      </c>
      <c r="O47" s="33">
        <f t="shared" ca="1" si="3"/>
        <v>2.4581589958158996</v>
      </c>
      <c r="P47" s="33">
        <f ca="1">IF(L47="","",INDEX(OFFSET(Arb!$X$2,,,Arb!$AJ$5,),L47)/N47)</f>
        <v>3.3472803347280333</v>
      </c>
      <c r="Q47" s="33">
        <f ca="1">IF(L47="","",(INDEX(OFFSET(Arb!$U$2,,,Arb!$AJ$5,),L47)+INDEX(OFFSET(Arb!$V$2,,,Arb!$AJ$5,),L47))/N47)</f>
        <v>3.9225941422594142</v>
      </c>
      <c r="R47" s="33">
        <f t="shared" ca="1" si="4"/>
        <v>3.2094569271293829</v>
      </c>
      <c r="S47" s="21">
        <f t="shared" ca="1" si="5"/>
        <v>47.899069372306506</v>
      </c>
      <c r="T47" s="74">
        <f ca="1">IF(L47="","",DATE(INDEX(OFFSET(Arb!$C$2,,,Arb!$AJ$5,),L47),INDEX(OFFSET(Arb!$B$2,,,Arb!$AJ$5,),L47),INDEX(OFFSET(Arb!$A$2,,,Arb!$AJ$5,),L47))+ROW()*0.001)</f>
        <v>44093.046999999999</v>
      </c>
      <c r="U47" s="11">
        <v>46</v>
      </c>
      <c r="V47" s="11">
        <v>3314</v>
      </c>
      <c r="W47" s="433">
        <f ca="1">IF(V47="",164,INDEX(OFFSET(Arb!$I$2,,,Arb!$AJ$5,),V47))</f>
        <v>181</v>
      </c>
      <c r="X47" s="34">
        <f ca="1">IF(V47="",240,INDEX(OFFSET(Arb!$H$2,,,Arb!$AJ$5,),V47))</f>
        <v>69.28</v>
      </c>
      <c r="Y47" s="33">
        <f t="shared" ca="1" si="6"/>
        <v>2.6125866050808315</v>
      </c>
      <c r="Z47" s="33">
        <f ca="1">IF(V47="","",INDEX(OFFSET(Arb!$X$2,,,Arb!$AJ$5,),V47)/X47)</f>
        <v>3.1899538106235563</v>
      </c>
      <c r="AA47" s="33">
        <f ca="1">IF(V47="","",(INDEX(OFFSET(Arb!$U$2,,,Arb!$AJ$5,),V47)+INDEX(OFFSET(Arb!$V$2,,,Arb!$AJ$5,),V47))/X47)</f>
        <v>3.464203233256351</v>
      </c>
      <c r="AB47" s="33">
        <f t="shared" ca="1" si="7"/>
        <v>7.4362643404226345</v>
      </c>
      <c r="AC47" s="21">
        <f t="shared" ca="1" si="8"/>
        <v>58.497248092081271</v>
      </c>
      <c r="AD47" s="74">
        <f ca="1">IF(V47="","",DATE(INDEX(OFFSET(Arb!$C$2,,,Arb!$AJ$5,),V47),INDEX(OFFSET(Arb!$B$2,,,Arb!$AJ$5,),V47),INDEX(OFFSET(Arb!$A$2,,,Arb!$AJ$5,),V47))+ROW()*0.001)</f>
        <v>44094.046999999999</v>
      </c>
    </row>
    <row r="48" spans="1:30" x14ac:dyDescent="0.25">
      <c r="A48" s="11">
        <v>47</v>
      </c>
      <c r="B48" s="11">
        <v>680</v>
      </c>
      <c r="C48" s="433">
        <f ca="1">IF(B48="",16,INDEX(OFFSET(Arb!$I$2,,,Arb!$AJ$5,),B48))</f>
        <v>15</v>
      </c>
      <c r="D48" s="34">
        <f ca="1">IF(B48="",10,INDEX(OFFSET(Arb!$H$2,,,Arb!$AJ$5,),B48))</f>
        <v>4.12</v>
      </c>
      <c r="E48" s="33">
        <f t="shared" ca="1" si="0"/>
        <v>3.6407766990291259</v>
      </c>
      <c r="F48" s="33">
        <f ca="1">IF(B48="","",INDEX(OFFSET(Arb!$X$2,,,Arb!$AJ$5,),B48)/D48)</f>
        <v>3.6407766990291259</v>
      </c>
      <c r="G48" s="33">
        <f ca="1">IF(B48="","",(INDEX(OFFSET(Arb!$U$2,,,Arb!$AJ$5,),B48)+INDEX(OFFSET(Arb!$V$2,,,Arb!$AJ$5,),B48))/D48)</f>
        <v>4.1262135922330092</v>
      </c>
      <c r="H48" s="33">
        <f t="shared" ca="1" si="1"/>
        <v>0.74000389936342537</v>
      </c>
      <c r="I48" s="21">
        <f t="shared" ca="1" si="2"/>
        <v>63.917230761470428</v>
      </c>
      <c r="J48" s="74">
        <f ca="1">IF(B48="","",DATE(INDEX(OFFSET(Arb!$C$2,,,Arb!$AJ$5,),B48),INDEX(OFFSET(Arb!$B$2,,,Arb!$AJ$5,),B48),INDEX(OFFSET(Arb!$A$2,,,Arb!$AJ$5,),B48))+ROW()*0.001)</f>
        <v>43801.048000000003</v>
      </c>
      <c r="K48" s="11">
        <v>47</v>
      </c>
      <c r="L48" s="11">
        <v>2367</v>
      </c>
      <c r="M48" s="433">
        <f ca="1">IF(L48="",64,INDEX(OFFSET(Arb!$I$2,,,Arb!$AJ$5,),L48))</f>
        <v>65</v>
      </c>
      <c r="N48" s="34">
        <f ca="1">IF(L48="",60,INDEX(OFFSET(Arb!$H$2,,,Arb!$AJ$5,),L48))</f>
        <v>23.19</v>
      </c>
      <c r="O48" s="33">
        <f t="shared" ca="1" si="3"/>
        <v>2.8029322984044844</v>
      </c>
      <c r="P48" s="33">
        <f ca="1">IF(L48="","",INDEX(OFFSET(Arb!$X$2,,,Arb!$AJ$5,),L48)/N48)</f>
        <v>3.4928848641655885</v>
      </c>
      <c r="Q48" s="33">
        <f ca="1">IF(L48="","",(INDEX(OFFSET(Arb!$U$2,,,Arb!$AJ$5,),L48)+INDEX(OFFSET(Arb!$V$2,,,Arb!$AJ$5,),L48))/N48)</f>
        <v>3.8378611470461403</v>
      </c>
      <c r="R48" s="33">
        <f t="shared" ca="1" si="4"/>
        <v>3.2217950953844041</v>
      </c>
      <c r="S48" s="21">
        <f t="shared" ca="1" si="5"/>
        <v>47.715635367449678</v>
      </c>
      <c r="T48" s="74">
        <f ca="1">IF(L48="","",DATE(INDEX(OFFSET(Arb!$C$2,,,Arb!$AJ$5,),L48),INDEX(OFFSET(Arb!$B$2,,,Arb!$AJ$5,),L48),INDEX(OFFSET(Arb!$A$2,,,Arb!$AJ$5,),L48))+ROW()*0.001)</f>
        <v>44114.048000000003</v>
      </c>
      <c r="U48" s="11">
        <v>47</v>
      </c>
      <c r="V48" s="11">
        <v>2979</v>
      </c>
      <c r="W48" s="433">
        <f ca="1">IF(V48="",164,INDEX(OFFSET(Arb!$I$2,,,Arb!$AJ$5,),V48))</f>
        <v>169</v>
      </c>
      <c r="X48" s="34">
        <f ca="1">IF(V48="",240,INDEX(OFFSET(Arb!$H$2,,,Arb!$AJ$5,),V48))</f>
        <v>66.569999999999993</v>
      </c>
      <c r="Y48" s="33">
        <f t="shared" ca="1" si="6"/>
        <v>2.538681087576987</v>
      </c>
      <c r="Z48" s="33">
        <f ca="1">IF(V48="","",INDEX(OFFSET(Arb!$X$2,,,Arb!$AJ$5,),V48)/X48)</f>
        <v>3.0043563166591563</v>
      </c>
      <c r="AA48" s="33">
        <f ca="1">IF(V48="","",(INDEX(OFFSET(Arb!$U$2,,,Arb!$AJ$5,),V48)+INDEX(OFFSET(Arb!$V$2,,,Arb!$AJ$5,),V48))/X48)</f>
        <v>3.229683040408593</v>
      </c>
      <c r="AB48" s="33">
        <f t="shared" ca="1" si="7"/>
        <v>7.4419516174375433</v>
      </c>
      <c r="AC48" s="21">
        <f t="shared" ca="1" si="8"/>
        <v>58.452543413575981</v>
      </c>
      <c r="AD48" s="74">
        <f ca="1">IF(V48="","",DATE(INDEX(OFFSET(Arb!$C$2,,,Arb!$AJ$5,),V48),INDEX(OFFSET(Arb!$B$2,,,Arb!$AJ$5,),V48),INDEX(OFFSET(Arb!$A$2,,,Arb!$AJ$5,),V48))+ROW()*0.001)</f>
        <v>43956.048000000003</v>
      </c>
    </row>
    <row r="49" spans="1:30" x14ac:dyDescent="0.25">
      <c r="A49" s="11">
        <v>48</v>
      </c>
      <c r="B49" s="11">
        <v>991</v>
      </c>
      <c r="C49" s="433">
        <f ca="1">IF(B49="",16,INDEX(OFFSET(Arb!$I$2,,,Arb!$AJ$5,),B49))</f>
        <v>11</v>
      </c>
      <c r="D49" s="34">
        <f ca="1">IF(B49="",10,INDEX(OFFSET(Arb!$H$2,,,Arb!$AJ$5,),B49))</f>
        <v>3.44</v>
      </c>
      <c r="E49" s="33">
        <f t="shared" ca="1" si="0"/>
        <v>3.1976744186046511</v>
      </c>
      <c r="F49" s="33">
        <f ca="1">IF(B49="","",INDEX(OFFSET(Arb!$X$2,,,Arb!$AJ$5,),B49)/D49)</f>
        <v>4.0697674418604652</v>
      </c>
      <c r="G49" s="33">
        <f ca="1">IF(B49="","",(INDEX(OFFSET(Arb!$U$2,,,Arb!$AJ$5,),B49)+INDEX(OFFSET(Arb!$V$2,,,Arb!$AJ$5,),B49))/D49)</f>
        <v>4.6511627906976747</v>
      </c>
      <c r="H49" s="33">
        <f t="shared" ca="1" si="1"/>
        <v>0.74260294500580715</v>
      </c>
      <c r="I49" s="21">
        <f t="shared" ca="1" si="2"/>
        <v>63.693526019655259</v>
      </c>
      <c r="J49" s="74">
        <f ca="1">IF(B49="","",DATE(INDEX(OFFSET(Arb!$C$2,,,Arb!$AJ$5,),B49),INDEX(OFFSET(Arb!$B$2,,,Arb!$AJ$5,),B49),INDEX(OFFSET(Arb!$A$2,,,Arb!$AJ$5,),B49))+ROW()*0.001)</f>
        <v>43822.048999999999</v>
      </c>
      <c r="K49" s="11">
        <v>48</v>
      </c>
      <c r="L49" s="11">
        <v>2137</v>
      </c>
      <c r="M49" s="433">
        <f ca="1">IF(L49="",64,INDEX(OFFSET(Arb!$I$2,,,Arb!$AJ$5,),L49))</f>
        <v>72</v>
      </c>
      <c r="N49" s="34">
        <f ca="1">IF(L49="",60,INDEX(OFFSET(Arb!$H$2,,,Arb!$AJ$5,),L49))</f>
        <v>24.63</v>
      </c>
      <c r="O49" s="33">
        <f t="shared" ca="1" si="3"/>
        <v>2.9232643118148602</v>
      </c>
      <c r="P49" s="33">
        <f ca="1">IF(L49="","",INDEX(OFFSET(Arb!$X$2,,,Arb!$AJ$5,),L49)/N49)</f>
        <v>3.6134794965489241</v>
      </c>
      <c r="Q49" s="33">
        <f ca="1">IF(L49="","",(INDEX(OFFSET(Arb!$U$2,,,Arb!$AJ$5,),L49)+INDEX(OFFSET(Arb!$V$2,,,Arb!$AJ$5,),L49))/N49)</f>
        <v>4.0600893219650835</v>
      </c>
      <c r="R49" s="33">
        <f t="shared" ca="1" si="4"/>
        <v>3.222233464442569</v>
      </c>
      <c r="S49" s="21">
        <f t="shared" ca="1" si="5"/>
        <v>47.709143889297465</v>
      </c>
      <c r="T49" s="74">
        <f ca="1">IF(L49="","",DATE(INDEX(OFFSET(Arb!$C$2,,,Arb!$AJ$5,),L49),INDEX(OFFSET(Arb!$B$2,,,Arb!$AJ$5,),L49),INDEX(OFFSET(Arb!$A$2,,,Arb!$AJ$5,),L49))+ROW()*0.001)</f>
        <v>43817.048999999999</v>
      </c>
      <c r="U49" s="11">
        <v>48</v>
      </c>
      <c r="V49" s="11">
        <v>3073</v>
      </c>
      <c r="W49" s="433">
        <f ca="1">IF(V49="",164,INDEX(OFFSET(Arb!$I$2,,,Arb!$AJ$5,),V49))</f>
        <v>189</v>
      </c>
      <c r="X49" s="34">
        <f ca="1">IF(V49="",240,INDEX(OFFSET(Arb!$H$2,,,Arb!$AJ$5,),V49))</f>
        <v>71.22</v>
      </c>
      <c r="Y49" s="33">
        <f t="shared" ca="1" si="6"/>
        <v>2.6537489469250213</v>
      </c>
      <c r="Z49" s="33">
        <f ca="1">IF(V49="","",INDEX(OFFSET(Arb!$X$2,,,Arb!$AJ$5,),V49)/X49)</f>
        <v>3.1030609379387815</v>
      </c>
      <c r="AA49" s="33">
        <f ca="1">IF(V49="","",(INDEX(OFFSET(Arb!$U$2,,,Arb!$AJ$5,),V49)+INDEX(OFFSET(Arb!$V$2,,,Arb!$AJ$5,),V49))/X49)</f>
        <v>3.3557989328840212</v>
      </c>
      <c r="AB49" s="33">
        <f t="shared" ca="1" si="7"/>
        <v>7.463826641206281</v>
      </c>
      <c r="AC49" s="21">
        <f t="shared" ca="1" si="8"/>
        <v>58.281230381001514</v>
      </c>
      <c r="AD49" s="74">
        <f ca="1">IF(V49="","",DATE(INDEX(OFFSET(Arb!$C$2,,,Arb!$AJ$5,),V49),INDEX(OFFSET(Arb!$B$2,,,Arb!$AJ$5,),V49),INDEX(OFFSET(Arb!$A$2,,,Arb!$AJ$5,),V49))+ROW()*0.001)</f>
        <v>44003.048999999999</v>
      </c>
    </row>
    <row r="50" spans="1:30" x14ac:dyDescent="0.25">
      <c r="A50" s="11">
        <v>49</v>
      </c>
      <c r="B50" s="11">
        <v>16</v>
      </c>
      <c r="C50" s="433">
        <f ca="1">IF(B50="",16,INDEX(OFFSET(Arb!$I$2,,,Arb!$AJ$5,),B50))</f>
        <v>13</v>
      </c>
      <c r="D50" s="34">
        <f ca="1">IF(B50="",10,INDEX(OFFSET(Arb!$H$2,,,Arb!$AJ$5,),B50))</f>
        <v>3.81</v>
      </c>
      <c r="E50" s="33">
        <f t="shared" ca="1" si="0"/>
        <v>3.4120734908136483</v>
      </c>
      <c r="F50" s="33">
        <f ca="1">IF(B50="","",INDEX(OFFSET(Arb!$X$2,,,Arb!$AJ$5,),B50)/D50)</f>
        <v>3.4120734908136483</v>
      </c>
      <c r="G50" s="33">
        <f ca="1">IF(B50="","",(INDEX(OFFSET(Arb!$U$2,,,Arb!$AJ$5,),B50)+INDEX(OFFSET(Arb!$V$2,,,Arb!$AJ$5,),B50))/D50)</f>
        <v>3.9370078740157481</v>
      </c>
      <c r="H50" s="33">
        <f t="shared" ca="1" si="1"/>
        <v>0.74753082588465936</v>
      </c>
      <c r="I50" s="21">
        <f t="shared" ca="1" si="2"/>
        <v>63.273644861433475</v>
      </c>
      <c r="J50" s="74">
        <f ca="1">IF(B50="","",DATE(INDEX(OFFSET(Arb!$C$2,,,Arb!$AJ$5,),B50),INDEX(OFFSET(Arb!$B$2,,,Arb!$AJ$5,),B50),INDEX(OFFSET(Arb!$A$2,,,Arb!$AJ$5,),B50))+ROW()*0.001)</f>
        <v>43765.05</v>
      </c>
      <c r="K50" s="11">
        <v>49</v>
      </c>
      <c r="L50" s="11">
        <v>2318</v>
      </c>
      <c r="M50" s="433">
        <f ca="1">IF(L50="",64,INDEX(OFFSET(Arb!$I$2,,,Arb!$AJ$5,),L50))</f>
        <v>58</v>
      </c>
      <c r="N50" s="34">
        <f ca="1">IF(L50="",60,INDEX(OFFSET(Arb!$H$2,,,Arb!$AJ$5,),L50))</f>
        <v>21.75</v>
      </c>
      <c r="O50" s="33">
        <f t="shared" ca="1" si="3"/>
        <v>2.6666666666666665</v>
      </c>
      <c r="P50" s="33">
        <f ca="1">IF(L50="","",INDEX(OFFSET(Arb!$X$2,,,Arb!$AJ$5,),L50)/N50)</f>
        <v>3.1724137931034484</v>
      </c>
      <c r="Q50" s="33">
        <f ca="1">IF(L50="","",(INDEX(OFFSET(Arb!$U$2,,,Arb!$AJ$5,),L50)+INDEX(OFFSET(Arb!$V$2,,,Arb!$AJ$5,),L50))/N50)</f>
        <v>3.7241379310344827</v>
      </c>
      <c r="R50" s="33">
        <f t="shared" ca="1" si="4"/>
        <v>3.2378203672419184</v>
      </c>
      <c r="S50" s="21">
        <f t="shared" ca="1" si="5"/>
        <v>47.479471546765346</v>
      </c>
      <c r="T50" s="74">
        <f ca="1">IF(L50="","",DATE(INDEX(OFFSET(Arb!$C$2,,,Arb!$AJ$5,),L50),INDEX(OFFSET(Arb!$B$2,,,Arb!$AJ$5,),L50),INDEX(OFFSET(Arb!$A$2,,,Arb!$AJ$5,),L50))+ROW()*0.001)</f>
        <v>43967.05</v>
      </c>
      <c r="U50" s="11">
        <v>49</v>
      </c>
      <c r="V50" s="11">
        <v>3347</v>
      </c>
      <c r="W50" s="433">
        <f ca="1">IF(V50="",164,INDEX(OFFSET(Arb!$I$2,,,Arb!$AJ$5,),V50))</f>
        <v>173</v>
      </c>
      <c r="X50" s="34">
        <f ca="1">IF(V50="",240,INDEX(OFFSET(Arb!$H$2,,,Arb!$AJ$5,),V50))</f>
        <v>67.84</v>
      </c>
      <c r="Y50" s="33">
        <f t="shared" ca="1" si="6"/>
        <v>2.5501179245283017</v>
      </c>
      <c r="Z50" s="33">
        <f ca="1">IF(V50="","",INDEX(OFFSET(Arb!$X$2,,,Arb!$AJ$5,),V50)/X50)</f>
        <v>3.0365566037735849</v>
      </c>
      <c r="AA50" s="33">
        <f ca="1">IF(V50="","",(INDEX(OFFSET(Arb!$U$2,,,Arb!$AJ$5,),V50)+INDEX(OFFSET(Arb!$V$2,,,Arb!$AJ$5,),V50))/X50)</f>
        <v>3.3166273584905657</v>
      </c>
      <c r="AB50" s="33">
        <f t="shared" ca="1" si="7"/>
        <v>7.5072317629362297</v>
      </c>
      <c r="AC50" s="21">
        <f t="shared" ca="1" si="8"/>
        <v>57.944261445028616</v>
      </c>
      <c r="AD50" s="74">
        <f ca="1">IF(V50="","",DATE(INDEX(OFFSET(Arb!$C$2,,,Arb!$AJ$5,),V50),INDEX(OFFSET(Arb!$B$2,,,Arb!$AJ$5,),V50),INDEX(OFFSET(Arb!$A$2,,,Arb!$AJ$5,),V50))+ROW()*0.001)</f>
        <v>44098.05</v>
      </c>
    </row>
    <row r="51" spans="1:30" x14ac:dyDescent="0.25">
      <c r="A51" s="11">
        <v>50</v>
      </c>
      <c r="B51" s="11">
        <v>1707</v>
      </c>
      <c r="C51" s="433">
        <f ca="1">IF(B51="",16,INDEX(OFFSET(Arb!$I$2,,,Arb!$AJ$5,),B51))</f>
        <v>13</v>
      </c>
      <c r="D51" s="34">
        <f ca="1">IF(B51="",10,INDEX(OFFSET(Arb!$H$2,,,Arb!$AJ$5,),B51))</f>
        <v>3.83</v>
      </c>
      <c r="E51" s="33">
        <f t="shared" ca="1" si="0"/>
        <v>3.3942558746736293</v>
      </c>
      <c r="F51" s="33">
        <f ca="1">IF(B51="","",INDEX(OFFSET(Arb!$X$2,,,Arb!$AJ$5,),B51)/D51)</f>
        <v>4.1775456919060048</v>
      </c>
      <c r="G51" s="33">
        <f ca="1">IF(B51="","",(INDEX(OFFSET(Arb!$U$2,,,Arb!$AJ$5,),B51)+INDEX(OFFSET(Arb!$V$2,,,Arb!$AJ$5,),B51))/D51)</f>
        <v>4.9608355091383807</v>
      </c>
      <c r="H51" s="33">
        <f t="shared" ca="1" si="1"/>
        <v>0.75421395443077732</v>
      </c>
      <c r="I51" s="21">
        <f t="shared" ca="1" si="2"/>
        <v>62.712973847981438</v>
      </c>
      <c r="J51" s="74">
        <f ca="1">IF(B51="","",DATE(INDEX(OFFSET(Arb!$C$2,,,Arb!$AJ$5,),B51),INDEX(OFFSET(Arb!$B$2,,,Arb!$AJ$5,),B51),INDEX(OFFSET(Arb!$A$2,,,Arb!$AJ$5,),B51))+ROW()*0.001)</f>
        <v>44107.050999999999</v>
      </c>
      <c r="K51" s="11">
        <v>50</v>
      </c>
      <c r="L51" s="11">
        <v>2120</v>
      </c>
      <c r="M51" s="433">
        <f ca="1">IF(L51="",64,INDEX(OFFSET(Arb!$I$2,,,Arb!$AJ$5,),L51))</f>
        <v>73</v>
      </c>
      <c r="N51" s="34">
        <f ca="1">IF(L51="",60,INDEX(OFFSET(Arb!$H$2,,,Arb!$AJ$5,),L51))</f>
        <v>24.93</v>
      </c>
      <c r="O51" s="33">
        <f t="shared" ca="1" si="3"/>
        <v>2.9281989570798235</v>
      </c>
      <c r="P51" s="33">
        <f ca="1">IF(L51="","",INDEX(OFFSET(Arb!$X$2,,,Arb!$AJ$5,),L51)/N51)</f>
        <v>3.3694344163658245</v>
      </c>
      <c r="Q51" s="33">
        <f ca="1">IF(L51="","",(INDEX(OFFSET(Arb!$U$2,,,Arb!$AJ$5,),L51)+INDEX(OFFSET(Arb!$V$2,,,Arb!$AJ$5,),L51))/N51)</f>
        <v>3.9310068190934619</v>
      </c>
      <c r="R51" s="33">
        <f t="shared" ca="1" si="4"/>
        <v>3.2441805284609502</v>
      </c>
      <c r="S51" s="21">
        <f t="shared" ca="1" si="5"/>
        <v>47.386388843450092</v>
      </c>
      <c r="T51" s="74">
        <f ca="1">IF(L51="","",DATE(INDEX(OFFSET(Arb!$C$2,,,Arb!$AJ$5,),L51),INDEX(OFFSET(Arb!$B$2,,,Arb!$AJ$5,),L51),INDEX(OFFSET(Arb!$A$2,,,Arb!$AJ$5,),L51))+ROW()*0.001)</f>
        <v>43811.050999999999</v>
      </c>
      <c r="U51" s="11">
        <v>50</v>
      </c>
      <c r="V51" s="11">
        <v>3296</v>
      </c>
      <c r="W51" s="433">
        <f ca="1">IF(V51="",164,INDEX(OFFSET(Arb!$I$2,,,Arb!$AJ$5,),V51))</f>
        <v>198</v>
      </c>
      <c r="X51" s="34">
        <f ca="1">IF(V51="",240,INDEX(OFFSET(Arb!$H$2,,,Arb!$AJ$5,),V51))</f>
        <v>73.569999999999993</v>
      </c>
      <c r="Y51" s="33">
        <f t="shared" ca="1" si="6"/>
        <v>2.6913143944542615</v>
      </c>
      <c r="Z51" s="33">
        <f ca="1">IF(V51="","",INDEX(OFFSET(Arb!$X$2,,,Arb!$AJ$5,),V51)/X51)</f>
        <v>3.1534592904716598</v>
      </c>
      <c r="AA51" s="33">
        <f ca="1">IF(V51="","",(INDEX(OFFSET(Arb!$U$2,,,Arb!$AJ$5,),V51)+INDEX(OFFSET(Arb!$V$2,,,Arb!$AJ$5,),V51))/X51)</f>
        <v>3.5340492048389294</v>
      </c>
      <c r="AB51" s="33">
        <f t="shared" ca="1" si="7"/>
        <v>7.5288058005520249</v>
      </c>
      <c r="AC51" s="21">
        <f t="shared" ca="1" si="8"/>
        <v>57.778220281376491</v>
      </c>
      <c r="AD51" s="74">
        <f ca="1">IF(V51="","",DATE(INDEX(OFFSET(Arb!$C$2,,,Arb!$AJ$5,),V51),INDEX(OFFSET(Arb!$B$2,,,Arb!$AJ$5,),V51),INDEX(OFFSET(Arb!$A$2,,,Arb!$AJ$5,),V51))+ROW()*0.001)</f>
        <v>44089.050999999999</v>
      </c>
    </row>
    <row r="52" spans="1:30" x14ac:dyDescent="0.25">
      <c r="A52" s="11">
        <v>51</v>
      </c>
      <c r="B52" s="11">
        <v>1402</v>
      </c>
      <c r="C52" s="433">
        <f ca="1">IF(B52="",16,INDEX(OFFSET(Arb!$I$2,,,Arb!$AJ$5,),B52))</f>
        <v>18</v>
      </c>
      <c r="D52" s="34">
        <f ca="1">IF(B52="",10,INDEX(OFFSET(Arb!$H$2,,,Arb!$AJ$5,),B52))</f>
        <v>4.6399999999999997</v>
      </c>
      <c r="E52" s="33">
        <f t="shared" ca="1" si="0"/>
        <v>3.8793103448275863</v>
      </c>
      <c r="F52" s="33">
        <f ca="1">IF(B52="","",INDEX(OFFSET(Arb!$X$2,,,Arb!$AJ$5,),B52)/D52)</f>
        <v>4.0948275862068968</v>
      </c>
      <c r="G52" s="33">
        <f ca="1">IF(B52="","",(INDEX(OFFSET(Arb!$U$2,,,Arb!$AJ$5,),B52)+INDEX(OFFSET(Arb!$V$2,,,Arb!$AJ$5,),B52))/D52)</f>
        <v>4.9568965517241379</v>
      </c>
      <c r="H52" s="33">
        <f t="shared" ca="1" si="1"/>
        <v>0.7547585854085006</v>
      </c>
      <c r="I52" s="21">
        <f t="shared" ca="1" si="2"/>
        <v>62.667720400159737</v>
      </c>
      <c r="J52" s="74">
        <f ca="1">IF(B52="","",DATE(INDEX(OFFSET(Arb!$C$2,,,Arb!$AJ$5,),B52),INDEX(OFFSET(Arb!$B$2,,,Arb!$AJ$5,),B52),INDEX(OFFSET(Arb!$A$2,,,Arb!$AJ$5,),B52))+ROW()*0.001)</f>
        <v>43940.052000000003</v>
      </c>
      <c r="K52" s="11">
        <v>51</v>
      </c>
      <c r="L52" s="11">
        <v>2237</v>
      </c>
      <c r="M52" s="433">
        <f ca="1">IF(L52="",64,INDEX(OFFSET(Arb!$I$2,,,Arb!$AJ$5,),L52))</f>
        <v>57</v>
      </c>
      <c r="N52" s="34">
        <f ca="1">IF(L52="",60,INDEX(OFFSET(Arb!$H$2,,,Arb!$AJ$5,),L52))</f>
        <v>21.57</v>
      </c>
      <c r="O52" s="33">
        <f t="shared" ca="1" si="3"/>
        <v>2.642559109874826</v>
      </c>
      <c r="P52" s="33">
        <f ca="1">IF(L52="","",INDEX(OFFSET(Arb!$X$2,,,Arb!$AJ$5,),L52)/N52)</f>
        <v>3.1525266573945294</v>
      </c>
      <c r="Q52" s="33">
        <f ca="1">IF(L52="","",(INDEX(OFFSET(Arb!$U$2,,,Arb!$AJ$5,),L52)+INDEX(OFFSET(Arb!$V$2,,,Arb!$AJ$5,),L52))/N52)</f>
        <v>3.3843300880853038</v>
      </c>
      <c r="R52" s="33">
        <f t="shared" ca="1" si="4"/>
        <v>3.2484066508496441</v>
      </c>
      <c r="S52" s="21">
        <f t="shared" ca="1" si="5"/>
        <v>47.324739948981083</v>
      </c>
      <c r="T52" s="74">
        <f ca="1">IF(L52="","",DATE(INDEX(OFFSET(Arb!$C$2,,,Arb!$AJ$5,),L52),INDEX(OFFSET(Arb!$B$2,,,Arb!$AJ$5,),L52),INDEX(OFFSET(Arb!$A$2,,,Arb!$AJ$5,),L52))+ROW()*0.001)</f>
        <v>43890.052000000003</v>
      </c>
      <c r="U52" s="11">
        <v>51</v>
      </c>
      <c r="V52" s="11">
        <v>3005</v>
      </c>
      <c r="W52" s="433">
        <f ca="1">IF(V52="",164,INDEX(OFFSET(Arb!$I$2,,,Arb!$AJ$5,),V52))</f>
        <v>159</v>
      </c>
      <c r="X52" s="34">
        <f ca="1">IF(V52="",240,INDEX(OFFSET(Arb!$H$2,,,Arb!$AJ$5,),V52))</f>
        <v>64.680000000000007</v>
      </c>
      <c r="Y52" s="33">
        <f t="shared" ca="1" si="6"/>
        <v>2.458256029684601</v>
      </c>
      <c r="Z52" s="33">
        <f ca="1">IF(V52="","",INDEX(OFFSET(Arb!$X$2,,,Arb!$AJ$5,),V52)/X52)</f>
        <v>2.7520098948670375</v>
      </c>
      <c r="AA52" s="33">
        <f ca="1">IF(V52="","",(INDEX(OFFSET(Arb!$U$2,,,Arb!$AJ$5,),V52)+INDEX(OFFSET(Arb!$V$2,,,Arb!$AJ$5,),V52))/X52)</f>
        <v>3.0612244897959182</v>
      </c>
      <c r="AB52" s="33">
        <f t="shared" ca="1" si="7"/>
        <v>7.53202746164677</v>
      </c>
      <c r="AC52" s="21">
        <f t="shared" ca="1" si="8"/>
        <v>57.753506903026242</v>
      </c>
      <c r="AD52" s="74">
        <f ca="1">IF(V52="","",DATE(INDEX(OFFSET(Arb!$C$2,,,Arb!$AJ$5,),V52),INDEX(OFFSET(Arb!$B$2,,,Arb!$AJ$5,),V52),INDEX(OFFSET(Arb!$A$2,,,Arb!$AJ$5,),V52))+ROW()*0.001)</f>
        <v>43957.052000000003</v>
      </c>
    </row>
    <row r="53" spans="1:30" x14ac:dyDescent="0.25">
      <c r="A53" s="11">
        <v>52</v>
      </c>
      <c r="B53" s="11">
        <v>256</v>
      </c>
      <c r="C53" s="433">
        <f ca="1">IF(B53="",16,INDEX(OFFSET(Arb!$I$2,,,Arb!$AJ$5,),B53))</f>
        <v>14</v>
      </c>
      <c r="D53" s="34">
        <f ca="1">IF(B53="",10,INDEX(OFFSET(Arb!$H$2,,,Arb!$AJ$5,),B53))</f>
        <v>4.01</v>
      </c>
      <c r="E53" s="33">
        <f t="shared" ca="1" si="0"/>
        <v>3.491271820448878</v>
      </c>
      <c r="F53" s="33">
        <f ca="1">IF(B53="","",INDEX(OFFSET(Arb!$X$2,,,Arb!$AJ$5,),B53)/D53)</f>
        <v>3.9900249376558605</v>
      </c>
      <c r="G53" s="33">
        <f ca="1">IF(B53="","",(INDEX(OFFSET(Arb!$U$2,,,Arb!$AJ$5,),B53)+INDEX(OFFSET(Arb!$V$2,,,Arb!$AJ$5,),B53))/D53)</f>
        <v>4.2394014962593518</v>
      </c>
      <c r="H53" s="33">
        <f t="shared" ca="1" si="1"/>
        <v>0.75721184290742138</v>
      </c>
      <c r="I53" s="21">
        <f t="shared" ca="1" si="2"/>
        <v>62.464685996442995</v>
      </c>
      <c r="J53" s="74">
        <f ca="1">IF(B53="","",DATE(INDEX(OFFSET(Arb!$C$2,,,Arb!$AJ$5,),B53),INDEX(OFFSET(Arb!$B$2,,,Arb!$AJ$5,),B53),INDEX(OFFSET(Arb!$A$2,,,Arb!$AJ$5,),B53))+ROW()*0.001)</f>
        <v>43776.053</v>
      </c>
      <c r="K53" s="11">
        <v>52</v>
      </c>
      <c r="L53" s="11">
        <v>2349</v>
      </c>
      <c r="M53" s="433">
        <f ca="1">IF(L53="",64,INDEX(OFFSET(Arb!$I$2,,,Arb!$AJ$5,),L53))</f>
        <v>71</v>
      </c>
      <c r="N53" s="34">
        <f ca="1">IF(L53="",60,INDEX(OFFSET(Arb!$H$2,,,Arb!$AJ$5,),L53))</f>
        <v>24.56</v>
      </c>
      <c r="O53" s="33">
        <f t="shared" ca="1" si="3"/>
        <v>2.8908794788273617</v>
      </c>
      <c r="P53" s="33">
        <f ca="1">IF(L53="","",INDEX(OFFSET(Arb!$X$2,,,Arb!$AJ$5,),L53)/N53)</f>
        <v>3.4609120521172638</v>
      </c>
      <c r="Q53" s="33">
        <f ca="1">IF(L53="","",(INDEX(OFFSET(Arb!$U$2,,,Arb!$AJ$5,),L53)+INDEX(OFFSET(Arb!$V$2,,,Arb!$AJ$5,),L53))/N53)</f>
        <v>3.7866449511400653</v>
      </c>
      <c r="R53" s="33">
        <f t="shared" ca="1" si="4"/>
        <v>3.2518452307504941</v>
      </c>
      <c r="S53" s="21">
        <f t="shared" ca="1" si="5"/>
        <v>47.274697622838772</v>
      </c>
      <c r="T53" s="74">
        <f ca="1">IF(L53="","",DATE(INDEX(OFFSET(Arb!$C$2,,,Arb!$AJ$5,),L53),INDEX(OFFSET(Arb!$B$2,,,Arb!$AJ$5,),L53),INDEX(OFFSET(Arb!$A$2,,,Arb!$AJ$5,),L53))+ROW()*0.001)</f>
        <v>44106.053</v>
      </c>
      <c r="U53" s="11">
        <v>52</v>
      </c>
      <c r="V53" s="11">
        <v>3234</v>
      </c>
      <c r="W53" s="433">
        <f ca="1">IF(V53="",164,INDEX(OFFSET(Arb!$I$2,,,Arb!$AJ$5,),V53))</f>
        <v>176</v>
      </c>
      <c r="X53" s="34">
        <f ca="1">IF(V53="",240,INDEX(OFFSET(Arb!$H$2,,,Arb!$AJ$5,),V53))</f>
        <v>68.680000000000007</v>
      </c>
      <c r="Y53" s="33">
        <f t="shared" ca="1" si="6"/>
        <v>2.56260920209668</v>
      </c>
      <c r="Z53" s="33">
        <f ca="1">IF(V53="","",INDEX(OFFSET(Arb!$X$2,,,Arb!$AJ$5,),V53)/X53)</f>
        <v>3.0867792661619098</v>
      </c>
      <c r="AA53" s="33">
        <f ca="1">IF(V53="","",(INDEX(OFFSET(Arb!$U$2,,,Arb!$AJ$5,),V53)+INDEX(OFFSET(Arb!$V$2,,,Arb!$AJ$5,),V53))/X53)</f>
        <v>3.3634245777518923</v>
      </c>
      <c r="AB53" s="33">
        <f t="shared" ca="1" si="7"/>
        <v>7.5352700150311795</v>
      </c>
      <c r="AC53" s="21">
        <f t="shared" ca="1" si="8"/>
        <v>57.72865459794675</v>
      </c>
      <c r="AD53" s="74">
        <f ca="1">IF(V53="","",DATE(INDEX(OFFSET(Arb!$C$2,,,Arb!$AJ$5,),V53),INDEX(OFFSET(Arb!$B$2,,,Arb!$AJ$5,),V53),INDEX(OFFSET(Arb!$A$2,,,Arb!$AJ$5,),V53))+ROW()*0.001)</f>
        <v>44063.053</v>
      </c>
    </row>
    <row r="54" spans="1:30" x14ac:dyDescent="0.25">
      <c r="A54" s="11">
        <v>53</v>
      </c>
      <c r="B54" s="11">
        <v>269</v>
      </c>
      <c r="C54" s="433">
        <f ca="1">IF(B54="",16,INDEX(OFFSET(Arb!$I$2,,,Arb!$AJ$5,),B54))</f>
        <v>13</v>
      </c>
      <c r="D54" s="34">
        <f ca="1">IF(B54="",10,INDEX(OFFSET(Arb!$H$2,,,Arb!$AJ$5,),B54))</f>
        <v>3.84</v>
      </c>
      <c r="E54" s="33">
        <f t="shared" ca="1" si="0"/>
        <v>3.385416666666667</v>
      </c>
      <c r="F54" s="33">
        <f ca="1">IF(B54="","",INDEX(OFFSET(Arb!$X$2,,,Arb!$AJ$5,),B54)/D54)</f>
        <v>4.166666666666667</v>
      </c>
      <c r="G54" s="33">
        <f ca="1">IF(B54="","",(INDEX(OFFSET(Arb!$U$2,,,Arb!$AJ$5,),B54)+INDEX(OFFSET(Arb!$V$2,,,Arb!$AJ$5,),B54))/D54)</f>
        <v>4.4270833333333339</v>
      </c>
      <c r="H54" s="33">
        <f t="shared" ca="1" si="1"/>
        <v>0.7575646988353546</v>
      </c>
      <c r="I54" s="21">
        <f t="shared" ca="1" si="2"/>
        <v>62.435591405876387</v>
      </c>
      <c r="J54" s="74">
        <f ca="1">IF(B54="","",DATE(INDEX(OFFSET(Arb!$C$2,,,Arb!$AJ$5,),B54),INDEX(OFFSET(Arb!$B$2,,,Arb!$AJ$5,),B54),INDEX(OFFSET(Arb!$A$2,,,Arb!$AJ$5,),B54))+ROW()*0.001)</f>
        <v>43777.053999999996</v>
      </c>
      <c r="K54" s="11">
        <v>53</v>
      </c>
      <c r="L54" s="11">
        <v>2297</v>
      </c>
      <c r="M54" s="433">
        <f ca="1">IF(L54="",64,INDEX(OFFSET(Arb!$I$2,,,Arb!$AJ$5,),L54))</f>
        <v>53</v>
      </c>
      <c r="N54" s="34">
        <f ca="1">IF(L54="",60,INDEX(OFFSET(Arb!$H$2,,,Arb!$AJ$5,),L54))</f>
        <v>20.7</v>
      </c>
      <c r="O54" s="33">
        <f t="shared" ca="1" si="3"/>
        <v>2.560386473429952</v>
      </c>
      <c r="P54" s="33">
        <f ca="1">IF(L54="","",INDEX(OFFSET(Arb!$X$2,,,Arb!$AJ$5,),L54)/N54)</f>
        <v>3.2850241545893719</v>
      </c>
      <c r="Q54" s="33">
        <f ca="1">IF(L54="","",(INDEX(OFFSET(Arb!$U$2,,,Arb!$AJ$5,),L54)+INDEX(OFFSET(Arb!$V$2,,,Arb!$AJ$5,),L54))/N54)</f>
        <v>3.6714975845410631</v>
      </c>
      <c r="R54" s="33">
        <f t="shared" ca="1" si="4"/>
        <v>3.2574196934914577</v>
      </c>
      <c r="S54" s="21">
        <f t="shared" ca="1" si="5"/>
        <v>47.193795846191634</v>
      </c>
      <c r="T54" s="74">
        <f ca="1">IF(L54="","",DATE(INDEX(OFFSET(Arb!$C$2,,,Arb!$AJ$5,),L54),INDEX(OFFSET(Arb!$B$2,,,Arb!$AJ$5,),L54),INDEX(OFFSET(Arb!$A$2,,,Arb!$AJ$5,),L54))+ROW()*0.001)</f>
        <v>43937.053999999996</v>
      </c>
      <c r="U54" s="11">
        <v>53</v>
      </c>
      <c r="V54" s="11">
        <v>3208</v>
      </c>
      <c r="W54" s="433">
        <f ca="1">IF(V54="",164,INDEX(OFFSET(Arb!$I$2,,,Arb!$AJ$5,),V54))</f>
        <v>170</v>
      </c>
      <c r="X54" s="34">
        <f ca="1">IF(V54="",240,INDEX(OFFSET(Arb!$H$2,,,Arb!$AJ$5,),V54))</f>
        <v>67.31</v>
      </c>
      <c r="Y54" s="33">
        <f t="shared" ca="1" si="6"/>
        <v>2.5256276927648194</v>
      </c>
      <c r="Z54" s="33">
        <f ca="1">IF(V54="","",INDEX(OFFSET(Arb!$X$2,,,Arb!$AJ$5,),V54)/X54)</f>
        <v>2.8673302629624127</v>
      </c>
      <c r="AA54" s="33">
        <f ca="1">IF(V54="","",(INDEX(OFFSET(Arb!$U$2,,,Arb!$AJ$5,),V54)+INDEX(OFFSET(Arb!$V$2,,,Arb!$AJ$5,),V54))/X54)</f>
        <v>3.0901797652651908</v>
      </c>
      <c r="AB54" s="33">
        <f t="shared" ca="1" si="7"/>
        <v>7.5385250546335545</v>
      </c>
      <c r="AC54" s="21">
        <f t="shared" ca="1" si="8"/>
        <v>57.703728096337173</v>
      </c>
      <c r="AD54" s="74">
        <f ca="1">IF(V54="","",DATE(INDEX(OFFSET(Arb!$C$2,,,Arb!$AJ$5,),V54),INDEX(OFFSET(Arb!$B$2,,,Arb!$AJ$5,),V54),INDEX(OFFSET(Arb!$A$2,,,Arb!$AJ$5,),V54))+ROW()*0.001)</f>
        <v>44059.053999999996</v>
      </c>
    </row>
    <row r="55" spans="1:30" x14ac:dyDescent="0.25">
      <c r="A55" s="11">
        <v>54</v>
      </c>
      <c r="B55" s="11">
        <v>782</v>
      </c>
      <c r="C55" s="433">
        <f ca="1">IF(B55="",16,INDEX(OFFSET(Arb!$I$2,,,Arb!$AJ$5,),B55))</f>
        <v>10</v>
      </c>
      <c r="D55" s="34">
        <f ca="1">IF(B55="",10,INDEX(OFFSET(Arb!$H$2,,,Arb!$AJ$5,),B55))</f>
        <v>3.3</v>
      </c>
      <c r="E55" s="33">
        <f t="shared" ca="1" si="0"/>
        <v>3.0303030303030303</v>
      </c>
      <c r="F55" s="33">
        <f ca="1">IF(B55="","",INDEX(OFFSET(Arb!$X$2,,,Arb!$AJ$5,),B55)/D55)</f>
        <v>3.3333333333333335</v>
      </c>
      <c r="G55" s="33">
        <f ca="1">IF(B55="","",(INDEX(OFFSET(Arb!$U$2,,,Arb!$AJ$5,),B55)+INDEX(OFFSET(Arb!$V$2,,,Arb!$AJ$5,),B55))/D55)</f>
        <v>3.6363636363636367</v>
      </c>
      <c r="H55" s="33">
        <f t="shared" ca="1" si="1"/>
        <v>0.76115603966241574</v>
      </c>
      <c r="I55" s="21">
        <f t="shared" ca="1" si="2"/>
        <v>62.141003336159329</v>
      </c>
      <c r="J55" s="74">
        <f ca="1">IF(B55="","",DATE(INDEX(OFFSET(Arb!$C$2,,,Arb!$AJ$5,),B55),INDEX(OFFSET(Arb!$B$2,,,Arb!$AJ$5,),B55),INDEX(OFFSET(Arb!$A$2,,,Arb!$AJ$5,),B55))+ROW()*0.001)</f>
        <v>43810.055</v>
      </c>
      <c r="K55" s="11">
        <v>54</v>
      </c>
      <c r="L55" s="11">
        <v>2243</v>
      </c>
      <c r="M55" s="433">
        <f ca="1">IF(L55="",64,INDEX(OFFSET(Arb!$I$2,,,Arb!$AJ$5,),L55))</f>
        <v>77</v>
      </c>
      <c r="N55" s="34">
        <f ca="1">IF(L55="",60,INDEX(OFFSET(Arb!$H$2,,,Arb!$AJ$5,),L55))</f>
        <v>25.79</v>
      </c>
      <c r="O55" s="33">
        <f t="shared" ca="1" si="3"/>
        <v>2.9856533540131833</v>
      </c>
      <c r="P55" s="33">
        <f ca="1">IF(L55="","",INDEX(OFFSET(Arb!$X$2,,,Arb!$AJ$5,),L55)/N55)</f>
        <v>3.3346258239627762</v>
      </c>
      <c r="Q55" s="33">
        <f ca="1">IF(L55="","",(INDEX(OFFSET(Arb!$U$2,,,Arb!$AJ$5,),L55)+INDEX(OFFSET(Arb!$V$2,,,Arb!$AJ$5,),L55))/N55)</f>
        <v>3.7223730127956576</v>
      </c>
      <c r="R55" s="33">
        <f t="shared" ca="1" si="4"/>
        <v>3.2581911257013423</v>
      </c>
      <c r="S55" s="21">
        <f t="shared" ca="1" si="5"/>
        <v>47.182621911693047</v>
      </c>
      <c r="T55" s="74">
        <f ca="1">IF(L55="","",DATE(INDEX(OFFSET(Arb!$C$2,,,Arb!$AJ$5,),L55),INDEX(OFFSET(Arb!$B$2,,,Arb!$AJ$5,),L55),INDEX(OFFSET(Arb!$A$2,,,Arb!$AJ$5,),L55))+ROW()*0.001)</f>
        <v>43892.055</v>
      </c>
      <c r="U55" s="11">
        <v>54</v>
      </c>
      <c r="V55" s="11">
        <v>2870</v>
      </c>
      <c r="W55" s="433">
        <f ca="1">IF(V55="",164,INDEX(OFFSET(Arb!$I$2,,,Arb!$AJ$5,),V55))</f>
        <v>214</v>
      </c>
      <c r="X55" s="34">
        <f ca="1">IF(V55="",240,INDEX(OFFSET(Arb!$H$2,,,Arb!$AJ$5,),V55))</f>
        <v>77.099999999999994</v>
      </c>
      <c r="Y55" s="33">
        <f t="shared" ca="1" si="6"/>
        <v>2.7756160830090795</v>
      </c>
      <c r="Z55" s="33">
        <f ca="1">IF(V55="","",INDEX(OFFSET(Arb!$X$2,,,Arb!$AJ$5,),V55)/X55)</f>
        <v>3.1776913099870301</v>
      </c>
      <c r="AA55" s="33">
        <f ca="1">IF(V55="","",(INDEX(OFFSET(Arb!$U$2,,,Arb!$AJ$5,),V55)+INDEX(OFFSET(Arb!$V$2,,,Arb!$AJ$5,),V55))/X55)</f>
        <v>3.476005188067445</v>
      </c>
      <c r="AB55" s="33">
        <f t="shared" ca="1" si="7"/>
        <v>7.543600303930571</v>
      </c>
      <c r="AC55" s="21">
        <f t="shared" ca="1" si="8"/>
        <v>57.664905678173852</v>
      </c>
      <c r="AD55" s="74">
        <f ca="1">IF(V55="","",DATE(INDEX(OFFSET(Arb!$C$2,,,Arb!$AJ$5,),V55),INDEX(OFFSET(Arb!$B$2,,,Arb!$AJ$5,),V55),INDEX(OFFSET(Arb!$A$2,,,Arb!$AJ$5,),V55))+ROW()*0.001)</f>
        <v>43911.055</v>
      </c>
    </row>
    <row r="56" spans="1:30" x14ac:dyDescent="0.25">
      <c r="A56" s="11">
        <v>55</v>
      </c>
      <c r="B56" s="11">
        <v>1880</v>
      </c>
      <c r="C56" s="433">
        <f ca="1">IF(B56="",16,INDEX(OFFSET(Arb!$I$2,,,Arb!$AJ$5,),B56))</f>
        <v>19</v>
      </c>
      <c r="D56" s="34">
        <f ca="1">IF(B56="",10,INDEX(OFFSET(Arb!$H$2,,,Arb!$AJ$5,),B56))</f>
        <v>4.82</v>
      </c>
      <c r="E56" s="33">
        <f t="shared" ca="1" si="0"/>
        <v>3.9419087136929458</v>
      </c>
      <c r="F56" s="33">
        <f ca="1">IF(B56="","",INDEX(OFFSET(Arb!$X$2,,,Arb!$AJ$5,),B56)/D56)</f>
        <v>3.9419087136929458</v>
      </c>
      <c r="G56" s="33">
        <f ca="1">IF(B56="","",(INDEX(OFFSET(Arb!$U$2,,,Arb!$AJ$5,),B56)+INDEX(OFFSET(Arb!$V$2,,,Arb!$AJ$5,),B56))/D56)</f>
        <v>4.3568464730290453</v>
      </c>
      <c r="H56" s="33">
        <f t="shared" ca="1" si="1"/>
        <v>0.76282754047251322</v>
      </c>
      <c r="I56" s="21">
        <f t="shared" ca="1" si="2"/>
        <v>62.004840531454711</v>
      </c>
      <c r="J56" s="74">
        <f ca="1">IF(B56="","",DATE(INDEX(OFFSET(Arb!$C$2,,,Arb!$AJ$5,),B56),INDEX(OFFSET(Arb!$B$2,,,Arb!$AJ$5,),B56),INDEX(OFFSET(Arb!$A$2,,,Arb!$AJ$5,),B56))+ROW()*0.001)</f>
        <v>44168.055999999997</v>
      </c>
      <c r="K56" s="11">
        <v>55</v>
      </c>
      <c r="L56" s="11">
        <v>2127</v>
      </c>
      <c r="M56" s="433">
        <f ca="1">IF(L56="",64,INDEX(OFFSET(Arb!$I$2,,,Arb!$AJ$5,),L56))</f>
        <v>42</v>
      </c>
      <c r="N56" s="34">
        <f ca="1">IF(L56="",60,INDEX(OFFSET(Arb!$H$2,,,Arb!$AJ$5,),L56))</f>
        <v>18.059999999999999</v>
      </c>
      <c r="O56" s="33">
        <f t="shared" ca="1" si="3"/>
        <v>2.3255813953488373</v>
      </c>
      <c r="P56" s="33">
        <f ca="1">IF(L56="","",INDEX(OFFSET(Arb!$X$2,,,Arb!$AJ$5,),L56)/N56)</f>
        <v>2.879291251384275</v>
      </c>
      <c r="Q56" s="33">
        <f ca="1">IF(L56="","",(INDEX(OFFSET(Arb!$U$2,,,Arb!$AJ$5,),L56)+INDEX(OFFSET(Arb!$V$2,,,Arb!$AJ$5,),L56))/N56)</f>
        <v>3.4883720930232562</v>
      </c>
      <c r="R56" s="33">
        <f t="shared" ca="1" si="4"/>
        <v>3.2596493012808661</v>
      </c>
      <c r="S56" s="21">
        <f t="shared" ca="1" si="5"/>
        <v>47.161515178823812</v>
      </c>
      <c r="T56" s="74">
        <f ca="1">IF(L56="","",DATE(INDEX(OFFSET(Arb!$C$2,,,Arb!$AJ$5,),L56),INDEX(OFFSET(Arb!$B$2,,,Arb!$AJ$5,),L56),INDEX(OFFSET(Arb!$A$2,,,Arb!$AJ$5,),L56))+ROW()*0.001)</f>
        <v>43811.055999999997</v>
      </c>
      <c r="U56" s="11">
        <v>55</v>
      </c>
      <c r="V56" s="11">
        <v>3269</v>
      </c>
      <c r="W56" s="433">
        <f ca="1">IF(V56="",164,INDEX(OFFSET(Arb!$I$2,,,Arb!$AJ$5,),V56))</f>
        <v>165</v>
      </c>
      <c r="X56" s="34">
        <f ca="1">IF(V56="",240,INDEX(OFFSET(Arb!$H$2,,,Arb!$AJ$5,),V56))</f>
        <v>66.180000000000007</v>
      </c>
      <c r="Y56" s="33">
        <f t="shared" ca="1" si="6"/>
        <v>2.4932003626473254</v>
      </c>
      <c r="Z56" s="33">
        <f ca="1">IF(V56="","",INDEX(OFFSET(Arb!$X$2,,,Arb!$AJ$5,),V56)/X56)</f>
        <v>3.082502266545784</v>
      </c>
      <c r="AA56" s="33">
        <f ca="1">IF(V56="","",(INDEX(OFFSET(Arb!$U$2,,,Arb!$AJ$5,),V56)+INDEX(OFFSET(Arb!$V$2,,,Arb!$AJ$5,),V56))/X56)</f>
        <v>3.5660320338470832</v>
      </c>
      <c r="AB56" s="33">
        <f t="shared" ca="1" si="7"/>
        <v>7.546603845995266</v>
      </c>
      <c r="AC56" s="21">
        <f t="shared" ca="1" si="8"/>
        <v>57.641955093593616</v>
      </c>
      <c r="AD56" s="74">
        <f ca="1">IF(V56="","",DATE(INDEX(OFFSET(Arb!$C$2,,,Arb!$AJ$5,),V56),INDEX(OFFSET(Arb!$B$2,,,Arb!$AJ$5,),V56),INDEX(OFFSET(Arb!$A$2,,,Arb!$AJ$5,),V56))+ROW()*0.001)</f>
        <v>44074.055999999997</v>
      </c>
    </row>
    <row r="57" spans="1:30" x14ac:dyDescent="0.25">
      <c r="A57" s="11">
        <v>56</v>
      </c>
      <c r="B57" s="11">
        <v>1057</v>
      </c>
      <c r="C57" s="433">
        <f ca="1">IF(B57="",16,INDEX(OFFSET(Arb!$I$2,,,Arb!$AJ$5,),B57))</f>
        <v>12</v>
      </c>
      <c r="D57" s="34">
        <f ca="1">IF(B57="",10,INDEX(OFFSET(Arb!$H$2,,,Arb!$AJ$5,),B57))</f>
        <v>3.68</v>
      </c>
      <c r="E57" s="33">
        <f t="shared" ca="1" si="0"/>
        <v>3.2608695652173911</v>
      </c>
      <c r="F57" s="33">
        <f ca="1">IF(B57="","",INDEX(OFFSET(Arb!$X$2,,,Arb!$AJ$5,),B57)/D57)</f>
        <v>3.8043478260869565</v>
      </c>
      <c r="G57" s="33">
        <f ca="1">IF(B57="","",(INDEX(OFFSET(Arb!$U$2,,,Arb!$AJ$5,),B57)+INDEX(OFFSET(Arb!$V$2,,,Arb!$AJ$5,),B57))/D57)</f>
        <v>4.6195652173913038</v>
      </c>
      <c r="H57" s="33">
        <f t="shared" ca="1" si="1"/>
        <v>0.76341386926452293</v>
      </c>
      <c r="I57" s="21">
        <f t="shared" ca="1" si="2"/>
        <v>61.957218625813169</v>
      </c>
      <c r="J57" s="74">
        <f ca="1">IF(B57="","",DATE(INDEX(OFFSET(Arb!$C$2,,,Arb!$AJ$5,),B57),INDEX(OFFSET(Arb!$B$2,,,Arb!$AJ$5,),B57),INDEX(OFFSET(Arb!$A$2,,,Arb!$AJ$5,),B57))+ROW()*0.001)</f>
        <v>43841.057000000001</v>
      </c>
      <c r="K57" s="11">
        <v>56</v>
      </c>
      <c r="L57" s="11">
        <v>1908</v>
      </c>
      <c r="M57" s="433">
        <f ca="1">IF(L57="",64,INDEX(OFFSET(Arb!$I$2,,,Arb!$AJ$5,),L57))</f>
        <v>72</v>
      </c>
      <c r="N57" s="34">
        <f ca="1">IF(L57="",60,INDEX(OFFSET(Arb!$H$2,,,Arb!$AJ$5,),L57))</f>
        <v>24.87</v>
      </c>
      <c r="O57" s="33">
        <f t="shared" ca="1" si="3"/>
        <v>2.8950542822677923</v>
      </c>
      <c r="P57" s="33">
        <f ca="1">IF(L57="","",INDEX(OFFSET(Arb!$X$2,,,Arb!$AJ$5,),L57)/N57)</f>
        <v>3.337354242058705</v>
      </c>
      <c r="Q57" s="33">
        <f ca="1">IF(L57="","",(INDEX(OFFSET(Arb!$U$2,,,Arb!$AJ$5,),L57)+INDEX(OFFSET(Arb!$V$2,,,Arb!$AJ$5,),L57))/N57)</f>
        <v>3.7796542018496178</v>
      </c>
      <c r="R57" s="33">
        <f t="shared" ca="1" si="4"/>
        <v>3.2757921551361151</v>
      </c>
      <c r="S57" s="21">
        <f t="shared" ca="1" si="5"/>
        <v>46.929106829615762</v>
      </c>
      <c r="T57" s="74">
        <f ca="1">IF(L57="","",DATE(INDEX(OFFSET(Arb!$C$2,,,Arb!$AJ$5,),L57),INDEX(OFFSET(Arb!$B$2,,,Arb!$AJ$5,),L57),INDEX(OFFSET(Arb!$A$2,,,Arb!$AJ$5,),L57))+ROW()*0.001)</f>
        <v>43767.057000000001</v>
      </c>
      <c r="U57" s="11">
        <v>56</v>
      </c>
      <c r="V57" s="11">
        <v>3343</v>
      </c>
      <c r="W57" s="433">
        <f ca="1">IF(V57="",164,INDEX(OFFSET(Arb!$I$2,,,Arb!$AJ$5,),V57))</f>
        <v>191</v>
      </c>
      <c r="X57" s="34">
        <f ca="1">IF(V57="",240,INDEX(OFFSET(Arb!$H$2,,,Arb!$AJ$5,),V57))</f>
        <v>72.14</v>
      </c>
      <c r="Y57" s="33">
        <f t="shared" ca="1" si="6"/>
        <v>2.6476296090934293</v>
      </c>
      <c r="Z57" s="33">
        <f ca="1">IF(V57="","",INDEX(OFFSET(Arb!$X$2,,,Arb!$AJ$5,),V57)/X57)</f>
        <v>3.1605212087607431</v>
      </c>
      <c r="AA57" s="33">
        <f ca="1">IF(V57="","",(INDEX(OFFSET(Arb!$U$2,,,Arb!$AJ$5,),V57)+INDEX(OFFSET(Arb!$V$2,,,Arb!$AJ$5,),V57))/X57)</f>
        <v>3.410036041031328</v>
      </c>
      <c r="AB57" s="33">
        <f t="shared" ca="1" si="7"/>
        <v>7.5485939962878028</v>
      </c>
      <c r="AC57" s="21">
        <f t="shared" ca="1" si="8"/>
        <v>57.626758070962865</v>
      </c>
      <c r="AD57" s="74">
        <f ca="1">IF(V57="","",DATE(INDEX(OFFSET(Arb!$C$2,,,Arb!$AJ$5,),V57),INDEX(OFFSET(Arb!$B$2,,,Arb!$AJ$5,),V57),INDEX(OFFSET(Arb!$A$2,,,Arb!$AJ$5,),V57))+ROW()*0.001)</f>
        <v>44097.057000000001</v>
      </c>
    </row>
    <row r="58" spans="1:30" x14ac:dyDescent="0.25">
      <c r="A58" s="11">
        <v>57</v>
      </c>
      <c r="B58" s="11">
        <v>797</v>
      </c>
      <c r="C58" s="433">
        <f ca="1">IF(B58="",16,INDEX(OFFSET(Arb!$I$2,,,Arb!$AJ$5,),B58))</f>
        <v>14</v>
      </c>
      <c r="D58" s="34">
        <f ca="1">IF(B58="",10,INDEX(OFFSET(Arb!$H$2,,,Arb!$AJ$5,),B58))</f>
        <v>4.03</v>
      </c>
      <c r="E58" s="33">
        <f t="shared" ca="1" si="0"/>
        <v>3.4739454094292803</v>
      </c>
      <c r="F58" s="33">
        <f ca="1">IF(B58="","",INDEX(OFFSET(Arb!$X$2,,,Arb!$AJ$5,),B58)/D58)</f>
        <v>3.4739454094292803</v>
      </c>
      <c r="G58" s="33">
        <f ca="1">IF(B58="","",(INDEX(OFFSET(Arb!$U$2,,,Arb!$AJ$5,),B58)+INDEX(OFFSET(Arb!$V$2,,,Arb!$AJ$5,),B58))/D58)</f>
        <v>4.2183622828784113</v>
      </c>
      <c r="H58" s="33">
        <f t="shared" ca="1" si="1"/>
        <v>0.7636432947853623</v>
      </c>
      <c r="I58" s="21">
        <f t="shared" ca="1" si="2"/>
        <v>61.938604480635632</v>
      </c>
      <c r="J58" s="74">
        <f ca="1">IF(B58="","",DATE(INDEX(OFFSET(Arb!$C$2,,,Arb!$AJ$5,),B58),INDEX(OFFSET(Arb!$B$2,,,Arb!$AJ$5,),B58),INDEX(OFFSET(Arb!$A$2,,,Arb!$AJ$5,),B58))+ROW()*0.001)</f>
        <v>43811.057999999997</v>
      </c>
      <c r="K58" s="11">
        <v>57</v>
      </c>
      <c r="L58" s="11">
        <v>2223</v>
      </c>
      <c r="M58" s="433">
        <f ca="1">IF(L58="",64,INDEX(OFFSET(Arb!$I$2,,,Arb!$AJ$5,),L58))</f>
        <v>67</v>
      </c>
      <c r="N58" s="34">
        <f ca="1">IF(L58="",60,INDEX(OFFSET(Arb!$H$2,,,Arb!$AJ$5,),L58))</f>
        <v>23.87</v>
      </c>
      <c r="O58" s="33">
        <f t="shared" ca="1" si="3"/>
        <v>2.8068705488060326</v>
      </c>
      <c r="P58" s="33">
        <f ca="1">IF(L58="","",INDEX(OFFSET(Arb!$X$2,,,Arb!$AJ$5,),L58)/N58)</f>
        <v>3.3095936321742774</v>
      </c>
      <c r="Q58" s="33">
        <f ca="1">IF(L58="","",(INDEX(OFFSET(Arb!$U$2,,,Arb!$AJ$5,),L58)+INDEX(OFFSET(Arb!$V$2,,,Arb!$AJ$5,),L58))/N58)</f>
        <v>3.8123167155425217</v>
      </c>
      <c r="R58" s="33">
        <f t="shared" ca="1" si="4"/>
        <v>3.2830259052237962</v>
      </c>
      <c r="S58" s="21">
        <f t="shared" ca="1" si="5"/>
        <v>46.825704224688586</v>
      </c>
      <c r="T58" s="74">
        <f ca="1">IF(L58="","",DATE(INDEX(OFFSET(Arb!$C$2,,,Arb!$AJ$5,),L58),INDEX(OFFSET(Arb!$B$2,,,Arb!$AJ$5,),L58),INDEX(OFFSET(Arb!$A$2,,,Arb!$AJ$5,),L58))+ROW()*0.001)</f>
        <v>43870.057999999997</v>
      </c>
      <c r="U58" s="11">
        <v>57</v>
      </c>
      <c r="V58" s="11">
        <v>3209</v>
      </c>
      <c r="W58" s="433">
        <f ca="1">IF(V58="",164,INDEX(OFFSET(Arb!$I$2,,,Arb!$AJ$5,),V58))</f>
        <v>190</v>
      </c>
      <c r="X58" s="34">
        <f ca="1">IF(V58="",240,INDEX(OFFSET(Arb!$H$2,,,Arb!$AJ$5,),V58))</f>
        <v>71.98</v>
      </c>
      <c r="Y58" s="33">
        <f t="shared" ca="1" si="6"/>
        <v>2.6396221172547927</v>
      </c>
      <c r="Z58" s="33">
        <f ca="1">IF(V58="","",INDEX(OFFSET(Arb!$X$2,,,Arb!$AJ$5,),V58)/X58)</f>
        <v>3.084190052792442</v>
      </c>
      <c r="AA58" s="33">
        <f ca="1">IF(V58="","",(INDEX(OFFSET(Arb!$U$2,,,Arb!$AJ$5,),V58)+INDEX(OFFSET(Arb!$V$2,,,Arb!$AJ$5,),V58))/X58)</f>
        <v>3.4592942484023337</v>
      </c>
      <c r="AB58" s="33">
        <f t="shared" ca="1" si="7"/>
        <v>7.5597342869582391</v>
      </c>
      <c r="AC58" s="21">
        <f t="shared" ca="1" si="8"/>
        <v>57.541837250873598</v>
      </c>
      <c r="AD58" s="74">
        <f ca="1">IF(V58="","",DATE(INDEX(OFFSET(Arb!$C$2,,,Arb!$AJ$5,),V58),INDEX(OFFSET(Arb!$B$2,,,Arb!$AJ$5,),V58),INDEX(OFFSET(Arb!$A$2,,,Arb!$AJ$5,),V58))+ROW()*0.001)</f>
        <v>44059.057999999997</v>
      </c>
    </row>
    <row r="59" spans="1:30" x14ac:dyDescent="0.25">
      <c r="A59" s="11">
        <v>58</v>
      </c>
      <c r="B59" s="11">
        <v>1727</v>
      </c>
      <c r="C59" s="433">
        <f ca="1">IF(B59="",16,INDEX(OFFSET(Arb!$I$2,,,Arb!$AJ$5,),B59))</f>
        <v>15</v>
      </c>
      <c r="D59" s="34">
        <f ca="1">IF(B59="",10,INDEX(OFFSET(Arb!$H$2,,,Arb!$AJ$5,),B59))</f>
        <v>4.2</v>
      </c>
      <c r="E59" s="33">
        <f t="shared" ca="1" si="0"/>
        <v>3.5714285714285712</v>
      </c>
      <c r="F59" s="33">
        <f ca="1">IF(B59="","",INDEX(OFFSET(Arb!$X$2,,,Arb!$AJ$5,),B59)/D59)</f>
        <v>4.0476190476190474</v>
      </c>
      <c r="G59" s="33">
        <f ca="1">IF(B59="","",(INDEX(OFFSET(Arb!$U$2,,,Arb!$AJ$5,),B59)+INDEX(OFFSET(Arb!$V$2,,,Arb!$AJ$5,),B59))/D59)</f>
        <v>4.2857142857142856</v>
      </c>
      <c r="H59" s="33">
        <f t="shared" ca="1" si="1"/>
        <v>0.76459690307766737</v>
      </c>
      <c r="I59" s="21">
        <f t="shared" ca="1" si="2"/>
        <v>61.861354407284843</v>
      </c>
      <c r="J59" s="74">
        <f ca="1">IF(B59="","",DATE(INDEX(OFFSET(Arb!$C$2,,,Arb!$AJ$5,),B59),INDEX(OFFSET(Arb!$B$2,,,Arb!$AJ$5,),B59),INDEX(OFFSET(Arb!$A$2,,,Arb!$AJ$5,),B59))+ROW()*0.001)</f>
        <v>44107.059000000001</v>
      </c>
      <c r="K59" s="11">
        <v>58</v>
      </c>
      <c r="L59" s="11">
        <v>2036</v>
      </c>
      <c r="M59" s="433">
        <f ca="1">IF(L59="",64,INDEX(OFFSET(Arb!$I$2,,,Arb!$AJ$5,),L59))</f>
        <v>59</v>
      </c>
      <c r="N59" s="34">
        <f ca="1">IF(L59="",60,INDEX(OFFSET(Arb!$H$2,,,Arb!$AJ$5,),L59))</f>
        <v>22.16</v>
      </c>
      <c r="O59" s="33">
        <f t="shared" ca="1" si="3"/>
        <v>2.6624548736462095</v>
      </c>
      <c r="P59" s="33">
        <f ca="1">IF(L59="","",INDEX(OFFSET(Arb!$X$2,,,Arb!$AJ$5,),L59)/N59)</f>
        <v>3.2039711191335738</v>
      </c>
      <c r="Q59" s="33">
        <f ca="1">IF(L59="","",(INDEX(OFFSET(Arb!$U$2,,,Arb!$AJ$5,),L59)+INDEX(OFFSET(Arb!$V$2,,,Arb!$AJ$5,),L59))/N59)</f>
        <v>3.6552346570397112</v>
      </c>
      <c r="R59" s="33">
        <f t="shared" ca="1" si="4"/>
        <v>3.2856142517431404</v>
      </c>
      <c r="S59" s="21">
        <f t="shared" ca="1" si="5"/>
        <v>46.788815795536713</v>
      </c>
      <c r="T59" s="74">
        <f ca="1">IF(L59="","",DATE(INDEX(OFFSET(Arb!$C$2,,,Arb!$AJ$5,),L59),INDEX(OFFSET(Arb!$B$2,,,Arb!$AJ$5,),L59),INDEX(OFFSET(Arb!$A$2,,,Arb!$AJ$5,),L59))+ROW()*0.001)</f>
        <v>43797.059000000001</v>
      </c>
      <c r="U59" s="11">
        <v>58</v>
      </c>
      <c r="V59" s="11">
        <v>2919</v>
      </c>
      <c r="W59" s="433">
        <f ca="1">IF(V59="",164,INDEX(OFFSET(Arb!$I$2,,,Arb!$AJ$5,),V59))</f>
        <v>162</v>
      </c>
      <c r="X59" s="34">
        <f ca="1">IF(V59="",240,INDEX(OFFSET(Arb!$H$2,,,Arb!$AJ$5,),V59))</f>
        <v>65.540000000000006</v>
      </c>
      <c r="Y59" s="33">
        <f t="shared" ca="1" si="6"/>
        <v>2.4717729630759839</v>
      </c>
      <c r="Z59" s="33">
        <f ca="1">IF(V59="","",INDEX(OFFSET(Arb!$X$2,,,Arb!$AJ$5,),V59)/X59)</f>
        <v>3.0668294171498318</v>
      </c>
      <c r="AA59" s="33">
        <f ca="1">IF(V59="","",(INDEX(OFFSET(Arb!$U$2,,,Arb!$AJ$5,),V59)+INDEX(OFFSET(Arb!$V$2,,,Arb!$AJ$5,),V59))/X59)</f>
        <v>3.4177601464754344</v>
      </c>
      <c r="AB59" s="33">
        <f t="shared" ca="1" si="7"/>
        <v>7.5604201067826819</v>
      </c>
      <c r="AC59" s="21">
        <f t="shared" ca="1" si="8"/>
        <v>57.536617523376435</v>
      </c>
      <c r="AD59" s="74">
        <f ca="1">IF(V59="","",DATE(INDEX(OFFSET(Arb!$C$2,,,Arb!$AJ$5,),V59),INDEX(OFFSET(Arb!$B$2,,,Arb!$AJ$5,),V59),INDEX(OFFSET(Arb!$A$2,,,Arb!$AJ$5,),V59))+ROW()*0.001)</f>
        <v>43935.059000000001</v>
      </c>
    </row>
    <row r="60" spans="1:30" x14ac:dyDescent="0.25">
      <c r="A60" s="11">
        <v>59</v>
      </c>
      <c r="B60" s="11">
        <v>819</v>
      </c>
      <c r="C60" s="433">
        <f ca="1">IF(B60="",16,INDEX(OFFSET(Arb!$I$2,,,Arb!$AJ$5,),B60))</f>
        <v>11</v>
      </c>
      <c r="D60" s="34">
        <f ca="1">IF(B60="",10,INDEX(OFFSET(Arb!$H$2,,,Arb!$AJ$5,),B60))</f>
        <v>3.5</v>
      </c>
      <c r="E60" s="33">
        <f t="shared" ca="1" si="0"/>
        <v>3.1428571428571428</v>
      </c>
      <c r="F60" s="33">
        <f ca="1">IF(B60="","",INDEX(OFFSET(Arb!$X$2,,,Arb!$AJ$5,),B60)/D60)</f>
        <v>3.1428571428571428</v>
      </c>
      <c r="G60" s="33">
        <f ca="1">IF(B60="","",(INDEX(OFFSET(Arb!$U$2,,,Arb!$AJ$5,),B60)+INDEX(OFFSET(Arb!$V$2,,,Arb!$AJ$5,),B60))/D60)</f>
        <v>3.7142857142857144</v>
      </c>
      <c r="H60" s="33">
        <f t="shared" ca="1" si="1"/>
        <v>0.76475617124758344</v>
      </c>
      <c r="I60" s="21">
        <f t="shared" ca="1" si="2"/>
        <v>61.848471157596379</v>
      </c>
      <c r="J60" s="74">
        <f ca="1">IF(B60="","",DATE(INDEX(OFFSET(Arb!$C$2,,,Arb!$AJ$5,),B60),INDEX(OFFSET(Arb!$B$2,,,Arb!$AJ$5,),B60),INDEX(OFFSET(Arb!$A$2,,,Arb!$AJ$5,),B60))+ROW()*0.001)</f>
        <v>43811.06</v>
      </c>
      <c r="K60" s="11">
        <v>59</v>
      </c>
      <c r="L60" s="11">
        <v>2353</v>
      </c>
      <c r="M60" s="433">
        <f ca="1">IF(L60="",64,INDEX(OFFSET(Arb!$I$2,,,Arb!$AJ$5,),L60))</f>
        <v>63</v>
      </c>
      <c r="N60" s="34">
        <f ca="1">IF(L60="",60,INDEX(OFFSET(Arb!$H$2,,,Arb!$AJ$5,),L60))</f>
        <v>23.05</v>
      </c>
      <c r="O60" s="33">
        <f t="shared" ca="1" si="3"/>
        <v>2.7331887201735356</v>
      </c>
      <c r="P60" s="33">
        <f ca="1">IF(L60="","",INDEX(OFFSET(Arb!$X$2,,,Arb!$AJ$5,),L60)/N60)</f>
        <v>3.2537960954446854</v>
      </c>
      <c r="Q60" s="33">
        <f ca="1">IF(L60="","",(INDEX(OFFSET(Arb!$U$2,,,Arb!$AJ$5,),L60)+INDEX(OFFSET(Arb!$V$2,,,Arb!$AJ$5,),L60))/N60)</f>
        <v>3.68763557483731</v>
      </c>
      <c r="R60" s="33">
        <f t="shared" ca="1" si="4"/>
        <v>3.2900313106963779</v>
      </c>
      <c r="S60" s="21">
        <f t="shared" ca="1" si="5"/>
        <v>46.725999080981708</v>
      </c>
      <c r="T60" s="74">
        <f ca="1">IF(L60="","",DATE(INDEX(OFFSET(Arb!$C$2,,,Arb!$AJ$5,),L60),INDEX(OFFSET(Arb!$B$2,,,Arb!$AJ$5,),L60),INDEX(OFFSET(Arb!$A$2,,,Arb!$AJ$5,),L60))+ROW()*0.001)</f>
        <v>44114.06</v>
      </c>
      <c r="U60" s="11">
        <v>59</v>
      </c>
      <c r="V60" s="11">
        <v>3236</v>
      </c>
      <c r="W60" s="433">
        <f ca="1">IF(V60="",164,INDEX(OFFSET(Arb!$I$2,,,Arb!$AJ$5,),V60))</f>
        <v>162</v>
      </c>
      <c r="X60" s="34">
        <f ca="1">IF(V60="",240,INDEX(OFFSET(Arb!$H$2,,,Arb!$AJ$5,),V60))</f>
        <v>65.67</v>
      </c>
      <c r="Y60" s="33">
        <f t="shared" ca="1" si="6"/>
        <v>2.4668798538145271</v>
      </c>
      <c r="Z60" s="33">
        <f ca="1">IF(V60="","",INDEX(OFFSET(Arb!$X$2,,,Arb!$AJ$5,),V60)/X60)</f>
        <v>3.0150753768844218</v>
      </c>
      <c r="AA60" s="33">
        <f ca="1">IF(V60="","",(INDEX(OFFSET(Arb!$U$2,,,Arb!$AJ$5,),V60)+INDEX(OFFSET(Arb!$V$2,,,Arb!$AJ$5,),V60))/X60)</f>
        <v>3.3044007918379776</v>
      </c>
      <c r="AB60" s="33">
        <f t="shared" ca="1" si="7"/>
        <v>7.5859314368721327</v>
      </c>
      <c r="AC60" s="21">
        <f t="shared" ca="1" si="8"/>
        <v>57.3431230719588</v>
      </c>
      <c r="AD60" s="74">
        <f ca="1">IF(V60="","",DATE(INDEX(OFFSET(Arb!$C$2,,,Arb!$AJ$5,),V60),INDEX(OFFSET(Arb!$B$2,,,Arb!$AJ$5,),V60),INDEX(OFFSET(Arb!$A$2,,,Arb!$AJ$5,),V60))+ROW()*0.001)</f>
        <v>44064.06</v>
      </c>
    </row>
    <row r="61" spans="1:30" x14ac:dyDescent="0.25">
      <c r="A61" s="11">
        <v>60</v>
      </c>
      <c r="B61" s="11">
        <v>110</v>
      </c>
      <c r="C61" s="433">
        <f ca="1">IF(B61="",16,INDEX(OFFSET(Arb!$I$2,,,Arb!$AJ$5,),B61))</f>
        <v>11</v>
      </c>
      <c r="D61" s="34">
        <f ca="1">IF(B61="",10,INDEX(OFFSET(Arb!$H$2,,,Arb!$AJ$5,),B61))</f>
        <v>3.5</v>
      </c>
      <c r="E61" s="33">
        <f t="shared" ca="1" si="0"/>
        <v>3.1428571428571428</v>
      </c>
      <c r="F61" s="33">
        <f ca="1">IF(B61="","",INDEX(OFFSET(Arb!$X$2,,,Arb!$AJ$5,),B61)/D61)</f>
        <v>3.4285714285714284</v>
      </c>
      <c r="G61" s="33">
        <f ca="1">IF(B61="","",(INDEX(OFFSET(Arb!$U$2,,,Arb!$AJ$5,),B61)+INDEX(OFFSET(Arb!$V$2,,,Arb!$AJ$5,),B61))/D61)</f>
        <v>3.7142857142857144</v>
      </c>
      <c r="H61" s="33">
        <f t="shared" ca="1" si="1"/>
        <v>0.76475617124758344</v>
      </c>
      <c r="I61" s="21">
        <f t="shared" ca="1" si="2"/>
        <v>61.848471157596379</v>
      </c>
      <c r="J61" s="74">
        <f ca="1">IF(B61="","",DATE(INDEX(OFFSET(Arb!$C$2,,,Arb!$AJ$5,),B61),INDEX(OFFSET(Arb!$B$2,,,Arb!$AJ$5,),B61),INDEX(OFFSET(Arb!$A$2,,,Arb!$AJ$5,),B61))+ROW()*0.001)</f>
        <v>43770.061000000002</v>
      </c>
      <c r="K61" s="11">
        <v>60</v>
      </c>
      <c r="L61" s="11">
        <v>2358</v>
      </c>
      <c r="M61" s="433">
        <f ca="1">IF(L61="",64,INDEX(OFFSET(Arb!$I$2,,,Arb!$AJ$5,),L61))</f>
        <v>65</v>
      </c>
      <c r="N61" s="34">
        <f ca="1">IF(L61="",60,INDEX(OFFSET(Arb!$H$2,,,Arb!$AJ$5,),L61))</f>
        <v>23.49</v>
      </c>
      <c r="O61" s="33">
        <f t="shared" ca="1" si="3"/>
        <v>2.7671349510429972</v>
      </c>
      <c r="P61" s="33">
        <f ca="1">IF(L61="","",INDEX(OFFSET(Arb!$X$2,,,Arb!$AJ$5,),L61)/N61)</f>
        <v>2.9799914857386125</v>
      </c>
      <c r="Q61" s="33">
        <f ca="1">IF(L61="","",(INDEX(OFFSET(Arb!$U$2,,,Arb!$AJ$5,),L61)+INDEX(OFFSET(Arb!$V$2,,,Arb!$AJ$5,),L61))/N61)</f>
        <v>3.3205619412515968</v>
      </c>
      <c r="R61" s="33">
        <f t="shared" ca="1" si="4"/>
        <v>3.2929699826324139</v>
      </c>
      <c r="S61" s="21">
        <f t="shared" ca="1" si="5"/>
        <v>46.68430043723253</v>
      </c>
      <c r="T61" s="74">
        <f ca="1">IF(L61="","",DATE(INDEX(OFFSET(Arb!$C$2,,,Arb!$AJ$5,),L61),INDEX(OFFSET(Arb!$B$2,,,Arb!$AJ$5,),L61),INDEX(OFFSET(Arb!$A$2,,,Arb!$AJ$5,),L61))+ROW()*0.001)</f>
        <v>44114.061000000002</v>
      </c>
      <c r="U61" s="11">
        <v>60</v>
      </c>
      <c r="V61" s="11">
        <v>3103</v>
      </c>
      <c r="W61" s="433">
        <f ca="1">IF(V61="",164,INDEX(OFFSET(Arb!$I$2,,,Arb!$AJ$5,),V61))</f>
        <v>183</v>
      </c>
      <c r="X61" s="34">
        <f ca="1">IF(V61="",240,INDEX(OFFSET(Arb!$H$2,,,Arb!$AJ$5,),V61))</f>
        <v>70.59</v>
      </c>
      <c r="Y61" s="33">
        <f t="shared" ca="1" si="6"/>
        <v>2.5924351891202719</v>
      </c>
      <c r="Z61" s="33">
        <f ca="1">IF(V61="","",INDEX(OFFSET(Arb!$X$2,,,Arb!$AJ$5,),V61)/X61)</f>
        <v>3.0882561269301601</v>
      </c>
      <c r="AA61" s="33">
        <f ca="1">IF(V61="","",(INDEX(OFFSET(Arb!$U$2,,,Arb!$AJ$5,),V61)+INDEX(OFFSET(Arb!$V$2,,,Arb!$AJ$5,),V61))/X61)</f>
        <v>3.4707465646692164</v>
      </c>
      <c r="AB61" s="33">
        <f t="shared" ca="1" si="7"/>
        <v>7.5929811110694736</v>
      </c>
      <c r="AC61" s="21">
        <f t="shared" ca="1" si="8"/>
        <v>57.289883069224437</v>
      </c>
      <c r="AD61" s="74">
        <f ca="1">IF(V61="","",DATE(INDEX(OFFSET(Arb!$C$2,,,Arb!$AJ$5,),V61),INDEX(OFFSET(Arb!$B$2,,,Arb!$AJ$5,),V61),INDEX(OFFSET(Arb!$A$2,,,Arb!$AJ$5,),V61))+ROW()*0.001)</f>
        <v>44005.061000000002</v>
      </c>
    </row>
    <row r="62" spans="1:30" x14ac:dyDescent="0.25">
      <c r="A62" s="11">
        <v>61</v>
      </c>
      <c r="B62" s="11">
        <v>1565</v>
      </c>
      <c r="C62" s="433">
        <f ca="1">IF(B62="",16,INDEX(OFFSET(Arb!$I$2,,,Arb!$AJ$5,),B62))</f>
        <v>10</v>
      </c>
      <c r="D62" s="34">
        <f ca="1">IF(B62="",10,INDEX(OFFSET(Arb!$H$2,,,Arb!$AJ$5,),B62))</f>
        <v>3.31</v>
      </c>
      <c r="E62" s="33">
        <f t="shared" ca="1" si="0"/>
        <v>3.0211480362537766</v>
      </c>
      <c r="F62" s="33">
        <f ca="1">IF(B62="","",INDEX(OFFSET(Arb!$X$2,,,Arb!$AJ$5,),B62)/D62)</f>
        <v>3.3232628398791539</v>
      </c>
      <c r="G62" s="33">
        <f ca="1">IF(B62="","",(INDEX(OFFSET(Arb!$U$2,,,Arb!$AJ$5,),B62)+INDEX(OFFSET(Arb!$V$2,,,Arb!$AJ$5,),B62))/D62)</f>
        <v>3.3232628398791539</v>
      </c>
      <c r="H62" s="33">
        <f t="shared" ca="1" si="1"/>
        <v>0.76508130402412788</v>
      </c>
      <c r="I62" s="21">
        <f t="shared" ca="1" si="2"/>
        <v>61.822187722036354</v>
      </c>
      <c r="J62" s="74">
        <f ca="1">IF(B62="","",DATE(INDEX(OFFSET(Arb!$C$2,,,Arb!$AJ$5,),B62),INDEX(OFFSET(Arb!$B$2,,,Arb!$AJ$5,),B62),INDEX(OFFSET(Arb!$A$2,,,Arb!$AJ$5,),B62))+ROW()*0.001)</f>
        <v>43989.061999999998</v>
      </c>
      <c r="K62" s="11">
        <v>61</v>
      </c>
      <c r="L62" s="11">
        <v>2407</v>
      </c>
      <c r="M62" s="433">
        <f ca="1">IF(L62="",64,INDEX(OFFSET(Arb!$I$2,,,Arb!$AJ$5,),L62))</f>
        <v>59</v>
      </c>
      <c r="N62" s="34">
        <f ca="1">IF(L62="",60,INDEX(OFFSET(Arb!$H$2,,,Arb!$AJ$5,),L62))</f>
        <v>22.2</v>
      </c>
      <c r="O62" s="33">
        <f t="shared" ca="1" si="3"/>
        <v>2.6576576576576576</v>
      </c>
      <c r="P62" s="33">
        <f ca="1">IF(L62="","",INDEX(OFFSET(Arb!$X$2,,,Arb!$AJ$5,),L62)/N62)</f>
        <v>3.1981981981981984</v>
      </c>
      <c r="Q62" s="33">
        <f ca="1">IF(L62="","",(INDEX(OFFSET(Arb!$U$2,,,Arb!$AJ$5,),L62)+INDEX(OFFSET(Arb!$V$2,,,Arb!$AJ$5,),L62))/N62)</f>
        <v>3.5585585585585586</v>
      </c>
      <c r="R62" s="33">
        <f t="shared" ca="1" si="4"/>
        <v>3.295702830018961</v>
      </c>
      <c r="S62" s="21">
        <f t="shared" ca="1" si="5"/>
        <v>46.645589098552172</v>
      </c>
      <c r="T62" s="74">
        <f ca="1">IF(L62="","",DATE(INDEX(OFFSET(Arb!$C$2,,,Arb!$AJ$5,),L62),INDEX(OFFSET(Arb!$B$2,,,Arb!$AJ$5,),L62),INDEX(OFFSET(Arb!$A$2,,,Arb!$AJ$5,),L62))+ROW()*0.001)</f>
        <v>44168.061999999998</v>
      </c>
      <c r="U62" s="11">
        <v>61</v>
      </c>
      <c r="V62" s="11">
        <v>3078</v>
      </c>
      <c r="W62" s="433">
        <f ca="1">IF(V62="",164,INDEX(OFFSET(Arb!$I$2,,,Arb!$AJ$5,),V62))</f>
        <v>196</v>
      </c>
      <c r="X62" s="34">
        <f ca="1">IF(V62="",240,INDEX(OFFSET(Arb!$H$2,,,Arb!$AJ$5,),V62))</f>
        <v>73.5</v>
      </c>
      <c r="Y62" s="33">
        <f t="shared" ca="1" si="6"/>
        <v>2.6666666666666665</v>
      </c>
      <c r="Z62" s="33">
        <f ca="1">IF(V62="","",INDEX(OFFSET(Arb!$X$2,,,Arb!$AJ$5,),V62)/X62)</f>
        <v>2.9387755102040818</v>
      </c>
      <c r="AA62" s="33">
        <f ca="1">IF(V62="","",(INDEX(OFFSET(Arb!$U$2,,,Arb!$AJ$5,),V62)+INDEX(OFFSET(Arb!$V$2,,,Arb!$AJ$5,),V62))/X62)</f>
        <v>3.1564625850340136</v>
      </c>
      <c r="AB62" s="33">
        <f t="shared" ca="1" si="7"/>
        <v>7.5933322853812735</v>
      </c>
      <c r="AC62" s="21">
        <f t="shared" ca="1" si="8"/>
        <v>57.287233542705138</v>
      </c>
      <c r="AD62" s="74">
        <f ca="1">IF(V62="","",DATE(INDEX(OFFSET(Arb!$C$2,,,Arb!$AJ$5,),V62),INDEX(OFFSET(Arb!$B$2,,,Arb!$AJ$5,),V62),INDEX(OFFSET(Arb!$A$2,,,Arb!$AJ$5,),V62))+ROW()*0.001)</f>
        <v>44003.061999999998</v>
      </c>
    </row>
    <row r="63" spans="1:30" x14ac:dyDescent="0.25">
      <c r="A63" s="11">
        <v>62</v>
      </c>
      <c r="B63" s="11">
        <v>268</v>
      </c>
      <c r="C63" s="433">
        <f ca="1">IF(B63="",16,INDEX(OFFSET(Arb!$I$2,,,Arb!$AJ$5,),B63))</f>
        <v>10</v>
      </c>
      <c r="D63" s="34">
        <f ca="1">IF(B63="",10,INDEX(OFFSET(Arb!$H$2,,,Arb!$AJ$5,),B63))</f>
        <v>3.31</v>
      </c>
      <c r="E63" s="33">
        <f t="shared" ca="1" si="0"/>
        <v>3.0211480362537766</v>
      </c>
      <c r="F63" s="33">
        <f ca="1">IF(B63="","",INDEX(OFFSET(Arb!$X$2,,,Arb!$AJ$5,),B63)/D63)</f>
        <v>4.5317220543806647</v>
      </c>
      <c r="G63" s="33">
        <f ca="1">IF(B63="","",(INDEX(OFFSET(Arb!$U$2,,,Arb!$AJ$5,),B63)+INDEX(OFFSET(Arb!$V$2,,,Arb!$AJ$5,),B63))/D63)</f>
        <v>4.5317220543806647</v>
      </c>
      <c r="H63" s="33">
        <f t="shared" ca="1" si="1"/>
        <v>0.76508130402412788</v>
      </c>
      <c r="I63" s="21">
        <f t="shared" ca="1" si="2"/>
        <v>61.822187722036354</v>
      </c>
      <c r="J63" s="74">
        <f ca="1">IF(B63="","",DATE(INDEX(OFFSET(Arb!$C$2,,,Arb!$AJ$5,),B63),INDEX(OFFSET(Arb!$B$2,,,Arb!$AJ$5,),B63),INDEX(OFFSET(Arb!$A$2,,,Arb!$AJ$5,),B63))+ROW()*0.001)</f>
        <v>43777.063000000002</v>
      </c>
      <c r="K63" s="11">
        <v>62</v>
      </c>
      <c r="L63" s="11">
        <v>2363</v>
      </c>
      <c r="M63" s="433">
        <f ca="1">IF(L63="",64,INDEX(OFFSET(Arb!$I$2,,,Arb!$AJ$5,),L63))</f>
        <v>62</v>
      </c>
      <c r="N63" s="34">
        <f ca="1">IF(L63="",60,INDEX(OFFSET(Arb!$H$2,,,Arb!$AJ$5,),L63))</f>
        <v>22.87</v>
      </c>
      <c r="O63" s="33">
        <f t="shared" ca="1" si="3"/>
        <v>2.7109750765194578</v>
      </c>
      <c r="P63" s="33">
        <f ca="1">IF(L63="","",INDEX(OFFSET(Arb!$X$2,,,Arb!$AJ$5,),L63)/N63)</f>
        <v>3.2356799300393528</v>
      </c>
      <c r="Q63" s="33">
        <f ca="1">IF(L63="","",(INDEX(OFFSET(Arb!$U$2,,,Arb!$AJ$5,),L63)+INDEX(OFFSET(Arb!$V$2,,,Arb!$AJ$5,),L63))/N63)</f>
        <v>3.9790118058592041</v>
      </c>
      <c r="R63" s="33">
        <f t="shared" ca="1" si="4"/>
        <v>3.2988364936281913</v>
      </c>
      <c r="S63" s="21">
        <f t="shared" ca="1" si="5"/>
        <v>46.601279056095812</v>
      </c>
      <c r="T63" s="74">
        <f ca="1">IF(L63="","",DATE(INDEX(OFFSET(Arb!$C$2,,,Arb!$AJ$5,),L63),INDEX(OFFSET(Arb!$B$2,,,Arb!$AJ$5,),L63),INDEX(OFFSET(Arb!$A$2,,,Arb!$AJ$5,),L63))+ROW()*0.001)</f>
        <v>44114.063000000002</v>
      </c>
      <c r="U63" s="11">
        <v>62</v>
      </c>
      <c r="V63" s="11">
        <v>3223</v>
      </c>
      <c r="W63" s="433">
        <f ca="1">IF(V63="",164,INDEX(OFFSET(Arb!$I$2,,,Arb!$AJ$5,),V63))</f>
        <v>155</v>
      </c>
      <c r="X63" s="34">
        <f ca="1">IF(V63="",240,INDEX(OFFSET(Arb!$H$2,,,Arb!$AJ$5,),V63))</f>
        <v>64.09</v>
      </c>
      <c r="Y63" s="33">
        <f t="shared" ca="1" si="6"/>
        <v>2.4184740209080977</v>
      </c>
      <c r="Z63" s="33">
        <f ca="1">IF(V63="","",INDEX(OFFSET(Arb!$X$2,,,Arb!$AJ$5,),V63)/X63)</f>
        <v>2.8709627086909033</v>
      </c>
      <c r="AA63" s="33">
        <f ca="1">IF(V63="","",(INDEX(OFFSET(Arb!$U$2,,,Arb!$AJ$5,),V63)+INDEX(OFFSET(Arb!$V$2,,,Arb!$AJ$5,),V63))/X63)</f>
        <v>3.1050085816820094</v>
      </c>
      <c r="AB63" s="33">
        <f t="shared" ca="1" si="7"/>
        <v>7.606971051183125</v>
      </c>
      <c r="AC63" s="21">
        <f t="shared" ca="1" si="8"/>
        <v>57.184521549131375</v>
      </c>
      <c r="AD63" s="74">
        <f ca="1">IF(V63="","",DATE(INDEX(OFFSET(Arb!$C$2,,,Arb!$AJ$5,),V63),INDEX(OFFSET(Arb!$B$2,,,Arb!$AJ$5,),V63),INDEX(OFFSET(Arb!$A$2,,,Arb!$AJ$5,),V63))+ROW()*0.001)</f>
        <v>44061.063000000002</v>
      </c>
    </row>
    <row r="64" spans="1:30" x14ac:dyDescent="0.25">
      <c r="A64" s="11">
        <v>63</v>
      </c>
      <c r="B64" s="11">
        <v>377</v>
      </c>
      <c r="C64" s="433">
        <f ca="1">IF(B64="",16,INDEX(OFFSET(Arb!$I$2,,,Arb!$AJ$5,),B64))</f>
        <v>16</v>
      </c>
      <c r="D64" s="34">
        <f ca="1">IF(B64="",10,INDEX(OFFSET(Arb!$H$2,,,Arb!$AJ$5,),B64))</f>
        <v>4.38</v>
      </c>
      <c r="E64" s="33">
        <f t="shared" ca="1" si="0"/>
        <v>3.6529680365296806</v>
      </c>
      <c r="F64" s="33">
        <f ca="1">IF(B64="","",INDEX(OFFSET(Arb!$X$2,,,Arb!$AJ$5,),B64)/D64)</f>
        <v>3.6529680365296806</v>
      </c>
      <c r="G64" s="33">
        <f ca="1">IF(B64="","",(INDEX(OFFSET(Arb!$U$2,,,Arb!$AJ$5,),B64)+INDEX(OFFSET(Arb!$V$2,,,Arb!$AJ$5,),B64))/D64)</f>
        <v>4.3378995433789953</v>
      </c>
      <c r="H64" s="33">
        <f t="shared" ca="1" si="1"/>
        <v>0.76981435486611238</v>
      </c>
      <c r="I64" s="21">
        <f t="shared" ca="1" si="2"/>
        <v>61.44208626536502</v>
      </c>
      <c r="J64" s="74">
        <f ca="1">IF(B64="","",DATE(INDEX(OFFSET(Arb!$C$2,,,Arb!$AJ$5,),B64),INDEX(OFFSET(Arb!$B$2,,,Arb!$AJ$5,),B64),INDEX(OFFSET(Arb!$A$2,,,Arb!$AJ$5,),B64))+ROW()*0.001)</f>
        <v>43781.063999999998</v>
      </c>
      <c r="K64" s="11">
        <v>63</v>
      </c>
      <c r="L64" s="11">
        <v>2392</v>
      </c>
      <c r="M64" s="433">
        <f ca="1">IF(L64="",64,INDEX(OFFSET(Arb!$I$2,,,Arb!$AJ$5,),L64))</f>
        <v>78</v>
      </c>
      <c r="N64" s="34">
        <f ca="1">IF(L64="",60,INDEX(OFFSET(Arb!$H$2,,,Arb!$AJ$5,),L64))</f>
        <v>26.19</v>
      </c>
      <c r="O64" s="33">
        <f t="shared" ca="1" si="3"/>
        <v>2.9782359679266892</v>
      </c>
      <c r="P64" s="33">
        <f ca="1">IF(L64="","",INDEX(OFFSET(Arb!$X$2,,,Arb!$AJ$5,),L64)/N64)</f>
        <v>2.9018709431080563</v>
      </c>
      <c r="Q64" s="33">
        <f ca="1">IF(L64="","",(INDEX(OFFSET(Arb!$U$2,,,Arb!$AJ$5,),L64)+INDEX(OFFSET(Arb!$V$2,,,Arb!$AJ$5,),L64))/N64)</f>
        <v>3.4746086292478044</v>
      </c>
      <c r="R64" s="33">
        <f t="shared" ca="1" si="4"/>
        <v>3.3016858207185615</v>
      </c>
      <c r="S64" s="21">
        <f t="shared" ca="1" si="5"/>
        <v>46.561062544268069</v>
      </c>
      <c r="T64" s="74">
        <f ca="1">IF(L64="","",DATE(INDEX(OFFSET(Arb!$C$2,,,Arb!$AJ$5,),L64),INDEX(OFFSET(Arb!$B$2,,,Arb!$AJ$5,),L64),INDEX(OFFSET(Arb!$A$2,,,Arb!$AJ$5,),L64))+ROW()*0.001)</f>
        <v>44117.063999999998</v>
      </c>
      <c r="U64" s="11">
        <v>63</v>
      </c>
      <c r="V64" s="11">
        <v>3350</v>
      </c>
      <c r="W64" s="433">
        <f ca="1">IF(V64="",164,INDEX(OFFSET(Arb!$I$2,,,Arb!$AJ$5,),V64))</f>
        <v>141</v>
      </c>
      <c r="X64" s="34">
        <f ca="1">IF(V64="",240,INDEX(OFFSET(Arb!$H$2,,,Arb!$AJ$5,),V64))</f>
        <v>60.62</v>
      </c>
      <c r="Y64" s="33">
        <f t="shared" ca="1" si="6"/>
        <v>2.3259650280435502</v>
      </c>
      <c r="Z64" s="33">
        <f ca="1">IF(V64="","",INDEX(OFFSET(Arb!$X$2,,,Arb!$AJ$5,),V64)/X64)</f>
        <v>3.1012867040580669</v>
      </c>
      <c r="AA64" s="33">
        <f ca="1">IF(V64="","",(INDEX(OFFSET(Arb!$U$2,,,Arb!$AJ$5,),V64)+INDEX(OFFSET(Arb!$V$2,,,Arb!$AJ$5,),V64))/X64)</f>
        <v>3.464203233256351</v>
      </c>
      <c r="AB64" s="33">
        <f t="shared" ca="1" si="7"/>
        <v>7.6072549557459199</v>
      </c>
      <c r="AC64" s="21">
        <f t="shared" ca="1" si="8"/>
        <v>57.182387409197396</v>
      </c>
      <c r="AD64" s="74">
        <f ca="1">IF(V64="","",DATE(INDEX(OFFSET(Arb!$C$2,,,Arb!$AJ$5,),V64),INDEX(OFFSET(Arb!$B$2,,,Arb!$AJ$5,),V64),INDEX(OFFSET(Arb!$A$2,,,Arb!$AJ$5,),V64))+ROW()*0.001)</f>
        <v>44098.063999999998</v>
      </c>
    </row>
    <row r="65" spans="1:30" x14ac:dyDescent="0.25">
      <c r="A65" s="11">
        <v>64</v>
      </c>
      <c r="B65" s="11">
        <v>119</v>
      </c>
      <c r="C65" s="433">
        <f ca="1">IF(B65="",16,INDEX(OFFSET(Arb!$I$2,,,Arb!$AJ$5,),B65))</f>
        <v>15</v>
      </c>
      <c r="D65" s="34">
        <f ca="1">IF(B65="",10,INDEX(OFFSET(Arb!$H$2,,,Arb!$AJ$5,),B65))</f>
        <v>4.22</v>
      </c>
      <c r="E65" s="33">
        <f t="shared" ca="1" si="0"/>
        <v>3.5545023696682465</v>
      </c>
      <c r="F65" s="33">
        <f ca="1">IF(B65="","",INDEX(OFFSET(Arb!$X$2,,,Arb!$AJ$5,),B65)/D65)</f>
        <v>3.7914691943127963</v>
      </c>
      <c r="G65" s="33">
        <f ca="1">IF(B65="","",(INDEX(OFFSET(Arb!$U$2,,,Arb!$AJ$5,),B65)+INDEX(OFFSET(Arb!$V$2,,,Arb!$AJ$5,),B65))/D65)</f>
        <v>4.2654028436018958</v>
      </c>
      <c r="H65" s="33">
        <f t="shared" ca="1" si="1"/>
        <v>0.77079680814013452</v>
      </c>
      <c r="I65" s="21">
        <f t="shared" ca="1" si="2"/>
        <v>61.363772527974476</v>
      </c>
      <c r="J65" s="74">
        <f ca="1">IF(B65="","",DATE(INDEX(OFFSET(Arb!$C$2,,,Arb!$AJ$5,),B65),INDEX(OFFSET(Arb!$B$2,,,Arb!$AJ$5,),B65),INDEX(OFFSET(Arb!$A$2,,,Arb!$AJ$5,),B65))+ROW()*0.001)</f>
        <v>43770.065000000002</v>
      </c>
      <c r="K65" s="11">
        <v>64</v>
      </c>
      <c r="L65" s="11">
        <v>2285</v>
      </c>
      <c r="M65" s="433">
        <f ca="1">IF(L65="",64,INDEX(OFFSET(Arb!$I$2,,,Arb!$AJ$5,),L65))</f>
        <v>59</v>
      </c>
      <c r="N65" s="34">
        <f ca="1">IF(L65="",60,INDEX(OFFSET(Arb!$H$2,,,Arb!$AJ$5,),L65))</f>
        <v>22.23</v>
      </c>
      <c r="O65" s="33">
        <f t="shared" ca="1" si="3"/>
        <v>2.6540710751237064</v>
      </c>
      <c r="P65" s="33">
        <f ca="1">IF(L65="","",INDEX(OFFSET(Arb!$X$2,,,Arb!$AJ$5,),L65)/N65)</f>
        <v>3.1938821412505622</v>
      </c>
      <c r="Q65" s="33">
        <f ca="1">IF(L65="","",(INDEX(OFFSET(Arb!$U$2,,,Arb!$AJ$5,),L65)+INDEX(OFFSET(Arb!$V$2,,,Arb!$AJ$5,),L65))/N65)</f>
        <v>3.5087719298245612</v>
      </c>
      <c r="R65" s="33">
        <f t="shared" ca="1" si="4"/>
        <v>3.3032776197166807</v>
      </c>
      <c r="S65" s="21">
        <f t="shared" ca="1" si="5"/>
        <v>46.538625479860599</v>
      </c>
      <c r="T65" s="74">
        <f ca="1">IF(L65="","",DATE(INDEX(OFFSET(Arb!$C$2,,,Arb!$AJ$5,),L65),INDEX(OFFSET(Arb!$B$2,,,Arb!$AJ$5,),L65),INDEX(OFFSET(Arb!$A$2,,,Arb!$AJ$5,),L65))+ROW()*0.001)</f>
        <v>43935.065000000002</v>
      </c>
      <c r="U65" s="11">
        <v>64</v>
      </c>
      <c r="V65" s="11">
        <v>3286</v>
      </c>
      <c r="W65" s="433">
        <f ca="1">IF(V65="",164,INDEX(OFFSET(Arb!$I$2,,,Arb!$AJ$5,),V65))</f>
        <v>171</v>
      </c>
      <c r="X65" s="34">
        <f ca="1">IF(V65="",240,INDEX(OFFSET(Arb!$H$2,,,Arb!$AJ$5,),V65))</f>
        <v>67.95</v>
      </c>
      <c r="Y65" s="33">
        <f t="shared" ca="1" si="6"/>
        <v>2.5165562913907285</v>
      </c>
      <c r="Z65" s="33">
        <f ca="1">IF(V65="","",INDEX(OFFSET(Arb!$X$2,,,Arb!$AJ$5,),V65)/X65)</f>
        <v>2.9286239882266369</v>
      </c>
      <c r="AA65" s="33">
        <f ca="1">IF(V65="","",(INDEX(OFFSET(Arb!$U$2,,,Arb!$AJ$5,),V65)+INDEX(OFFSET(Arb!$V$2,,,Arb!$AJ$5,),V65))/X65)</f>
        <v>3.252391464311994</v>
      </c>
      <c r="AB65" s="33">
        <f t="shared" ca="1" si="7"/>
        <v>7.6159831307571686</v>
      </c>
      <c r="AC65" s="21">
        <f t="shared" ca="1" si="8"/>
        <v>57.116854453530401</v>
      </c>
      <c r="AD65" s="74">
        <f ca="1">IF(V65="","",DATE(INDEX(OFFSET(Arb!$C$2,,,Arb!$AJ$5,),V65),INDEX(OFFSET(Arb!$B$2,,,Arb!$AJ$5,),V65),INDEX(OFFSET(Arb!$A$2,,,Arb!$AJ$5,),V65))+ROW()*0.001)</f>
        <v>44084.065000000002</v>
      </c>
    </row>
    <row r="66" spans="1:30" x14ac:dyDescent="0.25">
      <c r="A66" s="11">
        <v>65</v>
      </c>
      <c r="B66" s="11">
        <v>507</v>
      </c>
      <c r="C66" s="433">
        <f ca="1">IF(B66="",16,INDEX(OFFSET(Arb!$I$2,,,Arb!$AJ$5,),B66))</f>
        <v>18</v>
      </c>
      <c r="D66" s="34">
        <f ca="1">IF(B66="",10,INDEX(OFFSET(Arb!$H$2,,,Arb!$AJ$5,),B66))</f>
        <v>4.7</v>
      </c>
      <c r="E66" s="33">
        <f t="shared" ca="1" si="0"/>
        <v>3.8297872340425529</v>
      </c>
      <c r="F66" s="33">
        <f ca="1">IF(B66="","",INDEX(OFFSET(Arb!$X$2,,,Arb!$AJ$5,),B66)/D66)</f>
        <v>3.8297872340425529</v>
      </c>
      <c r="G66" s="33">
        <f ca="1">IF(B66="","",(INDEX(OFFSET(Arb!$U$2,,,Arb!$AJ$5,),B66)+INDEX(OFFSET(Arb!$V$2,,,Arb!$AJ$5,),B66))/D66)</f>
        <v>4.4680851063829783</v>
      </c>
      <c r="H66" s="33">
        <f t="shared" ca="1" si="1"/>
        <v>0.77142525614900481</v>
      </c>
      <c r="I66" s="21">
        <f t="shared" ca="1" si="2"/>
        <v>61.313782019685327</v>
      </c>
      <c r="J66" s="74">
        <f ca="1">IF(B66="","",DATE(INDEX(OFFSET(Arb!$C$2,,,Arb!$AJ$5,),B66),INDEX(OFFSET(Arb!$B$2,,,Arb!$AJ$5,),B66),INDEX(OFFSET(Arb!$A$2,,,Arb!$AJ$5,),B66))+ROW()*0.001)</f>
        <v>43788.065999999999</v>
      </c>
      <c r="K66" s="11">
        <v>65</v>
      </c>
      <c r="L66" s="11">
        <v>2402</v>
      </c>
      <c r="M66" s="433">
        <f ca="1">IF(L66="",64,INDEX(OFFSET(Arb!$I$2,,,Arb!$AJ$5,),L66))</f>
        <v>72</v>
      </c>
      <c r="N66" s="34">
        <f ca="1">IF(L66="",60,INDEX(OFFSET(Arb!$H$2,,,Arb!$AJ$5,),L66))</f>
        <v>25</v>
      </c>
      <c r="O66" s="33">
        <f t="shared" ca="1" si="3"/>
        <v>2.88</v>
      </c>
      <c r="P66" s="33">
        <f ca="1">IF(L66="","",INDEX(OFFSET(Arb!$X$2,,,Arb!$AJ$5,),L66)/N66)</f>
        <v>3.36</v>
      </c>
      <c r="Q66" s="33">
        <f ca="1">IF(L66="","",(INDEX(OFFSET(Arb!$U$2,,,Arb!$AJ$5,),L66)+INDEX(OFFSET(Arb!$V$2,,,Arb!$AJ$5,),L66))/N66)</f>
        <v>3.64</v>
      </c>
      <c r="R66" s="33">
        <f t="shared" ca="1" si="4"/>
        <v>3.3049547547150642</v>
      </c>
      <c r="S66" s="21">
        <f t="shared" ca="1" si="5"/>
        <v>46.515008951538213</v>
      </c>
      <c r="T66" s="74">
        <f ca="1">IF(L66="","",DATE(INDEX(OFFSET(Arb!$C$2,,,Arb!$AJ$5,),L66),INDEX(OFFSET(Arb!$B$2,,,Arb!$AJ$5,),L66),INDEX(OFFSET(Arb!$A$2,,,Arb!$AJ$5,),L66))+ROW()*0.001)</f>
        <v>44168.065999999999</v>
      </c>
      <c r="U66" s="11">
        <v>65</v>
      </c>
      <c r="V66" s="11">
        <v>2920</v>
      </c>
      <c r="W66" s="433">
        <f ca="1">IF(V66="",164,INDEX(OFFSET(Arb!$I$2,,,Arb!$AJ$5,),V66))</f>
        <v>187</v>
      </c>
      <c r="X66" s="34">
        <f ca="1">IF(V66="",240,INDEX(OFFSET(Arb!$H$2,,,Arb!$AJ$5,),V66))</f>
        <v>71.66</v>
      </c>
      <c r="Y66" s="33">
        <f t="shared" ca="1" si="6"/>
        <v>2.6095450739603687</v>
      </c>
      <c r="Z66" s="33">
        <f ca="1">IF(V66="","",INDEX(OFFSET(Arb!$X$2,,,Arb!$AJ$5,),V66)/X66)</f>
        <v>3.0421434552051356</v>
      </c>
      <c r="AA66" s="33">
        <f ca="1">IF(V66="","",(INDEX(OFFSET(Arb!$U$2,,,Arb!$AJ$5,),V66)+INDEX(OFFSET(Arb!$V$2,,,Arb!$AJ$5,),V66))/X66)</f>
        <v>3.2654200390734025</v>
      </c>
      <c r="AB66" s="33">
        <f t="shared" ca="1" si="7"/>
        <v>7.6230533637012252</v>
      </c>
      <c r="AC66" s="21">
        <f t="shared" ca="1" si="8"/>
        <v>57.063879687809731</v>
      </c>
      <c r="AD66" s="74">
        <f ca="1">IF(V66="","",DATE(INDEX(OFFSET(Arb!$C$2,,,Arb!$AJ$5,),V66),INDEX(OFFSET(Arb!$B$2,,,Arb!$AJ$5,),V66),INDEX(OFFSET(Arb!$A$2,,,Arb!$AJ$5,),V66))+ROW()*0.001)</f>
        <v>43935.065999999999</v>
      </c>
    </row>
    <row r="67" spans="1:30" x14ac:dyDescent="0.25">
      <c r="A67" s="11">
        <v>66</v>
      </c>
      <c r="B67" s="11">
        <v>618</v>
      </c>
      <c r="C67" s="433">
        <f ca="1">IF(B67="",16,INDEX(OFFSET(Arb!$I$2,,,Arb!$AJ$5,),B67))</f>
        <v>11</v>
      </c>
      <c r="D67" s="34">
        <f ca="1">IF(B67="",10,INDEX(OFFSET(Arb!$H$2,,,Arb!$AJ$5,),B67))</f>
        <v>3.52</v>
      </c>
      <c r="E67" s="33">
        <f t="shared" ref="E67:E130" ca="1" si="9">C67/D67</f>
        <v>3.125</v>
      </c>
      <c r="F67" s="33">
        <f ca="1">IF(B67="","",INDEX(OFFSET(Arb!$X$2,,,Arb!$AJ$5,),B67)/D67)</f>
        <v>3.9772727272727271</v>
      </c>
      <c r="G67" s="33">
        <f ca="1">IF(B67="","",(INDEX(OFFSET(Arb!$U$2,,,Arb!$AJ$5,),B67)+INDEX(OFFSET(Arb!$V$2,,,Arb!$AJ$5,),B67))/D67)</f>
        <v>4.2613636363636367</v>
      </c>
      <c r="H67" s="33">
        <f t="shared" ref="H67:H130" ca="1" si="10">D67^1.7/C67</f>
        <v>0.77220008084211667</v>
      </c>
      <c r="I67" s="21">
        <f t="shared" ref="I67:I130" ca="1" si="11">47.299/H67</f>
        <v>61.252259839727614</v>
      </c>
      <c r="J67" s="74">
        <f ca="1">IF(B67="","",DATE(INDEX(OFFSET(Arb!$C$2,,,Arb!$AJ$5,),B67),INDEX(OFFSET(Arb!$B$2,,,Arb!$AJ$5,),B67),INDEX(OFFSET(Arb!$A$2,,,Arb!$AJ$5,),B67))+ROW()*0.001)</f>
        <v>43799.067000000003</v>
      </c>
      <c r="K67" s="11">
        <v>66</v>
      </c>
      <c r="L67" s="11">
        <v>2233</v>
      </c>
      <c r="M67" s="433">
        <f ca="1">IF(L67="",64,INDEX(OFFSET(Arb!$I$2,,,Arb!$AJ$5,),L67))</f>
        <v>55</v>
      </c>
      <c r="N67" s="34">
        <f ca="1">IF(L67="",60,INDEX(OFFSET(Arb!$H$2,,,Arb!$AJ$5,),L67))</f>
        <v>21.34</v>
      </c>
      <c r="O67" s="33">
        <f t="shared" ref="O67:O130" ca="1" si="12">M67/N67</f>
        <v>2.5773195876288661</v>
      </c>
      <c r="P67" s="33">
        <f ca="1">IF(L67="","",INDEX(OFFSET(Arb!$X$2,,,Arb!$AJ$5,),L67)/N67)</f>
        <v>3.4208059981255858</v>
      </c>
      <c r="Q67" s="33">
        <f ca="1">IF(L67="","",(INDEX(OFFSET(Arb!$U$2,,,Arb!$AJ$5,),L67)+INDEX(OFFSET(Arb!$V$2,,,Arb!$AJ$5,),L67))/N67)</f>
        <v>3.9831302717900656</v>
      </c>
      <c r="R67" s="33">
        <f t="shared" ref="R67:R130" ca="1" si="13">N67^1.7/M67</f>
        <v>3.3057333268237175</v>
      </c>
      <c r="S67" s="21">
        <f t="shared" ref="S67:S130" ca="1" si="14">153.73/R67</f>
        <v>46.50405365508113</v>
      </c>
      <c r="T67" s="74">
        <f ca="1">IF(L67="","",DATE(INDEX(OFFSET(Arb!$C$2,,,Arb!$AJ$5,),L67),INDEX(OFFSET(Arb!$B$2,,,Arb!$AJ$5,),L67),INDEX(OFFSET(Arb!$A$2,,,Arb!$AJ$5,),L67))+ROW()*0.001)</f>
        <v>43885.067000000003</v>
      </c>
      <c r="U67" s="11">
        <v>66</v>
      </c>
      <c r="V67" s="11">
        <v>3083</v>
      </c>
      <c r="W67" s="433">
        <f ca="1">IF(V67="",164,INDEX(OFFSET(Arb!$I$2,,,Arb!$AJ$5,),V67))</f>
        <v>189</v>
      </c>
      <c r="X67" s="34">
        <f ca="1">IF(V67="",240,INDEX(OFFSET(Arb!$H$2,,,Arb!$AJ$5,),V67))</f>
        <v>72.209999999999994</v>
      </c>
      <c r="Y67" s="33">
        <f t="shared" ref="Y67:Y130" ca="1" si="15">W67/X67</f>
        <v>2.6173660157872871</v>
      </c>
      <c r="Z67" s="33">
        <f ca="1">IF(V67="","",INDEX(OFFSET(Arb!$X$2,,,Arb!$AJ$5,),V67)/X67)</f>
        <v>3.1851544107464345</v>
      </c>
      <c r="AA67" s="33">
        <f ca="1">IF(V67="","",(INDEX(OFFSET(Arb!$U$2,,,Arb!$AJ$5,),V67)+INDEX(OFFSET(Arb!$V$2,,,Arb!$AJ$5,),V67))/X67)</f>
        <v>3.4898213543830496</v>
      </c>
      <c r="AB67" s="33">
        <f t="shared" ref="AB67:AB130" ca="1" si="16">X67^1.7/W67</f>
        <v>7.6410612738998047</v>
      </c>
      <c r="AC67" s="21">
        <f t="shared" ref="AC67:AC130" ca="1" si="17">435.001/AB67</f>
        <v>56.929395591404081</v>
      </c>
      <c r="AD67" s="74">
        <f ca="1">IF(V67="","",DATE(INDEX(OFFSET(Arb!$C$2,,,Arb!$AJ$5,),V67),INDEX(OFFSET(Arb!$B$2,,,Arb!$AJ$5,),V67),INDEX(OFFSET(Arb!$A$2,,,Arb!$AJ$5,),V67))+ROW()*0.001)</f>
        <v>44003.067000000003</v>
      </c>
    </row>
    <row r="68" spans="1:30" x14ac:dyDescent="0.25">
      <c r="A68" s="11">
        <v>67</v>
      </c>
      <c r="B68" s="11">
        <v>413</v>
      </c>
      <c r="C68" s="433">
        <f ca="1">IF(B68="",16,INDEX(OFFSET(Arb!$I$2,,,Arb!$AJ$5,),B68))</f>
        <v>11</v>
      </c>
      <c r="D68" s="34">
        <f ca="1">IF(B68="",10,INDEX(OFFSET(Arb!$H$2,,,Arb!$AJ$5,),B68))</f>
        <v>3.52</v>
      </c>
      <c r="E68" s="33">
        <f t="shared" ca="1" si="9"/>
        <v>3.125</v>
      </c>
      <c r="F68" s="33">
        <f ca="1">IF(B68="","",INDEX(OFFSET(Arb!$X$2,,,Arb!$AJ$5,),B68)/D68)</f>
        <v>4.2613636363636367</v>
      </c>
      <c r="G68" s="33">
        <f ca="1">IF(B68="","",(INDEX(OFFSET(Arb!$U$2,,,Arb!$AJ$5,),B68)+INDEX(OFFSET(Arb!$V$2,,,Arb!$AJ$5,),B68))/D68)</f>
        <v>5.1136363636363633</v>
      </c>
      <c r="H68" s="33">
        <f t="shared" ca="1" si="10"/>
        <v>0.77220008084211667</v>
      </c>
      <c r="I68" s="21">
        <f t="shared" ca="1" si="11"/>
        <v>61.252259839727614</v>
      </c>
      <c r="J68" s="74">
        <f ca="1">IF(B68="","",DATE(INDEX(OFFSET(Arb!$C$2,,,Arb!$AJ$5,),B68),INDEX(OFFSET(Arb!$B$2,,,Arb!$AJ$5,),B68),INDEX(OFFSET(Arb!$A$2,,,Arb!$AJ$5,),B68))+ROW()*0.001)</f>
        <v>43781.067999999999</v>
      </c>
      <c r="K68" s="11">
        <v>67</v>
      </c>
      <c r="L68" s="11">
        <v>1916</v>
      </c>
      <c r="M68" s="433">
        <f ca="1">IF(L68="",64,INDEX(OFFSET(Arb!$I$2,,,Arb!$AJ$5,),L68))</f>
        <v>73</v>
      </c>
      <c r="N68" s="34">
        <f ca="1">IF(L68="",60,INDEX(OFFSET(Arb!$H$2,,,Arb!$AJ$5,),L68))</f>
        <v>25.26</v>
      </c>
      <c r="O68" s="33">
        <f t="shared" ca="1" si="12"/>
        <v>2.8899445764053837</v>
      </c>
      <c r="P68" s="33">
        <f ca="1">IF(L68="","",INDEX(OFFSET(Arb!$X$2,,,Arb!$AJ$5,),L68)/N68)</f>
        <v>3.4441805225653206</v>
      </c>
      <c r="Q68" s="33">
        <f ca="1">IF(L68="","",(INDEX(OFFSET(Arb!$U$2,,,Arb!$AJ$5,),L68)+INDEX(OFFSET(Arb!$V$2,,,Arb!$AJ$5,),L68))/N68)</f>
        <v>3.9588281868566901</v>
      </c>
      <c r="R68" s="33">
        <f t="shared" ca="1" si="13"/>
        <v>3.3175221291104453</v>
      </c>
      <c r="S68" s="21">
        <f t="shared" ca="1" si="14"/>
        <v>46.338801677027817</v>
      </c>
      <c r="T68" s="74">
        <f ca="1">IF(L68="","",DATE(INDEX(OFFSET(Arb!$C$2,,,Arb!$AJ$5,),L68),INDEX(OFFSET(Arb!$B$2,,,Arb!$AJ$5,),L68),INDEX(OFFSET(Arb!$A$2,,,Arb!$AJ$5,),L68))+ROW()*0.001)</f>
        <v>43769.067999999999</v>
      </c>
      <c r="U68" s="11">
        <v>67</v>
      </c>
      <c r="V68" s="11">
        <v>3329</v>
      </c>
      <c r="W68" s="433">
        <f ca="1">IF(V68="",164,INDEX(OFFSET(Arb!$I$2,,,Arb!$AJ$5,),V68))</f>
        <v>171</v>
      </c>
      <c r="X68" s="34">
        <f ca="1">IF(V68="",240,INDEX(OFFSET(Arb!$H$2,,,Arb!$AJ$5,),V68))</f>
        <v>68.11</v>
      </c>
      <c r="Y68" s="33">
        <f t="shared" ca="1" si="15"/>
        <v>2.5106445455880193</v>
      </c>
      <c r="Z68" s="33">
        <f ca="1">IF(V68="","",INDEX(OFFSET(Arb!$X$2,,,Arb!$AJ$5,),V68)/X68)</f>
        <v>3.0098370283365146</v>
      </c>
      <c r="AA68" s="33">
        <f ca="1">IF(V68="","",(INDEX(OFFSET(Arb!$U$2,,,Arb!$AJ$5,),V68)+INDEX(OFFSET(Arb!$V$2,,,Arb!$AJ$5,),V68))/X68)</f>
        <v>3.28879753340185</v>
      </c>
      <c r="AB68" s="33">
        <f t="shared" ca="1" si="16"/>
        <v>7.6464945986808779</v>
      </c>
      <c r="AC68" s="21">
        <f t="shared" ca="1" si="17"/>
        <v>56.888943604961604</v>
      </c>
      <c r="AD68" s="74">
        <f ca="1">IF(V68="","",DATE(INDEX(OFFSET(Arb!$C$2,,,Arb!$AJ$5,),V68),INDEX(OFFSET(Arb!$B$2,,,Arb!$AJ$5,),V68),INDEX(OFFSET(Arb!$A$2,,,Arb!$AJ$5,),V68))+ROW()*0.001)</f>
        <v>44096.067999999999</v>
      </c>
    </row>
    <row r="69" spans="1:30" x14ac:dyDescent="0.25">
      <c r="A69" s="11">
        <v>68</v>
      </c>
      <c r="B69" s="11">
        <v>188</v>
      </c>
      <c r="C69" s="433">
        <f ca="1">IF(B69="",16,INDEX(OFFSET(Arb!$I$2,,,Arb!$AJ$5,),B69))</f>
        <v>10</v>
      </c>
      <c r="D69" s="34">
        <f ca="1">IF(B69="",10,INDEX(OFFSET(Arb!$H$2,,,Arb!$AJ$5,),B69))</f>
        <v>3.33</v>
      </c>
      <c r="E69" s="33">
        <f t="shared" ca="1" si="9"/>
        <v>3.0030030030030028</v>
      </c>
      <c r="F69" s="33">
        <f ca="1">IF(B69="","",INDEX(OFFSET(Arb!$X$2,,,Arb!$AJ$5,),B69)/D69)</f>
        <v>3.303303303303303</v>
      </c>
      <c r="G69" s="33">
        <f ca="1">IF(B69="","",(INDEX(OFFSET(Arb!$U$2,,,Arb!$AJ$5,),B69)+INDEX(OFFSET(Arb!$V$2,,,Arb!$AJ$5,),B69))/D69)</f>
        <v>3.9039039039039038</v>
      </c>
      <c r="H69" s="33">
        <f t="shared" ca="1" si="10"/>
        <v>0.77295675509676476</v>
      </c>
      <c r="I69" s="21">
        <f t="shared" ca="1" si="11"/>
        <v>61.192297871927828</v>
      </c>
      <c r="J69" s="74">
        <f ca="1">IF(B69="","",DATE(INDEX(OFFSET(Arb!$C$2,,,Arb!$AJ$5,),B69),INDEX(OFFSET(Arb!$B$2,,,Arb!$AJ$5,),B69),INDEX(OFFSET(Arb!$A$2,,,Arb!$AJ$5,),B69))+ROW()*0.001)</f>
        <v>43774.069000000003</v>
      </c>
      <c r="K69" s="11">
        <v>68</v>
      </c>
      <c r="L69" s="11">
        <v>2356</v>
      </c>
      <c r="M69" s="433">
        <f ca="1">IF(L69="",64,INDEX(OFFSET(Arb!$I$2,,,Arb!$AJ$5,),L69))</f>
        <v>45</v>
      </c>
      <c r="N69" s="34">
        <f ca="1">IF(L69="",60,INDEX(OFFSET(Arb!$H$2,,,Arb!$AJ$5,),L69))</f>
        <v>19.03</v>
      </c>
      <c r="O69" s="33">
        <f t="shared" ca="1" si="12"/>
        <v>2.3646873357856015</v>
      </c>
      <c r="P69" s="33">
        <f ca="1">IF(L69="","",INDEX(OFFSET(Arb!$X$2,,,Arb!$AJ$5,),L69)/N69)</f>
        <v>2.8901734104046239</v>
      </c>
      <c r="Q69" s="33">
        <f ca="1">IF(L69="","",(INDEX(OFFSET(Arb!$U$2,,,Arb!$AJ$5,),L69)+INDEX(OFFSET(Arb!$V$2,,,Arb!$AJ$5,),L69))/N69)</f>
        <v>3.7834997372569625</v>
      </c>
      <c r="R69" s="33">
        <f t="shared" ca="1" si="13"/>
        <v>3.3253198615831825</v>
      </c>
      <c r="S69" s="21">
        <f t="shared" ca="1" si="14"/>
        <v>46.230139174283593</v>
      </c>
      <c r="T69" s="74">
        <f ca="1">IF(L69="","",DATE(INDEX(OFFSET(Arb!$C$2,,,Arb!$AJ$5,),L69),INDEX(OFFSET(Arb!$B$2,,,Arb!$AJ$5,),L69),INDEX(OFFSET(Arb!$A$2,,,Arb!$AJ$5,),L69))+ROW()*0.001)</f>
        <v>44114.069000000003</v>
      </c>
      <c r="U69" s="11">
        <v>68</v>
      </c>
      <c r="V69" s="11">
        <v>3308</v>
      </c>
      <c r="W69" s="433">
        <f ca="1">IF(V69="",164,INDEX(OFFSET(Arb!$I$2,,,Arb!$AJ$5,),V69))</f>
        <v>196</v>
      </c>
      <c r="X69" s="34">
        <f ca="1">IF(V69="",240,INDEX(OFFSET(Arb!$H$2,,,Arb!$AJ$5,),V69))</f>
        <v>73.81</v>
      </c>
      <c r="Y69" s="33">
        <f t="shared" ca="1" si="15"/>
        <v>2.655466738924265</v>
      </c>
      <c r="Z69" s="33">
        <f ca="1">IF(V69="","",INDEX(OFFSET(Arb!$X$2,,,Arb!$AJ$5,),V69)/X69)</f>
        <v>3.1973987264598294</v>
      </c>
      <c r="AA69" s="33">
        <f ca="1">IF(V69="","",(INDEX(OFFSET(Arb!$U$2,,,Arb!$AJ$5,),V69)+INDEX(OFFSET(Arb!$V$2,,,Arb!$AJ$5,),V69))/X69)</f>
        <v>3.5090096192927787</v>
      </c>
      <c r="AB69" s="33">
        <f t="shared" ca="1" si="16"/>
        <v>7.6478573313301395</v>
      </c>
      <c r="AC69" s="21">
        <f t="shared" ca="1" si="17"/>
        <v>56.878806854565532</v>
      </c>
      <c r="AD69" s="74">
        <f ca="1">IF(V69="","",DATE(INDEX(OFFSET(Arb!$C$2,,,Arb!$AJ$5,),V69),INDEX(OFFSET(Arb!$B$2,,,Arb!$AJ$5,),V69),INDEX(OFFSET(Arb!$A$2,,,Arb!$AJ$5,),V69))+ROW()*0.001)</f>
        <v>44092.069000000003</v>
      </c>
    </row>
    <row r="70" spans="1:30" x14ac:dyDescent="0.25">
      <c r="A70" s="11">
        <v>69</v>
      </c>
      <c r="B70" s="11">
        <v>1796</v>
      </c>
      <c r="C70" s="433">
        <f ca="1">IF(B70="",16,INDEX(OFFSET(Arb!$I$2,,,Arb!$AJ$5,),B70))</f>
        <v>18</v>
      </c>
      <c r="D70" s="34">
        <f ca="1">IF(B70="",10,INDEX(OFFSET(Arb!$H$2,,,Arb!$AJ$5,),B70))</f>
        <v>4.71</v>
      </c>
      <c r="E70" s="33">
        <f t="shared" ca="1" si="9"/>
        <v>3.8216560509554141</v>
      </c>
      <c r="F70" s="33">
        <f ca="1">IF(B70="","",INDEX(OFFSET(Arb!$X$2,,,Arb!$AJ$5,),B70)/D70)</f>
        <v>3.397027600849257</v>
      </c>
      <c r="G70" s="33">
        <f ca="1">IF(B70="","",(INDEX(OFFSET(Arb!$U$2,,,Arb!$AJ$5,),B70)+INDEX(OFFSET(Arb!$V$2,,,Arb!$AJ$5,),B70))/D70)</f>
        <v>3.397027600849257</v>
      </c>
      <c r="H70" s="33">
        <f t="shared" ca="1" si="10"/>
        <v>0.77421759512636446</v>
      </c>
      <c r="I70" s="21">
        <f t="shared" ca="1" si="11"/>
        <v>61.092644106441497</v>
      </c>
      <c r="J70" s="74">
        <f ca="1">IF(B70="","",DATE(INDEX(OFFSET(Arb!$C$2,,,Arb!$AJ$5,),B70),INDEX(OFFSET(Arb!$B$2,,,Arb!$AJ$5,),B70),INDEX(OFFSET(Arb!$A$2,,,Arb!$AJ$5,),B70))+ROW()*0.001)</f>
        <v>44168.07</v>
      </c>
      <c r="K70" s="11">
        <v>69</v>
      </c>
      <c r="L70" s="11">
        <v>2202</v>
      </c>
      <c r="M70" s="433">
        <f ca="1">IF(L70="",64,INDEX(OFFSET(Arb!$I$2,,,Arb!$AJ$5,),L70))</f>
        <v>76</v>
      </c>
      <c r="N70" s="34">
        <f ca="1">IF(L70="",60,INDEX(OFFSET(Arb!$H$2,,,Arb!$AJ$5,),L70))</f>
        <v>25.93</v>
      </c>
      <c r="O70" s="33">
        <f t="shared" ca="1" si="12"/>
        <v>2.9309679907443118</v>
      </c>
      <c r="P70" s="33">
        <f ca="1">IF(L70="","",INDEX(OFFSET(Arb!$X$2,,,Arb!$AJ$5,),L70)/N70)</f>
        <v>3.2009255688391827</v>
      </c>
      <c r="Q70" s="33">
        <f ca="1">IF(L70="","",(INDEX(OFFSET(Arb!$U$2,,,Arb!$AJ$5,),L70)+INDEX(OFFSET(Arb!$V$2,,,Arb!$AJ$5,),L70))/N70)</f>
        <v>3.2780563054377168</v>
      </c>
      <c r="R70" s="33">
        <f t="shared" ca="1" si="13"/>
        <v>3.3315833749263533</v>
      </c>
      <c r="S70" s="21">
        <f t="shared" ca="1" si="14"/>
        <v>46.143224617153187</v>
      </c>
      <c r="T70" s="74">
        <f ca="1">IF(L70="","",DATE(INDEX(OFFSET(Arb!$C$2,,,Arb!$AJ$5,),L70),INDEX(OFFSET(Arb!$B$2,,,Arb!$AJ$5,),L70),INDEX(OFFSET(Arb!$A$2,,,Arb!$AJ$5,),L70))+ROW()*0.001)</f>
        <v>43869.07</v>
      </c>
      <c r="U70" s="11">
        <v>69</v>
      </c>
      <c r="V70" s="11">
        <v>3254</v>
      </c>
      <c r="W70" s="433">
        <f ca="1">IF(V70="",164,INDEX(OFFSET(Arb!$I$2,,,Arb!$AJ$5,),V70))</f>
        <v>145</v>
      </c>
      <c r="X70" s="34">
        <f ca="1">IF(V70="",240,INDEX(OFFSET(Arb!$H$2,,,Arb!$AJ$5,),V70))</f>
        <v>61.85</v>
      </c>
      <c r="Y70" s="33">
        <f t="shared" ca="1" si="15"/>
        <v>2.3443815683104283</v>
      </c>
      <c r="Z70" s="33">
        <f ca="1">IF(V70="","",INDEX(OFFSET(Arb!$X$2,,,Arb!$AJ$5,),V70)/X70)</f>
        <v>2.8940986257073567</v>
      </c>
      <c r="AA70" s="33">
        <f ca="1">IF(V70="","",(INDEX(OFFSET(Arb!$U$2,,,Arb!$AJ$5,),V70)+INDEX(OFFSET(Arb!$V$2,,,Arb!$AJ$5,),V70))/X70)</f>
        <v>3.1851253031527889</v>
      </c>
      <c r="AB70" s="33">
        <f t="shared" ca="1" si="16"/>
        <v>7.6543707580342346</v>
      </c>
      <c r="AC70" s="21">
        <f t="shared" ca="1" si="17"/>
        <v>56.830406280413207</v>
      </c>
      <c r="AD70" s="74">
        <f ca="1">IF(V70="","",DATE(INDEX(OFFSET(Arb!$C$2,,,Arb!$AJ$5,),V70),INDEX(OFFSET(Arb!$B$2,,,Arb!$AJ$5,),V70),INDEX(OFFSET(Arb!$A$2,,,Arb!$AJ$5,),V70))+ROW()*0.001)</f>
        <v>44070.07</v>
      </c>
    </row>
    <row r="71" spans="1:30" x14ac:dyDescent="0.25">
      <c r="A71" s="11">
        <v>70</v>
      </c>
      <c r="B71" s="11">
        <v>976</v>
      </c>
      <c r="C71" s="433">
        <f ca="1">IF(B71="",16,INDEX(OFFSET(Arb!$I$2,,,Arb!$AJ$5,),B71))</f>
        <v>11</v>
      </c>
      <c r="D71" s="34">
        <f ca="1">IF(B71="",10,INDEX(OFFSET(Arb!$H$2,,,Arb!$AJ$5,),B71))</f>
        <v>3.53</v>
      </c>
      <c r="E71" s="33">
        <f t="shared" ca="1" si="9"/>
        <v>3.1161473087818701</v>
      </c>
      <c r="F71" s="33">
        <f ca="1">IF(B71="","",INDEX(OFFSET(Arb!$X$2,,,Arb!$AJ$5,),B71)/D71)</f>
        <v>3.1161473087818701</v>
      </c>
      <c r="G71" s="33">
        <f ca="1">IF(B71="","",(INDEX(OFFSET(Arb!$U$2,,,Arb!$AJ$5,),B71)+INDEX(OFFSET(Arb!$V$2,,,Arb!$AJ$5,),B71))/D71)</f>
        <v>3.6827195467422098</v>
      </c>
      <c r="H71" s="33">
        <f t="shared" ca="1" si="10"/>
        <v>0.7759331633658143</v>
      </c>
      <c r="I71" s="21">
        <f t="shared" ca="1" si="11"/>
        <v>60.957569843809921</v>
      </c>
      <c r="J71" s="74">
        <f ca="1">IF(B71="","",DATE(INDEX(OFFSET(Arb!$C$2,,,Arb!$AJ$5,),B71),INDEX(OFFSET(Arb!$B$2,,,Arb!$AJ$5,),B71),INDEX(OFFSET(Arb!$A$2,,,Arb!$AJ$5,),B71))+ROW()*0.001)</f>
        <v>43822.071000000004</v>
      </c>
      <c r="K71" s="11">
        <v>70</v>
      </c>
      <c r="L71" s="11">
        <v>2136</v>
      </c>
      <c r="M71" s="433">
        <f ca="1">IF(L71="",64,INDEX(OFFSET(Arb!$I$2,,,Arb!$AJ$5,),L71))</f>
        <v>83</v>
      </c>
      <c r="N71" s="34">
        <f ca="1">IF(L71="",60,INDEX(OFFSET(Arb!$H$2,,,Arb!$AJ$5,),L71))</f>
        <v>27.34</v>
      </c>
      <c r="O71" s="33">
        <f t="shared" ca="1" si="12"/>
        <v>3.0358449158741769</v>
      </c>
      <c r="P71" s="33">
        <f ca="1">IF(L71="","",INDEX(OFFSET(Arb!$X$2,,,Arb!$AJ$5,),L71)/N71)</f>
        <v>3.5844915874177028</v>
      </c>
      <c r="Q71" s="33">
        <f ca="1">IF(L71="","",(INDEX(OFFSET(Arb!$U$2,,,Arb!$AJ$5,),L71)+INDEX(OFFSET(Arb!$V$2,,,Arb!$AJ$5,),L71))/N71)</f>
        <v>3.9868324798829553</v>
      </c>
      <c r="R71" s="33">
        <f t="shared" ca="1" si="13"/>
        <v>3.3379465262245152</v>
      </c>
      <c r="S71" s="21">
        <f t="shared" ca="1" si="14"/>
        <v>46.055261458571337</v>
      </c>
      <c r="T71" s="74">
        <f ca="1">IF(L71="","",DATE(INDEX(OFFSET(Arb!$C$2,,,Arb!$AJ$5,),L71),INDEX(OFFSET(Arb!$B$2,,,Arb!$AJ$5,),L71),INDEX(OFFSET(Arb!$A$2,,,Arb!$AJ$5,),L71))+ROW()*0.001)</f>
        <v>43817.071000000004</v>
      </c>
      <c r="U71" s="11">
        <v>70</v>
      </c>
      <c r="V71" s="11">
        <v>2973</v>
      </c>
      <c r="W71" s="433">
        <f ca="1">IF(V71="",164,INDEX(OFFSET(Arb!$I$2,,,Arb!$AJ$5,),V71))</f>
        <v>186</v>
      </c>
      <c r="X71" s="34">
        <f ca="1">IF(V71="",240,INDEX(OFFSET(Arb!$H$2,,,Arb!$AJ$5,),V71))</f>
        <v>71.62</v>
      </c>
      <c r="Y71" s="33">
        <f t="shared" ca="1" si="15"/>
        <v>2.5970399329796146</v>
      </c>
      <c r="Z71" s="33">
        <f ca="1">IF(V71="","",INDEX(OFFSET(Arb!$X$2,,,Arb!$AJ$5,),V71)/X71)</f>
        <v>3.225356045797263</v>
      </c>
      <c r="AA71" s="33">
        <f ca="1">IF(V71="","",(INDEX(OFFSET(Arb!$U$2,,,Arb!$AJ$5,),V71)+INDEX(OFFSET(Arb!$V$2,,,Arb!$AJ$5,),V71))/X71)</f>
        <v>3.5883831332030156</v>
      </c>
      <c r="AB71" s="33">
        <f t="shared" ca="1" si="16"/>
        <v>7.6567663419811955</v>
      </c>
      <c r="AC71" s="21">
        <f t="shared" ca="1" si="17"/>
        <v>56.81262566612984</v>
      </c>
      <c r="AD71" s="74">
        <f ca="1">IF(V71="","",DATE(INDEX(OFFSET(Arb!$C$2,,,Arb!$AJ$5,),V71),INDEX(OFFSET(Arb!$B$2,,,Arb!$AJ$5,),V71),INDEX(OFFSET(Arb!$A$2,,,Arb!$AJ$5,),V71))+ROW()*0.001)</f>
        <v>43954.071000000004</v>
      </c>
    </row>
    <row r="72" spans="1:30" x14ac:dyDescent="0.25">
      <c r="A72" s="11">
        <v>71</v>
      </c>
      <c r="B72" s="11">
        <v>84</v>
      </c>
      <c r="C72" s="433">
        <f ca="1">IF(B72="",16,INDEX(OFFSET(Arb!$I$2,,,Arb!$AJ$5,),B72))</f>
        <v>15</v>
      </c>
      <c r="D72" s="34">
        <f ca="1">IF(B72="",10,INDEX(OFFSET(Arb!$H$2,,,Arb!$AJ$5,),B72))</f>
        <v>4.24</v>
      </c>
      <c r="E72" s="33">
        <f t="shared" ca="1" si="9"/>
        <v>3.5377358490566038</v>
      </c>
      <c r="F72" s="33">
        <f ca="1">IF(B72="","",INDEX(OFFSET(Arb!$X$2,,,Arb!$AJ$5,),B72)/D72)</f>
        <v>4.2452830188679247</v>
      </c>
      <c r="G72" s="33">
        <f ca="1">IF(B72="","",(INDEX(OFFSET(Arb!$U$2,,,Arb!$AJ$5,),B72)+INDEX(OFFSET(Arb!$V$2,,,Arb!$AJ$5,),B72))/D72)</f>
        <v>4.9528301886792452</v>
      </c>
      <c r="H72" s="33">
        <f t="shared" ca="1" si="10"/>
        <v>0.77701731581420708</v>
      </c>
      <c r="I72" s="21">
        <f t="shared" ca="1" si="11"/>
        <v>60.872517300901031</v>
      </c>
      <c r="J72" s="74">
        <f ca="1">IF(B72="","",DATE(INDEX(OFFSET(Arb!$C$2,,,Arb!$AJ$5,),B72),INDEX(OFFSET(Arb!$B$2,,,Arb!$AJ$5,),B72),INDEX(OFFSET(Arb!$A$2,,,Arb!$AJ$5,),B72))+ROW()*0.001)</f>
        <v>43767.072</v>
      </c>
      <c r="K72" s="11">
        <v>71</v>
      </c>
      <c r="L72" s="11">
        <v>2399</v>
      </c>
      <c r="M72" s="433">
        <f ca="1">IF(L72="",64,INDEX(OFFSET(Arb!$I$2,,,Arb!$AJ$5,),L72))</f>
        <v>86</v>
      </c>
      <c r="N72" s="34">
        <f ca="1">IF(L72="",60,INDEX(OFFSET(Arb!$H$2,,,Arb!$AJ$5,),L72))</f>
        <v>27.92</v>
      </c>
      <c r="O72" s="33">
        <f t="shared" ca="1" si="12"/>
        <v>3.0802292263610314</v>
      </c>
      <c r="P72" s="33">
        <f ca="1">IF(L72="","",INDEX(OFFSET(Arb!$X$2,,,Arb!$AJ$5,),L72)/N72)</f>
        <v>3.2951289398280799</v>
      </c>
      <c r="Q72" s="33">
        <f ca="1">IF(L72="","",(INDEX(OFFSET(Arb!$U$2,,,Arb!$AJ$5,),L72)+INDEX(OFFSET(Arb!$V$2,,,Arb!$AJ$5,),L72))/N72)</f>
        <v>3.6891117478510025</v>
      </c>
      <c r="R72" s="33">
        <f t="shared" ca="1" si="13"/>
        <v>3.3385489823332164</v>
      </c>
      <c r="S72" s="21">
        <f t="shared" ca="1" si="14"/>
        <v>46.04695058047718</v>
      </c>
      <c r="T72" s="74">
        <f ca="1">IF(L72="","",DATE(INDEX(OFFSET(Arb!$C$2,,,Arb!$AJ$5,),L72),INDEX(OFFSET(Arb!$B$2,,,Arb!$AJ$5,),L72),INDEX(OFFSET(Arb!$A$2,,,Arb!$AJ$5,),L72))+ROW()*0.001)</f>
        <v>44168.072</v>
      </c>
      <c r="U72" s="11">
        <v>71</v>
      </c>
      <c r="V72" s="11">
        <v>3122</v>
      </c>
      <c r="W72" s="433">
        <f ca="1">IF(V72="",164,INDEX(OFFSET(Arb!$I$2,,,Arb!$AJ$5,),V72))</f>
        <v>163</v>
      </c>
      <c r="X72" s="34">
        <f ca="1">IF(V72="",240,INDEX(OFFSET(Arb!$H$2,,,Arb!$AJ$5,),V72))</f>
        <v>66.33</v>
      </c>
      <c r="Y72" s="33">
        <f t="shared" ca="1" si="15"/>
        <v>2.4574099200964872</v>
      </c>
      <c r="Z72" s="33">
        <f ca="1">IF(V72="","",INDEX(OFFSET(Arb!$X$2,,,Arb!$AJ$5,),V72)/X72)</f>
        <v>3.1056837026986281</v>
      </c>
      <c r="AA72" s="33">
        <f ca="1">IF(V72="","",(INDEX(OFFSET(Arb!$U$2,,,Arb!$AJ$5,),V72)+INDEX(OFFSET(Arb!$V$2,,,Arb!$AJ$5,),V72))/X72)</f>
        <v>3.5579677370722149</v>
      </c>
      <c r="AB72" s="33">
        <f t="shared" ca="1" si="16"/>
        <v>7.6686583722506301</v>
      </c>
      <c r="AC72" s="21">
        <f t="shared" ca="1" si="17"/>
        <v>56.72452453666078</v>
      </c>
      <c r="AD72" s="74">
        <f ca="1">IF(V72="","",DATE(INDEX(OFFSET(Arb!$C$2,,,Arb!$AJ$5,),V72),INDEX(OFFSET(Arb!$B$2,,,Arb!$AJ$5,),V72),INDEX(OFFSET(Arb!$A$2,,,Arb!$AJ$5,),V72))+ROW()*0.001)</f>
        <v>44013.072</v>
      </c>
    </row>
    <row r="73" spans="1:30" x14ac:dyDescent="0.25">
      <c r="A73" s="11">
        <v>72</v>
      </c>
      <c r="B73" s="11">
        <v>1004</v>
      </c>
      <c r="C73" s="433">
        <f ca="1">IF(B73="",16,INDEX(OFFSET(Arb!$I$2,,,Arb!$AJ$5,),B73))</f>
        <v>19</v>
      </c>
      <c r="D73" s="34">
        <f ca="1">IF(B73="",10,INDEX(OFFSET(Arb!$H$2,,,Arb!$AJ$5,),B73))</f>
        <v>4.88</v>
      </c>
      <c r="E73" s="33">
        <f t="shared" ca="1" si="9"/>
        <v>3.8934426229508197</v>
      </c>
      <c r="F73" s="33">
        <f ca="1">IF(B73="","",INDEX(OFFSET(Arb!$X$2,,,Arb!$AJ$5,),B73)/D73)</f>
        <v>4.5081967213114753</v>
      </c>
      <c r="G73" s="33">
        <f ca="1">IF(B73="","",(INDEX(OFFSET(Arb!$U$2,,,Arb!$AJ$5,),B73)+INDEX(OFFSET(Arb!$V$2,,,Arb!$AJ$5,),B73))/D73)</f>
        <v>4.5081967213114753</v>
      </c>
      <c r="H73" s="33">
        <f t="shared" ca="1" si="10"/>
        <v>0.77904060854881441</v>
      </c>
      <c r="I73" s="21">
        <f t="shared" ca="1" si="11"/>
        <v>60.714421662957847</v>
      </c>
      <c r="J73" s="74">
        <f ca="1">IF(B73="","",DATE(INDEX(OFFSET(Arb!$C$2,,,Arb!$AJ$5,),B73),INDEX(OFFSET(Arb!$B$2,,,Arb!$AJ$5,),B73),INDEX(OFFSET(Arb!$A$2,,,Arb!$AJ$5,),B73))+ROW()*0.001)</f>
        <v>43838.072999999997</v>
      </c>
      <c r="K73" s="11">
        <v>72</v>
      </c>
      <c r="L73" s="11">
        <v>2331</v>
      </c>
      <c r="M73" s="433">
        <f ca="1">IF(L73="",64,INDEX(OFFSET(Arb!$I$2,,,Arb!$AJ$5,),L73))</f>
        <v>80</v>
      </c>
      <c r="N73" s="34">
        <f ca="1">IF(L73="",60,INDEX(OFFSET(Arb!$H$2,,,Arb!$AJ$5,),L73))</f>
        <v>26.8</v>
      </c>
      <c r="O73" s="33">
        <f t="shared" ca="1" si="12"/>
        <v>2.9850746268656714</v>
      </c>
      <c r="P73" s="33">
        <f ca="1">IF(L73="","",INDEX(OFFSET(Arb!$X$2,,,Arb!$AJ$5,),L73)/N73)</f>
        <v>3.6940298507462686</v>
      </c>
      <c r="Q73" s="33">
        <f ca="1">IF(L73="","",(INDEX(OFFSET(Arb!$U$2,,,Arb!$AJ$5,),L73)+INDEX(OFFSET(Arb!$V$2,,,Arb!$AJ$5,),L73))/N73)</f>
        <v>4.1791044776119399</v>
      </c>
      <c r="R73" s="33">
        <f t="shared" ca="1" si="13"/>
        <v>3.3476431941208231</v>
      </c>
      <c r="S73" s="21">
        <f t="shared" ca="1" si="14"/>
        <v>45.921859375569873</v>
      </c>
      <c r="T73" s="74">
        <f ca="1">IF(L73="","",DATE(INDEX(OFFSET(Arb!$C$2,,,Arb!$AJ$5,),L73),INDEX(OFFSET(Arb!$B$2,,,Arb!$AJ$5,),L73),INDEX(OFFSET(Arb!$A$2,,,Arb!$AJ$5,),L73))+ROW()*0.001)</f>
        <v>44093.072999999997</v>
      </c>
      <c r="U73" s="11">
        <v>72</v>
      </c>
      <c r="V73" s="11">
        <v>3279</v>
      </c>
      <c r="W73" s="433">
        <f ca="1">IF(V73="",164,INDEX(OFFSET(Arb!$I$2,,,Arb!$AJ$5,),V73))</f>
        <v>156</v>
      </c>
      <c r="X73" s="34">
        <f ca="1">IF(V73="",240,INDEX(OFFSET(Arb!$H$2,,,Arb!$AJ$5,),V73))</f>
        <v>64.64</v>
      </c>
      <c r="Y73" s="33">
        <f t="shared" ca="1" si="15"/>
        <v>2.4133663366336635</v>
      </c>
      <c r="Z73" s="33">
        <f ca="1">IF(V73="","",INDEX(OFFSET(Arb!$X$2,,,Arb!$AJ$5,),V73)/X73)</f>
        <v>2.7691831683168315</v>
      </c>
      <c r="AA73" s="33">
        <f ca="1">IF(V73="","",(INDEX(OFFSET(Arb!$U$2,,,Arb!$AJ$5,),V73)+INDEX(OFFSET(Arb!$V$2,,,Arb!$AJ$5,),V73))/X73)</f>
        <v>3.1095297029702968</v>
      </c>
      <c r="AB73" s="33">
        <f t="shared" ca="1" si="16"/>
        <v>7.6688049654657195</v>
      </c>
      <c r="AC73" s="21">
        <f t="shared" ca="1" si="17"/>
        <v>56.72344021772664</v>
      </c>
      <c r="AD73" s="74">
        <f ca="1">IF(V73="","",DATE(INDEX(OFFSET(Arb!$C$2,,,Arb!$AJ$5,),V73),INDEX(OFFSET(Arb!$B$2,,,Arb!$AJ$5,),V73),INDEX(OFFSET(Arb!$A$2,,,Arb!$AJ$5,),V73))+ROW()*0.001)</f>
        <v>44075.072999999997</v>
      </c>
    </row>
    <row r="74" spans="1:30" x14ac:dyDescent="0.25">
      <c r="A74" s="11">
        <v>73</v>
      </c>
      <c r="B74" s="11">
        <v>528</v>
      </c>
      <c r="C74" s="433">
        <f ca="1">IF(B74="",16,INDEX(OFFSET(Arb!$I$2,,,Arb!$AJ$5,),B74))</f>
        <v>11</v>
      </c>
      <c r="D74" s="34">
        <f ca="1">IF(B74="",10,INDEX(OFFSET(Arb!$H$2,,,Arb!$AJ$5,),B74))</f>
        <v>3.54</v>
      </c>
      <c r="E74" s="33">
        <f t="shared" ca="1" si="9"/>
        <v>3.1073446327683616</v>
      </c>
      <c r="F74" s="33">
        <f ca="1">IF(B74="","",INDEX(OFFSET(Arb!$X$2,,,Arb!$AJ$5,),B74)/D74)</f>
        <v>4.2372881355932206</v>
      </c>
      <c r="G74" s="33">
        <f ca="1">IF(B74="","",(INDEX(OFFSET(Arb!$U$2,,,Arb!$AJ$5,),B74)+INDEX(OFFSET(Arb!$V$2,,,Arb!$AJ$5,),B74))/D74)</f>
        <v>5.0847457627118642</v>
      </c>
      <c r="H74" s="33">
        <f t="shared" ca="1" si="10"/>
        <v>0.77967365595383498</v>
      </c>
      <c r="I74" s="21">
        <f t="shared" ca="1" si="11"/>
        <v>60.665125259536289</v>
      </c>
      <c r="J74" s="74">
        <f ca="1">IF(B74="","",DATE(INDEX(OFFSET(Arb!$C$2,,,Arb!$AJ$5,),B74),INDEX(OFFSET(Arb!$B$2,,,Arb!$AJ$5,),B74),INDEX(OFFSET(Arb!$A$2,,,Arb!$AJ$5,),B74))+ROW()*0.001)</f>
        <v>43795.074000000001</v>
      </c>
      <c r="K74" s="11">
        <v>73</v>
      </c>
      <c r="L74" s="11">
        <v>2111</v>
      </c>
      <c r="M74" s="433">
        <f ca="1">IF(L74="",64,INDEX(OFFSET(Arb!$I$2,,,Arb!$AJ$5,),L74))</f>
        <v>72</v>
      </c>
      <c r="N74" s="34">
        <f ca="1">IF(L74="",60,INDEX(OFFSET(Arb!$H$2,,,Arb!$AJ$5,),L74))</f>
        <v>25.19</v>
      </c>
      <c r="O74" s="33">
        <f t="shared" ca="1" si="12"/>
        <v>2.8582770940849542</v>
      </c>
      <c r="P74" s="33">
        <f ca="1">IF(L74="","",INDEX(OFFSET(Arb!$X$2,,,Arb!$AJ$5,),L74)/N74)</f>
        <v>3.1758634378721715</v>
      </c>
      <c r="Q74" s="33">
        <f ca="1">IF(L74="","",(INDEX(OFFSET(Arb!$U$2,,,Arb!$AJ$5,),L74)+INDEX(OFFSET(Arb!$V$2,,,Arb!$AJ$5,),L74))/N74)</f>
        <v>3.4140531957125844</v>
      </c>
      <c r="R74" s="33">
        <f t="shared" ca="1" si="13"/>
        <v>3.3477682660771548</v>
      </c>
      <c r="S74" s="21">
        <f t="shared" ca="1" si="14"/>
        <v>45.920143744040445</v>
      </c>
      <c r="T74" s="74">
        <f ca="1">IF(L74="","",DATE(INDEX(OFFSET(Arb!$C$2,,,Arb!$AJ$5,),L74),INDEX(OFFSET(Arb!$B$2,,,Arb!$AJ$5,),L74),INDEX(OFFSET(Arb!$A$2,,,Arb!$AJ$5,),L74))+ROW()*0.001)</f>
        <v>43811.074000000001</v>
      </c>
      <c r="U74" s="11">
        <v>73</v>
      </c>
      <c r="V74" s="11">
        <v>3301</v>
      </c>
      <c r="W74" s="433">
        <f ca="1">IF(V74="",164,INDEX(OFFSET(Arb!$I$2,,,Arb!$AJ$5,),V74))</f>
        <v>186</v>
      </c>
      <c r="X74" s="34">
        <f ca="1">IF(V74="",240,INDEX(OFFSET(Arb!$H$2,,,Arb!$AJ$5,),V74))</f>
        <v>71.739999999999995</v>
      </c>
      <c r="Y74" s="33">
        <f t="shared" ca="1" si="15"/>
        <v>2.5926958461109564</v>
      </c>
      <c r="Z74" s="33">
        <f ca="1">IF(V74="","",INDEX(OFFSET(Arb!$X$2,,,Arb!$AJ$5,),V74)/X74)</f>
        <v>3.0108725954836912</v>
      </c>
      <c r="AA74" s="33">
        <f ca="1">IF(V74="","",(INDEX(OFFSET(Arb!$U$2,,,Arb!$AJ$5,),V74)+INDEX(OFFSET(Arb!$V$2,,,Arb!$AJ$5,),V74))/X74)</f>
        <v>3.4708670197936997</v>
      </c>
      <c r="AB74" s="33">
        <f t="shared" ca="1" si="16"/>
        <v>7.6785884052310873</v>
      </c>
      <c r="AC74" s="21">
        <f t="shared" ca="1" si="17"/>
        <v>56.651167772406289</v>
      </c>
      <c r="AD74" s="74">
        <f ca="1">IF(V74="","",DATE(INDEX(OFFSET(Arb!$C$2,,,Arb!$AJ$5,),V74),INDEX(OFFSET(Arb!$B$2,,,Arb!$AJ$5,),V74),INDEX(OFFSET(Arb!$A$2,,,Arb!$AJ$5,),V74))+ROW()*0.001)</f>
        <v>44090.074000000001</v>
      </c>
    </row>
    <row r="75" spans="1:30" x14ac:dyDescent="0.25">
      <c r="A75" s="11">
        <v>74</v>
      </c>
      <c r="B75" s="11">
        <v>1533</v>
      </c>
      <c r="C75" s="433">
        <f ca="1">IF(B75="",16,INDEX(OFFSET(Arb!$I$2,,,Arb!$AJ$5,),B75))</f>
        <v>19</v>
      </c>
      <c r="D75" s="34">
        <f ca="1">IF(B75="",10,INDEX(OFFSET(Arb!$H$2,,,Arb!$AJ$5,),B75))</f>
        <v>4.8899999999999997</v>
      </c>
      <c r="E75" s="33">
        <f t="shared" ca="1" si="9"/>
        <v>3.8854805725971371</v>
      </c>
      <c r="F75" s="33">
        <f ca="1">IF(B75="","",INDEX(OFFSET(Arb!$X$2,,,Arb!$AJ$5,),B75)/D75)</f>
        <v>3.8854805725971371</v>
      </c>
      <c r="G75" s="33">
        <f ca="1">IF(B75="","",(INDEX(OFFSET(Arb!$U$2,,,Arb!$AJ$5,),B75)+INDEX(OFFSET(Arb!$V$2,,,Arb!$AJ$5,),B75))/D75)</f>
        <v>4.294478527607362</v>
      </c>
      <c r="H75" s="33">
        <f t="shared" ca="1" si="10"/>
        <v>0.78175642554647895</v>
      </c>
      <c r="I75" s="21">
        <f t="shared" ca="1" si="11"/>
        <v>60.503500136805542</v>
      </c>
      <c r="J75" s="74">
        <f ca="1">IF(B75="","",DATE(INDEX(OFFSET(Arb!$C$2,,,Arb!$AJ$5,),B75),INDEX(OFFSET(Arb!$B$2,,,Arb!$AJ$5,),B75),INDEX(OFFSET(Arb!$A$2,,,Arb!$AJ$5,),B75))+ROW()*0.001)</f>
        <v>43984.074999999997</v>
      </c>
      <c r="K75" s="11">
        <v>74</v>
      </c>
      <c r="L75" s="11">
        <v>2252</v>
      </c>
      <c r="M75" s="433">
        <f ca="1">IF(L75="",64,INDEX(OFFSET(Arb!$I$2,,,Arb!$AJ$5,),L75))</f>
        <v>63</v>
      </c>
      <c r="N75" s="34">
        <f ca="1">IF(L75="",60,INDEX(OFFSET(Arb!$H$2,,,Arb!$AJ$5,),L75))</f>
        <v>23.3</v>
      </c>
      <c r="O75" s="33">
        <f t="shared" ca="1" si="12"/>
        <v>2.703862660944206</v>
      </c>
      <c r="P75" s="33">
        <f ca="1">IF(L75="","",INDEX(OFFSET(Arb!$X$2,,,Arb!$AJ$5,),L75)/N75)</f>
        <v>3.3047210300429182</v>
      </c>
      <c r="Q75" s="33">
        <f ca="1">IF(L75="","",(INDEX(OFFSET(Arb!$U$2,,,Arb!$AJ$5,),L75)+INDEX(OFFSET(Arb!$V$2,,,Arb!$AJ$5,),L75))/N75)</f>
        <v>3.6909871244635193</v>
      </c>
      <c r="R75" s="33">
        <f t="shared" ca="1" si="13"/>
        <v>3.3509235237646129</v>
      </c>
      <c r="S75" s="21">
        <f t="shared" ca="1" si="14"/>
        <v>45.876904951650822</v>
      </c>
      <c r="T75" s="74">
        <f ca="1">IF(L75="","",DATE(INDEX(OFFSET(Arb!$C$2,,,Arb!$AJ$5,),L75),INDEX(OFFSET(Arb!$B$2,,,Arb!$AJ$5,),L75),INDEX(OFFSET(Arb!$A$2,,,Arb!$AJ$5,),L75))+ROW()*0.001)</f>
        <v>43901.074999999997</v>
      </c>
      <c r="U75" s="11">
        <v>74</v>
      </c>
      <c r="V75" s="11">
        <v>3246</v>
      </c>
      <c r="W75" s="433">
        <f ca="1">IF(V75="",164,INDEX(OFFSET(Arb!$I$2,,,Arb!$AJ$5,),V75))</f>
        <v>178</v>
      </c>
      <c r="X75" s="34">
        <f ca="1">IF(V75="",240,INDEX(OFFSET(Arb!$H$2,,,Arb!$AJ$5,),V75))</f>
        <v>69.94</v>
      </c>
      <c r="Y75" s="33">
        <f t="shared" ca="1" si="15"/>
        <v>2.5450386045181586</v>
      </c>
      <c r="Z75" s="33">
        <f ca="1">IF(V75="","",INDEX(OFFSET(Arb!$X$2,,,Arb!$AJ$5,),V75)/X75)</f>
        <v>2.9596797254789822</v>
      </c>
      <c r="AA75" s="33">
        <f ca="1">IF(V75="","",(INDEX(OFFSET(Arb!$U$2,,,Arb!$AJ$5,),V75)+INDEX(OFFSET(Arb!$V$2,,,Arb!$AJ$5,),V75))/X75)</f>
        <v>3.3171289676865885</v>
      </c>
      <c r="AB75" s="33">
        <f t="shared" ca="1" si="16"/>
        <v>7.6844637324928691</v>
      </c>
      <c r="AC75" s="21">
        <f t="shared" ca="1" si="17"/>
        <v>56.607853865019678</v>
      </c>
      <c r="AD75" s="74">
        <f ca="1">IF(V75="","",DATE(INDEX(OFFSET(Arb!$C$2,,,Arb!$AJ$5,),V75),INDEX(OFFSET(Arb!$B$2,,,Arb!$AJ$5,),V75),INDEX(OFFSET(Arb!$A$2,,,Arb!$AJ$5,),V75))+ROW()*0.001)</f>
        <v>44066.074999999997</v>
      </c>
    </row>
    <row r="76" spans="1:30" x14ac:dyDescent="0.25">
      <c r="A76" s="11">
        <v>75</v>
      </c>
      <c r="B76" s="11">
        <v>1070</v>
      </c>
      <c r="C76" s="433">
        <f ca="1">IF(B76="",16,INDEX(OFFSET(Arb!$I$2,,,Arb!$AJ$5,),B76))</f>
        <v>11</v>
      </c>
      <c r="D76" s="34">
        <f ca="1">IF(B76="",10,INDEX(OFFSET(Arb!$H$2,,,Arb!$AJ$5,),B76))</f>
        <v>3.55</v>
      </c>
      <c r="E76" s="33">
        <f t="shared" ca="1" si="9"/>
        <v>3.098591549295775</v>
      </c>
      <c r="F76" s="33">
        <f ca="1">IF(B76="","",INDEX(OFFSET(Arb!$X$2,,,Arb!$AJ$5,),B76)/D76)</f>
        <v>3.098591549295775</v>
      </c>
      <c r="G76" s="33">
        <f ca="1">IF(B76="","",(INDEX(OFFSET(Arb!$U$2,,,Arb!$AJ$5,),B76)+INDEX(OFFSET(Arb!$V$2,,,Arb!$AJ$5,),B76))/D76)</f>
        <v>4.2253521126760569</v>
      </c>
      <c r="H76" s="33">
        <f t="shared" ca="1" si="10"/>
        <v>0.78342155232023358</v>
      </c>
      <c r="I76" s="21">
        <f t="shared" ca="1" si="11"/>
        <v>60.374902707126353</v>
      </c>
      <c r="J76" s="74">
        <f ca="1">IF(B76="","",DATE(INDEX(OFFSET(Arb!$C$2,,,Arb!$AJ$5,),B76),INDEX(OFFSET(Arb!$B$2,,,Arb!$AJ$5,),B76),INDEX(OFFSET(Arb!$A$2,,,Arb!$AJ$5,),B76))+ROW()*0.001)</f>
        <v>43841.076000000001</v>
      </c>
      <c r="K76" s="11">
        <v>75</v>
      </c>
      <c r="L76" s="11">
        <v>1887</v>
      </c>
      <c r="M76" s="433">
        <f ca="1">IF(L76="",64,INDEX(OFFSET(Arb!$I$2,,,Arb!$AJ$5,),L76))</f>
        <v>51</v>
      </c>
      <c r="N76" s="34">
        <f ca="1">IF(L76="",60,INDEX(OFFSET(Arb!$H$2,,,Arb!$AJ$5,),L76))</f>
        <v>20.58</v>
      </c>
      <c r="O76" s="33">
        <f t="shared" ca="1" si="12"/>
        <v>2.4781341107871722</v>
      </c>
      <c r="P76" s="33">
        <f ca="1">IF(L76="","",INDEX(OFFSET(Arb!$X$2,,,Arb!$AJ$5,),L76)/N76)</f>
        <v>2.915451895043732</v>
      </c>
      <c r="Q76" s="33">
        <f ca="1">IF(L76="","",(INDEX(OFFSET(Arb!$U$2,,,Arb!$AJ$5,),L76)+INDEX(OFFSET(Arb!$V$2,,,Arb!$AJ$5,),L76))/N76)</f>
        <v>3.3041788143828961</v>
      </c>
      <c r="R76" s="33">
        <f t="shared" ca="1" si="13"/>
        <v>3.3518683572964303</v>
      </c>
      <c r="S76" s="21">
        <f t="shared" ca="1" si="14"/>
        <v>45.863973048152893</v>
      </c>
      <c r="T76" s="74">
        <f ca="1">IF(L76="","",DATE(INDEX(OFFSET(Arb!$C$2,,,Arb!$AJ$5,),L76),INDEX(OFFSET(Arb!$B$2,,,Arb!$AJ$5,),L76),INDEX(OFFSET(Arb!$A$2,,,Arb!$AJ$5,),L76))+ROW()*0.001)</f>
        <v>43764.076000000001</v>
      </c>
      <c r="U76" s="11">
        <v>75</v>
      </c>
      <c r="V76" s="11">
        <v>3235</v>
      </c>
      <c r="W76" s="433">
        <f ca="1">IF(V76="",164,INDEX(OFFSET(Arb!$I$2,,,Arb!$AJ$5,),V76))</f>
        <v>186</v>
      </c>
      <c r="X76" s="34">
        <f ca="1">IF(V76="",240,INDEX(OFFSET(Arb!$H$2,,,Arb!$AJ$5,),V76))</f>
        <v>71.92</v>
      </c>
      <c r="Y76" s="33">
        <f t="shared" ca="1" si="15"/>
        <v>2.5862068965517242</v>
      </c>
      <c r="Z76" s="33">
        <f ca="1">IF(V76="","",INDEX(OFFSET(Arb!$X$2,,,Arb!$AJ$5,),V76)/X76)</f>
        <v>2.8781979977753056</v>
      </c>
      <c r="AA76" s="33">
        <f ca="1">IF(V76="","",(INDEX(OFFSET(Arb!$U$2,,,Arb!$AJ$5,),V76)+INDEX(OFFSET(Arb!$V$2,,,Arb!$AJ$5,),V76))/X76)</f>
        <v>3.1979977753058955</v>
      </c>
      <c r="AB76" s="33">
        <f t="shared" ca="1" si="16"/>
        <v>7.7113694329407645</v>
      </c>
      <c r="AC76" s="21">
        <f t="shared" ca="1" si="17"/>
        <v>56.410343685753162</v>
      </c>
      <c r="AD76" s="74">
        <f ca="1">IF(V76="","",DATE(INDEX(OFFSET(Arb!$C$2,,,Arb!$AJ$5,),V76),INDEX(OFFSET(Arb!$B$2,,,Arb!$AJ$5,),V76),INDEX(OFFSET(Arb!$A$2,,,Arb!$AJ$5,),V76))+ROW()*0.001)</f>
        <v>44063.076000000001</v>
      </c>
    </row>
    <row r="77" spans="1:30" x14ac:dyDescent="0.25">
      <c r="A77" s="11">
        <v>76</v>
      </c>
      <c r="B77" s="11">
        <v>678</v>
      </c>
      <c r="C77" s="433">
        <f ca="1">IF(B77="",16,INDEX(OFFSET(Arb!$I$2,,,Arb!$AJ$5,),B77))</f>
        <v>11</v>
      </c>
      <c r="D77" s="34">
        <f ca="1">IF(B77="",10,INDEX(OFFSET(Arb!$H$2,,,Arb!$AJ$5,),B77))</f>
        <v>3.55</v>
      </c>
      <c r="E77" s="33">
        <f t="shared" ca="1" si="9"/>
        <v>3.098591549295775</v>
      </c>
      <c r="F77" s="33">
        <f ca="1">IF(B77="","",INDEX(OFFSET(Arb!$X$2,,,Arb!$AJ$5,),B77)/D77)</f>
        <v>3.943661971830986</v>
      </c>
      <c r="G77" s="33">
        <f ca="1">IF(B77="","",(INDEX(OFFSET(Arb!$U$2,,,Arb!$AJ$5,),B77)+INDEX(OFFSET(Arb!$V$2,,,Arb!$AJ$5,),B77))/D77)</f>
        <v>4.788732394366197</v>
      </c>
      <c r="H77" s="33">
        <f t="shared" ca="1" si="10"/>
        <v>0.78342155232023358</v>
      </c>
      <c r="I77" s="21">
        <f t="shared" ca="1" si="11"/>
        <v>60.374902707126353</v>
      </c>
      <c r="J77" s="74">
        <f ca="1">IF(B77="","",DATE(INDEX(OFFSET(Arb!$C$2,,,Arb!$AJ$5,),B77),INDEX(OFFSET(Arb!$B$2,,,Arb!$AJ$5,),B77),INDEX(OFFSET(Arb!$A$2,,,Arb!$AJ$5,),B77))+ROW()*0.001)</f>
        <v>43801.076999999997</v>
      </c>
      <c r="K77" s="11">
        <v>76</v>
      </c>
      <c r="L77" s="11">
        <v>2382</v>
      </c>
      <c r="M77" s="433">
        <f ca="1">IF(L77="",64,INDEX(OFFSET(Arb!$I$2,,,Arb!$AJ$5,),L77))</f>
        <v>56</v>
      </c>
      <c r="N77" s="34">
        <f ca="1">IF(L77="",60,INDEX(OFFSET(Arb!$H$2,,,Arb!$AJ$5,),L77))</f>
        <v>21.75</v>
      </c>
      <c r="O77" s="33">
        <f t="shared" ca="1" si="12"/>
        <v>2.5747126436781609</v>
      </c>
      <c r="P77" s="33">
        <f ca="1">IF(L77="","",INDEX(OFFSET(Arb!$X$2,,,Arb!$AJ$5,),L77)/N77)</f>
        <v>2.9425287356321839</v>
      </c>
      <c r="Q77" s="33">
        <f ca="1">IF(L77="","",(INDEX(OFFSET(Arb!$U$2,,,Arb!$AJ$5,),L77)+INDEX(OFFSET(Arb!$V$2,,,Arb!$AJ$5,),L77))/N77)</f>
        <v>3.3563218390804597</v>
      </c>
      <c r="R77" s="33">
        <f t="shared" ca="1" si="13"/>
        <v>3.3534568089291299</v>
      </c>
      <c r="S77" s="21">
        <f t="shared" ca="1" si="14"/>
        <v>45.842248389980334</v>
      </c>
      <c r="T77" s="74">
        <f ca="1">IF(L77="","",DATE(INDEX(OFFSET(Arb!$C$2,,,Arb!$AJ$5,),L77),INDEX(OFFSET(Arb!$B$2,,,Arb!$AJ$5,),L77),INDEX(OFFSET(Arb!$A$2,,,Arb!$AJ$5,),L77))+ROW()*0.001)</f>
        <v>44117.076999999997</v>
      </c>
      <c r="U77" s="11">
        <v>76</v>
      </c>
      <c r="V77" s="11">
        <v>3384</v>
      </c>
      <c r="W77" s="433">
        <f ca="1">IF(V77="",164,INDEX(OFFSET(Arb!$I$2,,,Arb!$AJ$5,),V77))</f>
        <v>151</v>
      </c>
      <c r="X77" s="34">
        <f ca="1">IF(V77="",240,INDEX(OFFSET(Arb!$H$2,,,Arb!$AJ$5,),V77))</f>
        <v>63.63</v>
      </c>
      <c r="Y77" s="33">
        <f t="shared" ca="1" si="15"/>
        <v>2.3730944523023729</v>
      </c>
      <c r="Z77" s="33">
        <f ca="1">IF(V77="","",INDEX(OFFSET(Arb!$X$2,,,Arb!$AJ$5,),V77)/X77)</f>
        <v>2.9388653151029387</v>
      </c>
      <c r="AA77" s="33">
        <f ca="1">IF(V77="","",(INDEX(OFFSET(Arb!$U$2,,,Arb!$AJ$5,),V77)+INDEX(OFFSET(Arb!$V$2,,,Arb!$AJ$5,),V77))/X77)</f>
        <v>3.2531824611032532</v>
      </c>
      <c r="AB77" s="33">
        <f t="shared" ca="1" si="16"/>
        <v>7.7134438461651289</v>
      </c>
      <c r="AC77" s="21">
        <f t="shared" ca="1" si="17"/>
        <v>56.395172983111586</v>
      </c>
      <c r="AD77" s="74">
        <f ca="1">IF(V77="","",DATE(INDEX(OFFSET(Arb!$C$2,,,Arb!$AJ$5,),V77),INDEX(OFFSET(Arb!$B$2,,,Arb!$AJ$5,),V77),INDEX(OFFSET(Arb!$A$2,,,Arb!$AJ$5,),V77))+ROW()*0.001)</f>
        <v>44137.076999999997</v>
      </c>
    </row>
    <row r="78" spans="1:30" x14ac:dyDescent="0.25">
      <c r="A78" s="11">
        <v>77</v>
      </c>
      <c r="B78" s="11">
        <v>1201</v>
      </c>
      <c r="C78" s="433">
        <f ca="1">IF(B78="",16,INDEX(OFFSET(Arb!$I$2,,,Arb!$AJ$5,),B78))</f>
        <v>17</v>
      </c>
      <c r="D78" s="34">
        <f ca="1">IF(B78="",10,INDEX(OFFSET(Arb!$H$2,,,Arb!$AJ$5,),B78))</f>
        <v>4.5999999999999996</v>
      </c>
      <c r="E78" s="33">
        <f t="shared" ca="1" si="9"/>
        <v>3.6956521739130439</v>
      </c>
      <c r="F78" s="33">
        <f ca="1">IF(B78="","",INDEX(OFFSET(Arb!$X$2,,,Arb!$AJ$5,),B78)/D78)</f>
        <v>3.6956521739130439</v>
      </c>
      <c r="G78" s="33">
        <f ca="1">IF(B78="","",(INDEX(OFFSET(Arb!$U$2,,,Arb!$AJ$5,),B78)+INDEX(OFFSET(Arb!$V$2,,,Arb!$AJ$5,),B78))/D78)</f>
        <v>3.9130434782608701</v>
      </c>
      <c r="H78" s="33">
        <f t="shared" ca="1" si="10"/>
        <v>0.78747974589254399</v>
      </c>
      <c r="I78" s="21">
        <f t="shared" ca="1" si="11"/>
        <v>60.063767032370393</v>
      </c>
      <c r="J78" s="74">
        <f ca="1">IF(B78="","",DATE(INDEX(OFFSET(Arb!$C$2,,,Arb!$AJ$5,),B78),INDEX(OFFSET(Arb!$B$2,,,Arb!$AJ$5,),B78),INDEX(OFFSET(Arb!$A$2,,,Arb!$AJ$5,),B78))+ROW()*0.001)</f>
        <v>43894.078000000001</v>
      </c>
      <c r="K78" s="11">
        <v>77</v>
      </c>
      <c r="L78" s="11">
        <v>2404</v>
      </c>
      <c r="M78" s="433">
        <f ca="1">IF(L78="",64,INDEX(OFFSET(Arb!$I$2,,,Arb!$AJ$5,),L78))</f>
        <v>59</v>
      </c>
      <c r="N78" s="34">
        <f ca="1">IF(L78="",60,INDEX(OFFSET(Arb!$H$2,,,Arb!$AJ$5,),L78))</f>
        <v>22.43</v>
      </c>
      <c r="O78" s="33">
        <f t="shared" ca="1" si="12"/>
        <v>2.6304057066428892</v>
      </c>
      <c r="P78" s="33">
        <f ca="1">IF(L78="","",INDEX(OFFSET(Arb!$X$2,,,Arb!$AJ$5,),L78)/N78)</f>
        <v>3.0316540347748551</v>
      </c>
      <c r="Q78" s="33">
        <f ca="1">IF(L78="","",(INDEX(OFFSET(Arb!$U$2,,,Arb!$AJ$5,),L78)+INDEX(OFFSET(Arb!$V$2,,,Arb!$AJ$5,),L78))/N78)</f>
        <v>3.4329023629068214</v>
      </c>
      <c r="R78" s="33">
        <f t="shared" ca="1" si="13"/>
        <v>3.3539590318038397</v>
      </c>
      <c r="S78" s="21">
        <f t="shared" ca="1" si="14"/>
        <v>45.835383957364648</v>
      </c>
      <c r="T78" s="74">
        <f ca="1">IF(L78="","",DATE(INDEX(OFFSET(Arb!$C$2,,,Arb!$AJ$5,),L78),INDEX(OFFSET(Arb!$B$2,,,Arb!$AJ$5,),L78),INDEX(OFFSET(Arb!$A$2,,,Arb!$AJ$5,),L78))+ROW()*0.001)</f>
        <v>44168.078000000001</v>
      </c>
      <c r="U78" s="11">
        <v>77</v>
      </c>
      <c r="V78" s="11">
        <v>3322</v>
      </c>
      <c r="W78" s="433">
        <f ca="1">IF(V78="",164,INDEX(OFFSET(Arb!$I$2,,,Arb!$AJ$5,),V78))</f>
        <v>185</v>
      </c>
      <c r="X78" s="34">
        <f ca="1">IF(V78="",240,INDEX(OFFSET(Arb!$H$2,,,Arb!$AJ$5,),V78))</f>
        <v>71.75</v>
      </c>
      <c r="Y78" s="33">
        <f t="shared" ca="1" si="15"/>
        <v>2.5783972125435541</v>
      </c>
      <c r="Z78" s="33">
        <f ca="1">IF(V78="","",INDEX(OFFSET(Arb!$X$2,,,Arb!$AJ$5,),V78)/X78)</f>
        <v>3.0522648083623691</v>
      </c>
      <c r="AA78" s="33">
        <f ca="1">IF(V78="","",(INDEX(OFFSET(Arb!$U$2,,,Arb!$AJ$5,),V78)+INDEX(OFFSET(Arb!$V$2,,,Arb!$AJ$5,),V78))/X78)</f>
        <v>3.3728222996515678</v>
      </c>
      <c r="AB78" s="33">
        <f t="shared" ca="1" si="16"/>
        <v>7.721923783982632</v>
      </c>
      <c r="AC78" s="21">
        <f t="shared" ca="1" si="17"/>
        <v>56.333241840888178</v>
      </c>
      <c r="AD78" s="74">
        <f ca="1">IF(V78="","",DATE(INDEX(OFFSET(Arb!$C$2,,,Arb!$AJ$5,),V78),INDEX(OFFSET(Arb!$B$2,,,Arb!$AJ$5,),V78),INDEX(OFFSET(Arb!$A$2,,,Arb!$AJ$5,),V78))+ROW()*0.001)</f>
        <v>44095.078000000001</v>
      </c>
    </row>
    <row r="79" spans="1:30" x14ac:dyDescent="0.25">
      <c r="A79" s="11">
        <v>78</v>
      </c>
      <c r="B79" s="11">
        <v>1274</v>
      </c>
      <c r="C79" s="433">
        <f ca="1">IF(B79="",16,INDEX(OFFSET(Arb!$I$2,,,Arb!$AJ$5,),B79))</f>
        <v>27</v>
      </c>
      <c r="D79" s="34">
        <f ca="1">IF(B79="",10,INDEX(OFFSET(Arb!$H$2,,,Arb!$AJ$5,),B79))</f>
        <v>6.04</v>
      </c>
      <c r="E79" s="33">
        <f t="shared" ca="1" si="9"/>
        <v>4.4701986754966887</v>
      </c>
      <c r="F79" s="33">
        <f ca="1">IF(B79="","",INDEX(OFFSET(Arb!$X$2,,,Arb!$AJ$5,),B79)/D79)</f>
        <v>4.4701986754966887</v>
      </c>
      <c r="G79" s="33">
        <f ca="1">IF(B79="","",(INDEX(OFFSET(Arb!$U$2,,,Arb!$AJ$5,),B79)+INDEX(OFFSET(Arb!$V$2,,,Arb!$AJ$5,),B79))/D79)</f>
        <v>4.9668874172185431</v>
      </c>
      <c r="H79" s="33">
        <f t="shared" ca="1" si="10"/>
        <v>0.78776926281043469</v>
      </c>
      <c r="I79" s="21">
        <f t="shared" ca="1" si="11"/>
        <v>60.041692704862264</v>
      </c>
      <c r="J79" s="74">
        <f ca="1">IF(B79="","",DATE(INDEX(OFFSET(Arb!$C$2,,,Arb!$AJ$5,),B79),INDEX(OFFSET(Arb!$B$2,,,Arb!$AJ$5,),B79),INDEX(OFFSET(Arb!$A$2,,,Arb!$AJ$5,),B79))+ROW()*0.001)</f>
        <v>43906.078999999998</v>
      </c>
      <c r="K79" s="11">
        <v>78</v>
      </c>
      <c r="L79" s="11">
        <v>2357</v>
      </c>
      <c r="M79" s="433">
        <f ca="1">IF(L79="",64,INDEX(OFFSET(Arb!$I$2,,,Arb!$AJ$5,),L79))</f>
        <v>56</v>
      </c>
      <c r="N79" s="34">
        <f ca="1">IF(L79="",60,INDEX(OFFSET(Arb!$H$2,,,Arb!$AJ$5,),L79))</f>
        <v>21.78</v>
      </c>
      <c r="O79" s="33">
        <f t="shared" ca="1" si="12"/>
        <v>2.5711662075298438</v>
      </c>
      <c r="P79" s="33">
        <f ca="1">IF(L79="","",INDEX(OFFSET(Arb!$X$2,,,Arb!$AJ$5,),L79)/N79)</f>
        <v>2.9843893480257115</v>
      </c>
      <c r="Q79" s="33">
        <f ca="1">IF(L79="","",(INDEX(OFFSET(Arb!$U$2,,,Arb!$AJ$5,),L79)+INDEX(OFFSET(Arb!$V$2,,,Arb!$AJ$5,),L79))/N79)</f>
        <v>3.3516988062442605</v>
      </c>
      <c r="R79" s="33">
        <f t="shared" ca="1" si="13"/>
        <v>3.3613238825057579</v>
      </c>
      <c r="S79" s="21">
        <f t="shared" ca="1" si="14"/>
        <v>45.734956039225608</v>
      </c>
      <c r="T79" s="74">
        <f ca="1">IF(L79="","",DATE(INDEX(OFFSET(Arb!$C$2,,,Arb!$AJ$5,),L79),INDEX(OFFSET(Arb!$B$2,,,Arb!$AJ$5,),L79),INDEX(OFFSET(Arb!$A$2,,,Arb!$AJ$5,),L79))+ROW()*0.001)</f>
        <v>44114.078999999998</v>
      </c>
      <c r="U79" s="11">
        <v>78</v>
      </c>
      <c r="V79" s="11">
        <v>3441</v>
      </c>
      <c r="W79" s="433">
        <f ca="1">IF(V79="",164,INDEX(OFFSET(Arb!$I$2,,,Arb!$AJ$5,),V79))</f>
        <v>214</v>
      </c>
      <c r="X79" s="34">
        <f ca="1">IF(V79="",240,INDEX(OFFSET(Arb!$H$2,,,Arb!$AJ$5,),V79))</f>
        <v>78.17</v>
      </c>
      <c r="Y79" s="33">
        <f t="shared" ca="1" si="15"/>
        <v>2.7376231290776514</v>
      </c>
      <c r="Z79" s="33">
        <f ca="1">IF(V79="","",INDEX(OFFSET(Arb!$X$2,,,Arb!$AJ$5,),V79)/X79)</f>
        <v>2.6736599718562108</v>
      </c>
      <c r="AA79" s="33">
        <f ca="1">IF(V79="","",(INDEX(OFFSET(Arb!$U$2,,,Arb!$AJ$5,),V79)+INDEX(OFFSET(Arb!$V$2,,,Arb!$AJ$5,),V79))/X79)</f>
        <v>2.9806831265191249</v>
      </c>
      <c r="AB79" s="33">
        <f t="shared" ca="1" si="16"/>
        <v>7.7224377643325601</v>
      </c>
      <c r="AC79" s="21">
        <f t="shared" ca="1" si="17"/>
        <v>56.329492483465359</v>
      </c>
      <c r="AD79" s="74">
        <f ca="1">IF(V79="","",DATE(INDEX(OFFSET(Arb!$C$2,,,Arb!$AJ$5,),V79),INDEX(OFFSET(Arb!$B$2,,,Arb!$AJ$5,),V79),INDEX(OFFSET(Arb!$A$2,,,Arb!$AJ$5,),V79))+ROW()*0.001)</f>
        <v>44167.078999999998</v>
      </c>
    </row>
    <row r="80" spans="1:30" x14ac:dyDescent="0.25">
      <c r="A80" s="11">
        <v>79</v>
      </c>
      <c r="B80" s="11">
        <v>1519</v>
      </c>
      <c r="C80" s="433">
        <f ca="1">IF(B80="",16,INDEX(OFFSET(Arb!$I$2,,,Arb!$AJ$5,),B80))</f>
        <v>14</v>
      </c>
      <c r="D80" s="34">
        <f ca="1">IF(B80="",10,INDEX(OFFSET(Arb!$H$2,,,Arb!$AJ$5,),B80))</f>
        <v>4.1100000000000003</v>
      </c>
      <c r="E80" s="33">
        <f t="shared" ca="1" si="9"/>
        <v>3.4063260340632602</v>
      </c>
      <c r="F80" s="33">
        <f ca="1">IF(B80="","",INDEX(OFFSET(Arb!$X$2,,,Arb!$AJ$5,),B80)/D80)</f>
        <v>3.6496350364963499</v>
      </c>
      <c r="G80" s="33">
        <f ca="1">IF(B80="","",(INDEX(OFFSET(Arb!$U$2,,,Arb!$AJ$5,),B80)+INDEX(OFFSET(Arb!$V$2,,,Arb!$AJ$5,),B80))/D80)</f>
        <v>4.1362530413625302</v>
      </c>
      <c r="H80" s="33">
        <f t="shared" ca="1" si="10"/>
        <v>0.78959258546297328</v>
      </c>
      <c r="I80" s="21">
        <f t="shared" ca="1" si="11"/>
        <v>59.903044773737953</v>
      </c>
      <c r="J80" s="74">
        <f ca="1">IF(B80="","",DATE(INDEX(OFFSET(Arb!$C$2,,,Arb!$AJ$5,),B80),INDEX(OFFSET(Arb!$B$2,,,Arb!$AJ$5,),B80),INDEX(OFFSET(Arb!$A$2,,,Arb!$AJ$5,),B80))+ROW()*0.001)</f>
        <v>43984.08</v>
      </c>
      <c r="K80" s="11">
        <v>79</v>
      </c>
      <c r="L80" s="11">
        <v>2164</v>
      </c>
      <c r="M80" s="433">
        <f ca="1">IF(L80="",64,INDEX(OFFSET(Arb!$I$2,,,Arb!$AJ$5,),L80))</f>
        <v>69</v>
      </c>
      <c r="N80" s="34">
        <f ca="1">IF(L80="",60,INDEX(OFFSET(Arb!$H$2,,,Arb!$AJ$5,),L80))</f>
        <v>24.63</v>
      </c>
      <c r="O80" s="33">
        <f t="shared" ca="1" si="12"/>
        <v>2.8014616321559074</v>
      </c>
      <c r="P80" s="33">
        <f ca="1">IF(L80="","",INDEX(OFFSET(Arb!$X$2,,,Arb!$AJ$5,),L80)/N80)</f>
        <v>3.4916768168899717</v>
      </c>
      <c r="Q80" s="33">
        <f ca="1">IF(L80="","",(INDEX(OFFSET(Arb!$U$2,,,Arb!$AJ$5,),L80)+INDEX(OFFSET(Arb!$V$2,,,Arb!$AJ$5,),L80))/N80)</f>
        <v>3.9382866423061307</v>
      </c>
      <c r="R80" s="33">
        <f t="shared" ca="1" si="13"/>
        <v>3.362330571592246</v>
      </c>
      <c r="S80" s="21">
        <f t="shared" ca="1" si="14"/>
        <v>45.721262893910065</v>
      </c>
      <c r="T80" s="74">
        <f ca="1">IF(L80="","",DATE(INDEX(OFFSET(Arb!$C$2,,,Arb!$AJ$5,),L80),INDEX(OFFSET(Arb!$B$2,,,Arb!$AJ$5,),L80),INDEX(OFFSET(Arb!$A$2,,,Arb!$AJ$5,),L80))+ROW()*0.001)</f>
        <v>43823.08</v>
      </c>
      <c r="U80" s="11">
        <v>79</v>
      </c>
      <c r="V80" s="11">
        <v>3273</v>
      </c>
      <c r="W80" s="433">
        <f ca="1">IF(V80="",164,INDEX(OFFSET(Arb!$I$2,,,Arb!$AJ$5,),V80))</f>
        <v>170</v>
      </c>
      <c r="X80" s="34">
        <f ca="1">IF(V80="",240,INDEX(OFFSET(Arb!$H$2,,,Arb!$AJ$5,),V80))</f>
        <v>68.34</v>
      </c>
      <c r="Y80" s="33">
        <f t="shared" ca="1" si="15"/>
        <v>2.4875621890547261</v>
      </c>
      <c r="Z80" s="33">
        <f ca="1">IF(V80="","",INDEX(OFFSET(Arb!$X$2,,,Arb!$AJ$5,),V80)/X80)</f>
        <v>2.9850746268656714</v>
      </c>
      <c r="AA80" s="33">
        <f ca="1">IF(V80="","",(INDEX(OFFSET(Arb!$U$2,,,Arb!$AJ$5,),V80)+INDEX(OFFSET(Arb!$V$2,,,Arb!$AJ$5,),V80))/X80)</f>
        <v>3.1899326894937077</v>
      </c>
      <c r="AB80" s="33">
        <f t="shared" ca="1" si="16"/>
        <v>7.7356806967448755</v>
      </c>
      <c r="AC80" s="21">
        <f t="shared" ca="1" si="17"/>
        <v>56.233060418722502</v>
      </c>
      <c r="AD80" s="74">
        <f ca="1">IF(V80="","",DATE(INDEX(OFFSET(Arb!$C$2,,,Arb!$AJ$5,),V80),INDEX(OFFSET(Arb!$B$2,,,Arb!$AJ$5,),V80),INDEX(OFFSET(Arb!$A$2,,,Arb!$AJ$5,),V80))+ROW()*0.001)</f>
        <v>44075.08</v>
      </c>
    </row>
    <row r="81" spans="1:30" x14ac:dyDescent="0.25">
      <c r="A81" s="11">
        <v>80</v>
      </c>
      <c r="B81" s="11">
        <v>1503</v>
      </c>
      <c r="C81" s="433">
        <f ca="1">IF(B81="",16,INDEX(OFFSET(Arb!$I$2,,,Arb!$AJ$5,),B81))</f>
        <v>20</v>
      </c>
      <c r="D81" s="34">
        <f ca="1">IF(B81="",10,INDEX(OFFSET(Arb!$H$2,,,Arb!$AJ$5,),B81))</f>
        <v>5.07</v>
      </c>
      <c r="E81" s="33">
        <f t="shared" ca="1" si="9"/>
        <v>3.944773175542406</v>
      </c>
      <c r="F81" s="33">
        <f ca="1">IF(B81="","",INDEX(OFFSET(Arb!$X$2,,,Arb!$AJ$5,),B81)/D81)</f>
        <v>3.944773175542406</v>
      </c>
      <c r="G81" s="33">
        <f ca="1">IF(B81="","",(INDEX(OFFSET(Arb!$U$2,,,Arb!$AJ$5,),B81)+INDEX(OFFSET(Arb!$V$2,,,Arb!$AJ$5,),B81))/D81)</f>
        <v>4.3392504930966469</v>
      </c>
      <c r="H81" s="33">
        <f t="shared" ca="1" si="10"/>
        <v>0.78973890856922235</v>
      </c>
      <c r="I81" s="21">
        <f t="shared" ca="1" si="11"/>
        <v>59.89194591626751</v>
      </c>
      <c r="J81" s="74">
        <f ca="1">IF(B81="","",DATE(INDEX(OFFSET(Arb!$C$2,,,Arb!$AJ$5,),B81),INDEX(OFFSET(Arb!$B$2,,,Arb!$AJ$5,),B81),INDEX(OFFSET(Arb!$A$2,,,Arb!$AJ$5,),B81))+ROW()*0.001)</f>
        <v>43984.080999999998</v>
      </c>
      <c r="K81" s="11">
        <v>80</v>
      </c>
      <c r="L81" s="11">
        <v>2315</v>
      </c>
      <c r="M81" s="433">
        <f ca="1">IF(L81="",64,INDEX(OFFSET(Arb!$I$2,,,Arb!$AJ$5,),L81))</f>
        <v>53</v>
      </c>
      <c r="N81" s="34">
        <f ca="1">IF(L81="",60,INDEX(OFFSET(Arb!$H$2,,,Arb!$AJ$5,),L81))</f>
        <v>21.09</v>
      </c>
      <c r="O81" s="33">
        <f t="shared" ca="1" si="12"/>
        <v>2.5130393551446182</v>
      </c>
      <c r="P81" s="33">
        <f ca="1">IF(L81="","",INDEX(OFFSET(Arb!$X$2,,,Arb!$AJ$5,),L81)/N81)</f>
        <v>3.1294452347083928</v>
      </c>
      <c r="Q81" s="33">
        <f ca="1">IF(L81="","",(INDEX(OFFSET(Arb!$U$2,,,Arb!$AJ$5,),L81)+INDEX(OFFSET(Arb!$V$2,,,Arb!$AJ$5,),L81))/N81)</f>
        <v>3.6510194404931249</v>
      </c>
      <c r="R81" s="33">
        <f t="shared" ca="1" si="13"/>
        <v>3.3624382386853138</v>
      </c>
      <c r="S81" s="21">
        <f t="shared" ca="1" si="14"/>
        <v>45.719798874315437</v>
      </c>
      <c r="T81" s="74">
        <f ca="1">IF(L81="","",DATE(INDEX(OFFSET(Arb!$C$2,,,Arb!$AJ$5,),L81),INDEX(OFFSET(Arb!$B$2,,,Arb!$AJ$5,),L81),INDEX(OFFSET(Arb!$A$2,,,Arb!$AJ$5,),L81))+ROW()*0.001)</f>
        <v>43952.080999999998</v>
      </c>
      <c r="U81" s="11">
        <v>80</v>
      </c>
      <c r="V81" s="11">
        <v>2913</v>
      </c>
      <c r="W81" s="433">
        <f ca="1">IF(V81="",164,INDEX(OFFSET(Arb!$I$2,,,Arb!$AJ$5,),V81))</f>
        <v>210</v>
      </c>
      <c r="X81" s="34">
        <f ca="1">IF(V81="",240,INDEX(OFFSET(Arb!$H$2,,,Arb!$AJ$5,),V81))</f>
        <v>77.400000000000006</v>
      </c>
      <c r="Y81" s="33">
        <f t="shared" ca="1" si="15"/>
        <v>2.7131782945736433</v>
      </c>
      <c r="Z81" s="33">
        <f ca="1">IF(V81="","",INDEX(OFFSET(Arb!$X$2,,,Arb!$AJ$5,),V81)/X81)</f>
        <v>3.0490956072351421</v>
      </c>
      <c r="AA81" s="33">
        <f ca="1">IF(V81="","",(INDEX(OFFSET(Arb!$U$2,,,Arb!$AJ$5,),V81)+INDEX(OFFSET(Arb!$V$2,,,Arb!$AJ$5,),V81))/X81)</f>
        <v>3.3462532299741601</v>
      </c>
      <c r="AB81" s="33">
        <f t="shared" ca="1" si="16"/>
        <v>7.7382069170169938</v>
      </c>
      <c r="AC81" s="21">
        <f t="shared" ca="1" si="17"/>
        <v>56.214702535725003</v>
      </c>
      <c r="AD81" s="74">
        <f ca="1">IF(V81="","",DATE(INDEX(OFFSET(Arb!$C$2,,,Arb!$AJ$5,),V81),INDEX(OFFSET(Arb!$B$2,,,Arb!$AJ$5,),V81),INDEX(OFFSET(Arb!$A$2,,,Arb!$AJ$5,),V81))+ROW()*0.001)</f>
        <v>43934.080999999998</v>
      </c>
    </row>
    <row r="82" spans="1:30" x14ac:dyDescent="0.25">
      <c r="A82" s="11">
        <v>81</v>
      </c>
      <c r="B82" s="11">
        <v>249</v>
      </c>
      <c r="C82" s="433">
        <f ca="1">IF(B82="",16,INDEX(OFFSET(Arb!$I$2,,,Arb!$AJ$5,),B82))</f>
        <v>18</v>
      </c>
      <c r="D82" s="34">
        <f ca="1">IF(B82="",10,INDEX(OFFSET(Arb!$H$2,,,Arb!$AJ$5,),B82))</f>
        <v>4.7699999999999996</v>
      </c>
      <c r="E82" s="33">
        <f t="shared" ca="1" si="9"/>
        <v>3.7735849056603779</v>
      </c>
      <c r="F82" s="33">
        <f ca="1">IF(B82="","",INDEX(OFFSET(Arb!$X$2,,,Arb!$AJ$5,),B82)/D82)</f>
        <v>3.7735849056603779</v>
      </c>
      <c r="G82" s="33">
        <f ca="1">IF(B82="","",(INDEX(OFFSET(Arb!$U$2,,,Arb!$AJ$5,),B82)+INDEX(OFFSET(Arb!$V$2,,,Arb!$AJ$5,),B82))/D82)</f>
        <v>4.4025157232704411</v>
      </c>
      <c r="H82" s="33">
        <f t="shared" ca="1" si="10"/>
        <v>0.7910587510558974</v>
      </c>
      <c r="I82" s="21">
        <f t="shared" ca="1" si="11"/>
        <v>59.792019160227682</v>
      </c>
      <c r="J82" s="74">
        <f ca="1">IF(B82="","",DATE(INDEX(OFFSET(Arb!$C$2,,,Arb!$AJ$5,),B82),INDEX(OFFSET(Arb!$B$2,,,Arb!$AJ$5,),B82),INDEX(OFFSET(Arb!$A$2,,,Arb!$AJ$5,),B82))+ROW()*0.001)</f>
        <v>43776.082000000002</v>
      </c>
      <c r="K82" s="11">
        <v>81</v>
      </c>
      <c r="L82" s="11">
        <v>2284</v>
      </c>
      <c r="M82" s="433">
        <f ca="1">IF(L82="",64,INDEX(OFFSET(Arb!$I$2,,,Arb!$AJ$5,),L82))</f>
        <v>53</v>
      </c>
      <c r="N82" s="34">
        <f ca="1">IF(L82="",60,INDEX(OFFSET(Arb!$H$2,,,Arb!$AJ$5,),L82))</f>
        <v>21.09</v>
      </c>
      <c r="O82" s="33">
        <f t="shared" ca="1" si="12"/>
        <v>2.5130393551446182</v>
      </c>
      <c r="P82" s="33">
        <f ca="1">IF(L82="","",INDEX(OFFSET(Arb!$X$2,,,Arb!$AJ$5,),L82)/N82)</f>
        <v>3.0820293978188715</v>
      </c>
      <c r="Q82" s="33">
        <f ca="1">IF(L82="","",(INDEX(OFFSET(Arb!$U$2,,,Arb!$AJ$5,),L82)+INDEX(OFFSET(Arb!$V$2,,,Arb!$AJ$5,),L82))/N82)</f>
        <v>3.5561877667140824</v>
      </c>
      <c r="R82" s="33">
        <f t="shared" ca="1" si="13"/>
        <v>3.3624382386853138</v>
      </c>
      <c r="S82" s="21">
        <f t="shared" ca="1" si="14"/>
        <v>45.719798874315437</v>
      </c>
      <c r="T82" s="74">
        <f ca="1">IF(L82="","",DATE(INDEX(OFFSET(Arb!$C$2,,,Arb!$AJ$5,),L82),INDEX(OFFSET(Arb!$B$2,,,Arb!$AJ$5,),L82),INDEX(OFFSET(Arb!$A$2,,,Arb!$AJ$5,),L82))+ROW()*0.001)</f>
        <v>43935.082000000002</v>
      </c>
      <c r="U82" s="11">
        <v>81</v>
      </c>
      <c r="V82" s="11">
        <v>2809</v>
      </c>
      <c r="W82" s="433">
        <f ca="1">IF(V82="",164,INDEX(OFFSET(Arb!$I$2,,,Arb!$AJ$5,),V82))</f>
        <v>172</v>
      </c>
      <c r="X82" s="34">
        <f ca="1">IF(V82="",240,INDEX(OFFSET(Arb!$H$2,,,Arb!$AJ$5,),V82))</f>
        <v>68.849999999999994</v>
      </c>
      <c r="Y82" s="33">
        <f t="shared" ca="1" si="15"/>
        <v>2.4981844589687729</v>
      </c>
      <c r="Z82" s="33">
        <f ca="1">IF(V82="","",INDEX(OFFSET(Arb!$X$2,,,Arb!$AJ$5,),V82)/X82)</f>
        <v>3.0355846042120556</v>
      </c>
      <c r="AA82" s="33">
        <f ca="1">IF(V82="","",(INDEX(OFFSET(Arb!$U$2,,,Arb!$AJ$5,),V82)+INDEX(OFFSET(Arb!$V$2,,,Arb!$AJ$5,),V82))/X82)</f>
        <v>3.3260711692084244</v>
      </c>
      <c r="AB82" s="33">
        <f t="shared" ca="1" si="16"/>
        <v>7.7429821646308783</v>
      </c>
      <c r="AC82" s="21">
        <f t="shared" ca="1" si="17"/>
        <v>56.180033835934481</v>
      </c>
      <c r="AD82" s="74">
        <f ca="1">IF(V82="","",DATE(INDEX(OFFSET(Arb!$C$2,,,Arb!$AJ$5,),V82),INDEX(OFFSET(Arb!$B$2,,,Arb!$AJ$5,),V82),INDEX(OFFSET(Arb!$A$2,,,Arb!$AJ$5,),V82))+ROW()*0.001)</f>
        <v>43897.082000000002</v>
      </c>
    </row>
    <row r="83" spans="1:30" x14ac:dyDescent="0.25">
      <c r="A83" s="11">
        <v>82</v>
      </c>
      <c r="B83" s="11">
        <v>1808</v>
      </c>
      <c r="C83" s="433">
        <f ca="1">IF(B83="",16,INDEX(OFFSET(Arb!$I$2,,,Arb!$AJ$5,),B83))</f>
        <v>15</v>
      </c>
      <c r="D83" s="34">
        <f ca="1">IF(B83="",10,INDEX(OFFSET(Arb!$H$2,,,Arb!$AJ$5,),B83))</f>
        <v>4.3</v>
      </c>
      <c r="E83" s="33">
        <f t="shared" ca="1" si="9"/>
        <v>3.4883720930232558</v>
      </c>
      <c r="F83" s="33">
        <f ca="1">IF(B83="","",INDEX(OFFSET(Arb!$X$2,,,Arb!$AJ$5,),B83)/D83)</f>
        <v>3.4883720930232558</v>
      </c>
      <c r="G83" s="33">
        <f ca="1">IF(B83="","",(INDEX(OFFSET(Arb!$U$2,,,Arb!$AJ$5,),B83)+INDEX(OFFSET(Arb!$V$2,,,Arb!$AJ$5,),B83))/D83)</f>
        <v>3.7209302325581395</v>
      </c>
      <c r="H83" s="33">
        <f t="shared" ca="1" si="10"/>
        <v>0.79580216336636178</v>
      </c>
      <c r="I83" s="21">
        <f t="shared" ca="1" si="11"/>
        <v>59.435626311843862</v>
      </c>
      <c r="J83" s="74">
        <f ca="1">IF(B83="","",DATE(INDEX(OFFSET(Arb!$C$2,,,Arb!$AJ$5,),B83),INDEX(OFFSET(Arb!$B$2,,,Arb!$AJ$5,),B83),INDEX(OFFSET(Arb!$A$2,,,Arb!$AJ$5,),B83))+ROW()*0.001)</f>
        <v>44168.082999999999</v>
      </c>
      <c r="K83" s="11">
        <v>82</v>
      </c>
      <c r="L83" s="11">
        <v>2351</v>
      </c>
      <c r="M83" s="433">
        <f ca="1">IF(L83="",64,INDEX(OFFSET(Arb!$I$2,,,Arb!$AJ$5,),L83))</f>
        <v>57</v>
      </c>
      <c r="N83" s="34">
        <f ca="1">IF(L83="",60,INDEX(OFFSET(Arb!$H$2,,,Arb!$AJ$5,),L83))</f>
        <v>22.06</v>
      </c>
      <c r="O83" s="33">
        <f t="shared" ca="1" si="12"/>
        <v>2.5838621940163193</v>
      </c>
      <c r="P83" s="33">
        <f ca="1">IF(L83="","",INDEX(OFFSET(Arb!$X$2,,,Arb!$AJ$5,),L83)/N83)</f>
        <v>3.2638259292837719</v>
      </c>
      <c r="Q83" s="33">
        <f ca="1">IF(L83="","",(INDEX(OFFSET(Arb!$U$2,,,Arb!$AJ$5,),L83)+INDEX(OFFSET(Arb!$V$2,,,Arb!$AJ$5,),L83))/N83)</f>
        <v>3.6264732547597465</v>
      </c>
      <c r="R83" s="33">
        <f t="shared" ca="1" si="13"/>
        <v>3.3748502591081353</v>
      </c>
      <c r="S83" s="21">
        <f t="shared" ca="1" si="14"/>
        <v>45.551650650309412</v>
      </c>
      <c r="T83" s="74">
        <f ca="1">IF(L83="","",DATE(INDEX(OFFSET(Arb!$C$2,,,Arb!$AJ$5,),L83),INDEX(OFFSET(Arb!$B$2,,,Arb!$AJ$5,),L83),INDEX(OFFSET(Arb!$A$2,,,Arb!$AJ$5,),L83))+ROW()*0.001)</f>
        <v>44106.082999999999</v>
      </c>
      <c r="U83" s="11">
        <v>82</v>
      </c>
      <c r="V83" s="11">
        <v>3271</v>
      </c>
      <c r="W83" s="433">
        <f ca="1">IF(V83="",164,INDEX(OFFSET(Arb!$I$2,,,Arb!$AJ$5,),V83))</f>
        <v>175</v>
      </c>
      <c r="X83" s="34">
        <f ca="1">IF(V83="",240,INDEX(OFFSET(Arb!$H$2,,,Arb!$AJ$5,),V83))</f>
        <v>69.56</v>
      </c>
      <c r="Y83" s="33">
        <f t="shared" ca="1" si="15"/>
        <v>2.5158136860264517</v>
      </c>
      <c r="Z83" s="33">
        <f ca="1">IF(V83="","",INDEX(OFFSET(Arb!$X$2,,,Arb!$AJ$5,),V83)/X83)</f>
        <v>2.9614721104082804</v>
      </c>
      <c r="AA83" s="33">
        <f ca="1">IF(V83="","",(INDEX(OFFSET(Arb!$U$2,,,Arb!$AJ$5,),V83)+INDEX(OFFSET(Arb!$V$2,,,Arb!$AJ$5,),V83))/X83)</f>
        <v>3.2489936745255892</v>
      </c>
      <c r="AB83" s="33">
        <f t="shared" ca="1" si="16"/>
        <v>7.7441405411571722</v>
      </c>
      <c r="AC83" s="21">
        <f t="shared" ca="1" si="17"/>
        <v>56.171630368552137</v>
      </c>
      <c r="AD83" s="74">
        <f ca="1">IF(V83="","",DATE(INDEX(OFFSET(Arb!$C$2,,,Arb!$AJ$5,),V83),INDEX(OFFSET(Arb!$B$2,,,Arb!$AJ$5,),V83),INDEX(OFFSET(Arb!$A$2,,,Arb!$AJ$5,),V83))+ROW()*0.001)</f>
        <v>44074.082999999999</v>
      </c>
    </row>
    <row r="84" spans="1:30" x14ac:dyDescent="0.25">
      <c r="A84" s="11">
        <v>83</v>
      </c>
      <c r="B84" s="11">
        <v>815</v>
      </c>
      <c r="C84" s="433">
        <f ca="1">IF(B84="",16,INDEX(OFFSET(Arb!$I$2,,,Arb!$AJ$5,),B84))</f>
        <v>15</v>
      </c>
      <c r="D84" s="34">
        <f ca="1">IF(B84="",10,INDEX(OFFSET(Arb!$H$2,,,Arb!$AJ$5,),B84))</f>
        <v>4.3</v>
      </c>
      <c r="E84" s="33">
        <f t="shared" ca="1" si="9"/>
        <v>3.4883720930232558</v>
      </c>
      <c r="F84" s="33">
        <f ca="1">IF(B84="","",INDEX(OFFSET(Arb!$X$2,,,Arb!$AJ$5,),B84)/D84)</f>
        <v>3.4883720930232558</v>
      </c>
      <c r="G84" s="33">
        <f ca="1">IF(B84="","",(INDEX(OFFSET(Arb!$U$2,,,Arb!$AJ$5,),B84)+INDEX(OFFSET(Arb!$V$2,,,Arb!$AJ$5,),B84))/D84)</f>
        <v>3.9534883720930236</v>
      </c>
      <c r="H84" s="33">
        <f t="shared" ca="1" si="10"/>
        <v>0.79580216336636178</v>
      </c>
      <c r="I84" s="21">
        <f t="shared" ca="1" si="11"/>
        <v>59.435626311843862</v>
      </c>
      <c r="J84" s="74">
        <f ca="1">IF(B84="","",DATE(INDEX(OFFSET(Arb!$C$2,,,Arb!$AJ$5,),B84),INDEX(OFFSET(Arb!$B$2,,,Arb!$AJ$5,),B84),INDEX(OFFSET(Arb!$A$2,,,Arb!$AJ$5,),B84))+ROW()*0.001)</f>
        <v>43811.084000000003</v>
      </c>
      <c r="K84" s="11">
        <v>83</v>
      </c>
      <c r="L84" s="11">
        <v>1987</v>
      </c>
      <c r="M84" s="433">
        <f ca="1">IF(L84="",64,INDEX(OFFSET(Arb!$I$2,,,Arb!$AJ$5,),L84))</f>
        <v>64</v>
      </c>
      <c r="N84" s="34">
        <f ca="1">IF(L84="",60,INDEX(OFFSET(Arb!$H$2,,,Arb!$AJ$5,),L84))</f>
        <v>23.62</v>
      </c>
      <c r="O84" s="33">
        <f t="shared" ca="1" si="12"/>
        <v>2.7095681625740897</v>
      </c>
      <c r="P84" s="33">
        <f ca="1">IF(L84="","",INDEX(OFFSET(Arb!$X$2,,,Arb!$AJ$5,),L84)/N84)</f>
        <v>3.2176121930567314</v>
      </c>
      <c r="Q84" s="33">
        <f ca="1">IF(L84="","",(INDEX(OFFSET(Arb!$U$2,,,Arb!$AJ$5,),L84)+INDEX(OFFSET(Arb!$V$2,,,Arb!$AJ$5,),L84))/N84)</f>
        <v>3.5563082133784927</v>
      </c>
      <c r="R84" s="33">
        <f t="shared" ca="1" si="13"/>
        <v>3.3759487466804847</v>
      </c>
      <c r="S84" s="21">
        <f t="shared" ca="1" si="14"/>
        <v>45.53682876588698</v>
      </c>
      <c r="T84" s="74">
        <f ca="1">IF(L84="","",DATE(INDEX(OFFSET(Arb!$C$2,,,Arb!$AJ$5,),L84),INDEX(OFFSET(Arb!$B$2,,,Arb!$AJ$5,),L84),INDEX(OFFSET(Arb!$A$2,,,Arb!$AJ$5,),L84))+ROW()*0.001)</f>
        <v>43784.084000000003</v>
      </c>
      <c r="U84" s="11">
        <v>83</v>
      </c>
      <c r="V84" s="11">
        <v>3309</v>
      </c>
      <c r="W84" s="433">
        <f ca="1">IF(V84="",164,INDEX(OFFSET(Arb!$I$2,,,Arb!$AJ$5,),V84))</f>
        <v>170</v>
      </c>
      <c r="X84" s="34">
        <f ca="1">IF(V84="",240,INDEX(OFFSET(Arb!$H$2,,,Arb!$AJ$5,),V84))</f>
        <v>68.41</v>
      </c>
      <c r="Y84" s="33">
        <f t="shared" ca="1" si="15"/>
        <v>2.4850168104078354</v>
      </c>
      <c r="Z84" s="33">
        <f ca="1">IF(V84="","",INDEX(OFFSET(Arb!$X$2,,,Arb!$AJ$5,),V84)/X84)</f>
        <v>3.1281976319251572</v>
      </c>
      <c r="AA84" s="33">
        <f ca="1">IF(V84="","",(INDEX(OFFSET(Arb!$U$2,,,Arb!$AJ$5,),V84)+INDEX(OFFSET(Arb!$V$2,,,Arb!$AJ$5,),V84))/X84)</f>
        <v>3.4497880426838181</v>
      </c>
      <c r="AB84" s="33">
        <f t="shared" ca="1" si="16"/>
        <v>7.7491556160651047</v>
      </c>
      <c r="AC84" s="21">
        <f t="shared" ca="1" si="17"/>
        <v>56.135277384052124</v>
      </c>
      <c r="AD84" s="74">
        <f ca="1">IF(V84="","",DATE(INDEX(OFFSET(Arb!$C$2,,,Arb!$AJ$5,),V84),INDEX(OFFSET(Arb!$B$2,,,Arb!$AJ$5,),V84),INDEX(OFFSET(Arb!$A$2,,,Arb!$AJ$5,),V84))+ROW()*0.001)</f>
        <v>44092.084000000003</v>
      </c>
    </row>
    <row r="85" spans="1:30" x14ac:dyDescent="0.25">
      <c r="A85" s="11">
        <v>84</v>
      </c>
      <c r="B85" s="11">
        <v>1596</v>
      </c>
      <c r="C85" s="433">
        <f ca="1">IF(B85="",16,INDEX(OFFSET(Arb!$I$2,,,Arb!$AJ$5,),B85))</f>
        <v>14</v>
      </c>
      <c r="D85" s="34">
        <f ca="1">IF(B85="",10,INDEX(OFFSET(Arb!$H$2,,,Arb!$AJ$5,),B85))</f>
        <v>4.13</v>
      </c>
      <c r="E85" s="33">
        <f t="shared" ca="1" si="9"/>
        <v>3.3898305084745766</v>
      </c>
      <c r="F85" s="33">
        <f ca="1">IF(B85="","",INDEX(OFFSET(Arb!$X$2,,,Arb!$AJ$5,),B85)/D85)</f>
        <v>4.1162227602905572</v>
      </c>
      <c r="G85" s="33">
        <f ca="1">IF(B85="","",(INDEX(OFFSET(Arb!$U$2,,,Arb!$AJ$5,),B85)+INDEX(OFFSET(Arb!$V$2,,,Arb!$AJ$5,),B85))/D85)</f>
        <v>4.8426150121065374</v>
      </c>
      <c r="H85" s="33">
        <f t="shared" ca="1" si="10"/>
        <v>0.79613561443068626</v>
      </c>
      <c r="I85" s="21">
        <f t="shared" ca="1" si="11"/>
        <v>59.410732471531681</v>
      </c>
      <c r="J85" s="74">
        <f ca="1">IF(B85="","",DATE(INDEX(OFFSET(Arb!$C$2,,,Arb!$AJ$5,),B85),INDEX(OFFSET(Arb!$B$2,,,Arb!$AJ$5,),B85),INDEX(OFFSET(Arb!$A$2,,,Arb!$AJ$5,),B85))+ROW()*0.001)</f>
        <v>44054.084999999999</v>
      </c>
      <c r="K85" s="11">
        <v>84</v>
      </c>
      <c r="L85" s="11">
        <v>2288</v>
      </c>
      <c r="M85" s="433">
        <f ca="1">IF(L85="",64,INDEX(OFFSET(Arb!$I$2,,,Arb!$AJ$5,),L85))</f>
        <v>54</v>
      </c>
      <c r="N85" s="34">
        <f ca="1">IF(L85="",60,INDEX(OFFSET(Arb!$H$2,,,Arb!$AJ$5,),L85))</f>
        <v>21.38</v>
      </c>
      <c r="O85" s="33">
        <f t="shared" ca="1" si="12"/>
        <v>2.5257249766136578</v>
      </c>
      <c r="P85" s="33">
        <f ca="1">IF(L85="","",INDEX(OFFSET(Arb!$X$2,,,Arb!$AJ$5,),L85)/N85)</f>
        <v>3.3676333021515434</v>
      </c>
      <c r="Q85" s="33">
        <f ca="1">IF(L85="","",(INDEX(OFFSET(Arb!$U$2,,,Arb!$AJ$5,),L85)+INDEX(OFFSET(Arb!$V$2,,,Arb!$AJ$5,),L85))/N85)</f>
        <v>4.0224508886810106</v>
      </c>
      <c r="R85" s="33">
        <f t="shared" ca="1" si="13"/>
        <v>3.3776864502329706</v>
      </c>
      <c r="S85" s="21">
        <f t="shared" ca="1" si="14"/>
        <v>45.51340163306061</v>
      </c>
      <c r="T85" s="74">
        <f ca="1">IF(L85="","",DATE(INDEX(OFFSET(Arb!$C$2,,,Arb!$AJ$5,),L85),INDEX(OFFSET(Arb!$B$2,,,Arb!$AJ$5,),L85),INDEX(OFFSET(Arb!$A$2,,,Arb!$AJ$5,),L85))+ROW()*0.001)</f>
        <v>43937.084999999999</v>
      </c>
      <c r="U85" s="11">
        <v>84</v>
      </c>
      <c r="V85" s="11">
        <v>2540</v>
      </c>
      <c r="W85" s="433">
        <f ca="1">IF(V85="",164,INDEX(OFFSET(Arb!$I$2,,,Arb!$AJ$5,),V85))</f>
        <v>174</v>
      </c>
      <c r="X85" s="34">
        <f ca="1">IF(V85="",240,INDEX(OFFSET(Arb!$H$2,,,Arb!$AJ$5,),V85))</f>
        <v>69.38</v>
      </c>
      <c r="Y85" s="33">
        <f t="shared" ca="1" si="15"/>
        <v>2.5079273565869129</v>
      </c>
      <c r="Z85" s="33">
        <f ca="1">IF(V85="","",INDEX(OFFSET(Arb!$X$2,,,Arb!$AJ$5,),V85)/X85)</f>
        <v>2.9259152493513985</v>
      </c>
      <c r="AA85" s="33">
        <f ca="1">IF(V85="","",(INDEX(OFFSET(Arb!$U$2,,,Arb!$AJ$5,),V85)+INDEX(OFFSET(Arb!$V$2,,,Arb!$AJ$5,),V85))/X85)</f>
        <v>3.1565292591524936</v>
      </c>
      <c r="AB85" s="33">
        <f t="shared" ca="1" si="16"/>
        <v>7.7544152545477356</v>
      </c>
      <c r="AC85" s="21">
        <f t="shared" ca="1" si="17"/>
        <v>56.097202138470045</v>
      </c>
      <c r="AD85" s="74">
        <f ca="1">IF(V85="","",DATE(INDEX(OFFSET(Arb!$C$2,,,Arb!$AJ$5,),V85),INDEX(OFFSET(Arb!$B$2,,,Arb!$AJ$5,),V85),INDEX(OFFSET(Arb!$A$2,,,Arb!$AJ$5,),V85))+ROW()*0.001)</f>
        <v>43796.084999999999</v>
      </c>
    </row>
    <row r="86" spans="1:30" x14ac:dyDescent="0.25">
      <c r="A86" s="11">
        <v>85</v>
      </c>
      <c r="B86" s="11">
        <v>1549</v>
      </c>
      <c r="C86" s="433">
        <f ca="1">IF(B86="",16,INDEX(OFFSET(Arb!$I$2,,,Arb!$AJ$5,),B86))</f>
        <v>17</v>
      </c>
      <c r="D86" s="34">
        <f ca="1">IF(B86="",10,INDEX(OFFSET(Arb!$H$2,,,Arb!$AJ$5,),B86))</f>
        <v>4.63</v>
      </c>
      <c r="E86" s="33">
        <f t="shared" ca="1" si="9"/>
        <v>3.6717062634989204</v>
      </c>
      <c r="F86" s="33">
        <f ca="1">IF(B86="","",INDEX(OFFSET(Arb!$X$2,,,Arb!$AJ$5,),B86)/D86)</f>
        <v>3.8876889848812097</v>
      </c>
      <c r="G86" s="33">
        <f ca="1">IF(B86="","",(INDEX(OFFSET(Arb!$U$2,,,Arb!$AJ$5,),B86)+INDEX(OFFSET(Arb!$V$2,,,Arb!$AJ$5,),B86))/D86)</f>
        <v>4.5356371490280782</v>
      </c>
      <c r="H86" s="33">
        <f t="shared" ca="1" si="10"/>
        <v>0.79623041552169105</v>
      </c>
      <c r="I86" s="21">
        <f t="shared" ca="1" si="11"/>
        <v>59.403658888124291</v>
      </c>
      <c r="J86" s="74">
        <f ca="1">IF(B86="","",DATE(INDEX(OFFSET(Arb!$C$2,,,Arb!$AJ$5,),B86),INDEX(OFFSET(Arb!$B$2,,,Arb!$AJ$5,),B86),INDEX(OFFSET(Arb!$A$2,,,Arb!$AJ$5,),B86))+ROW()*0.001)</f>
        <v>43984.086000000003</v>
      </c>
      <c r="K86" s="11">
        <v>85</v>
      </c>
      <c r="L86" s="11">
        <v>2268</v>
      </c>
      <c r="M86" s="433">
        <f ca="1">IF(L86="",64,INDEX(OFFSET(Arb!$I$2,,,Arb!$AJ$5,),L86))</f>
        <v>63</v>
      </c>
      <c r="N86" s="34">
        <f ca="1">IF(L86="",60,INDEX(OFFSET(Arb!$H$2,,,Arb!$AJ$5,),L86))</f>
        <v>23.42</v>
      </c>
      <c r="O86" s="33">
        <f t="shared" ca="1" si="12"/>
        <v>2.6900085397096496</v>
      </c>
      <c r="P86" s="33">
        <f ca="1">IF(L86="","",INDEX(OFFSET(Arb!$X$2,,,Arb!$AJ$5,),L86)/N86)</f>
        <v>3.5439795046968401</v>
      </c>
      <c r="Q86" s="33">
        <f ca="1">IF(L86="","",(INDEX(OFFSET(Arb!$U$2,,,Arb!$AJ$5,),L86)+INDEX(OFFSET(Arb!$V$2,,,Arb!$AJ$5,),L86))/N86)</f>
        <v>4.0563620836891543</v>
      </c>
      <c r="R86" s="33">
        <f t="shared" ca="1" si="13"/>
        <v>3.3803149394178194</v>
      </c>
      <c r="S86" s="21">
        <f t="shared" ca="1" si="14"/>
        <v>45.478011000500565</v>
      </c>
      <c r="T86" s="74">
        <f ca="1">IF(L86="","",DATE(INDEX(OFFSET(Arb!$C$2,,,Arb!$AJ$5,),L86),INDEX(OFFSET(Arb!$B$2,,,Arb!$AJ$5,),L86),INDEX(OFFSET(Arb!$A$2,,,Arb!$AJ$5,),L86))+ROW()*0.001)</f>
        <v>43912.086000000003</v>
      </c>
      <c r="U86" s="11">
        <v>85</v>
      </c>
      <c r="V86" s="11">
        <v>3330</v>
      </c>
      <c r="W86" s="433">
        <f ca="1">IF(V86="",164,INDEX(OFFSET(Arb!$I$2,,,Arb!$AJ$5,),V86))</f>
        <v>169</v>
      </c>
      <c r="X86" s="34">
        <f ca="1">IF(V86="",240,INDEX(OFFSET(Arb!$H$2,,,Arb!$AJ$5,),V86))</f>
        <v>68.27</v>
      </c>
      <c r="Y86" s="33">
        <f t="shared" ca="1" si="15"/>
        <v>2.4754650651823642</v>
      </c>
      <c r="Z86" s="33">
        <f ca="1">IF(V86="","",INDEX(OFFSET(Arb!$X$2,,,Arb!$AJ$5,),V86)/X86)</f>
        <v>3.0613739563497879</v>
      </c>
      <c r="AA86" s="33">
        <f ca="1">IF(V86="","",(INDEX(OFFSET(Arb!$U$2,,,Arb!$AJ$5,),V86)+INDEX(OFFSET(Arb!$V$2,,,Arb!$AJ$5,),V86))/X86)</f>
        <v>3.368976124212685</v>
      </c>
      <c r="AB86" s="33">
        <f t="shared" ca="1" si="16"/>
        <v>7.7679090179821495</v>
      </c>
      <c r="AC86" s="21">
        <f t="shared" ca="1" si="17"/>
        <v>55.999754759357252</v>
      </c>
      <c r="AD86" s="74">
        <f ca="1">IF(V86="","",DATE(INDEX(OFFSET(Arb!$C$2,,,Arb!$AJ$5,),V86),INDEX(OFFSET(Arb!$B$2,,,Arb!$AJ$5,),V86),INDEX(OFFSET(Arb!$A$2,,,Arb!$AJ$5,),V86))+ROW()*0.001)</f>
        <v>44096.086000000003</v>
      </c>
    </row>
    <row r="87" spans="1:30" x14ac:dyDescent="0.25">
      <c r="A87" s="11">
        <v>86</v>
      </c>
      <c r="B87" s="11">
        <v>341</v>
      </c>
      <c r="C87" s="433">
        <f ca="1">IF(B87="",16,INDEX(OFFSET(Arb!$I$2,,,Arb!$AJ$5,),B87))</f>
        <v>18</v>
      </c>
      <c r="D87" s="34">
        <f ca="1">IF(B87="",10,INDEX(OFFSET(Arb!$H$2,,,Arb!$AJ$5,),B87))</f>
        <v>4.79</v>
      </c>
      <c r="E87" s="33">
        <f t="shared" ca="1" si="9"/>
        <v>3.757828810020877</v>
      </c>
      <c r="F87" s="33">
        <f ca="1">IF(B87="","",INDEX(OFFSET(Arb!$X$2,,,Arb!$AJ$5,),B87)/D87)</f>
        <v>4.1753653444676413</v>
      </c>
      <c r="G87" s="33">
        <f ca="1">IF(B87="","",(INDEX(OFFSET(Arb!$U$2,,,Arb!$AJ$5,),B87)+INDEX(OFFSET(Arb!$V$2,,,Arb!$AJ$5,),B87))/D87)</f>
        <v>4.5929018789144047</v>
      </c>
      <c r="H87" s="33">
        <f t="shared" ca="1" si="10"/>
        <v>0.79670559613482494</v>
      </c>
      <c r="I87" s="21">
        <f t="shared" ca="1" si="11"/>
        <v>59.368228652426438</v>
      </c>
      <c r="J87" s="74">
        <f ca="1">IF(B87="","",DATE(INDEX(OFFSET(Arb!$C$2,,,Arb!$AJ$5,),B87),INDEX(OFFSET(Arb!$B$2,,,Arb!$AJ$5,),B87),INDEX(OFFSET(Arb!$A$2,,,Arb!$AJ$5,),B87))+ROW()*0.001)</f>
        <v>43781.087</v>
      </c>
      <c r="K87" s="11">
        <v>86</v>
      </c>
      <c r="L87" s="11">
        <v>2283</v>
      </c>
      <c r="M87" s="433">
        <f ca="1">IF(L87="",64,INDEX(OFFSET(Arb!$I$2,,,Arb!$AJ$5,),L87))</f>
        <v>57</v>
      </c>
      <c r="N87" s="34">
        <f ca="1">IF(L87="",60,INDEX(OFFSET(Arb!$H$2,,,Arb!$AJ$5,),L87))</f>
        <v>22.1</v>
      </c>
      <c r="O87" s="33">
        <f t="shared" ca="1" si="12"/>
        <v>2.5791855203619907</v>
      </c>
      <c r="P87" s="33">
        <f ca="1">IF(L87="","",INDEX(OFFSET(Arb!$X$2,,,Arb!$AJ$5,),L87)/N87)</f>
        <v>3.5294117647058822</v>
      </c>
      <c r="Q87" s="33">
        <f ca="1">IF(L87="","",(INDEX(OFFSET(Arb!$U$2,,,Arb!$AJ$5,),L87)+INDEX(OFFSET(Arb!$V$2,,,Arb!$AJ$5,),L87))/N87)</f>
        <v>3.9819004524886874</v>
      </c>
      <c r="R87" s="33">
        <f t="shared" ca="1" si="13"/>
        <v>3.385259843559477</v>
      </c>
      <c r="S87" s="21">
        <f t="shared" ca="1" si="14"/>
        <v>45.411580529770653</v>
      </c>
      <c r="T87" s="74">
        <f ca="1">IF(L87="","",DATE(INDEX(OFFSET(Arb!$C$2,,,Arb!$AJ$5,),L87),INDEX(OFFSET(Arb!$B$2,,,Arb!$AJ$5,),L87),INDEX(OFFSET(Arb!$A$2,,,Arb!$AJ$5,),L87))+ROW()*0.001)</f>
        <v>43935.087</v>
      </c>
      <c r="U87" s="11">
        <v>86</v>
      </c>
      <c r="V87" s="11">
        <v>3213</v>
      </c>
      <c r="W87" s="433">
        <f ca="1">IF(V87="",164,INDEX(OFFSET(Arb!$I$2,,,Arb!$AJ$5,),V87))</f>
        <v>236</v>
      </c>
      <c r="X87" s="34">
        <f ca="1">IF(V87="",240,INDEX(OFFSET(Arb!$H$2,,,Arb!$AJ$5,),V87))</f>
        <v>83.1</v>
      </c>
      <c r="Y87" s="33">
        <f t="shared" ca="1" si="15"/>
        <v>2.8399518652226234</v>
      </c>
      <c r="Z87" s="33">
        <f ca="1">IF(V87="","",INDEX(OFFSET(Arb!$X$2,,,Arb!$AJ$5,),V87)/X87)</f>
        <v>3.1648616125150424</v>
      </c>
      <c r="AA87" s="33">
        <f ca="1">IF(V87="","",(INDEX(OFFSET(Arb!$U$2,,,Arb!$AJ$5,),V87)+INDEX(OFFSET(Arb!$V$2,,,Arb!$AJ$5,),V87))/X87)</f>
        <v>3.5379061371841156</v>
      </c>
      <c r="AB87" s="33">
        <f t="shared" ca="1" si="16"/>
        <v>7.7697981672305669</v>
      </c>
      <c r="AC87" s="21">
        <f t="shared" ca="1" si="17"/>
        <v>55.986138975222552</v>
      </c>
      <c r="AD87" s="74">
        <f ca="1">IF(V87="","",DATE(INDEX(OFFSET(Arb!$C$2,,,Arb!$AJ$5,),V87),INDEX(OFFSET(Arb!$B$2,,,Arb!$AJ$5,),V87),INDEX(OFFSET(Arb!$A$2,,,Arb!$AJ$5,),V87))+ROW()*0.001)</f>
        <v>44059.087</v>
      </c>
    </row>
    <row r="88" spans="1:30" x14ac:dyDescent="0.25">
      <c r="A88" s="11">
        <v>87</v>
      </c>
      <c r="B88" s="11">
        <v>1656</v>
      </c>
      <c r="C88" s="433">
        <f ca="1">IF(B88="",16,INDEX(OFFSET(Arb!$I$2,,,Arb!$AJ$5,),B88))</f>
        <v>20</v>
      </c>
      <c r="D88" s="34">
        <f ca="1">IF(B88="",10,INDEX(OFFSET(Arb!$H$2,,,Arb!$AJ$5,),B88))</f>
        <v>5.0999999999999996</v>
      </c>
      <c r="E88" s="33">
        <f t="shared" ca="1" si="9"/>
        <v>3.9215686274509807</v>
      </c>
      <c r="F88" s="33">
        <f ca="1">IF(B88="","",INDEX(OFFSET(Arb!$X$2,,,Arb!$AJ$5,),B88)/D88)</f>
        <v>4.7058823529411766</v>
      </c>
      <c r="G88" s="33">
        <f ca="1">IF(B88="","",(INDEX(OFFSET(Arb!$U$2,,,Arb!$AJ$5,),B88)+INDEX(OFFSET(Arb!$V$2,,,Arb!$AJ$5,),B88))/D88)</f>
        <v>4.9019607843137258</v>
      </c>
      <c r="H88" s="33">
        <f t="shared" ca="1" si="10"/>
        <v>0.79769947036928568</v>
      </c>
      <c r="I88" s="21">
        <f t="shared" ca="1" si="11"/>
        <v>59.294260253305019</v>
      </c>
      <c r="J88" s="74">
        <f ca="1">IF(B88="","",DATE(INDEX(OFFSET(Arb!$C$2,,,Arb!$AJ$5,),B88),INDEX(OFFSET(Arb!$B$2,,,Arb!$AJ$5,),B88),INDEX(OFFSET(Arb!$A$2,,,Arb!$AJ$5,),B88))+ROW()*0.001)</f>
        <v>44096.088000000003</v>
      </c>
      <c r="K88" s="11">
        <v>87</v>
      </c>
      <c r="L88" s="11">
        <v>2300</v>
      </c>
      <c r="M88" s="433">
        <f ca="1">IF(L88="",64,INDEX(OFFSET(Arb!$I$2,,,Arb!$AJ$5,),L88))</f>
        <v>67</v>
      </c>
      <c r="N88" s="34">
        <f ca="1">IF(L88="",60,INDEX(OFFSET(Arb!$H$2,,,Arb!$AJ$5,),L88))</f>
        <v>24.31</v>
      </c>
      <c r="O88" s="33">
        <f t="shared" ca="1" si="12"/>
        <v>2.7560674619498151</v>
      </c>
      <c r="P88" s="33">
        <f ca="1">IF(L88="","",INDEX(OFFSET(Arb!$X$2,,,Arb!$AJ$5,),L88)/N88)</f>
        <v>3.3319621554915675</v>
      </c>
      <c r="Q88" s="33">
        <f ca="1">IF(L88="","",(INDEX(OFFSET(Arb!$U$2,,,Arb!$AJ$5,),L88)+INDEX(OFFSET(Arb!$V$2,,,Arb!$AJ$5,),L88))/N88)</f>
        <v>3.9901275195392842</v>
      </c>
      <c r="R88" s="33">
        <f t="shared" ca="1" si="13"/>
        <v>3.3865666506802574</v>
      </c>
      <c r="S88" s="21">
        <f t="shared" ca="1" si="14"/>
        <v>45.394057125413532</v>
      </c>
      <c r="T88" s="74">
        <f ca="1">IF(L88="","",DATE(INDEX(OFFSET(Arb!$C$2,,,Arb!$AJ$5,),L88),INDEX(OFFSET(Arb!$B$2,,,Arb!$AJ$5,),L88),INDEX(OFFSET(Arb!$A$2,,,Arb!$AJ$5,),L88))+ROW()*0.001)</f>
        <v>43941.088000000003</v>
      </c>
      <c r="U88" s="11">
        <v>87</v>
      </c>
      <c r="V88" s="11">
        <v>3433</v>
      </c>
      <c r="W88" s="433">
        <f ca="1">IF(V88="",164,INDEX(OFFSET(Arb!$I$2,,,Arb!$AJ$5,),V88))</f>
        <v>201</v>
      </c>
      <c r="X88" s="34">
        <f ca="1">IF(V88="",240,INDEX(OFFSET(Arb!$H$2,,,Arb!$AJ$5,),V88))</f>
        <v>75.63</v>
      </c>
      <c r="Y88" s="33">
        <f t="shared" ca="1" si="15"/>
        <v>2.6576755255850855</v>
      </c>
      <c r="Z88" s="33">
        <f ca="1">IF(V88="","",INDEX(OFFSET(Arb!$X$2,,,Arb!$AJ$5,),V88)/X88)</f>
        <v>2.6973423244744152</v>
      </c>
      <c r="AA88" s="33">
        <f ca="1">IF(V88="","",(INDEX(OFFSET(Arb!$U$2,,,Arb!$AJ$5,),V88)+INDEX(OFFSET(Arb!$V$2,,,Arb!$AJ$5,),V88))/X88)</f>
        <v>3.1204548459605976</v>
      </c>
      <c r="AB88" s="33">
        <f t="shared" ca="1" si="16"/>
        <v>7.7729149053021667</v>
      </c>
      <c r="AC88" s="21">
        <f t="shared" ca="1" si="17"/>
        <v>55.963689979838989</v>
      </c>
      <c r="AD88" s="74">
        <f ca="1">IF(V88="","",DATE(INDEX(OFFSET(Arb!$C$2,,,Arb!$AJ$5,),V88),INDEX(OFFSET(Arb!$B$2,,,Arb!$AJ$5,),V88),INDEX(OFFSET(Arb!$A$2,,,Arb!$AJ$5,),V88))+ROW()*0.001)</f>
        <v>44154.088000000003</v>
      </c>
    </row>
    <row r="89" spans="1:30" x14ac:dyDescent="0.25">
      <c r="A89" s="11">
        <v>88</v>
      </c>
      <c r="B89" s="11">
        <v>1856</v>
      </c>
      <c r="C89" s="433">
        <f ca="1">IF(B89="",16,INDEX(OFFSET(Arb!$I$2,,,Arb!$AJ$5,),B89))</f>
        <v>11</v>
      </c>
      <c r="D89" s="34">
        <f ca="1">IF(B89="",10,INDEX(OFFSET(Arb!$H$2,,,Arb!$AJ$5,),B89))</f>
        <v>3.59</v>
      </c>
      <c r="E89" s="33">
        <f t="shared" ca="1" si="9"/>
        <v>3.0640668523676879</v>
      </c>
      <c r="F89" s="33">
        <f ca="1">IF(B89="","",INDEX(OFFSET(Arb!$X$2,,,Arb!$AJ$5,),B89)/D89)</f>
        <v>3.6211699164345403</v>
      </c>
      <c r="G89" s="33">
        <f ca="1">IF(B89="","",(INDEX(OFFSET(Arb!$U$2,,,Arb!$AJ$5,),B89)+INDEX(OFFSET(Arb!$V$2,,,Arb!$AJ$5,),B89))/D89)</f>
        <v>4.4568245125348191</v>
      </c>
      <c r="H89" s="33">
        <f t="shared" ca="1" si="10"/>
        <v>0.79848705065404713</v>
      </c>
      <c r="I89" s="21">
        <f t="shared" ca="1" si="11"/>
        <v>59.235775910526051</v>
      </c>
      <c r="J89" s="74">
        <f ca="1">IF(B89="","",DATE(INDEX(OFFSET(Arb!$C$2,,,Arb!$AJ$5,),B89),INDEX(OFFSET(Arb!$B$2,,,Arb!$AJ$5,),B89),INDEX(OFFSET(Arb!$A$2,,,Arb!$AJ$5,),B89))+ROW()*0.001)</f>
        <v>44168.089</v>
      </c>
      <c r="K89" s="11">
        <v>88</v>
      </c>
      <c r="L89" s="11">
        <v>2320</v>
      </c>
      <c r="M89" s="433">
        <f ca="1">IF(L89="",64,INDEX(OFFSET(Arb!$I$2,,,Arb!$AJ$5,),L89))</f>
        <v>48</v>
      </c>
      <c r="N89" s="34">
        <f ca="1">IF(L89="",60,INDEX(OFFSET(Arb!$H$2,,,Arb!$AJ$5,),L89))</f>
        <v>20.010000000000002</v>
      </c>
      <c r="O89" s="33">
        <f t="shared" ca="1" si="12"/>
        <v>2.3988005997001496</v>
      </c>
      <c r="P89" s="33">
        <f ca="1">IF(L89="","",INDEX(OFFSET(Arb!$X$2,,,Arb!$AJ$5,),L89)/N89)</f>
        <v>3.2983508245877058</v>
      </c>
      <c r="Q89" s="33">
        <f ca="1">IF(L89="","",(INDEX(OFFSET(Arb!$U$2,,,Arb!$AJ$5,),L89)+INDEX(OFFSET(Arb!$V$2,,,Arb!$AJ$5,),L89))/N89)</f>
        <v>3.8980509745127434</v>
      </c>
      <c r="R89" s="33">
        <f t="shared" ca="1" si="13"/>
        <v>3.3953051586699989</v>
      </c>
      <c r="S89" s="21">
        <f t="shared" ca="1" si="14"/>
        <v>45.277226292148285</v>
      </c>
      <c r="T89" s="74">
        <f ca="1">IF(L89="","",DATE(INDEX(OFFSET(Arb!$C$2,,,Arb!$AJ$5,),L89),INDEX(OFFSET(Arb!$B$2,,,Arb!$AJ$5,),L89),INDEX(OFFSET(Arb!$A$2,,,Arb!$AJ$5,),L89))+ROW()*0.001)</f>
        <v>43984.089</v>
      </c>
      <c r="U89" s="11">
        <v>88</v>
      </c>
      <c r="V89" s="11">
        <v>3318</v>
      </c>
      <c r="W89" s="433">
        <f ca="1">IF(V89="",164,INDEX(OFFSET(Arb!$I$2,,,Arb!$AJ$5,),V89))</f>
        <v>176</v>
      </c>
      <c r="X89" s="34">
        <f ca="1">IF(V89="",240,INDEX(OFFSET(Arb!$H$2,,,Arb!$AJ$5,),V89))</f>
        <v>70</v>
      </c>
      <c r="Y89" s="33">
        <f t="shared" ca="1" si="15"/>
        <v>2.5142857142857142</v>
      </c>
      <c r="Z89" s="33">
        <f ca="1">IF(V89="","",INDEX(OFFSET(Arb!$X$2,,,Arb!$AJ$5,),V89)/X89)</f>
        <v>3.2</v>
      </c>
      <c r="AA89" s="33">
        <f ca="1">IF(V89="","",(INDEX(OFFSET(Arb!$U$2,,,Arb!$AJ$5,),V89)+INDEX(OFFSET(Arb!$V$2,,,Arb!$AJ$5,),V89))/X89)</f>
        <v>3.5285714285714285</v>
      </c>
      <c r="AB89" s="33">
        <f t="shared" ca="1" si="16"/>
        <v>7.7831249062326684</v>
      </c>
      <c r="AC89" s="21">
        <f t="shared" ca="1" si="17"/>
        <v>55.890276108977055</v>
      </c>
      <c r="AD89" s="74">
        <f ca="1">IF(V89="","",DATE(INDEX(OFFSET(Arb!$C$2,,,Arb!$AJ$5,),V89),INDEX(OFFSET(Arb!$B$2,,,Arb!$AJ$5,),V89),INDEX(OFFSET(Arb!$A$2,,,Arb!$AJ$5,),V89))+ROW()*0.001)</f>
        <v>44094.089</v>
      </c>
    </row>
    <row r="90" spans="1:30" x14ac:dyDescent="0.25">
      <c r="A90" s="11">
        <v>89</v>
      </c>
      <c r="B90" s="11">
        <v>1393</v>
      </c>
      <c r="C90" s="433">
        <f ca="1">IF(B90="",16,INDEX(OFFSET(Arb!$I$2,,,Arb!$AJ$5,),B90))</f>
        <v>15</v>
      </c>
      <c r="D90" s="34">
        <f ca="1">IF(B90="",10,INDEX(OFFSET(Arb!$H$2,,,Arb!$AJ$5,),B90))</f>
        <v>4.3099999999999996</v>
      </c>
      <c r="E90" s="33">
        <f t="shared" ca="1" si="9"/>
        <v>3.4802784222737824</v>
      </c>
      <c r="F90" s="33">
        <f ca="1">IF(B90="","",INDEX(OFFSET(Arb!$X$2,,,Arb!$AJ$5,),B90)/D90)</f>
        <v>3.4802784222737824</v>
      </c>
      <c r="G90" s="33">
        <f ca="1">IF(B90="","",(INDEX(OFFSET(Arb!$U$2,,,Arb!$AJ$5,),B90)+INDEX(OFFSET(Arb!$V$2,,,Arb!$AJ$5,),B90))/D90)</f>
        <v>4.4083526682134577</v>
      </c>
      <c r="H90" s="33">
        <f t="shared" ca="1" si="10"/>
        <v>0.79895091822668785</v>
      </c>
      <c r="I90" s="21">
        <f t="shared" ca="1" si="11"/>
        <v>59.201383865960793</v>
      </c>
      <c r="J90" s="74">
        <f ca="1">IF(B90="","",DATE(INDEX(OFFSET(Arb!$C$2,,,Arb!$AJ$5,),B90),INDEX(OFFSET(Arb!$B$2,,,Arb!$AJ$5,),B90),INDEX(OFFSET(Arb!$A$2,,,Arb!$AJ$5,),B90))+ROW()*0.001)</f>
        <v>43940.09</v>
      </c>
      <c r="K90" s="11">
        <v>89</v>
      </c>
      <c r="L90" s="11">
        <v>2275</v>
      </c>
      <c r="M90" s="433">
        <f ca="1">IF(L90="",64,INDEX(OFFSET(Arb!$I$2,,,Arb!$AJ$5,),L90))</f>
        <v>85</v>
      </c>
      <c r="N90" s="34">
        <f ca="1">IF(L90="",60,INDEX(OFFSET(Arb!$H$2,,,Arb!$AJ$5,),L90))</f>
        <v>28.03</v>
      </c>
      <c r="O90" s="33">
        <f t="shared" ca="1" si="12"/>
        <v>3.0324652158401713</v>
      </c>
      <c r="P90" s="33">
        <f ca="1">IF(L90="","",INDEX(OFFSET(Arb!$X$2,,,Arb!$AJ$5,),L90)/N90)</f>
        <v>3.6746343203710308</v>
      </c>
      <c r="Q90" s="33">
        <f ca="1">IF(L90="","",(INDEX(OFFSET(Arb!$U$2,,,Arb!$AJ$5,),L90)+INDEX(OFFSET(Arb!$V$2,,,Arb!$AJ$5,),L90))/N90)</f>
        <v>4.1027470567249376</v>
      </c>
      <c r="R90" s="33">
        <f t="shared" ca="1" si="13"/>
        <v>3.4004809051460905</v>
      </c>
      <c r="S90" s="21">
        <f t="shared" ca="1" si="14"/>
        <v>45.208311497163216</v>
      </c>
      <c r="T90" s="74">
        <f ca="1">IF(L90="","",DATE(INDEX(OFFSET(Arb!$C$2,,,Arb!$AJ$5,),L90),INDEX(OFFSET(Arb!$B$2,,,Arb!$AJ$5,),L90),INDEX(OFFSET(Arb!$A$2,,,Arb!$AJ$5,),L90))+ROW()*0.001)</f>
        <v>43934.09</v>
      </c>
      <c r="U90" s="11">
        <v>89</v>
      </c>
      <c r="V90" s="11">
        <v>2980</v>
      </c>
      <c r="W90" s="433">
        <f ca="1">IF(V90="",164,INDEX(OFFSET(Arb!$I$2,,,Arb!$AJ$5,),V90))</f>
        <v>155</v>
      </c>
      <c r="X90" s="34">
        <f ca="1">IF(V90="",240,INDEX(OFFSET(Arb!$H$2,,,Arb!$AJ$5,),V90))</f>
        <v>65.03</v>
      </c>
      <c r="Y90" s="33">
        <f t="shared" ca="1" si="15"/>
        <v>2.3835153006304783</v>
      </c>
      <c r="Z90" s="33">
        <f ca="1">IF(V90="","",INDEX(OFFSET(Arb!$X$2,,,Arb!$AJ$5,),V90)/X90)</f>
        <v>3.0447485775795786</v>
      </c>
      <c r="AA90" s="33">
        <f ca="1">IF(V90="","",(INDEX(OFFSET(Arb!$U$2,,,Arb!$AJ$5,),V90)+INDEX(OFFSET(Arb!$V$2,,,Arb!$AJ$5,),V90))/X90)</f>
        <v>3.5675841919114255</v>
      </c>
      <c r="AB90" s="33">
        <f t="shared" ca="1" si="16"/>
        <v>7.7976131174276695</v>
      </c>
      <c r="AC90" s="21">
        <f t="shared" ca="1" si="17"/>
        <v>55.786430212570117</v>
      </c>
      <c r="AD90" s="74">
        <f ca="1">IF(V90="","",DATE(INDEX(OFFSET(Arb!$C$2,,,Arb!$AJ$5,),V90),INDEX(OFFSET(Arb!$B$2,,,Arb!$AJ$5,),V90),INDEX(OFFSET(Arb!$A$2,,,Arb!$AJ$5,),V90))+ROW()*0.001)</f>
        <v>43956.09</v>
      </c>
    </row>
    <row r="91" spans="1:30" x14ac:dyDescent="0.25">
      <c r="A91" s="11">
        <v>90</v>
      </c>
      <c r="B91" s="11">
        <v>570</v>
      </c>
      <c r="C91" s="433">
        <f ca="1">IF(B91="",16,INDEX(OFFSET(Arb!$I$2,,,Arb!$AJ$5,),B91))</f>
        <v>12</v>
      </c>
      <c r="D91" s="34">
        <f ca="1">IF(B91="",10,INDEX(OFFSET(Arb!$H$2,,,Arb!$AJ$5,),B91))</f>
        <v>3.78</v>
      </c>
      <c r="E91" s="33">
        <f t="shared" ca="1" si="9"/>
        <v>3.1746031746031749</v>
      </c>
      <c r="F91" s="33">
        <f ca="1">IF(B91="","",INDEX(OFFSET(Arb!$X$2,,,Arb!$AJ$5,),B91)/D91)</f>
        <v>3.7037037037037037</v>
      </c>
      <c r="G91" s="33">
        <f ca="1">IF(B91="","",(INDEX(OFFSET(Arb!$U$2,,,Arb!$AJ$5,),B91)+INDEX(OFFSET(Arb!$V$2,,,Arb!$AJ$5,),B91))/D91)</f>
        <v>5.026455026455027</v>
      </c>
      <c r="H91" s="33">
        <f t="shared" ca="1" si="10"/>
        <v>0.79901478147804994</v>
      </c>
      <c r="I91" s="21">
        <f t="shared" ca="1" si="11"/>
        <v>59.196652047543338</v>
      </c>
      <c r="J91" s="74">
        <f ca="1">IF(B91="","",DATE(INDEX(OFFSET(Arb!$C$2,,,Arb!$AJ$5,),B91),INDEX(OFFSET(Arb!$B$2,,,Arb!$AJ$5,),B91),INDEX(OFFSET(Arb!$A$2,,,Arb!$AJ$5,),B91))+ROW()*0.001)</f>
        <v>43797.091</v>
      </c>
      <c r="K91" s="11">
        <v>90</v>
      </c>
      <c r="L91" s="11">
        <v>1903</v>
      </c>
      <c r="M91" s="433">
        <f ca="1">IF(L91="",64,INDEX(OFFSET(Arb!$I$2,,,Arb!$AJ$5,),L91))</f>
        <v>54</v>
      </c>
      <c r="N91" s="34">
        <f ca="1">IF(L91="",60,INDEX(OFFSET(Arb!$H$2,,,Arb!$AJ$5,),L91))</f>
        <v>21.47</v>
      </c>
      <c r="O91" s="33">
        <f t="shared" ca="1" si="12"/>
        <v>2.5151374010246856</v>
      </c>
      <c r="P91" s="33">
        <f ca="1">IF(L91="","",INDEX(OFFSET(Arb!$X$2,,,Arb!$AJ$5,),L91)/N91)</f>
        <v>3.0274802049371217</v>
      </c>
      <c r="Q91" s="33">
        <f ca="1">IF(L91="","",(INDEX(OFFSET(Arb!$U$2,,,Arb!$AJ$5,),L91)+INDEX(OFFSET(Arb!$V$2,,,Arb!$AJ$5,),L91))/N91)</f>
        <v>3.5863996273870518</v>
      </c>
      <c r="R91" s="33">
        <f t="shared" ca="1" si="13"/>
        <v>3.4018935179649961</v>
      </c>
      <c r="S91" s="21">
        <f t="shared" ca="1" si="14"/>
        <v>45.189539057636608</v>
      </c>
      <c r="T91" s="74">
        <f ca="1">IF(L91="","",DATE(INDEX(OFFSET(Arb!$C$2,,,Arb!$AJ$5,),L91),INDEX(OFFSET(Arb!$B$2,,,Arb!$AJ$5,),L91),INDEX(OFFSET(Arb!$A$2,,,Arb!$AJ$5,),L91))+ROW()*0.001)</f>
        <v>43765.091</v>
      </c>
      <c r="U91" s="11">
        <v>90</v>
      </c>
      <c r="V91" s="11">
        <v>3229</v>
      </c>
      <c r="W91" s="433">
        <f ca="1">IF(V91="",164,INDEX(OFFSET(Arb!$I$2,,,Arb!$AJ$5,),V91))</f>
        <v>157</v>
      </c>
      <c r="X91" s="34">
        <f ca="1">IF(V91="",240,INDEX(OFFSET(Arb!$H$2,,,Arb!$AJ$5,),V91))</f>
        <v>65.540000000000006</v>
      </c>
      <c r="Y91" s="33">
        <f t="shared" ca="1" si="15"/>
        <v>2.3954836740921572</v>
      </c>
      <c r="Z91" s="33">
        <f ca="1">IF(V91="","",INDEX(OFFSET(Arb!$X$2,,,Arb!$AJ$5,),V91)/X91)</f>
        <v>3.0515715593530666</v>
      </c>
      <c r="AA91" s="33">
        <f ca="1">IF(V91="","",(INDEX(OFFSET(Arb!$U$2,,,Arb!$AJ$5,),V91)+INDEX(OFFSET(Arb!$V$2,,,Arb!$AJ$5,),V91))/X91)</f>
        <v>3.5398230088495573</v>
      </c>
      <c r="AB91" s="33">
        <f t="shared" ca="1" si="16"/>
        <v>7.8011978171897738</v>
      </c>
      <c r="AC91" s="21">
        <f t="shared" ca="1" si="17"/>
        <v>55.760795994877157</v>
      </c>
      <c r="AD91" s="74">
        <f ca="1">IF(V91="","",DATE(INDEX(OFFSET(Arb!$C$2,,,Arb!$AJ$5,),V91),INDEX(OFFSET(Arb!$B$2,,,Arb!$AJ$5,),V91),INDEX(OFFSET(Arb!$A$2,,,Arb!$AJ$5,),V91))+ROW()*0.001)</f>
        <v>44061.091</v>
      </c>
    </row>
    <row r="92" spans="1:30" x14ac:dyDescent="0.25">
      <c r="A92" s="11">
        <v>91</v>
      </c>
      <c r="B92" s="11">
        <v>1523</v>
      </c>
      <c r="C92" s="433">
        <f ca="1">IF(B92="",16,INDEX(OFFSET(Arb!$I$2,,,Arb!$AJ$5,),B92))</f>
        <v>17</v>
      </c>
      <c r="D92" s="34">
        <f ca="1">IF(B92="",10,INDEX(OFFSET(Arb!$H$2,,,Arb!$AJ$5,),B92))</f>
        <v>4.6500000000000004</v>
      </c>
      <c r="E92" s="33">
        <f t="shared" ca="1" si="9"/>
        <v>3.6559139784946235</v>
      </c>
      <c r="F92" s="33">
        <f ca="1">IF(B92="","",INDEX(OFFSET(Arb!$X$2,,,Arb!$AJ$5,),B92)/D92)</f>
        <v>3.440860215053763</v>
      </c>
      <c r="G92" s="33">
        <f ca="1">IF(B92="","",(INDEX(OFFSET(Arb!$U$2,,,Arb!$AJ$5,),B92)+INDEX(OFFSET(Arb!$V$2,,,Arb!$AJ$5,),B92))/D92)</f>
        <v>4.7311827956989241</v>
      </c>
      <c r="H92" s="33">
        <f t="shared" ca="1" si="10"/>
        <v>0.80208630014616278</v>
      </c>
      <c r="I92" s="21">
        <f t="shared" ca="1" si="11"/>
        <v>58.969963695154483</v>
      </c>
      <c r="J92" s="74">
        <f ca="1">IF(B92="","",DATE(INDEX(OFFSET(Arb!$C$2,,,Arb!$AJ$5,),B92),INDEX(OFFSET(Arb!$B$2,,,Arb!$AJ$5,),B92),INDEX(OFFSET(Arb!$A$2,,,Arb!$AJ$5,),B92))+ROW()*0.001)</f>
        <v>43984.091999999997</v>
      </c>
      <c r="K92" s="11">
        <v>91</v>
      </c>
      <c r="L92" s="11">
        <v>2049</v>
      </c>
      <c r="M92" s="433">
        <f ca="1">IF(L92="",64,INDEX(OFFSET(Arb!$I$2,,,Arb!$AJ$5,),L92))</f>
        <v>64</v>
      </c>
      <c r="N92" s="34">
        <f ca="1">IF(L92="",60,INDEX(OFFSET(Arb!$H$2,,,Arb!$AJ$5,),L92))</f>
        <v>23.75</v>
      </c>
      <c r="O92" s="33">
        <f t="shared" ca="1" si="12"/>
        <v>2.6947368421052631</v>
      </c>
      <c r="P92" s="33">
        <f ca="1">IF(L92="","",INDEX(OFFSET(Arb!$X$2,,,Arb!$AJ$5,),L92)/N92)</f>
        <v>3.5789473684210527</v>
      </c>
      <c r="Q92" s="33">
        <f ca="1">IF(L92="","",(INDEX(OFFSET(Arb!$U$2,,,Arb!$AJ$5,),L92)+INDEX(OFFSET(Arb!$V$2,,,Arb!$AJ$5,),L92))/N92)</f>
        <v>4.1263157894736846</v>
      </c>
      <c r="R92" s="33">
        <f t="shared" ca="1" si="13"/>
        <v>3.4075965490260174</v>
      </c>
      <c r="S92" s="21">
        <f t="shared" ca="1" si="14"/>
        <v>45.113908817621073</v>
      </c>
      <c r="T92" s="74">
        <f ca="1">IF(L92="","",DATE(INDEX(OFFSET(Arb!$C$2,,,Arb!$AJ$5,),L92),INDEX(OFFSET(Arb!$B$2,,,Arb!$AJ$5,),L92),INDEX(OFFSET(Arb!$A$2,,,Arb!$AJ$5,),L92))+ROW()*0.001)</f>
        <v>43798.091999999997</v>
      </c>
      <c r="U92" s="11">
        <v>91</v>
      </c>
      <c r="V92" s="11">
        <v>3240</v>
      </c>
      <c r="W92" s="433">
        <f ca="1">IF(V92="",164,INDEX(OFFSET(Arb!$I$2,,,Arb!$AJ$5,),V92))</f>
        <v>140</v>
      </c>
      <c r="X92" s="34">
        <f ca="1">IF(V92="",240,INDEX(OFFSET(Arb!$H$2,,,Arb!$AJ$5,),V92))</f>
        <v>61.27</v>
      </c>
      <c r="Y92" s="33">
        <f t="shared" ca="1" si="15"/>
        <v>2.2849681736575809</v>
      </c>
      <c r="Z92" s="33">
        <f ca="1">IF(V92="","",INDEX(OFFSET(Arb!$X$2,,,Arb!$AJ$5,),V92)/X92)</f>
        <v>2.6929982046678633</v>
      </c>
      <c r="AA92" s="33">
        <f ca="1">IF(V92="","",(INDEX(OFFSET(Arb!$U$2,,,Arb!$AJ$5,),V92)+INDEX(OFFSET(Arb!$V$2,,,Arb!$AJ$5,),V92))/X92)</f>
        <v>3.0520646319569118</v>
      </c>
      <c r="AB92" s="33">
        <f t="shared" ca="1" si="16"/>
        <v>7.8017739150479981</v>
      </c>
      <c r="AC92" s="21">
        <f t="shared" ca="1" si="17"/>
        <v>55.756678511405411</v>
      </c>
      <c r="AD92" s="74">
        <f ca="1">IF(V92="","",DATE(INDEX(OFFSET(Arb!$C$2,,,Arb!$AJ$5,),V92),INDEX(OFFSET(Arb!$B$2,,,Arb!$AJ$5,),V92),INDEX(OFFSET(Arb!$A$2,,,Arb!$AJ$5,),V92))+ROW()*0.001)</f>
        <v>44064.091999999997</v>
      </c>
    </row>
    <row r="93" spans="1:30" x14ac:dyDescent="0.25">
      <c r="A93" s="11">
        <v>92</v>
      </c>
      <c r="B93" s="11">
        <v>423</v>
      </c>
      <c r="C93" s="433">
        <f ca="1">IF(B93="",16,INDEX(OFFSET(Arb!$I$2,,,Arb!$AJ$5,),B93))</f>
        <v>12</v>
      </c>
      <c r="D93" s="34">
        <f ca="1">IF(B93="",10,INDEX(OFFSET(Arb!$H$2,,,Arb!$AJ$5,),B93))</f>
        <v>3.79</v>
      </c>
      <c r="E93" s="33">
        <f t="shared" ca="1" si="9"/>
        <v>3.1662269129287597</v>
      </c>
      <c r="F93" s="33">
        <f ca="1">IF(B93="","",INDEX(OFFSET(Arb!$X$2,,,Arb!$AJ$5,),B93)/D93)</f>
        <v>3.6939313984168867</v>
      </c>
      <c r="G93" s="33">
        <f ca="1">IF(B93="","",(INDEX(OFFSET(Arb!$U$2,,,Arb!$AJ$5,),B93)+INDEX(OFFSET(Arb!$V$2,,,Arb!$AJ$5,),B93))/D93)</f>
        <v>4.4854881266490763</v>
      </c>
      <c r="H93" s="33">
        <f t="shared" ca="1" si="10"/>
        <v>0.80261156059054628</v>
      </c>
      <c r="I93" s="21">
        <f t="shared" ca="1" si="11"/>
        <v>58.93137144099731</v>
      </c>
      <c r="J93" s="74">
        <f ca="1">IF(B93="","",DATE(INDEX(OFFSET(Arb!$C$2,,,Arb!$AJ$5,),B93),INDEX(OFFSET(Arb!$B$2,,,Arb!$AJ$5,),B93),INDEX(OFFSET(Arb!$A$2,,,Arb!$AJ$5,),B93))+ROW()*0.001)</f>
        <v>43781.093000000001</v>
      </c>
      <c r="K93" s="11">
        <v>92</v>
      </c>
      <c r="L93" s="11">
        <v>2296</v>
      </c>
      <c r="M93" s="433">
        <f ca="1">IF(L93="",64,INDEX(OFFSET(Arb!$I$2,,,Arb!$AJ$5,),L93))</f>
        <v>85</v>
      </c>
      <c r="N93" s="34">
        <f ca="1">IF(L93="",60,INDEX(OFFSET(Arb!$H$2,,,Arb!$AJ$5,),L93))</f>
        <v>28.13</v>
      </c>
      <c r="O93" s="33">
        <f t="shared" ca="1" si="12"/>
        <v>3.021685033771774</v>
      </c>
      <c r="P93" s="33">
        <f ca="1">IF(L93="","",INDEX(OFFSET(Arb!$X$2,,,Arb!$AJ$5,),L93)/N93)</f>
        <v>3.981514397440455</v>
      </c>
      <c r="Q93" s="33">
        <f ca="1">IF(L93="","",(INDEX(OFFSET(Arb!$U$2,,,Arb!$AJ$5,),L93)+INDEX(OFFSET(Arb!$V$2,,,Arb!$AJ$5,),L93))/N93)</f>
        <v>4.4081052257376472</v>
      </c>
      <c r="R93" s="33">
        <f t="shared" ca="1" si="13"/>
        <v>3.4211303281021102</v>
      </c>
      <c r="S93" s="21">
        <f t="shared" ca="1" si="14"/>
        <v>44.9354409965675</v>
      </c>
      <c r="T93" s="74">
        <f ca="1">IF(L93="","",DATE(INDEX(OFFSET(Arb!$C$2,,,Arb!$AJ$5,),L93),INDEX(OFFSET(Arb!$B$2,,,Arb!$AJ$5,),L93),INDEX(OFFSET(Arb!$A$2,,,Arb!$AJ$5,),L93))+ROW()*0.001)</f>
        <v>43937.093000000001</v>
      </c>
      <c r="U93" s="11">
        <v>92</v>
      </c>
      <c r="V93" s="11">
        <v>3212</v>
      </c>
      <c r="W93" s="433">
        <f ca="1">IF(V93="",164,INDEX(OFFSET(Arb!$I$2,,,Arb!$AJ$5,),V93))</f>
        <v>161</v>
      </c>
      <c r="X93" s="34">
        <f ca="1">IF(V93="",240,INDEX(OFFSET(Arb!$H$2,,,Arb!$AJ$5,),V93))</f>
        <v>66.540000000000006</v>
      </c>
      <c r="Y93" s="33">
        <f t="shared" ca="1" si="15"/>
        <v>2.4195972347460173</v>
      </c>
      <c r="Z93" s="33">
        <f ca="1">IF(V93="","",INDEX(OFFSET(Arb!$X$2,,,Arb!$AJ$5,),V93)/X93)</f>
        <v>3.0658250676284937</v>
      </c>
      <c r="AA93" s="33">
        <f ca="1">IF(V93="","",(INDEX(OFFSET(Arb!$U$2,,,Arb!$AJ$5,),V93)+INDEX(OFFSET(Arb!$V$2,,,Arb!$AJ$5,),V93))/X93)</f>
        <v>3.456567478208596</v>
      </c>
      <c r="AB93" s="33">
        <f t="shared" ca="1" si="16"/>
        <v>7.8057543198570958</v>
      </c>
      <c r="AC93" s="21">
        <f t="shared" ca="1" si="17"/>
        <v>55.728246390409552</v>
      </c>
      <c r="AD93" s="74">
        <f ca="1">IF(V93="","",DATE(INDEX(OFFSET(Arb!$C$2,,,Arb!$AJ$5,),V93),INDEX(OFFSET(Arb!$B$2,,,Arb!$AJ$5,),V93),INDEX(OFFSET(Arb!$A$2,,,Arb!$AJ$5,),V93))+ROW()*0.001)</f>
        <v>44059.093000000001</v>
      </c>
    </row>
    <row r="94" spans="1:30" x14ac:dyDescent="0.25">
      <c r="A94" s="11">
        <v>93</v>
      </c>
      <c r="B94" s="11">
        <v>1399</v>
      </c>
      <c r="C94" s="433">
        <f ca="1">IF(B94="",16,INDEX(OFFSET(Arb!$I$2,,,Arb!$AJ$5,),B94))</f>
        <v>19</v>
      </c>
      <c r="D94" s="34">
        <f ca="1">IF(B94="",10,INDEX(OFFSET(Arb!$H$2,,,Arb!$AJ$5,),B94))</f>
        <v>4.9800000000000004</v>
      </c>
      <c r="E94" s="33">
        <f t="shared" ca="1" si="9"/>
        <v>3.8152610441767063</v>
      </c>
      <c r="F94" s="33">
        <f ca="1">IF(B94="","",INDEX(OFFSET(Arb!$X$2,,,Arb!$AJ$5,),B94)/D94)</f>
        <v>4.8192771084337345</v>
      </c>
      <c r="G94" s="33">
        <f ca="1">IF(B94="","",(INDEX(OFFSET(Arb!$U$2,,,Arb!$AJ$5,),B94)+INDEX(OFFSET(Arb!$V$2,,,Arb!$AJ$5,),B94))/D94)</f>
        <v>5.4216867469879517</v>
      </c>
      <c r="H94" s="33">
        <f t="shared" ca="1" si="10"/>
        <v>0.80637356443238417</v>
      </c>
      <c r="I94" s="21">
        <f t="shared" ca="1" si="11"/>
        <v>58.656436776042284</v>
      </c>
      <c r="J94" s="74">
        <f ca="1">IF(B94="","",DATE(INDEX(OFFSET(Arb!$C$2,,,Arb!$AJ$5,),B94),INDEX(OFFSET(Arb!$B$2,,,Arb!$AJ$5,),B94),INDEX(OFFSET(Arb!$A$2,,,Arb!$AJ$5,),B94))+ROW()*0.001)</f>
        <v>43940.093999999997</v>
      </c>
      <c r="K94" s="11">
        <v>93</v>
      </c>
      <c r="L94" s="11">
        <v>2312</v>
      </c>
      <c r="M94" s="433">
        <f ca="1">IF(L94="",64,INDEX(OFFSET(Arb!$I$2,,,Arb!$AJ$5,),L94))</f>
        <v>58</v>
      </c>
      <c r="N94" s="34">
        <f ca="1">IF(L94="",60,INDEX(OFFSET(Arb!$H$2,,,Arb!$AJ$5,),L94))</f>
        <v>22.5</v>
      </c>
      <c r="O94" s="33">
        <f t="shared" ca="1" si="12"/>
        <v>2.5777777777777779</v>
      </c>
      <c r="P94" s="33">
        <f ca="1">IF(L94="","",INDEX(OFFSET(Arb!$X$2,,,Arb!$AJ$5,),L94)/N94)</f>
        <v>2.9777777777777779</v>
      </c>
      <c r="Q94" s="33">
        <f ca="1">IF(L94="","",(INDEX(OFFSET(Arb!$U$2,,,Arb!$AJ$5,),L94)+INDEX(OFFSET(Arb!$V$2,,,Arb!$AJ$5,),L94))/N94)</f>
        <v>3.3777777777777778</v>
      </c>
      <c r="R94" s="33">
        <f t="shared" ca="1" si="13"/>
        <v>3.4299065472645696</v>
      </c>
      <c r="S94" s="21">
        <f t="shared" ca="1" si="14"/>
        <v>44.820463147196605</v>
      </c>
      <c r="T94" s="74">
        <f ca="1">IF(L94="","",DATE(INDEX(OFFSET(Arb!$C$2,,,Arb!$AJ$5,),L94),INDEX(OFFSET(Arb!$B$2,,,Arb!$AJ$5,),L94),INDEX(OFFSET(Arb!$A$2,,,Arb!$AJ$5,),L94))+ROW()*0.001)</f>
        <v>43952.093999999997</v>
      </c>
      <c r="U94" s="11">
        <v>93</v>
      </c>
      <c r="V94" s="11">
        <v>3449</v>
      </c>
      <c r="W94" s="433">
        <f ca="1">IF(V94="",164,INDEX(OFFSET(Arb!$I$2,,,Arb!$AJ$5,),V94))</f>
        <v>125</v>
      </c>
      <c r="X94" s="34">
        <f ca="1">IF(V94="",240,INDEX(OFFSET(Arb!$H$2,,,Arb!$AJ$5,),V94))</f>
        <v>57.36</v>
      </c>
      <c r="Y94" s="33">
        <f t="shared" ca="1" si="15"/>
        <v>2.179218967921897</v>
      </c>
      <c r="Z94" s="33">
        <f ca="1">IF(V94="","",INDEX(OFFSET(Arb!$X$2,,,Arb!$AJ$5,),V94)/X94)</f>
        <v>2.4232914923291493</v>
      </c>
      <c r="AA94" s="33">
        <f ca="1">IF(V94="","",(INDEX(OFFSET(Arb!$U$2,,,Arb!$AJ$5,),V94)+INDEX(OFFSET(Arb!$V$2,,,Arb!$AJ$5,),V94))/X94)</f>
        <v>2.6847977684797768</v>
      </c>
      <c r="AB94" s="33">
        <f t="shared" ca="1" si="16"/>
        <v>7.8113397840535139</v>
      </c>
      <c r="AC94" s="21">
        <f t="shared" ca="1" si="17"/>
        <v>55.688398152649079</v>
      </c>
      <c r="AD94" s="74">
        <f ca="1">IF(V94="","",DATE(INDEX(OFFSET(Arb!$C$2,,,Arb!$AJ$5,),V94),INDEX(OFFSET(Arb!$B$2,,,Arb!$AJ$5,),V94),INDEX(OFFSET(Arb!$A$2,,,Arb!$AJ$5,),V94))+ROW()*0.001)</f>
        <v>44177.093999999997</v>
      </c>
    </row>
    <row r="95" spans="1:30" x14ac:dyDescent="0.25">
      <c r="A95" s="11">
        <v>94</v>
      </c>
      <c r="B95" s="11">
        <v>1835</v>
      </c>
      <c r="C95" s="433">
        <f ca="1">IF(B95="",16,INDEX(OFFSET(Arb!$I$2,,,Arb!$AJ$5,),B95))</f>
        <v>16</v>
      </c>
      <c r="D95" s="34">
        <f ca="1">IF(B95="",10,INDEX(OFFSET(Arb!$H$2,,,Arb!$AJ$5,),B95))</f>
        <v>4.51</v>
      </c>
      <c r="E95" s="33">
        <f t="shared" ca="1" si="9"/>
        <v>3.5476718403547673</v>
      </c>
      <c r="F95" s="33">
        <f ca="1">IF(B95="","",INDEX(OFFSET(Arb!$X$2,,,Arb!$AJ$5,),B95)/D95)</f>
        <v>3.9911308203991132</v>
      </c>
      <c r="G95" s="33">
        <f ca="1">IF(B95="","",(INDEX(OFFSET(Arb!$U$2,,,Arb!$AJ$5,),B95)+INDEX(OFFSET(Arb!$V$2,,,Arb!$AJ$5,),B95))/D95)</f>
        <v>4.6563192904656319</v>
      </c>
      <c r="H95" s="33">
        <f t="shared" ca="1" si="10"/>
        <v>0.80905889787673368</v>
      </c>
      <c r="I95" s="21">
        <f t="shared" ca="1" si="11"/>
        <v>58.46175120764368</v>
      </c>
      <c r="J95" s="74">
        <f ca="1">IF(B95="","",DATE(INDEX(OFFSET(Arb!$C$2,,,Arb!$AJ$5,),B95),INDEX(OFFSET(Arb!$B$2,,,Arb!$AJ$5,),B95),INDEX(OFFSET(Arb!$A$2,,,Arb!$AJ$5,),B95))+ROW()*0.001)</f>
        <v>44168.095000000001</v>
      </c>
      <c r="K95" s="11">
        <v>94</v>
      </c>
      <c r="L95" s="11">
        <v>2045</v>
      </c>
      <c r="M95" s="433">
        <f ca="1">IF(L95="",64,INDEX(OFFSET(Arb!$I$2,,,Arb!$AJ$5,),L95))</f>
        <v>55</v>
      </c>
      <c r="N95" s="34">
        <f ca="1">IF(L95="",60,INDEX(OFFSET(Arb!$H$2,,,Arb!$AJ$5,),L95))</f>
        <v>21.81</v>
      </c>
      <c r="O95" s="33">
        <f t="shared" ca="1" si="12"/>
        <v>2.5217790004585052</v>
      </c>
      <c r="P95" s="33">
        <f ca="1">IF(L95="","",INDEX(OFFSET(Arb!$X$2,,,Arb!$AJ$5,),L95)/N95)</f>
        <v>3.1636863823933976</v>
      </c>
      <c r="Q95" s="33">
        <f ca="1">IF(L95="","",(INDEX(OFFSET(Arb!$U$2,,,Arb!$AJ$5,),L95)+INDEX(OFFSET(Arb!$V$2,,,Arb!$AJ$5,),L95))/N95)</f>
        <v>3.4846400733608438</v>
      </c>
      <c r="R95" s="33">
        <f t="shared" ca="1" si="13"/>
        <v>3.4304567004396036</v>
      </c>
      <c r="S95" s="21">
        <f t="shared" ca="1" si="14"/>
        <v>44.813275147970799</v>
      </c>
      <c r="T95" s="74">
        <f ca="1">IF(L95="","",DATE(INDEX(OFFSET(Arb!$C$2,,,Arb!$AJ$5,),L95),INDEX(OFFSET(Arb!$B$2,,,Arb!$AJ$5,),L95),INDEX(OFFSET(Arb!$A$2,,,Arb!$AJ$5,),L95))+ROW()*0.001)</f>
        <v>43798.095000000001</v>
      </c>
      <c r="U95" s="11">
        <v>94</v>
      </c>
      <c r="V95" s="11">
        <v>2962</v>
      </c>
      <c r="W95" s="433">
        <f ca="1">IF(V95="",164,INDEX(OFFSET(Arb!$I$2,,,Arb!$AJ$5,),V95))</f>
        <v>157</v>
      </c>
      <c r="X95" s="34">
        <f ca="1">IF(V95="",240,INDEX(OFFSET(Arb!$H$2,,,Arb!$AJ$5,),V95))</f>
        <v>65.680000000000007</v>
      </c>
      <c r="Y95" s="33">
        <f t="shared" ca="1" si="15"/>
        <v>2.3903775883069427</v>
      </c>
      <c r="Z95" s="33">
        <f ca="1">IF(V95="","",INDEX(OFFSET(Arb!$X$2,,,Arb!$AJ$5,),V95)/X95)</f>
        <v>2.8471376370280144</v>
      </c>
      <c r="AA95" s="33">
        <f ca="1">IF(V95="","",(INDEX(OFFSET(Arb!$U$2,,,Arb!$AJ$5,),V95)+INDEX(OFFSET(Arb!$V$2,,,Arb!$AJ$5,),V95))/X95)</f>
        <v>3.2125456760048716</v>
      </c>
      <c r="AB95" s="33">
        <f t="shared" ca="1" si="16"/>
        <v>7.829548029380641</v>
      </c>
      <c r="AC95" s="21">
        <f t="shared" ca="1" si="17"/>
        <v>55.558890291961191</v>
      </c>
      <c r="AD95" s="74">
        <f ca="1">IF(V95="","",DATE(INDEX(OFFSET(Arb!$C$2,,,Arb!$AJ$5,),V95),INDEX(OFFSET(Arb!$B$2,,,Arb!$AJ$5,),V95),INDEX(OFFSET(Arb!$A$2,,,Arb!$AJ$5,),V95))+ROW()*0.001)</f>
        <v>43951.095000000001</v>
      </c>
    </row>
    <row r="96" spans="1:30" x14ac:dyDescent="0.25">
      <c r="A96" s="11">
        <v>95</v>
      </c>
      <c r="B96" s="11">
        <v>543</v>
      </c>
      <c r="C96" s="433">
        <f ca="1">IF(B96="",16,INDEX(OFFSET(Arb!$I$2,,,Arb!$AJ$5,),B96))</f>
        <v>16</v>
      </c>
      <c r="D96" s="34">
        <f ca="1">IF(B96="",10,INDEX(OFFSET(Arb!$H$2,,,Arb!$AJ$5,),B96))</f>
        <v>4.51</v>
      </c>
      <c r="E96" s="33">
        <f t="shared" ca="1" si="9"/>
        <v>3.5476718403547673</v>
      </c>
      <c r="F96" s="33">
        <f ca="1">IF(B96="","",INDEX(OFFSET(Arb!$X$2,,,Arb!$AJ$5,),B96)/D96)</f>
        <v>3.9911308203991132</v>
      </c>
      <c r="G96" s="33">
        <f ca="1">IF(B96="","",(INDEX(OFFSET(Arb!$U$2,,,Arb!$AJ$5,),B96)+INDEX(OFFSET(Arb!$V$2,,,Arb!$AJ$5,),B96))/D96)</f>
        <v>4.8780487804878048</v>
      </c>
      <c r="H96" s="33">
        <f t="shared" ca="1" si="10"/>
        <v>0.80905889787673368</v>
      </c>
      <c r="I96" s="21">
        <f t="shared" ca="1" si="11"/>
        <v>58.46175120764368</v>
      </c>
      <c r="J96" s="74">
        <f ca="1">IF(B96="","",DATE(INDEX(OFFSET(Arb!$C$2,,,Arb!$AJ$5,),B96),INDEX(OFFSET(Arb!$B$2,,,Arb!$AJ$5,),B96),INDEX(OFFSET(Arb!$A$2,,,Arb!$AJ$5,),B96))+ROW()*0.001)</f>
        <v>43797.095999999998</v>
      </c>
      <c r="K96" s="11">
        <v>95</v>
      </c>
      <c r="L96" s="11">
        <v>2184</v>
      </c>
      <c r="M96" s="433">
        <f ca="1">IF(L96="",64,INDEX(OFFSET(Arb!$I$2,,,Arb!$AJ$5,),L96))</f>
        <v>59</v>
      </c>
      <c r="N96" s="34">
        <f ca="1">IF(L96="",60,INDEX(OFFSET(Arb!$H$2,,,Arb!$AJ$5,),L96))</f>
        <v>22.74</v>
      </c>
      <c r="O96" s="33">
        <f t="shared" ca="1" si="12"/>
        <v>2.5945470536499564</v>
      </c>
      <c r="P96" s="33">
        <f ca="1">IF(L96="","",INDEX(OFFSET(Arb!$X$2,,,Arb!$AJ$5,),L96)/N96)</f>
        <v>2.8583992963940195</v>
      </c>
      <c r="Q96" s="33">
        <f ca="1">IF(L96="","",(INDEX(OFFSET(Arb!$U$2,,,Arb!$AJ$5,),L96)+INDEX(OFFSET(Arb!$V$2,,,Arb!$AJ$5,),L96))/N96)</f>
        <v>3.0343007915567286</v>
      </c>
      <c r="R96" s="33">
        <f t="shared" ca="1" si="13"/>
        <v>3.4331420322134254</v>
      </c>
      <c r="S96" s="21">
        <f t="shared" ca="1" si="14"/>
        <v>44.778223142980991</v>
      </c>
      <c r="T96" s="74">
        <f ca="1">IF(L96="","",DATE(INDEX(OFFSET(Arb!$C$2,,,Arb!$AJ$5,),L96),INDEX(OFFSET(Arb!$B$2,,,Arb!$AJ$5,),L96),INDEX(OFFSET(Arb!$A$2,,,Arb!$AJ$5,),L96))+ROW()*0.001)</f>
        <v>43840.095999999998</v>
      </c>
      <c r="U96" s="11">
        <v>95</v>
      </c>
      <c r="V96" s="11">
        <v>3413</v>
      </c>
      <c r="W96" s="433">
        <f ca="1">IF(V96="",164,INDEX(OFFSET(Arb!$I$2,,,Arb!$AJ$5,),V96))</f>
        <v>184</v>
      </c>
      <c r="X96" s="34">
        <f ca="1">IF(V96="",240,INDEX(OFFSET(Arb!$H$2,,,Arb!$AJ$5,),V96))</f>
        <v>72.11</v>
      </c>
      <c r="Y96" s="33">
        <f t="shared" ca="1" si="15"/>
        <v>2.5516571904035503</v>
      </c>
      <c r="Z96" s="33">
        <f ca="1">IF(V96="","",INDEX(OFFSET(Arb!$X$2,,,Arb!$AJ$5,),V96)/X96)</f>
        <v>2.7458050201081683</v>
      </c>
      <c r="AA96" s="33">
        <f ca="1">IF(V96="","",(INDEX(OFFSET(Arb!$U$2,,,Arb!$AJ$5,),V96)+INDEX(OFFSET(Arb!$V$2,,,Arb!$AJ$5,),V96))/X96)</f>
        <v>2.9954236582998197</v>
      </c>
      <c r="AB96" s="33">
        <f t="shared" ca="1" si="16"/>
        <v>7.8302300093701556</v>
      </c>
      <c r="AC96" s="21">
        <f t="shared" ca="1" si="17"/>
        <v>55.554051347080467</v>
      </c>
      <c r="AD96" s="74">
        <f ca="1">IF(V96="","",DATE(INDEX(OFFSET(Arb!$C$2,,,Arb!$AJ$5,),V96),INDEX(OFFSET(Arb!$B$2,,,Arb!$AJ$5,),V96),INDEX(OFFSET(Arb!$A$2,,,Arb!$AJ$5,),V96))+ROW()*0.001)</f>
        <v>44147.095999999998</v>
      </c>
    </row>
    <row r="97" spans="1:30" x14ac:dyDescent="0.25">
      <c r="A97" s="11">
        <v>96</v>
      </c>
      <c r="B97" s="11">
        <v>1662</v>
      </c>
      <c r="C97" s="433">
        <f ca="1">IF(B97="",16,INDEX(OFFSET(Arb!$I$2,,,Arb!$AJ$5,),B97))</f>
        <v>14</v>
      </c>
      <c r="D97" s="34">
        <f ca="1">IF(B97="",10,INDEX(OFFSET(Arb!$H$2,,,Arb!$AJ$5,),B97))</f>
        <v>4.17</v>
      </c>
      <c r="E97" s="33">
        <f t="shared" ca="1" si="9"/>
        <v>3.3573141486810552</v>
      </c>
      <c r="F97" s="33">
        <f ca="1">IF(B97="","",INDEX(OFFSET(Arb!$X$2,,,Arb!$AJ$5,),B97)/D97)</f>
        <v>3.5971223021582732</v>
      </c>
      <c r="G97" s="33">
        <f ca="1">IF(B97="","",(INDEX(OFFSET(Arb!$U$2,,,Arb!$AJ$5,),B97)+INDEX(OFFSET(Arb!$V$2,,,Arb!$AJ$5,),B97))/D97)</f>
        <v>3.8369304556354917</v>
      </c>
      <c r="H97" s="33">
        <f t="shared" ca="1" si="10"/>
        <v>0.80928829254323897</v>
      </c>
      <c r="I97" s="21">
        <f t="shared" ca="1" si="11"/>
        <v>58.445180087011934</v>
      </c>
      <c r="J97" s="74">
        <f ca="1">IF(B97="","",DATE(INDEX(OFFSET(Arb!$C$2,,,Arb!$AJ$5,),B97),INDEX(OFFSET(Arb!$B$2,,,Arb!$AJ$5,),B97),INDEX(OFFSET(Arb!$A$2,,,Arb!$AJ$5,),B97))+ROW()*0.001)</f>
        <v>44096.097000000002</v>
      </c>
      <c r="K97" s="11">
        <v>96</v>
      </c>
      <c r="L97" s="11">
        <v>2090</v>
      </c>
      <c r="M97" s="433">
        <f ca="1">IF(L97="",64,INDEX(OFFSET(Arb!$I$2,,,Arb!$AJ$5,),L97))</f>
        <v>74</v>
      </c>
      <c r="N97" s="34">
        <f ca="1">IF(L97="",60,INDEX(OFFSET(Arb!$H$2,,,Arb!$AJ$5,),L97))</f>
        <v>26</v>
      </c>
      <c r="O97" s="33">
        <f t="shared" ca="1" si="12"/>
        <v>2.8461538461538463</v>
      </c>
      <c r="P97" s="33">
        <f ca="1">IF(L97="","",INDEX(OFFSET(Arb!$X$2,,,Arb!$AJ$5,),L97)/N97)</f>
        <v>3.3461538461538463</v>
      </c>
      <c r="Q97" s="33">
        <f ca="1">IF(L97="","",(INDEX(OFFSET(Arb!$U$2,,,Arb!$AJ$5,),L97)+INDEX(OFFSET(Arb!$V$2,,,Arb!$AJ$5,),L97))/N97)</f>
        <v>3.8076923076923075</v>
      </c>
      <c r="R97" s="33">
        <f t="shared" ca="1" si="13"/>
        <v>3.4373437981853852</v>
      </c>
      <c r="S97" s="21">
        <f t="shared" ca="1" si="14"/>
        <v>44.723486804303917</v>
      </c>
      <c r="T97" s="74">
        <f ca="1">IF(L97="","",DATE(INDEX(OFFSET(Arb!$C$2,,,Arb!$AJ$5,),L97),INDEX(OFFSET(Arb!$B$2,,,Arb!$AJ$5,),L97),INDEX(OFFSET(Arb!$A$2,,,Arb!$AJ$5,),L97))+ROW()*0.001)</f>
        <v>43809.097000000002</v>
      </c>
      <c r="U97" s="11">
        <v>96</v>
      </c>
      <c r="V97" s="11">
        <v>2957</v>
      </c>
      <c r="W97" s="433">
        <f ca="1">IF(V97="",164,INDEX(OFFSET(Arb!$I$2,,,Arb!$AJ$5,),V97))</f>
        <v>168</v>
      </c>
      <c r="X97" s="34">
        <f ca="1">IF(V97="",240,INDEX(OFFSET(Arb!$H$2,,,Arb!$AJ$5,),V97))</f>
        <v>68.44</v>
      </c>
      <c r="Y97" s="33">
        <f t="shared" ca="1" si="15"/>
        <v>2.4547048509643483</v>
      </c>
      <c r="Z97" s="33">
        <f ca="1">IF(V97="","",INDEX(OFFSET(Arb!$X$2,,,Arb!$AJ$5,),V97)/X97)</f>
        <v>2.9368790181180597</v>
      </c>
      <c r="AA97" s="33">
        <f ca="1">IF(V97="","",(INDEX(OFFSET(Arb!$U$2,,,Arb!$AJ$5,),V97)+INDEX(OFFSET(Arb!$V$2,,,Arb!$AJ$5,),V97))/X97)</f>
        <v>3.1560490940970194</v>
      </c>
      <c r="AB97" s="33">
        <f t="shared" ca="1" si="16"/>
        <v>7.8472541746627673</v>
      </c>
      <c r="AC97" s="21">
        <f t="shared" ca="1" si="17"/>
        <v>55.433530037109314</v>
      </c>
      <c r="AD97" s="74">
        <f ca="1">IF(V97="","",DATE(INDEX(OFFSET(Arb!$C$2,,,Arb!$AJ$5,),V97),INDEX(OFFSET(Arb!$B$2,,,Arb!$AJ$5,),V97),INDEX(OFFSET(Arb!$A$2,,,Arb!$AJ$5,),V97))+ROW()*0.001)</f>
        <v>43950.097000000002</v>
      </c>
    </row>
    <row r="98" spans="1:30" x14ac:dyDescent="0.25">
      <c r="A98" s="11">
        <v>97</v>
      </c>
      <c r="B98" s="11">
        <v>1273</v>
      </c>
      <c r="C98" s="433">
        <f ca="1">IF(B98="",16,INDEX(OFFSET(Arb!$I$2,,,Arb!$AJ$5,),B98))</f>
        <v>12</v>
      </c>
      <c r="D98" s="34">
        <f ca="1">IF(B98="",10,INDEX(OFFSET(Arb!$H$2,,,Arb!$AJ$5,),B98))</f>
        <v>3.81</v>
      </c>
      <c r="E98" s="33">
        <f t="shared" ca="1" si="9"/>
        <v>3.1496062992125982</v>
      </c>
      <c r="F98" s="33">
        <f ca="1">IF(B98="","",INDEX(OFFSET(Arb!$X$2,,,Arb!$AJ$5,),B98)/D98)</f>
        <v>4.4619422572178475</v>
      </c>
      <c r="G98" s="33">
        <f ca="1">IF(B98="","",(INDEX(OFFSET(Arb!$U$2,,,Arb!$AJ$5,),B98)+INDEX(OFFSET(Arb!$V$2,,,Arb!$AJ$5,),B98))/D98)</f>
        <v>6.0367454068241466</v>
      </c>
      <c r="H98" s="33">
        <f t="shared" ca="1" si="10"/>
        <v>0.80982506137504762</v>
      </c>
      <c r="I98" s="21">
        <f t="shared" ca="1" si="11"/>
        <v>58.406441410553981</v>
      </c>
      <c r="J98" s="74">
        <f ca="1">IF(B98="","",DATE(INDEX(OFFSET(Arb!$C$2,,,Arb!$AJ$5,),B98),INDEX(OFFSET(Arb!$B$2,,,Arb!$AJ$5,),B98),INDEX(OFFSET(Arb!$A$2,,,Arb!$AJ$5,),B98))+ROW()*0.001)</f>
        <v>43906.097999999998</v>
      </c>
      <c r="K98" s="11">
        <v>97</v>
      </c>
      <c r="L98" s="11">
        <v>2107</v>
      </c>
      <c r="M98" s="433">
        <f ca="1">IF(L98="",64,INDEX(OFFSET(Arb!$I$2,,,Arb!$AJ$5,),L98))</f>
        <v>78</v>
      </c>
      <c r="N98" s="34">
        <f ca="1">IF(L98="",60,INDEX(OFFSET(Arb!$H$2,,,Arb!$AJ$5,),L98))</f>
        <v>26.83</v>
      </c>
      <c r="O98" s="33">
        <f t="shared" ca="1" si="12"/>
        <v>2.9071934401789044</v>
      </c>
      <c r="P98" s="33">
        <f ca="1">IF(L98="","",INDEX(OFFSET(Arb!$X$2,,,Arb!$AJ$5,),L98)/N98)</f>
        <v>3.6153559448378685</v>
      </c>
      <c r="Q98" s="33">
        <f ca="1">IF(L98="","",(INDEX(OFFSET(Arb!$U$2,,,Arb!$AJ$5,),L98)+INDEX(OFFSET(Arb!$V$2,,,Arb!$AJ$5,),L98))/N98)</f>
        <v>3.9880730525531125</v>
      </c>
      <c r="R98" s="33">
        <f t="shared" ca="1" si="13"/>
        <v>3.440016620293187</v>
      </c>
      <c r="S98" s="21">
        <f t="shared" ca="1" si="14"/>
        <v>44.688737575604456</v>
      </c>
      <c r="T98" s="74">
        <f ca="1">IF(L98="","",DATE(INDEX(OFFSET(Arb!$C$2,,,Arb!$AJ$5,),L98),INDEX(OFFSET(Arb!$B$2,,,Arb!$AJ$5,),L98),INDEX(OFFSET(Arb!$A$2,,,Arb!$AJ$5,),L98))+ROW()*0.001)</f>
        <v>43811.097999999998</v>
      </c>
      <c r="U98" s="11">
        <v>97</v>
      </c>
      <c r="V98" s="11">
        <v>3096</v>
      </c>
      <c r="W98" s="433">
        <f ca="1">IF(V98="",164,INDEX(OFFSET(Arb!$I$2,,,Arb!$AJ$5,),V98))</f>
        <v>186</v>
      </c>
      <c r="X98" s="34">
        <f ca="1">IF(V98="",240,INDEX(OFFSET(Arb!$H$2,,,Arb!$AJ$5,),V98))</f>
        <v>72.849999999999994</v>
      </c>
      <c r="Y98" s="33">
        <f t="shared" ca="1" si="15"/>
        <v>2.5531914893617023</v>
      </c>
      <c r="Z98" s="33">
        <f ca="1">IF(V98="","",INDEX(OFFSET(Arb!$X$2,,,Arb!$AJ$5,),V98)/X98)</f>
        <v>2.9924502402196298</v>
      </c>
      <c r="AA98" s="33">
        <f ca="1">IF(V98="","",(INDEX(OFFSET(Arb!$U$2,,,Arb!$AJ$5,),V98)+INDEX(OFFSET(Arb!$V$2,,,Arb!$AJ$5,),V98))/X98)</f>
        <v>3.1846259437199729</v>
      </c>
      <c r="AB98" s="33">
        <f t="shared" ca="1" si="16"/>
        <v>7.8816528292238868</v>
      </c>
      <c r="AC98" s="21">
        <f t="shared" ca="1" si="17"/>
        <v>55.191596156974462</v>
      </c>
      <c r="AD98" s="74">
        <f ca="1">IF(V98="","",DATE(INDEX(OFFSET(Arb!$C$2,,,Arb!$AJ$5,),V98),INDEX(OFFSET(Arb!$B$2,,,Arb!$AJ$5,),V98),INDEX(OFFSET(Arb!$A$2,,,Arb!$AJ$5,),V98))+ROW()*0.001)</f>
        <v>44004.097999999998</v>
      </c>
    </row>
    <row r="99" spans="1:30" x14ac:dyDescent="0.25">
      <c r="A99" s="11">
        <v>98</v>
      </c>
      <c r="B99" s="11">
        <v>1227</v>
      </c>
      <c r="C99" s="433">
        <f ca="1">IF(B99="",16,INDEX(OFFSET(Arb!$I$2,,,Arb!$AJ$5,),B99))</f>
        <v>21</v>
      </c>
      <c r="D99" s="34">
        <f ca="1">IF(B99="",10,INDEX(OFFSET(Arb!$H$2,,,Arb!$AJ$5,),B99))</f>
        <v>5.3</v>
      </c>
      <c r="E99" s="33">
        <f t="shared" ca="1" si="9"/>
        <v>3.9622641509433962</v>
      </c>
      <c r="F99" s="33">
        <f ca="1">IF(B99="","",INDEX(OFFSET(Arb!$X$2,,,Arb!$AJ$5,),B99)/D99)</f>
        <v>4.3396226415094343</v>
      </c>
      <c r="G99" s="33">
        <f ca="1">IF(B99="","",(INDEX(OFFSET(Arb!$U$2,,,Arb!$AJ$5,),B99)+INDEX(OFFSET(Arb!$V$2,,,Arb!$AJ$5,),B99))/D99)</f>
        <v>4.9056603773584904</v>
      </c>
      <c r="H99" s="33">
        <f t="shared" ca="1" si="10"/>
        <v>0.81105383766354522</v>
      </c>
      <c r="I99" s="21">
        <f t="shared" ca="1" si="11"/>
        <v>58.317953511270304</v>
      </c>
      <c r="J99" s="74">
        <f ca="1">IF(B99="","",DATE(INDEX(OFFSET(Arb!$C$2,,,Arb!$AJ$5,),B99),INDEX(OFFSET(Arb!$B$2,,,Arb!$AJ$5,),B99),INDEX(OFFSET(Arb!$A$2,,,Arb!$AJ$5,),B99))+ROW()*0.001)</f>
        <v>43898.099000000002</v>
      </c>
      <c r="K99" s="11">
        <v>98</v>
      </c>
      <c r="L99" s="11">
        <v>1949</v>
      </c>
      <c r="M99" s="433">
        <f ca="1">IF(L99="",64,INDEX(OFFSET(Arb!$I$2,,,Arb!$AJ$5,),L99))</f>
        <v>71</v>
      </c>
      <c r="N99" s="34">
        <f ca="1">IF(L99="",60,INDEX(OFFSET(Arb!$H$2,,,Arb!$AJ$5,),L99))</f>
        <v>25.4</v>
      </c>
      <c r="O99" s="33">
        <f t="shared" ca="1" si="12"/>
        <v>2.7952755905511815</v>
      </c>
      <c r="P99" s="33">
        <f ca="1">IF(L99="","",INDEX(OFFSET(Arb!$X$2,,,Arb!$AJ$5,),L99)/N99)</f>
        <v>3.2283464566929134</v>
      </c>
      <c r="Q99" s="33">
        <f ca="1">IF(L99="","",(INDEX(OFFSET(Arb!$U$2,,,Arb!$AJ$5,),L99)+INDEX(OFFSET(Arb!$V$2,,,Arb!$AJ$5,),L99))/N99)</f>
        <v>3.8976377952755907</v>
      </c>
      <c r="R99" s="33">
        <f t="shared" ca="1" si="13"/>
        <v>3.4431739944867776</v>
      </c>
      <c r="S99" s="21">
        <f t="shared" ca="1" si="14"/>
        <v>44.64775821557464</v>
      </c>
      <c r="T99" s="74">
        <f ca="1">IF(L99="","",DATE(INDEX(OFFSET(Arb!$C$2,,,Arb!$AJ$5,),L99),INDEX(OFFSET(Arb!$B$2,,,Arb!$AJ$5,),L99),INDEX(OFFSET(Arb!$A$2,,,Arb!$AJ$5,),L99))+ROW()*0.001)</f>
        <v>43776.099000000002</v>
      </c>
      <c r="U99" s="11">
        <v>98</v>
      </c>
      <c r="V99" s="11">
        <v>3203</v>
      </c>
      <c r="W99" s="433">
        <f ca="1">IF(V99="",164,INDEX(OFFSET(Arb!$I$2,,,Arb!$AJ$5,),V99))</f>
        <v>143</v>
      </c>
      <c r="X99" s="34">
        <f ca="1">IF(V99="",240,INDEX(OFFSET(Arb!$H$2,,,Arb!$AJ$5,),V99))</f>
        <v>62.44</v>
      </c>
      <c r="Y99" s="33">
        <f t="shared" ca="1" si="15"/>
        <v>2.2901985906470212</v>
      </c>
      <c r="Z99" s="33">
        <f ca="1">IF(V99="","",INDEX(OFFSET(Arb!$X$2,,,Arb!$AJ$5,),V99)/X99)</f>
        <v>2.8507367072389496</v>
      </c>
      <c r="AA99" s="33">
        <f ca="1">IF(V99="","",(INDEX(OFFSET(Arb!$U$2,,,Arb!$AJ$5,),V99)+INDEX(OFFSET(Arb!$V$2,,,Arb!$AJ$5,),V99))/X99)</f>
        <v>3.2351057014734148</v>
      </c>
      <c r="AB99" s="33">
        <f t="shared" ca="1" si="16"/>
        <v>7.8877090568016728</v>
      </c>
      <c r="AC99" s="21">
        <f t="shared" ca="1" si="17"/>
        <v>55.149219737623696</v>
      </c>
      <c r="AD99" s="74">
        <f ca="1">IF(V99="","",DATE(INDEX(OFFSET(Arb!$C$2,,,Arb!$AJ$5,),V99),INDEX(OFFSET(Arb!$B$2,,,Arb!$AJ$5,),V99),INDEX(OFFSET(Arb!$A$2,,,Arb!$AJ$5,),V99))+ROW()*0.001)</f>
        <v>44058.099000000002</v>
      </c>
    </row>
    <row r="100" spans="1:30" x14ac:dyDescent="0.25">
      <c r="A100" s="11">
        <v>99</v>
      </c>
      <c r="B100" s="11">
        <v>1547</v>
      </c>
      <c r="C100" s="433">
        <f ca="1">IF(B100="",16,INDEX(OFFSET(Arb!$I$2,,,Arb!$AJ$5,),B100))</f>
        <v>15</v>
      </c>
      <c r="D100" s="34">
        <f ca="1">IF(B100="",10,INDEX(OFFSET(Arb!$H$2,,,Arb!$AJ$5,),B100))</f>
        <v>4.3499999999999996</v>
      </c>
      <c r="E100" s="33">
        <f t="shared" ca="1" si="9"/>
        <v>3.4482758620689657</v>
      </c>
      <c r="F100" s="33">
        <f ca="1">IF(B100="","",INDEX(OFFSET(Arb!$X$2,,,Arb!$AJ$5,),B100)/D100)</f>
        <v>3.4482758620689657</v>
      </c>
      <c r="G100" s="33">
        <f ca="1">IF(B100="","",(INDEX(OFFSET(Arb!$U$2,,,Arb!$AJ$5,),B100)+INDEX(OFFSET(Arb!$V$2,,,Arb!$AJ$5,),B100))/D100)</f>
        <v>4.3678160919540234</v>
      </c>
      <c r="H100" s="33">
        <f t="shared" ca="1" si="10"/>
        <v>0.8115970836012113</v>
      </c>
      <c r="I100" s="21">
        <f t="shared" ca="1" si="11"/>
        <v>58.278918142639576</v>
      </c>
      <c r="J100" s="74">
        <f ca="1">IF(B100="","",DATE(INDEX(OFFSET(Arb!$C$2,,,Arb!$AJ$5,),B100),INDEX(OFFSET(Arb!$B$2,,,Arb!$AJ$5,),B100),INDEX(OFFSET(Arb!$A$2,,,Arb!$AJ$5,),B100))+ROW()*0.001)</f>
        <v>43984.1</v>
      </c>
      <c r="K100" s="11">
        <v>99</v>
      </c>
      <c r="L100" s="11">
        <v>2244</v>
      </c>
      <c r="M100" s="433">
        <f ca="1">IF(L100="",64,INDEX(OFFSET(Arb!$I$2,,,Arb!$AJ$5,),L100))</f>
        <v>70</v>
      </c>
      <c r="N100" s="34">
        <f ca="1">IF(L100="",60,INDEX(OFFSET(Arb!$H$2,,,Arb!$AJ$5,),L100))</f>
        <v>25.19</v>
      </c>
      <c r="O100" s="33">
        <f t="shared" ca="1" si="12"/>
        <v>2.7788805081381498</v>
      </c>
      <c r="P100" s="33">
        <f ca="1">IF(L100="","",INDEX(OFFSET(Arb!$X$2,,,Arb!$AJ$5,),L100)/N100)</f>
        <v>3.2552600238189755</v>
      </c>
      <c r="Q100" s="33">
        <f ca="1">IF(L100="","",(INDEX(OFFSET(Arb!$U$2,,,Arb!$AJ$5,),L100)+INDEX(OFFSET(Arb!$V$2,,,Arb!$AJ$5,),L100))/N100)</f>
        <v>3.6125446605795948</v>
      </c>
      <c r="R100" s="33">
        <f t="shared" ca="1" si="13"/>
        <v>3.4434187879650735</v>
      </c>
      <c r="S100" s="21">
        <f t="shared" ca="1" si="14"/>
        <v>44.644584195594881</v>
      </c>
      <c r="T100" s="74">
        <f ca="1">IF(L100="","",DATE(INDEX(OFFSET(Arb!$C$2,,,Arb!$AJ$5,),L100),INDEX(OFFSET(Arb!$B$2,,,Arb!$AJ$5,),L100),INDEX(OFFSET(Arb!$A$2,,,Arb!$AJ$5,),L100))+ROW()*0.001)</f>
        <v>43892.1</v>
      </c>
      <c r="U100" s="11">
        <v>99</v>
      </c>
      <c r="V100" s="11">
        <v>3266</v>
      </c>
      <c r="W100" s="433">
        <f ca="1">IF(V100="",164,INDEX(OFFSET(Arb!$I$2,,,Arb!$AJ$5,),V100))</f>
        <v>141</v>
      </c>
      <c r="X100" s="34">
        <f ca="1">IF(V100="",240,INDEX(OFFSET(Arb!$H$2,,,Arb!$AJ$5,),V100))</f>
        <v>61.93</v>
      </c>
      <c r="Y100" s="33">
        <f t="shared" ca="1" si="15"/>
        <v>2.2767640884870013</v>
      </c>
      <c r="Z100" s="33">
        <f ca="1">IF(V100="","",INDEX(OFFSET(Arb!$X$2,,,Arb!$AJ$5,),V100)/X100)</f>
        <v>2.8419182948490231</v>
      </c>
      <c r="AA100" s="33">
        <f ca="1">IF(V100="","",(INDEX(OFFSET(Arb!$U$2,,,Arb!$AJ$5,),V100)+INDEX(OFFSET(Arb!$V$2,,,Arb!$AJ$5,),V100))/X100)</f>
        <v>3.0841272404327467</v>
      </c>
      <c r="AB100" s="33">
        <f t="shared" ca="1" si="16"/>
        <v>7.8888322889307663</v>
      </c>
      <c r="AC100" s="21">
        <f t="shared" ca="1" si="17"/>
        <v>55.141367450588682</v>
      </c>
      <c r="AD100" s="74">
        <f ca="1">IF(V100="","",DATE(INDEX(OFFSET(Arb!$C$2,,,Arb!$AJ$5,),V100),INDEX(OFFSET(Arb!$B$2,,,Arb!$AJ$5,),V100),INDEX(OFFSET(Arb!$A$2,,,Arb!$AJ$5,),V100))+ROW()*0.001)</f>
        <v>44073.1</v>
      </c>
    </row>
    <row r="101" spans="1:30" x14ac:dyDescent="0.25">
      <c r="A101" s="11">
        <v>100</v>
      </c>
      <c r="B101" s="11">
        <v>483</v>
      </c>
      <c r="C101" s="433">
        <f ca="1">IF(B101="",16,INDEX(OFFSET(Arb!$I$2,,,Arb!$AJ$5,),B101))</f>
        <v>16</v>
      </c>
      <c r="D101" s="34">
        <f ca="1">IF(B101="",10,INDEX(OFFSET(Arb!$H$2,,,Arb!$AJ$5,),B101))</f>
        <v>4.5199999999999996</v>
      </c>
      <c r="E101" s="33">
        <f t="shared" ca="1" si="9"/>
        <v>3.5398230088495577</v>
      </c>
      <c r="F101" s="33">
        <f ca="1">IF(B101="","",INDEX(OFFSET(Arb!$X$2,,,Arb!$AJ$5,),B101)/D101)</f>
        <v>3.5398230088495577</v>
      </c>
      <c r="G101" s="33">
        <f ca="1">IF(B101="","",(INDEX(OFFSET(Arb!$U$2,,,Arb!$AJ$5,),B101)+INDEX(OFFSET(Arb!$V$2,,,Arb!$AJ$5,),B101))/D101)</f>
        <v>4.4247787610619476</v>
      </c>
      <c r="H101" s="33">
        <f t="shared" ca="1" si="10"/>
        <v>0.81211093174276572</v>
      </c>
      <c r="I101" s="21">
        <f t="shared" ca="1" si="11"/>
        <v>58.242043237243173</v>
      </c>
      <c r="J101" s="74">
        <f ca="1">IF(B101="","",DATE(INDEX(OFFSET(Arb!$C$2,,,Arb!$AJ$5,),B101),INDEX(OFFSET(Arb!$B$2,,,Arb!$AJ$5,),B101),INDEX(OFFSET(Arb!$A$2,,,Arb!$AJ$5,),B101))+ROW()*0.001)</f>
        <v>43786.101000000002</v>
      </c>
      <c r="K101" s="11">
        <v>100</v>
      </c>
      <c r="L101" s="11">
        <v>2043</v>
      </c>
      <c r="M101" s="433">
        <f ca="1">IF(L101="",64,INDEX(OFFSET(Arb!$I$2,,,Arb!$AJ$5,),L101))</f>
        <v>60</v>
      </c>
      <c r="N101" s="34">
        <f ca="1">IF(L101="",60,INDEX(OFFSET(Arb!$H$2,,,Arb!$AJ$5,),L101))</f>
        <v>23.01</v>
      </c>
      <c r="O101" s="33">
        <f t="shared" ca="1" si="12"/>
        <v>2.6075619295958279</v>
      </c>
      <c r="P101" s="33">
        <f ca="1">IF(L101="","",INDEX(OFFSET(Arb!$X$2,,,Arb!$AJ$5,),L101)/N101)</f>
        <v>3.3029117774880485</v>
      </c>
      <c r="Q101" s="33">
        <f ca="1">IF(L101="","",(INDEX(OFFSET(Arb!$U$2,,,Arb!$AJ$5,),L101)+INDEX(OFFSET(Arb!$V$2,,,Arb!$AJ$5,),L101))/N101)</f>
        <v>3.6505867014341589</v>
      </c>
      <c r="R101" s="33">
        <f t="shared" ca="1" si="13"/>
        <v>3.4443478205541109</v>
      </c>
      <c r="S101" s="21">
        <f t="shared" ca="1" si="14"/>
        <v>44.632542358996893</v>
      </c>
      <c r="T101" s="74">
        <f ca="1">IF(L101="","",DATE(INDEX(OFFSET(Arb!$C$2,,,Arb!$AJ$5,),L101),INDEX(OFFSET(Arb!$B$2,,,Arb!$AJ$5,),L101),INDEX(OFFSET(Arb!$A$2,,,Arb!$AJ$5,),L101))+ROW()*0.001)</f>
        <v>43797.101000000002</v>
      </c>
      <c r="U101" s="11">
        <v>100</v>
      </c>
      <c r="V101" s="11">
        <v>3072</v>
      </c>
      <c r="W101" s="433">
        <f ca="1">IF(V101="",164,INDEX(OFFSET(Arb!$I$2,,,Arb!$AJ$5,),V101))</f>
        <v>157</v>
      </c>
      <c r="X101" s="34">
        <f ca="1">IF(V101="",240,INDEX(OFFSET(Arb!$H$2,,,Arb!$AJ$5,),V101))</f>
        <v>66</v>
      </c>
      <c r="Y101" s="33">
        <f t="shared" ca="1" si="15"/>
        <v>2.3787878787878789</v>
      </c>
      <c r="Z101" s="33">
        <f ca="1">IF(V101="","",INDEX(OFFSET(Arb!$X$2,,,Arb!$AJ$5,),V101)/X101)</f>
        <v>2.893939393939394</v>
      </c>
      <c r="AA101" s="33">
        <f ca="1">IF(V101="","",(INDEX(OFFSET(Arb!$U$2,,,Arb!$AJ$5,),V101)+INDEX(OFFSET(Arb!$V$2,,,Arb!$AJ$5,),V101))/X101)</f>
        <v>3.2424242424242422</v>
      </c>
      <c r="AB101" s="33">
        <f t="shared" ca="1" si="16"/>
        <v>7.8945074335973944</v>
      </c>
      <c r="AC101" s="21">
        <f t="shared" ca="1" si="17"/>
        <v>55.10172783532073</v>
      </c>
      <c r="AD101" s="74">
        <f ca="1">IF(V101="","",DATE(INDEX(OFFSET(Arb!$C$2,,,Arb!$AJ$5,),V101),INDEX(OFFSET(Arb!$B$2,,,Arb!$AJ$5,),V101),INDEX(OFFSET(Arb!$A$2,,,Arb!$AJ$5,),V101))+ROW()*0.001)</f>
        <v>44003.101000000002</v>
      </c>
    </row>
    <row r="102" spans="1:30" x14ac:dyDescent="0.25">
      <c r="A102" s="11">
        <v>101</v>
      </c>
      <c r="B102" s="11">
        <v>1509</v>
      </c>
      <c r="C102" s="433">
        <f ca="1">IF(B102="",16,INDEX(OFFSET(Arb!$I$2,,,Arb!$AJ$5,),B102))</f>
        <v>16</v>
      </c>
      <c r="D102" s="34">
        <f ca="1">IF(B102="",10,INDEX(OFFSET(Arb!$H$2,,,Arb!$AJ$5,),B102))</f>
        <v>4.53</v>
      </c>
      <c r="E102" s="33">
        <f t="shared" ca="1" si="9"/>
        <v>3.5320088300220749</v>
      </c>
      <c r="F102" s="33">
        <f ca="1">IF(B102="","",INDEX(OFFSET(Arb!$X$2,,,Arb!$AJ$5,),B102)/D102)</f>
        <v>3.5320088300220749</v>
      </c>
      <c r="G102" s="33">
        <f ca="1">IF(B102="","",(INDEX(OFFSET(Arb!$U$2,,,Arb!$AJ$5,),B102)+INDEX(OFFSET(Arb!$V$2,,,Arb!$AJ$5,),B102))/D102)</f>
        <v>4.6357615894039732</v>
      </c>
      <c r="H102" s="33">
        <f t="shared" ca="1" si="10"/>
        <v>0.81516769587429683</v>
      </c>
      <c r="I102" s="21">
        <f t="shared" ca="1" si="11"/>
        <v>58.023643772181273</v>
      </c>
      <c r="J102" s="74">
        <f ca="1">IF(B102="","",DATE(INDEX(OFFSET(Arb!$C$2,,,Arb!$AJ$5,),B102),INDEX(OFFSET(Arb!$B$2,,,Arb!$AJ$5,),B102),INDEX(OFFSET(Arb!$A$2,,,Arb!$AJ$5,),B102))+ROW()*0.001)</f>
        <v>43984.101999999999</v>
      </c>
      <c r="K102" s="11">
        <v>101</v>
      </c>
      <c r="L102" s="11">
        <v>2195</v>
      </c>
      <c r="M102" s="433">
        <f ca="1">IF(L102="",64,INDEX(OFFSET(Arb!$I$2,,,Arb!$AJ$5,),L102))</f>
        <v>57</v>
      </c>
      <c r="N102" s="34">
        <f ca="1">IF(L102="",60,INDEX(OFFSET(Arb!$H$2,,,Arb!$AJ$5,),L102))</f>
        <v>22.33</v>
      </c>
      <c r="O102" s="33">
        <f t="shared" ca="1" si="12"/>
        <v>2.5526197939991047</v>
      </c>
      <c r="P102" s="33">
        <f ca="1">IF(L102="","",INDEX(OFFSET(Arb!$X$2,,,Arb!$AJ$5,),L102)/N102)</f>
        <v>2.8660994178235559</v>
      </c>
      <c r="Q102" s="33">
        <f ca="1">IF(L102="","",(INDEX(OFFSET(Arb!$U$2,,,Arb!$AJ$5,),L102)+INDEX(OFFSET(Arb!$V$2,,,Arb!$AJ$5,),L102))/N102)</f>
        <v>3.3139274518584867</v>
      </c>
      <c r="R102" s="33">
        <f t="shared" ca="1" si="13"/>
        <v>3.4453708385466419</v>
      </c>
      <c r="S102" s="21">
        <f t="shared" ca="1" si="14"/>
        <v>44.619289825082454</v>
      </c>
      <c r="T102" s="74">
        <f ca="1">IF(L102="","",DATE(INDEX(OFFSET(Arb!$C$2,,,Arb!$AJ$5,),L102),INDEX(OFFSET(Arb!$B$2,,,Arb!$AJ$5,),L102),INDEX(OFFSET(Arb!$A$2,,,Arb!$AJ$5,),L102))+ROW()*0.001)</f>
        <v>43852.101999999999</v>
      </c>
      <c r="U102" s="11">
        <v>101</v>
      </c>
      <c r="V102" s="11">
        <v>3312</v>
      </c>
      <c r="W102" s="433">
        <f ca="1">IF(V102="",164,INDEX(OFFSET(Arb!$I$2,,,Arb!$AJ$5,),V102))</f>
        <v>189</v>
      </c>
      <c r="X102" s="34">
        <f ca="1">IF(V102="",240,INDEX(OFFSET(Arb!$H$2,,,Arb!$AJ$5,),V102))</f>
        <v>73.62</v>
      </c>
      <c r="Y102" s="33">
        <f t="shared" ca="1" si="15"/>
        <v>2.5672371638141809</v>
      </c>
      <c r="Z102" s="33">
        <f ca="1">IF(V102="","",INDEX(OFFSET(Arb!$X$2,,,Arb!$AJ$5,),V102)/X102)</f>
        <v>2.8932355338223306</v>
      </c>
      <c r="AA102" s="33">
        <f ca="1">IF(V102="","",(INDEX(OFFSET(Arb!$U$2,,,Arb!$AJ$5,),V102)+INDEX(OFFSET(Arb!$V$2,,,Arb!$AJ$5,),V102))/X102)</f>
        <v>3.2464004346644932</v>
      </c>
      <c r="AB102" s="33">
        <f t="shared" ca="1" si="16"/>
        <v>7.8964352420866746</v>
      </c>
      <c r="AC102" s="21">
        <f t="shared" ca="1" si="17"/>
        <v>55.088275489364825</v>
      </c>
      <c r="AD102" s="74">
        <f ca="1">IF(V102="","",DATE(INDEX(OFFSET(Arb!$C$2,,,Arb!$AJ$5,),V102),INDEX(OFFSET(Arb!$B$2,,,Arb!$AJ$5,),V102),INDEX(OFFSET(Arb!$A$2,,,Arb!$AJ$5,),V102))+ROW()*0.001)</f>
        <v>44093.101999999999</v>
      </c>
    </row>
    <row r="103" spans="1:30" x14ac:dyDescent="0.25">
      <c r="A103" s="11">
        <v>102</v>
      </c>
      <c r="B103" s="11">
        <v>1745</v>
      </c>
      <c r="C103" s="433">
        <f ca="1">IF(B103="",16,INDEX(OFFSET(Arb!$I$2,,,Arb!$AJ$5,),B103))</f>
        <v>10</v>
      </c>
      <c r="D103" s="34">
        <f ca="1">IF(B103="",10,INDEX(OFFSET(Arb!$H$2,,,Arb!$AJ$5,),B103))</f>
        <v>3.44</v>
      </c>
      <c r="E103" s="33">
        <f t="shared" ca="1" si="9"/>
        <v>2.9069767441860463</v>
      </c>
      <c r="F103" s="33">
        <f ca="1">IF(B103="","",INDEX(OFFSET(Arb!$X$2,,,Arb!$AJ$5,),B103)/D103)</f>
        <v>3.1976744186046511</v>
      </c>
      <c r="G103" s="33">
        <f ca="1">IF(B103="","",(INDEX(OFFSET(Arb!$U$2,,,Arb!$AJ$5,),B103)+INDEX(OFFSET(Arb!$V$2,,,Arb!$AJ$5,),B103))/D103)</f>
        <v>4.6511627906976747</v>
      </c>
      <c r="H103" s="33">
        <f t="shared" ca="1" si="10"/>
        <v>0.81686323950638795</v>
      </c>
      <c r="I103" s="21">
        <f t="shared" ca="1" si="11"/>
        <v>57.903205472413866</v>
      </c>
      <c r="J103" s="74">
        <f ca="1">IF(B103="","",DATE(INDEX(OFFSET(Arb!$C$2,,,Arb!$AJ$5,),B103),INDEX(OFFSET(Arb!$B$2,,,Arb!$AJ$5,),B103),INDEX(OFFSET(Arb!$A$2,,,Arb!$AJ$5,),B103))+ROW()*0.001)</f>
        <v>44114.103000000003</v>
      </c>
      <c r="K103" s="11">
        <v>102</v>
      </c>
      <c r="L103" s="11">
        <v>2176</v>
      </c>
      <c r="M103" s="433">
        <f ca="1">IF(L103="",64,INDEX(OFFSET(Arb!$I$2,,,Arb!$AJ$5,),L103))</f>
        <v>35</v>
      </c>
      <c r="N103" s="34">
        <f ca="1">IF(L103="",60,INDEX(OFFSET(Arb!$H$2,,,Arb!$AJ$5,),L103))</f>
        <v>16.77</v>
      </c>
      <c r="O103" s="33">
        <f t="shared" ca="1" si="12"/>
        <v>2.0870602265951104</v>
      </c>
      <c r="P103" s="33">
        <f ca="1">IF(L103="","",INDEX(OFFSET(Arb!$X$2,,,Arb!$AJ$5,),L103)/N103)</f>
        <v>2.5044722719141324</v>
      </c>
      <c r="Q103" s="33">
        <f ca="1">IF(L103="","",(INDEX(OFFSET(Arb!$U$2,,,Arb!$AJ$5,),L103)+INDEX(OFFSET(Arb!$V$2,,,Arb!$AJ$5,),L103))/N103)</f>
        <v>2.6237328562909958</v>
      </c>
      <c r="R103" s="33">
        <f t="shared" ca="1" si="13"/>
        <v>3.4485629823965418</v>
      </c>
      <c r="S103" s="21">
        <f t="shared" ca="1" si="14"/>
        <v>44.577988218491804</v>
      </c>
      <c r="T103" s="74">
        <f ca="1">IF(L103="","",DATE(INDEX(OFFSET(Arb!$C$2,,,Arb!$AJ$5,),L103),INDEX(OFFSET(Arb!$B$2,,,Arb!$AJ$5,),L103),INDEX(OFFSET(Arb!$A$2,,,Arb!$AJ$5,),L103))+ROW()*0.001)</f>
        <v>43840.103000000003</v>
      </c>
      <c r="U103" s="11">
        <v>102</v>
      </c>
      <c r="V103" s="11">
        <v>3249</v>
      </c>
      <c r="W103" s="433">
        <f ca="1">IF(V103="",164,INDEX(OFFSET(Arb!$I$2,,,Arb!$AJ$5,),V103))</f>
        <v>198</v>
      </c>
      <c r="X103" s="34">
        <f ca="1">IF(V103="",240,INDEX(OFFSET(Arb!$H$2,,,Arb!$AJ$5,),V103))</f>
        <v>75.69</v>
      </c>
      <c r="Y103" s="33">
        <f t="shared" ca="1" si="15"/>
        <v>2.615933412604043</v>
      </c>
      <c r="Z103" s="33">
        <f ca="1">IF(V103="","",INDEX(OFFSET(Arb!$X$2,,,Arb!$AJ$5,),V103)/X103)</f>
        <v>2.9858633901440084</v>
      </c>
      <c r="AA103" s="33">
        <f ca="1">IF(V103="","",(INDEX(OFFSET(Arb!$U$2,,,Arb!$AJ$5,),V103)+INDEX(OFFSET(Arb!$V$2,,,Arb!$AJ$5,),V103))/X103)</f>
        <v>3.4482758620689657</v>
      </c>
      <c r="AB103" s="33">
        <f t="shared" ca="1" si="16"/>
        <v>7.9013312390705037</v>
      </c>
      <c r="AC103" s="21">
        <f t="shared" ca="1" si="17"/>
        <v>55.054140478126897</v>
      </c>
      <c r="AD103" s="74">
        <f ca="1">IF(V103="","",DATE(INDEX(OFFSET(Arb!$C$2,,,Arb!$AJ$5,),V103),INDEX(OFFSET(Arb!$B$2,,,Arb!$AJ$5,),V103),INDEX(OFFSET(Arb!$A$2,,,Arb!$AJ$5,),V103))+ROW()*0.001)</f>
        <v>44068.103000000003</v>
      </c>
    </row>
    <row r="104" spans="1:30" x14ac:dyDescent="0.25">
      <c r="A104" s="11">
        <v>103</v>
      </c>
      <c r="B104" s="11">
        <v>1176</v>
      </c>
      <c r="C104" s="433">
        <f ca="1">IF(B104="",16,INDEX(OFFSET(Arb!$I$2,,,Arb!$AJ$5,),B104))</f>
        <v>12</v>
      </c>
      <c r="D104" s="34">
        <f ca="1">IF(B104="",10,INDEX(OFFSET(Arb!$H$2,,,Arb!$AJ$5,),B104))</f>
        <v>3.83</v>
      </c>
      <c r="E104" s="33">
        <f t="shared" ca="1" si="9"/>
        <v>3.133159268929504</v>
      </c>
      <c r="F104" s="33">
        <f ca="1">IF(B104="","",INDEX(OFFSET(Arb!$X$2,,,Arb!$AJ$5,),B104)/D104)</f>
        <v>3.133159268929504</v>
      </c>
      <c r="G104" s="33">
        <f ca="1">IF(B104="","",(INDEX(OFFSET(Arb!$U$2,,,Arb!$AJ$5,),B104)+INDEX(OFFSET(Arb!$V$2,,,Arb!$AJ$5,),B104))/D104)</f>
        <v>3.9164490861618799</v>
      </c>
      <c r="H104" s="33">
        <f t="shared" ca="1" si="10"/>
        <v>0.81706511730000875</v>
      </c>
      <c r="I104" s="21">
        <f t="shared" ca="1" si="11"/>
        <v>57.888898936598245</v>
      </c>
      <c r="J104" s="74">
        <f ca="1">IF(B104="","",DATE(INDEX(OFFSET(Arb!$C$2,,,Arb!$AJ$5,),B104),INDEX(OFFSET(Arb!$B$2,,,Arb!$AJ$5,),B104),INDEX(OFFSET(Arb!$A$2,,,Arb!$AJ$5,),B104))+ROW()*0.001)</f>
        <v>43871.103999999999</v>
      </c>
      <c r="K104" s="11">
        <v>103</v>
      </c>
      <c r="L104" s="11">
        <v>2033</v>
      </c>
      <c r="M104" s="433">
        <f ca="1">IF(L104="",64,INDEX(OFFSET(Arb!$I$2,,,Arb!$AJ$5,),L104))</f>
        <v>48</v>
      </c>
      <c r="N104" s="34">
        <f ca="1">IF(L104="",60,INDEX(OFFSET(Arb!$H$2,,,Arb!$AJ$5,),L104))</f>
        <v>20.2</v>
      </c>
      <c r="O104" s="33">
        <f t="shared" ca="1" si="12"/>
        <v>2.3762376237623761</v>
      </c>
      <c r="P104" s="33">
        <f ca="1">IF(L104="","",INDEX(OFFSET(Arb!$X$2,,,Arb!$AJ$5,),L104)/N104)</f>
        <v>3.3663366336633667</v>
      </c>
      <c r="Q104" s="33">
        <f ca="1">IF(L104="","",(INDEX(OFFSET(Arb!$U$2,,,Arb!$AJ$5,),L104)+INDEX(OFFSET(Arb!$V$2,,,Arb!$AJ$5,),L104))/N104)</f>
        <v>3.7128712871287131</v>
      </c>
      <c r="R104" s="33">
        <f t="shared" ca="1" si="13"/>
        <v>3.4502939026344381</v>
      </c>
      <c r="S104" s="21">
        <f t="shared" ca="1" si="14"/>
        <v>44.555624633200367</v>
      </c>
      <c r="T104" s="74">
        <f ca="1">IF(L104="","",DATE(INDEX(OFFSET(Arb!$C$2,,,Arb!$AJ$5,),L104),INDEX(OFFSET(Arb!$B$2,,,Arb!$AJ$5,),L104),INDEX(OFFSET(Arb!$A$2,,,Arb!$AJ$5,),L104))+ROW()*0.001)</f>
        <v>43797.103999999999</v>
      </c>
      <c r="U104" s="11">
        <v>103</v>
      </c>
      <c r="V104" s="11">
        <v>3170</v>
      </c>
      <c r="W104" s="433">
        <f ca="1">IF(V104="",164,INDEX(OFFSET(Arb!$I$2,,,Arb!$AJ$5,),V104))</f>
        <v>174</v>
      </c>
      <c r="X104" s="34">
        <f ca="1">IF(V104="",240,INDEX(OFFSET(Arb!$H$2,,,Arb!$AJ$5,),V104))</f>
        <v>70.16</v>
      </c>
      <c r="Y104" s="33">
        <f t="shared" ca="1" si="15"/>
        <v>2.4800456100342076</v>
      </c>
      <c r="Z104" s="33">
        <f ca="1">IF(V104="","",INDEX(OFFSET(Arb!$X$2,,,Arb!$AJ$5,),V104)/X104)</f>
        <v>2.9931584948688714</v>
      </c>
      <c r="AA104" s="33">
        <f ca="1">IF(V104="","",(INDEX(OFFSET(Arb!$U$2,,,Arb!$AJ$5,),V104)+INDEX(OFFSET(Arb!$V$2,,,Arb!$AJ$5,),V104))/X104)</f>
        <v>3.2354618015963514</v>
      </c>
      <c r="AB104" s="33">
        <f t="shared" ca="1" si="16"/>
        <v>7.9032011992792377</v>
      </c>
      <c r="AC104" s="21">
        <f t="shared" ca="1" si="17"/>
        <v>55.04111423098675</v>
      </c>
      <c r="AD104" s="74">
        <f ca="1">IF(V104="","",DATE(INDEX(OFFSET(Arb!$C$2,,,Arb!$AJ$5,),V104),INDEX(OFFSET(Arb!$B$2,,,Arb!$AJ$5,),V104),INDEX(OFFSET(Arb!$A$2,,,Arb!$AJ$5,),V104))+ROW()*0.001)</f>
        <v>44035.103999999999</v>
      </c>
    </row>
    <row r="105" spans="1:30" x14ac:dyDescent="0.25">
      <c r="A105" s="11">
        <v>104</v>
      </c>
      <c r="B105" s="11">
        <v>807</v>
      </c>
      <c r="C105" s="433">
        <f ca="1">IF(B105="",16,INDEX(OFFSET(Arb!$I$2,,,Arb!$AJ$5,),B105))</f>
        <v>25</v>
      </c>
      <c r="D105" s="34">
        <f ca="1">IF(B105="",10,INDEX(OFFSET(Arb!$H$2,,,Arb!$AJ$5,),B105))</f>
        <v>5.9</v>
      </c>
      <c r="E105" s="33">
        <f t="shared" ca="1" si="9"/>
        <v>4.2372881355932197</v>
      </c>
      <c r="F105" s="33">
        <f ca="1">IF(B105="","",INDEX(OFFSET(Arb!$X$2,,,Arb!$AJ$5,),B105)/D105)</f>
        <v>3.2203389830508473</v>
      </c>
      <c r="G105" s="33">
        <f ca="1">IF(B105="","",(INDEX(OFFSET(Arb!$U$2,,,Arb!$AJ$5,),B105)+INDEX(OFFSET(Arb!$V$2,,,Arb!$AJ$5,),B105))/D105)</f>
        <v>4.0677966101694913</v>
      </c>
      <c r="H105" s="33">
        <f t="shared" ca="1" si="10"/>
        <v>0.81753887132613268</v>
      </c>
      <c r="I105" s="21">
        <f t="shared" ca="1" si="11"/>
        <v>57.855353010036239</v>
      </c>
      <c r="J105" s="74">
        <f ca="1">IF(B105="","",DATE(INDEX(OFFSET(Arb!$C$2,,,Arb!$AJ$5,),B105),INDEX(OFFSET(Arb!$B$2,,,Arb!$AJ$5,),B105),INDEX(OFFSET(Arb!$A$2,,,Arb!$AJ$5,),B105))+ROW()*0.001)</f>
        <v>43811.105000000003</v>
      </c>
      <c r="K105" s="11">
        <v>104</v>
      </c>
      <c r="L105" s="11">
        <v>1888</v>
      </c>
      <c r="M105" s="433">
        <f ca="1">IF(L105="",64,INDEX(OFFSET(Arb!$I$2,,,Arb!$AJ$5,),L105))</f>
        <v>60</v>
      </c>
      <c r="N105" s="34">
        <f ca="1">IF(L105="",60,INDEX(OFFSET(Arb!$H$2,,,Arb!$AJ$5,),L105))</f>
        <v>23.04</v>
      </c>
      <c r="O105" s="33">
        <f t="shared" ca="1" si="12"/>
        <v>2.604166666666667</v>
      </c>
      <c r="P105" s="33">
        <f ca="1">IF(L105="","",INDEX(OFFSET(Arb!$X$2,,,Arb!$AJ$5,),L105)/N105)</f>
        <v>3.385416666666667</v>
      </c>
      <c r="Q105" s="33">
        <f ca="1">IF(L105="","",(INDEX(OFFSET(Arb!$U$2,,,Arb!$AJ$5,),L105)+INDEX(OFFSET(Arb!$V$2,,,Arb!$AJ$5,),L105))/N105)</f>
        <v>3.7326388888888888</v>
      </c>
      <c r="R105" s="33">
        <f t="shared" ca="1" si="13"/>
        <v>3.4519854514516677</v>
      </c>
      <c r="S105" s="21">
        <f t="shared" ca="1" si="14"/>
        <v>44.533791396876175</v>
      </c>
      <c r="T105" s="74">
        <f ca="1">IF(L105="","",DATE(INDEX(OFFSET(Arb!$C$2,,,Arb!$AJ$5,),L105),INDEX(OFFSET(Arb!$B$2,,,Arb!$AJ$5,),L105),INDEX(OFFSET(Arb!$A$2,,,Arb!$AJ$5,),L105))+ROW()*0.001)</f>
        <v>43764.105000000003</v>
      </c>
      <c r="U105" s="11">
        <v>104</v>
      </c>
      <c r="V105" s="11">
        <v>3399</v>
      </c>
      <c r="W105" s="433">
        <f ca="1">IF(V105="",164,INDEX(OFFSET(Arb!$I$2,,,Arb!$AJ$5,),V105))</f>
        <v>161</v>
      </c>
      <c r="X105" s="34">
        <f ca="1">IF(V105="",240,INDEX(OFFSET(Arb!$H$2,,,Arb!$AJ$5,),V105))</f>
        <v>67.06</v>
      </c>
      <c r="Y105" s="33">
        <f t="shared" ca="1" si="15"/>
        <v>2.4008350730688934</v>
      </c>
      <c r="Z105" s="33">
        <f ca="1">IF(V105="","",INDEX(OFFSET(Arb!$X$2,,,Arb!$AJ$5,),V105)/X105)</f>
        <v>2.728899492991351</v>
      </c>
      <c r="AA105" s="33">
        <f ca="1">IF(V105="","",(INDEX(OFFSET(Arb!$U$2,,,Arb!$AJ$5,),V105)+INDEX(OFFSET(Arb!$V$2,,,Arb!$AJ$5,),V105))/X105)</f>
        <v>2.9227557411273484</v>
      </c>
      <c r="AB105" s="33">
        <f t="shared" ca="1" si="16"/>
        <v>7.9097390771392115</v>
      </c>
      <c r="AC105" s="21">
        <f t="shared" ca="1" si="17"/>
        <v>54.995619420271801</v>
      </c>
      <c r="AD105" s="74">
        <f ca="1">IF(V105="","",DATE(INDEX(OFFSET(Arb!$C$2,,,Arb!$AJ$5,),V105),INDEX(OFFSET(Arb!$B$2,,,Arb!$AJ$5,),V105),INDEX(OFFSET(Arb!$A$2,,,Arb!$AJ$5,),V105))+ROW()*0.001)</f>
        <v>44144.105000000003</v>
      </c>
    </row>
    <row r="106" spans="1:30" x14ac:dyDescent="0.25">
      <c r="A106" s="11">
        <v>105</v>
      </c>
      <c r="B106" s="11">
        <v>1306</v>
      </c>
      <c r="C106" s="433">
        <f ca="1">IF(B106="",16,INDEX(OFFSET(Arb!$I$2,,,Arb!$AJ$5,),B106))</f>
        <v>17</v>
      </c>
      <c r="D106" s="34">
        <f ca="1">IF(B106="",10,INDEX(OFFSET(Arb!$H$2,,,Arb!$AJ$5,),B106))</f>
        <v>4.71</v>
      </c>
      <c r="E106" s="33">
        <f t="shared" ca="1" si="9"/>
        <v>3.6093418259023355</v>
      </c>
      <c r="F106" s="33">
        <f ca="1">IF(B106="","",INDEX(OFFSET(Arb!$X$2,,,Arb!$AJ$5,),B106)/D106)</f>
        <v>4.4585987261146496</v>
      </c>
      <c r="G106" s="33">
        <f ca="1">IF(B106="","",(INDEX(OFFSET(Arb!$U$2,,,Arb!$AJ$5,),B106)+INDEX(OFFSET(Arb!$V$2,,,Arb!$AJ$5,),B106))/D106)</f>
        <v>4.6709129511677281</v>
      </c>
      <c r="H106" s="33">
        <f t="shared" ca="1" si="10"/>
        <v>0.81975980660438585</v>
      </c>
      <c r="I106" s="21">
        <f t="shared" ca="1" si="11"/>
        <v>57.69860832275031</v>
      </c>
      <c r="J106" s="74">
        <f ca="1">IF(B106="","",DATE(INDEX(OFFSET(Arb!$C$2,,,Arb!$AJ$5,),B106),INDEX(OFFSET(Arb!$B$2,,,Arb!$AJ$5,),B106),INDEX(OFFSET(Arb!$A$2,,,Arb!$AJ$5,),B106))+ROW()*0.001)</f>
        <v>43912.106</v>
      </c>
      <c r="K106" s="11">
        <v>105</v>
      </c>
      <c r="L106" s="11">
        <v>2177</v>
      </c>
      <c r="M106" s="433">
        <f ca="1">IF(L106="",64,INDEX(OFFSET(Arb!$I$2,,,Arb!$AJ$5,),L106))</f>
        <v>71</v>
      </c>
      <c r="N106" s="34">
        <f ca="1">IF(L106="",60,INDEX(OFFSET(Arb!$H$2,,,Arb!$AJ$5,),L106))</f>
        <v>25.49</v>
      </c>
      <c r="O106" s="33">
        <f t="shared" ca="1" si="12"/>
        <v>2.7854060415849355</v>
      </c>
      <c r="P106" s="33">
        <f ca="1">IF(L106="","",INDEX(OFFSET(Arb!$X$2,,,Arb!$AJ$5,),L106)/N106)</f>
        <v>3.1777167516673206</v>
      </c>
      <c r="Q106" s="33">
        <f ca="1">IF(L106="","",(INDEX(OFFSET(Arb!$U$2,,,Arb!$AJ$5,),L106)+INDEX(OFFSET(Arb!$V$2,,,Arb!$AJ$5,),L106))/N106)</f>
        <v>3.4523342487249904</v>
      </c>
      <c r="R106" s="33">
        <f t="shared" ca="1" si="13"/>
        <v>3.4639400855049818</v>
      </c>
      <c r="S106" s="21">
        <f t="shared" ca="1" si="14"/>
        <v>44.380097866960895</v>
      </c>
      <c r="T106" s="74">
        <f ca="1">IF(L106="","",DATE(INDEX(OFFSET(Arb!$C$2,,,Arb!$AJ$5,),L106),INDEX(OFFSET(Arb!$B$2,,,Arb!$AJ$5,),L106),INDEX(OFFSET(Arb!$A$2,,,Arb!$AJ$5,),L106))+ROW()*0.001)</f>
        <v>43840.106</v>
      </c>
      <c r="U106" s="11">
        <v>105</v>
      </c>
      <c r="V106" s="11">
        <v>3095</v>
      </c>
      <c r="W106" s="433">
        <f ca="1">IF(V106="",164,INDEX(OFFSET(Arb!$I$2,,,Arb!$AJ$5,),V106))</f>
        <v>152</v>
      </c>
      <c r="X106" s="34">
        <f ca="1">IF(V106="",240,INDEX(OFFSET(Arb!$H$2,,,Arb!$AJ$5,),V106))</f>
        <v>64.83</v>
      </c>
      <c r="Y106" s="33">
        <f t="shared" ca="1" si="15"/>
        <v>2.3445935523677313</v>
      </c>
      <c r="Z106" s="33">
        <f ca="1">IF(V106="","",INDEX(OFFSET(Arb!$X$2,,,Arb!$AJ$5,),V106)/X106)</f>
        <v>2.8690421101341972</v>
      </c>
      <c r="AA106" s="33">
        <f ca="1">IF(V106="","",(INDEX(OFFSET(Arb!$U$2,,,Arb!$AJ$5,),V106)+INDEX(OFFSET(Arb!$V$2,,,Arb!$AJ$5,),V106))/X106)</f>
        <v>3.22381613450563</v>
      </c>
      <c r="AB106" s="33">
        <f t="shared" ca="1" si="16"/>
        <v>7.9099847969305301</v>
      </c>
      <c r="AC106" s="21">
        <f t="shared" ca="1" si="17"/>
        <v>54.993911008375406</v>
      </c>
      <c r="AD106" s="74">
        <f ca="1">IF(V106="","",DATE(INDEX(OFFSET(Arb!$C$2,,,Arb!$AJ$5,),V106),INDEX(OFFSET(Arb!$B$2,,,Arb!$AJ$5,),V106),INDEX(OFFSET(Arb!$A$2,,,Arb!$AJ$5,),V106))+ROW()*0.001)</f>
        <v>44004.106</v>
      </c>
    </row>
    <row r="107" spans="1:30" x14ac:dyDescent="0.25">
      <c r="A107" s="11">
        <v>106</v>
      </c>
      <c r="B107" s="11">
        <v>1798</v>
      </c>
      <c r="C107" s="433">
        <f ca="1">IF(B107="",16,INDEX(OFFSET(Arb!$I$2,,,Arb!$AJ$5,),B107))</f>
        <v>10</v>
      </c>
      <c r="D107" s="34">
        <f ca="1">IF(B107="",10,INDEX(OFFSET(Arb!$H$2,,,Arb!$AJ$5,),B107))</f>
        <v>3.45</v>
      </c>
      <c r="E107" s="33">
        <f t="shared" ca="1" si="9"/>
        <v>2.8985507246376812</v>
      </c>
      <c r="F107" s="33">
        <f ca="1">IF(B107="","",INDEX(OFFSET(Arb!$X$2,,,Arb!$AJ$5,),B107)/D107)</f>
        <v>3.1884057971014492</v>
      </c>
      <c r="G107" s="33">
        <f ca="1">IF(B107="","",(INDEX(OFFSET(Arb!$U$2,,,Arb!$AJ$5,),B107)+INDEX(OFFSET(Arb!$V$2,,,Arb!$AJ$5,),B107))/D107)</f>
        <v>4.057971014492753</v>
      </c>
      <c r="H107" s="33">
        <f t="shared" ca="1" si="10"/>
        <v>0.82090416969614677</v>
      </c>
      <c r="I107" s="21">
        <f t="shared" ca="1" si="11"/>
        <v>57.618174868702965</v>
      </c>
      <c r="J107" s="74">
        <f ca="1">IF(B107="","",DATE(INDEX(OFFSET(Arb!$C$2,,,Arb!$AJ$5,),B107),INDEX(OFFSET(Arb!$B$2,,,Arb!$AJ$5,),B107),INDEX(OFFSET(Arb!$A$2,,,Arb!$AJ$5,),B107))+ROW()*0.001)</f>
        <v>44168.107000000004</v>
      </c>
      <c r="K107" s="11">
        <v>106</v>
      </c>
      <c r="L107" s="11">
        <v>2076</v>
      </c>
      <c r="M107" s="433">
        <f ca="1">IF(L107="",64,INDEX(OFFSET(Arb!$I$2,,,Arb!$AJ$5,),L107))</f>
        <v>54</v>
      </c>
      <c r="N107" s="34">
        <f ca="1">IF(L107="",60,INDEX(OFFSET(Arb!$H$2,,,Arb!$AJ$5,),L107))</f>
        <v>21.71</v>
      </c>
      <c r="O107" s="33">
        <f t="shared" ca="1" si="12"/>
        <v>2.487333026255182</v>
      </c>
      <c r="P107" s="33">
        <f ca="1">IF(L107="","",INDEX(OFFSET(Arb!$X$2,,,Arb!$AJ$5,),L107)/N107)</f>
        <v>2.8558268079226163</v>
      </c>
      <c r="Q107" s="33">
        <f ca="1">IF(L107="","",(INDEX(OFFSET(Arb!$U$2,,,Arb!$AJ$5,),L107)+INDEX(OFFSET(Arb!$V$2,,,Arb!$AJ$5,),L107))/N107)</f>
        <v>3.1782588668816212</v>
      </c>
      <c r="R107" s="33">
        <f t="shared" ca="1" si="13"/>
        <v>3.4667932320191541</v>
      </c>
      <c r="S107" s="21">
        <f t="shared" ca="1" si="14"/>
        <v>44.343573357694446</v>
      </c>
      <c r="T107" s="74">
        <f ca="1">IF(L107="","",DATE(INDEX(OFFSET(Arb!$C$2,,,Arb!$AJ$5,),L107),INDEX(OFFSET(Arb!$B$2,,,Arb!$AJ$5,),L107),INDEX(OFFSET(Arb!$A$2,,,Arb!$AJ$5,),L107))+ROW()*0.001)</f>
        <v>43805.107000000004</v>
      </c>
      <c r="U107" s="11">
        <v>106</v>
      </c>
      <c r="V107" s="11">
        <v>3161</v>
      </c>
      <c r="W107" s="433">
        <f ca="1">IF(V107="",164,INDEX(OFFSET(Arb!$I$2,,,Arb!$AJ$5,),V107))</f>
        <v>178</v>
      </c>
      <c r="X107" s="34">
        <f ca="1">IF(V107="",240,INDEX(OFFSET(Arb!$H$2,,,Arb!$AJ$5,),V107))</f>
        <v>71.17</v>
      </c>
      <c r="Y107" s="33">
        <f t="shared" ca="1" si="15"/>
        <v>2.5010538148096106</v>
      </c>
      <c r="Z107" s="33">
        <f ca="1">IF(V107="","",INDEX(OFFSET(Arb!$X$2,,,Arb!$AJ$5,),V107)/X107)</f>
        <v>3.049037515807222</v>
      </c>
      <c r="AA107" s="33">
        <f ca="1">IF(V107="","",(INDEX(OFFSET(Arb!$U$2,,,Arb!$AJ$5,),V107)+INDEX(OFFSET(Arb!$V$2,,,Arb!$AJ$5,),V107))/X107)</f>
        <v>3.3722073907545314</v>
      </c>
      <c r="AB107" s="33">
        <f t="shared" ca="1" si="16"/>
        <v>7.9156182220829043</v>
      </c>
      <c r="AC107" s="21">
        <f t="shared" ca="1" si="17"/>
        <v>54.9547726779494</v>
      </c>
      <c r="AD107" s="74">
        <f ca="1">IF(V107="","",DATE(INDEX(OFFSET(Arb!$C$2,,,Arb!$AJ$5,),V107),INDEX(OFFSET(Arb!$B$2,,,Arb!$AJ$5,),V107),INDEX(OFFSET(Arb!$A$2,,,Arb!$AJ$5,),V107))+ROW()*0.001)</f>
        <v>44031.107000000004</v>
      </c>
    </row>
    <row r="108" spans="1:30" x14ac:dyDescent="0.25">
      <c r="A108" s="11">
        <v>107</v>
      </c>
      <c r="B108" s="11">
        <v>1250</v>
      </c>
      <c r="C108" s="433">
        <f ca="1">IF(B108="",16,INDEX(OFFSET(Arb!$I$2,,,Arb!$AJ$5,),B108))</f>
        <v>11</v>
      </c>
      <c r="D108" s="34">
        <f ca="1">IF(B108="",10,INDEX(OFFSET(Arb!$H$2,,,Arb!$AJ$5,),B108))</f>
        <v>3.65</v>
      </c>
      <c r="E108" s="33">
        <f t="shared" ca="1" si="9"/>
        <v>3.0136986301369864</v>
      </c>
      <c r="F108" s="33">
        <f ca="1">IF(B108="","",INDEX(OFFSET(Arb!$X$2,,,Arb!$AJ$5,),B108)/D108)</f>
        <v>3.2876712328767126</v>
      </c>
      <c r="G108" s="33">
        <f ca="1">IF(B108="","",(INDEX(OFFSET(Arb!$U$2,,,Arb!$AJ$5,),B108)+INDEX(OFFSET(Arb!$V$2,,,Arb!$AJ$5,),B108))/D108)</f>
        <v>3.8356164383561646</v>
      </c>
      <c r="H108" s="33">
        <f t="shared" ca="1" si="10"/>
        <v>0.82130635717249778</v>
      </c>
      <c r="I108" s="21">
        <f t="shared" ca="1" si="11"/>
        <v>57.589959686706599</v>
      </c>
      <c r="J108" s="74">
        <f ca="1">IF(B108="","",DATE(INDEX(OFFSET(Arb!$C$2,,,Arb!$AJ$5,),B108),INDEX(OFFSET(Arb!$B$2,,,Arb!$AJ$5,),B108),INDEX(OFFSET(Arb!$A$2,,,Arb!$AJ$5,),B108))+ROW()*0.001)</f>
        <v>43901.108</v>
      </c>
      <c r="K108" s="11">
        <v>107</v>
      </c>
      <c r="L108" s="11">
        <v>2348</v>
      </c>
      <c r="M108" s="433">
        <f ca="1">IF(L108="",64,INDEX(OFFSET(Arb!$I$2,,,Arb!$AJ$5,),L108))</f>
        <v>65</v>
      </c>
      <c r="N108" s="34">
        <f ca="1">IF(L108="",60,INDEX(OFFSET(Arb!$H$2,,,Arb!$AJ$5,),L108))</f>
        <v>24.22</v>
      </c>
      <c r="O108" s="33">
        <f t="shared" ca="1" si="12"/>
        <v>2.6837324525185799</v>
      </c>
      <c r="P108" s="33">
        <f ca="1">IF(L108="","",INDEX(OFFSET(Arb!$X$2,,,Arb!$AJ$5,),L108)/N108)</f>
        <v>3.3030553261767137</v>
      </c>
      <c r="Q108" s="33">
        <f ca="1">IF(L108="","",(INDEX(OFFSET(Arb!$U$2,,,Arb!$AJ$5,),L108)+INDEX(OFFSET(Arb!$V$2,,,Arb!$AJ$5,),L108))/N108)</f>
        <v>3.7572254335260116</v>
      </c>
      <c r="R108" s="33">
        <f t="shared" ca="1" si="13"/>
        <v>3.4688273068258857</v>
      </c>
      <c r="S108" s="21">
        <f t="shared" ca="1" si="14"/>
        <v>44.317570868256631</v>
      </c>
      <c r="T108" s="74">
        <f ca="1">IF(L108="","",DATE(INDEX(OFFSET(Arb!$C$2,,,Arb!$AJ$5,),L108),INDEX(OFFSET(Arb!$B$2,,,Arb!$AJ$5,),L108),INDEX(OFFSET(Arb!$A$2,,,Arb!$AJ$5,),L108))+ROW()*0.001)</f>
        <v>44106.108</v>
      </c>
      <c r="U108" s="11">
        <v>107</v>
      </c>
      <c r="V108" s="11">
        <v>3008</v>
      </c>
      <c r="W108" s="433">
        <f ca="1">IF(V108="",164,INDEX(OFFSET(Arb!$I$2,,,Arb!$AJ$5,),V108))</f>
        <v>178</v>
      </c>
      <c r="X108" s="34">
        <f ca="1">IF(V108="",240,INDEX(OFFSET(Arb!$H$2,,,Arb!$AJ$5,),V108))</f>
        <v>71.17</v>
      </c>
      <c r="Y108" s="33">
        <f t="shared" ca="1" si="15"/>
        <v>2.5010538148096106</v>
      </c>
      <c r="Z108" s="33">
        <f ca="1">IF(V108="","",INDEX(OFFSET(Arb!$X$2,,,Arb!$AJ$5,),V108)/X108)</f>
        <v>2.8382745538850638</v>
      </c>
      <c r="AA108" s="33">
        <f ca="1">IF(V108="","",(INDEX(OFFSET(Arb!$U$2,,,Arb!$AJ$5,),V108)+INDEX(OFFSET(Arb!$V$2,,,Arb!$AJ$5,),V108))/X108)</f>
        <v>3.1052409723197978</v>
      </c>
      <c r="AB108" s="33">
        <f t="shared" ca="1" si="16"/>
        <v>7.9156182220829043</v>
      </c>
      <c r="AC108" s="21">
        <f t="shared" ca="1" si="17"/>
        <v>54.9547726779494</v>
      </c>
      <c r="AD108" s="74">
        <f ca="1">IF(V108="","",DATE(INDEX(OFFSET(Arb!$C$2,,,Arb!$AJ$5,),V108),INDEX(OFFSET(Arb!$B$2,,,Arb!$AJ$5,),V108),INDEX(OFFSET(Arb!$A$2,,,Arb!$AJ$5,),V108))+ROW()*0.001)</f>
        <v>43957.108</v>
      </c>
    </row>
    <row r="109" spans="1:30" x14ac:dyDescent="0.25">
      <c r="A109" s="11">
        <v>108</v>
      </c>
      <c r="B109" s="11">
        <v>1814</v>
      </c>
      <c r="C109" s="433">
        <f ca="1">IF(B109="",16,INDEX(OFFSET(Arb!$I$2,,,Arb!$AJ$5,),B109))</f>
        <v>11</v>
      </c>
      <c r="D109" s="34">
        <f ca="1">IF(B109="",10,INDEX(OFFSET(Arb!$H$2,,,Arb!$AJ$5,),B109))</f>
        <v>3.66</v>
      </c>
      <c r="E109" s="33">
        <f t="shared" ca="1" si="9"/>
        <v>3.0054644808743167</v>
      </c>
      <c r="F109" s="33">
        <f ca="1">IF(B109="","",INDEX(OFFSET(Arb!$X$2,,,Arb!$AJ$5,),B109)/D109)</f>
        <v>3.278688524590164</v>
      </c>
      <c r="G109" s="33">
        <f ca="1">IF(B109="","",(INDEX(OFFSET(Arb!$U$2,,,Arb!$AJ$5,),B109)+INDEX(OFFSET(Arb!$V$2,,,Arb!$AJ$5,),B109))/D109)</f>
        <v>3.5519125683060109</v>
      </c>
      <c r="H109" s="33">
        <f t="shared" ca="1" si="10"/>
        <v>0.82513528671382208</v>
      </c>
      <c r="I109" s="21">
        <f t="shared" ca="1" si="11"/>
        <v>57.322721208994295</v>
      </c>
      <c r="J109" s="74">
        <f ca="1">IF(B109="","",DATE(INDEX(OFFSET(Arb!$C$2,,,Arb!$AJ$5,),B109),INDEX(OFFSET(Arb!$B$2,,,Arb!$AJ$5,),B109),INDEX(OFFSET(Arb!$A$2,,,Arb!$AJ$5,),B109))+ROW()*0.001)</f>
        <v>44168.108999999997</v>
      </c>
      <c r="K109" s="11">
        <v>108</v>
      </c>
      <c r="L109" s="11">
        <v>2115</v>
      </c>
      <c r="M109" s="433">
        <f ca="1">IF(L109="",64,INDEX(OFFSET(Arb!$I$2,,,Arb!$AJ$5,),L109))</f>
        <v>64</v>
      </c>
      <c r="N109" s="34">
        <f ca="1">IF(L109="",60,INDEX(OFFSET(Arb!$H$2,,,Arb!$AJ$5,),L109))</f>
        <v>24.02</v>
      </c>
      <c r="O109" s="33">
        <f t="shared" ca="1" si="12"/>
        <v>2.6644462947543714</v>
      </c>
      <c r="P109" s="33">
        <f ca="1">IF(L109="","",INDEX(OFFSET(Arb!$X$2,,,Arb!$AJ$5,),L109)/N109)</f>
        <v>3.4970857618651126</v>
      </c>
      <c r="Q109" s="33">
        <f ca="1">IF(L109="","",(INDEX(OFFSET(Arb!$U$2,,,Arb!$AJ$5,),L109)+INDEX(OFFSET(Arb!$V$2,,,Arb!$AJ$5,),L109))/N109)</f>
        <v>3.9134054954204829</v>
      </c>
      <c r="R109" s="33">
        <f t="shared" ca="1" si="13"/>
        <v>3.4737145779137268</v>
      </c>
      <c r="S109" s="21">
        <f t="shared" ca="1" si="14"/>
        <v>44.255219175873819</v>
      </c>
      <c r="T109" s="74">
        <f ca="1">IF(L109="","",DATE(INDEX(OFFSET(Arb!$C$2,,,Arb!$AJ$5,),L109),INDEX(OFFSET(Arb!$B$2,,,Arb!$AJ$5,),L109),INDEX(OFFSET(Arb!$A$2,,,Arb!$AJ$5,),L109))+ROW()*0.001)</f>
        <v>43811.108999999997</v>
      </c>
      <c r="U109" s="11">
        <v>108</v>
      </c>
      <c r="V109" s="11">
        <v>2847</v>
      </c>
      <c r="W109" s="433">
        <f ca="1">IF(V109="",164,INDEX(OFFSET(Arb!$I$2,,,Arb!$AJ$5,),V109))</f>
        <v>167</v>
      </c>
      <c r="X109" s="34">
        <f ca="1">IF(V109="",240,INDEX(OFFSET(Arb!$H$2,,,Arb!$AJ$5,),V109))</f>
        <v>68.67</v>
      </c>
      <c r="Y109" s="33">
        <f t="shared" ca="1" si="15"/>
        <v>2.4319207805446337</v>
      </c>
      <c r="Z109" s="33">
        <f ca="1">IF(V109="","",INDEX(OFFSET(Arb!$X$2,,,Arb!$AJ$5,),V109)/X109)</f>
        <v>2.9561671763506627</v>
      </c>
      <c r="AA109" s="33">
        <f ca="1">IF(V109="","",(INDEX(OFFSET(Arb!$U$2,,,Arb!$AJ$5,),V109)+INDEX(OFFSET(Arb!$V$2,,,Arb!$AJ$5,),V109))/X109)</f>
        <v>3.2765399737876799</v>
      </c>
      <c r="AB109" s="33">
        <f t="shared" ca="1" si="16"/>
        <v>7.9393968274603441</v>
      </c>
      <c r="AC109" s="21">
        <f t="shared" ca="1" si="17"/>
        <v>54.790182359375549</v>
      </c>
      <c r="AD109" s="74">
        <f ca="1">IF(V109="","",DATE(INDEX(OFFSET(Arb!$C$2,,,Arb!$AJ$5,),V109),INDEX(OFFSET(Arb!$B$2,,,Arb!$AJ$5,),V109),INDEX(OFFSET(Arb!$A$2,,,Arb!$AJ$5,),V109))+ROW()*0.001)</f>
        <v>43904.108999999997</v>
      </c>
    </row>
    <row r="110" spans="1:30" x14ac:dyDescent="0.25">
      <c r="A110" s="11">
        <v>109</v>
      </c>
      <c r="B110" s="11">
        <v>1659</v>
      </c>
      <c r="C110" s="433">
        <f ca="1">IF(B110="",16,INDEX(OFFSET(Arb!$I$2,,,Arb!$AJ$5,),B110))</f>
        <v>16</v>
      </c>
      <c r="D110" s="34">
        <f ca="1">IF(B110="",10,INDEX(OFFSET(Arb!$H$2,,,Arb!$AJ$5,),B110))</f>
        <v>4.57</v>
      </c>
      <c r="E110" s="33">
        <f t="shared" ca="1" si="9"/>
        <v>3.5010940919037199</v>
      </c>
      <c r="F110" s="33">
        <f ca="1">IF(B110="","",INDEX(OFFSET(Arb!$X$2,,,Arb!$AJ$5,),B110)/D110)</f>
        <v>4.814004376367615</v>
      </c>
      <c r="G110" s="33">
        <f ca="1">IF(B110="","",(INDEX(OFFSET(Arb!$U$2,,,Arb!$AJ$5,),B110)+INDEX(OFFSET(Arb!$V$2,,,Arb!$AJ$5,),B110))/D110)</f>
        <v>5.4704595185995624</v>
      </c>
      <c r="H110" s="33">
        <f t="shared" ca="1" si="10"/>
        <v>0.82744199248884143</v>
      </c>
      <c r="I110" s="21">
        <f t="shared" ca="1" si="11"/>
        <v>57.162919490864319</v>
      </c>
      <c r="J110" s="74">
        <f ca="1">IF(B110="","",DATE(INDEX(OFFSET(Arb!$C$2,,,Arb!$AJ$5,),B110),INDEX(OFFSET(Arb!$B$2,,,Arb!$AJ$5,),B110),INDEX(OFFSET(Arb!$A$2,,,Arb!$AJ$5,),B110))+ROW()*0.001)</f>
        <v>44096.11</v>
      </c>
      <c r="K110" s="11">
        <v>109</v>
      </c>
      <c r="L110" s="11">
        <v>2307</v>
      </c>
      <c r="M110" s="433">
        <f ca="1">IF(L110="",64,INDEX(OFFSET(Arb!$I$2,,,Arb!$AJ$5,),L110))</f>
        <v>54</v>
      </c>
      <c r="N110" s="34">
        <f ca="1">IF(L110="",60,INDEX(OFFSET(Arb!$H$2,,,Arb!$AJ$5,),L110))</f>
        <v>21.74</v>
      </c>
      <c r="O110" s="33">
        <f t="shared" ca="1" si="12"/>
        <v>2.4839006439742413</v>
      </c>
      <c r="P110" s="33">
        <f ca="1">IF(L110="","",INDEX(OFFSET(Arb!$X$2,,,Arb!$AJ$5,),L110)/N110)</f>
        <v>3.3118675252989882</v>
      </c>
      <c r="Q110" s="33">
        <f ca="1">IF(L110="","",(INDEX(OFFSET(Arb!$U$2,,,Arb!$AJ$5,),L110)+INDEX(OFFSET(Arb!$V$2,,,Arb!$AJ$5,),L110))/N110)</f>
        <v>3.4958601655933763</v>
      </c>
      <c r="R110" s="33">
        <f t="shared" ca="1" si="13"/>
        <v>3.4749411802055072</v>
      </c>
      <c r="S110" s="21">
        <f t="shared" ca="1" si="14"/>
        <v>44.239597745049728</v>
      </c>
      <c r="T110" s="74">
        <f ca="1">IF(L110="","",DATE(INDEX(OFFSET(Arb!$C$2,,,Arb!$AJ$5,),L110),INDEX(OFFSET(Arb!$B$2,,,Arb!$AJ$5,),L110),INDEX(OFFSET(Arb!$A$2,,,Arb!$AJ$5,),L110))+ROW()*0.001)</f>
        <v>43950.11</v>
      </c>
      <c r="U110" s="11">
        <v>109</v>
      </c>
      <c r="V110" s="11">
        <v>3014</v>
      </c>
      <c r="W110" s="433">
        <f ca="1">IF(V110="",164,INDEX(OFFSET(Arb!$I$2,,,Arb!$AJ$5,),V110))</f>
        <v>150</v>
      </c>
      <c r="X110" s="34">
        <f ca="1">IF(V110="",240,INDEX(OFFSET(Arb!$H$2,,,Arb!$AJ$5,),V110))</f>
        <v>64.48</v>
      </c>
      <c r="Y110" s="33">
        <f t="shared" ca="1" si="15"/>
        <v>2.3263027295285359</v>
      </c>
      <c r="Z110" s="33">
        <f ca="1">IF(V110="","",INDEX(OFFSET(Arb!$X$2,,,Arb!$AJ$5,),V110)/X110)</f>
        <v>2.8070719602977667</v>
      </c>
      <c r="AA110" s="33">
        <f ca="1">IF(V110="","",(INDEX(OFFSET(Arb!$U$2,,,Arb!$AJ$5,),V110)+INDEX(OFFSET(Arb!$V$2,,,Arb!$AJ$5,),V110))/X110)</f>
        <v>3.1637717121588089</v>
      </c>
      <c r="AB110" s="33">
        <f t="shared" ca="1" si="16"/>
        <v>7.9420257331693911</v>
      </c>
      <c r="AC110" s="21">
        <f t="shared" ca="1" si="17"/>
        <v>54.772046152311567</v>
      </c>
      <c r="AD110" s="74">
        <f ca="1">IF(V110="","",DATE(INDEX(OFFSET(Arb!$C$2,,,Arb!$AJ$5,),V110),INDEX(OFFSET(Arb!$B$2,,,Arb!$AJ$5,),V110),INDEX(OFFSET(Arb!$A$2,,,Arb!$AJ$5,),V110))+ROW()*0.001)</f>
        <v>43958.11</v>
      </c>
    </row>
    <row r="111" spans="1:30" x14ac:dyDescent="0.25">
      <c r="A111" s="11">
        <v>110</v>
      </c>
      <c r="B111" s="11">
        <v>1602</v>
      </c>
      <c r="C111" s="433">
        <f ca="1">IF(B111="",16,INDEX(OFFSET(Arb!$I$2,,,Arb!$AJ$5,),B111))</f>
        <v>16</v>
      </c>
      <c r="D111" s="34">
        <f ca="1">IF(B111="",10,INDEX(OFFSET(Arb!$H$2,,,Arb!$AJ$5,),B111))</f>
        <v>4.57</v>
      </c>
      <c r="E111" s="33">
        <f t="shared" ca="1" si="9"/>
        <v>3.5010940919037199</v>
      </c>
      <c r="F111" s="33">
        <f ca="1">IF(B111="","",INDEX(OFFSET(Arb!$X$2,,,Arb!$AJ$5,),B111)/D111)</f>
        <v>3.7199124726477022</v>
      </c>
      <c r="G111" s="33">
        <f ca="1">IF(B111="","",(INDEX(OFFSET(Arb!$U$2,,,Arb!$AJ$5,),B111)+INDEX(OFFSET(Arb!$V$2,,,Arb!$AJ$5,),B111))/D111)</f>
        <v>4.3763676148796495</v>
      </c>
      <c r="H111" s="33">
        <f t="shared" ca="1" si="10"/>
        <v>0.82744199248884143</v>
      </c>
      <c r="I111" s="21">
        <f t="shared" ca="1" si="11"/>
        <v>57.162919490864319</v>
      </c>
      <c r="J111" s="74">
        <f ca="1">IF(B111="","",DATE(INDEX(OFFSET(Arb!$C$2,,,Arb!$AJ$5,),B111),INDEX(OFFSET(Arb!$B$2,,,Arb!$AJ$5,),B111),INDEX(OFFSET(Arb!$A$2,,,Arb!$AJ$5,),B111))+ROW()*0.001)</f>
        <v>44054.110999999997</v>
      </c>
      <c r="K111" s="11">
        <v>110</v>
      </c>
      <c r="L111" s="11">
        <v>1918</v>
      </c>
      <c r="M111" s="433">
        <f ca="1">IF(L111="",64,INDEX(OFFSET(Arb!$I$2,,,Arb!$AJ$5,),L111))</f>
        <v>58</v>
      </c>
      <c r="N111" s="34">
        <f ca="1">IF(L111="",60,INDEX(OFFSET(Arb!$H$2,,,Arb!$AJ$5,),L111))</f>
        <v>22.69</v>
      </c>
      <c r="O111" s="33">
        <f t="shared" ca="1" si="12"/>
        <v>2.5561921551344202</v>
      </c>
      <c r="P111" s="33">
        <f ca="1">IF(L111="","",INDEX(OFFSET(Arb!$X$2,,,Arb!$AJ$5,),L111)/N111)</f>
        <v>3.2613486117232258</v>
      </c>
      <c r="Q111" s="33">
        <f ca="1">IF(L111="","",(INDEX(OFFSET(Arb!$U$2,,,Arb!$AJ$5,),L111)+INDEX(OFFSET(Arb!$V$2,,,Arb!$AJ$5,),L111))/N111)</f>
        <v>3.7902159541648301</v>
      </c>
      <c r="R111" s="33">
        <f t="shared" ca="1" si="13"/>
        <v>3.479290164978194</v>
      </c>
      <c r="S111" s="21">
        <f t="shared" ca="1" si="14"/>
        <v>44.184299874558889</v>
      </c>
      <c r="T111" s="74">
        <f ca="1">IF(L111="","",DATE(INDEX(OFFSET(Arb!$C$2,,,Arb!$AJ$5,),L111),INDEX(OFFSET(Arb!$B$2,,,Arb!$AJ$5,),L111),INDEX(OFFSET(Arb!$A$2,,,Arb!$AJ$5,),L111))+ROW()*0.001)</f>
        <v>43769.110999999997</v>
      </c>
      <c r="U111" s="11">
        <v>110</v>
      </c>
      <c r="V111" s="11">
        <v>3055</v>
      </c>
      <c r="W111" s="433">
        <f ca="1">IF(V111="",164,INDEX(OFFSET(Arb!$I$2,,,Arb!$AJ$5,),V111))</f>
        <v>160</v>
      </c>
      <c r="X111" s="34">
        <f ca="1">IF(V111="",240,INDEX(OFFSET(Arb!$H$2,,,Arb!$AJ$5,),V111))</f>
        <v>66.989999999999995</v>
      </c>
      <c r="Y111" s="33">
        <f t="shared" ca="1" si="15"/>
        <v>2.3884161815196299</v>
      </c>
      <c r="Z111" s="33">
        <f ca="1">IF(V111="","",INDEX(OFFSET(Arb!$X$2,,,Arb!$AJ$5,),V111)/X111)</f>
        <v>2.7914614121510675</v>
      </c>
      <c r="AA111" s="33">
        <f ca="1">IF(V111="","",(INDEX(OFFSET(Arb!$U$2,,,Arb!$AJ$5,),V111)+INDEX(OFFSET(Arb!$V$2,,,Arb!$AJ$5,),V111))/X111)</f>
        <v>3.0750858337065234</v>
      </c>
      <c r="AB111" s="33">
        <f t="shared" ca="1" si="16"/>
        <v>7.9450563100834923</v>
      </c>
      <c r="AC111" s="21">
        <f t="shared" ca="1" si="17"/>
        <v>54.751153802134432</v>
      </c>
      <c r="AD111" s="74">
        <f ca="1">IF(V111="","",DATE(INDEX(OFFSET(Arb!$C$2,,,Arb!$AJ$5,),V111),INDEX(OFFSET(Arb!$B$2,,,Arb!$AJ$5,),V111),INDEX(OFFSET(Arb!$A$2,,,Arb!$AJ$5,),V111))+ROW()*0.001)</f>
        <v>43982.110999999997</v>
      </c>
    </row>
    <row r="112" spans="1:30" x14ac:dyDescent="0.25">
      <c r="A112" s="11">
        <v>111</v>
      </c>
      <c r="B112" s="11">
        <v>224</v>
      </c>
      <c r="C112" s="433">
        <f ca="1">IF(B112="",16,INDEX(OFFSET(Arb!$I$2,,,Arb!$AJ$5,),B112))</f>
        <v>12</v>
      </c>
      <c r="D112" s="34">
        <f ca="1">IF(B112="",10,INDEX(OFFSET(Arb!$H$2,,,Arb!$AJ$5,),B112))</f>
        <v>3.86</v>
      </c>
      <c r="E112" s="33">
        <f t="shared" ca="1" si="9"/>
        <v>3.1088082901554404</v>
      </c>
      <c r="F112" s="33">
        <f ca="1">IF(B112="","",INDEX(OFFSET(Arb!$X$2,,,Arb!$AJ$5,),B112)/D112)</f>
        <v>3.1088082901554404</v>
      </c>
      <c r="G112" s="33">
        <f ca="1">IF(B112="","",(INDEX(OFFSET(Arb!$U$2,,,Arb!$AJ$5,),B112)+INDEX(OFFSET(Arb!$V$2,,,Arb!$AJ$5,),B112))/D112)</f>
        <v>3.6269430051813472</v>
      </c>
      <c r="H112" s="33">
        <f t="shared" ca="1" si="10"/>
        <v>0.82797490098402726</v>
      </c>
      <c r="I112" s="21">
        <f t="shared" ca="1" si="11"/>
        <v>57.126127789364546</v>
      </c>
      <c r="J112" s="74">
        <f ca="1">IF(B112="","",DATE(INDEX(OFFSET(Arb!$C$2,,,Arb!$AJ$5,),B112),INDEX(OFFSET(Arb!$B$2,,,Arb!$AJ$5,),B112),INDEX(OFFSET(Arb!$A$2,,,Arb!$AJ$5,),B112))+ROW()*0.001)</f>
        <v>43774.112000000001</v>
      </c>
      <c r="K112" s="11">
        <v>111</v>
      </c>
      <c r="L112" s="11">
        <v>2018</v>
      </c>
      <c r="M112" s="433">
        <f ca="1">IF(L112="",64,INDEX(OFFSET(Arb!$I$2,,,Arb!$AJ$5,),L112))</f>
        <v>58</v>
      </c>
      <c r="N112" s="34">
        <f ca="1">IF(L112="",60,INDEX(OFFSET(Arb!$H$2,,,Arb!$AJ$5,),L112))</f>
        <v>22.7</v>
      </c>
      <c r="O112" s="33">
        <f t="shared" ca="1" si="12"/>
        <v>2.5550660792951541</v>
      </c>
      <c r="P112" s="33">
        <f ca="1">IF(L112="","",INDEX(OFFSET(Arb!$X$2,,,Arb!$AJ$5,),L112)/N112)</f>
        <v>3.1718061674008813</v>
      </c>
      <c r="Q112" s="33">
        <f ca="1">IF(L112="","",(INDEX(OFFSET(Arb!$U$2,,,Arb!$AJ$5,),L112)+INDEX(OFFSET(Arb!$V$2,,,Arb!$AJ$5,),L112))/N112)</f>
        <v>3.4361233480176212</v>
      </c>
      <c r="R112" s="33">
        <f t="shared" ca="1" si="13"/>
        <v>3.4818973512341289</v>
      </c>
      <c r="S112" s="21">
        <f t="shared" ca="1" si="14"/>
        <v>44.151215412916095</v>
      </c>
      <c r="T112" s="74">
        <f ca="1">IF(L112="","",DATE(INDEX(OFFSET(Arb!$C$2,,,Arb!$AJ$5,),L112),INDEX(OFFSET(Arb!$B$2,,,Arb!$AJ$5,),L112),INDEX(OFFSET(Arb!$A$2,,,Arb!$AJ$5,),L112))+ROW()*0.001)</f>
        <v>43795.112000000001</v>
      </c>
      <c r="U112" s="11">
        <v>111</v>
      </c>
      <c r="V112" s="11">
        <v>2916</v>
      </c>
      <c r="W112" s="433">
        <f ca="1">IF(V112="",164,INDEX(OFFSET(Arb!$I$2,,,Arb!$AJ$5,),V112))</f>
        <v>171</v>
      </c>
      <c r="X112" s="34">
        <f ca="1">IF(V112="",240,INDEX(OFFSET(Arb!$H$2,,,Arb!$AJ$5,),V112))</f>
        <v>69.75</v>
      </c>
      <c r="Y112" s="33">
        <f t="shared" ca="1" si="15"/>
        <v>2.4516129032258065</v>
      </c>
      <c r="Z112" s="33">
        <f ca="1">IF(V112="","",INDEX(OFFSET(Arb!$X$2,,,Arb!$AJ$5,),V112)/X112)</f>
        <v>2.838709677419355</v>
      </c>
      <c r="AA112" s="33">
        <f ca="1">IF(V112="","",(INDEX(OFFSET(Arb!$U$2,,,Arb!$AJ$5,),V112)+INDEX(OFFSET(Arb!$V$2,,,Arb!$AJ$5,),V112))/X112)</f>
        <v>3.1254480286738353</v>
      </c>
      <c r="AB112" s="33">
        <f t="shared" ca="1" si="16"/>
        <v>7.9621260721956419</v>
      </c>
      <c r="AC112" s="21">
        <f t="shared" ca="1" si="17"/>
        <v>54.633774453667222</v>
      </c>
      <c r="AD112" s="74">
        <f ca="1">IF(V112="","",DATE(INDEX(OFFSET(Arb!$C$2,,,Arb!$AJ$5,),V112),INDEX(OFFSET(Arb!$B$2,,,Arb!$AJ$5,),V112),INDEX(OFFSET(Arb!$A$2,,,Arb!$AJ$5,),V112))+ROW()*0.001)</f>
        <v>43934.112000000001</v>
      </c>
    </row>
    <row r="113" spans="1:30" x14ac:dyDescent="0.25">
      <c r="A113" s="11">
        <v>112</v>
      </c>
      <c r="B113" s="11">
        <v>1857</v>
      </c>
      <c r="C113" s="433">
        <f ca="1">IF(B113="",16,INDEX(OFFSET(Arb!$I$2,,,Arb!$AJ$5,),B113))</f>
        <v>11</v>
      </c>
      <c r="D113" s="34">
        <f ca="1">IF(B113="",10,INDEX(OFFSET(Arb!$H$2,,,Arb!$AJ$5,),B113))</f>
        <v>3.67</v>
      </c>
      <c r="E113" s="33">
        <f t="shared" ca="1" si="9"/>
        <v>2.9972752043596729</v>
      </c>
      <c r="F113" s="33">
        <f ca="1">IF(B113="","",INDEX(OFFSET(Arb!$X$2,,,Arb!$AJ$5,),B113)/D113)</f>
        <v>2.9972752043596729</v>
      </c>
      <c r="G113" s="33">
        <f ca="1">IF(B113="","",(INDEX(OFFSET(Arb!$U$2,,,Arb!$AJ$5,),B113)+INDEX(OFFSET(Arb!$V$2,,,Arb!$AJ$5,),B113))/D113)</f>
        <v>3.2697547683923704</v>
      </c>
      <c r="H113" s="33">
        <f t="shared" ca="1" si="10"/>
        <v>0.8289715463577878</v>
      </c>
      <c r="I113" s="21">
        <f t="shared" ca="1" si="11"/>
        <v>57.057446914571834</v>
      </c>
      <c r="J113" s="74">
        <f ca="1">IF(B113="","",DATE(INDEX(OFFSET(Arb!$C$2,,,Arb!$AJ$5,),B113),INDEX(OFFSET(Arb!$B$2,,,Arb!$AJ$5,),B113),INDEX(OFFSET(Arb!$A$2,,,Arb!$AJ$5,),B113))+ROW()*0.001)</f>
        <v>44168.112999999998</v>
      </c>
      <c r="K113" s="11">
        <v>112</v>
      </c>
      <c r="L113" s="11">
        <v>1967</v>
      </c>
      <c r="M113" s="433">
        <f ca="1">IF(L113="",64,INDEX(OFFSET(Arb!$I$2,,,Arb!$AJ$5,),L113))</f>
        <v>50</v>
      </c>
      <c r="N113" s="34">
        <f ca="1">IF(L113="",60,INDEX(OFFSET(Arb!$H$2,,,Arb!$AJ$5,),L113))</f>
        <v>20.81</v>
      </c>
      <c r="O113" s="33">
        <f t="shared" ca="1" si="12"/>
        <v>2.4026910139356081</v>
      </c>
      <c r="P113" s="33">
        <f ca="1">IF(L113="","",INDEX(OFFSET(Arb!$X$2,,,Arb!$AJ$5,),L113)/N113)</f>
        <v>3.0273906775588659</v>
      </c>
      <c r="Q113" s="33">
        <f ca="1">IF(L113="","",(INDEX(OFFSET(Arb!$U$2,,,Arb!$AJ$5,),L113)+INDEX(OFFSET(Arb!$V$2,,,Arb!$AJ$5,),L113))/N113)</f>
        <v>3.4118212397885634</v>
      </c>
      <c r="R113" s="33">
        <f t="shared" ca="1" si="13"/>
        <v>3.484115406871608</v>
      </c>
      <c r="S113" s="21">
        <f t="shared" ca="1" si="14"/>
        <v>44.123107890399751</v>
      </c>
      <c r="T113" s="74">
        <f ca="1">IF(L113="","",DATE(INDEX(OFFSET(Arb!$C$2,,,Arb!$AJ$5,),L113),INDEX(OFFSET(Arb!$B$2,,,Arb!$AJ$5,),L113),INDEX(OFFSET(Arb!$A$2,,,Arb!$AJ$5,),L113))+ROW()*0.001)</f>
        <v>43779.112999999998</v>
      </c>
      <c r="U113" s="11">
        <v>112</v>
      </c>
      <c r="V113" s="11">
        <v>3202</v>
      </c>
      <c r="W113" s="433">
        <f ca="1">IF(V113="",164,INDEX(OFFSET(Arb!$I$2,,,Arb!$AJ$5,),V113))</f>
        <v>183</v>
      </c>
      <c r="X113" s="34">
        <f ca="1">IF(V113="",240,INDEX(OFFSET(Arb!$H$2,,,Arb!$AJ$5,),V113))</f>
        <v>72.62</v>
      </c>
      <c r="Y113" s="33">
        <f t="shared" ca="1" si="15"/>
        <v>2.5199669512530982</v>
      </c>
      <c r="Z113" s="33">
        <f ca="1">IF(V113="","",INDEX(OFFSET(Arb!$X$2,,,Arb!$AJ$5,),V113)/X113)</f>
        <v>3.0019278435692645</v>
      </c>
      <c r="AA113" s="33">
        <f ca="1">IF(V113="","",(INDEX(OFFSET(Arb!$U$2,,,Arb!$AJ$5,),V113)+INDEX(OFFSET(Arb!$V$2,,,Arb!$AJ$5,),V113))/X113)</f>
        <v>3.2360231341228309</v>
      </c>
      <c r="AB113" s="33">
        <f t="shared" ca="1" si="16"/>
        <v>7.9679119465392834</v>
      </c>
      <c r="AC113" s="21">
        <f t="shared" ca="1" si="17"/>
        <v>54.594102309192145</v>
      </c>
      <c r="AD113" s="74">
        <f ca="1">IF(V113="","",DATE(INDEX(OFFSET(Arb!$C$2,,,Arb!$AJ$5,),V113),INDEX(OFFSET(Arb!$B$2,,,Arb!$AJ$5,),V113),INDEX(OFFSET(Arb!$A$2,,,Arb!$AJ$5,),V113))+ROW()*0.001)</f>
        <v>44058.112999999998</v>
      </c>
    </row>
    <row r="114" spans="1:30" x14ac:dyDescent="0.25">
      <c r="A114" s="11">
        <v>113</v>
      </c>
      <c r="B114" s="11">
        <v>1363</v>
      </c>
      <c r="C114" s="433">
        <f ca="1">IF(B114="",16,INDEX(OFFSET(Arb!$I$2,,,Arb!$AJ$5,),B114))</f>
        <v>11</v>
      </c>
      <c r="D114" s="34">
        <f ca="1">IF(B114="",10,INDEX(OFFSET(Arb!$H$2,,,Arb!$AJ$5,),B114))</f>
        <v>3.67</v>
      </c>
      <c r="E114" s="33">
        <f t="shared" ca="1" si="9"/>
        <v>2.9972752043596729</v>
      </c>
      <c r="F114" s="33">
        <f ca="1">IF(B114="","",INDEX(OFFSET(Arb!$X$2,,,Arb!$AJ$5,),B114)/D114)</f>
        <v>3.8147138964577656</v>
      </c>
      <c r="G114" s="33">
        <f ca="1">IF(B114="","",(INDEX(OFFSET(Arb!$U$2,,,Arb!$AJ$5,),B114)+INDEX(OFFSET(Arb!$V$2,,,Arb!$AJ$5,),B114))/D114)</f>
        <v>4.3596730245231612</v>
      </c>
      <c r="H114" s="33">
        <f t="shared" ca="1" si="10"/>
        <v>0.8289715463577878</v>
      </c>
      <c r="I114" s="21">
        <f t="shared" ca="1" si="11"/>
        <v>57.057446914571834</v>
      </c>
      <c r="J114" s="74">
        <f ca="1">IF(B114="","",DATE(INDEX(OFFSET(Arb!$C$2,,,Arb!$AJ$5,),B114),INDEX(OFFSET(Arb!$B$2,,,Arb!$AJ$5,),B114),INDEX(OFFSET(Arb!$A$2,,,Arb!$AJ$5,),B114))+ROW()*0.001)</f>
        <v>43935.114000000001</v>
      </c>
      <c r="K114" s="11">
        <v>113</v>
      </c>
      <c r="L114" s="11">
        <v>1893</v>
      </c>
      <c r="M114" s="433">
        <f ca="1">IF(L114="",64,INDEX(OFFSET(Arb!$I$2,,,Arb!$AJ$5,),L114))</f>
        <v>47</v>
      </c>
      <c r="N114" s="34">
        <f ca="1">IF(L114="",60,INDEX(OFFSET(Arb!$H$2,,,Arb!$AJ$5,),L114))</f>
        <v>20.09</v>
      </c>
      <c r="O114" s="33">
        <f t="shared" ca="1" si="12"/>
        <v>2.3394723743155801</v>
      </c>
      <c r="P114" s="33">
        <f ca="1">IF(L114="","",INDEX(OFFSET(Arb!$X$2,,,Arb!$AJ$5,),L114)/N114)</f>
        <v>3.235440517670483</v>
      </c>
      <c r="Q114" s="33">
        <f ca="1">IF(L114="","",(INDEX(OFFSET(Arb!$U$2,,,Arb!$AJ$5,),L114)+INDEX(OFFSET(Arb!$V$2,,,Arb!$AJ$5,),L114))/N114)</f>
        <v>3.7829766052762568</v>
      </c>
      <c r="R114" s="33">
        <f t="shared" ca="1" si="13"/>
        <v>3.4911461857974944</v>
      </c>
      <c r="S114" s="21">
        <f t="shared" ca="1" si="14"/>
        <v>44.034248873735699</v>
      </c>
      <c r="T114" s="74">
        <f ca="1">IF(L114="","",DATE(INDEX(OFFSET(Arb!$C$2,,,Arb!$AJ$5,),L114),INDEX(OFFSET(Arb!$B$2,,,Arb!$AJ$5,),L114),INDEX(OFFSET(Arb!$A$2,,,Arb!$AJ$5,),L114))+ROW()*0.001)</f>
        <v>43764.114000000001</v>
      </c>
      <c r="U114" s="11">
        <v>113</v>
      </c>
      <c r="V114" s="11">
        <v>2966</v>
      </c>
      <c r="W114" s="433">
        <f ca="1">IF(V114="",164,INDEX(OFFSET(Arb!$I$2,,,Arb!$AJ$5,),V114))</f>
        <v>162</v>
      </c>
      <c r="X114" s="34">
        <f ca="1">IF(V114="",240,INDEX(OFFSET(Arb!$H$2,,,Arb!$AJ$5,),V114))</f>
        <v>67.61</v>
      </c>
      <c r="Y114" s="33">
        <f t="shared" ca="1" si="15"/>
        <v>2.3960952521816301</v>
      </c>
      <c r="Z114" s="33">
        <f ca="1">IF(V114="","",INDEX(OFFSET(Arb!$X$2,,,Arb!$AJ$5,),V114)/X114)</f>
        <v>2.9433515752107677</v>
      </c>
      <c r="AA114" s="33">
        <f ca="1">IF(V114="","",(INDEX(OFFSET(Arb!$U$2,,,Arb!$AJ$5,),V114)+INDEX(OFFSET(Arb!$V$2,,,Arb!$AJ$5,),V114))/X114)</f>
        <v>3.2243750924419463</v>
      </c>
      <c r="AB114" s="33">
        <f t="shared" ca="1" si="16"/>
        <v>7.9708305478762993</v>
      </c>
      <c r="AC114" s="21">
        <f t="shared" ca="1" si="17"/>
        <v>54.574112118830456</v>
      </c>
      <c r="AD114" s="74">
        <f ca="1">IF(V114="","",DATE(INDEX(OFFSET(Arb!$C$2,,,Arb!$AJ$5,),V114),INDEX(OFFSET(Arb!$B$2,,,Arb!$AJ$5,),V114),INDEX(OFFSET(Arb!$A$2,,,Arb!$AJ$5,),V114))+ROW()*0.001)</f>
        <v>43952.114000000001</v>
      </c>
    </row>
    <row r="115" spans="1:30" x14ac:dyDescent="0.25">
      <c r="A115" s="11">
        <v>114</v>
      </c>
      <c r="B115" s="11">
        <v>852</v>
      </c>
      <c r="C115" s="433">
        <f ca="1">IF(B115="",16,INDEX(OFFSET(Arb!$I$2,,,Arb!$AJ$5,),B115))</f>
        <v>15</v>
      </c>
      <c r="D115" s="34">
        <f ca="1">IF(B115="",10,INDEX(OFFSET(Arb!$H$2,,,Arb!$AJ$5,),B115))</f>
        <v>4.41</v>
      </c>
      <c r="E115" s="33">
        <f t="shared" ca="1" si="9"/>
        <v>3.4013605442176869</v>
      </c>
      <c r="F115" s="33">
        <f ca="1">IF(B115="","",INDEX(OFFSET(Arb!$X$2,,,Arb!$AJ$5,),B115)/D115)</f>
        <v>4.0816326530612246</v>
      </c>
      <c r="G115" s="33">
        <f ca="1">IF(B115="","",(INDEX(OFFSET(Arb!$U$2,,,Arb!$AJ$5,),B115)+INDEX(OFFSET(Arb!$V$2,,,Arb!$AJ$5,),B115))/D115)</f>
        <v>4.5351473922902494</v>
      </c>
      <c r="H115" s="33">
        <f t="shared" ca="1" si="10"/>
        <v>0.83071938138314472</v>
      </c>
      <c r="I115" s="21">
        <f t="shared" ca="1" si="11"/>
        <v>56.937397946882299</v>
      </c>
      <c r="J115" s="74">
        <f ca="1">IF(B115="","",DATE(INDEX(OFFSET(Arb!$C$2,,,Arb!$AJ$5,),B115),INDEX(OFFSET(Arb!$B$2,,,Arb!$AJ$5,),B115),INDEX(OFFSET(Arb!$A$2,,,Arb!$AJ$5,),B115))+ROW()*0.001)</f>
        <v>43815.114999999998</v>
      </c>
      <c r="K115" s="11">
        <v>114</v>
      </c>
      <c r="L115" s="11">
        <v>2322</v>
      </c>
      <c r="M115" s="433">
        <f ca="1">IF(L115="",64,INDEX(OFFSET(Arb!$I$2,,,Arb!$AJ$5,),L115))</f>
        <v>82</v>
      </c>
      <c r="N115" s="34">
        <f ca="1">IF(L115="",60,INDEX(OFFSET(Arb!$H$2,,,Arb!$AJ$5,),L115))</f>
        <v>27.89</v>
      </c>
      <c r="O115" s="33">
        <f t="shared" ca="1" si="12"/>
        <v>2.9401219074937255</v>
      </c>
      <c r="P115" s="33">
        <f ca="1">IF(L115="","",INDEX(OFFSET(Arb!$X$2,,,Arb!$AJ$5,),L115)/N115)</f>
        <v>3.8006453926138399</v>
      </c>
      <c r="Q115" s="33">
        <f ca="1">IF(L115="","",(INDEX(OFFSET(Arb!$U$2,,,Arb!$AJ$5,),L115)+INDEX(OFFSET(Arb!$V$2,,,Arb!$AJ$5,),L115))/N115)</f>
        <v>4.6611688777339548</v>
      </c>
      <c r="R115" s="33">
        <f t="shared" ca="1" si="13"/>
        <v>3.4950116028493965</v>
      </c>
      <c r="S115" s="21">
        <f t="shared" ca="1" si="14"/>
        <v>43.985547823265513</v>
      </c>
      <c r="T115" s="74">
        <f ca="1">IF(L115="","",DATE(INDEX(OFFSET(Arb!$C$2,,,Arb!$AJ$5,),L115),INDEX(OFFSET(Arb!$B$2,,,Arb!$AJ$5,),L115),INDEX(OFFSET(Arb!$A$2,,,Arb!$AJ$5,),L115))+ROW()*0.001)</f>
        <v>43990.114999999998</v>
      </c>
      <c r="U115" s="11">
        <v>114</v>
      </c>
      <c r="V115" s="11">
        <v>3289</v>
      </c>
      <c r="W115" s="433">
        <f ca="1">IF(V115="",164,INDEX(OFFSET(Arb!$I$2,,,Arb!$AJ$5,),V115))</f>
        <v>181</v>
      </c>
      <c r="X115" s="34">
        <f ca="1">IF(V115="",240,INDEX(OFFSET(Arb!$H$2,,,Arb!$AJ$5,),V115))</f>
        <v>72.17</v>
      </c>
      <c r="Y115" s="33">
        <f t="shared" ca="1" si="15"/>
        <v>2.5079672994318969</v>
      </c>
      <c r="Z115" s="33">
        <f ca="1">IF(V115="","",INDEX(OFFSET(Arb!$X$2,,,Arb!$AJ$5,),V115)/X115)</f>
        <v>2.9652210059581541</v>
      </c>
      <c r="AA115" s="33">
        <f ca="1">IF(V115="","",(INDEX(OFFSET(Arb!$U$2,,,Arb!$AJ$5,),V115)+INDEX(OFFSET(Arb!$V$2,,,Arb!$AJ$5,),V115))/X115)</f>
        <v>3.1869197727587641</v>
      </c>
      <c r="AB115" s="33">
        <f t="shared" ca="1" si="16"/>
        <v>7.9712755887893429</v>
      </c>
      <c r="AC115" s="21">
        <f t="shared" ca="1" si="17"/>
        <v>54.571065214678747</v>
      </c>
      <c r="AD115" s="74">
        <f ca="1">IF(V115="","",DATE(INDEX(OFFSET(Arb!$C$2,,,Arb!$AJ$5,),V115),INDEX(OFFSET(Arb!$B$2,,,Arb!$AJ$5,),V115),INDEX(OFFSET(Arb!$A$2,,,Arb!$AJ$5,),V115))+ROW()*0.001)</f>
        <v>44084.114999999998</v>
      </c>
    </row>
    <row r="116" spans="1:30" x14ac:dyDescent="0.25">
      <c r="A116" s="11">
        <v>115</v>
      </c>
      <c r="B116" s="11">
        <v>962</v>
      </c>
      <c r="C116" s="433">
        <f ca="1">IF(B116="",16,INDEX(OFFSET(Arb!$I$2,,,Arb!$AJ$5,),B116))</f>
        <v>18</v>
      </c>
      <c r="D116" s="34">
        <f ca="1">IF(B116="",10,INDEX(OFFSET(Arb!$H$2,,,Arb!$AJ$5,),B116))</f>
        <v>4.91</v>
      </c>
      <c r="E116" s="33">
        <f t="shared" ca="1" si="9"/>
        <v>3.6659877800407332</v>
      </c>
      <c r="F116" s="33">
        <f ca="1">IF(B116="","",INDEX(OFFSET(Arb!$X$2,,,Arb!$AJ$5,),B116)/D116)</f>
        <v>3.6659877800407332</v>
      </c>
      <c r="G116" s="33">
        <f ca="1">IF(B116="","",(INDEX(OFFSET(Arb!$U$2,,,Arb!$AJ$5,),B116)+INDEX(OFFSET(Arb!$V$2,,,Arb!$AJ$5,),B116))/D116)</f>
        <v>4.4806517311608962</v>
      </c>
      <c r="H116" s="33">
        <f t="shared" ca="1" si="10"/>
        <v>0.83093304678484503</v>
      </c>
      <c r="I116" s="21">
        <f t="shared" ca="1" si="11"/>
        <v>56.922757113843872</v>
      </c>
      <c r="J116" s="74">
        <f ca="1">IF(B116="","",DATE(INDEX(OFFSET(Arb!$C$2,,,Arb!$AJ$5,),B116),INDEX(OFFSET(Arb!$B$2,,,Arb!$AJ$5,),B116),INDEX(OFFSET(Arb!$A$2,,,Arb!$AJ$5,),B116))+ROW()*0.001)</f>
        <v>43822.116000000002</v>
      </c>
      <c r="K116" s="11">
        <v>115</v>
      </c>
      <c r="L116" s="11">
        <v>2291</v>
      </c>
      <c r="M116" s="433">
        <f ca="1">IF(L116="",64,INDEX(OFFSET(Arb!$I$2,,,Arb!$AJ$5,),L116))</f>
        <v>67</v>
      </c>
      <c r="N116" s="34">
        <f ca="1">IF(L116="",60,INDEX(OFFSET(Arb!$H$2,,,Arb!$AJ$5,),L116))</f>
        <v>24.77</v>
      </c>
      <c r="O116" s="33">
        <f t="shared" ca="1" si="12"/>
        <v>2.7048849414614455</v>
      </c>
      <c r="P116" s="33">
        <f ca="1">IF(L116="","",INDEX(OFFSET(Arb!$X$2,,,Arb!$AJ$5,),L116)/N116)</f>
        <v>3.6737989503431572</v>
      </c>
      <c r="Q116" s="33">
        <f ca="1">IF(L116="","",(INDEX(OFFSET(Arb!$U$2,,,Arb!$AJ$5,),L116)+INDEX(OFFSET(Arb!$V$2,,,Arb!$AJ$5,),L116))/N116)</f>
        <v>4.1178845377472753</v>
      </c>
      <c r="R116" s="33">
        <f t="shared" ca="1" si="13"/>
        <v>3.4962252781986032</v>
      </c>
      <c r="S116" s="21">
        <f t="shared" ca="1" si="14"/>
        <v>43.970278734214723</v>
      </c>
      <c r="T116" s="74">
        <f ca="1">IF(L116="","",DATE(INDEX(OFFSET(Arb!$C$2,,,Arb!$AJ$5,),L116),INDEX(OFFSET(Arb!$B$2,,,Arb!$AJ$5,),L116),INDEX(OFFSET(Arb!$A$2,,,Arb!$AJ$5,),L116))+ROW()*0.001)</f>
        <v>43937.116000000002</v>
      </c>
      <c r="U116" s="11">
        <v>115</v>
      </c>
      <c r="V116" s="11">
        <v>2904</v>
      </c>
      <c r="W116" s="433">
        <f ca="1">IF(V116="",164,INDEX(OFFSET(Arb!$I$2,,,Arb!$AJ$5,),V116))</f>
        <v>151</v>
      </c>
      <c r="X116" s="34">
        <f ca="1">IF(V116="",240,INDEX(OFFSET(Arb!$H$2,,,Arb!$AJ$5,),V116))</f>
        <v>64.88</v>
      </c>
      <c r="Y116" s="33">
        <f t="shared" ca="1" si="15"/>
        <v>2.3273736128236746</v>
      </c>
      <c r="Z116" s="33">
        <f ca="1">IF(V116="","",INDEX(OFFSET(Arb!$X$2,,,Arb!$AJ$5,),V116)/X116)</f>
        <v>2.8205918618988903</v>
      </c>
      <c r="AA116" s="33">
        <f ca="1">IF(V116="","",(INDEX(OFFSET(Arb!$U$2,,,Arb!$AJ$5,),V116)+INDEX(OFFSET(Arb!$V$2,,,Arb!$AJ$5,),V116))/X116)</f>
        <v>3.1442663378545008</v>
      </c>
      <c r="AB116" s="33">
        <f t="shared" ca="1" si="16"/>
        <v>7.9728112521181691</v>
      </c>
      <c r="AC116" s="21">
        <f t="shared" ca="1" si="17"/>
        <v>54.560554143863811</v>
      </c>
      <c r="AD116" s="74">
        <f ca="1">IF(V116="","",DATE(INDEX(OFFSET(Arb!$C$2,,,Arb!$AJ$5,),V116),INDEX(OFFSET(Arb!$B$2,,,Arb!$AJ$5,),V116),INDEX(OFFSET(Arb!$A$2,,,Arb!$AJ$5,),V116))+ROW()*0.001)</f>
        <v>43927.116000000002</v>
      </c>
    </row>
    <row r="117" spans="1:30" x14ac:dyDescent="0.25">
      <c r="A117" s="11">
        <v>116</v>
      </c>
      <c r="B117" s="11">
        <v>1624</v>
      </c>
      <c r="C117" s="433">
        <f ca="1">IF(B117="",16,INDEX(OFFSET(Arb!$I$2,,,Arb!$AJ$5,),B117))</f>
        <v>13</v>
      </c>
      <c r="D117" s="34">
        <f ca="1">IF(B117="",10,INDEX(OFFSET(Arb!$H$2,,,Arb!$AJ$5,),B117))</f>
        <v>4.0599999999999996</v>
      </c>
      <c r="E117" s="33">
        <f t="shared" ca="1" si="9"/>
        <v>3.201970443349754</v>
      </c>
      <c r="F117" s="33">
        <f ca="1">IF(B117="","",INDEX(OFFSET(Arb!$X$2,,,Arb!$AJ$5,),B117)/D117)</f>
        <v>3.9408866995073897</v>
      </c>
      <c r="G117" s="33">
        <f ca="1">IF(B117="","",(INDEX(OFFSET(Arb!$U$2,,,Arb!$AJ$5,),B117)+INDEX(OFFSET(Arb!$V$2,,,Arb!$AJ$5,),B117))/D117)</f>
        <v>4.4334975369458132</v>
      </c>
      <c r="H117" s="33">
        <f t="shared" ca="1" si="10"/>
        <v>0.83281953718669632</v>
      </c>
      <c r="I117" s="21">
        <f t="shared" ca="1" si="11"/>
        <v>56.793816532904899</v>
      </c>
      <c r="J117" s="74">
        <f ca="1">IF(B117="","",DATE(INDEX(OFFSET(Arb!$C$2,,,Arb!$AJ$5,),B117),INDEX(OFFSET(Arb!$B$2,,,Arb!$AJ$5,),B117),INDEX(OFFSET(Arb!$A$2,,,Arb!$AJ$5,),B117))+ROW()*0.001)</f>
        <v>44093.116999999998</v>
      </c>
      <c r="K117" s="11">
        <v>116</v>
      </c>
      <c r="L117" s="11">
        <v>2256</v>
      </c>
      <c r="M117" s="433">
        <f ca="1">IF(L117="",64,INDEX(OFFSET(Arb!$I$2,,,Arb!$AJ$5,),L117))</f>
        <v>53</v>
      </c>
      <c r="N117" s="34">
        <f ca="1">IF(L117="",60,INDEX(OFFSET(Arb!$H$2,,,Arb!$AJ$5,),L117))</f>
        <v>21.6</v>
      </c>
      <c r="O117" s="33">
        <f t="shared" ca="1" si="12"/>
        <v>2.4537037037037037</v>
      </c>
      <c r="P117" s="33">
        <f ca="1">IF(L117="","",INDEX(OFFSET(Arb!$X$2,,,Arb!$AJ$5,),L117)/N117)</f>
        <v>3.0555555555555554</v>
      </c>
      <c r="Q117" s="33">
        <f ca="1">IF(L117="","",(INDEX(OFFSET(Arb!$U$2,,,Arb!$AJ$5,),L117)+INDEX(OFFSET(Arb!$V$2,,,Arb!$AJ$5,),L117))/N117)</f>
        <v>3.657407407407407</v>
      </c>
      <c r="R117" s="33">
        <f t="shared" ca="1" si="13"/>
        <v>3.5018336153787888</v>
      </c>
      <c r="S117" s="21">
        <f t="shared" ca="1" si="14"/>
        <v>43.899858441267263</v>
      </c>
      <c r="T117" s="74">
        <f ca="1">IF(L117="","",DATE(INDEX(OFFSET(Arb!$C$2,,,Arb!$AJ$5,),L117),INDEX(OFFSET(Arb!$B$2,,,Arb!$AJ$5,),L117),INDEX(OFFSET(Arb!$A$2,,,Arb!$AJ$5,),L117))+ROW()*0.001)</f>
        <v>43901.116999999998</v>
      </c>
      <c r="U117" s="11">
        <v>116</v>
      </c>
      <c r="V117" s="11">
        <v>3025</v>
      </c>
      <c r="W117" s="433">
        <f ca="1">IF(V117="",164,INDEX(OFFSET(Arb!$I$2,,,Arb!$AJ$5,),V117))</f>
        <v>190</v>
      </c>
      <c r="X117" s="34">
        <f ca="1">IF(V117="",240,INDEX(OFFSET(Arb!$H$2,,,Arb!$AJ$5,),V117))</f>
        <v>74.28</v>
      </c>
      <c r="Y117" s="33">
        <f t="shared" ca="1" si="15"/>
        <v>2.5578890683898763</v>
      </c>
      <c r="Z117" s="33">
        <f ca="1">IF(V117="","",INDEX(OFFSET(Arb!$X$2,,,Arb!$AJ$5,),V117)/X117)</f>
        <v>3.1637049003769522</v>
      </c>
      <c r="AA117" s="33">
        <f ca="1">IF(V117="","",(INDEX(OFFSET(Arb!$U$2,,,Arb!$AJ$5,),V117)+INDEX(OFFSET(Arb!$V$2,,,Arb!$AJ$5,),V117))/X117)</f>
        <v>3.5271943995691974</v>
      </c>
      <c r="AB117" s="33">
        <f t="shared" ca="1" si="16"/>
        <v>7.9749619688489881</v>
      </c>
      <c r="AC117" s="21">
        <f t="shared" ca="1" si="17"/>
        <v>54.545840055307863</v>
      </c>
      <c r="AD117" s="74">
        <f ca="1">IF(V117="","",DATE(INDEX(OFFSET(Arb!$C$2,,,Arb!$AJ$5,),V117),INDEX(OFFSET(Arb!$B$2,,,Arb!$AJ$5,),V117),INDEX(OFFSET(Arb!$A$2,,,Arb!$AJ$5,),V117))+ROW()*0.001)</f>
        <v>43967.116999999998</v>
      </c>
    </row>
    <row r="118" spans="1:30" x14ac:dyDescent="0.25">
      <c r="A118" s="11">
        <v>117</v>
      </c>
      <c r="B118" s="11">
        <v>554</v>
      </c>
      <c r="C118" s="433">
        <f ca="1">IF(B118="",16,INDEX(OFFSET(Arb!$I$2,,,Arb!$AJ$5,),B118))</f>
        <v>13</v>
      </c>
      <c r="D118" s="34">
        <f ca="1">IF(B118="",10,INDEX(OFFSET(Arb!$H$2,,,Arb!$AJ$5,),B118))</f>
        <v>4.0599999999999996</v>
      </c>
      <c r="E118" s="33">
        <f t="shared" ca="1" si="9"/>
        <v>3.201970443349754</v>
      </c>
      <c r="F118" s="33">
        <f ca="1">IF(B118="","",INDEX(OFFSET(Arb!$X$2,,,Arb!$AJ$5,),B118)/D118)</f>
        <v>4.1871921182266014</v>
      </c>
      <c r="G118" s="33">
        <f ca="1">IF(B118="","",(INDEX(OFFSET(Arb!$U$2,,,Arb!$AJ$5,),B118)+INDEX(OFFSET(Arb!$V$2,,,Arb!$AJ$5,),B118))/D118)</f>
        <v>4.6798029556650249</v>
      </c>
      <c r="H118" s="33">
        <f t="shared" ca="1" si="10"/>
        <v>0.83281953718669632</v>
      </c>
      <c r="I118" s="21">
        <f t="shared" ca="1" si="11"/>
        <v>56.793816532904899</v>
      </c>
      <c r="J118" s="74">
        <f ca="1">IF(B118="","",DATE(INDEX(OFFSET(Arb!$C$2,,,Arb!$AJ$5,),B118),INDEX(OFFSET(Arb!$B$2,,,Arb!$AJ$5,),B118),INDEX(OFFSET(Arb!$A$2,,,Arb!$AJ$5,),B118))+ROW()*0.001)</f>
        <v>43797.118000000002</v>
      </c>
      <c r="K118" s="11">
        <v>117</v>
      </c>
      <c r="L118" s="11">
        <v>2274</v>
      </c>
      <c r="M118" s="433">
        <f ca="1">IF(L118="",64,INDEX(OFFSET(Arb!$I$2,,,Arb!$AJ$5,),L118))</f>
        <v>52</v>
      </c>
      <c r="N118" s="34">
        <f ca="1">IF(L118="",60,INDEX(OFFSET(Arb!$H$2,,,Arb!$AJ$5,),L118))</f>
        <v>21.37</v>
      </c>
      <c r="O118" s="33">
        <f t="shared" ca="1" si="12"/>
        <v>2.4333177351427233</v>
      </c>
      <c r="P118" s="33">
        <f ca="1">IF(L118="","",INDEX(OFFSET(Arb!$X$2,,,Arb!$AJ$5,),L118)/N118)</f>
        <v>3.4160037435657462</v>
      </c>
      <c r="Q118" s="33">
        <f ca="1">IF(L118="","",(INDEX(OFFSET(Arb!$U$2,,,Arb!$AJ$5,),L118)+INDEX(OFFSET(Arb!$V$2,,,Arb!$AJ$5,),L118))/N118)</f>
        <v>3.9307440336920916</v>
      </c>
      <c r="R118" s="33">
        <f t="shared" ca="1" si="13"/>
        <v>3.5048089083851459</v>
      </c>
      <c r="S118" s="21">
        <f t="shared" ca="1" si="14"/>
        <v>43.86259109083116</v>
      </c>
      <c r="T118" s="74">
        <f ca="1">IF(L118="","",DATE(INDEX(OFFSET(Arb!$C$2,,,Arb!$AJ$5,),L118),INDEX(OFFSET(Arb!$B$2,,,Arb!$AJ$5,),L118),INDEX(OFFSET(Arb!$A$2,,,Arb!$AJ$5,),L118))+ROW()*0.001)</f>
        <v>43934.118000000002</v>
      </c>
      <c r="U118" s="11">
        <v>117</v>
      </c>
      <c r="V118" s="11">
        <v>2908</v>
      </c>
      <c r="W118" s="433">
        <f ca="1">IF(V118="",164,INDEX(OFFSET(Arb!$I$2,,,Arb!$AJ$5,),V118))</f>
        <v>147</v>
      </c>
      <c r="X118" s="34">
        <f ca="1">IF(V118="",240,INDEX(OFFSET(Arb!$H$2,,,Arb!$AJ$5,),V118))</f>
        <v>63.94</v>
      </c>
      <c r="Y118" s="33">
        <f t="shared" ca="1" si="15"/>
        <v>2.2990303409446358</v>
      </c>
      <c r="Z118" s="33">
        <f ca="1">IF(V118="","",INDEX(OFFSET(Arb!$X$2,,,Arb!$AJ$5,),V118)/X118)</f>
        <v>2.9402564904598063</v>
      </c>
      <c r="AA118" s="33">
        <f ca="1">IF(V118="","",(INDEX(OFFSET(Arb!$U$2,,,Arb!$AJ$5,),V118)+INDEX(OFFSET(Arb!$V$2,,,Arb!$AJ$5,),V118))/X118)</f>
        <v>3.2999687206756336</v>
      </c>
      <c r="AB118" s="33">
        <f t="shared" ca="1" si="16"/>
        <v>7.989068401273907</v>
      </c>
      <c r="AC118" s="21">
        <f t="shared" ca="1" si="17"/>
        <v>54.449527548247843</v>
      </c>
      <c r="AD118" s="74">
        <f ca="1">IF(V118="","",DATE(INDEX(OFFSET(Arb!$C$2,,,Arb!$AJ$5,),V118),INDEX(OFFSET(Arb!$B$2,,,Arb!$AJ$5,),V118),INDEX(OFFSET(Arb!$A$2,,,Arb!$AJ$5,),V118))+ROW()*0.001)</f>
        <v>43929.118000000002</v>
      </c>
    </row>
    <row r="119" spans="1:30" x14ac:dyDescent="0.25">
      <c r="A119" s="11">
        <v>118</v>
      </c>
      <c r="B119" s="11">
        <v>1084</v>
      </c>
      <c r="C119" s="433">
        <f ca="1">IF(B119="",16,INDEX(OFFSET(Arb!$I$2,,,Arb!$AJ$5,),B119))</f>
        <v>15</v>
      </c>
      <c r="D119" s="34">
        <f ca="1">IF(B119="",10,INDEX(OFFSET(Arb!$H$2,,,Arb!$AJ$5,),B119))</f>
        <v>4.42</v>
      </c>
      <c r="E119" s="33">
        <f t="shared" ca="1" si="9"/>
        <v>3.3936651583710407</v>
      </c>
      <c r="F119" s="33">
        <f ca="1">IF(B119="","",INDEX(OFFSET(Arb!$X$2,,,Arb!$AJ$5,),B119)/D119)</f>
        <v>3.3936651583710407</v>
      </c>
      <c r="G119" s="33">
        <f ca="1">IF(B119="","",(INDEX(OFFSET(Arb!$U$2,,,Arb!$AJ$5,),B119)+INDEX(OFFSET(Arb!$V$2,,,Arb!$AJ$5,),B119))/D119)</f>
        <v>4.0723981900452486</v>
      </c>
      <c r="H119" s="33">
        <f t="shared" ca="1" si="10"/>
        <v>0.83392424194153458</v>
      </c>
      <c r="I119" s="21">
        <f t="shared" ca="1" si="11"/>
        <v>56.718581402405228</v>
      </c>
      <c r="J119" s="74">
        <f ca="1">IF(B119="","",DATE(INDEX(OFFSET(Arb!$C$2,,,Arb!$AJ$5,),B119),INDEX(OFFSET(Arb!$B$2,,,Arb!$AJ$5,),B119),INDEX(OFFSET(Arb!$A$2,,,Arb!$AJ$5,),B119))+ROW()*0.001)</f>
        <v>43841.118999999999</v>
      </c>
      <c r="K119" s="11">
        <v>118</v>
      </c>
      <c r="L119" s="11">
        <v>2323</v>
      </c>
      <c r="M119" s="433">
        <f ca="1">IF(L119="",64,INDEX(OFFSET(Arb!$I$2,,,Arb!$AJ$5,),L119))</f>
        <v>48</v>
      </c>
      <c r="N119" s="34">
        <f ca="1">IF(L119="",60,INDEX(OFFSET(Arb!$H$2,,,Arb!$AJ$5,),L119))</f>
        <v>20.39</v>
      </c>
      <c r="O119" s="33">
        <f t="shared" ca="1" si="12"/>
        <v>2.3540951446787641</v>
      </c>
      <c r="P119" s="33">
        <f ca="1">IF(L119="","",INDEX(OFFSET(Arb!$X$2,,,Arb!$AJ$5,),L119)/N119)</f>
        <v>3.3349681216282492</v>
      </c>
      <c r="Q119" s="33">
        <f ca="1">IF(L119="","",(INDEX(OFFSET(Arb!$U$2,,,Arb!$AJ$5,),L119)+INDEX(OFFSET(Arb!$V$2,,,Arb!$AJ$5,),L119))/N119)</f>
        <v>3.8254046101029915</v>
      </c>
      <c r="R119" s="33">
        <f t="shared" ca="1" si="13"/>
        <v>3.5056458992259638</v>
      </c>
      <c r="S119" s="21">
        <f t="shared" ca="1" si="14"/>
        <v>43.852118673464176</v>
      </c>
      <c r="T119" s="74">
        <f ca="1">IF(L119="","",DATE(INDEX(OFFSET(Arb!$C$2,,,Arb!$AJ$5,),L119),INDEX(OFFSET(Arb!$B$2,,,Arb!$AJ$5,),L119),INDEX(OFFSET(Arb!$A$2,,,Arb!$AJ$5,),L119))+ROW()*0.001)</f>
        <v>44002.118999999999</v>
      </c>
      <c r="U119" s="11">
        <v>118</v>
      </c>
      <c r="V119" s="11">
        <v>2971</v>
      </c>
      <c r="W119" s="433">
        <f ca="1">IF(V119="",164,INDEX(OFFSET(Arb!$I$2,,,Arb!$AJ$5,),V119))</f>
        <v>175</v>
      </c>
      <c r="X119" s="34">
        <f ca="1">IF(V119="",240,INDEX(OFFSET(Arb!$H$2,,,Arb!$AJ$5,),V119))</f>
        <v>70.89</v>
      </c>
      <c r="Y119" s="33">
        <f t="shared" ca="1" si="15"/>
        <v>2.4686133446184231</v>
      </c>
      <c r="Z119" s="33">
        <f ca="1">IF(V119="","",INDEX(OFFSET(Arb!$X$2,,,Arb!$AJ$5,),V119)/X119)</f>
        <v>2.8776978417266186</v>
      </c>
      <c r="AA119" s="33">
        <f ca="1">IF(V119="","",(INDEX(OFFSET(Arb!$U$2,,,Arb!$AJ$5,),V119)+INDEX(OFFSET(Arb!$V$2,,,Arb!$AJ$5,),V119))/X119)</f>
        <v>3.1175059952038371</v>
      </c>
      <c r="AB119" s="33">
        <f t="shared" ca="1" si="16"/>
        <v>7.9975398197213998</v>
      </c>
      <c r="AC119" s="21">
        <f t="shared" ca="1" si="17"/>
        <v>54.391851720114794</v>
      </c>
      <c r="AD119" s="74">
        <f ca="1">IF(V119="","",DATE(INDEX(OFFSET(Arb!$C$2,,,Arb!$AJ$5,),V119),INDEX(OFFSET(Arb!$B$2,,,Arb!$AJ$5,),V119),INDEX(OFFSET(Arb!$A$2,,,Arb!$AJ$5,),V119))+ROW()*0.001)</f>
        <v>43952.118999999999</v>
      </c>
    </row>
    <row r="120" spans="1:30" x14ac:dyDescent="0.25">
      <c r="A120" s="11">
        <v>119</v>
      </c>
      <c r="B120" s="11">
        <v>411</v>
      </c>
      <c r="C120" s="433">
        <f ca="1">IF(B120="",16,INDEX(OFFSET(Arb!$I$2,,,Arb!$AJ$5,),B120))</f>
        <v>15</v>
      </c>
      <c r="D120" s="34">
        <f ca="1">IF(B120="",10,INDEX(OFFSET(Arb!$H$2,,,Arb!$AJ$5,),B120))</f>
        <v>4.42</v>
      </c>
      <c r="E120" s="33">
        <f t="shared" ca="1" si="9"/>
        <v>3.3936651583710407</v>
      </c>
      <c r="F120" s="33">
        <f ca="1">IF(B120="","",INDEX(OFFSET(Arb!$X$2,,,Arb!$AJ$5,),B120)/D120)</f>
        <v>3.3936651583710407</v>
      </c>
      <c r="G120" s="33">
        <f ca="1">IF(B120="","",(INDEX(OFFSET(Arb!$U$2,,,Arb!$AJ$5,),B120)+INDEX(OFFSET(Arb!$V$2,,,Arb!$AJ$5,),B120))/D120)</f>
        <v>3.3936651583710407</v>
      </c>
      <c r="H120" s="33">
        <f t="shared" ca="1" si="10"/>
        <v>0.83392424194153458</v>
      </c>
      <c r="I120" s="21">
        <f t="shared" ca="1" si="11"/>
        <v>56.718581402405228</v>
      </c>
      <c r="J120" s="74">
        <f ca="1">IF(B120="","",DATE(INDEX(OFFSET(Arb!$C$2,,,Arb!$AJ$5,),B120),INDEX(OFFSET(Arb!$B$2,,,Arb!$AJ$5,),B120),INDEX(OFFSET(Arb!$A$2,,,Arb!$AJ$5,),B120))+ROW()*0.001)</f>
        <v>43781.120000000003</v>
      </c>
      <c r="K120" s="11">
        <v>119</v>
      </c>
      <c r="L120" s="11">
        <v>2198</v>
      </c>
      <c r="M120" s="433">
        <f ca="1">IF(L120="",64,INDEX(OFFSET(Arb!$I$2,,,Arb!$AJ$5,),L120))</f>
        <v>45</v>
      </c>
      <c r="N120" s="34">
        <f ca="1">IF(L120="",60,INDEX(OFFSET(Arb!$H$2,,,Arb!$AJ$5,),L120))</f>
        <v>19.670000000000002</v>
      </c>
      <c r="O120" s="33">
        <f t="shared" ca="1" si="12"/>
        <v>2.2877478393492625</v>
      </c>
      <c r="P120" s="33">
        <f ca="1">IF(L120="","",INDEX(OFFSET(Arb!$X$2,,,Arb!$AJ$5,),L120)/N120)</f>
        <v>2.7961362480935432</v>
      </c>
      <c r="Q120" s="33">
        <f ca="1">IF(L120="","",(INDEX(OFFSET(Arb!$U$2,,,Arb!$AJ$5,),L120)+INDEX(OFFSET(Arb!$V$2,,,Arb!$AJ$5,),L120))/N120)</f>
        <v>3.2028469750889679</v>
      </c>
      <c r="R120" s="33">
        <f t="shared" ca="1" si="13"/>
        <v>3.5176684054162504</v>
      </c>
      <c r="S120" s="21">
        <f t="shared" ca="1" si="14"/>
        <v>43.702243157228153</v>
      </c>
      <c r="T120" s="74">
        <f ca="1">IF(L120="","",DATE(INDEX(OFFSET(Arb!$C$2,,,Arb!$AJ$5,),L120),INDEX(OFFSET(Arb!$B$2,,,Arb!$AJ$5,),L120),INDEX(OFFSET(Arb!$A$2,,,Arb!$AJ$5,),L120))+ROW()*0.001)</f>
        <v>43854.12</v>
      </c>
      <c r="U120" s="11">
        <v>119</v>
      </c>
      <c r="V120" s="11">
        <v>3295</v>
      </c>
      <c r="W120" s="433">
        <f ca="1">IF(V120="",164,INDEX(OFFSET(Arb!$I$2,,,Arb!$AJ$5,),V120))</f>
        <v>186</v>
      </c>
      <c r="X120" s="34">
        <f ca="1">IF(V120="",240,INDEX(OFFSET(Arb!$H$2,,,Arb!$AJ$5,),V120))</f>
        <v>73.48</v>
      </c>
      <c r="Y120" s="33">
        <f t="shared" ca="1" si="15"/>
        <v>2.5313010342950459</v>
      </c>
      <c r="Z120" s="33">
        <f ca="1">IF(V120="","",INDEX(OFFSET(Arb!$X$2,,,Arb!$AJ$5,),V120)/X120)</f>
        <v>2.9531845400108874</v>
      </c>
      <c r="AA120" s="33">
        <f ca="1">IF(V120="","",(INDEX(OFFSET(Arb!$U$2,,,Arb!$AJ$5,),V120)+INDEX(OFFSET(Arb!$V$2,,,Arb!$AJ$5,),V120))/X120)</f>
        <v>3.3206314643440389</v>
      </c>
      <c r="AB120" s="33">
        <f t="shared" ca="1" si="16"/>
        <v>7.9978748998770364</v>
      </c>
      <c r="AC120" s="21">
        <f t="shared" ca="1" si="17"/>
        <v>54.389572911010141</v>
      </c>
      <c r="AD120" s="74">
        <f ca="1">IF(V120="","",DATE(INDEX(OFFSET(Arb!$C$2,,,Arb!$AJ$5,),V120),INDEX(OFFSET(Arb!$B$2,,,Arb!$AJ$5,),V120),INDEX(OFFSET(Arb!$A$2,,,Arb!$AJ$5,),V120))+ROW()*0.001)</f>
        <v>44089.120000000003</v>
      </c>
    </row>
    <row r="121" spans="1:30" x14ac:dyDescent="0.25">
      <c r="A121" s="11">
        <v>120</v>
      </c>
      <c r="B121" s="11">
        <v>764</v>
      </c>
      <c r="C121" s="433">
        <f ca="1">IF(B121="",16,INDEX(OFFSET(Arb!$I$2,,,Arb!$AJ$5,),B121))</f>
        <v>26</v>
      </c>
      <c r="D121" s="34">
        <f ca="1">IF(B121="",10,INDEX(OFFSET(Arb!$H$2,,,Arb!$AJ$5,),B121))</f>
        <v>6.11</v>
      </c>
      <c r="E121" s="33">
        <f t="shared" ca="1" si="9"/>
        <v>4.2553191489361701</v>
      </c>
      <c r="F121" s="33">
        <f ca="1">IF(B121="","",INDEX(OFFSET(Arb!$X$2,,,Arb!$AJ$5,),B121)/D121)</f>
        <v>4.7463175122749588</v>
      </c>
      <c r="G121" s="33">
        <f ca="1">IF(B121="","",(INDEX(OFFSET(Arb!$U$2,,,Arb!$AJ$5,),B121)+INDEX(OFFSET(Arb!$V$2,,,Arb!$AJ$5,),B121))/D121)</f>
        <v>5.0736497545008179</v>
      </c>
      <c r="H121" s="33">
        <f t="shared" ca="1" si="10"/>
        <v>0.83425094916107634</v>
      </c>
      <c r="I121" s="21">
        <f t="shared" ca="1" si="11"/>
        <v>56.696369416857031</v>
      </c>
      <c r="J121" s="74">
        <f ca="1">IF(B121="","",DATE(INDEX(OFFSET(Arb!$C$2,,,Arb!$AJ$5,),B121),INDEX(OFFSET(Arb!$B$2,,,Arb!$AJ$5,),B121),INDEX(OFFSET(Arb!$A$2,,,Arb!$AJ$5,),B121))+ROW()*0.001)</f>
        <v>43809.120999999999</v>
      </c>
      <c r="K121" s="11">
        <v>120</v>
      </c>
      <c r="L121" s="11">
        <v>2265</v>
      </c>
      <c r="M121" s="433">
        <f ca="1">IF(L121="",64,INDEX(OFFSET(Arb!$I$2,,,Arb!$AJ$5,),L121))</f>
        <v>93</v>
      </c>
      <c r="N121" s="34">
        <f ca="1">IF(L121="",60,INDEX(OFFSET(Arb!$H$2,,,Arb!$AJ$5,),L121))</f>
        <v>30.15</v>
      </c>
      <c r="O121" s="33">
        <f t="shared" ca="1" si="12"/>
        <v>3.0845771144278609</v>
      </c>
      <c r="P121" s="33">
        <f ca="1">IF(L121="","",INDEX(OFFSET(Arb!$X$2,,,Arb!$AJ$5,),L121)/N121)</f>
        <v>3.5820895522388061</v>
      </c>
      <c r="Q121" s="33">
        <f ca="1">IF(L121="","",(INDEX(OFFSET(Arb!$U$2,,,Arb!$AJ$5,),L121)+INDEX(OFFSET(Arb!$V$2,,,Arb!$AJ$5,),L121))/N121)</f>
        <v>3.9469320066334994</v>
      </c>
      <c r="R121" s="33">
        <f t="shared" ca="1" si="13"/>
        <v>3.5180782057482438</v>
      </c>
      <c r="S121" s="21">
        <f t="shared" ca="1" si="14"/>
        <v>43.697152538797489</v>
      </c>
      <c r="T121" s="74">
        <f ca="1">IF(L121="","",DATE(INDEX(OFFSET(Arb!$C$2,,,Arb!$AJ$5,),L121),INDEX(OFFSET(Arb!$B$2,,,Arb!$AJ$5,),L121),INDEX(OFFSET(Arb!$A$2,,,Arb!$AJ$5,),L121))+ROW()*0.001)</f>
        <v>43906.120999999999</v>
      </c>
      <c r="U121" s="11">
        <v>120</v>
      </c>
      <c r="V121" s="11">
        <v>3357</v>
      </c>
      <c r="W121" s="433">
        <f ca="1">IF(V121="",164,INDEX(OFFSET(Arb!$I$2,,,Arb!$AJ$5,),V121))</f>
        <v>158</v>
      </c>
      <c r="X121" s="34">
        <f ca="1">IF(V121="",240,INDEX(OFFSET(Arb!$H$2,,,Arb!$AJ$5,),V121))</f>
        <v>66.760000000000005</v>
      </c>
      <c r="Y121" s="33">
        <f t="shared" ca="1" si="15"/>
        <v>2.3666866387058119</v>
      </c>
      <c r="Z121" s="33">
        <f ca="1">IF(V121="","",INDEX(OFFSET(Arb!$X$2,,,Arb!$AJ$5,),V121)/X121)</f>
        <v>2.875973636908328</v>
      </c>
      <c r="AA121" s="33">
        <f ca="1">IF(V121="","",(INDEX(OFFSET(Arb!$U$2,,,Arb!$AJ$5,),V121)+INDEX(OFFSET(Arb!$V$2,,,Arb!$AJ$5,),V121))/X121)</f>
        <v>3.2204913121629715</v>
      </c>
      <c r="AB121" s="33">
        <f t="shared" ca="1" si="16"/>
        <v>7.9987232478308536</v>
      </c>
      <c r="AC121" s="21">
        <f t="shared" ca="1" si="17"/>
        <v>54.383804330018094</v>
      </c>
      <c r="AD121" s="74">
        <f ca="1">IF(V121="","",DATE(INDEX(OFFSET(Arb!$C$2,,,Arb!$AJ$5,),V121),INDEX(OFFSET(Arb!$B$2,,,Arb!$AJ$5,),V121),INDEX(OFFSET(Arb!$A$2,,,Arb!$AJ$5,),V121))+ROW()*0.001)</f>
        <v>44099.120999999999</v>
      </c>
    </row>
    <row r="122" spans="1:30" x14ac:dyDescent="0.25">
      <c r="A122" s="11">
        <v>121</v>
      </c>
      <c r="B122" s="11">
        <v>859</v>
      </c>
      <c r="C122" s="433">
        <f ca="1">IF(B122="",16,INDEX(OFFSET(Arb!$I$2,,,Arb!$AJ$5,),B122))</f>
        <v>17</v>
      </c>
      <c r="D122" s="34">
        <f ca="1">IF(B122="",10,INDEX(OFFSET(Arb!$H$2,,,Arb!$AJ$5,),B122))</f>
        <v>4.76</v>
      </c>
      <c r="E122" s="33">
        <f t="shared" ca="1" si="9"/>
        <v>3.5714285714285716</v>
      </c>
      <c r="F122" s="33">
        <f ca="1">IF(B122="","",INDEX(OFFSET(Arb!$X$2,,,Arb!$AJ$5,),B122)/D122)</f>
        <v>4.2016806722689077</v>
      </c>
      <c r="G122" s="33">
        <f ca="1">IF(B122="","",(INDEX(OFFSET(Arb!$U$2,,,Arb!$AJ$5,),B122)+INDEX(OFFSET(Arb!$V$2,,,Arb!$AJ$5,),B122))/D122)</f>
        <v>4.8319327731092443</v>
      </c>
      <c r="H122" s="33">
        <f t="shared" ca="1" si="10"/>
        <v>0.83460868220712303</v>
      </c>
      <c r="I122" s="21">
        <f t="shared" ca="1" si="11"/>
        <v>56.672068010265328</v>
      </c>
      <c r="J122" s="74">
        <f ca="1">IF(B122="","",DATE(INDEX(OFFSET(Arb!$C$2,,,Arb!$AJ$5,),B122),INDEX(OFFSET(Arb!$B$2,,,Arb!$AJ$5,),B122),INDEX(OFFSET(Arb!$A$2,,,Arb!$AJ$5,),B122))+ROW()*0.001)</f>
        <v>43817.122000000003</v>
      </c>
      <c r="K122" s="11">
        <v>121</v>
      </c>
      <c r="L122" s="11">
        <v>2155</v>
      </c>
      <c r="M122" s="433">
        <f ca="1">IF(L122="",64,INDEX(OFFSET(Arb!$I$2,,,Arb!$AJ$5,),L122))</f>
        <v>72</v>
      </c>
      <c r="N122" s="34">
        <f ca="1">IF(L122="",60,INDEX(OFFSET(Arb!$H$2,,,Arb!$AJ$5,),L122))</f>
        <v>25.95</v>
      </c>
      <c r="O122" s="33">
        <f t="shared" ca="1" si="12"/>
        <v>2.7745664739884393</v>
      </c>
      <c r="P122" s="33">
        <f ca="1">IF(L122="","",INDEX(OFFSET(Arb!$X$2,,,Arb!$AJ$5,),L122)/N122)</f>
        <v>3.5838150289017343</v>
      </c>
      <c r="Q122" s="33">
        <f ca="1">IF(L122="","",(INDEX(OFFSET(Arb!$U$2,,,Arb!$AJ$5,),L122)+INDEX(OFFSET(Arb!$V$2,,,Arb!$AJ$5,),L122))/N122)</f>
        <v>4.1618497109826587</v>
      </c>
      <c r="R122" s="33">
        <f t="shared" ca="1" si="13"/>
        <v>3.5212837235802339</v>
      </c>
      <c r="S122" s="21">
        <f t="shared" ca="1" si="14"/>
        <v>43.657373863556892</v>
      </c>
      <c r="T122" s="74">
        <f ca="1">IF(L122="","",DATE(INDEX(OFFSET(Arb!$C$2,,,Arb!$AJ$5,),L122),INDEX(OFFSET(Arb!$B$2,,,Arb!$AJ$5,),L122),INDEX(OFFSET(Arb!$A$2,,,Arb!$AJ$5,),L122))+ROW()*0.001)</f>
        <v>43822.122000000003</v>
      </c>
      <c r="U122" s="11">
        <v>121</v>
      </c>
      <c r="V122" s="11">
        <v>3104</v>
      </c>
      <c r="W122" s="433">
        <f ca="1">IF(V122="",164,INDEX(OFFSET(Arb!$I$2,,,Arb!$AJ$5,),V122))</f>
        <v>171</v>
      </c>
      <c r="X122" s="34">
        <f ca="1">IF(V122="",240,INDEX(OFFSET(Arb!$H$2,,,Arb!$AJ$5,),V122))</f>
        <v>69.98</v>
      </c>
      <c r="Y122" s="33">
        <f t="shared" ca="1" si="15"/>
        <v>2.4435553015147184</v>
      </c>
      <c r="Z122" s="33">
        <f ca="1">IF(V122="","",INDEX(OFFSET(Arb!$X$2,,,Arb!$AJ$5,),V122)/X122)</f>
        <v>2.9436981994855671</v>
      </c>
      <c r="AA122" s="33">
        <f ca="1">IF(V122="","",(INDEX(OFFSET(Arb!$U$2,,,Arb!$AJ$5,),V122)+INDEX(OFFSET(Arb!$V$2,,,Arb!$AJ$5,),V122))/X122)</f>
        <v>3.2580737353529576</v>
      </c>
      <c r="AB122" s="33">
        <f t="shared" ca="1" si="16"/>
        <v>8.0068111347454121</v>
      </c>
      <c r="AC122" s="21">
        <f t="shared" ca="1" si="17"/>
        <v>54.328869843366355</v>
      </c>
      <c r="AD122" s="74">
        <f ca="1">IF(V122="","",DATE(INDEX(OFFSET(Arb!$C$2,,,Arb!$AJ$5,),V122),INDEX(OFFSET(Arb!$B$2,,,Arb!$AJ$5,),V122),INDEX(OFFSET(Arb!$A$2,,,Arb!$AJ$5,),V122))+ROW()*0.001)</f>
        <v>44005.122000000003</v>
      </c>
    </row>
    <row r="123" spans="1:30" x14ac:dyDescent="0.25">
      <c r="A123" s="11">
        <v>122</v>
      </c>
      <c r="B123" s="11">
        <v>1287</v>
      </c>
      <c r="C123" s="433">
        <f ca="1">IF(B123="",16,INDEX(OFFSET(Arb!$I$2,,,Arb!$AJ$5,),B123))</f>
        <v>14</v>
      </c>
      <c r="D123" s="34">
        <f ca="1">IF(B123="",10,INDEX(OFFSET(Arb!$H$2,,,Arb!$AJ$5,),B123))</f>
        <v>4.25</v>
      </c>
      <c r="E123" s="33">
        <f t="shared" ca="1" si="9"/>
        <v>3.2941176470588234</v>
      </c>
      <c r="F123" s="33">
        <f ca="1">IF(B123="","",INDEX(OFFSET(Arb!$X$2,,,Arb!$AJ$5,),B123)/D123)</f>
        <v>4.2352941176470589</v>
      </c>
      <c r="G123" s="33">
        <f ca="1">IF(B123="","",(INDEX(OFFSET(Arb!$U$2,,,Arb!$AJ$5,),B123)+INDEX(OFFSET(Arb!$V$2,,,Arb!$AJ$5,),B123))/D123)</f>
        <v>4.9411764705882355</v>
      </c>
      <c r="H123" s="33">
        <f t="shared" ca="1" si="10"/>
        <v>0.83585923553319408</v>
      </c>
      <c r="I123" s="21">
        <f t="shared" ca="1" si="11"/>
        <v>56.587279280138596</v>
      </c>
      <c r="J123" s="74">
        <f ca="1">IF(B123="","",DATE(INDEX(OFFSET(Arb!$C$2,,,Arb!$AJ$5,),B123),INDEX(OFFSET(Arb!$B$2,,,Arb!$AJ$5,),B123),INDEX(OFFSET(Arb!$A$2,,,Arb!$AJ$5,),B123))+ROW()*0.001)</f>
        <v>43906.123</v>
      </c>
      <c r="K123" s="11">
        <v>122</v>
      </c>
      <c r="L123" s="11">
        <v>1930</v>
      </c>
      <c r="M123" s="433">
        <f ca="1">IF(L123="",64,INDEX(OFFSET(Arb!$I$2,,,Arb!$AJ$5,),L123))</f>
        <v>89</v>
      </c>
      <c r="N123" s="34">
        <f ca="1">IF(L123="",60,INDEX(OFFSET(Arb!$H$2,,,Arb!$AJ$5,),L123))</f>
        <v>29.4</v>
      </c>
      <c r="O123" s="33">
        <f t="shared" ca="1" si="12"/>
        <v>3.0272108843537415</v>
      </c>
      <c r="P123" s="33">
        <f ca="1">IF(L123="","",INDEX(OFFSET(Arb!$X$2,,,Arb!$AJ$5,),L123)/N123)</f>
        <v>3.7414965986394559</v>
      </c>
      <c r="Q123" s="33">
        <f ca="1">IF(L123="","",(INDEX(OFFSET(Arb!$U$2,,,Arb!$AJ$5,),L123)+INDEX(OFFSET(Arb!$V$2,,,Arb!$AJ$5,),L123))/N123)</f>
        <v>4.1836734693877551</v>
      </c>
      <c r="R123" s="33">
        <f t="shared" ca="1" si="13"/>
        <v>3.5220900466448861</v>
      </c>
      <c r="S123" s="21">
        <f t="shared" ca="1" si="14"/>
        <v>43.64737924473053</v>
      </c>
      <c r="T123" s="74">
        <f ca="1">IF(L123="","",DATE(INDEX(OFFSET(Arb!$C$2,,,Arb!$AJ$5,),L123),INDEX(OFFSET(Arb!$B$2,,,Arb!$AJ$5,),L123),INDEX(OFFSET(Arb!$A$2,,,Arb!$AJ$5,),L123))+ROW()*0.001)</f>
        <v>43771.123</v>
      </c>
      <c r="U123" s="11">
        <v>122</v>
      </c>
      <c r="V123" s="11">
        <v>2977</v>
      </c>
      <c r="W123" s="433">
        <f ca="1">IF(V123="",164,INDEX(OFFSET(Arb!$I$2,,,Arb!$AJ$5,),V123))</f>
        <v>172</v>
      </c>
      <c r="X123" s="34">
        <f ca="1">IF(V123="",240,INDEX(OFFSET(Arb!$H$2,,,Arb!$AJ$5,),V123))</f>
        <v>70.23</v>
      </c>
      <c r="Y123" s="33">
        <f t="shared" ca="1" si="15"/>
        <v>2.4490958279937347</v>
      </c>
      <c r="Z123" s="33">
        <f ca="1">IF(V123="","",INDEX(OFFSET(Arb!$X$2,,,Arb!$AJ$5,),V123)/X123)</f>
        <v>2.9901751388295597</v>
      </c>
      <c r="AA123" s="33">
        <f ca="1">IF(V123="","",(INDEX(OFFSET(Arb!$U$2,,,Arb!$AJ$5,),V123)+INDEX(OFFSET(Arb!$V$2,,,Arb!$AJ$5,),V123))/X123)</f>
        <v>3.3319094404100809</v>
      </c>
      <c r="AB123" s="33">
        <f t="shared" ca="1" si="16"/>
        <v>8.0086642948687778</v>
      </c>
      <c r="AC123" s="21">
        <f t="shared" ca="1" si="17"/>
        <v>54.316298446759589</v>
      </c>
      <c r="AD123" s="74">
        <f ca="1">IF(V123="","",DATE(INDEX(OFFSET(Arb!$C$2,,,Arb!$AJ$5,),V123),INDEX(OFFSET(Arb!$B$2,,,Arb!$AJ$5,),V123),INDEX(OFFSET(Arb!$A$2,,,Arb!$AJ$5,),V123))+ROW()*0.001)</f>
        <v>43955.123</v>
      </c>
    </row>
    <row r="124" spans="1:30" x14ac:dyDescent="0.25">
      <c r="A124" s="11">
        <v>123</v>
      </c>
      <c r="B124" s="11">
        <v>21</v>
      </c>
      <c r="C124" s="433">
        <f ca="1">IF(B124="",16,INDEX(OFFSET(Arb!$I$2,,,Arb!$AJ$5,),B124))</f>
        <v>26</v>
      </c>
      <c r="D124" s="34">
        <f ca="1">IF(B124="",10,INDEX(OFFSET(Arb!$H$2,,,Arb!$AJ$5,),B124))</f>
        <v>6.12</v>
      </c>
      <c r="E124" s="33">
        <f t="shared" ca="1" si="9"/>
        <v>4.2483660130718954</v>
      </c>
      <c r="F124" s="33">
        <f ca="1">IF(B124="","",INDEX(OFFSET(Arb!$X$2,,,Arb!$AJ$5,),B124)/D124)</f>
        <v>4.5751633986928102</v>
      </c>
      <c r="G124" s="33">
        <f ca="1">IF(B124="","",(INDEX(OFFSET(Arb!$U$2,,,Arb!$AJ$5,),B124)+INDEX(OFFSET(Arb!$V$2,,,Arb!$AJ$5,),B124))/D124)</f>
        <v>5.3921568627450975</v>
      </c>
      <c r="H124" s="33">
        <f t="shared" ca="1" si="10"/>
        <v>0.83657343506197934</v>
      </c>
      <c r="I124" s="21">
        <f t="shared" ca="1" si="11"/>
        <v>56.538969584296865</v>
      </c>
      <c r="J124" s="74">
        <f ca="1">IF(B124="","",DATE(INDEX(OFFSET(Arb!$C$2,,,Arb!$AJ$5,),B124),INDEX(OFFSET(Arb!$B$2,,,Arb!$AJ$5,),B124),INDEX(OFFSET(Arb!$A$2,,,Arb!$AJ$5,),B124))+ROW()*0.001)</f>
        <v>43765.124000000003</v>
      </c>
      <c r="K124" s="11">
        <v>123</v>
      </c>
      <c r="L124" s="11">
        <v>2313</v>
      </c>
      <c r="M124" s="433">
        <f ca="1">IF(L124="",64,INDEX(OFFSET(Arb!$I$2,,,Arb!$AJ$5,),L124))</f>
        <v>67</v>
      </c>
      <c r="N124" s="34">
        <f ca="1">IF(L124="",60,INDEX(OFFSET(Arb!$H$2,,,Arb!$AJ$5,),L124))</f>
        <v>24.88</v>
      </c>
      <c r="O124" s="33">
        <f t="shared" ca="1" si="12"/>
        <v>2.6929260450160775</v>
      </c>
      <c r="P124" s="33">
        <f ca="1">IF(L124="","",INDEX(OFFSET(Arb!$X$2,,,Arb!$AJ$5,),L124)/N124)</f>
        <v>3.2154340836012865</v>
      </c>
      <c r="Q124" s="33">
        <f ca="1">IF(L124="","",(INDEX(OFFSET(Arb!$U$2,,,Arb!$AJ$5,),L124)+INDEX(OFFSET(Arb!$V$2,,,Arb!$AJ$5,),L124))/N124)</f>
        <v>3.657556270096463</v>
      </c>
      <c r="R124" s="33">
        <f t="shared" ca="1" si="13"/>
        <v>3.5226608804722486</v>
      </c>
      <c r="S124" s="21">
        <f t="shared" ca="1" si="14"/>
        <v>43.640306352563499</v>
      </c>
      <c r="T124" s="74">
        <f ca="1">IF(L124="","",DATE(INDEX(OFFSET(Arb!$C$2,,,Arb!$AJ$5,),L124),INDEX(OFFSET(Arb!$B$2,,,Arb!$AJ$5,),L124),INDEX(OFFSET(Arb!$A$2,,,Arb!$AJ$5,),L124))+ROW()*0.001)</f>
        <v>43952.124000000003</v>
      </c>
      <c r="U124" s="11">
        <v>123</v>
      </c>
      <c r="V124" s="11">
        <v>3388</v>
      </c>
      <c r="W124" s="433">
        <f ca="1">IF(V124="",164,INDEX(OFFSET(Arb!$I$2,,,Arb!$AJ$5,),V124))</f>
        <v>206</v>
      </c>
      <c r="X124" s="34">
        <f ca="1">IF(V124="",240,INDEX(OFFSET(Arb!$H$2,,,Arb!$AJ$5,),V124))</f>
        <v>78.099999999999994</v>
      </c>
      <c r="Y124" s="33">
        <f t="shared" ca="1" si="15"/>
        <v>2.6376440460947506</v>
      </c>
      <c r="Z124" s="33">
        <f ca="1">IF(V124="","",INDEX(OFFSET(Arb!$X$2,,,Arb!$AJ$5,),V124)/X124)</f>
        <v>2.9705505761843791</v>
      </c>
      <c r="AA124" s="33">
        <f ca="1">IF(V124="","",(INDEX(OFFSET(Arb!$U$2,,,Arb!$AJ$5,),V124)+INDEX(OFFSET(Arb!$V$2,,,Arb!$AJ$5,),V124))/X124)</f>
        <v>3.23943661971831</v>
      </c>
      <c r="AB124" s="33">
        <f t="shared" ca="1" si="16"/>
        <v>8.0101294968563597</v>
      </c>
      <c r="AC124" s="21">
        <f t="shared" ca="1" si="17"/>
        <v>54.306362983359961</v>
      </c>
      <c r="AD124" s="74">
        <f ca="1">IF(V124="","",DATE(INDEX(OFFSET(Arb!$C$2,,,Arb!$AJ$5,),V124),INDEX(OFFSET(Arb!$B$2,,,Arb!$AJ$5,),V124),INDEX(OFFSET(Arb!$A$2,,,Arb!$AJ$5,),V124))+ROW()*0.001)</f>
        <v>44141.124000000003</v>
      </c>
    </row>
    <row r="125" spans="1:30" x14ac:dyDescent="0.25">
      <c r="A125" s="11">
        <v>124</v>
      </c>
      <c r="B125" s="11">
        <v>1625</v>
      </c>
      <c r="C125" s="433">
        <f ca="1">IF(B125="",16,INDEX(OFFSET(Arb!$I$2,,,Arb!$AJ$5,),B125))</f>
        <v>16</v>
      </c>
      <c r="D125" s="34">
        <f ca="1">IF(B125="",10,INDEX(OFFSET(Arb!$H$2,,,Arb!$AJ$5,),B125))</f>
        <v>4.5999999999999996</v>
      </c>
      <c r="E125" s="33">
        <f t="shared" ca="1" si="9"/>
        <v>3.4782608695652177</v>
      </c>
      <c r="F125" s="33">
        <f ca="1">IF(B125="","",INDEX(OFFSET(Arb!$X$2,,,Arb!$AJ$5,),B125)/D125)</f>
        <v>5</v>
      </c>
      <c r="G125" s="33">
        <f ca="1">IF(B125="","",(INDEX(OFFSET(Arb!$U$2,,,Arb!$AJ$5,),B125)+INDEX(OFFSET(Arb!$V$2,,,Arb!$AJ$5,),B125))/D125)</f>
        <v>5.4347826086956523</v>
      </c>
      <c r="H125" s="33">
        <f t="shared" ca="1" si="10"/>
        <v>0.83669723001082796</v>
      </c>
      <c r="I125" s="21">
        <f t="shared" ca="1" si="11"/>
        <v>56.530604265760374</v>
      </c>
      <c r="J125" s="74">
        <f ca="1">IF(B125="","",DATE(INDEX(OFFSET(Arb!$C$2,,,Arb!$AJ$5,),B125),INDEX(OFFSET(Arb!$B$2,,,Arb!$AJ$5,),B125),INDEX(OFFSET(Arb!$A$2,,,Arb!$AJ$5,),B125))+ROW()*0.001)</f>
        <v>44093.125</v>
      </c>
      <c r="K125" s="11">
        <v>124</v>
      </c>
      <c r="L125" s="11">
        <v>2113</v>
      </c>
      <c r="M125" s="433">
        <f ca="1">IF(L125="",64,INDEX(OFFSET(Arb!$I$2,,,Arb!$AJ$5,),L125))</f>
        <v>59</v>
      </c>
      <c r="N125" s="34">
        <f ca="1">IF(L125="",60,INDEX(OFFSET(Arb!$H$2,,,Arb!$AJ$5,),L125))</f>
        <v>23.09</v>
      </c>
      <c r="O125" s="33">
        <f t="shared" ca="1" si="12"/>
        <v>2.5552187093980079</v>
      </c>
      <c r="P125" s="33">
        <f ca="1">IF(L125="","",INDEX(OFFSET(Arb!$X$2,,,Arb!$AJ$5,),L125)/N125)</f>
        <v>3.2048505846686877</v>
      </c>
      <c r="Q125" s="33">
        <f ca="1">IF(L125="","",(INDEX(OFFSET(Arb!$U$2,,,Arb!$AJ$5,),L125)+INDEX(OFFSET(Arb!$V$2,,,Arb!$AJ$5,),L125))/N125)</f>
        <v>3.8111736682546558</v>
      </c>
      <c r="R125" s="33">
        <f t="shared" ca="1" si="13"/>
        <v>3.5234545543036306</v>
      </c>
      <c r="S125" s="21">
        <f t="shared" ca="1" si="14"/>
        <v>43.630476179189124</v>
      </c>
      <c r="T125" s="74">
        <f ca="1">IF(L125="","",DATE(INDEX(OFFSET(Arb!$C$2,,,Arb!$AJ$5,),L125),INDEX(OFFSET(Arb!$B$2,,,Arb!$AJ$5,),L125),INDEX(OFFSET(Arb!$A$2,,,Arb!$AJ$5,),L125))+ROW()*0.001)</f>
        <v>43811.125</v>
      </c>
      <c r="U125" s="11">
        <v>124</v>
      </c>
      <c r="V125" s="11">
        <v>2549</v>
      </c>
      <c r="W125" s="433">
        <f ca="1">IF(V125="",164,INDEX(OFFSET(Arb!$I$2,,,Arb!$AJ$5,),V125))</f>
        <v>193</v>
      </c>
      <c r="X125" s="34">
        <f ca="1">IF(V125="",240,INDEX(OFFSET(Arb!$H$2,,,Arb!$AJ$5,),V125))</f>
        <v>75.17</v>
      </c>
      <c r="Y125" s="33">
        <f t="shared" ca="1" si="15"/>
        <v>2.5675136357589463</v>
      </c>
      <c r="Z125" s="33">
        <f ca="1">IF(V125="","",INDEX(OFFSET(Arb!$X$2,,,Arb!$AJ$5,),V125)/X125)</f>
        <v>2.9666090195556736</v>
      </c>
      <c r="AA125" s="33">
        <f ca="1">IF(V125="","",(INDEX(OFFSET(Arb!$U$2,,,Arb!$AJ$5,),V125)+INDEX(OFFSET(Arb!$V$2,,,Arb!$AJ$5,),V125))/X125)</f>
        <v>3.3124916855128377</v>
      </c>
      <c r="AB125" s="33">
        <f t="shared" ca="1" si="16"/>
        <v>8.0115846615830861</v>
      </c>
      <c r="AC125" s="21">
        <f t="shared" ca="1" si="17"/>
        <v>54.29649917898314</v>
      </c>
      <c r="AD125" s="74">
        <f ca="1">IF(V125="","",DATE(INDEX(OFFSET(Arb!$C$2,,,Arb!$AJ$5,),V125),INDEX(OFFSET(Arb!$B$2,,,Arb!$AJ$5,),V125),INDEX(OFFSET(Arb!$A$2,,,Arb!$AJ$5,),V125))+ROW()*0.001)</f>
        <v>43797.125</v>
      </c>
    </row>
    <row r="126" spans="1:30" x14ac:dyDescent="0.25">
      <c r="A126" s="11">
        <v>125</v>
      </c>
      <c r="B126" s="11">
        <v>1471</v>
      </c>
      <c r="C126" s="433">
        <f ca="1">IF(B126="",16,INDEX(OFFSET(Arb!$I$2,,,Arb!$AJ$5,),B126))</f>
        <v>16</v>
      </c>
      <c r="D126" s="34">
        <f ca="1">IF(B126="",10,INDEX(OFFSET(Arb!$H$2,,,Arb!$AJ$5,),B126))</f>
        <v>4.5999999999999996</v>
      </c>
      <c r="E126" s="33">
        <f t="shared" ca="1" si="9"/>
        <v>3.4782608695652177</v>
      </c>
      <c r="F126" s="33">
        <f ca="1">IF(B126="","",INDEX(OFFSET(Arb!$X$2,,,Arb!$AJ$5,),B126)/D126)</f>
        <v>4.1304347826086962</v>
      </c>
      <c r="G126" s="33">
        <f ca="1">IF(B126="","",(INDEX(OFFSET(Arb!$U$2,,,Arb!$AJ$5,),B126)+INDEX(OFFSET(Arb!$V$2,,,Arb!$AJ$5,),B126))/D126)</f>
        <v>5.2173913043478262</v>
      </c>
      <c r="H126" s="33">
        <f t="shared" ca="1" si="10"/>
        <v>0.83669723001082796</v>
      </c>
      <c r="I126" s="21">
        <f t="shared" ca="1" si="11"/>
        <v>56.530604265760374</v>
      </c>
      <c r="J126" s="74">
        <f ca="1">IF(B126="","",DATE(INDEX(OFFSET(Arb!$C$2,,,Arb!$AJ$5,),B126),INDEX(OFFSET(Arb!$B$2,,,Arb!$AJ$5,),B126),INDEX(OFFSET(Arb!$A$2,,,Arb!$AJ$5,),B126))+ROW()*0.001)</f>
        <v>43952.125999999997</v>
      </c>
      <c r="K126" s="11">
        <v>125</v>
      </c>
      <c r="L126" s="11">
        <v>2239</v>
      </c>
      <c r="M126" s="433">
        <f ca="1">IF(L126="",64,INDEX(OFFSET(Arb!$I$2,,,Arb!$AJ$5,),L126))</f>
        <v>39</v>
      </c>
      <c r="N126" s="34">
        <f ca="1">IF(L126="",60,INDEX(OFFSET(Arb!$H$2,,,Arb!$AJ$5,),L126))</f>
        <v>18.12</v>
      </c>
      <c r="O126" s="33">
        <f t="shared" ca="1" si="12"/>
        <v>2.1523178807947017</v>
      </c>
      <c r="P126" s="33">
        <f ca="1">IF(L126="","",INDEX(OFFSET(Arb!$X$2,,,Arb!$AJ$5,),L126)/N126)</f>
        <v>2.5938189845474611</v>
      </c>
      <c r="Q126" s="33">
        <f ca="1">IF(L126="","",(INDEX(OFFSET(Arb!$U$2,,,Arb!$AJ$5,),L126)+INDEX(OFFSET(Arb!$V$2,,,Arb!$AJ$5,),L126))/N126)</f>
        <v>2.869757174392936</v>
      </c>
      <c r="R126" s="33">
        <f t="shared" ca="1" si="13"/>
        <v>3.5302407329235619</v>
      </c>
      <c r="S126" s="21">
        <f t="shared" ca="1" si="14"/>
        <v>43.546605353649298</v>
      </c>
      <c r="T126" s="74">
        <f ca="1">IF(L126="","",DATE(INDEX(OFFSET(Arb!$C$2,,,Arb!$AJ$5,),L126),INDEX(OFFSET(Arb!$B$2,,,Arb!$AJ$5,),L126),INDEX(OFFSET(Arb!$A$2,,,Arb!$AJ$5,),L126))+ROW()*0.001)</f>
        <v>43890.125999999997</v>
      </c>
      <c r="U126" s="11">
        <v>125</v>
      </c>
      <c r="V126" s="11">
        <v>2929</v>
      </c>
      <c r="W126" s="433">
        <f ca="1">IF(V126="",164,INDEX(OFFSET(Arb!$I$2,,,Arb!$AJ$5,),V126))</f>
        <v>177</v>
      </c>
      <c r="X126" s="34">
        <f ca="1">IF(V126="",240,INDEX(OFFSET(Arb!$H$2,,,Arb!$AJ$5,),V126))</f>
        <v>71.44</v>
      </c>
      <c r="Y126" s="33">
        <f t="shared" ca="1" si="15"/>
        <v>2.4776035834266517</v>
      </c>
      <c r="Z126" s="33">
        <f ca="1">IF(V126="","",INDEX(OFFSET(Arb!$X$2,,,Arb!$AJ$5,),V126)/X126)</f>
        <v>2.9815229563269878</v>
      </c>
      <c r="AA126" s="33">
        <f ca="1">IF(V126="","",(INDEX(OFFSET(Arb!$U$2,,,Arb!$AJ$5,),V126)+INDEX(OFFSET(Arb!$V$2,,,Arb!$AJ$5,),V126))/X126)</f>
        <v>3.35946248600224</v>
      </c>
      <c r="AB126" s="33">
        <f t="shared" ca="1" si="16"/>
        <v>8.0117463584253112</v>
      </c>
      <c r="AC126" s="21">
        <f t="shared" ca="1" si="17"/>
        <v>54.295403341438075</v>
      </c>
      <c r="AD126" s="74">
        <f ca="1">IF(V126="","",DATE(INDEX(OFFSET(Arb!$C$2,,,Arb!$AJ$5,),V126),INDEX(OFFSET(Arb!$B$2,,,Arb!$AJ$5,),V126),INDEX(OFFSET(Arb!$A$2,,,Arb!$AJ$5,),V126))+ROW()*0.001)</f>
        <v>43937.125999999997</v>
      </c>
    </row>
    <row r="127" spans="1:30" x14ac:dyDescent="0.25">
      <c r="A127" s="11">
        <v>126</v>
      </c>
      <c r="B127" s="11">
        <v>151</v>
      </c>
      <c r="C127" s="433">
        <f ca="1">IF(B127="",16,INDEX(OFFSET(Arb!$I$2,,,Arb!$AJ$5,),B127))</f>
        <v>16</v>
      </c>
      <c r="D127" s="34">
        <f ca="1">IF(B127="",10,INDEX(OFFSET(Arb!$H$2,,,Arb!$AJ$5,),B127))</f>
        <v>4.5999999999999996</v>
      </c>
      <c r="E127" s="33">
        <f t="shared" ca="1" si="9"/>
        <v>3.4782608695652177</v>
      </c>
      <c r="F127" s="33">
        <f ca="1">IF(B127="","",INDEX(OFFSET(Arb!$X$2,,,Arb!$AJ$5,),B127)/D127)</f>
        <v>4.1304347826086962</v>
      </c>
      <c r="G127" s="33">
        <f ca="1">IF(B127="","",(INDEX(OFFSET(Arb!$U$2,,,Arb!$AJ$5,),B127)+INDEX(OFFSET(Arb!$V$2,,,Arb!$AJ$5,),B127))/D127)</f>
        <v>5</v>
      </c>
      <c r="H127" s="33">
        <f t="shared" ca="1" si="10"/>
        <v>0.83669723001082796</v>
      </c>
      <c r="I127" s="21">
        <f t="shared" ca="1" si="11"/>
        <v>56.530604265760374</v>
      </c>
      <c r="J127" s="74">
        <f ca="1">IF(B127="","",DATE(INDEX(OFFSET(Arb!$C$2,,,Arb!$AJ$5,),B127),INDEX(OFFSET(Arb!$B$2,,,Arb!$AJ$5,),B127),INDEX(OFFSET(Arb!$A$2,,,Arb!$AJ$5,),B127))+ROW()*0.001)</f>
        <v>43773.127</v>
      </c>
      <c r="K127" s="11">
        <v>126</v>
      </c>
      <c r="L127" s="11">
        <v>1931</v>
      </c>
      <c r="M127" s="433">
        <f ca="1">IF(L127="",64,INDEX(OFFSET(Arb!$I$2,,,Arb!$AJ$5,),L127))</f>
        <v>50</v>
      </c>
      <c r="N127" s="34">
        <f ca="1">IF(L127="",60,INDEX(OFFSET(Arb!$H$2,,,Arb!$AJ$5,),L127))</f>
        <v>20.98</v>
      </c>
      <c r="O127" s="33">
        <f t="shared" ca="1" si="12"/>
        <v>2.3832221163012393</v>
      </c>
      <c r="P127" s="33">
        <f ca="1">IF(L127="","",INDEX(OFFSET(Arb!$X$2,,,Arb!$AJ$5,),L127)/N127)</f>
        <v>3.1458531935176359</v>
      </c>
      <c r="Q127" s="33">
        <f ca="1">IF(L127="","",(INDEX(OFFSET(Arb!$U$2,,,Arb!$AJ$5,),L127)+INDEX(OFFSET(Arb!$V$2,,,Arb!$AJ$5,),L127))/N127)</f>
        <v>3.6701620591039084</v>
      </c>
      <c r="R127" s="33">
        <f t="shared" ca="1" si="13"/>
        <v>3.5326394801290184</v>
      </c>
      <c r="S127" s="21">
        <f t="shared" ca="1" si="14"/>
        <v>43.5170361608441</v>
      </c>
      <c r="T127" s="74">
        <f ca="1">IF(L127="","",DATE(INDEX(OFFSET(Arb!$C$2,,,Arb!$AJ$5,),L127),INDEX(OFFSET(Arb!$B$2,,,Arb!$AJ$5,),L127),INDEX(OFFSET(Arb!$A$2,,,Arb!$AJ$5,),L127))+ROW()*0.001)</f>
        <v>43771.127</v>
      </c>
      <c r="U127" s="11">
        <v>126</v>
      </c>
      <c r="V127" s="11">
        <v>3106</v>
      </c>
      <c r="W127" s="433">
        <f ca="1">IF(V127="",164,INDEX(OFFSET(Arb!$I$2,,,Arb!$AJ$5,),V127))</f>
        <v>169</v>
      </c>
      <c r="X127" s="34">
        <f ca="1">IF(V127="",240,INDEX(OFFSET(Arb!$H$2,,,Arb!$AJ$5,),V127))</f>
        <v>69.540000000000006</v>
      </c>
      <c r="Y127" s="33">
        <f t="shared" ca="1" si="15"/>
        <v>2.4302559677883231</v>
      </c>
      <c r="Z127" s="33">
        <f ca="1">IF(V127="","",INDEX(OFFSET(Arb!$X$2,,,Arb!$AJ$5,),V127)/X127)</f>
        <v>3.0198446937014665</v>
      </c>
      <c r="AA127" s="33">
        <f ca="1">IF(V127="","",(INDEX(OFFSET(Arb!$U$2,,,Arb!$AJ$5,),V127)+INDEX(OFFSET(Arb!$V$2,,,Arb!$AJ$5,),V127))/X127)</f>
        <v>3.4081104400345121</v>
      </c>
      <c r="AB127" s="33">
        <f t="shared" ca="1" si="16"/>
        <v>8.0151612169417916</v>
      </c>
      <c r="AC127" s="21">
        <f t="shared" ca="1" si="17"/>
        <v>54.2722707910766</v>
      </c>
      <c r="AD127" s="74">
        <f ca="1">IF(V127="","",DATE(INDEX(OFFSET(Arb!$C$2,,,Arb!$AJ$5,),V127),INDEX(OFFSET(Arb!$B$2,,,Arb!$AJ$5,),V127),INDEX(OFFSET(Arb!$A$2,,,Arb!$AJ$5,),V127))+ROW()*0.001)</f>
        <v>44006.127</v>
      </c>
    </row>
    <row r="128" spans="1:30" x14ac:dyDescent="0.25">
      <c r="A128" s="11">
        <v>127</v>
      </c>
      <c r="B128" s="11">
        <v>319</v>
      </c>
      <c r="C128" s="433">
        <f ca="1">IF(B128="",16,INDEX(OFFSET(Arb!$I$2,,,Arb!$AJ$5,),B128))</f>
        <v>10</v>
      </c>
      <c r="D128" s="34">
        <f ca="1">IF(B128="",10,INDEX(OFFSET(Arb!$H$2,,,Arb!$AJ$5,),B128))</f>
        <v>3.49</v>
      </c>
      <c r="E128" s="33">
        <f t="shared" ca="1" si="9"/>
        <v>2.8653295128939824</v>
      </c>
      <c r="F128" s="33">
        <f ca="1">IF(B128="","",INDEX(OFFSET(Arb!$X$2,,,Arb!$AJ$5,),B128)/D128)</f>
        <v>3.151862464183381</v>
      </c>
      <c r="G128" s="33">
        <f ca="1">IF(B128="","",(INDEX(OFFSET(Arb!$U$2,,,Arb!$AJ$5,),B128)+INDEX(OFFSET(Arb!$V$2,,,Arb!$AJ$5,),B128))/D128)</f>
        <v>3.4383954154727792</v>
      </c>
      <c r="H128" s="33">
        <f t="shared" ca="1" si="10"/>
        <v>0.837149892551729</v>
      </c>
      <c r="I128" s="21">
        <f t="shared" ca="1" si="11"/>
        <v>56.500037115010812</v>
      </c>
      <c r="J128" s="74">
        <f ca="1">IF(B128="","",DATE(INDEX(OFFSET(Arb!$C$2,,,Arb!$AJ$5,),B128),INDEX(OFFSET(Arb!$B$2,,,Arb!$AJ$5,),B128),INDEX(OFFSET(Arb!$A$2,,,Arb!$AJ$5,),B128))+ROW()*0.001)</f>
        <v>43779.127999999997</v>
      </c>
      <c r="K128" s="11">
        <v>127</v>
      </c>
      <c r="L128" s="11">
        <v>1973</v>
      </c>
      <c r="M128" s="433">
        <f ca="1">IF(L128="",64,INDEX(OFFSET(Arb!$I$2,,,Arb!$AJ$5,),L128))</f>
        <v>64</v>
      </c>
      <c r="N128" s="34">
        <f ca="1">IF(L128="",60,INDEX(OFFSET(Arb!$H$2,,,Arb!$AJ$5,),L128))</f>
        <v>24.26</v>
      </c>
      <c r="O128" s="33">
        <f t="shared" ca="1" si="12"/>
        <v>2.6380873866446826</v>
      </c>
      <c r="P128" s="33">
        <f ca="1">IF(L128="","",INDEX(OFFSET(Arb!$X$2,,,Arb!$AJ$5,),L128)/N128)</f>
        <v>3.2563891178895297</v>
      </c>
      <c r="Q128" s="33">
        <f ca="1">IF(L128="","",(INDEX(OFFSET(Arb!$U$2,,,Arb!$AJ$5,),L128)+INDEX(OFFSET(Arb!$V$2,,,Arb!$AJ$5,),L128))/N128)</f>
        <v>3.4212695795548225</v>
      </c>
      <c r="R128" s="33">
        <f t="shared" ca="1" si="13"/>
        <v>3.5329246922238067</v>
      </c>
      <c r="S128" s="21">
        <f t="shared" ca="1" si="14"/>
        <v>43.513523041792979</v>
      </c>
      <c r="T128" s="74">
        <f ca="1">IF(L128="","",DATE(INDEX(OFFSET(Arb!$C$2,,,Arb!$AJ$5,),L128),INDEX(OFFSET(Arb!$B$2,,,Arb!$AJ$5,),L128),INDEX(OFFSET(Arb!$A$2,,,Arb!$AJ$5,),L128))+ROW()*0.001)</f>
        <v>43779.127999999997</v>
      </c>
      <c r="U128" s="11">
        <v>127</v>
      </c>
      <c r="V128" s="11">
        <v>3307</v>
      </c>
      <c r="W128" s="433">
        <f ca="1">IF(V128="",164,INDEX(OFFSET(Arb!$I$2,,,Arb!$AJ$5,),V128))</f>
        <v>220</v>
      </c>
      <c r="X128" s="34">
        <f ca="1">IF(V128="",240,INDEX(OFFSET(Arb!$H$2,,,Arb!$AJ$5,),V128))</f>
        <v>81.209999999999994</v>
      </c>
      <c r="Y128" s="33">
        <f t="shared" ca="1" si="15"/>
        <v>2.7090259820219189</v>
      </c>
      <c r="Z128" s="33">
        <f ca="1">IF(V128="","",INDEX(OFFSET(Arb!$X$2,,,Arb!$AJ$5,),V128)/X128)</f>
        <v>3.1400073882526787</v>
      </c>
      <c r="AA128" s="33">
        <f ca="1">IF(V128="","",(INDEX(OFFSET(Arb!$U$2,,,Arb!$AJ$5,),V128)+INDEX(OFFSET(Arb!$V$2,,,Arb!$AJ$5,),V128))/X128)</f>
        <v>3.4601650043098142</v>
      </c>
      <c r="AB128" s="33">
        <f t="shared" ca="1" si="16"/>
        <v>8.0151838220169331</v>
      </c>
      <c r="AC128" s="21">
        <f t="shared" ca="1" si="17"/>
        <v>54.272117727992011</v>
      </c>
      <c r="AD128" s="74">
        <f ca="1">IF(V128="","",DATE(INDEX(OFFSET(Arb!$C$2,,,Arb!$AJ$5,),V128),INDEX(OFFSET(Arb!$B$2,,,Arb!$AJ$5,),V128),INDEX(OFFSET(Arb!$A$2,,,Arb!$AJ$5,),V128))+ROW()*0.001)</f>
        <v>44092.127999999997</v>
      </c>
    </row>
    <row r="129" spans="1:30" x14ac:dyDescent="0.25">
      <c r="A129" s="11">
        <v>128</v>
      </c>
      <c r="B129" s="11">
        <v>1269</v>
      </c>
      <c r="C129" s="433">
        <f ca="1">IF(B129="",16,INDEX(OFFSET(Arb!$I$2,,,Arb!$AJ$5,),B129))</f>
        <v>21</v>
      </c>
      <c r="D129" s="34">
        <f ca="1">IF(B129="",10,INDEX(OFFSET(Arb!$H$2,,,Arb!$AJ$5,),B129))</f>
        <v>5.4</v>
      </c>
      <c r="E129" s="33">
        <f t="shared" ca="1" si="9"/>
        <v>3.8888888888888888</v>
      </c>
      <c r="F129" s="33">
        <f ca="1">IF(B129="","",INDEX(OFFSET(Arb!$X$2,,,Arb!$AJ$5,),B129)/D129)</f>
        <v>4.6296296296296298</v>
      </c>
      <c r="G129" s="33">
        <f ca="1">IF(B129="","",(INDEX(OFFSET(Arb!$U$2,,,Arb!$AJ$5,),B129)+INDEX(OFFSET(Arb!$V$2,,,Arb!$AJ$5,),B129))/D129)</f>
        <v>5</v>
      </c>
      <c r="H129" s="33">
        <f t="shared" ca="1" si="10"/>
        <v>0.83724024664169505</v>
      </c>
      <c r="I129" s="21">
        <f t="shared" ca="1" si="11"/>
        <v>56.493939690219001</v>
      </c>
      <c r="J129" s="74">
        <f ca="1">IF(B129="","",DATE(INDEX(OFFSET(Arb!$C$2,,,Arb!$AJ$5,),B129),INDEX(OFFSET(Arb!$B$2,,,Arb!$AJ$5,),B129),INDEX(OFFSET(Arb!$A$2,,,Arb!$AJ$5,),B129))+ROW()*0.001)</f>
        <v>43906.129000000001</v>
      </c>
      <c r="K129" s="11">
        <v>128</v>
      </c>
      <c r="L129" s="11">
        <v>2299</v>
      </c>
      <c r="M129" s="433">
        <f ca="1">IF(L129="",64,INDEX(OFFSET(Arb!$I$2,,,Arb!$AJ$5,),L129))</f>
        <v>51</v>
      </c>
      <c r="N129" s="34">
        <f ca="1">IF(L129="",60,INDEX(OFFSET(Arb!$H$2,,,Arb!$AJ$5,),L129))</f>
        <v>21.24</v>
      </c>
      <c r="O129" s="33">
        <f t="shared" ca="1" si="12"/>
        <v>2.4011299435028248</v>
      </c>
      <c r="P129" s="33">
        <f ca="1">IF(L129="","",INDEX(OFFSET(Arb!$X$2,,,Arb!$AJ$5,),L129)/N129)</f>
        <v>3.154425612052731</v>
      </c>
      <c r="Q129" s="33">
        <f ca="1">IF(L129="","",(INDEX(OFFSET(Arb!$U$2,,,Arb!$AJ$5,),L129)+INDEX(OFFSET(Arb!$V$2,,,Arb!$AJ$5,),L129))/N129)</f>
        <v>3.6252354048964222</v>
      </c>
      <c r="R129" s="33">
        <f t="shared" ca="1" si="13"/>
        <v>3.5366533587570181</v>
      </c>
      <c r="S129" s="21">
        <f t="shared" ca="1" si="14"/>
        <v>43.467647067913234</v>
      </c>
      <c r="T129" s="74">
        <f ca="1">IF(L129="","",DATE(INDEX(OFFSET(Arb!$C$2,,,Arb!$AJ$5,),L129),INDEX(OFFSET(Arb!$B$2,,,Arb!$AJ$5,),L129),INDEX(OFFSET(Arb!$A$2,,,Arb!$AJ$5,),L129))+ROW()*0.001)</f>
        <v>43941.129000000001</v>
      </c>
      <c r="U129" s="11">
        <v>128</v>
      </c>
      <c r="V129" s="11">
        <v>3400</v>
      </c>
      <c r="W129" s="433">
        <f ca="1">IF(V129="",164,INDEX(OFFSET(Arb!$I$2,,,Arb!$AJ$5,),V129))</f>
        <v>221</v>
      </c>
      <c r="X129" s="34">
        <f ca="1">IF(V129="",240,INDEX(OFFSET(Arb!$H$2,,,Arb!$AJ$5,),V129))</f>
        <v>81.510000000000005</v>
      </c>
      <c r="Y129" s="33">
        <f t="shared" ca="1" si="15"/>
        <v>2.7113237639553427</v>
      </c>
      <c r="Z129" s="33">
        <f ca="1">IF(V129="","",INDEX(OFFSET(Arb!$X$2,,,Arb!$AJ$5,),V129)/X129)</f>
        <v>2.7603974972396021</v>
      </c>
      <c r="AA129" s="33">
        <f ca="1">IF(V129="","",(INDEX(OFFSET(Arb!$U$2,,,Arb!$AJ$5,),V129)+INDEX(OFFSET(Arb!$V$2,,,Arb!$AJ$5,),V129))/X129)</f>
        <v>3.1284504968715492</v>
      </c>
      <c r="AB129" s="33">
        <f t="shared" ca="1" si="16"/>
        <v>8.0290884950058246</v>
      </c>
      <c r="AC129" s="21">
        <f t="shared" ca="1" si="17"/>
        <v>54.178129967128278</v>
      </c>
      <c r="AD129" s="74">
        <f ca="1">IF(V129="","",DATE(INDEX(OFFSET(Arb!$C$2,,,Arb!$AJ$5,),V129),INDEX(OFFSET(Arb!$B$2,,,Arb!$AJ$5,),V129),INDEX(OFFSET(Arb!$A$2,,,Arb!$AJ$5,),V129))+ROW()*0.001)</f>
        <v>44145.129000000001</v>
      </c>
    </row>
    <row r="130" spans="1:30" x14ac:dyDescent="0.25">
      <c r="A130" s="11">
        <v>129</v>
      </c>
      <c r="B130" s="11">
        <v>1262</v>
      </c>
      <c r="C130" s="433">
        <f ca="1">IF(B130="",16,INDEX(OFFSET(Arb!$I$2,,,Arb!$AJ$5,),B130))</f>
        <v>20</v>
      </c>
      <c r="D130" s="34">
        <f ca="1">IF(B130="",10,INDEX(OFFSET(Arb!$H$2,,,Arb!$AJ$5,),B130))</f>
        <v>5.25</v>
      </c>
      <c r="E130" s="33">
        <f t="shared" ca="1" si="9"/>
        <v>3.8095238095238093</v>
      </c>
      <c r="F130" s="33">
        <f ca="1">IF(B130="","",INDEX(OFFSET(Arb!$X$2,,,Arb!$AJ$5,),B130)/D130)</f>
        <v>4</v>
      </c>
      <c r="G130" s="33">
        <f ca="1">IF(B130="","",(INDEX(OFFSET(Arb!$U$2,,,Arb!$AJ$5,),B130)+INDEX(OFFSET(Arb!$V$2,,,Arb!$AJ$5,),B130))/D130)</f>
        <v>4.1904761904761907</v>
      </c>
      <c r="H130" s="33">
        <f t="shared" ca="1" si="10"/>
        <v>0.83799382829691971</v>
      </c>
      <c r="I130" s="21">
        <f t="shared" ca="1" si="11"/>
        <v>56.443136456180341</v>
      </c>
      <c r="J130" s="74">
        <f ca="1">IF(B130="","",DATE(INDEX(OFFSET(Arb!$C$2,,,Arb!$AJ$5,),B130),INDEX(OFFSET(Arb!$B$2,,,Arb!$AJ$5,),B130),INDEX(OFFSET(Arb!$A$2,,,Arb!$AJ$5,),B130))+ROW()*0.001)</f>
        <v>43901.13</v>
      </c>
      <c r="K130" s="11">
        <v>129</v>
      </c>
      <c r="L130" s="11">
        <v>2133</v>
      </c>
      <c r="M130" s="433">
        <f ca="1">IF(L130="",64,INDEX(OFFSET(Arb!$I$2,,,Arb!$AJ$5,),L130))</f>
        <v>60</v>
      </c>
      <c r="N130" s="34">
        <f ca="1">IF(L130="",60,INDEX(OFFSET(Arb!$H$2,,,Arb!$AJ$5,),L130))</f>
        <v>23.39</v>
      </c>
      <c r="O130" s="33">
        <f t="shared" ca="1" si="12"/>
        <v>2.5651988029072252</v>
      </c>
      <c r="P130" s="33">
        <f ca="1">IF(L130="","",INDEX(OFFSET(Arb!$X$2,,,Arb!$AJ$5,),L130)/N130)</f>
        <v>3.4202650705429671</v>
      </c>
      <c r="Q130" s="33">
        <f ca="1">IF(L130="","",(INDEX(OFFSET(Arb!$U$2,,,Arb!$AJ$5,),L130)+INDEX(OFFSET(Arb!$V$2,,,Arb!$AJ$5,),L130))/N130)</f>
        <v>3.9760581445061991</v>
      </c>
      <c r="R130" s="33">
        <f t="shared" ca="1" si="13"/>
        <v>3.5416050374176589</v>
      </c>
      <c r="S130" s="21">
        <f t="shared" ca="1" si="14"/>
        <v>43.406872978724735</v>
      </c>
      <c r="T130" s="74">
        <f ca="1">IF(L130="","",DATE(INDEX(OFFSET(Arb!$C$2,,,Arb!$AJ$5,),L130),INDEX(OFFSET(Arb!$B$2,,,Arb!$AJ$5,),L130),INDEX(OFFSET(Arb!$A$2,,,Arb!$AJ$5,),L130))+ROW()*0.001)</f>
        <v>43815.13</v>
      </c>
      <c r="U130" s="11">
        <v>129</v>
      </c>
      <c r="V130" s="11">
        <v>3239</v>
      </c>
      <c r="W130" s="433">
        <f ca="1">IF(V130="",164,INDEX(OFFSET(Arb!$I$2,,,Arb!$AJ$5,),V130))</f>
        <v>181</v>
      </c>
      <c r="X130" s="34">
        <f ca="1">IF(V130="",240,INDEX(OFFSET(Arb!$H$2,,,Arb!$AJ$5,),V130))</f>
        <v>72.5</v>
      </c>
      <c r="Y130" s="33">
        <f t="shared" ca="1" si="15"/>
        <v>2.4965517241379311</v>
      </c>
      <c r="Z130" s="33">
        <f ca="1">IF(V130="","",INDEX(OFFSET(Arb!$X$2,,,Arb!$AJ$5,),V130)/X130)</f>
        <v>3.0344827586206895</v>
      </c>
      <c r="AA130" s="33">
        <f ca="1">IF(V130="","",(INDEX(OFFSET(Arb!$U$2,,,Arb!$AJ$5,),V130)+INDEX(OFFSET(Arb!$V$2,,,Arb!$AJ$5,),V130))/X130)</f>
        <v>3.3517241379310345</v>
      </c>
      <c r="AB130" s="33">
        <f t="shared" ca="1" si="16"/>
        <v>8.03333792895355</v>
      </c>
      <c r="AC130" s="21">
        <f t="shared" ca="1" si="17"/>
        <v>54.149471097460065</v>
      </c>
      <c r="AD130" s="74">
        <f ca="1">IF(V130="","",DATE(INDEX(OFFSET(Arb!$C$2,,,Arb!$AJ$5,),V130),INDEX(OFFSET(Arb!$B$2,,,Arb!$AJ$5,),V130),INDEX(OFFSET(Arb!$A$2,,,Arb!$AJ$5,),V130))+ROW()*0.001)</f>
        <v>44064.13</v>
      </c>
    </row>
    <row r="131" spans="1:30" x14ac:dyDescent="0.25">
      <c r="A131" s="11">
        <v>130</v>
      </c>
      <c r="B131" s="11">
        <v>786</v>
      </c>
      <c r="C131" s="433">
        <f ca="1">IF(B131="",16,INDEX(OFFSET(Arb!$I$2,,,Arb!$AJ$5,),B131))</f>
        <v>12</v>
      </c>
      <c r="D131" s="34">
        <f ca="1">IF(B131="",10,INDEX(OFFSET(Arb!$H$2,,,Arb!$AJ$5,),B131))</f>
        <v>3.89</v>
      </c>
      <c r="E131" s="33">
        <f t="shared" ref="E131:E194" ca="1" si="18">C131/D131</f>
        <v>3.0848329048843186</v>
      </c>
      <c r="F131" s="33">
        <f ca="1">IF(B131="","",INDEX(OFFSET(Arb!$X$2,,,Arb!$AJ$5,),B131)/D131)</f>
        <v>4.3701799485861184</v>
      </c>
      <c r="G131" s="33">
        <f ca="1">IF(B131="","",(INDEX(OFFSET(Arb!$U$2,,,Arb!$AJ$5,),B131)+INDEX(OFFSET(Arb!$V$2,,,Arb!$AJ$5,),B131))/D131)</f>
        <v>4.8843187660668379</v>
      </c>
      <c r="H131" s="33">
        <f t="shared" ref="H131:H194" ca="1" si="19">D131^1.7/C131</f>
        <v>0.83894420055168162</v>
      </c>
      <c r="I131" s="21">
        <f t="shared" ref="I131:I194" ca="1" si="20">47.299/H131</f>
        <v>56.379196576955458</v>
      </c>
      <c r="J131" s="74">
        <f ca="1">IF(B131="","",DATE(INDEX(OFFSET(Arb!$C$2,,,Arb!$AJ$5,),B131),INDEX(OFFSET(Arb!$B$2,,,Arb!$AJ$5,),B131),INDEX(OFFSET(Arb!$A$2,,,Arb!$AJ$5,),B131))+ROW()*0.001)</f>
        <v>43811.131000000001</v>
      </c>
      <c r="K131" s="11">
        <v>130</v>
      </c>
      <c r="L131" s="11">
        <v>2163</v>
      </c>
      <c r="M131" s="433">
        <f ca="1">IF(L131="",64,INDEX(OFFSET(Arb!$I$2,,,Arb!$AJ$5,),L131))</f>
        <v>51</v>
      </c>
      <c r="N131" s="34">
        <f ca="1">IF(L131="",60,INDEX(OFFSET(Arb!$H$2,,,Arb!$AJ$5,),L131))</f>
        <v>21.26</v>
      </c>
      <c r="O131" s="33">
        <f t="shared" ref="O131:O194" ca="1" si="21">M131/N131</f>
        <v>2.3988711194731889</v>
      </c>
      <c r="P131" s="33">
        <f ca="1">IF(L131="","",INDEX(OFFSET(Arb!$X$2,,,Arb!$AJ$5,),L131)/N131)</f>
        <v>2.8692380056444025</v>
      </c>
      <c r="Q131" s="33">
        <f ca="1">IF(L131="","",(INDEX(OFFSET(Arb!$U$2,,,Arb!$AJ$5,),L131)+INDEX(OFFSET(Arb!$V$2,,,Arb!$AJ$5,),L131))/N131)</f>
        <v>3.339604891815616</v>
      </c>
      <c r="R131" s="33">
        <f t="shared" ref="R131:R194" ca="1" si="22">N131^1.7/M131</f>
        <v>3.5423165338810292</v>
      </c>
      <c r="S131" s="21">
        <f t="shared" ref="S131:S194" ca="1" si="23">153.73/R131</f>
        <v>43.398154436405065</v>
      </c>
      <c r="T131" s="74">
        <f ca="1">IF(L131="","",DATE(INDEX(OFFSET(Arb!$C$2,,,Arb!$AJ$5,),L131),INDEX(OFFSET(Arb!$B$2,,,Arb!$AJ$5,),L131),INDEX(OFFSET(Arb!$A$2,,,Arb!$AJ$5,),L131))+ROW()*0.001)</f>
        <v>43823.131000000001</v>
      </c>
      <c r="U131" s="11">
        <v>130</v>
      </c>
      <c r="V131" s="11">
        <v>2794</v>
      </c>
      <c r="W131" s="433">
        <f ca="1">IF(V131="",164,INDEX(OFFSET(Arb!$I$2,,,Arb!$AJ$5,),V131))</f>
        <v>191</v>
      </c>
      <c r="X131" s="34">
        <f ca="1">IF(V131="",240,INDEX(OFFSET(Arb!$H$2,,,Arb!$AJ$5,),V131))</f>
        <v>74.84</v>
      </c>
      <c r="Y131" s="33">
        <f t="shared" ref="Y131:Y194" ca="1" si="24">W131/X131</f>
        <v>2.5521111704970605</v>
      </c>
      <c r="Z131" s="33">
        <f ca="1">IF(V131="","",INDEX(OFFSET(Arb!$X$2,,,Arb!$AJ$5,),V131)/X131)</f>
        <v>2.993051843933725</v>
      </c>
      <c r="AA131" s="33">
        <f ca="1">IF(V131="","",(INDEX(OFFSET(Arb!$U$2,,,Arb!$AJ$5,),V131)+INDEX(OFFSET(Arb!$V$2,,,Arb!$AJ$5,),V131))/X131)</f>
        <v>3.327097808658471</v>
      </c>
      <c r="AB131" s="33">
        <f t="shared" ref="AB131:AB194" ca="1" si="25">X131^1.7/W131</f>
        <v>8.0351512615353862</v>
      </c>
      <c r="AC131" s="21">
        <f t="shared" ref="AC131:AC194" ca="1" si="26">435.001/AB131</f>
        <v>54.137250916777191</v>
      </c>
      <c r="AD131" s="74">
        <f ca="1">IF(V131="","",DATE(INDEX(OFFSET(Arb!$C$2,,,Arb!$AJ$5,),V131),INDEX(OFFSET(Arb!$B$2,,,Arb!$AJ$5,),V131),INDEX(OFFSET(Arb!$A$2,,,Arb!$AJ$5,),V131))+ROW()*0.001)</f>
        <v>43893.131000000001</v>
      </c>
    </row>
    <row r="132" spans="1:30" x14ac:dyDescent="0.25">
      <c r="A132" s="11">
        <v>131</v>
      </c>
      <c r="B132" s="11">
        <v>791</v>
      </c>
      <c r="C132" s="433">
        <f ca="1">IF(B132="",16,INDEX(OFFSET(Arb!$I$2,,,Arb!$AJ$5,),B132))</f>
        <v>17</v>
      </c>
      <c r="D132" s="34">
        <f ca="1">IF(B132="",10,INDEX(OFFSET(Arb!$H$2,,,Arb!$AJ$5,),B132))</f>
        <v>4.78</v>
      </c>
      <c r="E132" s="33">
        <f t="shared" ca="1" si="18"/>
        <v>3.5564853556485354</v>
      </c>
      <c r="F132" s="33">
        <f ca="1">IF(B132="","",INDEX(OFFSET(Arb!$X$2,,,Arb!$AJ$5,),B132)/D132)</f>
        <v>3.5564853556485354</v>
      </c>
      <c r="G132" s="33">
        <f ca="1">IF(B132="","",(INDEX(OFFSET(Arb!$U$2,,,Arb!$AJ$5,),B132)+INDEX(OFFSET(Arb!$V$2,,,Arb!$AJ$5,),B132))/D132)</f>
        <v>4.1841004184100417</v>
      </c>
      <c r="H132" s="33">
        <f t="shared" ca="1" si="19"/>
        <v>0.84057893601368905</v>
      </c>
      <c r="I132" s="21">
        <f t="shared" ca="1" si="20"/>
        <v>56.269551821400533</v>
      </c>
      <c r="J132" s="74">
        <f ca="1">IF(B132="","",DATE(INDEX(OFFSET(Arb!$C$2,,,Arb!$AJ$5,),B132),INDEX(OFFSET(Arb!$B$2,,,Arb!$AJ$5,),B132),INDEX(OFFSET(Arb!$A$2,,,Arb!$AJ$5,),B132))+ROW()*0.001)</f>
        <v>43811.131999999998</v>
      </c>
      <c r="K132" s="11">
        <v>131</v>
      </c>
      <c r="L132" s="11">
        <v>2207</v>
      </c>
      <c r="M132" s="433">
        <f ca="1">IF(L132="",64,INDEX(OFFSET(Arb!$I$2,,,Arb!$AJ$5,),L132))</f>
        <v>78</v>
      </c>
      <c r="N132" s="34">
        <f ca="1">IF(L132="",60,INDEX(OFFSET(Arb!$H$2,,,Arb!$AJ$5,),L132))</f>
        <v>27.3</v>
      </c>
      <c r="O132" s="33">
        <f t="shared" ca="1" si="21"/>
        <v>2.8571428571428572</v>
      </c>
      <c r="P132" s="33">
        <f ca="1">IF(L132="","",INDEX(OFFSET(Arb!$X$2,,,Arb!$AJ$5,),L132)/N132)</f>
        <v>3.4065934065934065</v>
      </c>
      <c r="Q132" s="33">
        <f ca="1">IF(L132="","",(INDEX(OFFSET(Arb!$U$2,,,Arb!$AJ$5,),L132)+INDEX(OFFSET(Arb!$V$2,,,Arb!$AJ$5,),L132))/N132)</f>
        <v>3.7362637362637363</v>
      </c>
      <c r="R132" s="33">
        <f t="shared" ca="1" si="22"/>
        <v>3.5430876589846036</v>
      </c>
      <c r="S132" s="21">
        <f t="shared" ca="1" si="23"/>
        <v>43.388709170141368</v>
      </c>
      <c r="T132" s="74">
        <f ca="1">IF(L132="","",DATE(INDEX(OFFSET(Arb!$C$2,,,Arb!$AJ$5,),L132),INDEX(OFFSET(Arb!$B$2,,,Arb!$AJ$5,),L132),INDEX(OFFSET(Arb!$A$2,,,Arb!$AJ$5,),L132))+ROW()*0.001)</f>
        <v>43869.131999999998</v>
      </c>
      <c r="U132" s="11">
        <v>131</v>
      </c>
      <c r="V132" s="11">
        <v>3262</v>
      </c>
      <c r="W132" s="433">
        <f ca="1">IF(V132="",164,INDEX(OFFSET(Arb!$I$2,,,Arb!$AJ$5,),V132))</f>
        <v>189</v>
      </c>
      <c r="X132" s="34">
        <f ca="1">IF(V132="",240,INDEX(OFFSET(Arb!$H$2,,,Arb!$AJ$5,),V132))</f>
        <v>74.39</v>
      </c>
      <c r="Y132" s="33">
        <f t="shared" ca="1" si="24"/>
        <v>2.5406640677510417</v>
      </c>
      <c r="Z132" s="33">
        <f ca="1">IF(V132="","",INDEX(OFFSET(Arb!$X$2,,,Arb!$AJ$5,),V132)/X132)</f>
        <v>2.9977147466057263</v>
      </c>
      <c r="AA132" s="33">
        <f ca="1">IF(V132="","",(INDEX(OFFSET(Arb!$U$2,,,Arb!$AJ$5,),V132)+INDEX(OFFSET(Arb!$V$2,,,Arb!$AJ$5,),V132))/X132)</f>
        <v>3.2531254200833444</v>
      </c>
      <c r="AB132" s="33">
        <f t="shared" ca="1" si="25"/>
        <v>8.0373511992991578</v>
      </c>
      <c r="AC132" s="21">
        <f t="shared" ca="1" si="26"/>
        <v>54.122432778342606</v>
      </c>
      <c r="AD132" s="74">
        <f ca="1">IF(V132="","",DATE(INDEX(OFFSET(Arb!$C$2,,,Arb!$AJ$5,),V132),INDEX(OFFSET(Arb!$B$2,,,Arb!$AJ$5,),V132),INDEX(OFFSET(Arb!$A$2,,,Arb!$AJ$5,),V132))+ROW()*0.001)</f>
        <v>44073.131999999998</v>
      </c>
    </row>
    <row r="133" spans="1:30" x14ac:dyDescent="0.25">
      <c r="A133" s="11">
        <v>132</v>
      </c>
      <c r="B133" s="11">
        <v>1475</v>
      </c>
      <c r="C133" s="433">
        <f ca="1">IF(B133="",16,INDEX(OFFSET(Arb!$I$2,,,Arb!$AJ$5,),B133))</f>
        <v>12</v>
      </c>
      <c r="D133" s="34">
        <f ca="1">IF(B133="",10,INDEX(OFFSET(Arb!$H$2,,,Arb!$AJ$5,),B133))</f>
        <v>3.9</v>
      </c>
      <c r="E133" s="33">
        <f t="shared" ca="1" si="18"/>
        <v>3.0769230769230771</v>
      </c>
      <c r="F133" s="33">
        <f ca="1">IF(B133="","",INDEX(OFFSET(Arb!$X$2,,,Arb!$AJ$5,),B133)/D133)</f>
        <v>3.5897435897435899</v>
      </c>
      <c r="G133" s="33">
        <f ca="1">IF(B133="","",(INDEX(OFFSET(Arb!$U$2,,,Arb!$AJ$5,),B133)+INDEX(OFFSET(Arb!$V$2,,,Arb!$AJ$5,),B133))/D133)</f>
        <v>4.6153846153846159</v>
      </c>
      <c r="H133" s="33">
        <f t="shared" ca="1" si="19"/>
        <v>0.8426138355885201</v>
      </c>
      <c r="I133" s="21">
        <f t="shared" ca="1" si="20"/>
        <v>56.13366171107814</v>
      </c>
      <c r="J133" s="74">
        <f ca="1">IF(B133="","",DATE(INDEX(OFFSET(Arb!$C$2,,,Arb!$AJ$5,),B133),INDEX(OFFSET(Arb!$B$2,,,Arb!$AJ$5,),B133),INDEX(OFFSET(Arb!$A$2,,,Arb!$AJ$5,),B133))+ROW()*0.001)</f>
        <v>43952.133000000002</v>
      </c>
      <c r="K133" s="11">
        <v>132</v>
      </c>
      <c r="L133" s="11">
        <v>2289</v>
      </c>
      <c r="M133" s="433">
        <f ca="1">IF(L133="",64,INDEX(OFFSET(Arb!$I$2,,,Arb!$AJ$5,),L133))</f>
        <v>58</v>
      </c>
      <c r="N133" s="34">
        <f ca="1">IF(L133="",60,INDEX(OFFSET(Arb!$H$2,,,Arb!$AJ$5,),L133))</f>
        <v>22.94</v>
      </c>
      <c r="O133" s="33">
        <f t="shared" ca="1" si="21"/>
        <v>2.5283347863993022</v>
      </c>
      <c r="P133" s="33">
        <f ca="1">IF(L133="","",INDEX(OFFSET(Arb!$X$2,,,Arb!$AJ$5,),L133)/N133)</f>
        <v>3.400174367916303</v>
      </c>
      <c r="Q133" s="33">
        <f ca="1">IF(L133="","",(INDEX(OFFSET(Arb!$U$2,,,Arb!$AJ$5,),L133)+INDEX(OFFSET(Arb!$V$2,,,Arb!$AJ$5,),L133))/N133)</f>
        <v>3.7925021795989537</v>
      </c>
      <c r="R133" s="33">
        <f t="shared" ca="1" si="22"/>
        <v>3.5447108084331473</v>
      </c>
      <c r="S133" s="21">
        <f t="shared" ca="1" si="23"/>
        <v>43.368841157440592</v>
      </c>
      <c r="T133" s="74">
        <f ca="1">IF(L133="","",DATE(INDEX(OFFSET(Arb!$C$2,,,Arb!$AJ$5,),L133),INDEX(OFFSET(Arb!$B$2,,,Arb!$AJ$5,),L133),INDEX(OFFSET(Arb!$A$2,,,Arb!$AJ$5,),L133))+ROW()*0.001)</f>
        <v>43937.133000000002</v>
      </c>
      <c r="U133" s="11">
        <v>132</v>
      </c>
      <c r="V133" s="11">
        <v>3405</v>
      </c>
      <c r="W133" s="433">
        <f ca="1">IF(V133="",164,INDEX(OFFSET(Arb!$I$2,,,Arb!$AJ$5,),V133))</f>
        <v>172</v>
      </c>
      <c r="X133" s="34">
        <f ca="1">IF(V133="",240,INDEX(OFFSET(Arb!$H$2,,,Arb!$AJ$5,),V133))</f>
        <v>70.38</v>
      </c>
      <c r="Y133" s="33">
        <f t="shared" ca="1" si="24"/>
        <v>2.4438761011651038</v>
      </c>
      <c r="Z133" s="33">
        <f ca="1">IF(V133="","",INDEX(OFFSET(Arb!$X$2,,,Arb!$AJ$5,),V133)/X133)</f>
        <v>2.4865018471156581</v>
      </c>
      <c r="AA133" s="33">
        <f ca="1">IF(V133="","",(INDEX(OFFSET(Arb!$U$2,,,Arb!$AJ$5,),V133)+INDEX(OFFSET(Arb!$V$2,,,Arb!$AJ$5,),V133))/X133)</f>
        <v>2.770673486786019</v>
      </c>
      <c r="AB133" s="33">
        <f t="shared" ca="1" si="25"/>
        <v>8.0377649030175995</v>
      </c>
      <c r="AC133" s="21">
        <f t="shared" ca="1" si="26"/>
        <v>54.119647097004361</v>
      </c>
      <c r="AD133" s="74">
        <f ca="1">IF(V133="","",DATE(INDEX(OFFSET(Arb!$C$2,,,Arb!$AJ$5,),V133),INDEX(OFFSET(Arb!$B$2,,,Arb!$AJ$5,),V133),INDEX(OFFSET(Arb!$A$2,,,Arb!$AJ$5,),V133))+ROW()*0.001)</f>
        <v>44146.133000000002</v>
      </c>
    </row>
    <row r="134" spans="1:30" x14ac:dyDescent="0.25">
      <c r="A134" s="11">
        <v>133</v>
      </c>
      <c r="B134" s="11">
        <v>1574</v>
      </c>
      <c r="C134" s="433">
        <f ca="1">IF(B134="",16,INDEX(OFFSET(Arb!$I$2,,,Arb!$AJ$5,),B134))</f>
        <v>13</v>
      </c>
      <c r="D134" s="34">
        <f ca="1">IF(B134="",10,INDEX(OFFSET(Arb!$H$2,,,Arb!$AJ$5,),B134))</f>
        <v>4.09</v>
      </c>
      <c r="E134" s="33">
        <f t="shared" ca="1" si="18"/>
        <v>3.1784841075794623</v>
      </c>
      <c r="F134" s="33">
        <f ca="1">IF(B134="","",INDEX(OFFSET(Arb!$X$2,,,Arb!$AJ$5,),B134)/D134)</f>
        <v>3.6674816625916873</v>
      </c>
      <c r="G134" s="33">
        <f ca="1">IF(B134="","",(INDEX(OFFSET(Arb!$U$2,,,Arb!$AJ$5,),B134)+INDEX(OFFSET(Arb!$V$2,,,Arb!$AJ$5,),B134))/D134)</f>
        <v>4.1564792176039118</v>
      </c>
      <c r="H134" s="33">
        <f t="shared" ca="1" si="19"/>
        <v>0.8433080991199311</v>
      </c>
      <c r="I134" s="21">
        <f t="shared" ca="1" si="20"/>
        <v>56.087448999198301</v>
      </c>
      <c r="J134" s="74">
        <f ca="1">IF(B134="","",DATE(INDEX(OFFSET(Arb!$C$2,,,Arb!$AJ$5,),B134),INDEX(OFFSET(Arb!$B$2,,,Arb!$AJ$5,),B134),INDEX(OFFSET(Arb!$A$2,,,Arb!$AJ$5,),B134))+ROW()*0.001)</f>
        <v>44006.133999999998</v>
      </c>
      <c r="K134" s="11">
        <v>133</v>
      </c>
      <c r="L134" s="11">
        <v>2210</v>
      </c>
      <c r="M134" s="433">
        <f ca="1">IF(L134="",64,INDEX(OFFSET(Arb!$I$2,,,Arb!$AJ$5,),L134))</f>
        <v>75</v>
      </c>
      <c r="N134" s="34">
        <f ca="1">IF(L134="",60,INDEX(OFFSET(Arb!$H$2,,,Arb!$AJ$5,),L134))</f>
        <v>26.69</v>
      </c>
      <c r="O134" s="33">
        <f t="shared" ca="1" si="21"/>
        <v>2.8100412139378044</v>
      </c>
      <c r="P134" s="33">
        <f ca="1">IF(L134="","",INDEX(OFFSET(Arb!$X$2,,,Arb!$AJ$5,),L134)/N134)</f>
        <v>3.3345822405395276</v>
      </c>
      <c r="Q134" s="33">
        <f ca="1">IF(L134="","",(INDEX(OFFSET(Arb!$U$2,,,Arb!$AJ$5,),L134)+INDEX(OFFSET(Arb!$V$2,,,Arb!$AJ$5,),L134))/N134)</f>
        <v>3.9715249156987635</v>
      </c>
      <c r="R134" s="33">
        <f t="shared" ca="1" si="22"/>
        <v>3.5459394228505676</v>
      </c>
      <c r="S134" s="21">
        <f t="shared" ca="1" si="23"/>
        <v>43.353814509447261</v>
      </c>
      <c r="T134" s="74">
        <f ca="1">IF(L134="","",DATE(INDEX(OFFSET(Arb!$C$2,,,Arb!$AJ$5,),L134),INDEX(OFFSET(Arb!$B$2,,,Arb!$AJ$5,),L134),INDEX(OFFSET(Arb!$A$2,,,Arb!$AJ$5,),L134))+ROW()*0.001)</f>
        <v>43869.133999999998</v>
      </c>
      <c r="U134" s="11">
        <v>133</v>
      </c>
      <c r="V134" s="11">
        <v>3184</v>
      </c>
      <c r="W134" s="433">
        <f ca="1">IF(V134="",164,INDEX(OFFSET(Arb!$I$2,,,Arb!$AJ$5,),V134))</f>
        <v>153</v>
      </c>
      <c r="X134" s="34">
        <f ca="1">IF(V134="",240,INDEX(OFFSET(Arb!$H$2,,,Arb!$AJ$5,),V134))</f>
        <v>65.7</v>
      </c>
      <c r="Y134" s="33">
        <f t="shared" ca="1" si="24"/>
        <v>2.3287671232876712</v>
      </c>
      <c r="Z134" s="33">
        <f ca="1">IF(V134="","",INDEX(OFFSET(Arb!$X$2,,,Arb!$AJ$5,),V134)/X134)</f>
        <v>2.7092846270928463</v>
      </c>
      <c r="AA134" s="33">
        <f ca="1">IF(V134="","",(INDEX(OFFSET(Arb!$U$2,,,Arb!$AJ$5,),V134)+INDEX(OFFSET(Arb!$V$2,,,Arb!$AJ$5,),V134))/X134)</f>
        <v>3.0593607305936072</v>
      </c>
      <c r="AB134" s="33">
        <f t="shared" ca="1" si="25"/>
        <v>8.0384015556708341</v>
      </c>
      <c r="AC134" s="21">
        <f t="shared" ca="1" si="26"/>
        <v>54.11536074521193</v>
      </c>
      <c r="AD134" s="74">
        <f ca="1">IF(V134="","",DATE(INDEX(OFFSET(Arb!$C$2,,,Arb!$AJ$5,),V134),INDEX(OFFSET(Arb!$B$2,,,Arb!$AJ$5,),V134),INDEX(OFFSET(Arb!$A$2,,,Arb!$AJ$5,),V134))+ROW()*0.001)</f>
        <v>44052.133999999998</v>
      </c>
    </row>
    <row r="135" spans="1:30" x14ac:dyDescent="0.25">
      <c r="A135" s="11">
        <v>134</v>
      </c>
      <c r="B135" s="11">
        <v>1291</v>
      </c>
      <c r="C135" s="433">
        <f ca="1">IF(B135="",16,INDEX(OFFSET(Arb!$I$2,,,Arb!$AJ$5,),B135))</f>
        <v>13</v>
      </c>
      <c r="D135" s="34">
        <f ca="1">IF(B135="",10,INDEX(OFFSET(Arb!$H$2,,,Arb!$AJ$5,),B135))</f>
        <v>4.09</v>
      </c>
      <c r="E135" s="33">
        <f t="shared" ca="1" si="18"/>
        <v>3.1784841075794623</v>
      </c>
      <c r="F135" s="33">
        <f ca="1">IF(B135="","",INDEX(OFFSET(Arb!$X$2,,,Arb!$AJ$5,),B135)/D135)</f>
        <v>3.9119804400977998</v>
      </c>
      <c r="G135" s="33">
        <f ca="1">IF(B135="","",(INDEX(OFFSET(Arb!$U$2,,,Arb!$AJ$5,),B135)+INDEX(OFFSET(Arb!$V$2,,,Arb!$AJ$5,),B135))/D135)</f>
        <v>4.6454767726161368</v>
      </c>
      <c r="H135" s="33">
        <f t="shared" ca="1" si="19"/>
        <v>0.8433080991199311</v>
      </c>
      <c r="I135" s="21">
        <f t="shared" ca="1" si="20"/>
        <v>56.087448999198301</v>
      </c>
      <c r="J135" s="74">
        <f ca="1">IF(B135="","",DATE(INDEX(OFFSET(Arb!$C$2,,,Arb!$AJ$5,),B135),INDEX(OFFSET(Arb!$B$2,,,Arb!$AJ$5,),B135),INDEX(OFFSET(Arb!$A$2,,,Arb!$AJ$5,),B135))+ROW()*0.001)</f>
        <v>43906.135000000002</v>
      </c>
      <c r="K135" s="11">
        <v>134</v>
      </c>
      <c r="L135" s="11">
        <v>2095</v>
      </c>
      <c r="M135" s="433">
        <f ca="1">IF(L135="",64,INDEX(OFFSET(Arb!$I$2,,,Arb!$AJ$5,),L135))</f>
        <v>62</v>
      </c>
      <c r="N135" s="34">
        <f ca="1">IF(L135="",60,INDEX(OFFSET(Arb!$H$2,,,Arb!$AJ$5,),L135))</f>
        <v>23.87</v>
      </c>
      <c r="O135" s="33">
        <f t="shared" ca="1" si="21"/>
        <v>2.5974025974025974</v>
      </c>
      <c r="P135" s="33">
        <f ca="1">IF(L135="","",INDEX(OFFSET(Arb!$X$2,,,Arb!$AJ$5,),L135)/N135)</f>
        <v>3.3514872224549643</v>
      </c>
      <c r="Q135" s="33">
        <f ca="1">IF(L135="","",(INDEX(OFFSET(Arb!$U$2,,,Arb!$AJ$5,),L135)+INDEX(OFFSET(Arb!$V$2,,,Arb!$AJ$5,),L135))/N135)</f>
        <v>3.8961038961038961</v>
      </c>
      <c r="R135" s="33">
        <f t="shared" ca="1" si="22"/>
        <v>3.5477860588708769</v>
      </c>
      <c r="S135" s="21">
        <f t="shared" ca="1" si="23"/>
        <v>43.331248685532721</v>
      </c>
      <c r="T135" s="74">
        <f ca="1">IF(L135="","",DATE(INDEX(OFFSET(Arb!$C$2,,,Arb!$AJ$5,),L135),INDEX(OFFSET(Arb!$B$2,,,Arb!$AJ$5,),L135),INDEX(OFFSET(Arb!$A$2,,,Arb!$AJ$5,),L135))+ROW()*0.001)</f>
        <v>43809.135000000002</v>
      </c>
      <c r="U135" s="11">
        <v>134</v>
      </c>
      <c r="V135" s="11">
        <v>3283</v>
      </c>
      <c r="W135" s="433">
        <f ca="1">IF(V135="",164,INDEX(OFFSET(Arb!$I$2,,,Arb!$AJ$5,),V135))</f>
        <v>156</v>
      </c>
      <c r="X135" s="34">
        <f ca="1">IF(V135="",240,INDEX(OFFSET(Arb!$H$2,,,Arb!$AJ$5,),V135))</f>
        <v>66.47</v>
      </c>
      <c r="Y135" s="33">
        <f t="shared" ca="1" si="24"/>
        <v>2.3469234241010981</v>
      </c>
      <c r="Z135" s="33">
        <f ca="1">IF(V135="","",INDEX(OFFSET(Arb!$X$2,,,Arb!$AJ$5,),V135)/X135)</f>
        <v>2.8584323755077481</v>
      </c>
      <c r="AA135" s="33">
        <f ca="1">IF(V135="","",(INDEX(OFFSET(Arb!$U$2,,,Arb!$AJ$5,),V135)+INDEX(OFFSET(Arb!$V$2,,,Arb!$AJ$5,),V135))/X135)</f>
        <v>3.2194975176771474</v>
      </c>
      <c r="AB135" s="33">
        <f t="shared" ca="1" si="25"/>
        <v>8.0415368340772524</v>
      </c>
      <c r="AC135" s="21">
        <f t="shared" ca="1" si="26"/>
        <v>54.094261952095543</v>
      </c>
      <c r="AD135" s="74">
        <f ca="1">IF(V135="","",DATE(INDEX(OFFSET(Arb!$C$2,,,Arb!$AJ$5,),V135),INDEX(OFFSET(Arb!$B$2,,,Arb!$AJ$5,),V135),INDEX(OFFSET(Arb!$A$2,,,Arb!$AJ$5,),V135))+ROW()*0.001)</f>
        <v>44083.135000000002</v>
      </c>
    </row>
    <row r="136" spans="1:30" x14ac:dyDescent="0.25">
      <c r="A136" s="11">
        <v>135</v>
      </c>
      <c r="B136" s="11">
        <v>1598</v>
      </c>
      <c r="C136" s="433">
        <f ca="1">IF(B136="",16,INDEX(OFFSET(Arb!$I$2,,,Arb!$AJ$5,),B136))</f>
        <v>15</v>
      </c>
      <c r="D136" s="34">
        <f ca="1">IF(B136="",10,INDEX(OFFSET(Arb!$H$2,,,Arb!$AJ$5,),B136))</f>
        <v>4.45</v>
      </c>
      <c r="E136" s="33">
        <f t="shared" ca="1" si="18"/>
        <v>3.3707865168539324</v>
      </c>
      <c r="F136" s="33">
        <f ca="1">IF(B136="","",INDEX(OFFSET(Arb!$X$2,,,Arb!$AJ$5,),B136)/D136)</f>
        <v>4.7191011235955056</v>
      </c>
      <c r="G136" s="33">
        <f ca="1">IF(B136="","",(INDEX(OFFSET(Arb!$U$2,,,Arb!$AJ$5,),B136)+INDEX(OFFSET(Arb!$V$2,,,Arb!$AJ$5,),B136))/D136)</f>
        <v>5.393258426966292</v>
      </c>
      <c r="H136" s="33">
        <f t="shared" ca="1" si="19"/>
        <v>0.84356928742673909</v>
      </c>
      <c r="I136" s="21">
        <f t="shared" ca="1" si="20"/>
        <v>56.070083044728847</v>
      </c>
      <c r="J136" s="74">
        <f ca="1">IF(B136="","",DATE(INDEX(OFFSET(Arb!$C$2,,,Arb!$AJ$5,),B136),INDEX(OFFSET(Arb!$B$2,,,Arb!$AJ$5,),B136),INDEX(OFFSET(Arb!$A$2,,,Arb!$AJ$5,),B136))+ROW()*0.001)</f>
        <v>44054.135999999999</v>
      </c>
      <c r="K136" s="11">
        <v>135</v>
      </c>
      <c r="L136" s="11">
        <v>2138</v>
      </c>
      <c r="M136" s="433">
        <f ca="1">IF(L136="",64,INDEX(OFFSET(Arb!$I$2,,,Arb!$AJ$5,),L136))</f>
        <v>93</v>
      </c>
      <c r="N136" s="34">
        <f ca="1">IF(L136="",60,INDEX(OFFSET(Arb!$H$2,,,Arb!$AJ$5,),L136))</f>
        <v>30.3</v>
      </c>
      <c r="O136" s="33">
        <f t="shared" ca="1" si="21"/>
        <v>3.0693069306930694</v>
      </c>
      <c r="P136" s="33">
        <f ca="1">IF(L136="","",INDEX(OFFSET(Arb!$X$2,,,Arb!$AJ$5,),L136)/N136)</f>
        <v>3.8613861386138613</v>
      </c>
      <c r="Q136" s="33">
        <f ca="1">IF(L136="","",(INDEX(OFFSET(Arb!$U$2,,,Arb!$AJ$5,),L136)+INDEX(OFFSET(Arb!$V$2,,,Arb!$AJ$5,),L136))/N136)</f>
        <v>4.455445544554455</v>
      </c>
      <c r="R136" s="33">
        <f t="shared" ca="1" si="22"/>
        <v>3.5478848823081166</v>
      </c>
      <c r="S136" s="21">
        <f t="shared" ca="1" si="23"/>
        <v>43.330041728972105</v>
      </c>
      <c r="T136" s="74">
        <f ca="1">IF(L136="","",DATE(INDEX(OFFSET(Arb!$C$2,,,Arb!$AJ$5,),L136),INDEX(OFFSET(Arb!$B$2,,,Arb!$AJ$5,),L136),INDEX(OFFSET(Arb!$A$2,,,Arb!$AJ$5,),L136))+ROW()*0.001)</f>
        <v>43817.135999999999</v>
      </c>
      <c r="U136" s="11">
        <v>135</v>
      </c>
      <c r="V136" s="11">
        <v>2738</v>
      </c>
      <c r="W136" s="433">
        <f ca="1">IF(V136="",164,INDEX(OFFSET(Arb!$I$2,,,Arb!$AJ$5,),V136))</f>
        <v>158</v>
      </c>
      <c r="X136" s="34">
        <f ca="1">IF(V136="",240,INDEX(OFFSET(Arb!$H$2,,,Arb!$AJ$5,),V136))</f>
        <v>66.97</v>
      </c>
      <c r="Y136" s="33">
        <f t="shared" ca="1" si="24"/>
        <v>2.3592653426907573</v>
      </c>
      <c r="Z136" s="33">
        <f ca="1">IF(V136="","",INDEX(OFFSET(Arb!$X$2,,,Arb!$AJ$5,),V136)/X136)</f>
        <v>2.9714797670598778</v>
      </c>
      <c r="AA136" s="33">
        <f ca="1">IF(V136="","",(INDEX(OFFSET(Arb!$U$2,,,Arb!$AJ$5,),V136)+INDEX(OFFSET(Arb!$V$2,,,Arb!$AJ$5,),V136))/X136)</f>
        <v>3.2701209496789607</v>
      </c>
      <c r="AB136" s="33">
        <f t="shared" ca="1" si="25"/>
        <v>8.0415436050458151</v>
      </c>
      <c r="AC136" s="21">
        <f t="shared" ca="1" si="26"/>
        <v>54.094216404802005</v>
      </c>
      <c r="AD136" s="74">
        <f ca="1">IF(V136="","",DATE(INDEX(OFFSET(Arb!$C$2,,,Arb!$AJ$5,),V136),INDEX(OFFSET(Arb!$B$2,,,Arb!$AJ$5,),V136),INDEX(OFFSET(Arb!$A$2,,,Arb!$AJ$5,),V136))+ROW()*0.001)</f>
        <v>43869.135999999999</v>
      </c>
    </row>
    <row r="137" spans="1:30" x14ac:dyDescent="0.25">
      <c r="A137" s="11">
        <v>136</v>
      </c>
      <c r="B137" s="11">
        <v>1639</v>
      </c>
      <c r="C137" s="433">
        <f ca="1">IF(B137="",16,INDEX(OFFSET(Arb!$I$2,,,Arb!$AJ$5,),B137))</f>
        <v>17</v>
      </c>
      <c r="D137" s="34">
        <f ca="1">IF(B137="",10,INDEX(OFFSET(Arb!$H$2,,,Arb!$AJ$5,),B137))</f>
        <v>4.79</v>
      </c>
      <c r="E137" s="33">
        <f t="shared" ca="1" si="18"/>
        <v>3.5490605427974948</v>
      </c>
      <c r="F137" s="33">
        <f ca="1">IF(B137="","",INDEX(OFFSET(Arb!$X$2,,,Arb!$AJ$5,),B137)/D137)</f>
        <v>4.1753653444676413</v>
      </c>
      <c r="G137" s="33">
        <f ca="1">IF(B137="","",(INDEX(OFFSET(Arb!$U$2,,,Arb!$AJ$5,),B137)+INDEX(OFFSET(Arb!$V$2,,,Arb!$AJ$5,),B137))/D137)</f>
        <v>4.5929018789144047</v>
      </c>
      <c r="H137" s="33">
        <f t="shared" ca="1" si="19"/>
        <v>0.84357063120157938</v>
      </c>
      <c r="I137" s="21">
        <f t="shared" ca="1" si="20"/>
        <v>56.069993727291632</v>
      </c>
      <c r="J137" s="74">
        <f ca="1">IF(B137="","",DATE(INDEX(OFFSET(Arb!$C$2,,,Arb!$AJ$5,),B137),INDEX(OFFSET(Arb!$B$2,,,Arb!$AJ$5,),B137),INDEX(OFFSET(Arb!$A$2,,,Arb!$AJ$5,),B137))+ROW()*0.001)</f>
        <v>44093.137000000002</v>
      </c>
      <c r="K137" s="11">
        <v>136</v>
      </c>
      <c r="L137" s="11">
        <v>2279</v>
      </c>
      <c r="M137" s="433">
        <f ca="1">IF(L137="",64,INDEX(OFFSET(Arb!$I$2,,,Arb!$AJ$5,),L137))</f>
        <v>50</v>
      </c>
      <c r="N137" s="34">
        <f ca="1">IF(L137="",60,INDEX(OFFSET(Arb!$H$2,,,Arb!$AJ$5,),L137))</f>
        <v>21.04</v>
      </c>
      <c r="O137" s="33">
        <f t="shared" ca="1" si="21"/>
        <v>2.376425855513308</v>
      </c>
      <c r="P137" s="33">
        <f ca="1">IF(L137="","",INDEX(OFFSET(Arb!$X$2,,,Arb!$AJ$5,),L137)/N137)</f>
        <v>2.9942965779467681</v>
      </c>
      <c r="Q137" s="33">
        <f ca="1">IF(L137="","",(INDEX(OFFSET(Arb!$U$2,,,Arb!$AJ$5,),L137)+INDEX(OFFSET(Arb!$V$2,,,Arb!$AJ$5,),L137))/N137)</f>
        <v>3.3269961977186315</v>
      </c>
      <c r="R137" s="33">
        <f t="shared" ca="1" si="22"/>
        <v>3.5498315581388415</v>
      </c>
      <c r="S137" s="21">
        <f t="shared" ca="1" si="23"/>
        <v>43.306280166318608</v>
      </c>
      <c r="T137" s="74">
        <f ca="1">IF(L137="","",DATE(INDEX(OFFSET(Arb!$C$2,,,Arb!$AJ$5,),L137),INDEX(OFFSET(Arb!$B$2,,,Arb!$AJ$5,),L137),INDEX(OFFSET(Arb!$A$2,,,Arb!$AJ$5,),L137))+ROW()*0.001)</f>
        <v>43935.137000000002</v>
      </c>
      <c r="U137" s="11">
        <v>136</v>
      </c>
      <c r="V137" s="11">
        <v>3157</v>
      </c>
      <c r="W137" s="433">
        <f ca="1">IF(V137="",164,INDEX(OFFSET(Arb!$I$2,,,Arb!$AJ$5,),V137))</f>
        <v>214</v>
      </c>
      <c r="X137" s="34">
        <f ca="1">IF(V137="",240,INDEX(OFFSET(Arb!$H$2,,,Arb!$AJ$5,),V137))</f>
        <v>80.08</v>
      </c>
      <c r="Y137" s="33">
        <f t="shared" ca="1" si="24"/>
        <v>2.6723276723276723</v>
      </c>
      <c r="Z137" s="33">
        <f ca="1">IF(V137="","",INDEX(OFFSET(Arb!$X$2,,,Arb!$AJ$5,),V137)/X137)</f>
        <v>3.0344655344655345</v>
      </c>
      <c r="AA137" s="33">
        <f ca="1">IF(V137="","",(INDEX(OFFSET(Arb!$U$2,,,Arb!$AJ$5,),V137)+INDEX(OFFSET(Arb!$V$2,,,Arb!$AJ$5,),V137))/X137)</f>
        <v>3.384115884115884</v>
      </c>
      <c r="AB137" s="33">
        <f t="shared" ca="1" si="25"/>
        <v>8.0459464215617942</v>
      </c>
      <c r="AC137" s="21">
        <f t="shared" ca="1" si="26"/>
        <v>54.06461554780801</v>
      </c>
      <c r="AD137" s="74">
        <f ca="1">IF(V137="","",DATE(INDEX(OFFSET(Arb!$C$2,,,Arb!$AJ$5,),V137),INDEX(OFFSET(Arb!$B$2,,,Arb!$AJ$5,),V137),INDEX(OFFSET(Arb!$A$2,,,Arb!$AJ$5,),V137))+ROW()*0.001)</f>
        <v>44029.137000000002</v>
      </c>
    </row>
    <row r="138" spans="1:30" x14ac:dyDescent="0.25">
      <c r="A138" s="11">
        <v>137</v>
      </c>
      <c r="B138" s="11">
        <v>399</v>
      </c>
      <c r="C138" s="433">
        <f ca="1">IF(B138="",16,INDEX(OFFSET(Arb!$I$2,,,Arb!$AJ$5,),B138))</f>
        <v>19</v>
      </c>
      <c r="D138" s="34">
        <f ca="1">IF(B138="",10,INDEX(OFFSET(Arb!$H$2,,,Arb!$AJ$5,),B138))</f>
        <v>5.12</v>
      </c>
      <c r="E138" s="33">
        <f t="shared" ca="1" si="18"/>
        <v>3.7109375</v>
      </c>
      <c r="F138" s="33">
        <f ca="1">IF(B138="","",INDEX(OFFSET(Arb!$X$2,,,Arb!$AJ$5,),B138)/D138)</f>
        <v>3.90625</v>
      </c>
      <c r="G138" s="33">
        <f ca="1">IF(B138="","",(INDEX(OFFSET(Arb!$U$2,,,Arb!$AJ$5,),B138)+INDEX(OFFSET(Arb!$V$2,,,Arb!$AJ$5,),B138))/D138)</f>
        <v>4.296875</v>
      </c>
      <c r="H138" s="33">
        <f t="shared" ca="1" si="19"/>
        <v>0.8452892244110104</v>
      </c>
      <c r="I138" s="21">
        <f t="shared" ca="1" si="20"/>
        <v>55.955995455824599</v>
      </c>
      <c r="J138" s="74">
        <f ca="1">IF(B138="","",DATE(INDEX(OFFSET(Arb!$C$2,,,Arb!$AJ$5,),B138),INDEX(OFFSET(Arb!$B$2,,,Arb!$AJ$5,),B138),INDEX(OFFSET(Arb!$A$2,,,Arb!$AJ$5,),B138))+ROW()*0.001)</f>
        <v>43781.137999999999</v>
      </c>
      <c r="K138" s="11">
        <v>137</v>
      </c>
      <c r="L138" s="11">
        <v>2241</v>
      </c>
      <c r="M138" s="433">
        <f ca="1">IF(L138="",64,INDEX(OFFSET(Arb!$I$2,,,Arb!$AJ$5,),L138))</f>
        <v>68</v>
      </c>
      <c r="N138" s="34">
        <f ca="1">IF(L138="",60,INDEX(OFFSET(Arb!$H$2,,,Arb!$AJ$5,),L138))</f>
        <v>25.26</v>
      </c>
      <c r="O138" s="33">
        <f t="shared" ca="1" si="21"/>
        <v>2.6920031670625493</v>
      </c>
      <c r="P138" s="33">
        <f ca="1">IF(L138="","",INDEX(OFFSET(Arb!$X$2,,,Arb!$AJ$5,),L138)/N138)</f>
        <v>2.8899445764053837</v>
      </c>
      <c r="Q138" s="33">
        <f ca="1">IF(L138="","",(INDEX(OFFSET(Arb!$U$2,,,Arb!$AJ$5,),L138)+INDEX(OFFSET(Arb!$V$2,,,Arb!$AJ$5,),L138))/N138)</f>
        <v>3.1670625494853519</v>
      </c>
      <c r="R138" s="33">
        <f t="shared" ca="1" si="22"/>
        <v>3.5614575797803307</v>
      </c>
      <c r="S138" s="21">
        <f t="shared" ca="1" si="23"/>
        <v>43.164911151203995</v>
      </c>
      <c r="T138" s="74">
        <f ca="1">IF(L138="","",DATE(INDEX(OFFSET(Arb!$C$2,,,Arb!$AJ$5,),L138),INDEX(OFFSET(Arb!$B$2,,,Arb!$AJ$5,),L138),INDEX(OFFSET(Arb!$A$2,,,Arb!$AJ$5,),L138))+ROW()*0.001)</f>
        <v>43890.137999999999</v>
      </c>
      <c r="U138" s="11">
        <v>137</v>
      </c>
      <c r="V138" s="11">
        <v>3335</v>
      </c>
      <c r="W138" s="433">
        <f ca="1">IF(V138="",164,INDEX(OFFSET(Arb!$I$2,,,Arb!$AJ$5,),V138))</f>
        <v>173</v>
      </c>
      <c r="X138" s="34">
        <f ca="1">IF(V138="",240,INDEX(OFFSET(Arb!$H$2,,,Arb!$AJ$5,),V138))</f>
        <v>70.67</v>
      </c>
      <c r="Y138" s="33">
        <f t="shared" ca="1" si="24"/>
        <v>2.4479977359558509</v>
      </c>
      <c r="Z138" s="33">
        <f ca="1">IF(V138="","",INDEX(OFFSET(Arb!$X$2,,,Arb!$AJ$5,),V138)/X138)</f>
        <v>3.0564596009622185</v>
      </c>
      <c r="AA138" s="33">
        <f ca="1">IF(V138="","",(INDEX(OFFSET(Arb!$U$2,,,Arb!$AJ$5,),V138)+INDEX(OFFSET(Arb!$V$2,,,Arb!$AJ$5,),V138))/X138)</f>
        <v>3.4385170510824961</v>
      </c>
      <c r="AB138" s="33">
        <f t="shared" ca="1" si="25"/>
        <v>8.0473622626320118</v>
      </c>
      <c r="AC138" s="21">
        <f t="shared" ca="1" si="26"/>
        <v>54.055103498935352</v>
      </c>
      <c r="AD138" s="74">
        <f ca="1">IF(V138="","",DATE(INDEX(OFFSET(Arb!$C$2,,,Arb!$AJ$5,),V138),INDEX(OFFSET(Arb!$B$2,,,Arb!$AJ$5,),V138),INDEX(OFFSET(Arb!$A$2,,,Arb!$AJ$5,),V138))+ROW()*0.001)</f>
        <v>44096.137999999999</v>
      </c>
    </row>
    <row r="139" spans="1:30" x14ac:dyDescent="0.25">
      <c r="A139" s="11">
        <v>138</v>
      </c>
      <c r="B139" s="11">
        <v>1869</v>
      </c>
      <c r="C139" s="433">
        <f ca="1">IF(B139="",16,INDEX(OFFSET(Arb!$I$2,,,Arb!$AJ$5,),B139))</f>
        <v>10</v>
      </c>
      <c r="D139" s="34">
        <f ca="1">IF(B139="",10,INDEX(OFFSET(Arb!$H$2,,,Arb!$AJ$5,),B139))</f>
        <v>3.51</v>
      </c>
      <c r="E139" s="33">
        <f t="shared" ca="1" si="18"/>
        <v>2.8490028490028494</v>
      </c>
      <c r="F139" s="33">
        <f ca="1">IF(B139="","",INDEX(OFFSET(Arb!$X$2,,,Arb!$AJ$5,),B139)/D139)</f>
        <v>3.9886039886039888</v>
      </c>
      <c r="G139" s="33">
        <f ca="1">IF(B139="","",(INDEX(OFFSET(Arb!$U$2,,,Arb!$AJ$5,),B139)+INDEX(OFFSET(Arb!$V$2,,,Arb!$AJ$5,),B139))/D139)</f>
        <v>4.8433048433048436</v>
      </c>
      <c r="H139" s="33">
        <f t="shared" ca="1" si="19"/>
        <v>0.8453218561610667</v>
      </c>
      <c r="I139" s="21">
        <f t="shared" ca="1" si="20"/>
        <v>55.953835400403634</v>
      </c>
      <c r="J139" s="74">
        <f ca="1">IF(B139="","",DATE(INDEX(OFFSET(Arb!$C$2,,,Arb!$AJ$5,),B139),INDEX(OFFSET(Arb!$B$2,,,Arb!$AJ$5,),B139),INDEX(OFFSET(Arb!$A$2,,,Arb!$AJ$5,),B139))+ROW()*0.001)</f>
        <v>44168.139000000003</v>
      </c>
      <c r="K139" s="11">
        <v>138</v>
      </c>
      <c r="L139" s="11">
        <v>2389</v>
      </c>
      <c r="M139" s="433">
        <f ca="1">IF(L139="",64,INDEX(OFFSET(Arb!$I$2,,,Arb!$AJ$5,),L139))</f>
        <v>49</v>
      </c>
      <c r="N139" s="34">
        <f ca="1">IF(L139="",60,INDEX(OFFSET(Arb!$H$2,,,Arb!$AJ$5,),L139))</f>
        <v>20.84</v>
      </c>
      <c r="O139" s="33">
        <f t="shared" ca="1" si="21"/>
        <v>2.3512476007677545</v>
      </c>
      <c r="P139" s="33">
        <f ca="1">IF(L139="","",INDEX(OFFSET(Arb!$X$2,,,Arb!$AJ$5,),L139)/N139)</f>
        <v>2.7351247600767756</v>
      </c>
      <c r="Q139" s="33">
        <f ca="1">IF(L139="","",(INDEX(OFFSET(Arb!$U$2,,,Arb!$AJ$5,),L139)+INDEX(OFFSET(Arb!$V$2,,,Arb!$AJ$5,),L139))/N139)</f>
        <v>3.1669865642994242</v>
      </c>
      <c r="R139" s="33">
        <f t="shared" ca="1" si="22"/>
        <v>3.5639371351070923</v>
      </c>
      <c r="S139" s="21">
        <f t="shared" ca="1" si="23"/>
        <v>43.134879817508505</v>
      </c>
      <c r="T139" s="74">
        <f ca="1">IF(L139="","",DATE(INDEX(OFFSET(Arb!$C$2,,,Arb!$AJ$5,),L139),INDEX(OFFSET(Arb!$B$2,,,Arb!$AJ$5,),L139),INDEX(OFFSET(Arb!$A$2,,,Arb!$AJ$5,),L139))+ROW()*0.001)</f>
        <v>44117.139000000003</v>
      </c>
      <c r="U139" s="11">
        <v>138</v>
      </c>
      <c r="V139" s="11">
        <v>3244</v>
      </c>
      <c r="W139" s="433">
        <f ca="1">IF(V139="",164,INDEX(OFFSET(Arb!$I$2,,,Arb!$AJ$5,),V139))</f>
        <v>139</v>
      </c>
      <c r="X139" s="34">
        <f ca="1">IF(V139="",240,INDEX(OFFSET(Arb!$H$2,,,Arb!$AJ$5,),V139))</f>
        <v>62.18</v>
      </c>
      <c r="Y139" s="33">
        <f t="shared" ca="1" si="24"/>
        <v>2.2354454808620137</v>
      </c>
      <c r="Z139" s="33">
        <f ca="1">IF(V139="","",INDEX(OFFSET(Arb!$X$2,,,Arb!$AJ$5,),V139)/X139)</f>
        <v>2.8144097780636863</v>
      </c>
      <c r="AA139" s="33">
        <f ca="1">IF(V139="","",(INDEX(OFFSET(Arb!$U$2,,,Arb!$AJ$5,),V139)+INDEX(OFFSET(Arb!$V$2,,,Arb!$AJ$5,),V139))/X139)</f>
        <v>3.1199742682534577</v>
      </c>
      <c r="AB139" s="33">
        <f t="shared" ca="1" si="25"/>
        <v>8.0573349843627877</v>
      </c>
      <c r="AC139" s="21">
        <f t="shared" ca="1" si="26"/>
        <v>53.988198435863083</v>
      </c>
      <c r="AD139" s="74">
        <f ca="1">IF(V139="","",DATE(INDEX(OFFSET(Arb!$C$2,,,Arb!$AJ$5,),V139),INDEX(OFFSET(Arb!$B$2,,,Arb!$AJ$5,),V139),INDEX(OFFSET(Arb!$A$2,,,Arb!$AJ$5,),V139))+ROW()*0.001)</f>
        <v>44066.139000000003</v>
      </c>
    </row>
    <row r="140" spans="1:30" x14ac:dyDescent="0.25">
      <c r="A140" s="11">
        <v>139</v>
      </c>
      <c r="B140" s="11">
        <v>495</v>
      </c>
      <c r="C140" s="433">
        <f ca="1">IF(B140="",16,INDEX(OFFSET(Arb!$I$2,,,Arb!$AJ$5,),B140))</f>
        <v>14</v>
      </c>
      <c r="D140" s="34">
        <f ca="1">IF(B140="",10,INDEX(OFFSET(Arb!$H$2,,,Arb!$AJ$5,),B140))</f>
        <v>4.28</v>
      </c>
      <c r="E140" s="33">
        <f t="shared" ca="1" si="18"/>
        <v>3.2710280373831773</v>
      </c>
      <c r="F140" s="33">
        <f ca="1">IF(B140="","",INDEX(OFFSET(Arb!$X$2,,,Arb!$AJ$5,),B140)/D140)</f>
        <v>3.7383177570093458</v>
      </c>
      <c r="G140" s="33">
        <f ca="1">IF(B140="","",(INDEX(OFFSET(Arb!$U$2,,,Arb!$AJ$5,),B140)+INDEX(OFFSET(Arb!$V$2,,,Arb!$AJ$5,),B140))/D140)</f>
        <v>4.9065420560747661</v>
      </c>
      <c r="H140" s="33">
        <f t="shared" ca="1" si="19"/>
        <v>0.84591430967520942</v>
      </c>
      <c r="I140" s="21">
        <f t="shared" ca="1" si="20"/>
        <v>55.914646979030948</v>
      </c>
      <c r="J140" s="74">
        <f ca="1">IF(B140="","",DATE(INDEX(OFFSET(Arb!$C$2,,,Arb!$AJ$5,),B140),INDEX(OFFSET(Arb!$B$2,,,Arb!$AJ$5,),B140),INDEX(OFFSET(Arb!$A$2,,,Arb!$AJ$5,),B140))+ROW()*0.001)</f>
        <v>43788.14</v>
      </c>
      <c r="K140" s="11">
        <v>139</v>
      </c>
      <c r="L140" s="11">
        <v>2037</v>
      </c>
      <c r="M140" s="433">
        <f ca="1">IF(L140="",64,INDEX(OFFSET(Arb!$I$2,,,Arb!$AJ$5,),L140))</f>
        <v>80</v>
      </c>
      <c r="N140" s="34">
        <f ca="1">IF(L140="",60,INDEX(OFFSET(Arb!$H$2,,,Arb!$AJ$5,),L140))</f>
        <v>27.81</v>
      </c>
      <c r="O140" s="33">
        <f t="shared" ca="1" si="21"/>
        <v>2.8766630708378282</v>
      </c>
      <c r="P140" s="33">
        <f ca="1">IF(L140="","",INDEX(OFFSET(Arb!$X$2,,,Arb!$AJ$5,),L140)/N140)</f>
        <v>3.5239122617763394</v>
      </c>
      <c r="Q140" s="33">
        <f ca="1">IF(L140="","",(INDEX(OFFSET(Arb!$U$2,,,Arb!$AJ$5,),L140)+INDEX(OFFSET(Arb!$V$2,,,Arb!$AJ$5,),L140))/N140)</f>
        <v>3.9194534340165408</v>
      </c>
      <c r="R140" s="33">
        <f t="shared" ca="1" si="22"/>
        <v>3.5649356433394148</v>
      </c>
      <c r="S140" s="21">
        <f t="shared" ca="1" si="23"/>
        <v>43.12279810358514</v>
      </c>
      <c r="T140" s="74">
        <f ca="1">IF(L140="","",DATE(INDEX(OFFSET(Arb!$C$2,,,Arb!$AJ$5,),L140),INDEX(OFFSET(Arb!$B$2,,,Arb!$AJ$5,),L140),INDEX(OFFSET(Arb!$A$2,,,Arb!$AJ$5,),L140))+ROW()*0.001)</f>
        <v>43797.14</v>
      </c>
      <c r="U140" s="11">
        <v>139</v>
      </c>
      <c r="V140" s="11">
        <v>3374</v>
      </c>
      <c r="W140" s="433">
        <f ca="1">IF(V140="",164,INDEX(OFFSET(Arb!$I$2,,,Arb!$AJ$5,),V140))</f>
        <v>155</v>
      </c>
      <c r="X140" s="34">
        <f ca="1">IF(V140="",240,INDEX(OFFSET(Arb!$H$2,,,Arb!$AJ$5,),V140))</f>
        <v>66.31</v>
      </c>
      <c r="Y140" s="33">
        <f t="shared" ca="1" si="24"/>
        <v>2.3375056552556175</v>
      </c>
      <c r="Z140" s="33">
        <f ca="1">IF(V140="","",INDEX(OFFSET(Arb!$X$2,,,Arb!$AJ$5,),V140)/X140)</f>
        <v>2.6994420147790681</v>
      </c>
      <c r="AA140" s="33">
        <f ca="1">IF(V140="","",(INDEX(OFFSET(Arb!$U$2,,,Arb!$AJ$5,),V140)+INDEX(OFFSET(Arb!$V$2,,,Arb!$AJ$5,),V140))/X140)</f>
        <v>2.9859749660684662</v>
      </c>
      <c r="AB140" s="33">
        <f t="shared" ca="1" si="25"/>
        <v>8.0603267808631038</v>
      </c>
      <c r="AC140" s="21">
        <f t="shared" ca="1" si="26"/>
        <v>53.968159334778214</v>
      </c>
      <c r="AD140" s="74">
        <f ca="1">IF(V140="","",DATE(INDEX(OFFSET(Arb!$C$2,,,Arb!$AJ$5,),V140),INDEX(OFFSET(Arb!$B$2,,,Arb!$AJ$5,),V140),INDEX(OFFSET(Arb!$A$2,,,Arb!$AJ$5,),V140))+ROW()*0.001)</f>
        <v>44129.14</v>
      </c>
    </row>
    <row r="141" spans="1:30" x14ac:dyDescent="0.25">
      <c r="A141" s="11">
        <v>140</v>
      </c>
      <c r="B141" s="11">
        <v>569</v>
      </c>
      <c r="C141" s="433">
        <f ca="1">IF(B141="",16,INDEX(OFFSET(Arb!$I$2,,,Arb!$AJ$5,),B141))</f>
        <v>19</v>
      </c>
      <c r="D141" s="34">
        <f ca="1">IF(B141="",10,INDEX(OFFSET(Arb!$H$2,,,Arb!$AJ$5,),B141))</f>
        <v>5.13</v>
      </c>
      <c r="E141" s="33">
        <f t="shared" ca="1" si="18"/>
        <v>3.7037037037037037</v>
      </c>
      <c r="F141" s="33">
        <f ca="1">IF(B141="","",INDEX(OFFSET(Arb!$X$2,,,Arb!$AJ$5,),B141)/D141)</f>
        <v>4.0935672514619883</v>
      </c>
      <c r="G141" s="33">
        <f ca="1">IF(B141="","",(INDEX(OFFSET(Arb!$U$2,,,Arb!$AJ$5,),B141)+INDEX(OFFSET(Arb!$V$2,,,Arb!$AJ$5,),B141))/D141)</f>
        <v>4.6783625730994149</v>
      </c>
      <c r="H141" s="33">
        <f t="shared" ca="1" si="19"/>
        <v>0.84809776700533435</v>
      </c>
      <c r="I141" s="21">
        <f t="shared" ca="1" si="20"/>
        <v>55.770692766960792</v>
      </c>
      <c r="J141" s="74">
        <f ca="1">IF(B141="","",DATE(INDEX(OFFSET(Arb!$C$2,,,Arb!$AJ$5,),B141),INDEX(OFFSET(Arb!$B$2,,,Arb!$AJ$5,),B141),INDEX(OFFSET(Arb!$A$2,,,Arb!$AJ$5,),B141))+ROW()*0.001)</f>
        <v>43797.141000000003</v>
      </c>
      <c r="K141" s="11">
        <v>140</v>
      </c>
      <c r="L141" s="11">
        <v>2031</v>
      </c>
      <c r="M141" s="433">
        <f ca="1">IF(L141="",64,INDEX(OFFSET(Arb!$I$2,,,Arb!$AJ$5,),L141))</f>
        <v>78</v>
      </c>
      <c r="N141" s="34">
        <f ca="1">IF(L141="",60,INDEX(OFFSET(Arb!$H$2,,,Arb!$AJ$5,),L141))</f>
        <v>27.41</v>
      </c>
      <c r="O141" s="33">
        <f t="shared" ca="1" si="21"/>
        <v>2.8456767603064574</v>
      </c>
      <c r="P141" s="33">
        <f ca="1">IF(L141="","",INDEX(OFFSET(Arb!$X$2,,,Arb!$AJ$5,),L141)/N141)</f>
        <v>3.4658883619117109</v>
      </c>
      <c r="Q141" s="33">
        <f ca="1">IF(L141="","",(INDEX(OFFSET(Arb!$U$2,,,Arb!$AJ$5,),L141)+INDEX(OFFSET(Arb!$V$2,,,Arb!$AJ$5,),L141))/N141)</f>
        <v>3.9766508573513315</v>
      </c>
      <c r="R141" s="33">
        <f t="shared" ca="1" si="22"/>
        <v>3.567391372978864</v>
      </c>
      <c r="S141" s="21">
        <f t="shared" ca="1" si="23"/>
        <v>43.093113125861336</v>
      </c>
      <c r="T141" s="74">
        <f ca="1">IF(L141="","",DATE(INDEX(OFFSET(Arb!$C$2,,,Arb!$AJ$5,),L141),INDEX(OFFSET(Arb!$B$2,,,Arb!$AJ$5,),L141),INDEX(OFFSET(Arb!$A$2,,,Arb!$AJ$5,),L141))+ROW()*0.001)</f>
        <v>43797.141000000003</v>
      </c>
      <c r="U141" s="11">
        <v>140</v>
      </c>
      <c r="V141" s="11">
        <v>3437</v>
      </c>
      <c r="W141" s="433">
        <f ca="1">IF(V141="",164,INDEX(OFFSET(Arb!$I$2,,,Arb!$AJ$5,),V141))</f>
        <v>193</v>
      </c>
      <c r="X141" s="34">
        <f ca="1">IF(V141="",240,INDEX(OFFSET(Arb!$H$2,,,Arb!$AJ$5,),V141))</f>
        <v>75.45</v>
      </c>
      <c r="Y141" s="33">
        <f t="shared" ca="1" si="24"/>
        <v>2.5579854208084822</v>
      </c>
      <c r="Z141" s="33">
        <f ca="1">IF(V141="","",INDEX(OFFSET(Arb!$X$2,,,Arb!$AJ$5,),V141)/X141)</f>
        <v>2.7037773359840953</v>
      </c>
      <c r="AA141" s="33">
        <f ca="1">IF(V141="","",(INDEX(OFFSET(Arb!$U$2,,,Arb!$AJ$5,),V141)+INDEX(OFFSET(Arb!$V$2,,,Arb!$AJ$5,),V141))/X141)</f>
        <v>3.0881378396288932</v>
      </c>
      <c r="AB141" s="33">
        <f t="shared" ca="1" si="25"/>
        <v>8.0623826417881972</v>
      </c>
      <c r="AC141" s="21">
        <f t="shared" ca="1" si="26"/>
        <v>53.954397766405052</v>
      </c>
      <c r="AD141" s="74">
        <f ca="1">IF(V141="","",DATE(INDEX(OFFSET(Arb!$C$2,,,Arb!$AJ$5,),V141),INDEX(OFFSET(Arb!$B$2,,,Arb!$AJ$5,),V141),INDEX(OFFSET(Arb!$A$2,,,Arb!$AJ$5,),V141))+ROW()*0.001)</f>
        <v>44167.141000000003</v>
      </c>
    </row>
    <row r="142" spans="1:30" x14ac:dyDescent="0.25">
      <c r="A142" s="11">
        <v>141</v>
      </c>
      <c r="B142" s="11">
        <v>68</v>
      </c>
      <c r="C142" s="433">
        <f ca="1">IF(B142="",16,INDEX(OFFSET(Arb!$I$2,,,Arb!$AJ$5,),B142))</f>
        <v>20</v>
      </c>
      <c r="D142" s="34">
        <f ca="1">IF(B142="",10,INDEX(OFFSET(Arb!$H$2,,,Arb!$AJ$5,),B142))</f>
        <v>5.29</v>
      </c>
      <c r="E142" s="33">
        <f t="shared" ca="1" si="18"/>
        <v>3.7807183364839321</v>
      </c>
      <c r="F142" s="33">
        <f ca="1">IF(B142="","",INDEX(OFFSET(Arb!$X$2,,,Arb!$AJ$5,),B142)/D142)</f>
        <v>3.7807183364839321</v>
      </c>
      <c r="G142" s="33">
        <f ca="1">IF(B142="","",(INDEX(OFFSET(Arb!$U$2,,,Arb!$AJ$5,),B142)+INDEX(OFFSET(Arb!$V$2,,,Arb!$AJ$5,),B142))/D142)</f>
        <v>4.5368620037807181</v>
      </c>
      <c r="H142" s="33">
        <f t="shared" ca="1" si="19"/>
        <v>0.84887676563937864</v>
      </c>
      <c r="I142" s="21">
        <f t="shared" ca="1" si="20"/>
        <v>55.719513025396722</v>
      </c>
      <c r="J142" s="74">
        <f ca="1">IF(B142="","",DATE(INDEX(OFFSET(Arb!$C$2,,,Arb!$AJ$5,),B142),INDEX(OFFSET(Arb!$B$2,,,Arb!$AJ$5,),B142),INDEX(OFFSET(Arb!$A$2,,,Arb!$AJ$5,),B142))+ROW()*0.001)</f>
        <v>43766.142</v>
      </c>
      <c r="K142" s="11">
        <v>141</v>
      </c>
      <c r="L142" s="11">
        <v>1975</v>
      </c>
      <c r="M142" s="433">
        <f ca="1">IF(L142="",64,INDEX(OFFSET(Arb!$I$2,,,Arb!$AJ$5,),L142))</f>
        <v>66</v>
      </c>
      <c r="N142" s="34">
        <f ca="1">IF(L142="",60,INDEX(OFFSET(Arb!$H$2,,,Arb!$AJ$5,),L142))</f>
        <v>24.87</v>
      </c>
      <c r="O142" s="33">
        <f t="shared" ca="1" si="21"/>
        <v>2.6537997587454765</v>
      </c>
      <c r="P142" s="33">
        <f ca="1">IF(L142="","",INDEX(OFFSET(Arb!$X$2,,,Arb!$AJ$5,),L142)/N142)</f>
        <v>3.3775633293124243</v>
      </c>
      <c r="Q142" s="33">
        <f ca="1">IF(L142="","",(INDEX(OFFSET(Arb!$U$2,,,Arb!$AJ$5,),L142)+INDEX(OFFSET(Arb!$V$2,,,Arb!$AJ$5,),L142))/N142)</f>
        <v>3.9806996381182147</v>
      </c>
      <c r="R142" s="33">
        <f t="shared" ca="1" si="22"/>
        <v>3.5735914419666712</v>
      </c>
      <c r="S142" s="21">
        <f t="shared" ca="1" si="23"/>
        <v>43.018347927147779</v>
      </c>
      <c r="T142" s="74">
        <f ca="1">IF(L142="","",DATE(INDEX(OFFSET(Arb!$C$2,,,Arb!$AJ$5,),L142),INDEX(OFFSET(Arb!$B$2,,,Arb!$AJ$5,),L142),INDEX(OFFSET(Arb!$A$2,,,Arb!$AJ$5,),L142))+ROW()*0.001)</f>
        <v>43781.142</v>
      </c>
      <c r="U142" s="11">
        <v>141</v>
      </c>
      <c r="V142" s="11">
        <v>3057</v>
      </c>
      <c r="W142" s="433">
        <f ca="1">IF(V142="",164,INDEX(OFFSET(Arb!$I$2,,,Arb!$AJ$5,),V142))</f>
        <v>138</v>
      </c>
      <c r="X142" s="34">
        <f ca="1">IF(V142="",240,INDEX(OFFSET(Arb!$H$2,,,Arb!$AJ$5,),V142))</f>
        <v>61.94</v>
      </c>
      <c r="Y142" s="33">
        <f t="shared" ca="1" si="24"/>
        <v>2.2279625443978044</v>
      </c>
      <c r="Z142" s="33">
        <f ca="1">IF(V142="","",INDEX(OFFSET(Arb!$X$2,,,Arb!$AJ$5,),V142)/X142)</f>
        <v>2.8253148207943171</v>
      </c>
      <c r="AA142" s="33">
        <f ca="1">IF(V142="","",(INDEX(OFFSET(Arb!$U$2,,,Arb!$AJ$5,),V142)+INDEX(OFFSET(Arb!$V$2,,,Arb!$AJ$5,),V142))/X142)</f>
        <v>3.2935098482402325</v>
      </c>
      <c r="AB142" s="33">
        <f t="shared" ca="1" si="25"/>
        <v>8.0625413562765456</v>
      </c>
      <c r="AC142" s="21">
        <f t="shared" ca="1" si="26"/>
        <v>53.95333565158824</v>
      </c>
      <c r="AD142" s="74">
        <f ca="1">IF(V142="","",DATE(INDEX(OFFSET(Arb!$C$2,,,Arb!$AJ$5,),V142),INDEX(OFFSET(Arb!$B$2,,,Arb!$AJ$5,),V142),INDEX(OFFSET(Arb!$A$2,,,Arb!$AJ$5,),V142))+ROW()*0.001)</f>
        <v>43988.142</v>
      </c>
    </row>
    <row r="143" spans="1:30" x14ac:dyDescent="0.25">
      <c r="A143" s="11">
        <v>142</v>
      </c>
      <c r="B143" s="11">
        <v>1725</v>
      </c>
      <c r="C143" s="433">
        <f ca="1">IF(B143="",16,INDEX(OFFSET(Arb!$I$2,,,Arb!$AJ$5,),B143))</f>
        <v>14</v>
      </c>
      <c r="D143" s="34">
        <f ca="1">IF(B143="",10,INDEX(OFFSET(Arb!$H$2,,,Arb!$AJ$5,),B143))</f>
        <v>4.29</v>
      </c>
      <c r="E143" s="33">
        <f t="shared" ca="1" si="18"/>
        <v>3.2634032634032635</v>
      </c>
      <c r="F143" s="33">
        <f ca="1">IF(B143="","",INDEX(OFFSET(Arb!$X$2,,,Arb!$AJ$5,),B143)/D143)</f>
        <v>4.895104895104895</v>
      </c>
      <c r="G143" s="33">
        <f ca="1">IF(B143="","",(INDEX(OFFSET(Arb!$U$2,,,Arb!$AJ$5,),B143)+INDEX(OFFSET(Arb!$V$2,,,Arb!$AJ$5,),B143))/D143)</f>
        <v>5.5944055944055942</v>
      </c>
      <c r="H143" s="33">
        <f t="shared" ca="1" si="19"/>
        <v>0.84927699666329382</v>
      </c>
      <c r="I143" s="21">
        <f t="shared" ca="1" si="20"/>
        <v>55.693254598713999</v>
      </c>
      <c r="J143" s="74">
        <f ca="1">IF(B143="","",DATE(INDEX(OFFSET(Arb!$C$2,,,Arb!$AJ$5,),B143),INDEX(OFFSET(Arb!$B$2,,,Arb!$AJ$5,),B143),INDEX(OFFSET(Arb!$A$2,,,Arb!$AJ$5,),B143))+ROW()*0.001)</f>
        <v>44107.142999999996</v>
      </c>
      <c r="K143" s="11">
        <v>142</v>
      </c>
      <c r="L143" s="11">
        <v>2006</v>
      </c>
      <c r="M143" s="433">
        <f ca="1">IF(L143="",64,INDEX(OFFSET(Arb!$I$2,,,Arb!$AJ$5,),L143))</f>
        <v>73</v>
      </c>
      <c r="N143" s="34">
        <f ca="1">IF(L143="",60,INDEX(OFFSET(Arb!$H$2,,,Arb!$AJ$5,),L143))</f>
        <v>26.4</v>
      </c>
      <c r="O143" s="33">
        <f t="shared" ca="1" si="21"/>
        <v>2.7651515151515151</v>
      </c>
      <c r="P143" s="33">
        <f ca="1">IF(L143="","",INDEX(OFFSET(Arb!$X$2,,,Arb!$AJ$5,),L143)/N143)</f>
        <v>3.3333333333333335</v>
      </c>
      <c r="Q143" s="33">
        <f ca="1">IF(L143="","",(INDEX(OFFSET(Arb!$U$2,,,Arb!$AJ$5,),L143)+INDEX(OFFSET(Arb!$V$2,,,Arb!$AJ$5,),L143))/N143)</f>
        <v>3.9772727272727275</v>
      </c>
      <c r="R143" s="33">
        <f t="shared" ca="1" si="22"/>
        <v>3.5760519196028469</v>
      </c>
      <c r="S143" s="21">
        <f t="shared" ca="1" si="23"/>
        <v>42.98874945223757</v>
      </c>
      <c r="T143" s="74">
        <f ca="1">IF(L143="","",DATE(INDEX(OFFSET(Arb!$C$2,,,Arb!$AJ$5,),L143),INDEX(OFFSET(Arb!$B$2,,,Arb!$AJ$5,),L143),INDEX(OFFSET(Arb!$A$2,,,Arb!$AJ$5,),L143))+ROW()*0.001)</f>
        <v>43786.142999999996</v>
      </c>
      <c r="U143" s="11">
        <v>142</v>
      </c>
      <c r="V143" s="11">
        <v>3392</v>
      </c>
      <c r="W143" s="433">
        <f ca="1">IF(V143="",164,INDEX(OFFSET(Arb!$I$2,,,Arb!$AJ$5,),V143))</f>
        <v>164</v>
      </c>
      <c r="X143" s="34">
        <f ca="1">IF(V143="",240,INDEX(OFFSET(Arb!$H$2,,,Arb!$AJ$5,),V143))</f>
        <v>68.61</v>
      </c>
      <c r="Y143" s="33">
        <f t="shared" ca="1" si="24"/>
        <v>2.3903221104795218</v>
      </c>
      <c r="Z143" s="33">
        <f ca="1">IF(V143="","",INDEX(OFFSET(Arb!$X$2,,,Arb!$AJ$5,),V143)/X143)</f>
        <v>2.5506485934994898</v>
      </c>
      <c r="AA143" s="33">
        <f ca="1">IF(V143="","",(INDEX(OFFSET(Arb!$U$2,,,Arb!$AJ$5,),V143)+INDEX(OFFSET(Arb!$V$2,,,Arb!$AJ$5,),V143))/X143)</f>
        <v>2.8130010202594375</v>
      </c>
      <c r="AB143" s="33">
        <f t="shared" ca="1" si="25"/>
        <v>8.0726247446626935</v>
      </c>
      <c r="AC143" s="21">
        <f t="shared" ca="1" si="26"/>
        <v>53.885943390048666</v>
      </c>
      <c r="AD143" s="74">
        <f ca="1">IF(V143="","",DATE(INDEX(OFFSET(Arb!$C$2,,,Arb!$AJ$5,),V143),INDEX(OFFSET(Arb!$B$2,,,Arb!$AJ$5,),V143),INDEX(OFFSET(Arb!$A$2,,,Arb!$AJ$5,),V143))+ROW()*0.001)</f>
        <v>44141.142999999996</v>
      </c>
    </row>
    <row r="144" spans="1:30" x14ac:dyDescent="0.25">
      <c r="A144" s="11">
        <v>143</v>
      </c>
      <c r="B144" s="11">
        <v>1654</v>
      </c>
      <c r="C144" s="433">
        <f ca="1">IF(B144="",16,INDEX(OFFSET(Arb!$I$2,,,Arb!$AJ$5,),B144))</f>
        <v>14</v>
      </c>
      <c r="D144" s="34">
        <f ca="1">IF(B144="",10,INDEX(OFFSET(Arb!$H$2,,,Arb!$AJ$5,),B144))</f>
        <v>4.29</v>
      </c>
      <c r="E144" s="33">
        <f t="shared" ca="1" si="18"/>
        <v>3.2634032634032635</v>
      </c>
      <c r="F144" s="33">
        <f ca="1">IF(B144="","",INDEX(OFFSET(Arb!$X$2,,,Arb!$AJ$5,),B144)/D144)</f>
        <v>3.9627039627039626</v>
      </c>
      <c r="G144" s="33">
        <f ca="1">IF(B144="","",(INDEX(OFFSET(Arb!$U$2,,,Arb!$AJ$5,),B144)+INDEX(OFFSET(Arb!$V$2,,,Arb!$AJ$5,),B144))/D144)</f>
        <v>4.1958041958041958</v>
      </c>
      <c r="H144" s="33">
        <f t="shared" ca="1" si="19"/>
        <v>0.84927699666329382</v>
      </c>
      <c r="I144" s="21">
        <f t="shared" ca="1" si="20"/>
        <v>55.693254598713999</v>
      </c>
      <c r="J144" s="74">
        <f ca="1">IF(B144="","",DATE(INDEX(OFFSET(Arb!$C$2,,,Arb!$AJ$5,),B144),INDEX(OFFSET(Arb!$B$2,,,Arb!$AJ$5,),B144),INDEX(OFFSET(Arb!$A$2,,,Arb!$AJ$5,),B144))+ROW()*0.001)</f>
        <v>44096.144</v>
      </c>
      <c r="K144" s="11">
        <v>143</v>
      </c>
      <c r="L144" s="11">
        <v>2028</v>
      </c>
      <c r="M144" s="433">
        <f ca="1">IF(L144="",64,INDEX(OFFSET(Arb!$I$2,,,Arb!$AJ$5,),L144))</f>
        <v>85</v>
      </c>
      <c r="N144" s="34">
        <f ca="1">IF(L144="",60,INDEX(OFFSET(Arb!$H$2,,,Arb!$AJ$5,),L144))</f>
        <v>28.89</v>
      </c>
      <c r="O144" s="33">
        <f t="shared" ca="1" si="21"/>
        <v>2.9421945309795778</v>
      </c>
      <c r="P144" s="33">
        <f ca="1">IF(L144="","",INDEX(OFFSET(Arb!$X$2,,,Arb!$AJ$5,),L144)/N144)</f>
        <v>3.5998615437867771</v>
      </c>
      <c r="Q144" s="33">
        <f ca="1">IF(L144="","",(INDEX(OFFSET(Arb!$U$2,,,Arb!$AJ$5,),L144)+INDEX(OFFSET(Arb!$V$2,,,Arb!$AJ$5,),L144))/N144)</f>
        <v>4.1536863966770508</v>
      </c>
      <c r="R144" s="33">
        <f t="shared" ca="1" si="22"/>
        <v>3.5797433865989388</v>
      </c>
      <c r="S144" s="21">
        <f t="shared" ca="1" si="23"/>
        <v>42.944419026095773</v>
      </c>
      <c r="T144" s="74">
        <f ca="1">IF(L144="","",DATE(INDEX(OFFSET(Arb!$C$2,,,Arb!$AJ$5,),L144),INDEX(OFFSET(Arb!$B$2,,,Arb!$AJ$5,),L144),INDEX(OFFSET(Arb!$A$2,,,Arb!$AJ$5,),L144))+ROW()*0.001)</f>
        <v>43797.144</v>
      </c>
      <c r="U144" s="11">
        <v>143</v>
      </c>
      <c r="V144" s="11">
        <v>3272</v>
      </c>
      <c r="W144" s="433">
        <f ca="1">IF(V144="",164,INDEX(OFFSET(Arb!$I$2,,,Arb!$AJ$5,),V144))</f>
        <v>178</v>
      </c>
      <c r="X144" s="34">
        <f ca="1">IF(V144="",240,INDEX(OFFSET(Arb!$H$2,,,Arb!$AJ$5,),V144))</f>
        <v>72.010000000000005</v>
      </c>
      <c r="Y144" s="33">
        <f t="shared" ca="1" si="24"/>
        <v>2.4718789057075403</v>
      </c>
      <c r="Z144" s="33">
        <f ca="1">IF(V144="","",INDEX(OFFSET(Arb!$X$2,,,Arb!$AJ$5,),V144)/X144)</f>
        <v>2.8607137897514234</v>
      </c>
      <c r="AA144" s="33">
        <f ca="1">IF(V144="","",(INDEX(OFFSET(Arb!$U$2,,,Arb!$AJ$5,),V144)+INDEX(OFFSET(Arb!$V$2,,,Arb!$AJ$5,),V144))/X144)</f>
        <v>3.2495486737953061</v>
      </c>
      <c r="AB144" s="33">
        <f t="shared" ca="1" si="25"/>
        <v>8.0750975275522432</v>
      </c>
      <c r="AC144" s="21">
        <f t="shared" ca="1" si="26"/>
        <v>53.869442259462005</v>
      </c>
      <c r="AD144" s="74">
        <f ca="1">IF(V144="","",DATE(INDEX(OFFSET(Arb!$C$2,,,Arb!$AJ$5,),V144),INDEX(OFFSET(Arb!$B$2,,,Arb!$AJ$5,),V144),INDEX(OFFSET(Arb!$A$2,,,Arb!$AJ$5,),V144))+ROW()*0.001)</f>
        <v>44074.144</v>
      </c>
    </row>
    <row r="145" spans="1:30" x14ac:dyDescent="0.25">
      <c r="A145" s="11">
        <v>144</v>
      </c>
      <c r="B145" s="11">
        <v>1510</v>
      </c>
      <c r="C145" s="433">
        <f ca="1">IF(B145="",16,INDEX(OFFSET(Arb!$I$2,,,Arb!$AJ$5,),B145))</f>
        <v>10</v>
      </c>
      <c r="D145" s="34">
        <f ca="1">IF(B145="",10,INDEX(OFFSET(Arb!$H$2,,,Arb!$AJ$5,),B145))</f>
        <v>3.52</v>
      </c>
      <c r="E145" s="33">
        <f t="shared" ca="1" si="18"/>
        <v>2.8409090909090908</v>
      </c>
      <c r="F145" s="33">
        <f ca="1">IF(B145="","",INDEX(OFFSET(Arb!$X$2,,,Arb!$AJ$5,),B145)/D145)</f>
        <v>3.6931818181818183</v>
      </c>
      <c r="G145" s="33">
        <f ca="1">IF(B145="","",(INDEX(OFFSET(Arb!$U$2,,,Arb!$AJ$5,),B145)+INDEX(OFFSET(Arb!$V$2,,,Arb!$AJ$5,),B145))/D145)</f>
        <v>5.3977272727272725</v>
      </c>
      <c r="H145" s="33">
        <f t="shared" ca="1" si="19"/>
        <v>0.84942008892632825</v>
      </c>
      <c r="I145" s="21">
        <f t="shared" ca="1" si="20"/>
        <v>55.683872581570562</v>
      </c>
      <c r="J145" s="74">
        <f ca="1">IF(B145="","",DATE(INDEX(OFFSET(Arb!$C$2,,,Arb!$AJ$5,),B145),INDEX(OFFSET(Arb!$B$2,,,Arb!$AJ$5,),B145),INDEX(OFFSET(Arb!$A$2,,,Arb!$AJ$5,),B145))+ROW()*0.001)</f>
        <v>43984.144999999997</v>
      </c>
      <c r="K145" s="11">
        <v>144</v>
      </c>
      <c r="L145" s="11">
        <v>1898</v>
      </c>
      <c r="M145" s="433">
        <f ca="1">IF(L145="",64,INDEX(OFFSET(Arb!$I$2,,,Arb!$AJ$5,),L145))</f>
        <v>73</v>
      </c>
      <c r="N145" s="34">
        <f ca="1">IF(L145="",60,INDEX(OFFSET(Arb!$H$2,,,Arb!$AJ$5,),L145))</f>
        <v>26.43</v>
      </c>
      <c r="O145" s="33">
        <f t="shared" ca="1" si="21"/>
        <v>2.7620128641695043</v>
      </c>
      <c r="P145" s="33">
        <f ca="1">IF(L145="","",INDEX(OFFSET(Arb!$X$2,,,Arb!$AJ$5,),L145)/N145)</f>
        <v>3.5565645100264849</v>
      </c>
      <c r="Q145" s="33">
        <f ca="1">IF(L145="","",(INDEX(OFFSET(Arb!$U$2,,,Arb!$AJ$5,),L145)+INDEX(OFFSET(Arb!$V$2,,,Arb!$AJ$5,),L145))/N145)</f>
        <v>4.0862656072644725</v>
      </c>
      <c r="R145" s="33">
        <f t="shared" ca="1" si="22"/>
        <v>3.582962949020351</v>
      </c>
      <c r="S145" s="21">
        <f t="shared" ca="1" si="23"/>
        <v>42.905830226916706</v>
      </c>
      <c r="T145" s="74">
        <f ca="1">IF(L145="","",DATE(INDEX(OFFSET(Arb!$C$2,,,Arb!$AJ$5,),L145),INDEX(OFFSET(Arb!$B$2,,,Arb!$AJ$5,),L145),INDEX(OFFSET(Arb!$A$2,,,Arb!$AJ$5,),L145))+ROW()*0.001)</f>
        <v>43765.144999999997</v>
      </c>
      <c r="U145" s="11">
        <v>144</v>
      </c>
      <c r="V145" s="11">
        <v>3124</v>
      </c>
      <c r="W145" s="433">
        <f ca="1">IF(V145="",164,INDEX(OFFSET(Arb!$I$2,,,Arb!$AJ$5,),V145))</f>
        <v>163</v>
      </c>
      <c r="X145" s="34">
        <f ca="1">IF(V145="",240,INDEX(OFFSET(Arb!$H$2,,,Arb!$AJ$5,),V145))</f>
        <v>68.38</v>
      </c>
      <c r="Y145" s="33">
        <f t="shared" ca="1" si="24"/>
        <v>2.3837379350687335</v>
      </c>
      <c r="Z145" s="33">
        <f ca="1">IF(V145="","",INDEX(OFFSET(Arb!$X$2,,,Arb!$AJ$5,),V145)/X145)</f>
        <v>2.9394559812810765</v>
      </c>
      <c r="AA145" s="33">
        <f ca="1">IF(V145="","",(INDEX(OFFSET(Arb!$U$2,,,Arb!$AJ$5,),V145)+INDEX(OFFSET(Arb!$V$2,,,Arb!$AJ$5,),V145))/X145)</f>
        <v>3.3343082772740571</v>
      </c>
      <c r="AB145" s="33">
        <f t="shared" ca="1" si="25"/>
        <v>8.0759172367814891</v>
      </c>
      <c r="AC145" s="21">
        <f t="shared" ca="1" si="26"/>
        <v>53.863974486861103</v>
      </c>
      <c r="AD145" s="74">
        <f ca="1">IF(V145="","",DATE(INDEX(OFFSET(Arb!$C$2,,,Arb!$AJ$5,),V145),INDEX(OFFSET(Arb!$B$2,,,Arb!$AJ$5,),V145),INDEX(OFFSET(Arb!$A$2,,,Arb!$AJ$5,),V145))+ROW()*0.001)</f>
        <v>44014.144999999997</v>
      </c>
    </row>
    <row r="146" spans="1:30" x14ac:dyDescent="0.25">
      <c r="A146" s="11">
        <v>145</v>
      </c>
      <c r="B146" s="11">
        <v>405</v>
      </c>
      <c r="C146" s="433">
        <f ca="1">IF(B146="",16,INDEX(OFFSET(Arb!$I$2,,,Arb!$AJ$5,),B146))</f>
        <v>12</v>
      </c>
      <c r="D146" s="34">
        <f ca="1">IF(B146="",10,INDEX(OFFSET(Arb!$H$2,,,Arb!$AJ$5,),B146))</f>
        <v>3.92</v>
      </c>
      <c r="E146" s="33">
        <f t="shared" ca="1" si="18"/>
        <v>3.0612244897959182</v>
      </c>
      <c r="F146" s="33">
        <f ca="1">IF(B146="","",INDEX(OFFSET(Arb!$X$2,,,Arb!$AJ$5,),B146)/D146)</f>
        <v>4.591836734693878</v>
      </c>
      <c r="G146" s="33">
        <f ca="1">IF(B146="","",(INDEX(OFFSET(Arb!$U$2,,,Arb!$AJ$5,),B146)+INDEX(OFFSET(Arb!$V$2,,,Arb!$AJ$5,),B146))/D146)</f>
        <v>5.3571428571428577</v>
      </c>
      <c r="H146" s="33">
        <f t="shared" ca="1" si="19"/>
        <v>0.8499728779304534</v>
      </c>
      <c r="I146" s="21">
        <f t="shared" ca="1" si="20"/>
        <v>55.647657976058511</v>
      </c>
      <c r="J146" s="74">
        <f ca="1">IF(B146="","",DATE(INDEX(OFFSET(Arb!$C$2,,,Arb!$AJ$5,),B146),INDEX(OFFSET(Arb!$B$2,,,Arb!$AJ$5,),B146),INDEX(OFFSET(Arb!$A$2,,,Arb!$AJ$5,),B146))+ROW()*0.001)</f>
        <v>43781.146000000001</v>
      </c>
      <c r="K146" s="11">
        <v>145</v>
      </c>
      <c r="L146" s="11">
        <v>2280</v>
      </c>
      <c r="M146" s="433">
        <f ca="1">IF(L146="",64,INDEX(OFFSET(Arb!$I$2,,,Arb!$AJ$5,),L146))</f>
        <v>81</v>
      </c>
      <c r="N146" s="34">
        <f ca="1">IF(L146="",60,INDEX(OFFSET(Arb!$H$2,,,Arb!$AJ$5,),L146))</f>
        <v>28.11</v>
      </c>
      <c r="O146" s="33">
        <f t="shared" ca="1" si="21"/>
        <v>2.88153681963714</v>
      </c>
      <c r="P146" s="33">
        <f ca="1">IF(L146="","",INDEX(OFFSET(Arb!$X$2,,,Arb!$AJ$5,),L146)/N146)</f>
        <v>3.593027392387051</v>
      </c>
      <c r="Q146" s="33">
        <f ca="1">IF(L146="","",(INDEX(OFFSET(Arb!$U$2,,,Arb!$AJ$5,),L146)+INDEX(OFFSET(Arb!$V$2,,,Arb!$AJ$5,),L146))/N146)</f>
        <v>3.9843472073995021</v>
      </c>
      <c r="R146" s="33">
        <f t="shared" ca="1" si="22"/>
        <v>3.5857368851316145</v>
      </c>
      <c r="S146" s="21">
        <f t="shared" ca="1" si="23"/>
        <v>42.87263815631507</v>
      </c>
      <c r="T146" s="74">
        <f ca="1">IF(L146="","",DATE(INDEX(OFFSET(Arb!$C$2,,,Arb!$AJ$5,),L146),INDEX(OFFSET(Arb!$B$2,,,Arb!$AJ$5,),L146),INDEX(OFFSET(Arb!$A$2,,,Arb!$AJ$5,),L146))+ROW()*0.001)</f>
        <v>43935.146000000001</v>
      </c>
      <c r="U146" s="11">
        <v>145</v>
      </c>
      <c r="V146" s="11">
        <v>2885</v>
      </c>
      <c r="W146" s="433">
        <f ca="1">IF(V146="",164,INDEX(OFFSET(Arb!$I$2,,,Arb!$AJ$5,),V146))</f>
        <v>198</v>
      </c>
      <c r="X146" s="34">
        <f ca="1">IF(V146="",240,INDEX(OFFSET(Arb!$H$2,,,Arb!$AJ$5,),V146))</f>
        <v>76.680000000000007</v>
      </c>
      <c r="Y146" s="33">
        <f t="shared" ca="1" si="24"/>
        <v>2.5821596244131455</v>
      </c>
      <c r="Z146" s="33">
        <f ca="1">IF(V146="","",INDEX(OFFSET(Arb!$X$2,,,Arb!$AJ$5,),V146)/X146)</f>
        <v>2.9212310902451746</v>
      </c>
      <c r="AA146" s="33">
        <f ca="1">IF(V146="","",(INDEX(OFFSET(Arb!$U$2,,,Arb!$AJ$5,),V146)+INDEX(OFFSET(Arb!$V$2,,,Arb!$AJ$5,),V146))/X146)</f>
        <v>3.1298904538341157</v>
      </c>
      <c r="AB146" s="33">
        <f t="shared" ca="1" si="25"/>
        <v>8.0778240070635015</v>
      </c>
      <c r="AC146" s="21">
        <f t="shared" ca="1" si="26"/>
        <v>53.851259896182626</v>
      </c>
      <c r="AD146" s="74">
        <f ca="1">IF(V146="","",DATE(INDEX(OFFSET(Arb!$C$2,,,Arb!$AJ$5,),V146),INDEX(OFFSET(Arb!$B$2,,,Arb!$AJ$5,),V146),INDEX(OFFSET(Arb!$A$2,,,Arb!$AJ$5,),V146))+ROW()*0.001)</f>
        <v>43918.146000000001</v>
      </c>
    </row>
    <row r="147" spans="1:30" x14ac:dyDescent="0.25">
      <c r="A147" s="11">
        <v>146</v>
      </c>
      <c r="B147" s="11">
        <v>409</v>
      </c>
      <c r="C147" s="433">
        <f ca="1">IF(B147="",16,INDEX(OFFSET(Arb!$I$2,,,Arb!$AJ$5,),B147))</f>
        <v>13</v>
      </c>
      <c r="D147" s="34">
        <f ca="1">IF(B147="",10,INDEX(OFFSET(Arb!$H$2,,,Arb!$AJ$5,),B147))</f>
        <v>4.1100000000000003</v>
      </c>
      <c r="E147" s="33">
        <f t="shared" ca="1" si="18"/>
        <v>3.16301703163017</v>
      </c>
      <c r="F147" s="33">
        <f ca="1">IF(B147="","",INDEX(OFFSET(Arb!$X$2,,,Arb!$AJ$5,),B147)/D147)</f>
        <v>3.16301703163017</v>
      </c>
      <c r="G147" s="33">
        <f ca="1">IF(B147="","",(INDEX(OFFSET(Arb!$U$2,,,Arb!$AJ$5,),B147)+INDEX(OFFSET(Arb!$V$2,,,Arb!$AJ$5,),B147))/D147)</f>
        <v>3.4063260340632602</v>
      </c>
      <c r="H147" s="33">
        <f t="shared" ca="1" si="19"/>
        <v>0.85033047665243278</v>
      </c>
      <c r="I147" s="21">
        <f t="shared" ca="1" si="20"/>
        <v>55.624255861328095</v>
      </c>
      <c r="J147" s="74">
        <f ca="1">IF(B147="","",DATE(INDEX(OFFSET(Arb!$C$2,,,Arb!$AJ$5,),B147),INDEX(OFFSET(Arb!$B$2,,,Arb!$AJ$5,),B147),INDEX(OFFSET(Arb!$A$2,,,Arb!$AJ$5,),B147))+ROW()*0.001)</f>
        <v>43781.146999999997</v>
      </c>
      <c r="K147" s="11">
        <v>146</v>
      </c>
      <c r="L147" s="11">
        <v>2193</v>
      </c>
      <c r="M147" s="433">
        <f ca="1">IF(L147="",64,INDEX(OFFSET(Arb!$I$2,,,Arb!$AJ$5,),L147))</f>
        <v>48</v>
      </c>
      <c r="N147" s="34">
        <f ca="1">IF(L147="",60,INDEX(OFFSET(Arb!$H$2,,,Arb!$AJ$5,),L147))</f>
        <v>20.7</v>
      </c>
      <c r="O147" s="33">
        <f t="shared" ca="1" si="21"/>
        <v>2.318840579710145</v>
      </c>
      <c r="P147" s="33">
        <f ca="1">IF(L147="","",INDEX(OFFSET(Arb!$X$2,,,Arb!$AJ$5,),L147)/N147)</f>
        <v>2.8019323671497585</v>
      </c>
      <c r="Q147" s="33">
        <f ca="1">IF(L147="","",(INDEX(OFFSET(Arb!$U$2,,,Arb!$AJ$5,),L147)+INDEX(OFFSET(Arb!$V$2,,,Arb!$AJ$5,),L147))/N147)</f>
        <v>3.3816425120772946</v>
      </c>
      <c r="R147" s="33">
        <f t="shared" ca="1" si="22"/>
        <v>3.5967342448968176</v>
      </c>
      <c r="S147" s="21">
        <f t="shared" ca="1" si="23"/>
        <v>42.741550955041482</v>
      </c>
      <c r="T147" s="74">
        <f ca="1">IF(L147="","",DATE(INDEX(OFFSET(Arb!$C$2,,,Arb!$AJ$5,),L147),INDEX(OFFSET(Arb!$B$2,,,Arb!$AJ$5,),L147),INDEX(OFFSET(Arb!$A$2,,,Arb!$AJ$5,),L147))+ROW()*0.001)</f>
        <v>43852.146999999997</v>
      </c>
      <c r="U147" s="11">
        <v>146</v>
      </c>
      <c r="V147" s="11">
        <v>2835</v>
      </c>
      <c r="W147" s="433">
        <f ca="1">IF(V147="",164,INDEX(OFFSET(Arb!$I$2,,,Arb!$AJ$5,),V147))</f>
        <v>176</v>
      </c>
      <c r="X147" s="34">
        <f ca="1">IF(V147="",240,INDEX(OFFSET(Arb!$H$2,,,Arb!$AJ$5,),V147))</f>
        <v>71.569999999999993</v>
      </c>
      <c r="Y147" s="33">
        <f t="shared" ca="1" si="24"/>
        <v>2.4591309207768619</v>
      </c>
      <c r="Z147" s="33">
        <f ca="1">IF(V147="","",INDEX(OFFSET(Arb!$X$2,,,Arb!$AJ$5,),V147)/X147)</f>
        <v>3.0459689814167952</v>
      </c>
      <c r="AA147" s="33">
        <f ca="1">IF(V147="","",(INDEX(OFFSET(Arb!$U$2,,,Arb!$AJ$5,),V147)+INDEX(OFFSET(Arb!$V$2,,,Arb!$AJ$5,),V147))/X147)</f>
        <v>3.3813050160681852</v>
      </c>
      <c r="AB147" s="33">
        <f t="shared" ca="1" si="25"/>
        <v>8.0822087145374315</v>
      </c>
      <c r="AC147" s="21">
        <f t="shared" ca="1" si="26"/>
        <v>53.82204485978761</v>
      </c>
      <c r="AD147" s="74">
        <f ca="1">IF(V147="","",DATE(INDEX(OFFSET(Arb!$C$2,,,Arb!$AJ$5,),V147),INDEX(OFFSET(Arb!$B$2,,,Arb!$AJ$5,),V147),INDEX(OFFSET(Arb!$A$2,,,Arb!$AJ$5,),V147))+ROW()*0.001)</f>
        <v>43902.146999999997</v>
      </c>
    </row>
    <row r="148" spans="1:30" x14ac:dyDescent="0.25">
      <c r="A148" s="11">
        <v>147</v>
      </c>
      <c r="B148" s="11">
        <v>1411</v>
      </c>
      <c r="C148" s="433">
        <f ca="1">IF(B148="",16,INDEX(OFFSET(Arb!$I$2,,,Arb!$AJ$5,),B148))</f>
        <v>18</v>
      </c>
      <c r="D148" s="34">
        <f ca="1">IF(B148="",10,INDEX(OFFSET(Arb!$H$2,,,Arb!$AJ$5,),B148))</f>
        <v>4.9800000000000004</v>
      </c>
      <c r="E148" s="33">
        <f t="shared" ca="1" si="18"/>
        <v>3.6144578313253009</v>
      </c>
      <c r="F148" s="33">
        <f ca="1">IF(B148="","",INDEX(OFFSET(Arb!$X$2,,,Arb!$AJ$5,),B148)/D148)</f>
        <v>4.2168674698795181</v>
      </c>
      <c r="G148" s="33">
        <f ca="1">IF(B148="","",(INDEX(OFFSET(Arb!$U$2,,,Arb!$AJ$5,),B148)+INDEX(OFFSET(Arb!$V$2,,,Arb!$AJ$5,),B148))/D148)</f>
        <v>5.2208835341365454</v>
      </c>
      <c r="H148" s="33">
        <f t="shared" ca="1" si="19"/>
        <v>0.85117209578973885</v>
      </c>
      <c r="I148" s="21">
        <f t="shared" ca="1" si="20"/>
        <v>55.569255893092688</v>
      </c>
      <c r="J148" s="74">
        <f ca="1">IF(B148="","",DATE(INDEX(OFFSET(Arb!$C$2,,,Arb!$AJ$5,),B148),INDEX(OFFSET(Arb!$B$2,,,Arb!$AJ$5,),B148),INDEX(OFFSET(Arb!$A$2,,,Arb!$AJ$5,),B148))+ROW()*0.001)</f>
        <v>43940.148000000001</v>
      </c>
      <c r="K148" s="11">
        <v>147</v>
      </c>
      <c r="L148" s="11">
        <v>2101</v>
      </c>
      <c r="M148" s="433">
        <f ca="1">IF(L148="",64,INDEX(OFFSET(Arb!$I$2,,,Arb!$AJ$5,),L148))</f>
        <v>73</v>
      </c>
      <c r="N148" s="34">
        <f ca="1">IF(L148="",60,INDEX(OFFSET(Arb!$H$2,,,Arb!$AJ$5,),L148))</f>
        <v>26.51</v>
      </c>
      <c r="O148" s="33">
        <f t="shared" ca="1" si="21"/>
        <v>2.7536778574122969</v>
      </c>
      <c r="P148" s="33">
        <f ca="1">IF(L148="","",INDEX(OFFSET(Arb!$X$2,,,Arb!$AJ$5,),L148)/N148)</f>
        <v>3.3949453036589965</v>
      </c>
      <c r="Q148" s="33">
        <f ca="1">IF(L148="","",(INDEX(OFFSET(Arb!$U$2,,,Arb!$AJ$5,),L148)+INDEX(OFFSET(Arb!$V$2,,,Arb!$AJ$5,),L148))/N148)</f>
        <v>3.923047906450396</v>
      </c>
      <c r="R148" s="33">
        <f t="shared" ca="1" si="22"/>
        <v>3.6014192121154429</v>
      </c>
      <c r="S148" s="21">
        <f t="shared" ca="1" si="23"/>
        <v>42.685949884101468</v>
      </c>
      <c r="T148" s="74">
        <f ca="1">IF(L148="","",DATE(INDEX(OFFSET(Arb!$C$2,,,Arb!$AJ$5,),L148),INDEX(OFFSET(Arb!$B$2,,,Arb!$AJ$5,),L148),INDEX(OFFSET(Arb!$A$2,,,Arb!$AJ$5,),L148))+ROW()*0.001)</f>
        <v>43810.148000000001</v>
      </c>
      <c r="U148" s="11">
        <v>147</v>
      </c>
      <c r="V148" s="11">
        <v>2992</v>
      </c>
      <c r="W148" s="433">
        <f ca="1">IF(V148="",164,INDEX(OFFSET(Arb!$I$2,,,Arb!$AJ$5,),V148))</f>
        <v>185</v>
      </c>
      <c r="X148" s="34">
        <f ca="1">IF(V148="",240,INDEX(OFFSET(Arb!$H$2,,,Arb!$AJ$5,),V148))</f>
        <v>73.709999999999994</v>
      </c>
      <c r="Y148" s="33">
        <f t="shared" ca="1" si="24"/>
        <v>2.5098358431691765</v>
      </c>
      <c r="Z148" s="33">
        <f ca="1">IF(V148="","",INDEX(OFFSET(Arb!$X$2,,,Arb!$AJ$5,),V148)/X148)</f>
        <v>2.9439696106362776</v>
      </c>
      <c r="AA148" s="33">
        <f ca="1">IF(V148="","",(INDEX(OFFSET(Arb!$U$2,,,Arb!$AJ$5,),V148)+INDEX(OFFSET(Arb!$V$2,,,Arb!$AJ$5,),V148))/X148)</f>
        <v>3.2424365757699092</v>
      </c>
      <c r="AB148" s="33">
        <f t="shared" ca="1" si="25"/>
        <v>8.083941659779871</v>
      </c>
      <c r="AC148" s="21">
        <f t="shared" ca="1" si="26"/>
        <v>53.81050709015696</v>
      </c>
      <c r="AD148" s="74">
        <f ca="1">IF(V148="","",DATE(INDEX(OFFSET(Arb!$C$2,,,Arb!$AJ$5,),V148),INDEX(OFFSET(Arb!$B$2,,,Arb!$AJ$5,),V148),INDEX(OFFSET(Arb!$A$2,,,Arb!$AJ$5,),V148))+ROW()*0.001)</f>
        <v>43956.148000000001</v>
      </c>
    </row>
    <row r="149" spans="1:30" x14ac:dyDescent="0.25">
      <c r="A149" s="11">
        <v>148</v>
      </c>
      <c r="B149" s="11">
        <v>1019</v>
      </c>
      <c r="C149" s="433">
        <f ca="1">IF(B149="",16,INDEX(OFFSET(Arb!$I$2,,,Arb!$AJ$5,),B149))</f>
        <v>10</v>
      </c>
      <c r="D149" s="34">
        <f ca="1">IF(B149="",10,INDEX(OFFSET(Arb!$H$2,,,Arb!$AJ$5,),B149))</f>
        <v>3.53</v>
      </c>
      <c r="E149" s="33">
        <f t="shared" ca="1" si="18"/>
        <v>2.8328611898017</v>
      </c>
      <c r="F149" s="33">
        <f ca="1">IF(B149="","",INDEX(OFFSET(Arb!$X$2,,,Arb!$AJ$5,),B149)/D149)</f>
        <v>3.6827195467422098</v>
      </c>
      <c r="G149" s="33">
        <f ca="1">IF(B149="","",(INDEX(OFFSET(Arb!$U$2,,,Arb!$AJ$5,),B149)+INDEX(OFFSET(Arb!$V$2,,,Arb!$AJ$5,),B149))/D149)</f>
        <v>3.9660056657223799</v>
      </c>
      <c r="H149" s="33">
        <f t="shared" ca="1" si="19"/>
        <v>0.85352647970239581</v>
      </c>
      <c r="I149" s="21">
        <f t="shared" ca="1" si="20"/>
        <v>55.415972585281743</v>
      </c>
      <c r="J149" s="74">
        <f ca="1">IF(B149="","",DATE(INDEX(OFFSET(Arb!$C$2,,,Arb!$AJ$5,),B149),INDEX(OFFSET(Arb!$B$2,,,Arb!$AJ$5,),B149),INDEX(OFFSET(Arb!$A$2,,,Arb!$AJ$5,),B149))+ROW()*0.001)</f>
        <v>43839.148999999998</v>
      </c>
      <c r="K149" s="11">
        <v>148</v>
      </c>
      <c r="L149" s="11">
        <v>2295</v>
      </c>
      <c r="M149" s="433">
        <f ca="1">IF(L149="",64,INDEX(OFFSET(Arb!$I$2,,,Arb!$AJ$5,),L149))</f>
        <v>50</v>
      </c>
      <c r="N149" s="34">
        <f ca="1">IF(L149="",60,INDEX(OFFSET(Arb!$H$2,,,Arb!$AJ$5,),L149))</f>
        <v>21.22</v>
      </c>
      <c r="O149" s="33">
        <f t="shared" ca="1" si="21"/>
        <v>2.3562676720075402</v>
      </c>
      <c r="P149" s="33">
        <f ca="1">IF(L149="","",INDEX(OFFSET(Arb!$X$2,,,Arb!$AJ$5,),L149)/N149)</f>
        <v>3.0631479736098024</v>
      </c>
      <c r="Q149" s="33">
        <f ca="1">IF(L149="","",(INDEX(OFFSET(Arb!$U$2,,,Arb!$AJ$5,),L149)+INDEX(OFFSET(Arb!$V$2,,,Arb!$AJ$5,),L149))/N149)</f>
        <v>3.9114043355325165</v>
      </c>
      <c r="R149" s="33">
        <f t="shared" ca="1" si="22"/>
        <v>3.6016137934969241</v>
      </c>
      <c r="S149" s="21">
        <f t="shared" ca="1" si="23"/>
        <v>42.683643725925016</v>
      </c>
      <c r="T149" s="74">
        <f ca="1">IF(L149="","",DATE(INDEX(OFFSET(Arb!$C$2,,,Arb!$AJ$5,),L149),INDEX(OFFSET(Arb!$B$2,,,Arb!$AJ$5,),L149),INDEX(OFFSET(Arb!$A$2,,,Arb!$AJ$5,),L149))+ROW()*0.001)</f>
        <v>43937.148999999998</v>
      </c>
      <c r="U149" s="11">
        <v>148</v>
      </c>
      <c r="V149" s="11">
        <v>2862</v>
      </c>
      <c r="W149" s="433">
        <f ca="1">IF(V149="",164,INDEX(OFFSET(Arb!$I$2,,,Arb!$AJ$5,),V149))</f>
        <v>144</v>
      </c>
      <c r="X149" s="34">
        <f ca="1">IF(V149="",240,INDEX(OFFSET(Arb!$H$2,,,Arb!$AJ$5,),V149))</f>
        <v>63.62</v>
      </c>
      <c r="Y149" s="33">
        <f t="shared" ca="1" si="24"/>
        <v>2.2634391700723042</v>
      </c>
      <c r="Z149" s="33">
        <f ca="1">IF(V149="","",INDEX(OFFSET(Arb!$X$2,,,Arb!$AJ$5,),V149)/X149)</f>
        <v>2.7349889971707011</v>
      </c>
      <c r="AA149" s="33">
        <f ca="1">IF(V149="","",(INDEX(OFFSET(Arb!$U$2,,,Arb!$AJ$5,),V149)+INDEX(OFFSET(Arb!$V$2,,,Arb!$AJ$5,),V149))/X149)</f>
        <v>3.1436655139893115</v>
      </c>
      <c r="AB149" s="33">
        <f t="shared" ca="1" si="25"/>
        <v>8.0862420657239458</v>
      </c>
      <c r="AC149" s="21">
        <f t="shared" ca="1" si="26"/>
        <v>53.795198865476351</v>
      </c>
      <c r="AD149" s="74">
        <f ca="1">IF(V149="","",DATE(INDEX(OFFSET(Arb!$C$2,,,Arb!$AJ$5,),V149),INDEX(OFFSET(Arb!$B$2,,,Arb!$AJ$5,),V149),INDEX(OFFSET(Arb!$A$2,,,Arb!$AJ$5,),V149))+ROW()*0.001)</f>
        <v>43909.148999999998</v>
      </c>
    </row>
    <row r="150" spans="1:30" x14ac:dyDescent="0.25">
      <c r="A150" s="11">
        <v>149</v>
      </c>
      <c r="B150" s="11">
        <v>881</v>
      </c>
      <c r="C150" s="433">
        <f ca="1">IF(B150="",16,INDEX(OFFSET(Arb!$I$2,,,Arb!$AJ$5,),B150))</f>
        <v>12</v>
      </c>
      <c r="D150" s="34">
        <f ca="1">IF(B150="",10,INDEX(OFFSET(Arb!$H$2,,,Arb!$AJ$5,),B150))</f>
        <v>3.93</v>
      </c>
      <c r="E150" s="33">
        <f t="shared" ca="1" si="18"/>
        <v>3.0534351145038165</v>
      </c>
      <c r="F150" s="33">
        <f ca="1">IF(B150="","",INDEX(OFFSET(Arb!$X$2,,,Arb!$AJ$5,),B150)/D150)</f>
        <v>3.3078880407124682</v>
      </c>
      <c r="G150" s="33">
        <f ca="1">IF(B150="","",(INDEX(OFFSET(Arb!$U$2,,,Arb!$AJ$5,),B150)+INDEX(OFFSET(Arb!$V$2,,,Arb!$AJ$5,),B150))/D150)</f>
        <v>3.5623409669211195</v>
      </c>
      <c r="H150" s="33">
        <f t="shared" ca="1" si="19"/>
        <v>0.85366227512698833</v>
      </c>
      <c r="I150" s="21">
        <f t="shared" ca="1" si="20"/>
        <v>55.407157347985112</v>
      </c>
      <c r="J150" s="74">
        <f ca="1">IF(B150="","",DATE(INDEX(OFFSET(Arb!$C$2,,,Arb!$AJ$5,),B150),INDEX(OFFSET(Arb!$B$2,,,Arb!$AJ$5,),B150),INDEX(OFFSET(Arb!$A$2,,,Arb!$AJ$5,),B150))+ROW()*0.001)</f>
        <v>43818.15</v>
      </c>
      <c r="K150" s="11">
        <v>149</v>
      </c>
      <c r="L150" s="11">
        <v>2332</v>
      </c>
      <c r="M150" s="433">
        <f ca="1">IF(L150="",64,INDEX(OFFSET(Arb!$I$2,,,Arb!$AJ$5,),L150))</f>
        <v>48</v>
      </c>
      <c r="N150" s="34">
        <f ca="1">IF(L150="",60,INDEX(OFFSET(Arb!$H$2,,,Arb!$AJ$5,),L150))</f>
        <v>20.72</v>
      </c>
      <c r="O150" s="33">
        <f t="shared" ca="1" si="21"/>
        <v>2.3166023166023169</v>
      </c>
      <c r="P150" s="33">
        <f ca="1">IF(L150="","",INDEX(OFFSET(Arb!$X$2,,,Arb!$AJ$5,),L150)/N150)</f>
        <v>2.8474903474903477</v>
      </c>
      <c r="Q150" s="33">
        <f ca="1">IF(L150="","",(INDEX(OFFSET(Arb!$U$2,,,Arb!$AJ$5,),L150)+INDEX(OFFSET(Arb!$V$2,,,Arb!$AJ$5,),L150))/N150)</f>
        <v>3.3301158301158305</v>
      </c>
      <c r="R150" s="33">
        <f t="shared" ca="1" si="22"/>
        <v>3.6026439219059139</v>
      </c>
      <c r="S150" s="21">
        <f t="shared" ca="1" si="23"/>
        <v>42.671438902202667</v>
      </c>
      <c r="T150" s="74">
        <f ca="1">IF(L150="","",DATE(INDEX(OFFSET(Arb!$C$2,,,Arb!$AJ$5,),L150),INDEX(OFFSET(Arb!$B$2,,,Arb!$AJ$5,),L150),INDEX(OFFSET(Arb!$A$2,,,Arb!$AJ$5,),L150))+ROW()*0.001)</f>
        <v>44093.15</v>
      </c>
      <c r="U150" s="11">
        <v>149</v>
      </c>
      <c r="V150" s="11">
        <v>2844</v>
      </c>
      <c r="W150" s="433">
        <f ca="1">IF(V150="",164,INDEX(OFFSET(Arb!$I$2,,,Arb!$AJ$5,),V150))</f>
        <v>165</v>
      </c>
      <c r="X150" s="34">
        <f ca="1">IF(V150="",240,INDEX(OFFSET(Arb!$H$2,,,Arb!$AJ$5,),V150))</f>
        <v>68.930000000000007</v>
      </c>
      <c r="Y150" s="33">
        <f t="shared" ca="1" si="24"/>
        <v>2.3937327723777742</v>
      </c>
      <c r="Z150" s="33">
        <f ca="1">IF(V150="","",INDEX(OFFSET(Arb!$X$2,,,Arb!$AJ$5,),V150)/X150)</f>
        <v>3.0175540403307699</v>
      </c>
      <c r="AA150" s="33">
        <f ca="1">IF(V150="","",(INDEX(OFFSET(Arb!$U$2,,,Arb!$AJ$5,),V150)+INDEX(OFFSET(Arb!$V$2,,,Arb!$AJ$5,),V150))/X150)</f>
        <v>3.4092557667198604</v>
      </c>
      <c r="AB150" s="33">
        <f t="shared" ca="1" si="25"/>
        <v>8.0874224493201901</v>
      </c>
      <c r="AC150" s="21">
        <f t="shared" ca="1" si="26"/>
        <v>53.787347294633427</v>
      </c>
      <c r="AD150" s="74">
        <f ca="1">IF(V150="","",DATE(INDEX(OFFSET(Arb!$C$2,,,Arb!$AJ$5,),V150),INDEX(OFFSET(Arb!$B$2,,,Arb!$AJ$5,),V150),INDEX(OFFSET(Arb!$A$2,,,Arb!$AJ$5,),V150))+ROW()*0.001)</f>
        <v>43904.15</v>
      </c>
    </row>
    <row r="151" spans="1:30" x14ac:dyDescent="0.25">
      <c r="A151" s="11">
        <v>150</v>
      </c>
      <c r="B151" s="11">
        <v>1675</v>
      </c>
      <c r="C151" s="433">
        <f ca="1">IF(B151="",16,INDEX(OFFSET(Arb!$I$2,,,Arb!$AJ$5,),B151))</f>
        <v>16</v>
      </c>
      <c r="D151" s="34">
        <f ca="1">IF(B151="",10,INDEX(OFFSET(Arb!$H$2,,,Arb!$AJ$5,),B151))</f>
        <v>4.66</v>
      </c>
      <c r="E151" s="33">
        <f t="shared" ca="1" si="18"/>
        <v>3.4334763948497855</v>
      </c>
      <c r="F151" s="33">
        <f ca="1">IF(B151="","",INDEX(OFFSET(Arb!$X$2,,,Arb!$AJ$5,),B151)/D151)</f>
        <v>3.8626609442060085</v>
      </c>
      <c r="G151" s="33">
        <f ca="1">IF(B151="","",(INDEX(OFFSET(Arb!$U$2,,,Arb!$AJ$5,),B151)+INDEX(OFFSET(Arb!$V$2,,,Arb!$AJ$5,),B151))/D151)</f>
        <v>4.2918454935622314</v>
      </c>
      <c r="H151" s="33">
        <f t="shared" ca="1" si="19"/>
        <v>0.85533466942382785</v>
      </c>
      <c r="I151" s="21">
        <f t="shared" ca="1" si="20"/>
        <v>55.298822426853853</v>
      </c>
      <c r="J151" s="74">
        <f ca="1">IF(B151="","",DATE(INDEX(OFFSET(Arb!$C$2,,,Arb!$AJ$5,),B151),INDEX(OFFSET(Arb!$B$2,,,Arb!$AJ$5,),B151),INDEX(OFFSET(Arb!$A$2,,,Arb!$AJ$5,),B151))+ROW()*0.001)</f>
        <v>44100.150999999998</v>
      </c>
      <c r="K151" s="11">
        <v>150</v>
      </c>
      <c r="L151" s="11">
        <v>2262</v>
      </c>
      <c r="M151" s="433">
        <f ca="1">IF(L151="",64,INDEX(OFFSET(Arb!$I$2,,,Arb!$AJ$5,),L151))</f>
        <v>55</v>
      </c>
      <c r="N151" s="34">
        <f ca="1">IF(L151="",60,INDEX(OFFSET(Arb!$H$2,,,Arb!$AJ$5,),L151))</f>
        <v>22.45</v>
      </c>
      <c r="O151" s="33">
        <f t="shared" ca="1" si="21"/>
        <v>2.4498886414253898</v>
      </c>
      <c r="P151" s="33">
        <f ca="1">IF(L151="","",INDEX(OFFSET(Arb!$X$2,,,Arb!$AJ$5,),L151)/N151)</f>
        <v>3.0734966592427617</v>
      </c>
      <c r="Q151" s="33">
        <f ca="1">IF(L151="","",(INDEX(OFFSET(Arb!$U$2,,,Arb!$AJ$5,),L151)+INDEX(OFFSET(Arb!$V$2,,,Arb!$AJ$5,),L151))/N151)</f>
        <v>3.5189309576837418</v>
      </c>
      <c r="R151" s="33">
        <f t="shared" ca="1" si="22"/>
        <v>3.603338795646938</v>
      </c>
      <c r="S151" s="21">
        <f t="shared" ca="1" si="23"/>
        <v>42.663210072201814</v>
      </c>
      <c r="T151" s="74">
        <f ca="1">IF(L151="","",DATE(INDEX(OFFSET(Arb!$C$2,,,Arb!$AJ$5,),L151),INDEX(OFFSET(Arb!$B$2,,,Arb!$AJ$5,),L151),INDEX(OFFSET(Arb!$A$2,,,Arb!$AJ$5,),L151))+ROW()*0.001)</f>
        <v>43905.150999999998</v>
      </c>
      <c r="U151" s="11">
        <v>150</v>
      </c>
      <c r="V151" s="11">
        <v>3243</v>
      </c>
      <c r="W151" s="433">
        <f ca="1">IF(V151="",164,INDEX(OFFSET(Arb!$I$2,,,Arb!$AJ$5,),V151))</f>
        <v>185</v>
      </c>
      <c r="X151" s="34">
        <f ca="1">IF(V151="",240,INDEX(OFFSET(Arb!$H$2,,,Arb!$AJ$5,),V151))</f>
        <v>73.77</v>
      </c>
      <c r="Y151" s="33">
        <f t="shared" ca="1" si="24"/>
        <v>2.5077944964077541</v>
      </c>
      <c r="Z151" s="33">
        <f ca="1">IF(V151="","",INDEX(OFFSET(Arb!$X$2,,,Arb!$AJ$5,),V151)/X151)</f>
        <v>2.9957977497627764</v>
      </c>
      <c r="AA151" s="33">
        <f ca="1">IF(V151="","",(INDEX(OFFSET(Arb!$U$2,,,Arb!$AJ$5,),V151)+INDEX(OFFSET(Arb!$V$2,,,Arb!$AJ$5,),V151))/X151)</f>
        <v>3.3075776060729294</v>
      </c>
      <c r="AB151" s="33">
        <f t="shared" ca="1" si="25"/>
        <v>8.0951314162327765</v>
      </c>
      <c r="AC151" s="21">
        <f t="shared" ca="1" si="26"/>
        <v>53.736125781443576</v>
      </c>
      <c r="AD151" s="74">
        <f ca="1">IF(V151="","",DATE(INDEX(OFFSET(Arb!$C$2,,,Arb!$AJ$5,),V151),INDEX(OFFSET(Arb!$B$2,,,Arb!$AJ$5,),V151),INDEX(OFFSET(Arb!$A$2,,,Arb!$AJ$5,),V151))+ROW()*0.001)</f>
        <v>44064.150999999998</v>
      </c>
    </row>
    <row r="152" spans="1:30" x14ac:dyDescent="0.25">
      <c r="A152" s="11">
        <v>151</v>
      </c>
      <c r="B152" s="11">
        <v>207</v>
      </c>
      <c r="C152" s="433">
        <f ca="1">IF(B152="",16,INDEX(OFFSET(Arb!$I$2,,,Arb!$AJ$5,),B152))</f>
        <v>16</v>
      </c>
      <c r="D152" s="34">
        <f ca="1">IF(B152="",10,INDEX(OFFSET(Arb!$H$2,,,Arb!$AJ$5,),B152))</f>
        <v>4.66</v>
      </c>
      <c r="E152" s="33">
        <f t="shared" ca="1" si="18"/>
        <v>3.4334763948497855</v>
      </c>
      <c r="F152" s="33">
        <f ca="1">IF(B152="","",INDEX(OFFSET(Arb!$X$2,,,Arb!$AJ$5,),B152)/D152)</f>
        <v>4.2918454935622314</v>
      </c>
      <c r="G152" s="33">
        <f ca="1">IF(B152="","",(INDEX(OFFSET(Arb!$U$2,,,Arb!$AJ$5,),B152)+INDEX(OFFSET(Arb!$V$2,,,Arb!$AJ$5,),B152))/D152)</f>
        <v>4.7210300429184544</v>
      </c>
      <c r="H152" s="33">
        <f t="shared" ca="1" si="19"/>
        <v>0.85533466942382785</v>
      </c>
      <c r="I152" s="21">
        <f t="shared" ca="1" si="20"/>
        <v>55.298822426853853</v>
      </c>
      <c r="J152" s="74">
        <f ca="1">IF(B152="","",DATE(INDEX(OFFSET(Arb!$C$2,,,Arb!$AJ$5,),B152),INDEX(OFFSET(Arb!$B$2,,,Arb!$AJ$5,),B152),INDEX(OFFSET(Arb!$A$2,,,Arb!$AJ$5,),B152))+ROW()*0.001)</f>
        <v>43774.152000000002</v>
      </c>
      <c r="K152" s="11">
        <v>151</v>
      </c>
      <c r="L152" s="11">
        <v>2270</v>
      </c>
      <c r="M152" s="433">
        <f ca="1">IF(L152="",64,INDEX(OFFSET(Arb!$I$2,,,Arb!$AJ$5,),L152))</f>
        <v>63</v>
      </c>
      <c r="N152" s="34">
        <f ca="1">IF(L152="",60,INDEX(OFFSET(Arb!$H$2,,,Arb!$AJ$5,),L152))</f>
        <v>24.32</v>
      </c>
      <c r="O152" s="33">
        <f t="shared" ca="1" si="21"/>
        <v>2.5904605263157894</v>
      </c>
      <c r="P152" s="33">
        <f ca="1">IF(L152="","",INDEX(OFFSET(Arb!$X$2,,,Arb!$AJ$5,),L152)/N152)</f>
        <v>2.9605263157894735</v>
      </c>
      <c r="Q152" s="33">
        <f ca="1">IF(L152="","",(INDEX(OFFSET(Arb!$U$2,,,Arb!$AJ$5,),L152)+INDEX(OFFSET(Arb!$V$2,,,Arb!$AJ$5,),L152))/N152)</f>
        <v>3.2894736842105261</v>
      </c>
      <c r="R152" s="33">
        <f t="shared" ca="1" si="22"/>
        <v>3.6041057102181044</v>
      </c>
      <c r="S152" s="21">
        <f t="shared" ca="1" si="23"/>
        <v>42.654131804224171</v>
      </c>
      <c r="T152" s="74">
        <f ca="1">IF(L152="","",DATE(INDEX(OFFSET(Arb!$C$2,,,Arb!$AJ$5,),L152),INDEX(OFFSET(Arb!$B$2,,,Arb!$AJ$5,),L152),INDEX(OFFSET(Arb!$A$2,,,Arb!$AJ$5,),L152))+ROW()*0.001)</f>
        <v>43934.152000000002</v>
      </c>
      <c r="U152" s="11">
        <v>151</v>
      </c>
      <c r="V152" s="11">
        <v>3323</v>
      </c>
      <c r="W152" s="433">
        <f ca="1">IF(V152="",164,INDEX(OFFSET(Arb!$I$2,,,Arb!$AJ$5,),V152))</f>
        <v>175</v>
      </c>
      <c r="X152" s="34">
        <f ca="1">IF(V152="",240,INDEX(OFFSET(Arb!$H$2,,,Arb!$AJ$5,),V152))</f>
        <v>71.459999999999994</v>
      </c>
      <c r="Y152" s="33">
        <f t="shared" ca="1" si="24"/>
        <v>2.4489224741113911</v>
      </c>
      <c r="Z152" s="33">
        <f ca="1">IF(V152="","",INDEX(OFFSET(Arb!$X$2,,,Arb!$AJ$5,),V152)/X152)</f>
        <v>2.8967254408060454</v>
      </c>
      <c r="AA152" s="33">
        <f ca="1">IF(V152="","",(INDEX(OFFSET(Arb!$U$2,,,Arb!$AJ$5,),V152)+INDEX(OFFSET(Arb!$V$2,,,Arb!$AJ$5,),V152))/X152)</f>
        <v>3.2185838231178283</v>
      </c>
      <c r="AB152" s="33">
        <f t="shared" ca="1" si="25"/>
        <v>8.1071661099393246</v>
      </c>
      <c r="AC152" s="21">
        <f t="shared" ca="1" si="26"/>
        <v>53.656357116784868</v>
      </c>
      <c r="AD152" s="74">
        <f ca="1">IF(V152="","",DATE(INDEX(OFFSET(Arb!$C$2,,,Arb!$AJ$5,),V152),INDEX(OFFSET(Arb!$B$2,,,Arb!$AJ$5,),V152),INDEX(OFFSET(Arb!$A$2,,,Arb!$AJ$5,),V152))+ROW()*0.001)</f>
        <v>44095.152000000002</v>
      </c>
    </row>
    <row r="153" spans="1:30" x14ac:dyDescent="0.25">
      <c r="A153" s="11">
        <v>152</v>
      </c>
      <c r="B153" s="11">
        <v>1461</v>
      </c>
      <c r="C153" s="433">
        <f ca="1">IF(B153="",16,INDEX(OFFSET(Arb!$I$2,,,Arb!$AJ$5,),B153))</f>
        <v>14</v>
      </c>
      <c r="D153" s="34">
        <f ca="1">IF(B153="",10,INDEX(OFFSET(Arb!$H$2,,,Arb!$AJ$5,),B153))</f>
        <v>4.3099999999999996</v>
      </c>
      <c r="E153" s="33">
        <f t="shared" ca="1" si="18"/>
        <v>3.2482598607888633</v>
      </c>
      <c r="F153" s="33">
        <f ca="1">IF(B153="","",INDEX(OFFSET(Arb!$X$2,,,Arb!$AJ$5,),B153)/D153)</f>
        <v>4.4083526682134577</v>
      </c>
      <c r="G153" s="33">
        <f ca="1">IF(B153="","",(INDEX(OFFSET(Arb!$U$2,,,Arb!$AJ$5,),B153)+INDEX(OFFSET(Arb!$V$2,,,Arb!$AJ$5,),B153))/D153)</f>
        <v>4.6403712296983759</v>
      </c>
      <c r="H153" s="33">
        <f t="shared" ca="1" si="19"/>
        <v>0.85601884095716563</v>
      </c>
      <c r="I153" s="21">
        <f t="shared" ca="1" si="20"/>
        <v>55.254624941563399</v>
      </c>
      <c r="J153" s="74">
        <f ca="1">IF(B153="","",DATE(INDEX(OFFSET(Arb!$C$2,,,Arb!$AJ$5,),B153),INDEX(OFFSET(Arb!$B$2,,,Arb!$AJ$5,),B153),INDEX(OFFSET(Arb!$A$2,,,Arb!$AJ$5,),B153))+ROW()*0.001)</f>
        <v>43952.152999999998</v>
      </c>
      <c r="K153" s="11">
        <v>152</v>
      </c>
      <c r="L153" s="11">
        <v>2354</v>
      </c>
      <c r="M153" s="433">
        <f ca="1">IF(L153="",64,INDEX(OFFSET(Arb!$I$2,,,Arb!$AJ$5,),L153))</f>
        <v>81</v>
      </c>
      <c r="N153" s="34">
        <f ca="1">IF(L153="",60,INDEX(OFFSET(Arb!$H$2,,,Arb!$AJ$5,),L153))</f>
        <v>28.2</v>
      </c>
      <c r="O153" s="33">
        <f t="shared" ca="1" si="21"/>
        <v>2.8723404255319149</v>
      </c>
      <c r="P153" s="33">
        <f ca="1">IF(L153="","",INDEX(OFFSET(Arb!$X$2,,,Arb!$AJ$5,),L153)/N153)</f>
        <v>2.9432624113475176</v>
      </c>
      <c r="Q153" s="33">
        <f ca="1">IF(L153="","",(INDEX(OFFSET(Arb!$U$2,,,Arb!$AJ$5,),L153)+INDEX(OFFSET(Arb!$V$2,,,Arb!$AJ$5,),L153))/N153)</f>
        <v>3.5460992907801421</v>
      </c>
      <c r="R153" s="33">
        <f t="shared" ca="1" si="22"/>
        <v>3.6052755662611169</v>
      </c>
      <c r="S153" s="21">
        <f t="shared" ca="1" si="23"/>
        <v>42.640291199550958</v>
      </c>
      <c r="T153" s="74">
        <f ca="1">IF(L153="","",DATE(INDEX(OFFSET(Arb!$C$2,,,Arb!$AJ$5,),L153),INDEX(OFFSET(Arb!$B$2,,,Arb!$AJ$5,),L153),INDEX(OFFSET(Arb!$A$2,,,Arb!$AJ$5,),L153))+ROW()*0.001)</f>
        <v>44114.152999999998</v>
      </c>
      <c r="U153" s="11">
        <v>152</v>
      </c>
      <c r="V153" s="11">
        <v>2875</v>
      </c>
      <c r="W153" s="433">
        <f ca="1">IF(V153="",164,INDEX(OFFSET(Arb!$I$2,,,Arb!$AJ$5,),V153))</f>
        <v>176</v>
      </c>
      <c r="X153" s="34">
        <f ca="1">IF(V153="",240,INDEX(OFFSET(Arb!$H$2,,,Arb!$AJ$5,),V153))</f>
        <v>71.72</v>
      </c>
      <c r="Y153" s="33">
        <f t="shared" ca="1" si="24"/>
        <v>2.4539877300613497</v>
      </c>
      <c r="Z153" s="33">
        <f ca="1">IF(V153="","",INDEX(OFFSET(Arb!$X$2,,,Arb!$AJ$5,),V153)/X153)</f>
        <v>2.830451756832125</v>
      </c>
      <c r="AA153" s="33">
        <f ca="1">IF(V153="","",(INDEX(OFFSET(Arb!$U$2,,,Arb!$AJ$5,),V153)+INDEX(OFFSET(Arb!$V$2,,,Arb!$AJ$5,),V153))/X153)</f>
        <v>3.0117122141662018</v>
      </c>
      <c r="AB153" s="33">
        <f t="shared" ca="1" si="25"/>
        <v>8.1110263017966773</v>
      </c>
      <c r="AC153" s="21">
        <f t="shared" ca="1" si="26"/>
        <v>53.630821034773703</v>
      </c>
      <c r="AD153" s="74">
        <f ca="1">IF(V153="","",DATE(INDEX(OFFSET(Arb!$C$2,,,Arb!$AJ$5,),V153),INDEX(OFFSET(Arb!$B$2,,,Arb!$AJ$5,),V153),INDEX(OFFSET(Arb!$A$2,,,Arb!$AJ$5,),V153))+ROW()*0.001)</f>
        <v>43916.152999999998</v>
      </c>
    </row>
    <row r="154" spans="1:30" x14ac:dyDescent="0.25">
      <c r="A154" s="11">
        <v>153</v>
      </c>
      <c r="B154" s="11">
        <v>1372</v>
      </c>
      <c r="C154" s="433">
        <f ca="1">IF(B154="",16,INDEX(OFFSET(Arb!$I$2,,,Arb!$AJ$5,),B154))</f>
        <v>14</v>
      </c>
      <c r="D154" s="34">
        <f ca="1">IF(B154="",10,INDEX(OFFSET(Arb!$H$2,,,Arb!$AJ$5,),B154))</f>
        <v>4.3099999999999996</v>
      </c>
      <c r="E154" s="33">
        <f t="shared" ca="1" si="18"/>
        <v>3.2482598607888633</v>
      </c>
      <c r="F154" s="33">
        <f ca="1">IF(B154="","",INDEX(OFFSET(Arb!$X$2,,,Arb!$AJ$5,),B154)/D154)</f>
        <v>3.712296983758701</v>
      </c>
      <c r="G154" s="33">
        <f ca="1">IF(B154="","",(INDEX(OFFSET(Arb!$U$2,,,Arb!$AJ$5,),B154)+INDEX(OFFSET(Arb!$V$2,,,Arb!$AJ$5,),B154))/D154)</f>
        <v>4.1763341067285387</v>
      </c>
      <c r="H154" s="33">
        <f t="shared" ca="1" si="19"/>
        <v>0.85601884095716563</v>
      </c>
      <c r="I154" s="21">
        <f t="shared" ca="1" si="20"/>
        <v>55.254624941563399</v>
      </c>
      <c r="J154" s="74">
        <f ca="1">IF(B154="","",DATE(INDEX(OFFSET(Arb!$C$2,,,Arb!$AJ$5,),B154),INDEX(OFFSET(Arb!$B$2,,,Arb!$AJ$5,),B154),INDEX(OFFSET(Arb!$A$2,,,Arb!$AJ$5,),B154))+ROW()*0.001)</f>
        <v>43935.154000000002</v>
      </c>
      <c r="K154" s="11">
        <v>153</v>
      </c>
      <c r="L154" s="11">
        <v>2066</v>
      </c>
      <c r="M154" s="433">
        <f ca="1">IF(L154="",64,INDEX(OFFSET(Arb!$I$2,,,Arb!$AJ$5,),L154))</f>
        <v>61</v>
      </c>
      <c r="N154" s="34">
        <f ca="1">IF(L154="",60,INDEX(OFFSET(Arb!$H$2,,,Arb!$AJ$5,),L154))</f>
        <v>23.87</v>
      </c>
      <c r="O154" s="33">
        <f t="shared" ca="1" si="21"/>
        <v>2.5555090071219104</v>
      </c>
      <c r="P154" s="33">
        <f ca="1">IF(L154="","",INDEX(OFFSET(Arb!$X$2,,,Arb!$AJ$5,),L154)/N154)</f>
        <v>3.26770004189359</v>
      </c>
      <c r="Q154" s="33">
        <f ca="1">IF(L154="","",(INDEX(OFFSET(Arb!$U$2,,,Arb!$AJ$5,),L154)+INDEX(OFFSET(Arb!$V$2,,,Arb!$AJ$5,),L154))/N154)</f>
        <v>3.6028487641390865</v>
      </c>
      <c r="R154" s="33">
        <f t="shared" ca="1" si="22"/>
        <v>3.6059464860654811</v>
      </c>
      <c r="S154" s="21">
        <f t="shared" ca="1" si="23"/>
        <v>42.632357577701548</v>
      </c>
      <c r="T154" s="74">
        <f ca="1">IF(L154="","",DATE(INDEX(OFFSET(Arb!$C$2,,,Arb!$AJ$5,),L154),INDEX(OFFSET(Arb!$B$2,,,Arb!$AJ$5,),L154),INDEX(OFFSET(Arb!$A$2,,,Arb!$AJ$5,),L154))+ROW()*0.001)</f>
        <v>43800.154000000002</v>
      </c>
      <c r="U154" s="11">
        <v>153</v>
      </c>
      <c r="V154" s="11">
        <v>3222</v>
      </c>
      <c r="W154" s="433">
        <f ca="1">IF(V154="",164,INDEX(OFFSET(Arb!$I$2,,,Arb!$AJ$5,),V154))</f>
        <v>166</v>
      </c>
      <c r="X154" s="34">
        <f ca="1">IF(V154="",240,INDEX(OFFSET(Arb!$H$2,,,Arb!$AJ$5,),V154))</f>
        <v>69.31</v>
      </c>
      <c r="Y154" s="33">
        <f t="shared" ca="1" si="24"/>
        <v>2.3950367912278168</v>
      </c>
      <c r="Z154" s="33">
        <f ca="1">IF(V154="","",INDEX(OFFSET(Arb!$X$2,,,Arb!$AJ$5,),V154)/X154)</f>
        <v>2.9288702928870292</v>
      </c>
      <c r="AA154" s="33">
        <f ca="1">IF(V154="","",(INDEX(OFFSET(Arb!$U$2,,,Arb!$AJ$5,),V154)+INDEX(OFFSET(Arb!$V$2,,,Arb!$AJ$5,),V154))/X154)</f>
        <v>3.3472803347280333</v>
      </c>
      <c r="AB154" s="33">
        <f t="shared" ca="1" si="25"/>
        <v>8.1141856499571343</v>
      </c>
      <c r="AC154" s="21">
        <f t="shared" ca="1" si="26"/>
        <v>53.609939279895329</v>
      </c>
      <c r="AD154" s="74">
        <f ca="1">IF(V154="","",DATE(INDEX(OFFSET(Arb!$C$2,,,Arb!$AJ$5,),V154),INDEX(OFFSET(Arb!$B$2,,,Arb!$AJ$5,),V154),INDEX(OFFSET(Arb!$A$2,,,Arb!$AJ$5,),V154))+ROW()*0.001)</f>
        <v>44060.154000000002</v>
      </c>
    </row>
    <row r="155" spans="1:30" x14ac:dyDescent="0.25">
      <c r="A155" s="11">
        <v>154</v>
      </c>
      <c r="B155" s="11">
        <v>1118</v>
      </c>
      <c r="C155" s="433">
        <f ca="1">IF(B155="",16,INDEX(OFFSET(Arb!$I$2,,,Arb!$AJ$5,),B155))</f>
        <v>14</v>
      </c>
      <c r="D155" s="34">
        <f ca="1">IF(B155="",10,INDEX(OFFSET(Arb!$H$2,,,Arb!$AJ$5,),B155))</f>
        <v>4.3099999999999996</v>
      </c>
      <c r="E155" s="33">
        <f t="shared" ca="1" si="18"/>
        <v>3.2482598607888633</v>
      </c>
      <c r="F155" s="33">
        <f ca="1">IF(B155="","",INDEX(OFFSET(Arb!$X$2,,,Arb!$AJ$5,),B155)/D155)</f>
        <v>4.6403712296983759</v>
      </c>
      <c r="G155" s="33">
        <f ca="1">IF(B155="","",(INDEX(OFFSET(Arb!$U$2,,,Arb!$AJ$5,),B155)+INDEX(OFFSET(Arb!$V$2,,,Arb!$AJ$5,),B155))/D155)</f>
        <v>5.104408352668214</v>
      </c>
      <c r="H155" s="33">
        <f t="shared" ca="1" si="19"/>
        <v>0.85601884095716563</v>
      </c>
      <c r="I155" s="21">
        <f t="shared" ca="1" si="20"/>
        <v>55.254624941563399</v>
      </c>
      <c r="J155" s="74">
        <f ca="1">IF(B155="","",DATE(INDEX(OFFSET(Arb!$C$2,,,Arb!$AJ$5,),B155),INDEX(OFFSET(Arb!$B$2,,,Arb!$AJ$5,),B155),INDEX(OFFSET(Arb!$A$2,,,Arb!$AJ$5,),B155))+ROW()*0.001)</f>
        <v>43846.154999999999</v>
      </c>
      <c r="K155" s="11">
        <v>154</v>
      </c>
      <c r="L155" s="11">
        <v>2161</v>
      </c>
      <c r="M155" s="433">
        <f ca="1">IF(L155="",64,INDEX(OFFSET(Arb!$I$2,,,Arb!$AJ$5,),L155))</f>
        <v>51</v>
      </c>
      <c r="N155" s="34">
        <f ca="1">IF(L155="",60,INDEX(OFFSET(Arb!$H$2,,,Arb!$AJ$5,),L155))</f>
        <v>21.49</v>
      </c>
      <c r="O155" s="33">
        <f t="shared" ca="1" si="21"/>
        <v>2.3731968357375526</v>
      </c>
      <c r="P155" s="33">
        <f ca="1">IF(L155="","",INDEX(OFFSET(Arb!$X$2,,,Arb!$AJ$5,),L155)/N155)</f>
        <v>3.024662633783155</v>
      </c>
      <c r="Q155" s="33">
        <f ca="1">IF(L155="","",(INDEX(OFFSET(Arb!$U$2,,,Arb!$AJ$5,),L155)+INDEX(OFFSET(Arb!$V$2,,,Arb!$AJ$5,),L155))/N155)</f>
        <v>3.3969288040949279</v>
      </c>
      <c r="R155" s="33">
        <f t="shared" ca="1" si="22"/>
        <v>3.6077109140435368</v>
      </c>
      <c r="S155" s="21">
        <f t="shared" ca="1" si="23"/>
        <v>42.611507313843724</v>
      </c>
      <c r="T155" s="74">
        <f ca="1">IF(L155="","",DATE(INDEX(OFFSET(Arb!$C$2,,,Arb!$AJ$5,),L155),INDEX(OFFSET(Arb!$B$2,,,Arb!$AJ$5,),L155),INDEX(OFFSET(Arb!$A$2,,,Arb!$AJ$5,),L155))+ROW()*0.001)</f>
        <v>43823.154999999999</v>
      </c>
      <c r="U155" s="11">
        <v>154</v>
      </c>
      <c r="V155" s="11">
        <v>2944</v>
      </c>
      <c r="W155" s="433">
        <f ca="1">IF(V155="",164,INDEX(OFFSET(Arb!$I$2,,,Arb!$AJ$5,),V155))</f>
        <v>205</v>
      </c>
      <c r="X155" s="34">
        <f ca="1">IF(V155="",240,INDEX(OFFSET(Arb!$H$2,,,Arb!$AJ$5,),V155))</f>
        <v>78.489999999999995</v>
      </c>
      <c r="Y155" s="33">
        <f t="shared" ca="1" si="24"/>
        <v>2.6117976812332784</v>
      </c>
      <c r="Z155" s="33">
        <f ca="1">IF(V155="","",INDEX(OFFSET(Arb!$X$2,,,Arb!$AJ$5,),V155)/X155)</f>
        <v>2.9685310230602626</v>
      </c>
      <c r="AA155" s="33">
        <f ca="1">IF(V155="","",(INDEX(OFFSET(Arb!$U$2,,,Arb!$AJ$5,),V155)+INDEX(OFFSET(Arb!$V$2,,,Arb!$AJ$5,),V155))/X155)</f>
        <v>3.1978595999490382</v>
      </c>
      <c r="AB155" s="33">
        <f t="shared" ca="1" si="25"/>
        <v>8.1176532899028278</v>
      </c>
      <c r="AC155" s="21">
        <f t="shared" ca="1" si="26"/>
        <v>53.587038576909599</v>
      </c>
      <c r="AD155" s="74">
        <f ca="1">IF(V155="","",DATE(INDEX(OFFSET(Arb!$C$2,,,Arb!$AJ$5,),V155),INDEX(OFFSET(Arb!$B$2,,,Arb!$AJ$5,),V155),INDEX(OFFSET(Arb!$A$2,,,Arb!$AJ$5,),V155))+ROW()*0.001)</f>
        <v>43945.154999999999</v>
      </c>
    </row>
    <row r="156" spans="1:30" x14ac:dyDescent="0.25">
      <c r="A156" s="11">
        <v>155</v>
      </c>
      <c r="B156" s="11">
        <v>1351</v>
      </c>
      <c r="C156" s="433">
        <f ca="1">IF(B156="",16,INDEX(OFFSET(Arb!$I$2,,,Arb!$AJ$5,),B156))</f>
        <v>15</v>
      </c>
      <c r="D156" s="34">
        <f ca="1">IF(B156="",10,INDEX(OFFSET(Arb!$H$2,,,Arb!$AJ$5,),B156))</f>
        <v>4.49</v>
      </c>
      <c r="E156" s="33">
        <f t="shared" ca="1" si="18"/>
        <v>3.3407572383073494</v>
      </c>
      <c r="F156" s="33">
        <f ca="1">IF(B156="","",INDEX(OFFSET(Arb!$X$2,,,Arb!$AJ$5,),B156)/D156)</f>
        <v>4.0089086859688194</v>
      </c>
      <c r="G156" s="33">
        <f ca="1">IF(B156="","",(INDEX(OFFSET(Arb!$U$2,,,Arb!$AJ$5,),B156)+INDEX(OFFSET(Arb!$V$2,,,Arb!$AJ$5,),B156))/D156)</f>
        <v>4.6770601336302891</v>
      </c>
      <c r="H156" s="33">
        <f t="shared" ca="1" si="19"/>
        <v>0.8565003024283443</v>
      </c>
      <c r="I156" s="21">
        <f t="shared" ca="1" si="20"/>
        <v>55.223564855608537</v>
      </c>
      <c r="J156" s="74">
        <f ca="1">IF(B156="","",DATE(INDEX(OFFSET(Arb!$C$2,,,Arb!$AJ$5,),B156),INDEX(OFFSET(Arb!$B$2,,,Arb!$AJ$5,),B156),INDEX(OFFSET(Arb!$A$2,,,Arb!$AJ$5,),B156))+ROW()*0.001)</f>
        <v>43935.156000000003</v>
      </c>
      <c r="K156" s="11">
        <v>155</v>
      </c>
      <c r="L156" s="11">
        <v>1912</v>
      </c>
      <c r="M156" s="433">
        <f ca="1">IF(L156="",64,INDEX(OFFSET(Arb!$I$2,,,Arb!$AJ$5,),L156))</f>
        <v>44</v>
      </c>
      <c r="N156" s="34">
        <f ca="1">IF(L156="",60,INDEX(OFFSET(Arb!$H$2,,,Arb!$AJ$5,),L156))</f>
        <v>19.739999999999998</v>
      </c>
      <c r="O156" s="33">
        <f t="shared" ca="1" si="21"/>
        <v>2.2289766970618037</v>
      </c>
      <c r="P156" s="33">
        <f ca="1">IF(L156="","",INDEX(OFFSET(Arb!$X$2,,,Arb!$AJ$5,),L156)/N156)</f>
        <v>3.191489361702128</v>
      </c>
      <c r="Q156" s="33">
        <f ca="1">IF(L156="","",(INDEX(OFFSET(Arb!$U$2,,,Arb!$AJ$5,),L156)+INDEX(OFFSET(Arb!$V$2,,,Arb!$AJ$5,),L156))/N156)</f>
        <v>3.5967578520770012</v>
      </c>
      <c r="R156" s="33">
        <f t="shared" ca="1" si="22"/>
        <v>3.619407447454654</v>
      </c>
      <c r="S156" s="21">
        <f t="shared" ca="1" si="23"/>
        <v>42.473803303938745</v>
      </c>
      <c r="T156" s="74">
        <f ca="1">IF(L156="","",DATE(INDEX(OFFSET(Arb!$C$2,,,Arb!$AJ$5,),L156),INDEX(OFFSET(Arb!$B$2,,,Arb!$AJ$5,),L156),INDEX(OFFSET(Arb!$A$2,,,Arb!$AJ$5,),L156))+ROW()*0.001)</f>
        <v>43767.156000000003</v>
      </c>
      <c r="U156" s="11">
        <v>155</v>
      </c>
      <c r="V156" s="11">
        <v>3226</v>
      </c>
      <c r="W156" s="433">
        <f ca="1">IF(V156="",164,INDEX(OFFSET(Arb!$I$2,,,Arb!$AJ$5,),V156))</f>
        <v>162</v>
      </c>
      <c r="X156" s="34">
        <f ca="1">IF(V156="",240,INDEX(OFFSET(Arb!$H$2,,,Arb!$AJ$5,),V156))</f>
        <v>68.34</v>
      </c>
      <c r="Y156" s="33">
        <f t="shared" ca="1" si="24"/>
        <v>2.3705004389815625</v>
      </c>
      <c r="Z156" s="33">
        <f ca="1">IF(V156="","",INDEX(OFFSET(Arb!$X$2,,,Arb!$AJ$5,),V156)/X156)</f>
        <v>2.9411764705882351</v>
      </c>
      <c r="AA156" s="33">
        <f ca="1">IF(V156="","",(INDEX(OFFSET(Arb!$U$2,,,Arb!$AJ$5,),V156)+INDEX(OFFSET(Arb!$V$2,,,Arb!$AJ$5,),V156))/X156)</f>
        <v>3.2484635645302897</v>
      </c>
      <c r="AB156" s="33">
        <f t="shared" ca="1" si="25"/>
        <v>8.1176896200409185</v>
      </c>
      <c r="AC156" s="21">
        <f t="shared" ca="1" si="26"/>
        <v>53.586798751959094</v>
      </c>
      <c r="AD156" s="74">
        <f ca="1">IF(V156="","",DATE(INDEX(OFFSET(Arb!$C$2,,,Arb!$AJ$5,),V156),INDEX(OFFSET(Arb!$B$2,,,Arb!$AJ$5,),V156),INDEX(OFFSET(Arb!$A$2,,,Arb!$AJ$5,),V156))+ROW()*0.001)</f>
        <v>44061.156000000003</v>
      </c>
    </row>
    <row r="157" spans="1:30" x14ac:dyDescent="0.25">
      <c r="A157" s="11">
        <v>156</v>
      </c>
      <c r="B157" s="11">
        <v>655</v>
      </c>
      <c r="C157" s="433">
        <f ca="1">IF(B157="",16,INDEX(OFFSET(Arb!$I$2,,,Arb!$AJ$5,),B157))</f>
        <v>17</v>
      </c>
      <c r="D157" s="34">
        <f ca="1">IF(B157="",10,INDEX(OFFSET(Arb!$H$2,,,Arb!$AJ$5,),B157))</f>
        <v>4.84</v>
      </c>
      <c r="E157" s="33">
        <f t="shared" ca="1" si="18"/>
        <v>3.5123966942148761</v>
      </c>
      <c r="F157" s="33">
        <f ca="1">IF(B157="","",INDEX(OFFSET(Arb!$X$2,,,Arb!$AJ$5,),B157)/D157)</f>
        <v>3.9256198347107438</v>
      </c>
      <c r="G157" s="33">
        <f ca="1">IF(B157="","",(INDEX(OFFSET(Arb!$U$2,,,Arb!$AJ$5,),B157)+INDEX(OFFSET(Arb!$V$2,,,Arb!$AJ$5,),B157))/D157)</f>
        <v>4.338842975206612</v>
      </c>
      <c r="H157" s="33">
        <f t="shared" ca="1" si="19"/>
        <v>0.85859468045197751</v>
      </c>
      <c r="I157" s="21">
        <f t="shared" ca="1" si="20"/>
        <v>55.088857498046778</v>
      </c>
      <c r="J157" s="74">
        <f ca="1">IF(B157="","",DATE(INDEX(OFFSET(Arb!$C$2,,,Arb!$AJ$5,),B157),INDEX(OFFSET(Arb!$B$2,,,Arb!$AJ$5,),B157),INDEX(OFFSET(Arb!$A$2,,,Arb!$AJ$5,),B157))+ROW()*0.001)</f>
        <v>43800.156999999999</v>
      </c>
      <c r="K157" s="11">
        <v>156</v>
      </c>
      <c r="L157" s="11">
        <v>1962</v>
      </c>
      <c r="M157" s="433">
        <f ca="1">IF(L157="",64,INDEX(OFFSET(Arb!$I$2,,,Arb!$AJ$5,),L157))</f>
        <v>97</v>
      </c>
      <c r="N157" s="34">
        <f ca="1">IF(L157="",60,INDEX(OFFSET(Arb!$H$2,,,Arb!$AJ$5,),L157))</f>
        <v>31.46</v>
      </c>
      <c r="O157" s="33">
        <f t="shared" ca="1" si="21"/>
        <v>3.0832803560076285</v>
      </c>
      <c r="P157" s="33">
        <f ca="1">IF(L157="","",INDEX(OFFSET(Arb!$X$2,,,Arb!$AJ$5,),L157)/N157)</f>
        <v>3.4965034965034962</v>
      </c>
      <c r="Q157" s="33">
        <f ca="1">IF(L157="","",(INDEX(OFFSET(Arb!$U$2,,,Arb!$AJ$5,),L157)+INDEX(OFFSET(Arb!$V$2,,,Arb!$AJ$5,),L157))/N157)</f>
        <v>3.909726636999364</v>
      </c>
      <c r="R157" s="33">
        <f t="shared" ca="1" si="22"/>
        <v>3.6259189059070001</v>
      </c>
      <c r="S157" s="21">
        <f t="shared" ca="1" si="23"/>
        <v>42.397528458112447</v>
      </c>
      <c r="T157" s="74">
        <f ca="1">IF(L157="","",DATE(INDEX(OFFSET(Arb!$C$2,,,Arb!$AJ$5,),L157),INDEX(OFFSET(Arb!$B$2,,,Arb!$AJ$5,),L157),INDEX(OFFSET(Arb!$A$2,,,Arb!$AJ$5,),L157))+ROW()*0.001)</f>
        <v>43779.156999999999</v>
      </c>
      <c r="U157" s="11">
        <v>156</v>
      </c>
      <c r="V157" s="11">
        <v>3445</v>
      </c>
      <c r="W157" s="433">
        <f ca="1">IF(V157="",164,INDEX(OFFSET(Arb!$I$2,,,Arb!$AJ$5,),V157))</f>
        <v>165</v>
      </c>
      <c r="X157" s="34">
        <f ca="1">IF(V157="",240,INDEX(OFFSET(Arb!$H$2,,,Arb!$AJ$5,),V157))</f>
        <v>69.09</v>
      </c>
      <c r="Y157" s="33">
        <f t="shared" ca="1" si="24"/>
        <v>2.3881893182805034</v>
      </c>
      <c r="Z157" s="33">
        <f ca="1">IF(V157="","",INDEX(OFFSET(Arb!$X$2,,,Arb!$AJ$5,),V157)/X157)</f>
        <v>2.735562310030395</v>
      </c>
      <c r="AA157" s="33">
        <f ca="1">IF(V157="","",(INDEX(OFFSET(Arb!$U$2,,,Arb!$AJ$5,),V157)+INDEX(OFFSET(Arb!$V$2,,,Arb!$AJ$5,),V157))/X157)</f>
        <v>3.1697785497177593</v>
      </c>
      <c r="AB157" s="33">
        <f t="shared" ca="1" si="25"/>
        <v>8.1193615996545407</v>
      </c>
      <c r="AC157" s="21">
        <f t="shared" ca="1" si="26"/>
        <v>53.575763889923095</v>
      </c>
      <c r="AD157" s="74">
        <f ca="1">IF(V157="","",DATE(INDEX(OFFSET(Arb!$C$2,,,Arb!$AJ$5,),V157),INDEX(OFFSET(Arb!$B$2,,,Arb!$AJ$5,),V157),INDEX(OFFSET(Arb!$A$2,,,Arb!$AJ$5,),V157))+ROW()*0.001)</f>
        <v>44177.156999999999</v>
      </c>
    </row>
    <row r="158" spans="1:30" x14ac:dyDescent="0.25">
      <c r="A158" s="11">
        <v>157</v>
      </c>
      <c r="B158" s="11">
        <v>383</v>
      </c>
      <c r="C158" s="433">
        <f ca="1">IF(B158="",16,INDEX(OFFSET(Arb!$I$2,,,Arb!$AJ$5,),B158))</f>
        <v>17</v>
      </c>
      <c r="D158" s="34">
        <f ca="1">IF(B158="",10,INDEX(OFFSET(Arb!$H$2,,,Arb!$AJ$5,),B158))</f>
        <v>4.84</v>
      </c>
      <c r="E158" s="33">
        <f t="shared" ca="1" si="18"/>
        <v>3.5123966942148761</v>
      </c>
      <c r="F158" s="33">
        <f ca="1">IF(B158="","",INDEX(OFFSET(Arb!$X$2,,,Arb!$AJ$5,),B158)/D158)</f>
        <v>4.1322314049586781</v>
      </c>
      <c r="G158" s="33">
        <f ca="1">IF(B158="","",(INDEX(OFFSET(Arb!$U$2,,,Arb!$AJ$5,),B158)+INDEX(OFFSET(Arb!$V$2,,,Arb!$AJ$5,),B158))/D158)</f>
        <v>4.338842975206612</v>
      </c>
      <c r="H158" s="33">
        <f t="shared" ca="1" si="19"/>
        <v>0.85859468045197751</v>
      </c>
      <c r="I158" s="21">
        <f t="shared" ca="1" si="20"/>
        <v>55.088857498046778</v>
      </c>
      <c r="J158" s="74">
        <f ca="1">IF(B158="","",DATE(INDEX(OFFSET(Arb!$C$2,,,Arb!$AJ$5,),B158),INDEX(OFFSET(Arb!$B$2,,,Arb!$AJ$5,),B158),INDEX(OFFSET(Arb!$A$2,,,Arb!$AJ$5,),B158))+ROW()*0.001)</f>
        <v>43781.158000000003</v>
      </c>
      <c r="K158" s="11">
        <v>157</v>
      </c>
      <c r="L158" s="11">
        <v>2369</v>
      </c>
      <c r="M158" s="433">
        <f ca="1">IF(L158="",64,INDEX(OFFSET(Arb!$I$2,,,Arb!$AJ$5,),L158))</f>
        <v>59</v>
      </c>
      <c r="N158" s="34">
        <f ca="1">IF(L158="",60,INDEX(OFFSET(Arb!$H$2,,,Arb!$AJ$5,),L158))</f>
        <v>23.52</v>
      </c>
      <c r="O158" s="33">
        <f t="shared" ca="1" si="21"/>
        <v>2.5085034013605441</v>
      </c>
      <c r="P158" s="33">
        <f ca="1">IF(L158="","",INDEX(OFFSET(Arb!$X$2,,,Arb!$AJ$5,),L158)/N158)</f>
        <v>2.9336734693877551</v>
      </c>
      <c r="Q158" s="33">
        <f ca="1">IF(L158="","",(INDEX(OFFSET(Arb!$U$2,,,Arb!$AJ$5,),L158)+INDEX(OFFSET(Arb!$V$2,,,Arb!$AJ$5,),L158))/N158)</f>
        <v>3.4863945578231292</v>
      </c>
      <c r="R158" s="33">
        <f t="shared" ca="1" si="22"/>
        <v>3.6357283606996469</v>
      </c>
      <c r="S158" s="21">
        <f t="shared" ca="1" si="23"/>
        <v>42.283136898163846</v>
      </c>
      <c r="T158" s="74">
        <f ca="1">IF(L158="","",DATE(INDEX(OFFSET(Arb!$C$2,,,Arb!$AJ$5,),L158),INDEX(OFFSET(Arb!$B$2,,,Arb!$AJ$5,),L158),INDEX(OFFSET(Arb!$A$2,,,Arb!$AJ$5,),L158))+ROW()*0.001)</f>
        <v>44114.158000000003</v>
      </c>
      <c r="U158" s="11">
        <v>157</v>
      </c>
      <c r="V158" s="11">
        <v>2842</v>
      </c>
      <c r="W158" s="433">
        <f ca="1">IF(V158="",164,INDEX(OFFSET(Arb!$I$2,,,Arb!$AJ$5,),V158))</f>
        <v>154</v>
      </c>
      <c r="X158" s="34">
        <f ca="1">IF(V158="",240,INDEX(OFFSET(Arb!$H$2,,,Arb!$AJ$5,),V158))</f>
        <v>66.37</v>
      </c>
      <c r="Y158" s="33">
        <f t="shared" ca="1" si="24"/>
        <v>2.3203254482446889</v>
      </c>
      <c r="Z158" s="33">
        <f ca="1">IF(V158="","",INDEX(OFFSET(Arb!$X$2,,,Arb!$AJ$5,),V158)/X158)</f>
        <v>2.6668675606448695</v>
      </c>
      <c r="AA158" s="33">
        <f ca="1">IF(V158="","",(INDEX(OFFSET(Arb!$U$2,,,Arb!$AJ$5,),V158)+INDEX(OFFSET(Arb!$V$2,,,Arb!$AJ$5,),V158))/X158)</f>
        <v>2.8928732861232485</v>
      </c>
      <c r="AB158" s="33">
        <f t="shared" ca="1" si="25"/>
        <v>8.125149660131779</v>
      </c>
      <c r="AC158" s="21">
        <f t="shared" ca="1" si="26"/>
        <v>53.537598468425607</v>
      </c>
      <c r="AD158" s="74">
        <f ca="1">IF(V158="","",DATE(INDEX(OFFSET(Arb!$C$2,,,Arb!$AJ$5,),V158),INDEX(OFFSET(Arb!$B$2,,,Arb!$AJ$5,),V158),INDEX(OFFSET(Arb!$A$2,,,Arb!$AJ$5,),V158))+ROW()*0.001)</f>
        <v>43904.158000000003</v>
      </c>
    </row>
    <row r="159" spans="1:30" x14ac:dyDescent="0.25">
      <c r="A159" s="11">
        <v>158</v>
      </c>
      <c r="B159" s="11">
        <v>670</v>
      </c>
      <c r="C159" s="433">
        <f ca="1">IF(B159="",16,INDEX(OFFSET(Arb!$I$2,,,Arb!$AJ$5,),B159))</f>
        <v>19</v>
      </c>
      <c r="D159" s="34">
        <f ca="1">IF(B159="",10,INDEX(OFFSET(Arb!$H$2,,,Arb!$AJ$5,),B159))</f>
        <v>5.17</v>
      </c>
      <c r="E159" s="33">
        <f t="shared" ca="1" si="18"/>
        <v>3.6750483558994196</v>
      </c>
      <c r="F159" s="33">
        <f ca="1">IF(B159="","",INDEX(OFFSET(Arb!$X$2,,,Arb!$AJ$5,),B159)/D159)</f>
        <v>4.2553191489361701</v>
      </c>
      <c r="G159" s="33">
        <f ca="1">IF(B159="","",(INDEX(OFFSET(Arb!$U$2,,,Arb!$AJ$5,),B159)+INDEX(OFFSET(Arb!$V$2,,,Arb!$AJ$5,),B159))/D159)</f>
        <v>4.8355899419729207</v>
      </c>
      <c r="H159" s="33">
        <f t="shared" ca="1" si="19"/>
        <v>0.85937026438013242</v>
      </c>
      <c r="I159" s="21">
        <f t="shared" ca="1" si="20"/>
        <v>55.039139658988525</v>
      </c>
      <c r="J159" s="74">
        <f ca="1">IF(B159="","",DATE(INDEX(OFFSET(Arb!$C$2,,,Arb!$AJ$5,),B159),INDEX(OFFSET(Arb!$B$2,,,Arb!$AJ$5,),B159),INDEX(OFFSET(Arb!$A$2,,,Arb!$AJ$5,),B159))+ROW()*0.001)</f>
        <v>43801.159</v>
      </c>
      <c r="K159" s="11">
        <v>158</v>
      </c>
      <c r="L159" s="11">
        <v>1981</v>
      </c>
      <c r="M159" s="433">
        <f ca="1">IF(L159="",64,INDEX(OFFSET(Arb!$I$2,,,Arb!$AJ$5,),L159))</f>
        <v>81</v>
      </c>
      <c r="N159" s="34">
        <f ca="1">IF(L159="",60,INDEX(OFFSET(Arb!$H$2,,,Arb!$AJ$5,),L159))</f>
        <v>28.37</v>
      </c>
      <c r="O159" s="33">
        <f t="shared" ca="1" si="21"/>
        <v>2.855128657032076</v>
      </c>
      <c r="P159" s="33">
        <f ca="1">IF(L159="","",INDEX(OFFSET(Arb!$X$2,,,Arb!$AJ$5,),L159)/N159)</f>
        <v>3.2428621783574196</v>
      </c>
      <c r="Q159" s="33">
        <f ca="1">IF(L159="","",(INDEX(OFFSET(Arb!$U$2,,,Arb!$AJ$5,),L159)+INDEX(OFFSET(Arb!$V$2,,,Arb!$AJ$5,),L159))/N159)</f>
        <v>3.6305956996827633</v>
      </c>
      <c r="R159" s="33">
        <f t="shared" ca="1" si="22"/>
        <v>3.6423011585682854</v>
      </c>
      <c r="S159" s="21">
        <f t="shared" ca="1" si="23"/>
        <v>42.206833896302008</v>
      </c>
      <c r="T159" s="74">
        <f ca="1">IF(L159="","",DATE(INDEX(OFFSET(Arb!$C$2,,,Arb!$AJ$5,),L159),INDEX(OFFSET(Arb!$B$2,,,Arb!$AJ$5,),L159),INDEX(OFFSET(Arb!$A$2,,,Arb!$AJ$5,),L159))+ROW()*0.001)</f>
        <v>43782.159</v>
      </c>
      <c r="U159" s="11">
        <v>158</v>
      </c>
      <c r="V159" s="11">
        <v>2978</v>
      </c>
      <c r="W159" s="433">
        <f ca="1">IF(V159="",164,INDEX(OFFSET(Arb!$I$2,,,Arb!$AJ$5,),V159))</f>
        <v>146</v>
      </c>
      <c r="X159" s="34">
        <f ca="1">IF(V159="",240,INDEX(OFFSET(Arb!$H$2,,,Arb!$AJ$5,),V159))</f>
        <v>64.33</v>
      </c>
      <c r="Y159" s="33">
        <f t="shared" ca="1" si="24"/>
        <v>2.2695476449556971</v>
      </c>
      <c r="Z159" s="33">
        <f ca="1">IF(V159="","",INDEX(OFFSET(Arb!$X$2,,,Arb!$AJ$5,),V159)/X159)</f>
        <v>3.0157002953520911</v>
      </c>
      <c r="AA159" s="33">
        <f ca="1">IF(V159="","",(INDEX(OFFSET(Arb!$U$2,,,Arb!$AJ$5,),V159)+INDEX(OFFSET(Arb!$V$2,,,Arb!$AJ$5,),V159))/X159)</f>
        <v>3.3576869267837712</v>
      </c>
      <c r="AB159" s="33">
        <f t="shared" ca="1" si="25"/>
        <v>8.1273728081778565</v>
      </c>
      <c r="AC159" s="21">
        <f t="shared" ca="1" si="26"/>
        <v>53.522953882747565</v>
      </c>
      <c r="AD159" s="74">
        <f ca="1">IF(V159="","",DATE(INDEX(OFFSET(Arb!$C$2,,,Arb!$AJ$5,),V159),INDEX(OFFSET(Arb!$B$2,,,Arb!$AJ$5,),V159),INDEX(OFFSET(Arb!$A$2,,,Arb!$AJ$5,),V159))+ROW()*0.001)</f>
        <v>43955.159</v>
      </c>
    </row>
    <row r="160" spans="1:30" x14ac:dyDescent="0.25">
      <c r="A160" s="11">
        <v>159</v>
      </c>
      <c r="B160" s="11">
        <v>1355</v>
      </c>
      <c r="C160" s="433">
        <f ca="1">IF(B160="",16,INDEX(OFFSET(Arb!$I$2,,,Arb!$AJ$5,),B160))</f>
        <v>20</v>
      </c>
      <c r="D160" s="34">
        <f ca="1">IF(B160="",10,INDEX(OFFSET(Arb!$H$2,,,Arb!$AJ$5,),B160))</f>
        <v>5.33</v>
      </c>
      <c r="E160" s="33">
        <f t="shared" ca="1" si="18"/>
        <v>3.75234521575985</v>
      </c>
      <c r="F160" s="33">
        <f ca="1">IF(B160="","",INDEX(OFFSET(Arb!$X$2,,,Arb!$AJ$5,),B160)/D160)</f>
        <v>4.3151969981238274</v>
      </c>
      <c r="G160" s="33">
        <f ca="1">IF(B160="","",(INDEX(OFFSET(Arb!$U$2,,,Arb!$AJ$5,),B160)+INDEX(OFFSET(Arb!$V$2,,,Arb!$AJ$5,),B160))/D160)</f>
        <v>5.2532833020637897</v>
      </c>
      <c r="H160" s="33">
        <f t="shared" ca="1" si="19"/>
        <v>0.85981745950661936</v>
      </c>
      <c r="I160" s="21">
        <f t="shared" ca="1" si="20"/>
        <v>55.010513542189663</v>
      </c>
      <c r="J160" s="74">
        <f ca="1">IF(B160="","",DATE(INDEX(OFFSET(Arb!$C$2,,,Arb!$AJ$5,),B160),INDEX(OFFSET(Arb!$B$2,,,Arb!$AJ$5,),B160),INDEX(OFFSET(Arb!$A$2,,,Arb!$AJ$5,),B160))+ROW()*0.001)</f>
        <v>43935.16</v>
      </c>
      <c r="K160" s="11">
        <v>159</v>
      </c>
      <c r="L160" s="11">
        <v>2245</v>
      </c>
      <c r="M160" s="433">
        <f ca="1">IF(L160="",64,INDEX(OFFSET(Arb!$I$2,,,Arb!$AJ$5,),L160))</f>
        <v>59</v>
      </c>
      <c r="N160" s="34">
        <f ca="1">IF(L160="",60,INDEX(OFFSET(Arb!$H$2,,,Arb!$AJ$5,),L160))</f>
        <v>23.56</v>
      </c>
      <c r="O160" s="33">
        <f t="shared" ca="1" si="21"/>
        <v>2.5042444821731751</v>
      </c>
      <c r="P160" s="33">
        <f ca="1">IF(L160="","",INDEX(OFFSET(Arb!$X$2,,,Arb!$AJ$5,),L160)/N160)</f>
        <v>3.268251273344652</v>
      </c>
      <c r="Q160" s="33">
        <f ca="1">IF(L160="","",(INDEX(OFFSET(Arb!$U$2,,,Arb!$AJ$5,),L160)+INDEX(OFFSET(Arb!$V$2,,,Arb!$AJ$5,),L160))/N160)</f>
        <v>3.5229202037351444</v>
      </c>
      <c r="R160" s="33">
        <f t="shared" ca="1" si="22"/>
        <v>3.6462460760035484</v>
      </c>
      <c r="S160" s="21">
        <f t="shared" ca="1" si="23"/>
        <v>42.161169815640932</v>
      </c>
      <c r="T160" s="74">
        <f ca="1">IF(L160="","",DATE(INDEX(OFFSET(Arb!$C$2,,,Arb!$AJ$5,),L160),INDEX(OFFSET(Arb!$B$2,,,Arb!$AJ$5,),L160),INDEX(OFFSET(Arb!$A$2,,,Arb!$AJ$5,),L160))+ROW()*0.001)</f>
        <v>43892.160000000003</v>
      </c>
      <c r="U160" s="11">
        <v>159</v>
      </c>
      <c r="V160" s="11">
        <v>3264</v>
      </c>
      <c r="W160" s="433">
        <f ca="1">IF(V160="",164,INDEX(OFFSET(Arb!$I$2,,,Arb!$AJ$5,),V160))</f>
        <v>194</v>
      </c>
      <c r="X160" s="34">
        <f ca="1">IF(V160="",240,INDEX(OFFSET(Arb!$H$2,,,Arb!$AJ$5,),V160))</f>
        <v>76.08</v>
      </c>
      <c r="Y160" s="33">
        <f t="shared" ca="1" si="24"/>
        <v>2.5499474237644586</v>
      </c>
      <c r="Z160" s="33">
        <f ca="1">IF(V160="","",INDEX(OFFSET(Arb!$X$2,,,Arb!$AJ$5,),V160)/X160)</f>
        <v>3.0231335436382754</v>
      </c>
      <c r="AA160" s="33">
        <f ca="1">IF(V160="","",(INDEX(OFFSET(Arb!$U$2,,,Arb!$AJ$5,),V160)+INDEX(OFFSET(Arb!$V$2,,,Arb!$AJ$5,),V160))/X160)</f>
        <v>3.2071503680336488</v>
      </c>
      <c r="AB160" s="33">
        <f t="shared" ca="1" si="25"/>
        <v>8.1350106671786815</v>
      </c>
      <c r="AC160" s="21">
        <f t="shared" ca="1" si="26"/>
        <v>53.472701855824795</v>
      </c>
      <c r="AD160" s="74">
        <f ca="1">IF(V160="","",DATE(INDEX(OFFSET(Arb!$C$2,,,Arb!$AJ$5,),V160),INDEX(OFFSET(Arb!$B$2,,,Arb!$AJ$5,),V160),INDEX(OFFSET(Arb!$A$2,,,Arb!$AJ$5,),V160))+ROW()*0.001)</f>
        <v>44073.16</v>
      </c>
    </row>
    <row r="161" spans="1:30" x14ac:dyDescent="0.25">
      <c r="A161" s="11">
        <v>160</v>
      </c>
      <c r="B161" s="11">
        <v>293</v>
      </c>
      <c r="C161" s="433">
        <f ca="1">IF(B161="",16,INDEX(OFFSET(Arb!$I$2,,,Arb!$AJ$5,),B161))</f>
        <v>18</v>
      </c>
      <c r="D161" s="34">
        <f ca="1">IF(B161="",10,INDEX(OFFSET(Arb!$H$2,,,Arb!$AJ$5,),B161))</f>
        <v>5.01</v>
      </c>
      <c r="E161" s="33">
        <f t="shared" ca="1" si="18"/>
        <v>3.5928143712574854</v>
      </c>
      <c r="F161" s="33">
        <f ca="1">IF(B161="","",INDEX(OFFSET(Arb!$X$2,,,Arb!$AJ$5,),B161)/D161)</f>
        <v>3.7924151696606789</v>
      </c>
      <c r="G161" s="33">
        <f ca="1">IF(B161="","",(INDEX(OFFSET(Arb!$U$2,,,Arb!$AJ$5,),B161)+INDEX(OFFSET(Arb!$V$2,,,Arb!$AJ$5,),B161))/D161)</f>
        <v>4.1916167664670656</v>
      </c>
      <c r="H161" s="33">
        <f t="shared" ca="1" si="19"/>
        <v>0.85990728625046309</v>
      </c>
      <c r="I161" s="21">
        <f t="shared" ca="1" si="20"/>
        <v>55.004767090929541</v>
      </c>
      <c r="J161" s="74">
        <f ca="1">IF(B161="","",DATE(INDEX(OFFSET(Arb!$C$2,,,Arb!$AJ$5,),B161),INDEX(OFFSET(Arb!$B$2,,,Arb!$AJ$5,),B161),INDEX(OFFSET(Arb!$A$2,,,Arb!$AJ$5,),B161))+ROW()*0.001)</f>
        <v>43777.161</v>
      </c>
      <c r="K161" s="11">
        <v>160</v>
      </c>
      <c r="L161" s="11">
        <v>2276</v>
      </c>
      <c r="M161" s="433">
        <f ca="1">IF(L161="",64,INDEX(OFFSET(Arb!$I$2,,,Arb!$AJ$5,),L161))</f>
        <v>51</v>
      </c>
      <c r="N161" s="34">
        <f ca="1">IF(L161="",60,INDEX(OFFSET(Arb!$H$2,,,Arb!$AJ$5,),L161))</f>
        <v>21.64</v>
      </c>
      <c r="O161" s="33">
        <f t="shared" ca="1" si="21"/>
        <v>2.3567467652495377</v>
      </c>
      <c r="P161" s="33">
        <f ca="1">IF(L161="","",INDEX(OFFSET(Arb!$X$2,,,Arb!$AJ$5,),L161)/N161)</f>
        <v>2.7726432532347505</v>
      </c>
      <c r="Q161" s="33">
        <f ca="1">IF(L161="","",(INDEX(OFFSET(Arb!$U$2,,,Arb!$AJ$5,),L161)+INDEX(OFFSET(Arb!$V$2,,,Arb!$AJ$5,),L161))/N161)</f>
        <v>3.1885397412199628</v>
      </c>
      <c r="R161" s="33">
        <f t="shared" ca="1" si="22"/>
        <v>3.6506244641843555</v>
      </c>
      <c r="S161" s="21">
        <f t="shared" ca="1" si="23"/>
        <v>42.110603681156036</v>
      </c>
      <c r="T161" s="74">
        <f ca="1">IF(L161="","",DATE(INDEX(OFFSET(Arb!$C$2,,,Arb!$AJ$5,),L161),INDEX(OFFSET(Arb!$B$2,,,Arb!$AJ$5,),L161),INDEX(OFFSET(Arb!$A$2,,,Arb!$AJ$5,),L161))+ROW()*0.001)</f>
        <v>43935.161</v>
      </c>
      <c r="U161" s="11">
        <v>160</v>
      </c>
      <c r="V161" s="11">
        <v>2815</v>
      </c>
      <c r="W161" s="433">
        <f ca="1">IF(V161="",164,INDEX(OFFSET(Arb!$I$2,,,Arb!$AJ$5,),V161))</f>
        <v>152</v>
      </c>
      <c r="X161" s="34">
        <f ca="1">IF(V161="",240,INDEX(OFFSET(Arb!$H$2,,,Arb!$AJ$5,),V161))</f>
        <v>65.91</v>
      </c>
      <c r="Y161" s="33">
        <f t="shared" ca="1" si="24"/>
        <v>2.3061750872401761</v>
      </c>
      <c r="Z161" s="33">
        <f ca="1">IF(V161="","",INDEX(OFFSET(Arb!$X$2,,,Arb!$AJ$5,),V161)/X161)</f>
        <v>2.7309968138370508</v>
      </c>
      <c r="AA161" s="33">
        <f ca="1">IF(V161="","",(INDEX(OFFSET(Arb!$U$2,,,Arb!$AJ$5,),V161)+INDEX(OFFSET(Arb!$V$2,,,Arb!$AJ$5,),V161))/X161)</f>
        <v>2.9737520861781217</v>
      </c>
      <c r="AB161" s="33">
        <f t="shared" ca="1" si="25"/>
        <v>8.135301294192578</v>
      </c>
      <c r="AC161" s="21">
        <f t="shared" ca="1" si="26"/>
        <v>53.47079158709554</v>
      </c>
      <c r="AD161" s="74">
        <f ca="1">IF(V161="","",DATE(INDEX(OFFSET(Arb!$C$2,,,Arb!$AJ$5,),V161),INDEX(OFFSET(Arb!$B$2,,,Arb!$AJ$5,),V161),INDEX(OFFSET(Arb!$A$2,,,Arb!$AJ$5,),V161))+ROW()*0.001)</f>
        <v>43898.161</v>
      </c>
    </row>
    <row r="162" spans="1:30" x14ac:dyDescent="0.25">
      <c r="A162" s="11">
        <v>161</v>
      </c>
      <c r="B162" s="11">
        <v>1339</v>
      </c>
      <c r="C162" s="433">
        <f ca="1">IF(B162="",16,INDEX(OFFSET(Arb!$I$2,,,Arb!$AJ$5,),B162))</f>
        <v>20</v>
      </c>
      <c r="D162" s="34">
        <f ca="1">IF(B162="",10,INDEX(OFFSET(Arb!$H$2,,,Arb!$AJ$5,),B162))</f>
        <v>5.34</v>
      </c>
      <c r="E162" s="33">
        <f t="shared" ca="1" si="18"/>
        <v>3.7453183520599254</v>
      </c>
      <c r="F162" s="33">
        <f ca="1">IF(B162="","",INDEX(OFFSET(Arb!$X$2,,,Arb!$AJ$5,),B162)/D162)</f>
        <v>4.4943820224719104</v>
      </c>
      <c r="G162" s="33">
        <f ca="1">IF(B162="","",(INDEX(OFFSET(Arb!$U$2,,,Arb!$AJ$5,),B162)+INDEX(OFFSET(Arb!$V$2,,,Arb!$AJ$5,),B162))/D162)</f>
        <v>5.0561797752808992</v>
      </c>
      <c r="H162" s="33">
        <f t="shared" ca="1" si="19"/>
        <v>0.86256164212376574</v>
      </c>
      <c r="I162" s="21">
        <f t="shared" ca="1" si="20"/>
        <v>54.835501244342652</v>
      </c>
      <c r="J162" s="74">
        <f ca="1">IF(B162="","",DATE(INDEX(OFFSET(Arb!$C$2,,,Arb!$AJ$5,),B162),INDEX(OFFSET(Arb!$B$2,,,Arb!$AJ$5,),B162),INDEX(OFFSET(Arb!$A$2,,,Arb!$AJ$5,),B162))+ROW()*0.001)</f>
        <v>43935.161999999997</v>
      </c>
      <c r="K162" s="11">
        <v>161</v>
      </c>
      <c r="L162" s="11">
        <v>2224</v>
      </c>
      <c r="M162" s="433">
        <f ca="1">IF(L162="",64,INDEX(OFFSET(Arb!$I$2,,,Arb!$AJ$5,),L162))</f>
        <v>80</v>
      </c>
      <c r="N162" s="34">
        <f ca="1">IF(L162="",60,INDEX(OFFSET(Arb!$H$2,,,Arb!$AJ$5,),L162))</f>
        <v>28.21</v>
      </c>
      <c r="O162" s="33">
        <f t="shared" ca="1" si="21"/>
        <v>2.8358738036157392</v>
      </c>
      <c r="P162" s="33">
        <f ca="1">IF(L162="","",INDEX(OFFSET(Arb!$X$2,,,Arb!$AJ$5,),L162)/N162)</f>
        <v>3.5802906770648706</v>
      </c>
      <c r="Q162" s="33">
        <f ca="1">IF(L162="","",(INDEX(OFFSET(Arb!$U$2,,,Arb!$AJ$5,),L162)+INDEX(OFFSET(Arb!$V$2,,,Arb!$AJ$5,),L162))/N162)</f>
        <v>4.1829138603332154</v>
      </c>
      <c r="R162" s="33">
        <f t="shared" ca="1" si="22"/>
        <v>3.652542344434166</v>
      </c>
      <c r="S162" s="21">
        <f t="shared" ca="1" si="23"/>
        <v>42.088492207149237</v>
      </c>
      <c r="T162" s="74">
        <f ca="1">IF(L162="","",DATE(INDEX(OFFSET(Arb!$C$2,,,Arb!$AJ$5,),L162),INDEX(OFFSET(Arb!$B$2,,,Arb!$AJ$5,),L162),INDEX(OFFSET(Arb!$A$2,,,Arb!$AJ$5,),L162))+ROW()*0.001)</f>
        <v>43870.161999999997</v>
      </c>
      <c r="U162" s="11">
        <v>161</v>
      </c>
      <c r="V162" s="11">
        <v>3232</v>
      </c>
      <c r="W162" s="433">
        <f ca="1">IF(V162="",164,INDEX(OFFSET(Arb!$I$2,,,Arb!$AJ$5,),V162))</f>
        <v>191</v>
      </c>
      <c r="X162" s="34">
        <f ca="1">IF(V162="",240,INDEX(OFFSET(Arb!$H$2,,,Arb!$AJ$5,),V162))</f>
        <v>75.41</v>
      </c>
      <c r="Y162" s="33">
        <f t="shared" ca="1" si="24"/>
        <v>2.5328205808248243</v>
      </c>
      <c r="Z162" s="33">
        <f ca="1">IF(V162="","",INDEX(OFFSET(Arb!$X$2,,,Arb!$AJ$5,),V162)/X162)</f>
        <v>2.9439066436812094</v>
      </c>
      <c r="AA162" s="33">
        <f ca="1">IF(V162="","",(INDEX(OFFSET(Arb!$U$2,,,Arb!$AJ$5,),V162)+INDEX(OFFSET(Arb!$V$2,,,Arb!$AJ$5,),V162))/X162)</f>
        <v>3.3019493435883835</v>
      </c>
      <c r="AB162" s="33">
        <f t="shared" ca="1" si="25"/>
        <v>8.1394644764644184</v>
      </c>
      <c r="AC162" s="21">
        <f t="shared" ca="1" si="26"/>
        <v>53.443442287612712</v>
      </c>
      <c r="AD162" s="74">
        <f ca="1">IF(V162="","",DATE(INDEX(OFFSET(Arb!$C$2,,,Arb!$AJ$5,),V162),INDEX(OFFSET(Arb!$B$2,,,Arb!$AJ$5,),V162),INDEX(OFFSET(Arb!$A$2,,,Arb!$AJ$5,),V162))+ROW()*0.001)</f>
        <v>44061.161999999997</v>
      </c>
    </row>
    <row r="163" spans="1:30" x14ac:dyDescent="0.25">
      <c r="A163" s="11">
        <v>162</v>
      </c>
      <c r="B163" s="11">
        <v>1385</v>
      </c>
      <c r="C163" s="433">
        <f ca="1">IF(B163="",16,INDEX(OFFSET(Arb!$I$2,,,Arb!$AJ$5,),B163))</f>
        <v>18</v>
      </c>
      <c r="D163" s="34">
        <f ca="1">IF(B163="",10,INDEX(OFFSET(Arb!$H$2,,,Arb!$AJ$5,),B163))</f>
        <v>5.0199999999999996</v>
      </c>
      <c r="E163" s="33">
        <f t="shared" ca="1" si="18"/>
        <v>3.5856573705179287</v>
      </c>
      <c r="F163" s="33">
        <f ca="1">IF(B163="","",INDEX(OFFSET(Arb!$X$2,,,Arb!$AJ$5,),B163)/D163)</f>
        <v>3.9840637450199208</v>
      </c>
      <c r="G163" s="33">
        <f ca="1">IF(B163="","",(INDEX(OFFSET(Arb!$U$2,,,Arb!$AJ$5,),B163)+INDEX(OFFSET(Arb!$V$2,,,Arb!$AJ$5,),B163))/D163)</f>
        <v>5.1792828685258971</v>
      </c>
      <c r="H163" s="33">
        <f t="shared" ca="1" si="19"/>
        <v>0.86282717333647596</v>
      </c>
      <c r="I163" s="21">
        <f t="shared" ca="1" si="20"/>
        <v>54.818625863507485</v>
      </c>
      <c r="J163" s="74">
        <f ca="1">IF(B163="","",DATE(INDEX(OFFSET(Arb!$C$2,,,Arb!$AJ$5,),B163),INDEX(OFFSET(Arb!$B$2,,,Arb!$AJ$5,),B163),INDEX(OFFSET(Arb!$A$2,,,Arb!$AJ$5,),B163))+ROW()*0.001)</f>
        <v>43940.163</v>
      </c>
      <c r="K163" s="11">
        <v>162</v>
      </c>
      <c r="L163" s="11">
        <v>2201</v>
      </c>
      <c r="M163" s="433">
        <f ca="1">IF(L163="",64,INDEX(OFFSET(Arb!$I$2,,,Arb!$AJ$5,),L163))</f>
        <v>54</v>
      </c>
      <c r="N163" s="34">
        <f ca="1">IF(L163="",60,INDEX(OFFSET(Arb!$H$2,,,Arb!$AJ$5,),L163))</f>
        <v>22.43</v>
      </c>
      <c r="O163" s="33">
        <f t="shared" ca="1" si="21"/>
        <v>2.4074899687917966</v>
      </c>
      <c r="P163" s="33">
        <f ca="1">IF(L163="","",INDEX(OFFSET(Arb!$X$2,,,Arb!$AJ$5,),L163)/N163)</f>
        <v>2.7641551493535443</v>
      </c>
      <c r="Q163" s="33">
        <f ca="1">IF(L163="","",(INDEX(OFFSET(Arb!$U$2,,,Arb!$AJ$5,),L163)+INDEX(OFFSET(Arb!$V$2,,,Arb!$AJ$5,),L163))/N163)</f>
        <v>3.2545697726259473</v>
      </c>
      <c r="R163" s="33">
        <f t="shared" ca="1" si="22"/>
        <v>3.6645107940078989</v>
      </c>
      <c r="S163" s="21">
        <f t="shared" ca="1" si="23"/>
        <v>41.951029384706629</v>
      </c>
      <c r="T163" s="74">
        <f ca="1">IF(L163="","",DATE(INDEX(OFFSET(Arb!$C$2,,,Arb!$AJ$5,),L163),INDEX(OFFSET(Arb!$B$2,,,Arb!$AJ$5,),L163),INDEX(OFFSET(Arb!$A$2,,,Arb!$AJ$5,),L163))+ROW()*0.001)</f>
        <v>43854.163</v>
      </c>
      <c r="U163" s="11">
        <v>162</v>
      </c>
      <c r="V163" s="11">
        <v>2840</v>
      </c>
      <c r="W163" s="433">
        <f ca="1">IF(V163="",164,INDEX(OFFSET(Arb!$I$2,,,Arb!$AJ$5,),V163))</f>
        <v>204</v>
      </c>
      <c r="X163" s="34">
        <f ca="1">IF(V163="",240,INDEX(OFFSET(Arb!$H$2,,,Arb!$AJ$5,),V163))</f>
        <v>78.39</v>
      </c>
      <c r="Y163" s="33">
        <f t="shared" ca="1" si="24"/>
        <v>2.6023727516264827</v>
      </c>
      <c r="Z163" s="33">
        <f ca="1">IF(V163="","",INDEX(OFFSET(Arb!$X$2,,,Arb!$AJ$5,),V163)/X163)</f>
        <v>3.0743717310881489</v>
      </c>
      <c r="AA163" s="33">
        <f ca="1">IF(V163="","",(INDEX(OFFSET(Arb!$U$2,,,Arb!$AJ$5,),V163)+INDEX(OFFSET(Arb!$V$2,,,Arb!$AJ$5,),V163))/X163)</f>
        <v>3.4060466896287793</v>
      </c>
      <c r="AB163" s="33">
        <f t="shared" ca="1" si="25"/>
        <v>8.1397855307762157</v>
      </c>
      <c r="AC163" s="21">
        <f t="shared" ca="1" si="26"/>
        <v>53.441334339249842</v>
      </c>
      <c r="AD163" s="74">
        <f ca="1">IF(V163="","",DATE(INDEX(OFFSET(Arb!$C$2,,,Arb!$AJ$5,),V163),INDEX(OFFSET(Arb!$B$2,,,Arb!$AJ$5,),V163),INDEX(OFFSET(Arb!$A$2,,,Arb!$AJ$5,),V163))+ROW()*0.001)</f>
        <v>43903.163</v>
      </c>
    </row>
    <row r="164" spans="1:30" x14ac:dyDescent="0.25">
      <c r="A164" s="11">
        <v>163</v>
      </c>
      <c r="B164" s="11">
        <v>1013</v>
      </c>
      <c r="C164" s="433">
        <f ca="1">IF(B164="",16,INDEX(OFFSET(Arb!$I$2,,,Arb!$AJ$5,),B164))</f>
        <v>11</v>
      </c>
      <c r="D164" s="34">
        <f ca="1">IF(B164="",10,INDEX(OFFSET(Arb!$H$2,,,Arb!$AJ$5,),B164))</f>
        <v>3.76</v>
      </c>
      <c r="E164" s="33">
        <f t="shared" ca="1" si="18"/>
        <v>2.9255319148936172</v>
      </c>
      <c r="F164" s="33">
        <f ca="1">IF(B164="","",INDEX(OFFSET(Arb!$X$2,,,Arb!$AJ$5,),B164)/D164)</f>
        <v>3.4574468085106385</v>
      </c>
      <c r="G164" s="33">
        <f ca="1">IF(B164="","",(INDEX(OFFSET(Arb!$U$2,,,Arb!$AJ$5,),B164)+INDEX(OFFSET(Arb!$V$2,,,Arb!$AJ$5,),B164))/D164)</f>
        <v>3.9893617021276597</v>
      </c>
      <c r="H164" s="33">
        <f t="shared" ca="1" si="19"/>
        <v>0.86382675509925544</v>
      </c>
      <c r="I164" s="21">
        <f t="shared" ca="1" si="20"/>
        <v>54.755192196571002</v>
      </c>
      <c r="J164" s="74">
        <f ca="1">IF(B164="","",DATE(INDEX(OFFSET(Arb!$C$2,,,Arb!$AJ$5,),B164),INDEX(OFFSET(Arb!$B$2,,,Arb!$AJ$5,),B164),INDEX(OFFSET(Arb!$A$2,,,Arb!$AJ$5,),B164))+ROW()*0.001)</f>
        <v>43838.163999999997</v>
      </c>
      <c r="K164" s="11">
        <v>163</v>
      </c>
      <c r="L164" s="11">
        <v>2186</v>
      </c>
      <c r="M164" s="433">
        <f ca="1">IF(L164="",64,INDEX(OFFSET(Arb!$I$2,,,Arb!$AJ$5,),L164))</f>
        <v>78</v>
      </c>
      <c r="N164" s="34">
        <f ca="1">IF(L164="",60,INDEX(OFFSET(Arb!$H$2,,,Arb!$AJ$5,),L164))</f>
        <v>27.85</v>
      </c>
      <c r="O164" s="33">
        <f t="shared" ca="1" si="21"/>
        <v>2.8007181328545778</v>
      </c>
      <c r="P164" s="33">
        <f ca="1">IF(L164="","",INDEX(OFFSET(Arb!$X$2,,,Arb!$AJ$5,),L164)/N164)</f>
        <v>3.4470377019748653</v>
      </c>
      <c r="Q164" s="33">
        <f ca="1">IF(L164="","",(INDEX(OFFSET(Arb!$U$2,,,Arb!$AJ$5,),L164)+INDEX(OFFSET(Arb!$V$2,,,Arb!$AJ$5,),L164))/N164)</f>
        <v>3.9138240574506282</v>
      </c>
      <c r="R164" s="33">
        <f t="shared" ca="1" si="22"/>
        <v>3.665289109557873</v>
      </c>
      <c r="S164" s="21">
        <f t="shared" ca="1" si="23"/>
        <v>41.942121181961475</v>
      </c>
      <c r="T164" s="74">
        <f ca="1">IF(L164="","",DATE(INDEX(OFFSET(Arb!$C$2,,,Arb!$AJ$5,),L164),INDEX(OFFSET(Arb!$B$2,,,Arb!$AJ$5,),L164),INDEX(OFFSET(Arb!$A$2,,,Arb!$AJ$5,),L164))+ROW()*0.001)</f>
        <v>43840.163999999997</v>
      </c>
      <c r="U164" s="11">
        <v>163</v>
      </c>
      <c r="V164" s="11">
        <v>3205</v>
      </c>
      <c r="W164" s="433">
        <f ca="1">IF(V164="",164,INDEX(OFFSET(Arb!$I$2,,,Arb!$AJ$5,),V164))</f>
        <v>155</v>
      </c>
      <c r="X164" s="34">
        <f ca="1">IF(V164="",240,INDEX(OFFSET(Arb!$H$2,,,Arb!$AJ$5,),V164))</f>
        <v>66.709999999999994</v>
      </c>
      <c r="Y164" s="33">
        <f t="shared" ca="1" si="24"/>
        <v>2.3234897316744116</v>
      </c>
      <c r="Z164" s="33">
        <f ca="1">IF(V164="","",INDEX(OFFSET(Arb!$X$2,,,Arb!$AJ$5,),V164)/X164)</f>
        <v>2.6083046020086944</v>
      </c>
      <c r="AA164" s="33">
        <f ca="1">IF(V164="","",(INDEX(OFFSET(Arb!$U$2,,,Arb!$AJ$5,),V164)+INDEX(OFFSET(Arb!$V$2,,,Arb!$AJ$5,),V164))/X164)</f>
        <v>2.8181681906760607</v>
      </c>
      <c r="AB164" s="33">
        <f t="shared" ca="1" si="25"/>
        <v>8.1431587413698665</v>
      </c>
      <c r="AC164" s="21">
        <f t="shared" ca="1" si="26"/>
        <v>53.419196876275407</v>
      </c>
      <c r="AD164" s="74">
        <f ca="1">IF(V164="","",DATE(INDEX(OFFSET(Arb!$C$2,,,Arb!$AJ$5,),V164),INDEX(OFFSET(Arb!$B$2,,,Arb!$AJ$5,),V164),INDEX(OFFSET(Arb!$A$2,,,Arb!$AJ$5,),V164))+ROW()*0.001)</f>
        <v>44058.163999999997</v>
      </c>
    </row>
    <row r="165" spans="1:30" x14ac:dyDescent="0.25">
      <c r="A165" s="11">
        <v>164</v>
      </c>
      <c r="B165" s="11">
        <v>795</v>
      </c>
      <c r="C165" s="433">
        <f ca="1">IF(B165="",16,INDEX(OFFSET(Arb!$I$2,,,Arb!$AJ$5,),B165))</f>
        <v>16</v>
      </c>
      <c r="D165" s="34">
        <f ca="1">IF(B165="",10,INDEX(OFFSET(Arb!$H$2,,,Arb!$AJ$5,),B165))</f>
        <v>4.6900000000000004</v>
      </c>
      <c r="E165" s="33">
        <f t="shared" ca="1" si="18"/>
        <v>3.4115138592750531</v>
      </c>
      <c r="F165" s="33">
        <f ca="1">IF(B165="","",INDEX(OFFSET(Arb!$X$2,,,Arb!$AJ$5,),B165)/D165)</f>
        <v>3.4115138592750531</v>
      </c>
      <c r="G165" s="33">
        <f ca="1">IF(B165="","",(INDEX(OFFSET(Arb!$U$2,,,Arb!$AJ$5,),B165)+INDEX(OFFSET(Arb!$V$2,,,Arb!$AJ$5,),B165))/D165)</f>
        <v>3.624733475479744</v>
      </c>
      <c r="H165" s="33">
        <f t="shared" ca="1" si="19"/>
        <v>0.86471670699109116</v>
      </c>
      <c r="I165" s="21">
        <f t="shared" ca="1" si="20"/>
        <v>54.698839073647392</v>
      </c>
      <c r="J165" s="74">
        <f ca="1">IF(B165="","",DATE(INDEX(OFFSET(Arb!$C$2,,,Arb!$AJ$5,),B165),INDEX(OFFSET(Arb!$B$2,,,Arb!$AJ$5,),B165),INDEX(OFFSET(Arb!$A$2,,,Arb!$AJ$5,),B165))+ROW()*0.001)</f>
        <v>43811.165000000001</v>
      </c>
      <c r="K165" s="11">
        <v>164</v>
      </c>
      <c r="L165" s="11">
        <v>1927</v>
      </c>
      <c r="M165" s="433">
        <f ca="1">IF(L165="",64,INDEX(OFFSET(Arb!$I$2,,,Arb!$AJ$5,),L165))</f>
        <v>74</v>
      </c>
      <c r="N165" s="34">
        <f ca="1">IF(L165="",60,INDEX(OFFSET(Arb!$H$2,,,Arb!$AJ$5,),L165))</f>
        <v>27.01</v>
      </c>
      <c r="O165" s="33">
        <f t="shared" ca="1" si="21"/>
        <v>2.7397260273972601</v>
      </c>
      <c r="P165" s="33">
        <f ca="1">IF(L165="","",INDEX(OFFSET(Arb!$X$2,,,Arb!$AJ$5,),L165)/N165)</f>
        <v>3.5172158459829692</v>
      </c>
      <c r="Q165" s="33">
        <f ca="1">IF(L165="","",(INDEX(OFFSET(Arb!$U$2,,,Arb!$AJ$5,),L165)+INDEX(OFFSET(Arb!$V$2,,,Arb!$AJ$5,),L165))/N165)</f>
        <v>4.10958904109589</v>
      </c>
      <c r="R165" s="33">
        <f t="shared" ca="1" si="22"/>
        <v>3.6674151388039089</v>
      </c>
      <c r="S165" s="21">
        <f t="shared" ca="1" si="23"/>
        <v>41.91780700620042</v>
      </c>
      <c r="T165" s="74">
        <f ca="1">IF(L165="","",DATE(INDEX(OFFSET(Arb!$C$2,,,Arb!$AJ$5,),L165),INDEX(OFFSET(Arb!$B$2,,,Arb!$AJ$5,),L165),INDEX(OFFSET(Arb!$A$2,,,Arb!$AJ$5,),L165))+ROW()*0.001)</f>
        <v>43771.165000000001</v>
      </c>
      <c r="U165" s="11">
        <v>164</v>
      </c>
      <c r="V165" s="11">
        <v>3084</v>
      </c>
      <c r="W165" s="433">
        <f ca="1">IF(V165="",164,INDEX(OFFSET(Arb!$I$2,,,Arb!$AJ$5,),V165))</f>
        <v>181</v>
      </c>
      <c r="X165" s="34">
        <f ca="1">IF(V165="",240,INDEX(OFFSET(Arb!$H$2,,,Arb!$AJ$5,),V165))</f>
        <v>73.09</v>
      </c>
      <c r="Y165" s="33">
        <f t="shared" ca="1" si="24"/>
        <v>2.4763989601860716</v>
      </c>
      <c r="Z165" s="33">
        <f ca="1">IF(V165="","",INDEX(OFFSET(Arb!$X$2,,,Arb!$AJ$5,),V165)/X165)</f>
        <v>2.9826241619920646</v>
      </c>
      <c r="AA165" s="33">
        <f ca="1">IF(V165="","",(INDEX(OFFSET(Arb!$U$2,,,Arb!$AJ$5,),V165)+INDEX(OFFSET(Arb!$V$2,,,Arb!$AJ$5,),V165))/X165)</f>
        <v>3.2973046928444383</v>
      </c>
      <c r="AB165" s="33">
        <f t="shared" ca="1" si="25"/>
        <v>8.1447912961475044</v>
      </c>
      <c r="AC165" s="21">
        <f t="shared" ca="1" si="26"/>
        <v>53.408489448435091</v>
      </c>
      <c r="AD165" s="74">
        <f ca="1">IF(V165="","",DATE(INDEX(OFFSET(Arb!$C$2,,,Arb!$AJ$5,),V165),INDEX(OFFSET(Arb!$B$2,,,Arb!$AJ$5,),V165),INDEX(OFFSET(Arb!$A$2,,,Arb!$AJ$5,),V165))+ROW()*0.001)</f>
        <v>44003.165000000001</v>
      </c>
    </row>
    <row r="166" spans="1:30" x14ac:dyDescent="0.25">
      <c r="A166" s="11">
        <v>165</v>
      </c>
      <c r="B166" s="11">
        <v>1801</v>
      </c>
      <c r="C166" s="433">
        <f ca="1">IF(B166="",16,INDEX(OFFSET(Arb!$I$2,,,Arb!$AJ$5,),B166))</f>
        <v>10</v>
      </c>
      <c r="D166" s="34">
        <f ca="1">IF(B166="",10,INDEX(OFFSET(Arb!$H$2,,,Arb!$AJ$5,),B166))</f>
        <v>3.56</v>
      </c>
      <c r="E166" s="33">
        <f t="shared" ca="1" si="18"/>
        <v>2.8089887640449436</v>
      </c>
      <c r="F166" s="33">
        <f ca="1">IF(B166="","",INDEX(OFFSET(Arb!$X$2,,,Arb!$AJ$5,),B166)/D166)</f>
        <v>3.089887640449438</v>
      </c>
      <c r="G166" s="33">
        <f ca="1">IF(B166="","",(INDEX(OFFSET(Arb!$U$2,,,Arb!$AJ$5,),B166)+INDEX(OFFSET(Arb!$V$2,,,Arb!$AJ$5,),B166))/D166)</f>
        <v>3.3707865168539324</v>
      </c>
      <c r="H166" s="33">
        <f t="shared" ca="1" si="19"/>
        <v>0.86589453082231793</v>
      </c>
      <c r="I166" s="21">
        <f t="shared" ca="1" si="20"/>
        <v>54.624435559237618</v>
      </c>
      <c r="J166" s="74">
        <f ca="1">IF(B166="","",DATE(INDEX(OFFSET(Arb!$C$2,,,Arb!$AJ$5,),B166),INDEX(OFFSET(Arb!$B$2,,,Arb!$AJ$5,),B166),INDEX(OFFSET(Arb!$A$2,,,Arb!$AJ$5,),B166))+ROW()*0.001)</f>
        <v>44168.165999999997</v>
      </c>
      <c r="K166" s="11">
        <v>165</v>
      </c>
      <c r="L166" s="11">
        <v>2185</v>
      </c>
      <c r="M166" s="433">
        <f ca="1">IF(L166="",64,INDEX(OFFSET(Arb!$I$2,,,Arb!$AJ$5,),L166))</f>
        <v>69</v>
      </c>
      <c r="N166" s="34">
        <f ca="1">IF(L166="",60,INDEX(OFFSET(Arb!$H$2,,,Arb!$AJ$5,),L166))</f>
        <v>25.93</v>
      </c>
      <c r="O166" s="33">
        <f t="shared" ca="1" si="21"/>
        <v>2.6610104126494409</v>
      </c>
      <c r="P166" s="33">
        <f ca="1">IF(L166="","",INDEX(OFFSET(Arb!$X$2,,,Arb!$AJ$5,),L166)/N166)</f>
        <v>3.316621673736984</v>
      </c>
      <c r="Q166" s="33">
        <f ca="1">IF(L166="","",(INDEX(OFFSET(Arb!$U$2,,,Arb!$AJ$5,),L166)+INDEX(OFFSET(Arb!$V$2,,,Arb!$AJ$5,),L166))/N166)</f>
        <v>3.8179714616274585</v>
      </c>
      <c r="R166" s="33">
        <f t="shared" ca="1" si="22"/>
        <v>3.6695700941217804</v>
      </c>
      <c r="S166" s="21">
        <f t="shared" ca="1" si="23"/>
        <v>41.893190770836441</v>
      </c>
      <c r="T166" s="74">
        <f ca="1">IF(L166="","",DATE(INDEX(OFFSET(Arb!$C$2,,,Arb!$AJ$5,),L166),INDEX(OFFSET(Arb!$B$2,,,Arb!$AJ$5,),L166),INDEX(OFFSET(Arb!$A$2,,,Arb!$AJ$5,),L166))+ROW()*0.001)</f>
        <v>43840.165999999997</v>
      </c>
      <c r="U166" s="11">
        <v>165</v>
      </c>
      <c r="V166" s="11">
        <v>3065</v>
      </c>
      <c r="W166" s="433">
        <f ca="1">IF(V166="",164,INDEX(OFFSET(Arb!$I$2,,,Arb!$AJ$5,),V166))</f>
        <v>191</v>
      </c>
      <c r="X166" s="34">
        <f ca="1">IF(V166="",240,INDEX(OFFSET(Arb!$H$2,,,Arb!$AJ$5,),V166))</f>
        <v>75.47</v>
      </c>
      <c r="Y166" s="33">
        <f t="shared" ca="1" si="24"/>
        <v>2.5308069431562212</v>
      </c>
      <c r="Z166" s="33">
        <f ca="1">IF(V166="","",INDEX(OFFSET(Arb!$X$2,,,Arb!$AJ$5,),V166)/X166)</f>
        <v>2.875314694580628</v>
      </c>
      <c r="AA166" s="33">
        <f ca="1">IF(V166="","",(INDEX(OFFSET(Arb!$U$2,,,Arb!$AJ$5,),V166)+INDEX(OFFSET(Arb!$V$2,,,Arb!$AJ$5,),V166))/X166)</f>
        <v>3.1535709553464955</v>
      </c>
      <c r="AB166" s="33">
        <f t="shared" ca="1" si="25"/>
        <v>8.1504770286116877</v>
      </c>
      <c r="AC166" s="21">
        <f t="shared" ca="1" si="26"/>
        <v>53.371231950345845</v>
      </c>
      <c r="AD166" s="74">
        <f ca="1">IF(V166="","",DATE(INDEX(OFFSET(Arb!$C$2,,,Arb!$AJ$5,),V166),INDEX(OFFSET(Arb!$B$2,,,Arb!$AJ$5,),V166),INDEX(OFFSET(Arb!$A$2,,,Arb!$AJ$5,),V166))+ROW()*0.001)</f>
        <v>43993.165999999997</v>
      </c>
    </row>
    <row r="167" spans="1:30" x14ac:dyDescent="0.25">
      <c r="A167" s="11">
        <v>166</v>
      </c>
      <c r="B167" s="11">
        <v>800</v>
      </c>
      <c r="C167" s="433">
        <f ca="1">IF(B167="",16,INDEX(OFFSET(Arb!$I$2,,,Arb!$AJ$5,),B167))</f>
        <v>14</v>
      </c>
      <c r="D167" s="34">
        <f ca="1">IF(B167="",10,INDEX(OFFSET(Arb!$H$2,,,Arb!$AJ$5,),B167))</f>
        <v>4.34</v>
      </c>
      <c r="E167" s="33">
        <f t="shared" ca="1" si="18"/>
        <v>3.2258064516129035</v>
      </c>
      <c r="F167" s="33">
        <f ca="1">IF(B167="","",INDEX(OFFSET(Arb!$X$2,,,Arb!$AJ$5,),B167)/D167)</f>
        <v>3.9170506912442398</v>
      </c>
      <c r="G167" s="33">
        <f ca="1">IF(B167="","",(INDEX(OFFSET(Arb!$U$2,,,Arb!$AJ$5,),B167)+INDEX(OFFSET(Arb!$V$2,,,Arb!$AJ$5,),B167))/D167)</f>
        <v>4.3778801843317972</v>
      </c>
      <c r="H167" s="33">
        <f t="shared" ca="1" si="19"/>
        <v>0.86617272585060567</v>
      </c>
      <c r="I167" s="21">
        <f t="shared" ca="1" si="20"/>
        <v>54.606891429825467</v>
      </c>
      <c r="J167" s="74">
        <f ca="1">IF(B167="","",DATE(INDEX(OFFSET(Arb!$C$2,,,Arb!$AJ$5,),B167),INDEX(OFFSET(Arb!$B$2,,,Arb!$AJ$5,),B167),INDEX(OFFSET(Arb!$A$2,,,Arb!$AJ$5,),B167))+ROW()*0.001)</f>
        <v>43811.167000000001</v>
      </c>
      <c r="K167" s="11">
        <v>166</v>
      </c>
      <c r="L167" s="11">
        <v>2174</v>
      </c>
      <c r="M167" s="433">
        <f ca="1">IF(L167="",64,INDEX(OFFSET(Arb!$I$2,,,Arb!$AJ$5,),L167))</f>
        <v>50</v>
      </c>
      <c r="N167" s="34">
        <f ca="1">IF(L167="",60,INDEX(OFFSET(Arb!$H$2,,,Arb!$AJ$5,),L167))</f>
        <v>21.46</v>
      </c>
      <c r="O167" s="33">
        <f t="shared" ca="1" si="21"/>
        <v>2.3299161230195713</v>
      </c>
      <c r="P167" s="33">
        <f ca="1">IF(L167="","",INDEX(OFFSET(Arb!$X$2,,,Arb!$AJ$5,),L167)/N167)</f>
        <v>3.1686859273066168</v>
      </c>
      <c r="Q167" s="33">
        <f ca="1">IF(L167="","",(INDEX(OFFSET(Arb!$U$2,,,Arb!$AJ$5,),L167)+INDEX(OFFSET(Arb!$V$2,,,Arb!$AJ$5,),L167))/N167)</f>
        <v>3.8676607642124883</v>
      </c>
      <c r="R167" s="33">
        <f t="shared" ca="1" si="22"/>
        <v>3.6711363555921253</v>
      </c>
      <c r="S167" s="21">
        <f t="shared" ca="1" si="23"/>
        <v>41.875317370281813</v>
      </c>
      <c r="T167" s="74">
        <f ca="1">IF(L167="","",DATE(INDEX(OFFSET(Arb!$C$2,,,Arb!$AJ$5,),L167),INDEX(OFFSET(Arb!$B$2,,,Arb!$AJ$5,),L167),INDEX(OFFSET(Arb!$A$2,,,Arb!$AJ$5,),L167))+ROW()*0.001)</f>
        <v>43840.167000000001</v>
      </c>
      <c r="U167" s="11">
        <v>166</v>
      </c>
      <c r="V167" s="11">
        <v>3348</v>
      </c>
      <c r="W167" s="433">
        <f ca="1">IF(V167="",164,INDEX(OFFSET(Arb!$I$2,,,Arb!$AJ$5,),V167))</f>
        <v>161</v>
      </c>
      <c r="X167" s="34">
        <f ca="1">IF(V167="",240,INDEX(OFFSET(Arb!$H$2,,,Arb!$AJ$5,),V167))</f>
        <v>68.27</v>
      </c>
      <c r="Y167" s="33">
        <f t="shared" ca="1" si="24"/>
        <v>2.3582832869488795</v>
      </c>
      <c r="Z167" s="33">
        <f ca="1">IF(V167="","",INDEX(OFFSET(Arb!$X$2,,,Arb!$AJ$5,),V167)/X167)</f>
        <v>2.7537717884868904</v>
      </c>
      <c r="AA167" s="33">
        <f ca="1">IF(V167="","",(INDEX(OFFSET(Arb!$U$2,,,Arb!$AJ$5,),V167)+INDEX(OFFSET(Arb!$V$2,,,Arb!$AJ$5,),V167))/X167)</f>
        <v>3.0320785117914166</v>
      </c>
      <c r="AB167" s="33">
        <f t="shared" ca="1" si="25"/>
        <v>8.1538920747762944</v>
      </c>
      <c r="AC167" s="21">
        <f t="shared" ca="1" si="26"/>
        <v>53.348878794417253</v>
      </c>
      <c r="AD167" s="74">
        <f ca="1">IF(V167="","",DATE(INDEX(OFFSET(Arb!$C$2,,,Arb!$AJ$5,),V167),INDEX(OFFSET(Arb!$B$2,,,Arb!$AJ$5,),V167),INDEX(OFFSET(Arb!$A$2,,,Arb!$AJ$5,),V167))+ROW()*0.001)</f>
        <v>44098.167000000001</v>
      </c>
    </row>
    <row r="168" spans="1:30" x14ac:dyDescent="0.25">
      <c r="A168" s="11">
        <v>167</v>
      </c>
      <c r="B168" s="11">
        <v>1207</v>
      </c>
      <c r="C168" s="433">
        <f ca="1">IF(B168="",16,INDEX(OFFSET(Arb!$I$2,,,Arb!$AJ$5,),B168))</f>
        <v>19</v>
      </c>
      <c r="D168" s="34">
        <f ca="1">IF(B168="",10,INDEX(OFFSET(Arb!$H$2,,,Arb!$AJ$5,),B168))</f>
        <v>5.2</v>
      </c>
      <c r="E168" s="33">
        <f t="shared" ca="1" si="18"/>
        <v>3.6538461538461537</v>
      </c>
      <c r="F168" s="33">
        <f ca="1">IF(B168="","",INDEX(OFFSET(Arb!$X$2,,,Arb!$AJ$5,),B168)/D168)</f>
        <v>3.8461538461538458</v>
      </c>
      <c r="G168" s="33">
        <f ca="1">IF(B168="","",(INDEX(OFFSET(Arb!$U$2,,,Arb!$AJ$5,),B168)+INDEX(OFFSET(Arb!$V$2,,,Arb!$AJ$5,),B168))/D168)</f>
        <v>4.615384615384615</v>
      </c>
      <c r="H168" s="33">
        <f t="shared" ca="1" si="19"/>
        <v>0.86786481835921558</v>
      </c>
      <c r="I168" s="21">
        <f t="shared" ca="1" si="20"/>
        <v>54.500423337154565</v>
      </c>
      <c r="J168" s="74">
        <f ca="1">IF(B168="","",DATE(INDEX(OFFSET(Arb!$C$2,,,Arb!$AJ$5,),B168),INDEX(OFFSET(Arb!$B$2,,,Arb!$AJ$5,),B168),INDEX(OFFSET(Arb!$A$2,,,Arb!$AJ$5,),B168))+ROW()*0.001)</f>
        <v>43896.167999999998</v>
      </c>
      <c r="K168" s="11">
        <v>167</v>
      </c>
      <c r="L168" s="11">
        <v>2175</v>
      </c>
      <c r="M168" s="433">
        <f ca="1">IF(L168="",64,INDEX(OFFSET(Arb!$I$2,,,Arb!$AJ$5,),L168))</f>
        <v>60</v>
      </c>
      <c r="N168" s="34">
        <f ca="1">IF(L168="",60,INDEX(OFFSET(Arb!$H$2,,,Arb!$AJ$5,),L168))</f>
        <v>23.91</v>
      </c>
      <c r="O168" s="33">
        <f t="shared" ca="1" si="21"/>
        <v>2.509410288582183</v>
      </c>
      <c r="P168" s="33">
        <f ca="1">IF(L168="","",INDEX(OFFSET(Arb!$X$2,,,Arb!$AJ$5,),L168)/N168)</f>
        <v>3.3040568799665411</v>
      </c>
      <c r="Q168" s="33">
        <f ca="1">IF(L168="","",(INDEX(OFFSET(Arb!$U$2,,,Arb!$AJ$5,),L168)+INDEX(OFFSET(Arb!$V$2,,,Arb!$AJ$5,),L168))/N168)</f>
        <v>3.5549979088247596</v>
      </c>
      <c r="R168" s="33">
        <f t="shared" ca="1" si="22"/>
        <v>3.6764954176983897</v>
      </c>
      <c r="S168" s="21">
        <f t="shared" ca="1" si="23"/>
        <v>41.81427760251097</v>
      </c>
      <c r="T168" s="74">
        <f ca="1">IF(L168="","",DATE(INDEX(OFFSET(Arb!$C$2,,,Arb!$AJ$5,),L168),INDEX(OFFSET(Arb!$B$2,,,Arb!$AJ$5,),L168),INDEX(OFFSET(Arb!$A$2,,,Arb!$AJ$5,),L168))+ROW()*0.001)</f>
        <v>43840.167999999998</v>
      </c>
      <c r="U168" s="11">
        <v>167</v>
      </c>
      <c r="V168" s="11">
        <v>3000</v>
      </c>
      <c r="W168" s="433">
        <f ca="1">IF(V168="",164,INDEX(OFFSET(Arb!$I$2,,,Arb!$AJ$5,),V168))</f>
        <v>157</v>
      </c>
      <c r="X168" s="34">
        <f ca="1">IF(V168="",240,INDEX(OFFSET(Arb!$H$2,,,Arb!$AJ$5,),V168))</f>
        <v>67.290000000000006</v>
      </c>
      <c r="Y168" s="33">
        <f t="shared" ca="1" si="24"/>
        <v>2.3331847228414322</v>
      </c>
      <c r="Z168" s="33">
        <f ca="1">IF(V168="","",INDEX(OFFSET(Arb!$X$2,,,Arb!$AJ$5,),V168)/X168)</f>
        <v>2.9127656412542722</v>
      </c>
      <c r="AA168" s="33">
        <f ca="1">IF(V168="","",(INDEX(OFFSET(Arb!$U$2,,,Arb!$AJ$5,),V168)+INDEX(OFFSET(Arb!$V$2,,,Arb!$AJ$5,),V168))/X168)</f>
        <v>3.2842918710060927</v>
      </c>
      <c r="AB168" s="33">
        <f t="shared" ca="1" si="25"/>
        <v>8.1586113589255831</v>
      </c>
      <c r="AC168" s="21">
        <f t="shared" ca="1" si="26"/>
        <v>53.318019557838795</v>
      </c>
      <c r="AD168" s="74">
        <f ca="1">IF(V168="","",DATE(INDEX(OFFSET(Arb!$C$2,,,Arb!$AJ$5,),V168),INDEX(OFFSET(Arb!$B$2,,,Arb!$AJ$5,),V168),INDEX(OFFSET(Arb!$A$2,,,Arb!$AJ$5,),V168))+ROW()*0.001)</f>
        <v>43957.167999999998</v>
      </c>
    </row>
    <row r="169" spans="1:30" x14ac:dyDescent="0.25">
      <c r="A169" s="11">
        <v>168</v>
      </c>
      <c r="B169" s="11">
        <v>650</v>
      </c>
      <c r="C169" s="433">
        <f ca="1">IF(B169="",16,INDEX(OFFSET(Arb!$I$2,,,Arb!$AJ$5,),B169))</f>
        <v>10</v>
      </c>
      <c r="D169" s="34">
        <f ca="1">IF(B169="",10,INDEX(OFFSET(Arb!$H$2,,,Arb!$AJ$5,),B169))</f>
        <v>3.57</v>
      </c>
      <c r="E169" s="33">
        <f t="shared" ca="1" si="18"/>
        <v>2.801120448179272</v>
      </c>
      <c r="F169" s="33">
        <f ca="1">IF(B169="","",INDEX(OFFSET(Arb!$X$2,,,Arb!$AJ$5,),B169)/D169)</f>
        <v>3.9215686274509807</v>
      </c>
      <c r="G169" s="33">
        <f ca="1">IF(B169="","",(INDEX(OFFSET(Arb!$U$2,,,Arb!$AJ$5,),B169)+INDEX(OFFSET(Arb!$V$2,,,Arb!$AJ$5,),B169))/D169)</f>
        <v>4.2016806722689077</v>
      </c>
      <c r="H169" s="33">
        <f t="shared" ca="1" si="19"/>
        <v>0.87003348449538864</v>
      </c>
      <c r="I169" s="21">
        <f t="shared" ca="1" si="20"/>
        <v>54.364574286968946</v>
      </c>
      <c r="J169" s="74">
        <f ca="1">IF(B169="","",DATE(INDEX(OFFSET(Arb!$C$2,,,Arb!$AJ$5,),B169),INDEX(OFFSET(Arb!$B$2,,,Arb!$AJ$5,),B169),INDEX(OFFSET(Arb!$A$2,,,Arb!$AJ$5,),B169))+ROW()*0.001)</f>
        <v>43800.169000000002</v>
      </c>
      <c r="K169" s="11">
        <v>168</v>
      </c>
      <c r="L169" s="11">
        <v>2406</v>
      </c>
      <c r="M169" s="433">
        <f ca="1">IF(L169="",64,INDEX(OFFSET(Arb!$I$2,,,Arb!$AJ$5,),L169))</f>
        <v>75</v>
      </c>
      <c r="N169" s="34">
        <f ca="1">IF(L169="",60,INDEX(OFFSET(Arb!$H$2,,,Arb!$AJ$5,),L169))</f>
        <v>27.28</v>
      </c>
      <c r="O169" s="33">
        <f t="shared" ca="1" si="21"/>
        <v>2.7492668621700878</v>
      </c>
      <c r="P169" s="33">
        <f ca="1">IF(L169="","",INDEX(OFFSET(Arb!$X$2,,,Arb!$AJ$5,),L169)/N169)</f>
        <v>2.8592375366568912</v>
      </c>
      <c r="Q169" s="33">
        <f ca="1">IF(L169="","",(INDEX(OFFSET(Arb!$U$2,,,Arb!$AJ$5,),L169)+INDEX(OFFSET(Arb!$V$2,,,Arb!$AJ$5,),L169))/N169)</f>
        <v>3.2624633431085042</v>
      </c>
      <c r="R169" s="33">
        <f t="shared" ca="1" si="22"/>
        <v>3.6802232000226338</v>
      </c>
      <c r="S169" s="21">
        <f t="shared" ca="1" si="23"/>
        <v>41.77192296354594</v>
      </c>
      <c r="T169" s="74">
        <f ca="1">IF(L169="","",DATE(INDEX(OFFSET(Arb!$C$2,,,Arb!$AJ$5,),L169),INDEX(OFFSET(Arb!$B$2,,,Arb!$AJ$5,),L169),INDEX(OFFSET(Arb!$A$2,,,Arb!$AJ$5,),L169))+ROW()*0.001)</f>
        <v>44168.169000000002</v>
      </c>
      <c r="U169" s="11">
        <v>168</v>
      </c>
      <c r="V169" s="11">
        <v>3117</v>
      </c>
      <c r="W169" s="433">
        <f ca="1">IF(V169="",164,INDEX(OFFSET(Arb!$I$2,,,Arb!$AJ$5,),V169))</f>
        <v>161</v>
      </c>
      <c r="X169" s="34">
        <f ca="1">IF(V169="",240,INDEX(OFFSET(Arb!$H$2,,,Arb!$AJ$5,),V169))</f>
        <v>68.3</v>
      </c>
      <c r="Y169" s="33">
        <f t="shared" ca="1" si="24"/>
        <v>2.3572474377745243</v>
      </c>
      <c r="Z169" s="33">
        <f ca="1">IF(V169="","",INDEX(OFFSET(Arb!$X$2,,,Arb!$AJ$5,),V169)/X169)</f>
        <v>2.9136163982430454</v>
      </c>
      <c r="AA169" s="33">
        <f ca="1">IF(V169="","",(INDEX(OFFSET(Arb!$U$2,,,Arb!$AJ$5,),V169)+INDEX(OFFSET(Arb!$V$2,,,Arb!$AJ$5,),V169))/X169)</f>
        <v>3.2064421669106884</v>
      </c>
      <c r="AB169" s="33">
        <f t="shared" ca="1" si="25"/>
        <v>8.1599842448502997</v>
      </c>
      <c r="AC169" s="21">
        <f t="shared" ca="1" si="26"/>
        <v>53.309049006378366</v>
      </c>
      <c r="AD169" s="74">
        <f ca="1">IF(V169="","",DATE(INDEX(OFFSET(Arb!$C$2,,,Arb!$AJ$5,),V169),INDEX(OFFSET(Arb!$B$2,,,Arb!$AJ$5,),V169),INDEX(OFFSET(Arb!$A$2,,,Arb!$AJ$5,),V169))+ROW()*0.001)</f>
        <v>44012.169000000002</v>
      </c>
    </row>
    <row r="170" spans="1:30" x14ac:dyDescent="0.25">
      <c r="A170" s="11">
        <v>169</v>
      </c>
      <c r="B170" s="11">
        <v>1552</v>
      </c>
      <c r="C170" s="433">
        <f ca="1">IF(B170="",16,INDEX(OFFSET(Arb!$I$2,,,Arb!$AJ$5,),B170))</f>
        <v>17</v>
      </c>
      <c r="D170" s="34">
        <f ca="1">IF(B170="",10,INDEX(OFFSET(Arb!$H$2,,,Arb!$AJ$5,),B170))</f>
        <v>4.88</v>
      </c>
      <c r="E170" s="33">
        <f t="shared" ca="1" si="18"/>
        <v>3.4836065573770494</v>
      </c>
      <c r="F170" s="33">
        <f ca="1">IF(B170="","",INDEX(OFFSET(Arb!$X$2,,,Arb!$AJ$5,),B170)/D170)</f>
        <v>4.7131147540983607</v>
      </c>
      <c r="G170" s="33">
        <f ca="1">IF(B170="","",(INDEX(OFFSET(Arb!$U$2,,,Arb!$AJ$5,),B170)+INDEX(OFFSET(Arb!$V$2,,,Arb!$AJ$5,),B170))/D170)</f>
        <v>5.5327868852459021</v>
      </c>
      <c r="H170" s="33">
        <f t="shared" ca="1" si="19"/>
        <v>0.87069244484867492</v>
      </c>
      <c r="I170" s="21">
        <f t="shared" ca="1" si="20"/>
        <v>54.323429908962282</v>
      </c>
      <c r="J170" s="74">
        <f ca="1">IF(B170="","",DATE(INDEX(OFFSET(Arb!$C$2,,,Arb!$AJ$5,),B170),INDEX(OFFSET(Arb!$B$2,,,Arb!$AJ$5,),B170),INDEX(OFFSET(Arb!$A$2,,,Arb!$AJ$5,),B170))+ROW()*0.001)</f>
        <v>43984.17</v>
      </c>
      <c r="K170" s="11">
        <v>169</v>
      </c>
      <c r="L170" s="11">
        <v>2099</v>
      </c>
      <c r="M170" s="433">
        <f ca="1">IF(L170="",64,INDEX(OFFSET(Arb!$I$2,,,Arb!$AJ$5,),L170))</f>
        <v>64</v>
      </c>
      <c r="N170" s="34">
        <f ca="1">IF(L170="",60,INDEX(OFFSET(Arb!$H$2,,,Arb!$AJ$5,),L170))</f>
        <v>24.85</v>
      </c>
      <c r="O170" s="33">
        <f t="shared" ca="1" si="21"/>
        <v>2.5754527162977867</v>
      </c>
      <c r="P170" s="33">
        <f ca="1">IF(L170="","",INDEX(OFFSET(Arb!$X$2,,,Arb!$AJ$5,),L170)/N170)</f>
        <v>3.4607645875251509</v>
      </c>
      <c r="Q170" s="33">
        <f ca="1">IF(L170="","",(INDEX(OFFSET(Arb!$U$2,,,Arb!$AJ$5,),L170)+INDEX(OFFSET(Arb!$V$2,,,Arb!$AJ$5,),L170))/N170)</f>
        <v>3.9436619718309855</v>
      </c>
      <c r="R170" s="33">
        <f t="shared" ca="1" si="22"/>
        <v>3.6802294322694205</v>
      </c>
      <c r="S170" s="21">
        <f t="shared" ca="1" si="23"/>
        <v>41.771852225311427</v>
      </c>
      <c r="T170" s="74">
        <f ca="1">IF(L170="","",DATE(INDEX(OFFSET(Arb!$C$2,,,Arb!$AJ$5,),L170),INDEX(OFFSET(Arb!$B$2,,,Arb!$AJ$5,),L170),INDEX(OFFSET(Arb!$A$2,,,Arb!$AJ$5,),L170))+ROW()*0.001)</f>
        <v>43810.17</v>
      </c>
      <c r="U170" s="11">
        <v>169</v>
      </c>
      <c r="V170" s="11">
        <v>3365</v>
      </c>
      <c r="W170" s="433">
        <f ca="1">IF(V170="",164,INDEX(OFFSET(Arb!$I$2,,,Arb!$AJ$5,),V170))</f>
        <v>195</v>
      </c>
      <c r="X170" s="34">
        <f ca="1">IF(V170="",240,INDEX(OFFSET(Arb!$H$2,,,Arb!$AJ$5,),V170))</f>
        <v>76.47</v>
      </c>
      <c r="Y170" s="33">
        <f t="shared" ca="1" si="24"/>
        <v>2.5500196155355042</v>
      </c>
      <c r="Z170" s="33">
        <f ca="1">IF(V170="","",INDEX(OFFSET(Arb!$X$2,,,Arb!$AJ$5,),V170)/X170)</f>
        <v>2.6415587812213941</v>
      </c>
      <c r="AA170" s="33">
        <f ca="1">IF(V170="","",(INDEX(OFFSET(Arb!$U$2,,,Arb!$AJ$5,),V170)+INDEX(OFFSET(Arb!$V$2,,,Arb!$AJ$5,),V170))/X170)</f>
        <v>3.0861775859814307</v>
      </c>
      <c r="AB170" s="33">
        <f t="shared" ca="1" si="25"/>
        <v>8.1639482280282003</v>
      </c>
      <c r="AC170" s="21">
        <f t="shared" ca="1" si="26"/>
        <v>53.283164940533155</v>
      </c>
      <c r="AD170" s="74">
        <f ca="1">IF(V170="","",DATE(INDEX(OFFSET(Arb!$C$2,,,Arb!$AJ$5,),V170),INDEX(OFFSET(Arb!$B$2,,,Arb!$AJ$5,),V170),INDEX(OFFSET(Arb!$A$2,,,Arb!$AJ$5,),V170))+ROW()*0.001)</f>
        <v>44107.17</v>
      </c>
    </row>
    <row r="171" spans="1:30" x14ac:dyDescent="0.25">
      <c r="A171" s="11">
        <v>170</v>
      </c>
      <c r="B171" s="11">
        <v>1551</v>
      </c>
      <c r="C171" s="433">
        <f ca="1">IF(B171="",16,INDEX(OFFSET(Arb!$I$2,,,Arb!$AJ$5,),B171))</f>
        <v>18</v>
      </c>
      <c r="D171" s="34">
        <f ca="1">IF(B171="",10,INDEX(OFFSET(Arb!$H$2,,,Arb!$AJ$5,),B171))</f>
        <v>5.05</v>
      </c>
      <c r="E171" s="33">
        <f t="shared" ca="1" si="18"/>
        <v>3.5643564356435644</v>
      </c>
      <c r="F171" s="33">
        <f ca="1">IF(B171="","",INDEX(OFFSET(Arb!$X$2,,,Arb!$AJ$5,),B171)/D171)</f>
        <v>4.5544554455445549</v>
      </c>
      <c r="G171" s="33">
        <f ca="1">IF(B171="","",(INDEX(OFFSET(Arb!$U$2,,,Arb!$AJ$5,),B171)+INDEX(OFFSET(Arb!$V$2,,,Arb!$AJ$5,),B171))/D171)</f>
        <v>5.7425742574257423</v>
      </c>
      <c r="H171" s="33">
        <f t="shared" ca="1" si="19"/>
        <v>0.87161127125880511</v>
      </c>
      <c r="I171" s="21">
        <f t="shared" ca="1" si="20"/>
        <v>54.266163781578314</v>
      </c>
      <c r="J171" s="74">
        <f ca="1">IF(B171="","",DATE(INDEX(OFFSET(Arb!$C$2,,,Arb!$AJ$5,),B171),INDEX(OFFSET(Arb!$B$2,,,Arb!$AJ$5,),B171),INDEX(OFFSET(Arb!$A$2,,,Arb!$AJ$5,),B171))+ROW()*0.001)</f>
        <v>43984.171000000002</v>
      </c>
      <c r="K171" s="11">
        <v>170</v>
      </c>
      <c r="L171" s="11">
        <v>2344</v>
      </c>
      <c r="M171" s="433">
        <f ca="1">IF(L171="",64,INDEX(OFFSET(Arb!$I$2,,,Arb!$AJ$5,),L171))</f>
        <v>84</v>
      </c>
      <c r="N171" s="34">
        <f ca="1">IF(L171="",60,INDEX(OFFSET(Arb!$H$2,,,Arb!$AJ$5,),L171))</f>
        <v>29.17</v>
      </c>
      <c r="O171" s="33">
        <f t="shared" ca="1" si="21"/>
        <v>2.8796708947548848</v>
      </c>
      <c r="P171" s="33">
        <f ca="1">IF(L171="","",INDEX(OFFSET(Arb!$X$2,,,Arb!$AJ$5,),L171)/N171)</f>
        <v>2.8453890983887553</v>
      </c>
      <c r="Q171" s="33">
        <f ca="1">IF(L171="","",(INDEX(OFFSET(Arb!$U$2,,,Arb!$AJ$5,),L171)+INDEX(OFFSET(Arb!$V$2,,,Arb!$AJ$5,),L171))/N171)</f>
        <v>3.0853616729516626</v>
      </c>
      <c r="R171" s="33">
        <f t="shared" ca="1" si="22"/>
        <v>3.6822446804949274</v>
      </c>
      <c r="S171" s="21">
        <f t="shared" ca="1" si="23"/>
        <v>41.748990992998671</v>
      </c>
      <c r="T171" s="74">
        <f ca="1">IF(L171="","",DATE(INDEX(OFFSET(Arb!$C$2,,,Arb!$AJ$5,),L171),INDEX(OFFSET(Arb!$B$2,,,Arb!$AJ$5,),L171),INDEX(OFFSET(Arb!$A$2,,,Arb!$AJ$5,),L171))+ROW()*0.001)</f>
        <v>44106.171000000002</v>
      </c>
      <c r="U171" s="11">
        <v>170</v>
      </c>
      <c r="V171" s="11">
        <v>3125</v>
      </c>
      <c r="W171" s="433">
        <f ca="1">IF(V171="",164,INDEX(OFFSET(Arb!$I$2,,,Arb!$AJ$5,),V171))</f>
        <v>180</v>
      </c>
      <c r="X171" s="34">
        <f ca="1">IF(V171="",240,INDEX(OFFSET(Arb!$H$2,,,Arb!$AJ$5,),V171))</f>
        <v>72.959999999999994</v>
      </c>
      <c r="Y171" s="33">
        <f t="shared" ca="1" si="24"/>
        <v>2.4671052631578951</v>
      </c>
      <c r="Z171" s="33">
        <f ca="1">IF(V171="","",INDEX(OFFSET(Arb!$X$2,,,Arb!$AJ$5,),V171)/X171)</f>
        <v>3.0564692982456143</v>
      </c>
      <c r="AA171" s="33">
        <f ca="1">IF(V171="","",(INDEX(OFFSET(Arb!$U$2,,,Arb!$AJ$5,),V171)+INDEX(OFFSET(Arb!$V$2,,,Arb!$AJ$5,),V171))/X171)</f>
        <v>3.3717105263157898</v>
      </c>
      <c r="AB171" s="33">
        <f t="shared" ca="1" si="25"/>
        <v>8.1652915813545448</v>
      </c>
      <c r="AC171" s="21">
        <f t="shared" ca="1" si="26"/>
        <v>53.274398797138538</v>
      </c>
      <c r="AD171" s="74">
        <f ca="1">IF(V171="","",DATE(INDEX(OFFSET(Arb!$C$2,,,Arb!$AJ$5,),V171),INDEX(OFFSET(Arb!$B$2,,,Arb!$AJ$5,),V171),INDEX(OFFSET(Arb!$A$2,,,Arb!$AJ$5,),V171))+ROW()*0.001)</f>
        <v>44014.171000000002</v>
      </c>
    </row>
    <row r="172" spans="1:30" x14ac:dyDescent="0.25">
      <c r="A172" s="11">
        <v>171</v>
      </c>
      <c r="B172" s="11">
        <v>809</v>
      </c>
      <c r="C172" s="433">
        <f ca="1">IF(B172="",16,INDEX(OFFSET(Arb!$I$2,,,Arb!$AJ$5,),B172))</f>
        <v>18</v>
      </c>
      <c r="D172" s="34">
        <f ca="1">IF(B172="",10,INDEX(OFFSET(Arb!$H$2,,,Arb!$AJ$5,),B172))</f>
        <v>5.05</v>
      </c>
      <c r="E172" s="33">
        <f t="shared" ca="1" si="18"/>
        <v>3.5643564356435644</v>
      </c>
      <c r="F172" s="33">
        <f ca="1">IF(B172="","",INDEX(OFFSET(Arb!$X$2,,,Arb!$AJ$5,),B172)/D172)</f>
        <v>3.7623762376237626</v>
      </c>
      <c r="G172" s="33">
        <f ca="1">IF(B172="","",(INDEX(OFFSET(Arb!$U$2,,,Arb!$AJ$5,),B172)+INDEX(OFFSET(Arb!$V$2,,,Arb!$AJ$5,),B172))/D172)</f>
        <v>4.7524752475247523</v>
      </c>
      <c r="H172" s="33">
        <f t="shared" ca="1" si="19"/>
        <v>0.87161127125880511</v>
      </c>
      <c r="I172" s="21">
        <f t="shared" ca="1" si="20"/>
        <v>54.266163781578314</v>
      </c>
      <c r="J172" s="74">
        <f ca="1">IF(B172="","",DATE(INDEX(OFFSET(Arb!$C$2,,,Arb!$AJ$5,),B172),INDEX(OFFSET(Arb!$B$2,,,Arb!$AJ$5,),B172),INDEX(OFFSET(Arb!$A$2,,,Arb!$AJ$5,),B172))+ROW()*0.001)</f>
        <v>43811.171999999999</v>
      </c>
      <c r="K172" s="11">
        <v>171</v>
      </c>
      <c r="L172" s="11">
        <v>1989</v>
      </c>
      <c r="M172" s="433">
        <f ca="1">IF(L172="",64,INDEX(OFFSET(Arb!$I$2,,,Arb!$AJ$5,),L172))</f>
        <v>80</v>
      </c>
      <c r="N172" s="34">
        <f ca="1">IF(L172="",60,INDEX(OFFSET(Arb!$H$2,,,Arb!$AJ$5,),L172))</f>
        <v>28.37</v>
      </c>
      <c r="O172" s="33">
        <f t="shared" ca="1" si="21"/>
        <v>2.8198801550934083</v>
      </c>
      <c r="P172" s="33">
        <f ca="1">IF(L172="","",INDEX(OFFSET(Arb!$X$2,,,Arb!$AJ$5,),L172)/N172)</f>
        <v>3.7010927035600987</v>
      </c>
      <c r="Q172" s="33">
        <f ca="1">IF(L172="","",(INDEX(OFFSET(Arb!$U$2,,,Arb!$AJ$5,),L172)+INDEX(OFFSET(Arb!$V$2,,,Arb!$AJ$5,),L172))/N172)</f>
        <v>4.194571730701445</v>
      </c>
      <c r="R172" s="33">
        <f t="shared" ca="1" si="22"/>
        <v>3.6878299230503893</v>
      </c>
      <c r="S172" s="21">
        <f t="shared" ca="1" si="23"/>
        <v>41.685761872890872</v>
      </c>
      <c r="T172" s="74">
        <f ca="1">IF(L172="","",DATE(INDEX(OFFSET(Arb!$C$2,,,Arb!$AJ$5,),L172),INDEX(OFFSET(Arb!$B$2,,,Arb!$AJ$5,),L172),INDEX(OFFSET(Arb!$A$2,,,Arb!$AJ$5,),L172))+ROW()*0.001)</f>
        <v>43784.171999999999</v>
      </c>
      <c r="U172" s="11">
        <v>171</v>
      </c>
      <c r="V172" s="11">
        <v>2953</v>
      </c>
      <c r="W172" s="433">
        <f ca="1">IF(V172="",164,INDEX(OFFSET(Arb!$I$2,,,Arb!$AJ$5,),V172))</f>
        <v>198</v>
      </c>
      <c r="X172" s="34">
        <f ca="1">IF(V172="",240,INDEX(OFFSET(Arb!$H$2,,,Arb!$AJ$5,),V172))</f>
        <v>77.180000000000007</v>
      </c>
      <c r="Y172" s="33">
        <f t="shared" ca="1" si="24"/>
        <v>2.5654314589271832</v>
      </c>
      <c r="Z172" s="33">
        <f ca="1">IF(V172="","",INDEX(OFFSET(Arb!$X$2,,,Arb!$AJ$5,),V172)/X172)</f>
        <v>3.0318735423684888</v>
      </c>
      <c r="AA172" s="33">
        <f ca="1">IF(V172="","",(INDEX(OFFSET(Arb!$U$2,,,Arb!$AJ$5,),V172)+INDEX(OFFSET(Arb!$V$2,,,Arb!$AJ$5,),V172))/X172)</f>
        <v>3.3298782067893233</v>
      </c>
      <c r="AB172" s="33">
        <f t="shared" ca="1" si="25"/>
        <v>8.1675711408559124</v>
      </c>
      <c r="AC172" s="21">
        <f t="shared" ca="1" si="26"/>
        <v>53.259529975078308</v>
      </c>
      <c r="AD172" s="74">
        <f ca="1">IF(V172="","",DATE(INDEX(OFFSET(Arb!$C$2,,,Arb!$AJ$5,),V172),INDEX(OFFSET(Arb!$B$2,,,Arb!$AJ$5,),V172),INDEX(OFFSET(Arb!$A$2,,,Arb!$AJ$5,),V172))+ROW()*0.001)</f>
        <v>43949.171999999999</v>
      </c>
    </row>
    <row r="173" spans="1:30" x14ac:dyDescent="0.25">
      <c r="A173" s="11">
        <v>172</v>
      </c>
      <c r="B173" s="11">
        <v>825</v>
      </c>
      <c r="C173" s="433">
        <f ca="1">IF(B173="",16,INDEX(OFFSET(Arb!$I$2,,,Arb!$AJ$5,),B173))</f>
        <v>12</v>
      </c>
      <c r="D173" s="34">
        <f ca="1">IF(B173="",10,INDEX(OFFSET(Arb!$H$2,,,Arb!$AJ$5,),B173))</f>
        <v>3.98</v>
      </c>
      <c r="E173" s="33">
        <f t="shared" ca="1" si="18"/>
        <v>3.0150753768844223</v>
      </c>
      <c r="F173" s="33">
        <f ca="1">IF(B173="","",INDEX(OFFSET(Arb!$X$2,,,Arb!$AJ$5,),B173)/D173)</f>
        <v>4.0201005025125625</v>
      </c>
      <c r="G173" s="33">
        <f ca="1">IF(B173="","",(INDEX(OFFSET(Arb!$U$2,,,Arb!$AJ$5,),B173)+INDEX(OFFSET(Arb!$V$2,,,Arb!$AJ$5,),B173))/D173)</f>
        <v>4.7738693467336688</v>
      </c>
      <c r="H173" s="33">
        <f t="shared" ca="1" si="19"/>
        <v>0.87220782069421443</v>
      </c>
      <c r="I173" s="21">
        <f t="shared" ca="1" si="20"/>
        <v>54.229048258651716</v>
      </c>
      <c r="J173" s="74">
        <f ca="1">IF(B173="","",DATE(INDEX(OFFSET(Arb!$C$2,,,Arb!$AJ$5,),B173),INDEX(OFFSET(Arb!$B$2,,,Arb!$AJ$5,),B173),INDEX(OFFSET(Arb!$A$2,,,Arb!$AJ$5,),B173))+ROW()*0.001)</f>
        <v>43812.173000000003</v>
      </c>
      <c r="K173" s="11">
        <v>172</v>
      </c>
      <c r="L173" s="11">
        <v>2327</v>
      </c>
      <c r="M173" s="433">
        <f ca="1">IF(L173="",64,INDEX(OFFSET(Arb!$I$2,,,Arb!$AJ$5,),L173))</f>
        <v>73</v>
      </c>
      <c r="N173" s="34">
        <f ca="1">IF(L173="",60,INDEX(OFFSET(Arb!$H$2,,,Arb!$AJ$5,),L173))</f>
        <v>26.89</v>
      </c>
      <c r="O173" s="33">
        <f t="shared" ca="1" si="21"/>
        <v>2.7147638527333582</v>
      </c>
      <c r="P173" s="33">
        <f ca="1">IF(L173="","",INDEX(OFFSET(Arb!$X$2,,,Arb!$AJ$5,),L173)/N173)</f>
        <v>3.4957233172182969</v>
      </c>
      <c r="Q173" s="33">
        <f ca="1">IF(L173="","",(INDEX(OFFSET(Arb!$U$2,,,Arb!$AJ$5,),L173)+INDEX(OFFSET(Arb!$V$2,,,Arb!$AJ$5,),L173))/N173)</f>
        <v>3.9419858683525475</v>
      </c>
      <c r="R173" s="33">
        <f t="shared" ca="1" si="22"/>
        <v>3.6896188437072501</v>
      </c>
      <c r="S173" s="21">
        <f t="shared" ca="1" si="23"/>
        <v>41.6655504300101</v>
      </c>
      <c r="T173" s="74">
        <f ca="1">IF(L173="","",DATE(INDEX(OFFSET(Arb!$C$2,,,Arb!$AJ$5,),L173),INDEX(OFFSET(Arb!$B$2,,,Arb!$AJ$5,),L173),INDEX(OFFSET(Arb!$A$2,,,Arb!$AJ$5,),L173))+ROW()*0.001)</f>
        <v>44089.173000000003</v>
      </c>
      <c r="U173" s="11">
        <v>172</v>
      </c>
      <c r="V173" s="11">
        <v>3115</v>
      </c>
      <c r="W173" s="433">
        <f ca="1">IF(V173="",164,INDEX(OFFSET(Arb!$I$2,,,Arb!$AJ$5,),V173))</f>
        <v>164</v>
      </c>
      <c r="X173" s="34">
        <f ca="1">IF(V173="",240,INDEX(OFFSET(Arb!$H$2,,,Arb!$AJ$5,),V173))</f>
        <v>69.099999999999994</v>
      </c>
      <c r="Y173" s="33">
        <f t="shared" ca="1" si="24"/>
        <v>2.3733719247467442</v>
      </c>
      <c r="Z173" s="33">
        <f ca="1">IF(V173="","",INDEX(OFFSET(Arb!$X$2,,,Arb!$AJ$5,),V173)/X173)</f>
        <v>2.8798842257597688</v>
      </c>
      <c r="AA173" s="33">
        <f ca="1">IF(V173="","",(INDEX(OFFSET(Arb!$U$2,,,Arb!$AJ$5,),V173)+INDEX(OFFSET(Arb!$V$2,,,Arb!$AJ$5,),V173))/X173)</f>
        <v>3.1982633863965271</v>
      </c>
      <c r="AB173" s="33">
        <f t="shared" ca="1" si="25"/>
        <v>8.1708800022973929</v>
      </c>
      <c r="AC173" s="21">
        <f t="shared" ca="1" si="26"/>
        <v>53.237962113957302</v>
      </c>
      <c r="AD173" s="74">
        <f ca="1">IF(V173="","",DATE(INDEX(OFFSET(Arb!$C$2,,,Arb!$AJ$5,),V173),INDEX(OFFSET(Arb!$B$2,,,Arb!$AJ$5,),V173),INDEX(OFFSET(Arb!$A$2,,,Arb!$AJ$5,),V173))+ROW()*0.001)</f>
        <v>44012.173000000003</v>
      </c>
    </row>
    <row r="174" spans="1:30" x14ac:dyDescent="0.25">
      <c r="A174" s="11">
        <v>173</v>
      </c>
      <c r="B174" s="11">
        <v>1033</v>
      </c>
      <c r="C174" s="433">
        <f ca="1">IF(B174="",16,INDEX(OFFSET(Arb!$I$2,,,Arb!$AJ$5,),B174))</f>
        <v>14</v>
      </c>
      <c r="D174" s="34">
        <f ca="1">IF(B174="",10,INDEX(OFFSET(Arb!$H$2,,,Arb!$AJ$5,),B174))</f>
        <v>4.3600000000000003</v>
      </c>
      <c r="E174" s="33">
        <f t="shared" ca="1" si="18"/>
        <v>3.2110091743119265</v>
      </c>
      <c r="F174" s="33">
        <f ca="1">IF(B174="","",INDEX(OFFSET(Arb!$X$2,,,Arb!$AJ$5,),B174)/D174)</f>
        <v>3.4403669724770638</v>
      </c>
      <c r="G174" s="33">
        <f ca="1">IF(B174="","",(INDEX(OFFSET(Arb!$U$2,,,Arb!$AJ$5,),B174)+INDEX(OFFSET(Arb!$V$2,,,Arb!$AJ$5,),B174))/D174)</f>
        <v>3.8990825688073389</v>
      </c>
      <c r="H174" s="33">
        <f t="shared" ca="1" si="19"/>
        <v>0.8729693504167283</v>
      </c>
      <c r="I174" s="21">
        <f t="shared" ca="1" si="20"/>
        <v>54.181741864615219</v>
      </c>
      <c r="J174" s="74">
        <f ca="1">IF(B174="","",DATE(INDEX(OFFSET(Arb!$C$2,,,Arb!$AJ$5,),B174),INDEX(OFFSET(Arb!$B$2,,,Arb!$AJ$5,),B174),INDEX(OFFSET(Arb!$A$2,,,Arb!$AJ$5,),B174))+ROW()*0.001)</f>
        <v>43841.173999999999</v>
      </c>
      <c r="K174" s="11">
        <v>173</v>
      </c>
      <c r="L174" s="11">
        <v>2046</v>
      </c>
      <c r="M174" s="433">
        <f ca="1">IF(L174="",64,INDEX(OFFSET(Arb!$I$2,,,Arb!$AJ$5,),L174))</f>
        <v>68</v>
      </c>
      <c r="N174" s="34">
        <f ca="1">IF(L174="",60,INDEX(OFFSET(Arb!$H$2,,,Arb!$AJ$5,),L174))</f>
        <v>25.8</v>
      </c>
      <c r="O174" s="33">
        <f t="shared" ca="1" si="21"/>
        <v>2.635658914728682</v>
      </c>
      <c r="P174" s="33">
        <f ca="1">IF(L174="","",INDEX(OFFSET(Arb!$X$2,,,Arb!$AJ$5,),L174)/N174)</f>
        <v>3.4108527131782944</v>
      </c>
      <c r="Q174" s="33">
        <f ca="1">IF(L174="","",(INDEX(OFFSET(Arb!$U$2,,,Arb!$AJ$5,),L174)+INDEX(OFFSET(Arb!$V$2,,,Arb!$AJ$5,),L174))/N174)</f>
        <v>3.9147286821705425</v>
      </c>
      <c r="R174" s="33">
        <f t="shared" ca="1" si="22"/>
        <v>3.6918545914504239</v>
      </c>
      <c r="S174" s="21">
        <f t="shared" ca="1" si="23"/>
        <v>41.64031821730115</v>
      </c>
      <c r="T174" s="74">
        <f ca="1">IF(L174="","",DATE(INDEX(OFFSET(Arb!$C$2,,,Arb!$AJ$5,),L174),INDEX(OFFSET(Arb!$B$2,,,Arb!$AJ$5,),L174),INDEX(OFFSET(Arb!$A$2,,,Arb!$AJ$5,),L174))+ROW()*0.001)</f>
        <v>43798.173999999999</v>
      </c>
      <c r="U174" s="11">
        <v>173</v>
      </c>
      <c r="V174" s="11">
        <v>3260</v>
      </c>
      <c r="W174" s="433">
        <f ca="1">IF(V174="",164,INDEX(OFFSET(Arb!$I$2,,,Arb!$AJ$5,),V174))</f>
        <v>143</v>
      </c>
      <c r="X174" s="34">
        <f ca="1">IF(V174="",240,INDEX(OFFSET(Arb!$H$2,,,Arb!$AJ$5,),V174))</f>
        <v>63.79</v>
      </c>
      <c r="Y174" s="33">
        <f t="shared" ca="1" si="24"/>
        <v>2.2417306787897791</v>
      </c>
      <c r="Z174" s="33">
        <f ca="1">IF(V174="","",INDEX(OFFSET(Arb!$X$2,,,Arb!$AJ$5,),V174)/X174)</f>
        <v>2.8060824580655277</v>
      </c>
      <c r="AA174" s="33">
        <f ca="1">IF(V174="","",(INDEX(OFFSET(Arb!$U$2,,,Arb!$AJ$5,),V174)+INDEX(OFFSET(Arb!$V$2,,,Arb!$AJ$5,),V174))/X174)</f>
        <v>3.1823169775826932</v>
      </c>
      <c r="AB174" s="33">
        <f t="shared" ca="1" si="25"/>
        <v>8.1798132049371155</v>
      </c>
      <c r="AC174" s="21">
        <f t="shared" ca="1" si="26"/>
        <v>53.179820749139488</v>
      </c>
      <c r="AD174" s="74">
        <f ca="1">IF(V174="","",DATE(INDEX(OFFSET(Arb!$C$2,,,Arb!$AJ$5,),V174),INDEX(OFFSET(Arb!$B$2,,,Arb!$AJ$5,),V174),INDEX(OFFSET(Arb!$A$2,,,Arb!$AJ$5,),V174))+ROW()*0.001)</f>
        <v>44071.173999999999</v>
      </c>
    </row>
    <row r="175" spans="1:30" x14ac:dyDescent="0.25">
      <c r="A175" s="11">
        <v>174</v>
      </c>
      <c r="B175" s="11">
        <v>1283</v>
      </c>
      <c r="C175" s="433">
        <f ca="1">IF(B175="",16,INDEX(OFFSET(Arb!$I$2,,,Arb!$AJ$5,),B175))</f>
        <v>19</v>
      </c>
      <c r="D175" s="34">
        <f ca="1">IF(B175="",10,INDEX(OFFSET(Arb!$H$2,,,Arb!$AJ$5,),B175))</f>
        <v>5.22</v>
      </c>
      <c r="E175" s="33">
        <f t="shared" ca="1" si="18"/>
        <v>3.6398467432950192</v>
      </c>
      <c r="F175" s="33">
        <f ca="1">IF(B175="","",INDEX(OFFSET(Arb!$X$2,,,Arb!$AJ$5,),B175)/D175)</f>
        <v>4.7892720306513414</v>
      </c>
      <c r="G175" s="33">
        <f ca="1">IF(B175="","",(INDEX(OFFSET(Arb!$U$2,,,Arb!$AJ$5,),B175)+INDEX(OFFSET(Arb!$V$2,,,Arb!$AJ$5,),B175))/D175)</f>
        <v>5.7471264367816097</v>
      </c>
      <c r="H175" s="33">
        <f t="shared" ca="1" si="19"/>
        <v>0.87354695491131584</v>
      </c>
      <c r="I175" s="21">
        <f t="shared" ca="1" si="20"/>
        <v>54.145915951137262</v>
      </c>
      <c r="J175" s="74">
        <f ca="1">IF(B175="","",DATE(INDEX(OFFSET(Arb!$C$2,,,Arb!$AJ$5,),B175),INDEX(OFFSET(Arb!$B$2,,,Arb!$AJ$5,),B175),INDEX(OFFSET(Arb!$A$2,,,Arb!$AJ$5,),B175))+ROW()*0.001)</f>
        <v>43906.175000000003</v>
      </c>
      <c r="K175" s="11">
        <v>174</v>
      </c>
      <c r="L175" s="11">
        <v>2086</v>
      </c>
      <c r="M175" s="433">
        <f ca="1">IF(L175="",64,INDEX(OFFSET(Arb!$I$2,,,Arb!$AJ$5,),L175))</f>
        <v>58</v>
      </c>
      <c r="N175" s="34">
        <f ca="1">IF(L175="",60,INDEX(OFFSET(Arb!$H$2,,,Arb!$AJ$5,),L175))</f>
        <v>23.5</v>
      </c>
      <c r="O175" s="33">
        <f t="shared" ca="1" si="21"/>
        <v>2.4680851063829787</v>
      </c>
      <c r="P175" s="33">
        <f ca="1">IF(L175="","",INDEX(OFFSET(Arb!$X$2,,,Arb!$AJ$5,),L175)/N175)</f>
        <v>3.1914893617021276</v>
      </c>
      <c r="Q175" s="33">
        <f ca="1">IF(L175="","",(INDEX(OFFSET(Arb!$U$2,,,Arb!$AJ$5,),L175)+INDEX(OFFSET(Arb!$V$2,,,Arb!$AJ$5,),L175))/N175)</f>
        <v>3.7872340425531914</v>
      </c>
      <c r="R175" s="33">
        <f t="shared" ca="1" si="22"/>
        <v>3.6930685779418466</v>
      </c>
      <c r="S175" s="21">
        <f t="shared" ca="1" si="23"/>
        <v>41.626630200751372</v>
      </c>
      <c r="T175" s="74">
        <f ca="1">IF(L175="","",DATE(INDEX(OFFSET(Arb!$C$2,,,Arb!$AJ$5,),L175),INDEX(OFFSET(Arb!$B$2,,,Arb!$AJ$5,),L175),INDEX(OFFSET(Arb!$A$2,,,Arb!$AJ$5,),L175))+ROW()*0.001)</f>
        <v>43809.175000000003</v>
      </c>
      <c r="U175" s="11">
        <v>174</v>
      </c>
      <c r="V175" s="11">
        <v>3292</v>
      </c>
      <c r="W175" s="433">
        <f ca="1">IF(V175="",164,INDEX(OFFSET(Arb!$I$2,,,Arb!$AJ$5,),V175))</f>
        <v>178</v>
      </c>
      <c r="X175" s="34">
        <f ca="1">IF(V175="",240,INDEX(OFFSET(Arb!$H$2,,,Arb!$AJ$5,),V175))</f>
        <v>72.56</v>
      </c>
      <c r="Y175" s="33">
        <f t="shared" ca="1" si="24"/>
        <v>2.4531422271223815</v>
      </c>
      <c r="Z175" s="33">
        <f ca="1">IF(V175="","",INDEX(OFFSET(Arb!$X$2,,,Arb!$AJ$5,),V175)/X175)</f>
        <v>2.8252480705622931</v>
      </c>
      <c r="AA175" s="33">
        <f ca="1">IF(V175="","",(INDEX(OFFSET(Arb!$U$2,,,Arb!$AJ$5,),V175)+INDEX(OFFSET(Arb!$V$2,,,Arb!$AJ$5,),V175))/X175)</f>
        <v>3.1284454244762956</v>
      </c>
      <c r="AB175" s="33">
        <f t="shared" ca="1" si="25"/>
        <v>8.1802271532872446</v>
      </c>
      <c r="AC175" s="21">
        <f t="shared" ca="1" si="26"/>
        <v>53.177129662615023</v>
      </c>
      <c r="AD175" s="74">
        <f ca="1">IF(V175="","",DATE(INDEX(OFFSET(Arb!$C$2,,,Arb!$AJ$5,),V175),INDEX(OFFSET(Arb!$B$2,,,Arb!$AJ$5,),V175),INDEX(OFFSET(Arb!$A$2,,,Arb!$AJ$5,),V175))+ROW()*0.001)</f>
        <v>44084.175000000003</v>
      </c>
    </row>
    <row r="176" spans="1:30" x14ac:dyDescent="0.25">
      <c r="A176" s="11">
        <v>175</v>
      </c>
      <c r="B176" s="11">
        <v>1358</v>
      </c>
      <c r="C176" s="433">
        <f ca="1">IF(B176="",16,INDEX(OFFSET(Arb!$I$2,,,Arb!$AJ$5,),B176))</f>
        <v>21</v>
      </c>
      <c r="D176" s="34">
        <f ca="1">IF(B176="",10,INDEX(OFFSET(Arb!$H$2,,,Arb!$AJ$5,),B176))</f>
        <v>5.54</v>
      </c>
      <c r="E176" s="33">
        <f t="shared" ca="1" si="18"/>
        <v>3.7906137184115525</v>
      </c>
      <c r="F176" s="33">
        <f ca="1">IF(B176="","",INDEX(OFFSET(Arb!$X$2,,,Arb!$AJ$5,),B176)/D176)</f>
        <v>4.512635379061372</v>
      </c>
      <c r="G176" s="33">
        <f ca="1">IF(B176="","",(INDEX(OFFSET(Arb!$U$2,,,Arb!$AJ$5,),B176)+INDEX(OFFSET(Arb!$V$2,,,Arb!$AJ$5,),B176))/D176)</f>
        <v>5.2346570397111911</v>
      </c>
      <c r="H176" s="33">
        <f t="shared" ca="1" si="19"/>
        <v>0.87447481309302044</v>
      </c>
      <c r="I176" s="21">
        <f t="shared" ca="1" si="20"/>
        <v>54.088464632506991</v>
      </c>
      <c r="J176" s="74">
        <f ca="1">IF(B176="","",DATE(INDEX(OFFSET(Arb!$C$2,,,Arb!$AJ$5,),B176),INDEX(OFFSET(Arb!$B$2,,,Arb!$AJ$5,),B176),INDEX(OFFSET(Arb!$A$2,,,Arb!$AJ$5,),B176))+ROW()*0.001)</f>
        <v>43935.175999999999</v>
      </c>
      <c r="K176" s="11">
        <v>175</v>
      </c>
      <c r="L176" s="11">
        <v>1894</v>
      </c>
      <c r="M176" s="433">
        <f ca="1">IF(L176="",64,INDEX(OFFSET(Arb!$I$2,,,Arb!$AJ$5,),L176))</f>
        <v>65</v>
      </c>
      <c r="N176" s="34">
        <f ca="1">IF(L176="",60,INDEX(OFFSET(Arb!$H$2,,,Arb!$AJ$5,),L176))</f>
        <v>25.13</v>
      </c>
      <c r="O176" s="33">
        <f t="shared" ca="1" si="21"/>
        <v>2.5865499403103862</v>
      </c>
      <c r="P176" s="33">
        <f ca="1">IF(L176="","",INDEX(OFFSET(Arb!$X$2,,,Arb!$AJ$5,),L176)/N176)</f>
        <v>2.8651014723438122</v>
      </c>
      <c r="Q176" s="33">
        <f ca="1">IF(L176="","",(INDEX(OFFSET(Arb!$U$2,,,Arb!$AJ$5,),L176)+INDEX(OFFSET(Arb!$V$2,,,Arb!$AJ$5,),L176))/N176)</f>
        <v>2.9446876243533628</v>
      </c>
      <c r="R176" s="33">
        <f t="shared" ca="1" si="22"/>
        <v>3.6932939445041595</v>
      </c>
      <c r="S176" s="21">
        <f t="shared" ca="1" si="23"/>
        <v>41.624090123874204</v>
      </c>
      <c r="T176" s="74">
        <f ca="1">IF(L176="","",DATE(INDEX(OFFSET(Arb!$C$2,,,Arb!$AJ$5,),L176),INDEX(OFFSET(Arb!$B$2,,,Arb!$AJ$5,),L176),INDEX(OFFSET(Arb!$A$2,,,Arb!$AJ$5,),L176))+ROW()*0.001)</f>
        <v>43764.175999999999</v>
      </c>
      <c r="U176" s="11">
        <v>175</v>
      </c>
      <c r="V176" s="11">
        <v>2630</v>
      </c>
      <c r="W176" s="433">
        <f ca="1">IF(V176="",164,INDEX(OFFSET(Arb!$I$2,,,Arb!$AJ$5,),V176))</f>
        <v>161</v>
      </c>
      <c r="X176" s="34">
        <f ca="1">IF(V176="",240,INDEX(OFFSET(Arb!$H$2,,,Arb!$AJ$5,),V176))</f>
        <v>68.42</v>
      </c>
      <c r="Y176" s="33">
        <f t="shared" ca="1" si="24"/>
        <v>2.3531131248173049</v>
      </c>
      <c r="Z176" s="33">
        <f ca="1">IF(V176="","",INDEX(OFFSET(Arb!$X$2,,,Arb!$AJ$5,),V176)/X176)</f>
        <v>2.8061970184156677</v>
      </c>
      <c r="AA176" s="33">
        <f ca="1">IF(V176="","",(INDEX(OFFSET(Arb!$U$2,,,Arb!$AJ$5,),V176)+INDEX(OFFSET(Arb!$V$2,,,Arb!$AJ$5,),V176))/X176)</f>
        <v>3.215434083601286</v>
      </c>
      <c r="AB176" s="33">
        <f t="shared" ca="1" si="25"/>
        <v>8.1843716569754932</v>
      </c>
      <c r="AC176" s="21">
        <f t="shared" ca="1" si="26"/>
        <v>53.150201167764799</v>
      </c>
      <c r="AD176" s="74">
        <f ca="1">IF(V176="","",DATE(INDEX(OFFSET(Arb!$C$2,,,Arb!$AJ$5,),V176),INDEX(OFFSET(Arb!$B$2,,,Arb!$AJ$5,),V176),INDEX(OFFSET(Arb!$A$2,,,Arb!$AJ$5,),V176))+ROW()*0.001)</f>
        <v>43815.175999999999</v>
      </c>
    </row>
    <row r="177" spans="1:30" x14ac:dyDescent="0.25">
      <c r="A177" s="11">
        <v>176</v>
      </c>
      <c r="B177" s="11">
        <v>624</v>
      </c>
      <c r="C177" s="433">
        <f ca="1">IF(B177="",16,INDEX(OFFSET(Arb!$I$2,,,Arb!$AJ$5,),B177))</f>
        <v>21</v>
      </c>
      <c r="D177" s="34">
        <f ca="1">IF(B177="",10,INDEX(OFFSET(Arb!$H$2,,,Arb!$AJ$5,),B177))</f>
        <v>5.54</v>
      </c>
      <c r="E177" s="33">
        <f t="shared" ca="1" si="18"/>
        <v>3.7906137184115525</v>
      </c>
      <c r="F177" s="33">
        <f ca="1">IF(B177="","",INDEX(OFFSET(Arb!$X$2,,,Arb!$AJ$5,),B177)/D177)</f>
        <v>4.3321299638989172</v>
      </c>
      <c r="G177" s="33">
        <f ca="1">IF(B177="","",(INDEX(OFFSET(Arb!$U$2,,,Arb!$AJ$5,),B177)+INDEX(OFFSET(Arb!$V$2,,,Arb!$AJ$5,),B177))/D177)</f>
        <v>5.0541516245487363</v>
      </c>
      <c r="H177" s="33">
        <f t="shared" ca="1" si="19"/>
        <v>0.87447481309302044</v>
      </c>
      <c r="I177" s="21">
        <f t="shared" ca="1" si="20"/>
        <v>54.088464632506991</v>
      </c>
      <c r="J177" s="74">
        <f ca="1">IF(B177="","",DATE(INDEX(OFFSET(Arb!$C$2,,,Arb!$AJ$5,),B177),INDEX(OFFSET(Arb!$B$2,,,Arb!$AJ$5,),B177),INDEX(OFFSET(Arb!$A$2,,,Arb!$AJ$5,),B177))+ROW()*0.001)</f>
        <v>43799.177000000003</v>
      </c>
      <c r="K177" s="11">
        <v>176</v>
      </c>
      <c r="L177" s="11">
        <v>2117</v>
      </c>
      <c r="M177" s="433">
        <f ca="1">IF(L177="",64,INDEX(OFFSET(Arb!$I$2,,,Arb!$AJ$5,),L177))</f>
        <v>73</v>
      </c>
      <c r="N177" s="34">
        <f ca="1">IF(L177="",60,INDEX(OFFSET(Arb!$H$2,,,Arb!$AJ$5,),L177))</f>
        <v>26.93</v>
      </c>
      <c r="O177" s="33">
        <f t="shared" ca="1" si="21"/>
        <v>2.7107315261789826</v>
      </c>
      <c r="P177" s="33">
        <f ca="1">IF(L177="","",INDEX(OFFSET(Arb!$X$2,,,Arb!$AJ$5,),L177)/N177)</f>
        <v>3.527664314890457</v>
      </c>
      <c r="Q177" s="33">
        <f ca="1">IF(L177="","",(INDEX(OFFSET(Arb!$U$2,,,Arb!$AJ$5,),L177)+INDEX(OFFSET(Arb!$V$2,,,Arb!$AJ$5,),L177))/N177)</f>
        <v>3.8618640920906051</v>
      </c>
      <c r="R177" s="33">
        <f t="shared" ca="1" si="22"/>
        <v>3.6989540868219861</v>
      </c>
      <c r="S177" s="21">
        <f t="shared" ca="1" si="23"/>
        <v>41.560396909949077</v>
      </c>
      <c r="T177" s="74">
        <f ca="1">IF(L177="","",DATE(INDEX(OFFSET(Arb!$C$2,,,Arb!$AJ$5,),L177),INDEX(OFFSET(Arb!$B$2,,,Arb!$AJ$5,),L177),INDEX(OFFSET(Arb!$A$2,,,Arb!$AJ$5,),L177))+ROW()*0.001)</f>
        <v>43811.177000000003</v>
      </c>
      <c r="U177" s="11">
        <v>176</v>
      </c>
      <c r="V177" s="11">
        <v>3448</v>
      </c>
      <c r="W177" s="433">
        <f ca="1">IF(V177="",164,INDEX(OFFSET(Arb!$I$2,,,Arb!$AJ$5,),V177))</f>
        <v>176</v>
      </c>
      <c r="X177" s="34">
        <f ca="1">IF(V177="",240,INDEX(OFFSET(Arb!$H$2,,,Arb!$AJ$5,),V177))</f>
        <v>72.12</v>
      </c>
      <c r="Y177" s="33">
        <f t="shared" ca="1" si="24"/>
        <v>2.4403771491957849</v>
      </c>
      <c r="Z177" s="33">
        <f ca="1">IF(V177="","",INDEX(OFFSET(Arb!$X$2,,,Arb!$AJ$5,),V177)/X177)</f>
        <v>2.7315585135884635</v>
      </c>
      <c r="AA177" s="33">
        <f ca="1">IF(V177="","",(INDEX(OFFSET(Arb!$U$2,,,Arb!$AJ$5,),V177)+INDEX(OFFSET(Arb!$V$2,,,Arb!$AJ$5,),V177))/X177)</f>
        <v>3.0366056572379367</v>
      </c>
      <c r="AB177" s="33">
        <f t="shared" ca="1" si="25"/>
        <v>8.1880795413408762</v>
      </c>
      <c r="AC177" s="21">
        <f t="shared" ca="1" si="26"/>
        <v>53.126132666850523</v>
      </c>
      <c r="AD177" s="74">
        <f ca="1">IF(V177="","",DATE(INDEX(OFFSET(Arb!$C$2,,,Arb!$AJ$5,),V177),INDEX(OFFSET(Arb!$B$2,,,Arb!$AJ$5,),V177),INDEX(OFFSET(Arb!$A$2,,,Arb!$AJ$5,),V177))+ROW()*0.001)</f>
        <v>44177.177000000003</v>
      </c>
    </row>
    <row r="178" spans="1:30" x14ac:dyDescent="0.25">
      <c r="A178" s="11">
        <v>177</v>
      </c>
      <c r="B178" s="11">
        <v>1495</v>
      </c>
      <c r="C178" s="433">
        <f ca="1">IF(B178="",16,INDEX(OFFSET(Arb!$I$2,,,Arb!$AJ$5,),B178))</f>
        <v>12</v>
      </c>
      <c r="D178" s="34">
        <f ca="1">IF(B178="",10,INDEX(OFFSET(Arb!$H$2,,,Arb!$AJ$5,),B178))</f>
        <v>3.99</v>
      </c>
      <c r="E178" s="33">
        <f t="shared" ca="1" si="18"/>
        <v>3.007518796992481</v>
      </c>
      <c r="F178" s="33">
        <f ca="1">IF(B178="","",INDEX(OFFSET(Arb!$X$2,,,Arb!$AJ$5,),B178)/D178)</f>
        <v>3.5087719298245612</v>
      </c>
      <c r="G178" s="33">
        <f ca="1">IF(B178="","",(INDEX(OFFSET(Arb!$U$2,,,Arb!$AJ$5,),B178)+INDEX(OFFSET(Arb!$V$2,,,Arb!$AJ$5,),B178))/D178)</f>
        <v>4.0100250626566414</v>
      </c>
      <c r="H178" s="33">
        <f t="shared" ca="1" si="19"/>
        <v>0.87593660686658714</v>
      </c>
      <c r="I178" s="21">
        <f t="shared" ca="1" si="20"/>
        <v>53.99819990307136</v>
      </c>
      <c r="J178" s="74">
        <f ca="1">IF(B178="","",DATE(INDEX(OFFSET(Arb!$C$2,,,Arb!$AJ$5,),B178),INDEX(OFFSET(Arb!$B$2,,,Arb!$AJ$5,),B178),INDEX(OFFSET(Arb!$A$2,,,Arb!$AJ$5,),B178))+ROW()*0.001)</f>
        <v>43978.178</v>
      </c>
      <c r="K178" s="11">
        <v>177</v>
      </c>
      <c r="L178" s="11">
        <v>2398</v>
      </c>
      <c r="M178" s="433">
        <f ca="1">IF(L178="",64,INDEX(OFFSET(Arb!$I$2,,,Arb!$AJ$5,),L178))</f>
        <v>89</v>
      </c>
      <c r="N178" s="34">
        <f ca="1">IF(L178="",60,INDEX(OFFSET(Arb!$H$2,,,Arb!$AJ$5,),L178))</f>
        <v>30.26</v>
      </c>
      <c r="O178" s="33">
        <f t="shared" ca="1" si="21"/>
        <v>2.9411764705882351</v>
      </c>
      <c r="P178" s="33">
        <f ca="1">IF(L178="","",INDEX(OFFSET(Arb!$X$2,,,Arb!$AJ$5,),L178)/N178)</f>
        <v>3.1064111037673494</v>
      </c>
      <c r="Q178" s="33">
        <f ca="1">IF(L178="","",(INDEX(OFFSET(Arb!$U$2,,,Arb!$AJ$5,),L178)+INDEX(OFFSET(Arb!$V$2,,,Arb!$AJ$5,),L178))/N178)</f>
        <v>3.5029742233972239</v>
      </c>
      <c r="R178" s="33">
        <f t="shared" ca="1" si="22"/>
        <v>3.6990241235876606</v>
      </c>
      <c r="S178" s="21">
        <f t="shared" ca="1" si="23"/>
        <v>41.559610011653078</v>
      </c>
      <c r="T178" s="74">
        <f ca="1">IF(L178="","",DATE(INDEX(OFFSET(Arb!$C$2,,,Arb!$AJ$5,),L178),INDEX(OFFSET(Arb!$B$2,,,Arb!$AJ$5,),L178),INDEX(OFFSET(Arb!$A$2,,,Arb!$AJ$5,),L178))+ROW()*0.001)</f>
        <v>44168.178</v>
      </c>
      <c r="U178" s="11">
        <v>177</v>
      </c>
      <c r="V178" s="11">
        <v>3376</v>
      </c>
      <c r="W178" s="433">
        <f ca="1">IF(V178="",164,INDEX(OFFSET(Arb!$I$2,,,Arb!$AJ$5,),V178))</f>
        <v>162</v>
      </c>
      <c r="X178" s="34">
        <f ca="1">IF(V178="",240,INDEX(OFFSET(Arb!$H$2,,,Arb!$AJ$5,),V178))</f>
        <v>68.69</v>
      </c>
      <c r="Y178" s="33">
        <f t="shared" ca="1" si="24"/>
        <v>2.3584218954724125</v>
      </c>
      <c r="Z178" s="33">
        <f ca="1">IF(V178="","",INDEX(OFFSET(Arb!$X$2,,,Arb!$AJ$5,),V178)/X178)</f>
        <v>2.6059106128985299</v>
      </c>
      <c r="AA178" s="33">
        <f ca="1">IF(V178="","",(INDEX(OFFSET(Arb!$U$2,,,Arb!$AJ$5,),V178)+INDEX(OFFSET(Arb!$V$2,,,Arb!$AJ$5,),V178))/X178)</f>
        <v>3.1154462075993594</v>
      </c>
      <c r="AB178" s="33">
        <f t="shared" ca="1" si="25"/>
        <v>8.188492645450232</v>
      </c>
      <c r="AC178" s="21">
        <f t="shared" ca="1" si="26"/>
        <v>53.123452488132763</v>
      </c>
      <c r="AD178" s="74">
        <f ca="1">IF(V178="","",DATE(INDEX(OFFSET(Arb!$C$2,,,Arb!$AJ$5,),V178),INDEX(OFFSET(Arb!$B$2,,,Arb!$AJ$5,),V178),INDEX(OFFSET(Arb!$A$2,,,Arb!$AJ$5,),V178))+ROW()*0.001)</f>
        <v>44129.178</v>
      </c>
    </row>
    <row r="179" spans="1:30" x14ac:dyDescent="0.25">
      <c r="A179" s="11">
        <v>178</v>
      </c>
      <c r="B179" s="11">
        <v>1213</v>
      </c>
      <c r="C179" s="433">
        <f ca="1">IF(B179="",16,INDEX(OFFSET(Arb!$I$2,,,Arb!$AJ$5,),B179))</f>
        <v>27</v>
      </c>
      <c r="D179" s="34">
        <f ca="1">IF(B179="",10,INDEX(OFFSET(Arb!$H$2,,,Arb!$AJ$5,),B179))</f>
        <v>6.43</v>
      </c>
      <c r="E179" s="33">
        <f t="shared" ca="1" si="18"/>
        <v>4.1990668740279942</v>
      </c>
      <c r="F179" s="33">
        <f ca="1">IF(B179="","",INDEX(OFFSET(Arb!$X$2,,,Arb!$AJ$5,),B179)/D179)</f>
        <v>4.5101088646967344</v>
      </c>
      <c r="G179" s="33">
        <f ca="1">IF(B179="","",(INDEX(OFFSET(Arb!$U$2,,,Arb!$AJ$5,),B179)+INDEX(OFFSET(Arb!$V$2,,,Arb!$AJ$5,),B179))/D179)</f>
        <v>4.5101088646967344</v>
      </c>
      <c r="H179" s="33">
        <f t="shared" ca="1" si="19"/>
        <v>0.87618313560987648</v>
      </c>
      <c r="I179" s="21">
        <f t="shared" ca="1" si="20"/>
        <v>53.983006608632145</v>
      </c>
      <c r="J179" s="74">
        <f ca="1">IF(B179="","",DATE(INDEX(OFFSET(Arb!$C$2,,,Arb!$AJ$5,),B179),INDEX(OFFSET(Arb!$B$2,,,Arb!$AJ$5,),B179),INDEX(OFFSET(Arb!$A$2,,,Arb!$AJ$5,),B179))+ROW()*0.001)</f>
        <v>43896.178999999996</v>
      </c>
      <c r="K179" s="11">
        <v>178</v>
      </c>
      <c r="L179" s="11">
        <v>1986</v>
      </c>
      <c r="M179" s="433">
        <f ca="1">IF(L179="",64,INDEX(OFFSET(Arb!$I$2,,,Arb!$AJ$5,),L179))</f>
        <v>60</v>
      </c>
      <c r="N179" s="34">
        <f ca="1">IF(L179="",60,INDEX(OFFSET(Arb!$H$2,,,Arb!$AJ$5,),L179))</f>
        <v>24</v>
      </c>
      <c r="O179" s="33">
        <f t="shared" ca="1" si="21"/>
        <v>2.5</v>
      </c>
      <c r="P179" s="33">
        <f ca="1">IF(L179="","",INDEX(OFFSET(Arb!$X$2,,,Arb!$AJ$5,),L179)/N179)</f>
        <v>3.1666666666666665</v>
      </c>
      <c r="Q179" s="33">
        <f ca="1">IF(L179="","",(INDEX(OFFSET(Arb!$U$2,,,Arb!$AJ$5,),L179)+INDEX(OFFSET(Arb!$V$2,,,Arb!$AJ$5,),L179))/N179)</f>
        <v>3.9166666666666665</v>
      </c>
      <c r="R179" s="33">
        <f t="shared" ca="1" si="22"/>
        <v>3.7000522803304969</v>
      </c>
      <c r="S179" s="21">
        <f t="shared" ca="1" si="23"/>
        <v>41.548061582056476</v>
      </c>
      <c r="T179" s="74">
        <f ca="1">IF(L179="","",DATE(INDEX(OFFSET(Arb!$C$2,,,Arb!$AJ$5,),L179),INDEX(OFFSET(Arb!$B$2,,,Arb!$AJ$5,),L179),INDEX(OFFSET(Arb!$A$2,,,Arb!$AJ$5,),L179))+ROW()*0.001)</f>
        <v>43784.178999999996</v>
      </c>
      <c r="U179" s="11">
        <v>178</v>
      </c>
      <c r="V179" s="11">
        <v>3194</v>
      </c>
      <c r="W179" s="433">
        <f ca="1">IF(V179="",164,INDEX(OFFSET(Arb!$I$2,,,Arb!$AJ$5,),V179))</f>
        <v>159</v>
      </c>
      <c r="X179" s="34">
        <f ca="1">IF(V179="",240,INDEX(OFFSET(Arb!$H$2,,,Arb!$AJ$5,),V179))</f>
        <v>67.94</v>
      </c>
      <c r="Y179" s="33">
        <f t="shared" ca="1" si="24"/>
        <v>2.3403002649396529</v>
      </c>
      <c r="Z179" s="33">
        <f ca="1">IF(V179="","",INDEX(OFFSET(Arb!$X$2,,,Arb!$AJ$5,),V179)/X179)</f>
        <v>2.826022961436562</v>
      </c>
      <c r="AA179" s="33">
        <f ca="1">IF(V179="","",(INDEX(OFFSET(Arb!$U$2,,,Arb!$AJ$5,),V179)+INDEX(OFFSET(Arb!$V$2,,,Arb!$AJ$5,),V179))/X179)</f>
        <v>3.0762437444804238</v>
      </c>
      <c r="AB179" s="33">
        <f t="shared" ca="1" si="25"/>
        <v>8.1887252156471</v>
      </c>
      <c r="AC179" s="21">
        <f t="shared" ca="1" si="26"/>
        <v>53.121943714608427</v>
      </c>
      <c r="AD179" s="74">
        <f ca="1">IF(V179="","",DATE(INDEX(OFFSET(Arb!$C$2,,,Arb!$AJ$5,),V179),INDEX(OFFSET(Arb!$B$2,,,Arb!$AJ$5,),V179),INDEX(OFFSET(Arb!$A$2,,,Arb!$AJ$5,),V179))+ROW()*0.001)</f>
        <v>44057.178999999996</v>
      </c>
    </row>
    <row r="180" spans="1:30" x14ac:dyDescent="0.25">
      <c r="A180" s="11">
        <v>179</v>
      </c>
      <c r="B180" s="11">
        <v>1537</v>
      </c>
      <c r="C180" s="433">
        <f ca="1">IF(B180="",16,INDEX(OFFSET(Arb!$I$2,,,Arb!$AJ$5,),B180))</f>
        <v>19</v>
      </c>
      <c r="D180" s="34">
        <f ca="1">IF(B180="",10,INDEX(OFFSET(Arb!$H$2,,,Arb!$AJ$5,),B180))</f>
        <v>5.23</v>
      </c>
      <c r="E180" s="33">
        <f t="shared" ca="1" si="18"/>
        <v>3.6328871892925427</v>
      </c>
      <c r="F180" s="33">
        <f ca="1">IF(B180="","",INDEX(OFFSET(Arb!$X$2,,,Arb!$AJ$5,),B180)/D180)</f>
        <v>4.2065009560229445</v>
      </c>
      <c r="G180" s="33">
        <f ca="1">IF(B180="","",(INDEX(OFFSET(Arb!$U$2,,,Arb!$AJ$5,),B180)+INDEX(OFFSET(Arb!$V$2,,,Arb!$AJ$5,),B180))/D180)</f>
        <v>4.5889101338432114</v>
      </c>
      <c r="H180" s="33">
        <f t="shared" ca="1" si="19"/>
        <v>0.87639374675493809</v>
      </c>
      <c r="I180" s="21">
        <f t="shared" ca="1" si="20"/>
        <v>53.970033646561376</v>
      </c>
      <c r="J180" s="74">
        <f ca="1">IF(B180="","",DATE(INDEX(OFFSET(Arb!$C$2,,,Arb!$AJ$5,),B180),INDEX(OFFSET(Arb!$B$2,,,Arb!$AJ$5,),B180),INDEX(OFFSET(Arb!$A$2,,,Arb!$AJ$5,),B180))+ROW()*0.001)</f>
        <v>43984.18</v>
      </c>
      <c r="K180" s="11">
        <v>179</v>
      </c>
      <c r="L180" s="11">
        <v>2067</v>
      </c>
      <c r="M180" s="433">
        <f ca="1">IF(L180="",64,INDEX(OFFSET(Arb!$I$2,,,Arb!$AJ$5,),L180))</f>
        <v>60</v>
      </c>
      <c r="N180" s="34">
        <f ca="1">IF(L180="",60,INDEX(OFFSET(Arb!$H$2,,,Arb!$AJ$5,),L180))</f>
        <v>24.04</v>
      </c>
      <c r="O180" s="33">
        <f t="shared" ca="1" si="21"/>
        <v>2.4958402662229617</v>
      </c>
      <c r="P180" s="33">
        <f ca="1">IF(L180="","",INDEX(OFFSET(Arb!$X$2,,,Arb!$AJ$5,),L180)/N180)</f>
        <v>3.2029950083194678</v>
      </c>
      <c r="Q180" s="33">
        <f ca="1">IF(L180="","",(INDEX(OFFSET(Arb!$U$2,,,Arb!$AJ$5,),L180)+INDEX(OFFSET(Arb!$V$2,,,Arb!$AJ$5,),L180))/N180)</f>
        <v>3.7853577371048255</v>
      </c>
      <c r="R180" s="33">
        <f t="shared" ca="1" si="22"/>
        <v>3.7105418761369418</v>
      </c>
      <c r="S180" s="21">
        <f t="shared" ca="1" si="23"/>
        <v>41.430606399744725</v>
      </c>
      <c r="T180" s="74">
        <f ca="1">IF(L180="","",DATE(INDEX(OFFSET(Arb!$C$2,,,Arb!$AJ$5,),L180),INDEX(OFFSET(Arb!$B$2,,,Arb!$AJ$5,),L180),INDEX(OFFSET(Arb!$A$2,,,Arb!$AJ$5,),L180))+ROW()*0.001)</f>
        <v>43800.18</v>
      </c>
      <c r="U180" s="11">
        <v>179</v>
      </c>
      <c r="V180" s="11">
        <v>3432</v>
      </c>
      <c r="W180" s="433">
        <f ca="1">IF(V180="",164,INDEX(OFFSET(Arb!$I$2,,,Arb!$AJ$5,),V180))</f>
        <v>151</v>
      </c>
      <c r="X180" s="34">
        <f ca="1">IF(V180="",240,INDEX(OFFSET(Arb!$H$2,,,Arb!$AJ$5,),V180))</f>
        <v>65.91</v>
      </c>
      <c r="Y180" s="33">
        <f t="shared" ca="1" si="24"/>
        <v>2.2910028827188591</v>
      </c>
      <c r="Z180" s="33">
        <f ca="1">IF(V180="","",INDEX(OFFSET(Arb!$X$2,,,Arb!$AJ$5,),V180)/X180)</f>
        <v>2.4123805188893948</v>
      </c>
      <c r="AA180" s="33">
        <f ca="1">IF(V180="","",(INDEX(OFFSET(Arb!$U$2,,,Arb!$AJ$5,),V180)+INDEX(OFFSET(Arb!$V$2,,,Arb!$AJ$5,),V180))/X180)</f>
        <v>2.7309968138370508</v>
      </c>
      <c r="AB180" s="33">
        <f t="shared" ca="1" si="25"/>
        <v>8.1891774617037871</v>
      </c>
      <c r="AC180" s="21">
        <f t="shared" ca="1" si="26"/>
        <v>53.119010063496226</v>
      </c>
      <c r="AD180" s="74">
        <f ca="1">IF(V180="","",DATE(INDEX(OFFSET(Arb!$C$2,,,Arb!$AJ$5,),V180),INDEX(OFFSET(Arb!$B$2,,,Arb!$AJ$5,),V180),INDEX(OFFSET(Arb!$A$2,,,Arb!$AJ$5,),V180))+ROW()*0.001)</f>
        <v>44153.18</v>
      </c>
    </row>
    <row r="181" spans="1:30" x14ac:dyDescent="0.25">
      <c r="A181" s="11">
        <v>180</v>
      </c>
      <c r="B181" s="11">
        <v>1739</v>
      </c>
      <c r="C181" s="433">
        <f ca="1">IF(B181="",16,INDEX(OFFSET(Arb!$I$2,,,Arb!$AJ$5,),B181))</f>
        <v>10</v>
      </c>
      <c r="D181" s="34">
        <f ca="1">IF(B181="",10,INDEX(OFFSET(Arb!$H$2,,,Arb!$AJ$5,),B181))</f>
        <v>3.59</v>
      </c>
      <c r="E181" s="33">
        <f t="shared" ca="1" si="18"/>
        <v>2.785515320334262</v>
      </c>
      <c r="F181" s="33">
        <f ca="1">IF(B181="","",INDEX(OFFSET(Arb!$X$2,,,Arb!$AJ$5,),B181)/D181)</f>
        <v>3.6211699164345403</v>
      </c>
      <c r="G181" s="33">
        <f ca="1">IF(B181="","",(INDEX(OFFSET(Arb!$U$2,,,Arb!$AJ$5,),B181)+INDEX(OFFSET(Arb!$V$2,,,Arb!$AJ$5,),B181))/D181)</f>
        <v>3.8997214484679668</v>
      </c>
      <c r="H181" s="33">
        <f t="shared" ca="1" si="19"/>
        <v>0.87833575571945188</v>
      </c>
      <c r="I181" s="21">
        <f t="shared" ca="1" si="20"/>
        <v>53.8507053732055</v>
      </c>
      <c r="J181" s="74">
        <f ca="1">IF(B181="","",DATE(INDEX(OFFSET(Arb!$C$2,,,Arb!$AJ$5,),B181),INDEX(OFFSET(Arb!$B$2,,,Arb!$AJ$5,),B181),INDEX(OFFSET(Arb!$A$2,,,Arb!$AJ$5,),B181))+ROW()*0.001)</f>
        <v>44114.180999999997</v>
      </c>
      <c r="K181" s="11">
        <v>180</v>
      </c>
      <c r="L181" s="11">
        <v>1897</v>
      </c>
      <c r="M181" s="433">
        <f ca="1">IF(L181="",64,INDEX(OFFSET(Arb!$I$2,,,Arb!$AJ$5,),L181))</f>
        <v>40</v>
      </c>
      <c r="N181" s="34">
        <f ca="1">IF(L181="",60,INDEX(OFFSET(Arb!$H$2,,,Arb!$AJ$5,),L181))</f>
        <v>18.940000000000001</v>
      </c>
      <c r="O181" s="33">
        <f t="shared" ca="1" si="21"/>
        <v>2.1119324181626187</v>
      </c>
      <c r="P181" s="33">
        <f ca="1">IF(L181="","",INDEX(OFFSET(Arb!$X$2,,,Arb!$AJ$5,),L181)/N181)</f>
        <v>2.7983104540654695</v>
      </c>
      <c r="Q181" s="33">
        <f ca="1">IF(L181="","",(INDEX(OFFSET(Arb!$U$2,,,Arb!$AJ$5,),L181)+INDEX(OFFSET(Arb!$V$2,,,Arb!$AJ$5,),L181))/N181)</f>
        <v>3.2206969376979933</v>
      </c>
      <c r="R181" s="33">
        <f t="shared" ca="1" si="22"/>
        <v>3.7109573719733171</v>
      </c>
      <c r="S181" s="21">
        <f t="shared" ca="1" si="23"/>
        <v>41.425967638710283</v>
      </c>
      <c r="T181" s="74">
        <f ca="1">IF(L181="","",DATE(INDEX(OFFSET(Arb!$C$2,,,Arb!$AJ$5,),L181),INDEX(OFFSET(Arb!$B$2,,,Arb!$AJ$5,),L181),INDEX(OFFSET(Arb!$A$2,,,Arb!$AJ$5,),L181))+ROW()*0.001)</f>
        <v>43765.180999999997</v>
      </c>
      <c r="U181" s="11">
        <v>180</v>
      </c>
      <c r="V181" s="11">
        <v>2926</v>
      </c>
      <c r="W181" s="433">
        <f ca="1">IF(V181="",164,INDEX(OFFSET(Arb!$I$2,,,Arb!$AJ$5,),V181))</f>
        <v>184</v>
      </c>
      <c r="X181" s="34">
        <f ca="1">IF(V181="",240,INDEX(OFFSET(Arb!$H$2,,,Arb!$AJ$5,),V181))</f>
        <v>74.040000000000006</v>
      </c>
      <c r="Y181" s="33">
        <f t="shared" ca="1" si="24"/>
        <v>2.4851431658562935</v>
      </c>
      <c r="Z181" s="33">
        <f ca="1">IF(V181="","",INDEX(OFFSET(Arb!$X$2,,,Arb!$AJ$5,),V181)/X181)</f>
        <v>2.9443544030253914</v>
      </c>
      <c r="AA181" s="33">
        <f ca="1">IF(V181="","",(INDEX(OFFSET(Arb!$U$2,,,Arb!$AJ$5,),V181)+INDEX(OFFSET(Arb!$V$2,,,Arb!$AJ$5,),V181))/X181)</f>
        <v>3.2414910858995136</v>
      </c>
      <c r="AB181" s="33">
        <f t="shared" ca="1" si="25"/>
        <v>8.1898335286809694</v>
      </c>
      <c r="AC181" s="21">
        <f t="shared" ca="1" si="26"/>
        <v>53.114754833125403</v>
      </c>
      <c r="AD181" s="74">
        <f ca="1">IF(V181="","",DATE(INDEX(OFFSET(Arb!$C$2,,,Arb!$AJ$5,),V181),INDEX(OFFSET(Arb!$B$2,,,Arb!$AJ$5,),V181),INDEX(OFFSET(Arb!$A$2,,,Arb!$AJ$5,),V181))+ROW()*0.001)</f>
        <v>43936.180999999997</v>
      </c>
    </row>
    <row r="182" spans="1:30" x14ac:dyDescent="0.25">
      <c r="A182" s="11">
        <v>181</v>
      </c>
      <c r="B182" s="11">
        <v>190</v>
      </c>
      <c r="C182" s="433">
        <f ca="1">IF(B182="",16,INDEX(OFFSET(Arb!$I$2,,,Arb!$AJ$5,),B182))</f>
        <v>10</v>
      </c>
      <c r="D182" s="34">
        <f ca="1">IF(B182="",10,INDEX(OFFSET(Arb!$H$2,,,Arb!$AJ$5,),B182))</f>
        <v>3.59</v>
      </c>
      <c r="E182" s="33">
        <f t="shared" ca="1" si="18"/>
        <v>2.785515320334262</v>
      </c>
      <c r="F182" s="33">
        <f ca="1">IF(B182="","",INDEX(OFFSET(Arb!$X$2,,,Arb!$AJ$5,),B182)/D182)</f>
        <v>3.3426183844011144</v>
      </c>
      <c r="G182" s="33">
        <f ca="1">IF(B182="","",(INDEX(OFFSET(Arb!$U$2,,,Arb!$AJ$5,),B182)+INDEX(OFFSET(Arb!$V$2,,,Arb!$AJ$5,),B182))/D182)</f>
        <v>4.4568245125348191</v>
      </c>
      <c r="H182" s="33">
        <f t="shared" ca="1" si="19"/>
        <v>0.87833575571945188</v>
      </c>
      <c r="I182" s="21">
        <f t="shared" ca="1" si="20"/>
        <v>53.8507053732055</v>
      </c>
      <c r="J182" s="74">
        <f ca="1">IF(B182="","",DATE(INDEX(OFFSET(Arb!$C$2,,,Arb!$AJ$5,),B182),INDEX(OFFSET(Arb!$B$2,,,Arb!$AJ$5,),B182),INDEX(OFFSET(Arb!$A$2,,,Arb!$AJ$5,),B182))+ROW()*0.001)</f>
        <v>43774.182000000001</v>
      </c>
      <c r="K182" s="11">
        <v>181</v>
      </c>
      <c r="L182" s="11">
        <v>2103</v>
      </c>
      <c r="M182" s="433">
        <f ca="1">IF(L182="",64,INDEX(OFFSET(Arb!$I$2,,,Arb!$AJ$5,),L182))</f>
        <v>58</v>
      </c>
      <c r="N182" s="34">
        <f ca="1">IF(L182="",60,INDEX(OFFSET(Arb!$H$2,,,Arb!$AJ$5,),L182))</f>
        <v>23.58</v>
      </c>
      <c r="O182" s="33">
        <f t="shared" ca="1" si="21"/>
        <v>2.4597116200169635</v>
      </c>
      <c r="P182" s="33">
        <f ca="1">IF(L182="","",INDEX(OFFSET(Arb!$X$2,,,Arb!$AJ$5,),L182)/N182)</f>
        <v>3.0958439355385923</v>
      </c>
      <c r="Q182" s="33">
        <f ca="1">IF(L182="","",(INDEX(OFFSET(Arb!$U$2,,,Arb!$AJ$5,),L182)+INDEX(OFFSET(Arb!$V$2,,,Arb!$AJ$5,),L182))/N182)</f>
        <v>3.4775233248515693</v>
      </c>
      <c r="R182" s="33">
        <f t="shared" ca="1" si="22"/>
        <v>3.7144666867658551</v>
      </c>
      <c r="S182" s="21">
        <f t="shared" ca="1" si="23"/>
        <v>41.386829648444362</v>
      </c>
      <c r="T182" s="74">
        <f ca="1">IF(L182="","",DATE(INDEX(OFFSET(Arb!$C$2,,,Arb!$AJ$5,),L182),INDEX(OFFSET(Arb!$B$2,,,Arb!$AJ$5,),L182),INDEX(OFFSET(Arb!$A$2,,,Arb!$AJ$5,),L182))+ROW()*0.001)</f>
        <v>43810.182000000001</v>
      </c>
      <c r="U182" s="11">
        <v>181</v>
      </c>
      <c r="V182" s="11">
        <v>3151</v>
      </c>
      <c r="W182" s="433">
        <f ca="1">IF(V182="",164,INDEX(OFFSET(Arb!$I$2,,,Arb!$AJ$5,),V182))</f>
        <v>174</v>
      </c>
      <c r="X182" s="34">
        <f ca="1">IF(V182="",240,INDEX(OFFSET(Arb!$H$2,,,Arb!$AJ$5,),V182))</f>
        <v>71.67</v>
      </c>
      <c r="Y182" s="33">
        <f t="shared" ca="1" si="24"/>
        <v>2.4277940560904145</v>
      </c>
      <c r="Z182" s="33">
        <f ca="1">IF(V182="","",INDEX(OFFSET(Arb!$X$2,,,Arb!$AJ$5,),V182)/X182)</f>
        <v>2.8324263987721499</v>
      </c>
      <c r="AA182" s="33">
        <f ca="1">IF(V182="","",(INDEX(OFFSET(Arb!$U$2,,,Arb!$AJ$5,),V182)+INDEX(OFFSET(Arb!$V$2,,,Arb!$AJ$5,),V182))/X182)</f>
        <v>3.1952002232454304</v>
      </c>
      <c r="AB182" s="33">
        <f t="shared" ca="1" si="25"/>
        <v>8.1945354681150455</v>
      </c>
      <c r="AC182" s="21">
        <f t="shared" ca="1" si="26"/>
        <v>53.084278137862697</v>
      </c>
      <c r="AD182" s="74">
        <f ca="1">IF(V182="","",DATE(INDEX(OFFSET(Arb!$C$2,,,Arb!$AJ$5,),V182),INDEX(OFFSET(Arb!$B$2,,,Arb!$AJ$5,),V182),INDEX(OFFSET(Arb!$A$2,,,Arb!$AJ$5,),V182))+ROW()*0.001)</f>
        <v>44028.182000000001</v>
      </c>
    </row>
    <row r="183" spans="1:30" x14ac:dyDescent="0.25">
      <c r="A183" s="11">
        <v>182</v>
      </c>
      <c r="B183" s="11">
        <v>1589</v>
      </c>
      <c r="C183" s="433">
        <f ca="1">IF(B183="",16,INDEX(OFFSET(Arb!$I$2,,,Arb!$AJ$5,),B183))</f>
        <v>23</v>
      </c>
      <c r="D183" s="34">
        <f ca="1">IF(B183="",10,INDEX(OFFSET(Arb!$H$2,,,Arb!$AJ$5,),B183))</f>
        <v>5.86</v>
      </c>
      <c r="E183" s="33">
        <f t="shared" ca="1" si="18"/>
        <v>3.9249146757679179</v>
      </c>
      <c r="F183" s="33">
        <f ca="1">IF(B183="","",INDEX(OFFSET(Arb!$X$2,,,Arb!$AJ$5,),B183)/D183)</f>
        <v>4.7781569965870307</v>
      </c>
      <c r="G183" s="33">
        <f ca="1">IF(B183="","",(INDEX(OFFSET(Arb!$U$2,,,Arb!$AJ$5,),B183)+INDEX(OFFSET(Arb!$V$2,,,Arb!$AJ$5,),B183))/D183)</f>
        <v>5.6313993174061432</v>
      </c>
      <c r="H183" s="33">
        <f t="shared" ca="1" si="19"/>
        <v>0.87841169895948801</v>
      </c>
      <c r="I183" s="21">
        <f t="shared" ca="1" si="20"/>
        <v>53.846049700871994</v>
      </c>
      <c r="J183" s="74">
        <f ca="1">IF(B183="","",DATE(INDEX(OFFSET(Arb!$C$2,,,Arb!$AJ$5,),B183),INDEX(OFFSET(Arb!$B$2,,,Arb!$AJ$5,),B183),INDEX(OFFSET(Arb!$A$2,,,Arb!$AJ$5,),B183))+ROW()*0.001)</f>
        <v>44054.182999999997</v>
      </c>
      <c r="K183" s="11">
        <v>182</v>
      </c>
      <c r="L183" s="11">
        <v>1889</v>
      </c>
      <c r="M183" s="433">
        <f ca="1">IF(L183="",64,INDEX(OFFSET(Arb!$I$2,,,Arb!$AJ$5,),L183))</f>
        <v>81</v>
      </c>
      <c r="N183" s="34">
        <f ca="1">IF(L183="",60,INDEX(OFFSET(Arb!$H$2,,,Arb!$AJ$5,),L183))</f>
        <v>28.7</v>
      </c>
      <c r="O183" s="33">
        <f t="shared" ca="1" si="21"/>
        <v>2.8222996515679442</v>
      </c>
      <c r="P183" s="33">
        <f ca="1">IF(L183="","",INDEX(OFFSET(Arb!$X$2,,,Arb!$AJ$5,),L183)/N183)</f>
        <v>3.3449477351916377</v>
      </c>
      <c r="Q183" s="33">
        <f ca="1">IF(L183="","",(INDEX(OFFSET(Arb!$U$2,,,Arb!$AJ$5,),L183)+INDEX(OFFSET(Arb!$V$2,,,Arb!$AJ$5,),L183))/N183)</f>
        <v>3.7630662020905925</v>
      </c>
      <c r="R183" s="33">
        <f t="shared" ca="1" si="22"/>
        <v>3.7146183994174953</v>
      </c>
      <c r="S183" s="21">
        <f t="shared" ca="1" si="23"/>
        <v>41.385139325241866</v>
      </c>
      <c r="T183" s="74">
        <f ca="1">IF(L183="","",DATE(INDEX(OFFSET(Arb!$C$2,,,Arb!$AJ$5,),L183),INDEX(OFFSET(Arb!$B$2,,,Arb!$AJ$5,),L183),INDEX(OFFSET(Arb!$A$2,,,Arb!$AJ$5,),L183))+ROW()*0.001)</f>
        <v>43764.182999999997</v>
      </c>
      <c r="U183" s="11">
        <v>182</v>
      </c>
      <c r="V183" s="11">
        <v>3251</v>
      </c>
      <c r="W183" s="433">
        <f ca="1">IF(V183="",164,INDEX(OFFSET(Arb!$I$2,,,Arb!$AJ$5,),V183))</f>
        <v>181</v>
      </c>
      <c r="X183" s="34">
        <f ca="1">IF(V183="",240,INDEX(OFFSET(Arb!$H$2,,,Arb!$AJ$5,),V183))</f>
        <v>73.41</v>
      </c>
      <c r="Y183" s="33">
        <f t="shared" ca="1" si="24"/>
        <v>2.4656041411251874</v>
      </c>
      <c r="Z183" s="33">
        <f ca="1">IF(V183="","",INDEX(OFFSET(Arb!$X$2,,,Arb!$AJ$5,),V183)/X183)</f>
        <v>3.0785996458248195</v>
      </c>
      <c r="AA183" s="33">
        <f ca="1">IF(V183="","",(INDEX(OFFSET(Arb!$U$2,,,Arb!$AJ$5,),V183)+INDEX(OFFSET(Arb!$V$2,,,Arb!$AJ$5,),V183))/X183)</f>
        <v>3.4055305816646233</v>
      </c>
      <c r="AB183" s="33">
        <f t="shared" ca="1" si="25"/>
        <v>8.2055048412891072</v>
      </c>
      <c r="AC183" s="21">
        <f t="shared" ca="1" si="26"/>
        <v>53.013313429678036</v>
      </c>
      <c r="AD183" s="74">
        <f ca="1">IF(V183="","",DATE(INDEX(OFFSET(Arb!$C$2,,,Arb!$AJ$5,),V183),INDEX(OFFSET(Arb!$B$2,,,Arb!$AJ$5,),V183),INDEX(OFFSET(Arb!$A$2,,,Arb!$AJ$5,),V183))+ROW()*0.001)</f>
        <v>44069.182999999997</v>
      </c>
    </row>
    <row r="184" spans="1:30" x14ac:dyDescent="0.25">
      <c r="A184" s="11">
        <v>183</v>
      </c>
      <c r="B184" s="11">
        <v>1397</v>
      </c>
      <c r="C184" s="433">
        <f ca="1">IF(B184="",16,INDEX(OFFSET(Arb!$I$2,,,Arb!$AJ$5,),B184))</f>
        <v>28</v>
      </c>
      <c r="D184" s="34">
        <f ca="1">IF(B184="",10,INDEX(OFFSET(Arb!$H$2,,,Arb!$AJ$5,),B184))</f>
        <v>6.58</v>
      </c>
      <c r="E184" s="33">
        <f t="shared" ca="1" si="18"/>
        <v>4.2553191489361701</v>
      </c>
      <c r="F184" s="33">
        <f ca="1">IF(B184="","",INDEX(OFFSET(Arb!$X$2,,,Arb!$AJ$5,),B184)/D184)</f>
        <v>4.86322188449848</v>
      </c>
      <c r="G184" s="33">
        <f ca="1">IF(B184="","",(INDEX(OFFSET(Arb!$U$2,,,Arb!$AJ$5,),B184)+INDEX(OFFSET(Arb!$V$2,,,Arb!$AJ$5,),B184))/D184)</f>
        <v>5.1671732522796354</v>
      </c>
      <c r="H184" s="33">
        <f t="shared" ca="1" si="19"/>
        <v>0.87867038249077312</v>
      </c>
      <c r="I184" s="21">
        <f t="shared" ca="1" si="20"/>
        <v>53.83019724179298</v>
      </c>
      <c r="J184" s="74">
        <f ca="1">IF(B184="","",DATE(INDEX(OFFSET(Arb!$C$2,,,Arb!$AJ$5,),B184),INDEX(OFFSET(Arb!$B$2,,,Arb!$AJ$5,),B184),INDEX(OFFSET(Arb!$A$2,,,Arb!$AJ$5,),B184))+ROW()*0.001)</f>
        <v>43940.184000000001</v>
      </c>
      <c r="K184" s="11">
        <v>183</v>
      </c>
      <c r="L184" s="11">
        <v>2124</v>
      </c>
      <c r="M184" s="433">
        <f ca="1">IF(L184="",64,INDEX(OFFSET(Arb!$I$2,,,Arb!$AJ$5,),L184))</f>
        <v>74</v>
      </c>
      <c r="N184" s="34">
        <f ca="1">IF(L184="",60,INDEX(OFFSET(Arb!$H$2,,,Arb!$AJ$5,),L184))</f>
        <v>27.22</v>
      </c>
      <c r="O184" s="33">
        <f t="shared" ca="1" si="21"/>
        <v>2.7185892725936811</v>
      </c>
      <c r="P184" s="33">
        <f ca="1">IF(L184="","",INDEX(OFFSET(Arb!$X$2,,,Arb!$AJ$5,),L184)/N184)</f>
        <v>3.1227038941954448</v>
      </c>
      <c r="Q184" s="33">
        <f ca="1">IF(L184="","",(INDEX(OFFSET(Arb!$U$2,,,Arb!$AJ$5,),L184)+INDEX(OFFSET(Arb!$V$2,,,Arb!$AJ$5,),L184))/N184)</f>
        <v>3.5635562086700956</v>
      </c>
      <c r="R184" s="33">
        <f t="shared" ca="1" si="22"/>
        <v>3.7160203679121664</v>
      </c>
      <c r="S184" s="21">
        <f t="shared" ca="1" si="23"/>
        <v>41.369525669842517</v>
      </c>
      <c r="T184" s="74">
        <f ca="1">IF(L184="","",DATE(INDEX(OFFSET(Arb!$C$2,,,Arb!$AJ$5,),L184),INDEX(OFFSET(Arb!$B$2,,,Arb!$AJ$5,),L184),INDEX(OFFSET(Arb!$A$2,,,Arb!$AJ$5,),L184))+ROW()*0.001)</f>
        <v>43811.184000000001</v>
      </c>
      <c r="U184" s="11">
        <v>183</v>
      </c>
      <c r="V184" s="11">
        <v>3280</v>
      </c>
      <c r="W184" s="433">
        <f ca="1">IF(V184="",164,INDEX(OFFSET(Arb!$I$2,,,Arb!$AJ$5,),V184))</f>
        <v>165</v>
      </c>
      <c r="X184" s="34">
        <f ca="1">IF(V184="",240,INDEX(OFFSET(Arb!$H$2,,,Arb!$AJ$5,),V184))</f>
        <v>69.53</v>
      </c>
      <c r="Y184" s="33">
        <f t="shared" ca="1" si="24"/>
        <v>2.3730763699122681</v>
      </c>
      <c r="Z184" s="33">
        <f ca="1">IF(V184="","",INDEX(OFFSET(Arb!$X$2,,,Arb!$AJ$5,),V184)/X184)</f>
        <v>2.8620739249244931</v>
      </c>
      <c r="AA184" s="33">
        <f ca="1">IF(V184="","",(INDEX(OFFSET(Arb!$U$2,,,Arb!$AJ$5,),V184)+INDEX(OFFSET(Arb!$V$2,,,Arb!$AJ$5,),V184))/X184)</f>
        <v>3.1928663886092332</v>
      </c>
      <c r="AB184" s="33">
        <f t="shared" ca="1" si="25"/>
        <v>8.2074613402576997</v>
      </c>
      <c r="AC184" s="21">
        <f t="shared" ca="1" si="26"/>
        <v>53.000676088026715</v>
      </c>
      <c r="AD184" s="74">
        <f ca="1">IF(V184="","",DATE(INDEX(OFFSET(Arb!$C$2,,,Arb!$AJ$5,),V184),INDEX(OFFSET(Arb!$B$2,,,Arb!$AJ$5,),V184),INDEX(OFFSET(Arb!$A$2,,,Arb!$AJ$5,),V184))+ROW()*0.001)</f>
        <v>44082.184000000001</v>
      </c>
    </row>
    <row r="185" spans="1:30" x14ac:dyDescent="0.25">
      <c r="A185" s="11">
        <v>184</v>
      </c>
      <c r="B185" s="11">
        <v>1538</v>
      </c>
      <c r="C185" s="433">
        <f ca="1">IF(B185="",16,INDEX(OFFSET(Arb!$I$2,,,Arb!$AJ$5,),B185))</f>
        <v>24</v>
      </c>
      <c r="D185" s="34">
        <f ca="1">IF(B185="",10,INDEX(OFFSET(Arb!$H$2,,,Arb!$AJ$5,),B185))</f>
        <v>6.01</v>
      </c>
      <c r="E185" s="33">
        <f t="shared" ca="1" si="18"/>
        <v>3.9933444259567388</v>
      </c>
      <c r="F185" s="33">
        <f ca="1">IF(B185="","",INDEX(OFFSET(Arb!$X$2,,,Arb!$AJ$5,),B185)/D185)</f>
        <v>4.3261231281198</v>
      </c>
      <c r="G185" s="33">
        <f ca="1">IF(B185="","",(INDEX(OFFSET(Arb!$U$2,,,Arb!$AJ$5,),B185)+INDEX(OFFSET(Arb!$V$2,,,Arb!$AJ$5,),B185))/D185)</f>
        <v>4.9916805324459235</v>
      </c>
      <c r="H185" s="33">
        <f t="shared" ca="1" si="19"/>
        <v>0.87877028006114644</v>
      </c>
      <c r="I185" s="21">
        <f t="shared" ca="1" si="20"/>
        <v>53.824077888374703</v>
      </c>
      <c r="J185" s="74">
        <f ca="1">IF(B185="","",DATE(INDEX(OFFSET(Arb!$C$2,,,Arb!$AJ$5,),B185),INDEX(OFFSET(Arb!$B$2,,,Arb!$AJ$5,),B185),INDEX(OFFSET(Arb!$A$2,,,Arb!$AJ$5,),B185))+ROW()*0.001)</f>
        <v>43984.184999999998</v>
      </c>
      <c r="K185" s="11">
        <v>184</v>
      </c>
      <c r="L185" s="11">
        <v>2218</v>
      </c>
      <c r="M185" s="433">
        <f ca="1">IF(L185="",64,INDEX(OFFSET(Arb!$I$2,,,Arb!$AJ$5,),L185))</f>
        <v>66</v>
      </c>
      <c r="N185" s="34">
        <f ca="1">IF(L185="",60,INDEX(OFFSET(Arb!$H$2,,,Arb!$AJ$5,),L185))</f>
        <v>25.45</v>
      </c>
      <c r="O185" s="33">
        <f t="shared" ca="1" si="21"/>
        <v>2.5933202357563849</v>
      </c>
      <c r="P185" s="33">
        <f ca="1">IF(L185="","",INDEX(OFFSET(Arb!$X$2,,,Arb!$AJ$5,),L185)/N185)</f>
        <v>3.2220039292730847</v>
      </c>
      <c r="Q185" s="33">
        <f ca="1">IF(L185="","",(INDEX(OFFSET(Arb!$U$2,,,Arb!$AJ$5,),L185)+INDEX(OFFSET(Arb!$V$2,,,Arb!$AJ$5,),L185))/N185)</f>
        <v>3.6149312377210219</v>
      </c>
      <c r="R185" s="33">
        <f t="shared" ca="1" si="22"/>
        <v>3.7164243918637148</v>
      </c>
      <c r="S185" s="21">
        <f t="shared" ca="1" si="23"/>
        <v>41.365028261185039</v>
      </c>
      <c r="T185" s="74">
        <f ca="1">IF(L185="","",DATE(INDEX(OFFSET(Arb!$C$2,,,Arb!$AJ$5,),L185),INDEX(OFFSET(Arb!$B$2,,,Arb!$AJ$5,),L185),INDEX(OFFSET(Arb!$A$2,,,Arb!$AJ$5,),L185))+ROW()*0.001)</f>
        <v>43870.184999999998</v>
      </c>
      <c r="U185" s="11">
        <v>184</v>
      </c>
      <c r="V185" s="11">
        <v>2974</v>
      </c>
      <c r="W185" s="433">
        <f ca="1">IF(V185="",164,INDEX(OFFSET(Arb!$I$2,,,Arb!$AJ$5,),V185))</f>
        <v>165</v>
      </c>
      <c r="X185" s="34">
        <f ca="1">IF(V185="",240,INDEX(OFFSET(Arb!$H$2,,,Arb!$AJ$5,),V185))</f>
        <v>69.55</v>
      </c>
      <c r="Y185" s="33">
        <f t="shared" ca="1" si="24"/>
        <v>2.3723939611790081</v>
      </c>
      <c r="Z185" s="33">
        <f ca="1">IF(V185="","",INDEX(OFFSET(Arb!$X$2,,,Arb!$AJ$5,),V185)/X185)</f>
        <v>2.8756290438533432</v>
      </c>
      <c r="AA185" s="33">
        <f ca="1">IF(V185="","",(INDEX(OFFSET(Arb!$U$2,,,Arb!$AJ$5,),V185)+INDEX(OFFSET(Arb!$V$2,,,Arb!$AJ$5,),V185))/X185)</f>
        <v>3.2063263838964775</v>
      </c>
      <c r="AB185" s="33">
        <f t="shared" ca="1" si="25"/>
        <v>8.2114751728301183</v>
      </c>
      <c r="AC185" s="21">
        <f t="shared" ca="1" si="26"/>
        <v>52.974768947645146</v>
      </c>
      <c r="AD185" s="74">
        <f ca="1">IF(V185="","",DATE(INDEX(OFFSET(Arb!$C$2,,,Arb!$AJ$5,),V185),INDEX(OFFSET(Arb!$B$2,,,Arb!$AJ$5,),V185),INDEX(OFFSET(Arb!$A$2,,,Arb!$AJ$5,),V185))+ROW()*0.001)</f>
        <v>43954.184999999998</v>
      </c>
    </row>
    <row r="186" spans="1:30" x14ac:dyDescent="0.25">
      <c r="A186" s="11">
        <v>185</v>
      </c>
      <c r="B186" s="11">
        <v>1719</v>
      </c>
      <c r="C186" s="433">
        <f ca="1">IF(B186="",16,INDEX(OFFSET(Arb!$I$2,,,Arb!$AJ$5,),B186))</f>
        <v>15</v>
      </c>
      <c r="D186" s="34">
        <f ca="1">IF(B186="",10,INDEX(OFFSET(Arb!$H$2,,,Arb!$AJ$5,),B186))</f>
        <v>4.5599999999999996</v>
      </c>
      <c r="E186" s="33">
        <f t="shared" ca="1" si="18"/>
        <v>3.2894736842105265</v>
      </c>
      <c r="F186" s="33">
        <f ca="1">IF(B186="","",INDEX(OFFSET(Arb!$X$2,,,Arb!$AJ$5,),B186)/D186)</f>
        <v>3.5087719298245617</v>
      </c>
      <c r="G186" s="33">
        <f ca="1">IF(B186="","",(INDEX(OFFSET(Arb!$U$2,,,Arb!$AJ$5,),B186)+INDEX(OFFSET(Arb!$V$2,,,Arb!$AJ$5,),B186))/D186)</f>
        <v>3.7280701754385968</v>
      </c>
      <c r="H186" s="33">
        <f t="shared" ca="1" si="19"/>
        <v>0.8793240944599785</v>
      </c>
      <c r="I186" s="21">
        <f t="shared" ca="1" si="20"/>
        <v>53.790178499598433</v>
      </c>
      <c r="J186" s="74">
        <f ca="1">IF(B186="","",DATE(INDEX(OFFSET(Arb!$C$2,,,Arb!$AJ$5,),B186),INDEX(OFFSET(Arb!$B$2,,,Arb!$AJ$5,),B186),INDEX(OFFSET(Arb!$A$2,,,Arb!$AJ$5,),B186))+ROW()*0.001)</f>
        <v>44107.186000000002</v>
      </c>
      <c r="K186" s="11">
        <v>185</v>
      </c>
      <c r="L186" s="11">
        <v>1915</v>
      </c>
      <c r="M186" s="433">
        <f ca="1">IF(L186="",64,INDEX(OFFSET(Arb!$I$2,,,Arb!$AJ$5,),L186))</f>
        <v>71</v>
      </c>
      <c r="N186" s="34">
        <f ca="1">IF(L186="",60,INDEX(OFFSET(Arb!$H$2,,,Arb!$AJ$5,),L186))</f>
        <v>26.57</v>
      </c>
      <c r="O186" s="33">
        <f t="shared" ca="1" si="21"/>
        <v>2.6721866767030487</v>
      </c>
      <c r="P186" s="33">
        <f ca="1">IF(L186="","",INDEX(OFFSET(Arb!$X$2,,,Arb!$AJ$5,),L186)/N186)</f>
        <v>3.08618742943169</v>
      </c>
      <c r="Q186" s="33">
        <f ca="1">IF(L186="","",(INDEX(OFFSET(Arb!$U$2,,,Arb!$AJ$5,),L186)+INDEX(OFFSET(Arb!$V$2,,,Arb!$AJ$5,),L186))/N186)</f>
        <v>3.387278885961611</v>
      </c>
      <c r="R186" s="33">
        <f t="shared" ca="1" si="22"/>
        <v>3.7171260948794433</v>
      </c>
      <c r="S186" s="21">
        <f t="shared" ca="1" si="23"/>
        <v>41.357219549740854</v>
      </c>
      <c r="T186" s="74">
        <f ca="1">IF(L186="","",DATE(INDEX(OFFSET(Arb!$C$2,,,Arb!$AJ$5,),L186),INDEX(OFFSET(Arb!$B$2,,,Arb!$AJ$5,),L186),INDEX(OFFSET(Arb!$A$2,,,Arb!$AJ$5,),L186))+ROW()*0.001)</f>
        <v>43769.186000000002</v>
      </c>
      <c r="U186" s="11">
        <v>185</v>
      </c>
      <c r="V186" s="11">
        <v>2478</v>
      </c>
      <c r="W186" s="433">
        <f ca="1">IF(V186="",164,INDEX(OFFSET(Arb!$I$2,,,Arb!$AJ$5,),V186))</f>
        <v>186</v>
      </c>
      <c r="X186" s="34">
        <f ca="1">IF(V186="",240,INDEX(OFFSET(Arb!$H$2,,,Arb!$AJ$5,),V186))</f>
        <v>74.650000000000006</v>
      </c>
      <c r="Y186" s="33">
        <f t="shared" ca="1" si="24"/>
        <v>2.4916275954454119</v>
      </c>
      <c r="Z186" s="33">
        <f ca="1">IF(V186="","",INDEX(OFFSET(Arb!$X$2,,,Arb!$AJ$5,),V186)/X186)</f>
        <v>2.7729403884795709</v>
      </c>
      <c r="AA186" s="33">
        <f ca="1">IF(V186="","",(INDEX(OFFSET(Arb!$U$2,,,Arb!$AJ$5,),V186)+INDEX(OFFSET(Arb!$V$2,,,Arb!$AJ$5,),V186))/X186)</f>
        <v>3.1614199598124579</v>
      </c>
      <c r="AB186" s="33">
        <f t="shared" ca="1" si="25"/>
        <v>8.2155706794983736</v>
      </c>
      <c r="AC186" s="21">
        <f t="shared" ca="1" si="26"/>
        <v>52.94836073719474</v>
      </c>
      <c r="AD186" s="74">
        <f ca="1">IF(V186="","",DATE(INDEX(OFFSET(Arb!$C$2,,,Arb!$AJ$5,),V186),INDEX(OFFSET(Arb!$B$2,,,Arb!$AJ$5,),V186),INDEX(OFFSET(Arb!$A$2,,,Arb!$AJ$5,),V186))+ROW()*0.001)</f>
        <v>43781.186000000002</v>
      </c>
    </row>
    <row r="187" spans="1:30" x14ac:dyDescent="0.25">
      <c r="A187" s="11">
        <v>186</v>
      </c>
      <c r="B187" s="11">
        <v>1827</v>
      </c>
      <c r="C187" s="433">
        <f ca="1">IF(B187="",16,INDEX(OFFSET(Arb!$I$2,,,Arb!$AJ$5,),B187))</f>
        <v>11</v>
      </c>
      <c r="D187" s="34">
        <f ca="1">IF(B187="",10,INDEX(OFFSET(Arb!$H$2,,,Arb!$AJ$5,),B187))</f>
        <v>3.8</v>
      </c>
      <c r="E187" s="33">
        <f t="shared" ca="1" si="18"/>
        <v>2.8947368421052633</v>
      </c>
      <c r="F187" s="33">
        <f ca="1">IF(B187="","",INDEX(OFFSET(Arb!$X$2,,,Arb!$AJ$5,),B187)/D187)</f>
        <v>3.9473684210526319</v>
      </c>
      <c r="G187" s="33">
        <f ca="1">IF(B187="","",(INDEX(OFFSET(Arb!$U$2,,,Arb!$AJ$5,),B187)+INDEX(OFFSET(Arb!$V$2,,,Arb!$AJ$5,),B187))/D187)</f>
        <v>4.2105263157894735</v>
      </c>
      <c r="H187" s="33">
        <f t="shared" ca="1" si="19"/>
        <v>0.87950726069924035</v>
      </c>
      <c r="I187" s="21">
        <f t="shared" ca="1" si="20"/>
        <v>53.77897615352893</v>
      </c>
      <c r="J187" s="74">
        <f ca="1">IF(B187="","",DATE(INDEX(OFFSET(Arb!$C$2,,,Arb!$AJ$5,),B187),INDEX(OFFSET(Arb!$B$2,,,Arb!$AJ$5,),B187),INDEX(OFFSET(Arb!$A$2,,,Arb!$AJ$5,),B187))+ROW()*0.001)</f>
        <v>44168.186999999998</v>
      </c>
      <c r="K187" s="11">
        <v>186</v>
      </c>
      <c r="L187" s="11">
        <v>2130</v>
      </c>
      <c r="M187" s="433">
        <f ca="1">IF(L187="",64,INDEX(OFFSET(Arb!$I$2,,,Arb!$AJ$5,),L187))</f>
        <v>58</v>
      </c>
      <c r="N187" s="34">
        <f ca="1">IF(L187="",60,INDEX(OFFSET(Arb!$H$2,,,Arb!$AJ$5,),L187))</f>
        <v>23.59</v>
      </c>
      <c r="O187" s="33">
        <f t="shared" ca="1" si="21"/>
        <v>2.4586689275116576</v>
      </c>
      <c r="P187" s="33">
        <f ca="1">IF(L187="","",INDEX(OFFSET(Arb!$X$2,,,Arb!$AJ$5,),L187)/N187)</f>
        <v>2.8825773632895295</v>
      </c>
      <c r="Q187" s="33">
        <f ca="1">IF(L187="","",(INDEX(OFFSET(Arb!$U$2,,,Arb!$AJ$5,),L187)+INDEX(OFFSET(Arb!$V$2,,,Arb!$AJ$5,),L187))/N187)</f>
        <v>3.2640949554896141</v>
      </c>
      <c r="R187" s="33">
        <f t="shared" ca="1" si="22"/>
        <v>3.717145028838956</v>
      </c>
      <c r="S187" s="21">
        <f t="shared" ca="1" si="23"/>
        <v>41.357008889162792</v>
      </c>
      <c r="T187" s="74">
        <f ca="1">IF(L187="","",DATE(INDEX(OFFSET(Arb!$C$2,,,Arb!$AJ$5,),L187),INDEX(OFFSET(Arb!$B$2,,,Arb!$AJ$5,),L187),INDEX(OFFSET(Arb!$A$2,,,Arb!$AJ$5,),L187))+ROW()*0.001)</f>
        <v>43813.186999999998</v>
      </c>
      <c r="U187" s="11">
        <v>186</v>
      </c>
      <c r="V187" s="11">
        <v>3300</v>
      </c>
      <c r="W187" s="433">
        <f ca="1">IF(V187="",164,INDEX(OFFSET(Arb!$I$2,,,Arb!$AJ$5,),V187))</f>
        <v>175</v>
      </c>
      <c r="X187" s="34">
        <f ca="1">IF(V187="",240,INDEX(OFFSET(Arb!$H$2,,,Arb!$AJ$5,),V187))</f>
        <v>72.040000000000006</v>
      </c>
      <c r="Y187" s="33">
        <f t="shared" ca="1" si="24"/>
        <v>2.4292059966685171</v>
      </c>
      <c r="Z187" s="33">
        <f ca="1">IF(V187="","",INDEX(OFFSET(Arb!$X$2,,,Arb!$AJ$5,),V187)/X187)</f>
        <v>2.970571904497501</v>
      </c>
      <c r="AA187" s="33">
        <f ca="1">IF(V187="","",(INDEX(OFFSET(Arb!$U$2,,,Arb!$AJ$5,),V187)+INDEX(OFFSET(Arb!$V$2,,,Arb!$AJ$5,),V187))/X187)</f>
        <v>3.3176013325930036</v>
      </c>
      <c r="AB187" s="33">
        <f t="shared" ca="1" si="25"/>
        <v>8.2193457266295162</v>
      </c>
      <c r="AC187" s="21">
        <f t="shared" ca="1" si="26"/>
        <v>52.924042188742391</v>
      </c>
      <c r="AD187" s="74">
        <f ca="1">IF(V187="","",DATE(INDEX(OFFSET(Arb!$C$2,,,Arb!$AJ$5,),V187),INDEX(OFFSET(Arb!$B$2,,,Arb!$AJ$5,),V187),INDEX(OFFSET(Arb!$A$2,,,Arb!$AJ$5,),V187))+ROW()*0.001)</f>
        <v>44090.186999999998</v>
      </c>
    </row>
    <row r="188" spans="1:30" x14ac:dyDescent="0.25">
      <c r="A188" s="11">
        <v>187</v>
      </c>
      <c r="B188" s="11">
        <v>1452</v>
      </c>
      <c r="C188" s="433">
        <f ca="1">IF(B188="",16,INDEX(OFFSET(Arb!$I$2,,,Arb!$AJ$5,),B188))</f>
        <v>14</v>
      </c>
      <c r="D188" s="34">
        <f ca="1">IF(B188="",10,INDEX(OFFSET(Arb!$H$2,,,Arb!$AJ$5,),B188))</f>
        <v>4.38</v>
      </c>
      <c r="E188" s="33">
        <f t="shared" ca="1" si="18"/>
        <v>3.1963470319634704</v>
      </c>
      <c r="F188" s="33">
        <f ca="1">IF(B188="","",INDEX(OFFSET(Arb!$X$2,,,Arb!$AJ$5,),B188)/D188)</f>
        <v>3.8812785388127855</v>
      </c>
      <c r="G188" s="33">
        <f ca="1">IF(B188="","",(INDEX(OFFSET(Arb!$U$2,,,Arb!$AJ$5,),B188)+INDEX(OFFSET(Arb!$V$2,,,Arb!$AJ$5,),B188))/D188)</f>
        <v>4.5662100456621006</v>
      </c>
      <c r="H188" s="33">
        <f t="shared" ca="1" si="19"/>
        <v>0.8797878341326999</v>
      </c>
      <c r="I188" s="21">
        <f t="shared" ca="1" si="20"/>
        <v>53.761825482194396</v>
      </c>
      <c r="J188" s="74">
        <f ca="1">IF(B188="","",DATE(INDEX(OFFSET(Arb!$C$2,,,Arb!$AJ$5,),B188),INDEX(OFFSET(Arb!$B$2,,,Arb!$AJ$5,),B188),INDEX(OFFSET(Arb!$A$2,,,Arb!$AJ$5,),B188))+ROW()*0.001)</f>
        <v>43950.188000000002</v>
      </c>
      <c r="K188" s="11">
        <v>187</v>
      </c>
      <c r="L188" s="11">
        <v>2253</v>
      </c>
      <c r="M188" s="433">
        <f ca="1">IF(L188="",64,INDEX(OFFSET(Arb!$I$2,,,Arb!$AJ$5,),L188))</f>
        <v>85</v>
      </c>
      <c r="N188" s="34">
        <f ca="1">IF(L188="",60,INDEX(OFFSET(Arb!$H$2,,,Arb!$AJ$5,),L188))</f>
        <v>29.55</v>
      </c>
      <c r="O188" s="33">
        <f t="shared" ca="1" si="21"/>
        <v>2.8764805414551606</v>
      </c>
      <c r="P188" s="33">
        <f ca="1">IF(L188="","",INDEX(OFFSET(Arb!$X$2,,,Arb!$AJ$5,),L188)/N188)</f>
        <v>3.4179357021996615</v>
      </c>
      <c r="Q188" s="33">
        <f ca="1">IF(L188="","",(INDEX(OFFSET(Arb!$U$2,,,Arb!$AJ$5,),L188)+INDEX(OFFSET(Arb!$V$2,,,Arb!$AJ$5,),L188))/N188)</f>
        <v>3.8578680203045685</v>
      </c>
      <c r="R188" s="33">
        <f t="shared" ca="1" si="22"/>
        <v>3.7198788779282359</v>
      </c>
      <c r="S188" s="21">
        <f t="shared" ca="1" si="23"/>
        <v>41.326614399235218</v>
      </c>
      <c r="T188" s="74">
        <f ca="1">IF(L188="","",DATE(INDEX(OFFSET(Arb!$C$2,,,Arb!$AJ$5,),L188),INDEX(OFFSET(Arb!$B$2,,,Arb!$AJ$5,),L188),INDEX(OFFSET(Arb!$A$2,,,Arb!$AJ$5,),L188))+ROW()*0.001)</f>
        <v>43901.188000000002</v>
      </c>
      <c r="U188" s="11">
        <v>187</v>
      </c>
      <c r="V188" s="11">
        <v>2866</v>
      </c>
      <c r="W188" s="433">
        <f ca="1">IF(V188="",164,INDEX(OFFSET(Arb!$I$2,,,Arb!$AJ$5,),V188))</f>
        <v>174</v>
      </c>
      <c r="X188" s="34">
        <f ca="1">IF(V188="",240,INDEX(OFFSET(Arb!$H$2,,,Arb!$AJ$5,),V188))</f>
        <v>71.8</v>
      </c>
      <c r="Y188" s="33">
        <f t="shared" ca="1" si="24"/>
        <v>2.4233983286908081</v>
      </c>
      <c r="Z188" s="33">
        <f ca="1">IF(V188="","",INDEX(OFFSET(Arb!$X$2,,,Arb!$AJ$5,),V188)/X188)</f>
        <v>2.8133704735376046</v>
      </c>
      <c r="AA188" s="33">
        <f ca="1">IF(V188="","",(INDEX(OFFSET(Arb!$U$2,,,Arb!$AJ$5,),V188)+INDEX(OFFSET(Arb!$V$2,,,Arb!$AJ$5,),V188))/X188)</f>
        <v>3.1197771587743732</v>
      </c>
      <c r="AB188" s="33">
        <f t="shared" ca="1" si="25"/>
        <v>8.2198199922689685</v>
      </c>
      <c r="AC188" s="21">
        <f t="shared" ca="1" si="26"/>
        <v>52.920988587235946</v>
      </c>
      <c r="AD188" s="74">
        <f ca="1">IF(V188="","",DATE(INDEX(OFFSET(Arb!$C$2,,,Arb!$AJ$5,),V188),INDEX(OFFSET(Arb!$B$2,,,Arb!$AJ$5,),V188),INDEX(OFFSET(Arb!$A$2,,,Arb!$AJ$5,),V188))+ROW()*0.001)</f>
        <v>43910.188000000002</v>
      </c>
    </row>
    <row r="189" spans="1:30" x14ac:dyDescent="0.25">
      <c r="A189" s="11">
        <v>188</v>
      </c>
      <c r="B189" s="11">
        <v>230</v>
      </c>
      <c r="C189" s="433">
        <f ca="1">IF(B189="",16,INDEX(OFFSET(Arb!$I$2,,,Arb!$AJ$5,),B189))</f>
        <v>15</v>
      </c>
      <c r="D189" s="34">
        <f ca="1">IF(B189="",10,INDEX(OFFSET(Arb!$H$2,,,Arb!$AJ$5,),B189))</f>
        <v>4.57</v>
      </c>
      <c r="E189" s="33">
        <f t="shared" ca="1" si="18"/>
        <v>3.2822757111597372</v>
      </c>
      <c r="F189" s="33">
        <f ca="1">IF(B189="","",INDEX(OFFSET(Arb!$X$2,,,Arb!$AJ$5,),B189)/D189)</f>
        <v>4.1575492341356668</v>
      </c>
      <c r="G189" s="33">
        <f ca="1">IF(B189="","",(INDEX(OFFSET(Arb!$U$2,,,Arb!$AJ$5,),B189)+INDEX(OFFSET(Arb!$V$2,,,Arb!$AJ$5,),B189))/D189)</f>
        <v>4.5951859956236323</v>
      </c>
      <c r="H189" s="33">
        <f t="shared" ca="1" si="19"/>
        <v>0.88260479198809749</v>
      </c>
      <c r="I189" s="21">
        <f t="shared" ca="1" si="20"/>
        <v>53.590237022685301</v>
      </c>
      <c r="J189" s="74">
        <f ca="1">IF(B189="","",DATE(INDEX(OFFSET(Arb!$C$2,,,Arb!$AJ$5,),B189),INDEX(OFFSET(Arb!$B$2,,,Arb!$AJ$5,),B189),INDEX(OFFSET(Arb!$A$2,,,Arb!$AJ$5,),B189))+ROW()*0.001)</f>
        <v>43776.188999999998</v>
      </c>
      <c r="K189" s="11">
        <v>188</v>
      </c>
      <c r="L189" s="11">
        <v>2068</v>
      </c>
      <c r="M189" s="433">
        <f ca="1">IF(L189="",64,INDEX(OFFSET(Arb!$I$2,,,Arb!$AJ$5,),L189))</f>
        <v>50</v>
      </c>
      <c r="N189" s="34">
        <f ca="1">IF(L189="",60,INDEX(OFFSET(Arb!$H$2,,,Arb!$AJ$5,),L189))</f>
        <v>21.66</v>
      </c>
      <c r="O189" s="33">
        <f t="shared" ca="1" si="21"/>
        <v>2.3084025854108958</v>
      </c>
      <c r="P189" s="33">
        <f ca="1">IF(L189="","",INDEX(OFFSET(Arb!$X$2,,,Arb!$AJ$5,),L189)/N189)</f>
        <v>3.0009233610341641</v>
      </c>
      <c r="Q189" s="33">
        <f ca="1">IF(L189="","",(INDEX(OFFSET(Arb!$U$2,,,Arb!$AJ$5,),L189)+INDEX(OFFSET(Arb!$V$2,,,Arb!$AJ$5,),L189))/N189)</f>
        <v>3.6934441366574329</v>
      </c>
      <c r="R189" s="33">
        <f t="shared" ca="1" si="22"/>
        <v>3.7294892919965879</v>
      </c>
      <c r="S189" s="21">
        <f t="shared" ca="1" si="23"/>
        <v>41.220121031022025</v>
      </c>
      <c r="T189" s="74">
        <f ca="1">IF(L189="","",DATE(INDEX(OFFSET(Arb!$C$2,,,Arb!$AJ$5,),L189),INDEX(OFFSET(Arb!$B$2,,,Arb!$AJ$5,),L189),INDEX(OFFSET(Arb!$A$2,,,Arb!$AJ$5,),L189))+ROW()*0.001)</f>
        <v>43803.188999999998</v>
      </c>
      <c r="U189" s="11">
        <v>188</v>
      </c>
      <c r="V189" s="11">
        <v>3270</v>
      </c>
      <c r="W189" s="433">
        <f ca="1">IF(V189="",164,INDEX(OFFSET(Arb!$I$2,,,Arb!$AJ$5,),V189))</f>
        <v>180</v>
      </c>
      <c r="X189" s="34">
        <f ca="1">IF(V189="",240,INDEX(OFFSET(Arb!$H$2,,,Arb!$AJ$5,),V189))</f>
        <v>73.25</v>
      </c>
      <c r="Y189" s="33">
        <f t="shared" ca="1" si="24"/>
        <v>2.4573378839590445</v>
      </c>
      <c r="Z189" s="33">
        <f ca="1">IF(V189="","",INDEX(OFFSET(Arb!$X$2,,,Arb!$AJ$5,),V189)/X189)</f>
        <v>2.9215017064846416</v>
      </c>
      <c r="AA189" s="33">
        <f ca="1">IF(V189="","",(INDEX(OFFSET(Arb!$U$2,,,Arb!$AJ$5,),V189)+INDEX(OFFSET(Arb!$V$2,,,Arb!$AJ$5,),V189))/X189)</f>
        <v>3.2354948805460753</v>
      </c>
      <c r="AB189" s="33">
        <f t="shared" ca="1" si="25"/>
        <v>8.2205422211405814</v>
      </c>
      <c r="AC189" s="21">
        <f t="shared" ca="1" si="26"/>
        <v>52.916339129226515</v>
      </c>
      <c r="AD189" s="74">
        <f ca="1">IF(V189="","",DATE(INDEX(OFFSET(Arb!$C$2,,,Arb!$AJ$5,),V189),INDEX(OFFSET(Arb!$B$2,,,Arb!$AJ$5,),V189),INDEX(OFFSET(Arb!$A$2,,,Arb!$AJ$5,),V189))+ROW()*0.001)</f>
        <v>44074.188999999998</v>
      </c>
    </row>
    <row r="190" spans="1:30" x14ac:dyDescent="0.25">
      <c r="A190" s="11">
        <v>189</v>
      </c>
      <c r="B190" s="11">
        <v>1241</v>
      </c>
      <c r="C190" s="433">
        <f ca="1">IF(B190="",16,INDEX(OFFSET(Arb!$I$2,,,Arb!$AJ$5,),B190))</f>
        <v>17</v>
      </c>
      <c r="D190" s="34">
        <f ca="1">IF(B190="",10,INDEX(OFFSET(Arb!$H$2,,,Arb!$AJ$5,),B190))</f>
        <v>4.92</v>
      </c>
      <c r="E190" s="33">
        <f t="shared" ca="1" si="18"/>
        <v>3.4552845528455287</v>
      </c>
      <c r="F190" s="33">
        <f ca="1">IF(B190="","",INDEX(OFFSET(Arb!$X$2,,,Arb!$AJ$5,),B190)/D190)</f>
        <v>4.2682926829268295</v>
      </c>
      <c r="G190" s="33">
        <f ca="1">IF(B190="","",(INDEX(OFFSET(Arb!$U$2,,,Arb!$AJ$5,),B190)+INDEX(OFFSET(Arb!$V$2,,,Arb!$AJ$5,),B190))/D190)</f>
        <v>4.8780487804878048</v>
      </c>
      <c r="H190" s="33">
        <f t="shared" ca="1" si="19"/>
        <v>0.88285982267400942</v>
      </c>
      <c r="I190" s="21">
        <f t="shared" ca="1" si="20"/>
        <v>53.574756473502887</v>
      </c>
      <c r="J190" s="74">
        <f ca="1">IF(B190="","",DATE(INDEX(OFFSET(Arb!$C$2,,,Arb!$AJ$5,),B190),INDEX(OFFSET(Arb!$B$2,,,Arb!$AJ$5,),B190),INDEX(OFFSET(Arb!$A$2,,,Arb!$AJ$5,),B190))+ROW()*0.001)</f>
        <v>43901.19</v>
      </c>
      <c r="K190" s="11">
        <v>189</v>
      </c>
      <c r="L190" s="11">
        <v>2134</v>
      </c>
      <c r="M190" s="433">
        <f ca="1">IF(L190="",64,INDEX(OFFSET(Arb!$I$2,,,Arb!$AJ$5,),L190))</f>
        <v>64</v>
      </c>
      <c r="N190" s="34">
        <f ca="1">IF(L190="",60,INDEX(OFFSET(Arb!$H$2,,,Arb!$AJ$5,),L190))</f>
        <v>25.05</v>
      </c>
      <c r="O190" s="33">
        <f t="shared" ca="1" si="21"/>
        <v>2.5548902195608783</v>
      </c>
      <c r="P190" s="33">
        <f ca="1">IF(L190="","",INDEX(OFFSET(Arb!$X$2,,,Arb!$AJ$5,),L190)/N190)</f>
        <v>3.2734530938123751</v>
      </c>
      <c r="Q190" s="33">
        <f ca="1">IF(L190="","",(INDEX(OFFSET(Arb!$U$2,,,Arb!$AJ$5,),L190)+INDEX(OFFSET(Arb!$V$2,,,Arb!$AJ$5,),L190))/N190)</f>
        <v>3.8722554890219558</v>
      </c>
      <c r="R190" s="33">
        <f t="shared" ca="1" si="22"/>
        <v>3.7307243982389364</v>
      </c>
      <c r="S190" s="21">
        <f t="shared" ca="1" si="23"/>
        <v>41.206474558283432</v>
      </c>
      <c r="T190" s="74">
        <f ca="1">IF(L190="","",DATE(INDEX(OFFSET(Arb!$C$2,,,Arb!$AJ$5,),L190),INDEX(OFFSET(Arb!$B$2,,,Arb!$AJ$5,),L190),INDEX(OFFSET(Arb!$A$2,,,Arb!$AJ$5,),L190))+ROW()*0.001)</f>
        <v>43817.19</v>
      </c>
      <c r="U190" s="11">
        <v>189</v>
      </c>
      <c r="V190" s="11">
        <v>2952</v>
      </c>
      <c r="W190" s="433">
        <f ca="1">IF(V190="",164,INDEX(OFFSET(Arb!$I$2,,,Arb!$AJ$5,),V190))</f>
        <v>156</v>
      </c>
      <c r="X190" s="34">
        <f ca="1">IF(V190="",240,INDEX(OFFSET(Arb!$H$2,,,Arb!$AJ$5,),V190))</f>
        <v>67.42</v>
      </c>
      <c r="Y190" s="33">
        <f t="shared" ca="1" si="24"/>
        <v>2.3138534559477901</v>
      </c>
      <c r="Z190" s="33">
        <f ca="1">IF(V190="","",INDEX(OFFSET(Arb!$X$2,,,Arb!$AJ$5,),V190)/X190)</f>
        <v>2.8626520320379707</v>
      </c>
      <c r="AA190" s="33">
        <f ca="1">IF(V190="","",(INDEX(OFFSET(Arb!$U$2,,,Arb!$AJ$5,),V190)+INDEX(OFFSET(Arb!$V$2,,,Arb!$AJ$5,),V190))/X190)</f>
        <v>3.1296351231088697</v>
      </c>
      <c r="AB190" s="33">
        <f t="shared" ca="1" si="25"/>
        <v>8.2378954061277998</v>
      </c>
      <c r="AC190" s="21">
        <f t="shared" ca="1" si="26"/>
        <v>52.804870486267923</v>
      </c>
      <c r="AD190" s="74">
        <f ca="1">IF(V190="","",DATE(INDEX(OFFSET(Arb!$C$2,,,Arb!$AJ$5,),V190),INDEX(OFFSET(Arb!$B$2,,,Arb!$AJ$5,),V190),INDEX(OFFSET(Arb!$A$2,,,Arb!$AJ$5,),V190))+ROW()*0.001)</f>
        <v>43949.19</v>
      </c>
    </row>
    <row r="191" spans="1:30" x14ac:dyDescent="0.25">
      <c r="A191" s="11">
        <v>190</v>
      </c>
      <c r="B191" s="11">
        <v>329</v>
      </c>
      <c r="C191" s="433">
        <f ca="1">IF(B191="",16,INDEX(OFFSET(Arb!$I$2,,,Arb!$AJ$5,),B191))</f>
        <v>18</v>
      </c>
      <c r="D191" s="34">
        <f ca="1">IF(B191="",10,INDEX(OFFSET(Arb!$H$2,,,Arb!$AJ$5,),B191))</f>
        <v>5.09</v>
      </c>
      <c r="E191" s="33">
        <f t="shared" ca="1" si="18"/>
        <v>3.5363457760314341</v>
      </c>
      <c r="F191" s="33">
        <f ca="1">IF(B191="","",INDEX(OFFSET(Arb!$X$2,,,Arb!$AJ$5,),B191)/D191)</f>
        <v>4.1257367387033401</v>
      </c>
      <c r="G191" s="33">
        <f ca="1">IF(B191="","",(INDEX(OFFSET(Arb!$U$2,,,Arb!$AJ$5,),B191)+INDEX(OFFSET(Arb!$V$2,,,Arb!$AJ$5,),B191))/D191)</f>
        <v>4.5186640471512769</v>
      </c>
      <c r="H191" s="33">
        <f t="shared" ca="1" si="19"/>
        <v>0.88338033032829355</v>
      </c>
      <c r="I191" s="21">
        <f t="shared" ca="1" si="20"/>
        <v>53.543189016244128</v>
      </c>
      <c r="J191" s="74">
        <f ca="1">IF(B191="","",DATE(INDEX(OFFSET(Arb!$C$2,,,Arb!$AJ$5,),B191),INDEX(OFFSET(Arb!$B$2,,,Arb!$AJ$5,),B191),INDEX(OFFSET(Arb!$A$2,,,Arb!$AJ$5,),B191))+ROW()*0.001)</f>
        <v>43779.190999999999</v>
      </c>
      <c r="K191" s="11">
        <v>190</v>
      </c>
      <c r="L191" s="11">
        <v>2345</v>
      </c>
      <c r="M191" s="433">
        <f ca="1">IF(L191="",64,INDEX(OFFSET(Arb!$I$2,,,Arb!$AJ$5,),L191))</f>
        <v>44</v>
      </c>
      <c r="N191" s="34">
        <f ca="1">IF(L191="",60,INDEX(OFFSET(Arb!$H$2,,,Arb!$AJ$5,),L191))</f>
        <v>20.12</v>
      </c>
      <c r="O191" s="33">
        <f t="shared" ca="1" si="21"/>
        <v>2.1868787276341948</v>
      </c>
      <c r="P191" s="33">
        <f ca="1">IF(L191="","",INDEX(OFFSET(Arb!$X$2,,,Arb!$AJ$5,),L191)/N191)</f>
        <v>2.9324055666003974</v>
      </c>
      <c r="Q191" s="33">
        <f ca="1">IF(L191="","",(INDEX(OFFSET(Arb!$U$2,,,Arb!$AJ$5,),L191)+INDEX(OFFSET(Arb!$V$2,,,Arb!$AJ$5,),L191))/N191)</f>
        <v>3.3797216699801189</v>
      </c>
      <c r="R191" s="33">
        <f t="shared" ca="1" si="22"/>
        <v>3.7386506328728477</v>
      </c>
      <c r="S191" s="21">
        <f t="shared" ca="1" si="23"/>
        <v>41.119113577582681</v>
      </c>
      <c r="T191" s="74">
        <f ca="1">IF(L191="","",DATE(INDEX(OFFSET(Arb!$C$2,,,Arb!$AJ$5,),L191),INDEX(OFFSET(Arb!$B$2,,,Arb!$AJ$5,),L191),INDEX(OFFSET(Arb!$A$2,,,Arb!$AJ$5,),L191))+ROW()*0.001)</f>
        <v>44106.190999999999</v>
      </c>
      <c r="U191" s="11">
        <v>190</v>
      </c>
      <c r="V191" s="11">
        <v>3327</v>
      </c>
      <c r="W191" s="433">
        <f ca="1">IF(V191="",164,INDEX(OFFSET(Arb!$I$2,,,Arb!$AJ$5,),V191))</f>
        <v>145</v>
      </c>
      <c r="X191" s="34">
        <f ca="1">IF(V191="",240,INDEX(OFFSET(Arb!$H$2,,,Arb!$AJ$5,),V191))</f>
        <v>64.59</v>
      </c>
      <c r="Y191" s="33">
        <f t="shared" ca="1" si="24"/>
        <v>2.2449295556587705</v>
      </c>
      <c r="Z191" s="33">
        <f ca="1">IF(V191="","",INDEX(OFFSET(Arb!$X$2,,,Arb!$AJ$5,),V191)/X191)</f>
        <v>2.7558445579811113</v>
      </c>
      <c r="AA191" s="33">
        <f ca="1">IF(V191="","",(INDEX(OFFSET(Arb!$U$2,,,Arb!$AJ$5,),V191)+INDEX(OFFSET(Arb!$V$2,,,Arb!$AJ$5,),V191))/X191)</f>
        <v>3.0035609227434588</v>
      </c>
      <c r="AB191" s="33">
        <f t="shared" ca="1" si="25"/>
        <v>8.2397300103872926</v>
      </c>
      <c r="AC191" s="21">
        <f t="shared" ca="1" si="26"/>
        <v>52.793113300025908</v>
      </c>
      <c r="AD191" s="74">
        <f ca="1">IF(V191="","",DATE(INDEX(OFFSET(Arb!$C$2,,,Arb!$AJ$5,),V191),INDEX(OFFSET(Arb!$B$2,,,Arb!$AJ$5,),V191),INDEX(OFFSET(Arb!$A$2,,,Arb!$AJ$5,),V191))+ROW()*0.001)</f>
        <v>44095.190999999999</v>
      </c>
    </row>
    <row r="192" spans="1:30" x14ac:dyDescent="0.25">
      <c r="A192" s="11">
        <v>191</v>
      </c>
      <c r="B192" s="11">
        <v>1749</v>
      </c>
      <c r="C192" s="433">
        <f ca="1">IF(B192="",16,INDEX(OFFSET(Arb!$I$2,,,Arb!$AJ$5,),B192))</f>
        <v>21</v>
      </c>
      <c r="D192" s="34">
        <f ca="1">IF(B192="",10,INDEX(OFFSET(Arb!$H$2,,,Arb!$AJ$5,),B192))</f>
        <v>5.58</v>
      </c>
      <c r="E192" s="33">
        <f t="shared" ca="1" si="18"/>
        <v>3.7634408602150535</v>
      </c>
      <c r="F192" s="33">
        <f ca="1">IF(B192="","",INDEX(OFFSET(Arb!$X$2,,,Arb!$AJ$5,),B192)/D192)</f>
        <v>3.9426523297491038</v>
      </c>
      <c r="G192" s="33">
        <f ca="1">IF(B192="","",(INDEX(OFFSET(Arb!$U$2,,,Arb!$AJ$5,),B192)+INDEX(OFFSET(Arb!$V$2,,,Arb!$AJ$5,),B192))/D192)</f>
        <v>5.0179211469534053</v>
      </c>
      <c r="H192" s="33">
        <f t="shared" ca="1" si="19"/>
        <v>0.88523554410519456</v>
      </c>
      <c r="I192" s="21">
        <f t="shared" ca="1" si="20"/>
        <v>53.430977003764944</v>
      </c>
      <c r="J192" s="74">
        <f ca="1">IF(B192="","",DATE(INDEX(OFFSET(Arb!$C$2,,,Arb!$AJ$5,),B192),INDEX(OFFSET(Arb!$B$2,,,Arb!$AJ$5,),B192),INDEX(OFFSET(Arb!$A$2,,,Arb!$AJ$5,),B192))+ROW()*0.001)</f>
        <v>44114.192000000003</v>
      </c>
      <c r="K192" s="11">
        <v>191</v>
      </c>
      <c r="L192" s="11">
        <v>2361</v>
      </c>
      <c r="M192" s="433">
        <f ca="1">IF(L192="",64,INDEX(OFFSET(Arb!$I$2,,,Arb!$AJ$5,),L192))</f>
        <v>59</v>
      </c>
      <c r="N192" s="34">
        <f ca="1">IF(L192="",60,INDEX(OFFSET(Arb!$H$2,,,Arb!$AJ$5,),L192))</f>
        <v>23.93</v>
      </c>
      <c r="O192" s="33">
        <f t="shared" ca="1" si="21"/>
        <v>2.4655244463017132</v>
      </c>
      <c r="P192" s="33">
        <f ca="1">IF(L192="","",INDEX(OFFSET(Arb!$X$2,,,Arb!$AJ$5,),L192)/N192)</f>
        <v>3.0505641454241537</v>
      </c>
      <c r="Q192" s="33">
        <f ca="1">IF(L192="","",(INDEX(OFFSET(Arb!$U$2,,,Arb!$AJ$5,),L192)+INDEX(OFFSET(Arb!$V$2,,,Arb!$AJ$5,),L192))/N192)</f>
        <v>3.4684496447973254</v>
      </c>
      <c r="R192" s="33">
        <f t="shared" ca="1" si="22"/>
        <v>3.7441270388585921</v>
      </c>
      <c r="S192" s="21">
        <f t="shared" ca="1" si="23"/>
        <v>41.058970062849426</v>
      </c>
      <c r="T192" s="74">
        <f ca="1">IF(L192="","",DATE(INDEX(OFFSET(Arb!$C$2,,,Arb!$AJ$5,),L192),INDEX(OFFSET(Arb!$B$2,,,Arb!$AJ$5,),L192),INDEX(OFFSET(Arb!$A$2,,,Arb!$AJ$5,),L192))+ROW()*0.001)</f>
        <v>44114.192000000003</v>
      </c>
      <c r="U192" s="11">
        <v>191</v>
      </c>
      <c r="V192" s="11">
        <v>3328</v>
      </c>
      <c r="W192" s="433">
        <f ca="1">IF(V192="",164,INDEX(OFFSET(Arb!$I$2,,,Arb!$AJ$5,),V192))</f>
        <v>197</v>
      </c>
      <c r="X192" s="34">
        <f ca="1">IF(V192="",240,INDEX(OFFSET(Arb!$H$2,,,Arb!$AJ$5,),V192))</f>
        <v>77.39</v>
      </c>
      <c r="Y192" s="33">
        <f t="shared" ca="1" si="24"/>
        <v>2.5455485204806823</v>
      </c>
      <c r="Z192" s="33">
        <f ca="1">IF(V192="","",INDEX(OFFSET(Arb!$X$2,,,Arb!$AJ$5,),V192)/X192)</f>
        <v>3.1011758625145367</v>
      </c>
      <c r="AA192" s="33">
        <f ca="1">IF(V192="","",(INDEX(OFFSET(Arb!$U$2,,,Arb!$AJ$5,),V192)+INDEX(OFFSET(Arb!$V$2,,,Arb!$AJ$5,),V192))/X192)</f>
        <v>3.3725287504845589</v>
      </c>
      <c r="AB192" s="33">
        <f t="shared" ca="1" si="25"/>
        <v>8.2470383320693603</v>
      </c>
      <c r="AC192" s="21">
        <f t="shared" ca="1" si="26"/>
        <v>52.746329346919481</v>
      </c>
      <c r="AD192" s="74">
        <f ca="1">IF(V192="","",DATE(INDEX(OFFSET(Arb!$C$2,,,Arb!$AJ$5,),V192),INDEX(OFFSET(Arb!$B$2,,,Arb!$AJ$5,),V192),INDEX(OFFSET(Arb!$A$2,,,Arb!$AJ$5,),V192))+ROW()*0.001)</f>
        <v>44095.192000000003</v>
      </c>
    </row>
    <row r="193" spans="1:30" x14ac:dyDescent="0.25">
      <c r="A193" s="11">
        <v>192</v>
      </c>
      <c r="B193" s="11">
        <v>37</v>
      </c>
      <c r="C193" s="433">
        <f ca="1">IF(B193="",16,INDEX(OFFSET(Arb!$I$2,,,Arb!$AJ$5,),B193))</f>
        <v>11</v>
      </c>
      <c r="D193" s="34">
        <f ca="1">IF(B193="",10,INDEX(OFFSET(Arb!$H$2,,,Arb!$AJ$5,),B193))</f>
        <v>3.82</v>
      </c>
      <c r="E193" s="33">
        <f t="shared" ca="1" si="18"/>
        <v>2.8795811518324608</v>
      </c>
      <c r="F193" s="33">
        <f ca="1">IF(B193="","",INDEX(OFFSET(Arb!$X$2,,,Arb!$AJ$5,),B193)/D193)</f>
        <v>3.4031413612565444</v>
      </c>
      <c r="G193" s="33">
        <f ca="1">IF(B193="","",(INDEX(OFFSET(Arb!$U$2,,,Arb!$AJ$5,),B193)+INDEX(OFFSET(Arb!$V$2,,,Arb!$AJ$5,),B193))/D193)</f>
        <v>3.9267015706806285</v>
      </c>
      <c r="H193" s="33">
        <f t="shared" ca="1" si="19"/>
        <v>0.88739102460703301</v>
      </c>
      <c r="I193" s="21">
        <f t="shared" ca="1" si="20"/>
        <v>53.301192696810979</v>
      </c>
      <c r="J193" s="74">
        <f ca="1">IF(B193="","",DATE(INDEX(OFFSET(Arb!$C$2,,,Arb!$AJ$5,),B193),INDEX(OFFSET(Arb!$B$2,,,Arb!$AJ$5,),B193),INDEX(OFFSET(Arb!$A$2,,,Arb!$AJ$5,),B193))+ROW()*0.001)</f>
        <v>43766.192999999999</v>
      </c>
      <c r="K193" s="11">
        <v>192</v>
      </c>
      <c r="L193" s="11">
        <v>2192</v>
      </c>
      <c r="M193" s="433">
        <f ca="1">IF(L193="",64,INDEX(OFFSET(Arb!$I$2,,,Arb!$AJ$5,),L193))</f>
        <v>68</v>
      </c>
      <c r="N193" s="34">
        <f ca="1">IF(L193="",60,INDEX(OFFSET(Arb!$H$2,,,Arb!$AJ$5,),L193))</f>
        <v>26.02</v>
      </c>
      <c r="O193" s="33">
        <f t="shared" ca="1" si="21"/>
        <v>2.6133743274404306</v>
      </c>
      <c r="P193" s="33">
        <f ca="1">IF(L193="","",INDEX(OFFSET(Arb!$X$2,,,Arb!$AJ$5,),L193)/N193)</f>
        <v>3.2282859338970025</v>
      </c>
      <c r="Q193" s="33">
        <f ca="1">IF(L193="","",(INDEX(OFFSET(Arb!$U$2,,,Arb!$AJ$5,),L193)+INDEX(OFFSET(Arb!$V$2,,,Arb!$AJ$5,),L193))/N193)</f>
        <v>3.7279016141429668</v>
      </c>
      <c r="R193" s="33">
        <f t="shared" ca="1" si="22"/>
        <v>3.7455317607068221</v>
      </c>
      <c r="S193" s="21">
        <f t="shared" ca="1" si="23"/>
        <v>41.043571332843136</v>
      </c>
      <c r="T193" s="74">
        <f ca="1">IF(L193="","",DATE(INDEX(OFFSET(Arb!$C$2,,,Arb!$AJ$5,),L193),INDEX(OFFSET(Arb!$B$2,,,Arb!$AJ$5,),L193),INDEX(OFFSET(Arb!$A$2,,,Arb!$AJ$5,),L193))+ROW()*0.001)</f>
        <v>43852.192999999999</v>
      </c>
      <c r="U193" s="11">
        <v>192</v>
      </c>
      <c r="V193" s="11">
        <v>3193</v>
      </c>
      <c r="W193" s="433">
        <f ca="1">IF(V193="",164,INDEX(OFFSET(Arb!$I$2,,,Arb!$AJ$5,),V193))</f>
        <v>191</v>
      </c>
      <c r="X193" s="34">
        <f ca="1">IF(V193="",240,INDEX(OFFSET(Arb!$H$2,,,Arb!$AJ$5,),V193))</f>
        <v>76.040000000000006</v>
      </c>
      <c r="Y193" s="33">
        <f t="shared" ca="1" si="24"/>
        <v>2.5118358758548132</v>
      </c>
      <c r="Z193" s="33">
        <f ca="1">IF(V193="","",INDEX(OFFSET(Arb!$X$2,,,Arb!$AJ$5,),V193)/X193)</f>
        <v>2.9852709100473431</v>
      </c>
      <c r="AA193" s="33">
        <f ca="1">IF(V193="","",(INDEX(OFFSET(Arb!$U$2,,,Arb!$AJ$5,),V193)+INDEX(OFFSET(Arb!$V$2,,,Arb!$AJ$5,),V193))/X193)</f>
        <v>3.2219884271436086</v>
      </c>
      <c r="AB193" s="33">
        <f t="shared" ca="1" si="25"/>
        <v>8.2554018180710127</v>
      </c>
      <c r="AC193" s="21">
        <f t="shared" ca="1" si="26"/>
        <v>52.692892434113389</v>
      </c>
      <c r="AD193" s="74">
        <f ca="1">IF(V193="","",DATE(INDEX(OFFSET(Arb!$C$2,,,Arb!$AJ$5,),V193),INDEX(OFFSET(Arb!$B$2,,,Arb!$AJ$5,),V193),INDEX(OFFSET(Arb!$A$2,,,Arb!$AJ$5,),V193))+ROW()*0.001)</f>
        <v>44057.192999999999</v>
      </c>
    </row>
    <row r="194" spans="1:30" x14ac:dyDescent="0.25">
      <c r="A194" s="11">
        <v>193</v>
      </c>
      <c r="B194" s="11">
        <v>1017</v>
      </c>
      <c r="C194" s="433">
        <f ca="1">IF(B194="",16,INDEX(OFFSET(Arb!$I$2,,,Arb!$AJ$5,),B194))</f>
        <v>19</v>
      </c>
      <c r="D194" s="34">
        <f ca="1">IF(B194="",10,INDEX(OFFSET(Arb!$H$2,,,Arb!$AJ$5,),B194))</f>
        <v>5.27</v>
      </c>
      <c r="E194" s="33">
        <f t="shared" ca="1" si="18"/>
        <v>3.6053130929791273</v>
      </c>
      <c r="F194" s="33">
        <f ca="1">IF(B194="","",INDEX(OFFSET(Arb!$X$2,,,Arb!$AJ$5,),B194)/D194)</f>
        <v>3.6053130929791273</v>
      </c>
      <c r="G194" s="33">
        <f ca="1">IF(B194="","",(INDEX(OFFSET(Arb!$U$2,,,Arb!$AJ$5,),B194)+INDEX(OFFSET(Arb!$V$2,,,Arb!$AJ$5,),B194))/D194)</f>
        <v>4.1745730550284632</v>
      </c>
      <c r="H194" s="33">
        <f t="shared" ca="1" si="19"/>
        <v>0.88781902021460446</v>
      </c>
      <c r="I194" s="21">
        <f t="shared" ca="1" si="20"/>
        <v>53.275497509128428</v>
      </c>
      <c r="J194" s="74">
        <f ca="1">IF(B194="","",DATE(INDEX(OFFSET(Arb!$C$2,,,Arb!$AJ$5,),B194),INDEX(OFFSET(Arb!$B$2,,,Arb!$AJ$5,),B194),INDEX(OFFSET(Arb!$A$2,,,Arb!$AJ$5,),B194))+ROW()*0.001)</f>
        <v>43839.194000000003</v>
      </c>
      <c r="K194" s="11">
        <v>193</v>
      </c>
      <c r="L194" s="11">
        <v>2048</v>
      </c>
      <c r="M194" s="433">
        <f ca="1">IF(L194="",64,INDEX(OFFSET(Arb!$I$2,,,Arb!$AJ$5,),L194))</f>
        <v>48</v>
      </c>
      <c r="N194" s="34">
        <f ca="1">IF(L194="",60,INDEX(OFFSET(Arb!$H$2,,,Arb!$AJ$5,),L194))</f>
        <v>21.21</v>
      </c>
      <c r="O194" s="33">
        <f t="shared" ca="1" si="21"/>
        <v>2.2630834512022631</v>
      </c>
      <c r="P194" s="33">
        <f ca="1">IF(L194="","",INDEX(OFFSET(Arb!$X$2,,,Arb!$AJ$5,),L194)/N194)</f>
        <v>3.1588873173031589</v>
      </c>
      <c r="Q194" s="33">
        <f ca="1">IF(L194="","",(INDEX(OFFSET(Arb!$U$2,,,Arb!$AJ$5,),L194)+INDEX(OFFSET(Arb!$V$2,,,Arb!$AJ$5,),L194))/N194)</f>
        <v>3.6775106082036775</v>
      </c>
      <c r="R194" s="33">
        <f t="shared" ca="1" si="22"/>
        <v>3.7486759426429015</v>
      </c>
      <c r="S194" s="21">
        <f t="shared" ca="1" si="23"/>
        <v>41.00914625648246</v>
      </c>
      <c r="T194" s="74">
        <f ca="1">IF(L194="","",DATE(INDEX(OFFSET(Arb!$C$2,,,Arb!$AJ$5,),L194),INDEX(OFFSET(Arb!$B$2,,,Arb!$AJ$5,),L194),INDEX(OFFSET(Arb!$A$2,,,Arb!$AJ$5,),L194))+ROW()*0.001)</f>
        <v>43798.194000000003</v>
      </c>
      <c r="U194" s="11">
        <v>193</v>
      </c>
      <c r="V194" s="11">
        <v>3216</v>
      </c>
      <c r="W194" s="433">
        <f ca="1">IF(V194="",164,INDEX(OFFSET(Arb!$I$2,,,Arb!$AJ$5,),V194))</f>
        <v>169</v>
      </c>
      <c r="X194" s="34">
        <f ca="1">IF(V194="",240,INDEX(OFFSET(Arb!$H$2,,,Arb!$AJ$5,),V194))</f>
        <v>70.760000000000005</v>
      </c>
      <c r="Y194" s="33">
        <f t="shared" ca="1" si="24"/>
        <v>2.3883550028264553</v>
      </c>
      <c r="Z194" s="33">
        <f ca="1">IF(V194="","",INDEX(OFFSET(Arb!$X$2,,,Arb!$AJ$5,),V194)/X194)</f>
        <v>2.8405879027699261</v>
      </c>
      <c r="AA194" s="33">
        <f ca="1">IF(V194="","",(INDEX(OFFSET(Arb!$U$2,,,Arb!$AJ$5,),V194)+INDEX(OFFSET(Arb!$V$2,,,Arb!$AJ$5,),V194))/X194)</f>
        <v>3.1514980214810624</v>
      </c>
      <c r="AB194" s="33">
        <f t="shared" ca="1" si="25"/>
        <v>8.255675166915923</v>
      </c>
      <c r="AC194" s="21">
        <f t="shared" ca="1" si="26"/>
        <v>52.691147750487808</v>
      </c>
      <c r="AD194" s="74">
        <f ca="1">IF(V194="","",DATE(INDEX(OFFSET(Arb!$C$2,,,Arb!$AJ$5,),V194),INDEX(OFFSET(Arb!$B$2,,,Arb!$AJ$5,),V194),INDEX(OFFSET(Arb!$A$2,,,Arb!$AJ$5,),V194))+ROW()*0.001)</f>
        <v>44059.194000000003</v>
      </c>
    </row>
    <row r="195" spans="1:30" x14ac:dyDescent="0.25">
      <c r="A195" s="11">
        <v>194</v>
      </c>
      <c r="B195" s="11">
        <v>102</v>
      </c>
      <c r="C195" s="433">
        <f ca="1">IF(B195="",16,INDEX(OFFSET(Arb!$I$2,,,Arb!$AJ$5,),B195))</f>
        <v>21</v>
      </c>
      <c r="D195" s="34">
        <f ca="1">IF(B195="",10,INDEX(OFFSET(Arb!$H$2,,,Arb!$AJ$5,),B195))</f>
        <v>5.59</v>
      </c>
      <c r="E195" s="33">
        <f t="shared" ref="E195:E201" ca="1" si="27">C195/D195</f>
        <v>3.7567084078711988</v>
      </c>
      <c r="F195" s="33">
        <f ca="1">IF(B195="","",INDEX(OFFSET(Arb!$X$2,,,Arb!$AJ$5,),B195)/D195)</f>
        <v>4.6511627906976747</v>
      </c>
      <c r="G195" s="33">
        <f ca="1">IF(B195="","",(INDEX(OFFSET(Arb!$U$2,,,Arb!$AJ$5,),B195)+INDEX(OFFSET(Arb!$V$2,,,Arb!$AJ$5,),B195))/D195)</f>
        <v>5.0089445438282647</v>
      </c>
      <c r="H195" s="33">
        <f t="shared" ref="H195:H201" ca="1" si="28">D195^1.7/C195</f>
        <v>0.88793418960675685</v>
      </c>
      <c r="I195" s="21">
        <f t="shared" ref="I195:I201" ca="1" si="29">47.299/H195</f>
        <v>53.268587417438567</v>
      </c>
      <c r="J195" s="74">
        <f ca="1">IF(B195="","",DATE(INDEX(OFFSET(Arb!$C$2,,,Arb!$AJ$5,),B195),INDEX(OFFSET(Arb!$B$2,,,Arb!$AJ$5,),B195),INDEX(OFFSET(Arb!$A$2,,,Arb!$AJ$5,),B195))+ROW()*0.001)</f>
        <v>43769.195</v>
      </c>
      <c r="K195" s="11">
        <v>194</v>
      </c>
      <c r="L195" s="11">
        <v>2257</v>
      </c>
      <c r="M195" s="433">
        <f ca="1">IF(L195="",64,INDEX(OFFSET(Arb!$I$2,,,Arb!$AJ$5,),L195))</f>
        <v>61</v>
      </c>
      <c r="N195" s="34">
        <f ca="1">IF(L195="",60,INDEX(OFFSET(Arb!$H$2,,,Arb!$AJ$5,),L195))</f>
        <v>24.45</v>
      </c>
      <c r="O195" s="33">
        <f t="shared" ref="O195:O201" ca="1" si="30">M195/N195</f>
        <v>2.4948875255623721</v>
      </c>
      <c r="P195" s="33">
        <f ca="1">IF(L195="","",INDEX(OFFSET(Arb!$X$2,,,Arb!$AJ$5,),L195)/N195)</f>
        <v>3.1083844580777096</v>
      </c>
      <c r="Q195" s="33">
        <f ca="1">IF(L195="","",(INDEX(OFFSET(Arb!$U$2,,,Arb!$AJ$5,),L195)+INDEX(OFFSET(Arb!$V$2,,,Arb!$AJ$5,),L195))/N195)</f>
        <v>3.6400817995910022</v>
      </c>
      <c r="R195" s="33">
        <f t="shared" ref="R195:R201" ca="1" si="31">N195^1.7/M195</f>
        <v>3.7561612919104523</v>
      </c>
      <c r="S195" s="21">
        <f t="shared" ref="S195:S201" ca="1" si="32">153.73/R195</f>
        <v>40.927422454164663</v>
      </c>
      <c r="T195" s="74">
        <f ca="1">IF(L195="","",DATE(INDEX(OFFSET(Arb!$C$2,,,Arb!$AJ$5,),L195),INDEX(OFFSET(Arb!$B$2,,,Arb!$AJ$5,),L195),INDEX(OFFSET(Arb!$A$2,,,Arb!$AJ$5,),L195))+ROW()*0.001)</f>
        <v>43901.195</v>
      </c>
      <c r="U195" s="11">
        <v>194</v>
      </c>
      <c r="V195" s="11">
        <v>2938</v>
      </c>
      <c r="W195" s="433">
        <f ca="1">IF(V195="",164,INDEX(OFFSET(Arb!$I$2,,,Arb!$AJ$5,),V195))</f>
        <v>193</v>
      </c>
      <c r="X195" s="34">
        <f ca="1">IF(V195="",240,INDEX(OFFSET(Arb!$H$2,,,Arb!$AJ$5,),V195))</f>
        <v>76.510000000000005</v>
      </c>
      <c r="Y195" s="33">
        <f t="shared" ref="Y195:Y201" ca="1" si="33">W195/X195</f>
        <v>2.5225460724088351</v>
      </c>
      <c r="Z195" s="33">
        <f ca="1">IF(V195="","",INDEX(OFFSET(Arb!$X$2,,,Arb!$AJ$5,),V195)/X195)</f>
        <v>2.9800026140373803</v>
      </c>
      <c r="AA195" s="33">
        <f ca="1">IF(V195="","",(INDEX(OFFSET(Arb!$U$2,,,Arb!$AJ$5,),V195)+INDEX(OFFSET(Arb!$V$2,,,Arb!$AJ$5,),V195))/X195)</f>
        <v>3.2544765390145076</v>
      </c>
      <c r="AB195" s="33">
        <f t="shared" ref="AB195:AB201" ca="1" si="34">X195^1.7/W195</f>
        <v>8.255884990347873</v>
      </c>
      <c r="AC195" s="21">
        <f t="shared" ref="AC195:AC201" ca="1" si="35">435.001/AB195</f>
        <v>52.68980860423428</v>
      </c>
      <c r="AD195" s="74">
        <f ca="1">IF(V195="","",DATE(INDEX(OFFSET(Arb!$C$2,,,Arb!$AJ$5,),V195),INDEX(OFFSET(Arb!$B$2,,,Arb!$AJ$5,),V195),INDEX(OFFSET(Arb!$A$2,,,Arb!$AJ$5,),V195))+ROW()*0.001)</f>
        <v>43940.195</v>
      </c>
    </row>
    <row r="196" spans="1:30" x14ac:dyDescent="0.25">
      <c r="A196" s="11">
        <v>195</v>
      </c>
      <c r="B196" s="11">
        <v>1058</v>
      </c>
      <c r="C196" s="433">
        <f ca="1">IF(B196="",16,INDEX(OFFSET(Arb!$I$2,,,Arb!$AJ$5,),B196))</f>
        <v>13</v>
      </c>
      <c r="D196" s="34">
        <f ca="1">IF(B196="",10,INDEX(OFFSET(Arb!$H$2,,,Arb!$AJ$5,),B196))</f>
        <v>4.22</v>
      </c>
      <c r="E196" s="33">
        <f t="shared" ca="1" si="27"/>
        <v>3.080568720379147</v>
      </c>
      <c r="F196" s="33">
        <f ca="1">IF(B196="","",INDEX(OFFSET(Arb!$X$2,,,Arb!$AJ$5,),B196)/D196)</f>
        <v>3.7914691943127963</v>
      </c>
      <c r="G196" s="33">
        <f ca="1">IF(B196="","",(INDEX(OFFSET(Arb!$U$2,,,Arb!$AJ$5,),B196)+INDEX(OFFSET(Arb!$V$2,,,Arb!$AJ$5,),B196))/D196)</f>
        <v>4.2654028436018958</v>
      </c>
      <c r="H196" s="33">
        <f t="shared" ca="1" si="28"/>
        <v>0.88938093246938599</v>
      </c>
      <c r="I196" s="21">
        <f t="shared" ca="1" si="29"/>
        <v>53.181936190911209</v>
      </c>
      <c r="J196" s="74">
        <f ca="1">IF(B196="","",DATE(INDEX(OFFSET(Arb!$C$2,,,Arb!$AJ$5,),B196),INDEX(OFFSET(Arb!$B$2,,,Arb!$AJ$5,),B196),INDEX(OFFSET(Arb!$A$2,,,Arb!$AJ$5,),B196))+ROW()*0.001)</f>
        <v>43841.196000000004</v>
      </c>
      <c r="K196" s="11">
        <v>195</v>
      </c>
      <c r="L196" s="11">
        <v>2191</v>
      </c>
      <c r="M196" s="433">
        <f ca="1">IF(L196="",64,INDEX(OFFSET(Arb!$I$2,,,Arb!$AJ$5,),L196))</f>
        <v>80</v>
      </c>
      <c r="N196" s="34">
        <f ca="1">IF(L196="",60,INDEX(OFFSET(Arb!$H$2,,,Arb!$AJ$5,),L196))</f>
        <v>28.7</v>
      </c>
      <c r="O196" s="33">
        <f t="shared" ca="1" si="30"/>
        <v>2.7874564459930316</v>
      </c>
      <c r="P196" s="33">
        <f ca="1">IF(L196="","",INDEX(OFFSET(Arb!$X$2,,,Arb!$AJ$5,),L196)/N196)</f>
        <v>3.3797909407665507</v>
      </c>
      <c r="Q196" s="33">
        <f ca="1">IF(L196="","",(INDEX(OFFSET(Arb!$U$2,,,Arb!$AJ$5,),L196)+INDEX(OFFSET(Arb!$V$2,,,Arb!$AJ$5,),L196))/N196)</f>
        <v>3.8675958188153312</v>
      </c>
      <c r="R196" s="33">
        <f t="shared" ca="1" si="31"/>
        <v>3.7610511294102138</v>
      </c>
      <c r="S196" s="21">
        <f t="shared" ca="1" si="32"/>
        <v>40.874211679251232</v>
      </c>
      <c r="T196" s="74">
        <f ca="1">IF(L196="","",DATE(INDEX(OFFSET(Arb!$C$2,,,Arb!$AJ$5,),L196),INDEX(OFFSET(Arb!$B$2,,,Arb!$AJ$5,),L196),INDEX(OFFSET(Arb!$A$2,,,Arb!$AJ$5,),L196))+ROW()*0.001)</f>
        <v>43852.196000000004</v>
      </c>
      <c r="U196" s="11">
        <v>195</v>
      </c>
      <c r="V196" s="11">
        <v>3341</v>
      </c>
      <c r="W196" s="433">
        <f ca="1">IF(V196="",164,INDEX(OFFSET(Arb!$I$2,,,Arb!$AJ$5,),V196))</f>
        <v>199</v>
      </c>
      <c r="X196" s="34">
        <f ca="1">IF(V196="",240,INDEX(OFFSET(Arb!$H$2,,,Arb!$AJ$5,),V196))</f>
        <v>77.91</v>
      </c>
      <c r="Y196" s="33">
        <f t="shared" ca="1" si="33"/>
        <v>2.5542292388653576</v>
      </c>
      <c r="Z196" s="33">
        <f ca="1">IF(V196="","",INDEX(OFFSET(Arb!$X$2,,,Arb!$AJ$5,),V196)/X196)</f>
        <v>3.1318187652419458</v>
      </c>
      <c r="AA196" s="33">
        <f ca="1">IF(V196="","",(INDEX(OFFSET(Arb!$U$2,,,Arb!$AJ$5,),V196)+INDEX(OFFSET(Arb!$V$2,,,Arb!$AJ$5,),V196))/X196)</f>
        <v>3.5168784494930048</v>
      </c>
      <c r="AB196" s="33">
        <f t="shared" ca="1" si="34"/>
        <v>8.2576290770912149</v>
      </c>
      <c r="AC196" s="21">
        <f t="shared" ca="1" si="35"/>
        <v>52.678680035024165</v>
      </c>
      <c r="AD196" s="74">
        <f ca="1">IF(V196="","",DATE(INDEX(OFFSET(Arb!$C$2,,,Arb!$AJ$5,),V196),INDEX(OFFSET(Arb!$B$2,,,Arb!$AJ$5,),V196),INDEX(OFFSET(Arb!$A$2,,,Arb!$AJ$5,),V196))+ROW()*0.001)</f>
        <v>44097.196000000004</v>
      </c>
    </row>
    <row r="197" spans="1:30" x14ac:dyDescent="0.25">
      <c r="A197" s="11">
        <v>196</v>
      </c>
      <c r="B197" s="11">
        <v>1431</v>
      </c>
      <c r="C197" s="433">
        <f ca="1">IF(B197="",16,INDEX(OFFSET(Arb!$I$2,,,Arb!$AJ$5,),B197))</f>
        <v>12</v>
      </c>
      <c r="D197" s="34">
        <f ca="1">IF(B197="",10,INDEX(OFFSET(Arb!$H$2,,,Arb!$AJ$5,),B197))</f>
        <v>4.03</v>
      </c>
      <c r="E197" s="33">
        <f t="shared" ca="1" si="27"/>
        <v>2.9776674937965257</v>
      </c>
      <c r="F197" s="33">
        <f ca="1">IF(B197="","",INDEX(OFFSET(Arb!$X$2,,,Arb!$AJ$5,),B197)/D197)</f>
        <v>3.7220843672456572</v>
      </c>
      <c r="G197" s="33">
        <f ca="1">IF(B197="","",(INDEX(OFFSET(Arb!$U$2,,,Arb!$AJ$5,),B197)+INDEX(OFFSET(Arb!$V$2,,,Arb!$AJ$5,),B197))/D197)</f>
        <v>3.9702233250620345</v>
      </c>
      <c r="H197" s="33">
        <f t="shared" ca="1" si="28"/>
        <v>0.8909171772495893</v>
      </c>
      <c r="I197" s="21">
        <f t="shared" ca="1" si="29"/>
        <v>53.090232411973403</v>
      </c>
      <c r="J197" s="74">
        <f ca="1">IF(B197="","",DATE(INDEX(OFFSET(Arb!$C$2,,,Arb!$AJ$5,),B197),INDEX(OFFSET(Arb!$B$2,,,Arb!$AJ$5,),B197),INDEX(OFFSET(Arb!$A$2,,,Arb!$AJ$5,),B197))+ROW()*0.001)</f>
        <v>43940.197</v>
      </c>
      <c r="K197" s="11">
        <v>196</v>
      </c>
      <c r="L197" s="11">
        <v>2204</v>
      </c>
      <c r="M197" s="433">
        <f ca="1">IF(L197="",64,INDEX(OFFSET(Arb!$I$2,,,Arb!$AJ$5,),L197))</f>
        <v>61</v>
      </c>
      <c r="N197" s="34">
        <f ca="1">IF(L197="",60,INDEX(OFFSET(Arb!$H$2,,,Arb!$AJ$5,),L197))</f>
        <v>24.47</v>
      </c>
      <c r="O197" s="33">
        <f t="shared" ca="1" si="30"/>
        <v>2.4928483857785042</v>
      </c>
      <c r="P197" s="33">
        <f ca="1">IF(L197="","",INDEX(OFFSET(Arb!$X$2,,,Arb!$AJ$5,),L197)/N197)</f>
        <v>2.9832447895382104</v>
      </c>
      <c r="Q197" s="33">
        <f ca="1">IF(L197="","",(INDEX(OFFSET(Arb!$U$2,,,Arb!$AJ$5,),L197)+INDEX(OFFSET(Arb!$V$2,,,Arb!$AJ$5,),L197))/N197)</f>
        <v>3.228442991418063</v>
      </c>
      <c r="R197" s="33">
        <f t="shared" ca="1" si="31"/>
        <v>3.761386078985189</v>
      </c>
      <c r="S197" s="21">
        <f t="shared" ca="1" si="32"/>
        <v>40.870571850862994</v>
      </c>
      <c r="T197" s="74">
        <f ca="1">IF(L197="","",DATE(INDEX(OFFSET(Arb!$C$2,,,Arb!$AJ$5,),L197),INDEX(OFFSET(Arb!$B$2,,,Arb!$AJ$5,),L197),INDEX(OFFSET(Arb!$A$2,,,Arb!$AJ$5,),L197))+ROW()*0.001)</f>
        <v>43869.197</v>
      </c>
      <c r="U197" s="11">
        <v>196</v>
      </c>
      <c r="V197" s="11">
        <v>3070</v>
      </c>
      <c r="W197" s="433">
        <f ca="1">IF(V197="",164,INDEX(OFFSET(Arb!$I$2,,,Arb!$AJ$5,),V197))</f>
        <v>196</v>
      </c>
      <c r="X197" s="34">
        <f ca="1">IF(V197="",240,INDEX(OFFSET(Arb!$H$2,,,Arb!$AJ$5,),V197))</f>
        <v>77.22</v>
      </c>
      <c r="Y197" s="33">
        <f t="shared" ca="1" si="33"/>
        <v>2.5382025382025382</v>
      </c>
      <c r="Z197" s="33">
        <f ca="1">IF(V197="","",INDEX(OFFSET(Arb!$X$2,,,Arb!$AJ$5,),V197)/X197)</f>
        <v>2.8231028231028232</v>
      </c>
      <c r="AA197" s="33">
        <f ca="1">IF(V197="","",(INDEX(OFFSET(Arb!$U$2,,,Arb!$AJ$5,),V197)+INDEX(OFFSET(Arb!$V$2,,,Arb!$AJ$5,),V197))/X197)</f>
        <v>3.0562030562030564</v>
      </c>
      <c r="AB197" s="33">
        <f t="shared" ca="1" si="34"/>
        <v>8.2581845495911779</v>
      </c>
      <c r="AC197" s="21">
        <f t="shared" ca="1" si="35"/>
        <v>52.675136694727264</v>
      </c>
      <c r="AD197" s="74">
        <f ca="1">IF(V197="","",DATE(INDEX(OFFSET(Arb!$C$2,,,Arb!$AJ$5,),V197),INDEX(OFFSET(Arb!$B$2,,,Arb!$AJ$5,),V197),INDEX(OFFSET(Arb!$A$2,,,Arb!$AJ$5,),V197))+ROW()*0.001)</f>
        <v>44003.197</v>
      </c>
    </row>
    <row r="198" spans="1:30" x14ac:dyDescent="0.25">
      <c r="A198" s="11">
        <v>197</v>
      </c>
      <c r="B198" s="11">
        <v>1548</v>
      </c>
      <c r="C198" s="433">
        <f ca="1">IF(B198="",16,INDEX(OFFSET(Arb!$I$2,,,Arb!$AJ$5,),B198))</f>
        <v>20</v>
      </c>
      <c r="D198" s="34">
        <f ca="1">IF(B198="",10,INDEX(OFFSET(Arb!$H$2,,,Arb!$AJ$5,),B198))</f>
        <v>5.45</v>
      </c>
      <c r="E198" s="33">
        <f t="shared" ca="1" si="27"/>
        <v>3.6697247706422016</v>
      </c>
      <c r="F198" s="33">
        <f ca="1">IF(B198="","",INDEX(OFFSET(Arb!$X$2,,,Arb!$AJ$5,),B198)/D198)</f>
        <v>3.8532110091743119</v>
      </c>
      <c r="G198" s="33">
        <f ca="1">IF(B198="","",(INDEX(OFFSET(Arb!$U$2,,,Arb!$AJ$5,),B198)+INDEX(OFFSET(Arb!$V$2,,,Arb!$AJ$5,),B198))/D198)</f>
        <v>4.5871559633027523</v>
      </c>
      <c r="H198" s="33">
        <f t="shared" ca="1" si="28"/>
        <v>0.89298478278402682</v>
      </c>
      <c r="I198" s="21">
        <f t="shared" ca="1" si="29"/>
        <v>52.967307967485844</v>
      </c>
      <c r="J198" s="74">
        <f ca="1">IF(B198="","",DATE(INDEX(OFFSET(Arb!$C$2,,,Arb!$AJ$5,),B198),INDEX(OFFSET(Arb!$B$2,,,Arb!$AJ$5,),B198),INDEX(OFFSET(Arb!$A$2,,,Arb!$AJ$5,),B198))+ROW()*0.001)</f>
        <v>43984.197999999997</v>
      </c>
      <c r="K198" s="11">
        <v>197</v>
      </c>
      <c r="L198" s="11">
        <v>2412</v>
      </c>
      <c r="M198" s="433">
        <f ca="1">IF(L198="",64,INDEX(OFFSET(Arb!$I$2,,,Arb!$AJ$5,),L198))</f>
        <v>78</v>
      </c>
      <c r="N198" s="34">
        <f ca="1">IF(L198="",60,INDEX(OFFSET(Arb!$H$2,,,Arb!$AJ$5,),L198))</f>
        <v>28.3</v>
      </c>
      <c r="O198" s="33">
        <f t="shared" ca="1" si="30"/>
        <v>2.7561837455830389</v>
      </c>
      <c r="P198" s="33">
        <f ca="1">IF(L198="","",INDEX(OFFSET(Arb!$X$2,,,Arb!$AJ$5,),L198)/N198)</f>
        <v>2.8268551236749118</v>
      </c>
      <c r="Q198" s="33">
        <f ca="1">IF(L198="","",(INDEX(OFFSET(Arb!$U$2,,,Arb!$AJ$5,),L198)+INDEX(OFFSET(Arb!$V$2,,,Arb!$AJ$5,),L198))/N198)</f>
        <v>3.2508833922261484</v>
      </c>
      <c r="R198" s="33">
        <f t="shared" ca="1" si="31"/>
        <v>3.7665378645527596</v>
      </c>
      <c r="S198" s="21">
        <f t="shared" ca="1" si="32"/>
        <v>40.814670004188038</v>
      </c>
      <c r="T198" s="74">
        <f ca="1">IF(L198="","",DATE(INDEX(OFFSET(Arb!$C$2,,,Arb!$AJ$5,),L198),INDEX(OFFSET(Arb!$B$2,,,Arb!$AJ$5,),L198),INDEX(OFFSET(Arb!$A$2,,,Arb!$AJ$5,),L198))+ROW()*0.001)</f>
        <v>44168.197999999997</v>
      </c>
      <c r="U198" s="11">
        <v>197</v>
      </c>
      <c r="V198" s="11">
        <v>2547</v>
      </c>
      <c r="W198" s="433">
        <f ca="1">IF(V198="",164,INDEX(OFFSET(Arb!$I$2,,,Arb!$AJ$5,),V198))</f>
        <v>177</v>
      </c>
      <c r="X198" s="34">
        <f ca="1">IF(V198="",240,INDEX(OFFSET(Arb!$H$2,,,Arb!$AJ$5,),V198))</f>
        <v>72.75</v>
      </c>
      <c r="Y198" s="33">
        <f t="shared" ca="1" si="33"/>
        <v>2.4329896907216493</v>
      </c>
      <c r="Z198" s="33">
        <f ca="1">IF(V198="","",INDEX(OFFSET(Arb!$X$2,,,Arb!$AJ$5,),V198)/X198)</f>
        <v>2.9553264604810998</v>
      </c>
      <c r="AA198" s="33">
        <f ca="1">IF(V198="","",(INDEX(OFFSET(Arb!$U$2,,,Arb!$AJ$5,),V198)+INDEX(OFFSET(Arb!$V$2,,,Arb!$AJ$5,),V198))/X198)</f>
        <v>3.2577319587628866</v>
      </c>
      <c r="AB198" s="33">
        <f t="shared" ca="1" si="34"/>
        <v>8.2630965949920139</v>
      </c>
      <c r="AC198" s="21">
        <f t="shared" ca="1" si="35"/>
        <v>52.643823656090319</v>
      </c>
      <c r="AD198" s="74">
        <f ca="1">IF(V198="","",DATE(INDEX(OFFSET(Arb!$C$2,,,Arb!$AJ$5,),V198),INDEX(OFFSET(Arb!$B$2,,,Arb!$AJ$5,),V198),INDEX(OFFSET(Arb!$A$2,,,Arb!$AJ$5,),V198))+ROW()*0.001)</f>
        <v>43797.197999999997</v>
      </c>
    </row>
    <row r="199" spans="1:30" x14ac:dyDescent="0.25">
      <c r="A199" s="11">
        <v>198</v>
      </c>
      <c r="B199" s="11">
        <v>259</v>
      </c>
      <c r="C199" s="433">
        <f ca="1">IF(B199="",16,INDEX(OFFSET(Arb!$I$2,,,Arb!$AJ$5,),B199))</f>
        <v>20</v>
      </c>
      <c r="D199" s="34">
        <f ca="1">IF(B199="",10,INDEX(OFFSET(Arb!$H$2,,,Arb!$AJ$5,),B199))</f>
        <v>5.45</v>
      </c>
      <c r="E199" s="33">
        <f t="shared" ca="1" si="27"/>
        <v>3.6697247706422016</v>
      </c>
      <c r="F199" s="33">
        <f ca="1">IF(B199="","",INDEX(OFFSET(Arb!$X$2,,,Arb!$AJ$5,),B199)/D199)</f>
        <v>3.8532110091743119</v>
      </c>
      <c r="G199" s="33">
        <f ca="1">IF(B199="","",(INDEX(OFFSET(Arb!$U$2,,,Arb!$AJ$5,),B199)+INDEX(OFFSET(Arb!$V$2,,,Arb!$AJ$5,),B199))/D199)</f>
        <v>4.4036697247706424</v>
      </c>
      <c r="H199" s="33">
        <f t="shared" ca="1" si="28"/>
        <v>0.89298478278402682</v>
      </c>
      <c r="I199" s="21">
        <f t="shared" ca="1" si="29"/>
        <v>52.967307967485844</v>
      </c>
      <c r="J199" s="74">
        <f ca="1">IF(B199="","",DATE(INDEX(OFFSET(Arb!$C$2,,,Arb!$AJ$5,),B199),INDEX(OFFSET(Arb!$B$2,,,Arb!$AJ$5,),B199),INDEX(OFFSET(Arb!$A$2,,,Arb!$AJ$5,),B199))+ROW()*0.001)</f>
        <v>43776.199000000001</v>
      </c>
      <c r="K199" s="11">
        <v>198</v>
      </c>
      <c r="L199" s="11">
        <v>2182</v>
      </c>
      <c r="M199" s="433">
        <f ca="1">IF(L199="",64,INDEX(OFFSET(Arb!$I$2,,,Arb!$AJ$5,),L199))</f>
        <v>51</v>
      </c>
      <c r="N199" s="34">
        <f ca="1">IF(L199="",60,INDEX(OFFSET(Arb!$H$2,,,Arb!$AJ$5,),L199))</f>
        <v>22.08</v>
      </c>
      <c r="O199" s="33">
        <f t="shared" ca="1" si="30"/>
        <v>2.3097826086956523</v>
      </c>
      <c r="P199" s="33">
        <f ca="1">IF(L199="","",INDEX(OFFSET(Arb!$X$2,,,Arb!$AJ$5,),L199)/N199)</f>
        <v>2.6721014492753623</v>
      </c>
      <c r="Q199" s="33">
        <f ca="1">IF(L199="","",(INDEX(OFFSET(Arb!$U$2,,,Arb!$AJ$5,),L199)+INDEX(OFFSET(Arb!$V$2,,,Arb!$AJ$5,),L199))/N199)</f>
        <v>3.2608695652173916</v>
      </c>
      <c r="R199" s="33">
        <f t="shared" ca="1" si="31"/>
        <v>3.7777067425888604</v>
      </c>
      <c r="S199" s="21">
        <f t="shared" ca="1" si="32"/>
        <v>40.694000481003165</v>
      </c>
      <c r="T199" s="74">
        <f ca="1">IF(L199="","",DATE(INDEX(OFFSET(Arb!$C$2,,,Arb!$AJ$5,),L199),INDEX(OFFSET(Arb!$B$2,,,Arb!$AJ$5,),L199),INDEX(OFFSET(Arb!$A$2,,,Arb!$AJ$5,),L199))+ROW()*0.001)</f>
        <v>43840.199000000001</v>
      </c>
      <c r="U199" s="11">
        <v>198</v>
      </c>
      <c r="V199" s="11">
        <v>2773</v>
      </c>
      <c r="W199" s="433">
        <f ca="1">IF(V199="",164,INDEX(OFFSET(Arb!$I$2,,,Arb!$AJ$5,),V199))</f>
        <v>148</v>
      </c>
      <c r="X199" s="34">
        <f ca="1">IF(V199="",240,INDEX(OFFSET(Arb!$H$2,,,Arb!$AJ$5,),V199))</f>
        <v>65.489999999999995</v>
      </c>
      <c r="Y199" s="33">
        <f t="shared" ca="1" si="33"/>
        <v>2.2598870056497176</v>
      </c>
      <c r="Z199" s="33">
        <f ca="1">IF(V199="","",INDEX(OFFSET(Arb!$X$2,,,Arb!$AJ$5,),V199)/X199)</f>
        <v>2.6874331959077722</v>
      </c>
      <c r="AA199" s="33">
        <f ca="1">IF(V199="","",(INDEX(OFFSET(Arb!$U$2,,,Arb!$AJ$5,),V199)+INDEX(OFFSET(Arb!$V$2,,,Arb!$AJ$5,),V199))/X199)</f>
        <v>3.0386318521911746</v>
      </c>
      <c r="AB199" s="33">
        <f t="shared" ca="1" si="34"/>
        <v>8.2648650803801669</v>
      </c>
      <c r="AC199" s="21">
        <f t="shared" ca="1" si="35"/>
        <v>52.632559124605919</v>
      </c>
      <c r="AD199" s="74">
        <f ca="1">IF(V199="","",DATE(INDEX(OFFSET(Arb!$C$2,,,Arb!$AJ$5,),V199),INDEX(OFFSET(Arb!$B$2,,,Arb!$AJ$5,),V199),INDEX(OFFSET(Arb!$A$2,,,Arb!$AJ$5,),V199))+ROW()*0.001)</f>
        <v>43889.199000000001</v>
      </c>
    </row>
    <row r="200" spans="1:30" x14ac:dyDescent="0.25">
      <c r="A200" s="11">
        <v>199</v>
      </c>
      <c r="B200" s="11">
        <v>462</v>
      </c>
      <c r="C200" s="433">
        <f ca="1">IF(B200="",16,INDEX(OFFSET(Arb!$I$2,,,Arb!$AJ$5,),B200))</f>
        <v>21</v>
      </c>
      <c r="D200" s="34">
        <f ca="1">IF(B200="",10,INDEX(OFFSET(Arb!$H$2,,,Arb!$AJ$5,),B200))</f>
        <v>5.61</v>
      </c>
      <c r="E200" s="33">
        <f t="shared" ca="1" si="27"/>
        <v>3.7433155080213902</v>
      </c>
      <c r="F200" s="33">
        <f ca="1">IF(B200="","",INDEX(OFFSET(Arb!$X$2,,,Arb!$AJ$5,),B200)/D200)</f>
        <v>3.5650623885918002</v>
      </c>
      <c r="G200" s="33">
        <f ca="1">IF(B200="","",(INDEX(OFFSET(Arb!$U$2,,,Arb!$AJ$5,),B200)+INDEX(OFFSET(Arb!$V$2,,,Arb!$AJ$5,),B200))/D200)</f>
        <v>4.8128342245989302</v>
      </c>
      <c r="H200" s="33">
        <f t="shared" ca="1" si="28"/>
        <v>0.89334162317526666</v>
      </c>
      <c r="I200" s="21">
        <f t="shared" ca="1" si="29"/>
        <v>52.94615046803915</v>
      </c>
      <c r="J200" s="74">
        <f ca="1">IF(B200="","",DATE(INDEX(OFFSET(Arb!$C$2,,,Arb!$AJ$5,),B200),INDEX(OFFSET(Arb!$B$2,,,Arb!$AJ$5,),B200),INDEX(OFFSET(Arb!$A$2,,,Arb!$AJ$5,),B200))+ROW()*0.001)</f>
        <v>43786.2</v>
      </c>
      <c r="K200" s="11">
        <v>199</v>
      </c>
      <c r="L200" s="11">
        <v>2376</v>
      </c>
      <c r="M200" s="433">
        <f ca="1">IF(L200="",64,INDEX(OFFSET(Arb!$I$2,,,Arb!$AJ$5,),L200))</f>
        <v>75</v>
      </c>
      <c r="N200" s="34">
        <f ca="1">IF(L200="",60,INDEX(OFFSET(Arb!$H$2,,,Arb!$AJ$5,),L200))</f>
        <v>27.71</v>
      </c>
      <c r="O200" s="33">
        <f t="shared" ca="1" si="30"/>
        <v>2.7066041140382531</v>
      </c>
      <c r="P200" s="33">
        <f ca="1">IF(L200="","",INDEX(OFFSET(Arb!$X$2,,,Arb!$AJ$5,),L200)/N200)</f>
        <v>3.4283652111151208</v>
      </c>
      <c r="Q200" s="33">
        <f ca="1">IF(L200="","",(INDEX(OFFSET(Arb!$U$2,,,Arb!$AJ$5,),L200)+INDEX(OFFSET(Arb!$V$2,,,Arb!$AJ$5,),L200))/N200)</f>
        <v>4.0057740887766151</v>
      </c>
      <c r="R200" s="33">
        <f t="shared" ca="1" si="31"/>
        <v>3.7793823490232135</v>
      </c>
      <c r="S200" s="21">
        <f t="shared" ca="1" si="32"/>
        <v>40.675958609938398</v>
      </c>
      <c r="T200" s="74">
        <f ca="1">IF(L200="","",DATE(INDEX(OFFSET(Arb!$C$2,,,Arb!$AJ$5,),L200),INDEX(OFFSET(Arb!$B$2,,,Arb!$AJ$5,),L200),INDEX(OFFSET(Arb!$A$2,,,Arb!$AJ$5,),L200))+ROW()*0.001)</f>
        <v>44114.2</v>
      </c>
      <c r="U200" s="11">
        <v>199</v>
      </c>
      <c r="V200" s="11">
        <v>3139</v>
      </c>
      <c r="W200" s="433">
        <f ca="1">IF(V200="",164,INDEX(OFFSET(Arb!$I$2,,,Arb!$AJ$5,),V200))</f>
        <v>182</v>
      </c>
      <c r="X200" s="34">
        <f ca="1">IF(V200="",240,INDEX(OFFSET(Arb!$H$2,,,Arb!$AJ$5,),V200))</f>
        <v>73.97</v>
      </c>
      <c r="Y200" s="33">
        <f t="shared" ca="1" si="33"/>
        <v>2.4604569420035149</v>
      </c>
      <c r="Z200" s="33">
        <f ca="1">IF(V200="","",INDEX(OFFSET(Arb!$X$2,,,Arb!$AJ$5,),V200)/X200)</f>
        <v>2.9336217385426524</v>
      </c>
      <c r="AA200" s="33">
        <f ca="1">IF(V200="","",(INDEX(OFFSET(Arb!$U$2,,,Arb!$AJ$5,),V200)+INDEX(OFFSET(Arb!$V$2,,,Arb!$AJ$5,),V200))/X200)</f>
        <v>3.2310396106529673</v>
      </c>
      <c r="AB200" s="33">
        <f t="shared" ca="1" si="34"/>
        <v>8.2665284321264281</v>
      </c>
      <c r="AC200" s="21">
        <f t="shared" ca="1" si="35"/>
        <v>52.621968650037431</v>
      </c>
      <c r="AD200" s="74">
        <f ca="1">IF(V200="","",DATE(INDEX(OFFSET(Arb!$C$2,,,Arb!$AJ$5,),V200),INDEX(OFFSET(Arb!$B$2,,,Arb!$AJ$5,),V200),INDEX(OFFSET(Arb!$A$2,,,Arb!$AJ$5,),V200))+ROW()*0.001)</f>
        <v>44021.2</v>
      </c>
    </row>
    <row r="201" spans="1:30" x14ac:dyDescent="0.25">
      <c r="A201" s="11">
        <v>200</v>
      </c>
      <c r="B201" s="11">
        <v>1686</v>
      </c>
      <c r="C201" s="433">
        <f ca="1">IF(B201="",16,INDEX(OFFSET(Arb!$I$2,,,Arb!$AJ$5,),B201))</f>
        <v>14</v>
      </c>
      <c r="D201" s="34">
        <f ca="1">IF(B201="",10,INDEX(OFFSET(Arb!$H$2,,,Arb!$AJ$5,),B201))</f>
        <v>4.42</v>
      </c>
      <c r="E201" s="33">
        <f t="shared" ca="1" si="27"/>
        <v>3.1674208144796379</v>
      </c>
      <c r="F201" s="33">
        <f ca="1">IF(B201="","",INDEX(OFFSET(Arb!$X$2,,,Arb!$AJ$5,),B201)/D201)</f>
        <v>4.2986425339366514</v>
      </c>
      <c r="G201" s="33">
        <f ca="1">IF(B201="","",(INDEX(OFFSET(Arb!$U$2,,,Arb!$AJ$5,),B201)+INDEX(OFFSET(Arb!$V$2,,,Arb!$AJ$5,),B201))/D201)</f>
        <v>5.4298642533936654</v>
      </c>
      <c r="H201" s="33">
        <f t="shared" ca="1" si="28"/>
        <v>0.89349025922307279</v>
      </c>
      <c r="I201" s="21">
        <f t="shared" ca="1" si="29"/>
        <v>52.937342642244879</v>
      </c>
      <c r="J201" s="74">
        <f ca="1">IF(B201="","",DATE(INDEX(OFFSET(Arb!$C$2,,,Arb!$AJ$5,),B201),INDEX(OFFSET(Arb!$B$2,,,Arb!$AJ$5,),B201),INDEX(OFFSET(Arb!$A$2,,,Arb!$AJ$5,),B201))+ROW()*0.001)</f>
        <v>44106.201000000001</v>
      </c>
      <c r="K201" s="11">
        <v>200</v>
      </c>
      <c r="L201" s="11">
        <v>1969</v>
      </c>
      <c r="M201" s="433">
        <f ca="1">IF(L201="",64,INDEX(OFFSET(Arb!$I$2,,,Arb!$AJ$5,),L201))</f>
        <v>57</v>
      </c>
      <c r="N201" s="34">
        <f ca="1">IF(L201="",60,INDEX(OFFSET(Arb!$H$2,,,Arb!$AJ$5,),L201))</f>
        <v>23.58</v>
      </c>
      <c r="O201" s="33">
        <f t="shared" ca="1" si="30"/>
        <v>2.4173027989821882</v>
      </c>
      <c r="P201" s="33">
        <f ca="1">IF(L201="","",INDEX(OFFSET(Arb!$X$2,,,Arb!$AJ$5,),L201)/N201)</f>
        <v>3.0958439355385923</v>
      </c>
      <c r="Q201" s="33">
        <f ca="1">IF(L201="","",(INDEX(OFFSET(Arb!$U$2,,,Arb!$AJ$5,),L201)+INDEX(OFFSET(Arb!$V$2,,,Arb!$AJ$5,),L201))/N201)</f>
        <v>3.6471586089906705</v>
      </c>
      <c r="R201" s="33">
        <f t="shared" ca="1" si="31"/>
        <v>3.7796327689898175</v>
      </c>
      <c r="S201" s="21">
        <f t="shared" ca="1" si="32"/>
        <v>40.673263620022908</v>
      </c>
      <c r="T201" s="74">
        <f ca="1">IF(L201="","",DATE(INDEX(OFFSET(Arb!$C$2,,,Arb!$AJ$5,),L201),INDEX(OFFSET(Arb!$B$2,,,Arb!$AJ$5,),L201),INDEX(OFFSET(Arb!$A$2,,,Arb!$AJ$5,),L201))+ROW()*0.001)</f>
        <v>43779.201000000001</v>
      </c>
      <c r="U201" s="11">
        <v>200</v>
      </c>
      <c r="V201" s="11">
        <v>3062</v>
      </c>
      <c r="W201" s="433">
        <f ca="1">IF(V201="",164,INDEX(OFFSET(Arb!$I$2,,,Arb!$AJ$5,),V201))</f>
        <v>148</v>
      </c>
      <c r="X201" s="34">
        <f ca="1">IF(V201="",240,INDEX(OFFSET(Arb!$H$2,,,Arb!$AJ$5,),V201))</f>
        <v>65.5</v>
      </c>
      <c r="Y201" s="33">
        <f t="shared" ca="1" si="33"/>
        <v>2.2595419847328246</v>
      </c>
      <c r="Z201" s="33">
        <f ca="1">IF(V201="","",INDEX(OFFSET(Arb!$X$2,,,Arb!$AJ$5,),V201)/X201)</f>
        <v>2.8244274809160306</v>
      </c>
      <c r="AA201" s="33">
        <f ca="1">IF(V201="","",(INDEX(OFFSET(Arb!$U$2,,,Arb!$AJ$5,),V201)+INDEX(OFFSET(Arb!$V$2,,,Arb!$AJ$5,),V201))/X201)</f>
        <v>3.1755725190839694</v>
      </c>
      <c r="AB201" s="33">
        <f t="shared" ca="1" si="34"/>
        <v>8.2670106020655734</v>
      </c>
      <c r="AC201" s="21">
        <f t="shared" ca="1" si="35"/>
        <v>52.618899495703054</v>
      </c>
      <c r="AD201" s="74">
        <f ca="1">IF(V201="","",DATE(INDEX(OFFSET(Arb!$C$2,,,Arb!$AJ$5,),V201),INDEX(OFFSET(Arb!$B$2,,,Arb!$AJ$5,),V201),INDEX(OFFSET(Arb!$A$2,,,Arb!$AJ$5,),V201))+ROW()*0.001)</f>
        <v>43991.201000000001</v>
      </c>
    </row>
  </sheetData>
  <phoneticPr fontId="1" type="noConversion"/>
  <conditionalFormatting sqref="J1:J1048576">
    <cfRule type="expression" dxfId="124" priority="7">
      <formula>YEAR(NOW())-YEAR(J1)=0</formula>
    </cfRule>
    <cfRule type="expression" dxfId="123" priority="8">
      <formula>YEAR(NOW())-YEAR(J1)=1</formula>
    </cfRule>
    <cfRule type="expression" dxfId="122" priority="9">
      <formula>YEAR(NOW())-YEAR(J1)=2</formula>
    </cfRule>
  </conditionalFormatting>
  <conditionalFormatting sqref="T1:T1048576">
    <cfRule type="expression" dxfId="121" priority="4">
      <formula>YEAR(NOW())-YEAR(T1)=0</formula>
    </cfRule>
    <cfRule type="expression" dxfId="120" priority="5">
      <formula>YEAR(NOW())-YEAR(T1)=1</formula>
    </cfRule>
    <cfRule type="expression" dxfId="119" priority="6">
      <formula>YEAR(NOW())-YEAR(T1)=2</formula>
    </cfRule>
  </conditionalFormatting>
  <conditionalFormatting sqref="AD1:AD1048576">
    <cfRule type="expression" dxfId="118" priority="1">
      <formula>YEAR(NOW())-YEAR(AD1)=0</formula>
    </cfRule>
    <cfRule type="expression" dxfId="117" priority="2">
      <formula>YEAR(NOW())-YEAR(AD1)=1</formula>
    </cfRule>
    <cfRule type="expression" dxfId="116" priority="3">
      <formula>YEAR(NOW())-YEAR(AD1)=2</formula>
    </cfRule>
  </conditionalFormatting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rgb="FF7030A0"/>
  </sheetPr>
  <dimension ref="A1:AJ102"/>
  <sheetViews>
    <sheetView workbookViewId="0">
      <pane ySplit="1" topLeftCell="A2" activePane="bottomLeft" state="frozen"/>
      <selection activeCell="E1" sqref="E1"/>
      <selection pane="bottomLeft"/>
    </sheetView>
  </sheetViews>
  <sheetFormatPr defaultColWidth="9" defaultRowHeight="13.2" x14ac:dyDescent="0.25"/>
  <cols>
    <col min="1" max="1" width="3.5546875" style="11" bestFit="1" customWidth="1"/>
    <col min="2" max="2" width="6.44140625" style="11" hidden="1" customWidth="1"/>
    <col min="3" max="3" width="3.5546875" style="433" bestFit="1" customWidth="1"/>
    <col min="4" max="4" width="6.6640625" style="34" bestFit="1" customWidth="1"/>
    <col min="5" max="5" width="6.6640625" style="11" bestFit="1" customWidth="1"/>
    <col min="6" max="7" width="7.6640625" style="11" bestFit="1" customWidth="1"/>
    <col min="8" max="8" width="5.77734375" style="68" bestFit="1" customWidth="1"/>
    <col min="9" max="9" width="6.6640625" style="34" bestFit="1" customWidth="1"/>
    <col min="10" max="10" width="5.6640625" style="21" bestFit="1" customWidth="1"/>
    <col min="11" max="11" width="6.6640625" style="33" bestFit="1" customWidth="1"/>
    <col min="12" max="12" width="8.6640625" style="88" bestFit="1" customWidth="1"/>
    <col min="13" max="13" width="3.5546875" style="89" bestFit="1" customWidth="1"/>
    <col min="14" max="14" width="6.44140625" style="11" hidden="1" customWidth="1"/>
    <col min="15" max="15" width="3.5546875" style="433" bestFit="1" customWidth="1"/>
    <col min="16" max="16" width="6.6640625" style="34" bestFit="1" customWidth="1"/>
    <col min="17" max="19" width="6.6640625" style="11" bestFit="1" customWidth="1"/>
    <col min="20" max="20" width="5.21875" style="11" bestFit="1" customWidth="1"/>
    <col min="21" max="21" width="6.6640625" style="34" bestFit="1" customWidth="1"/>
    <col min="22" max="22" width="5.6640625" style="21" bestFit="1" customWidth="1"/>
    <col min="23" max="23" width="6.6640625" style="33" bestFit="1" customWidth="1"/>
    <col min="24" max="24" width="8.6640625" style="91" bestFit="1" customWidth="1"/>
    <col min="25" max="25" width="3.5546875" style="92" bestFit="1" customWidth="1"/>
    <col min="26" max="26" width="6.44140625" style="11" hidden="1" customWidth="1"/>
    <col min="27" max="27" width="4.5546875" style="433" bestFit="1" customWidth="1"/>
    <col min="28" max="28" width="6.6640625" style="34" bestFit="1" customWidth="1"/>
    <col min="29" max="31" width="6.6640625" style="11" bestFit="1" customWidth="1"/>
    <col min="32" max="32" width="5.21875" style="11" bestFit="1" customWidth="1"/>
    <col min="33" max="33" width="6.6640625" style="34" bestFit="1" customWidth="1"/>
    <col min="34" max="34" width="5.6640625" style="21" bestFit="1" customWidth="1"/>
    <col min="35" max="35" width="6.6640625" style="33" bestFit="1" customWidth="1"/>
    <col min="36" max="36" width="8.6640625" style="74" bestFit="1" customWidth="1"/>
    <col min="37" max="16384" width="9" style="19"/>
  </cols>
  <sheetData>
    <row r="1" spans="1:36" ht="13.8" thickBot="1" x14ac:dyDescent="0.3">
      <c r="A1" s="24" t="s">
        <v>452</v>
      </c>
      <c r="B1" s="24" t="s">
        <v>7</v>
      </c>
      <c r="C1" s="433" t="s">
        <v>288</v>
      </c>
      <c r="D1" s="38" t="s">
        <v>6</v>
      </c>
      <c r="E1" s="64" t="s">
        <v>2</v>
      </c>
      <c r="F1" s="64" t="s">
        <v>34</v>
      </c>
      <c r="G1" s="64" t="s">
        <v>33</v>
      </c>
      <c r="H1" s="65" t="s">
        <v>450</v>
      </c>
      <c r="I1" s="426" t="s">
        <v>444</v>
      </c>
      <c r="J1" s="75" t="s">
        <v>451</v>
      </c>
      <c r="K1" s="27" t="s">
        <v>445</v>
      </c>
      <c r="L1" s="76" t="str">
        <f>Time!J1</f>
        <v>日期</v>
      </c>
      <c r="M1" s="46" t="s">
        <v>452</v>
      </c>
      <c r="N1" s="47" t="s">
        <v>7</v>
      </c>
      <c r="O1" s="446" t="s">
        <v>288</v>
      </c>
      <c r="P1" s="77" t="s">
        <v>6</v>
      </c>
      <c r="Q1" s="78" t="s">
        <v>2</v>
      </c>
      <c r="R1" s="78" t="s">
        <v>34</v>
      </c>
      <c r="S1" s="78" t="s">
        <v>33</v>
      </c>
      <c r="T1" s="79" t="s">
        <v>8</v>
      </c>
      <c r="U1" s="426" t="s">
        <v>444</v>
      </c>
      <c r="V1" s="80" t="s">
        <v>451</v>
      </c>
      <c r="W1" s="81" t="s">
        <v>380</v>
      </c>
      <c r="X1" s="82" t="str">
        <f>L1</f>
        <v>日期</v>
      </c>
      <c r="Y1" s="83" t="s">
        <v>452</v>
      </c>
      <c r="Z1" s="24" t="s">
        <v>7</v>
      </c>
      <c r="AA1" s="433" t="s">
        <v>288</v>
      </c>
      <c r="AB1" s="38" t="s">
        <v>6</v>
      </c>
      <c r="AC1" s="64" t="s">
        <v>2</v>
      </c>
      <c r="AD1" s="64" t="s">
        <v>34</v>
      </c>
      <c r="AE1" s="64" t="s">
        <v>33</v>
      </c>
      <c r="AF1" s="84" t="s">
        <v>8</v>
      </c>
      <c r="AG1" s="426" t="s">
        <v>444</v>
      </c>
      <c r="AH1" s="75" t="s">
        <v>451</v>
      </c>
      <c r="AI1" s="27" t="s">
        <v>380</v>
      </c>
      <c r="AJ1" s="73" t="str">
        <f>L1</f>
        <v>日期</v>
      </c>
    </row>
    <row r="2" spans="1:36" x14ac:dyDescent="0.25">
      <c r="A2" s="11">
        <v>1</v>
      </c>
      <c r="B2" s="11">
        <v>1660</v>
      </c>
      <c r="C2" s="433">
        <f ca="1">IF(B2="",16,INDEX(OFFSET(Arb!$I$2,,,Arb!$AJ$5,),B2))</f>
        <v>13</v>
      </c>
      <c r="D2" s="684">
        <f ca="1">IF(B2="",10,INDEX(OFFSET(Arb!$H$2,,,Arb!$AJ$5,),B2))</f>
        <v>5.0599999999999996</v>
      </c>
      <c r="E2" s="726">
        <f t="shared" ref="E2:E33" ca="1" si="0">C2/D2</f>
        <v>2.5691699604743086</v>
      </c>
      <c r="F2" s="725">
        <f ca="1">IF(B2="","",INDEX(OFFSET(Arb!$X$2,,,Arb!$AJ$5,),B2)/D2)</f>
        <v>2.9644268774703559</v>
      </c>
      <c r="G2" s="724">
        <f ca="1">IF(B2="","",(INDEX(OFFSET(Arb!$U$2,,,Arb!$AJ$5,),B2)+INDEX(OFFSET(Arb!$V$2,,,Arb!$AJ$5,),B2))/D2)</f>
        <v>3.3596837944664033</v>
      </c>
      <c r="H2" s="85">
        <f ca="1">INDEX(OFFSET(Arb!$AC$2,,,Arb!$AJ$5,),B2)/16</f>
        <v>80.6875</v>
      </c>
      <c r="I2" s="427">
        <f ca="1">H2/D2</f>
        <v>15.946146245059289</v>
      </c>
      <c r="J2" s="86">
        <f ca="1">F2*I2</f>
        <v>47.271184520926752</v>
      </c>
      <c r="K2" s="87">
        <f ca="1">C2/H2</f>
        <v>0.1611154144074361</v>
      </c>
      <c r="L2" s="88">
        <f ca="1">DATE(INDEX(OFFSET(Arb!$C$2,,,Arb!$AJ$5,),B2),INDEX(OFFSET(Arb!$B$2,,,Arb!$AJ$5,),B2),INDEX(OFFSET(Arb!$A$2,,,Arb!$AJ$5,),B2))</f>
        <v>44096</v>
      </c>
      <c r="M2" s="89">
        <v>1</v>
      </c>
      <c r="N2" s="11">
        <v>2311</v>
      </c>
      <c r="O2" s="433">
        <f ca="1">IF(N2="",64,INDEX(OFFSET(Arb!$I$2,,,Arb!$AJ$5,),N2))</f>
        <v>35</v>
      </c>
      <c r="P2" s="684">
        <f ca="1">IF(N2="",60,INDEX(OFFSET(Arb!$H$2,,,Arb!$AJ$5,),N2))</f>
        <v>16.059999999999999</v>
      </c>
      <c r="Q2" s="768">
        <f t="shared" ref="Q2:Q33" ca="1" si="1">O2/P2</f>
        <v>2.1793275217932755</v>
      </c>
      <c r="R2" s="561">
        <f ca="1">IF(N2="","",INDEX(OFFSET(Arb!$X$2,,,Arb!$AJ$5,),N2)/P2)</f>
        <v>3.1133250311332508</v>
      </c>
      <c r="S2" s="562">
        <f ca="1">IF(N2="","",(INDEX(OFFSET(Arb!$U$2,,,Arb!$AJ$5,),N2)+INDEX(OFFSET(Arb!$V$2,,,Arb!$AJ$5,),N2))/P2)</f>
        <v>3.5491905354919058</v>
      </c>
      <c r="T2" s="90">
        <f ca="1">INDEX(OFFSET(Arb!$AC$2,,,Arb!$AJ$5,),N2)/16</f>
        <v>196.0625</v>
      </c>
      <c r="U2" s="427">
        <f ca="1">T2/P2</f>
        <v>12.208125778331258</v>
      </c>
      <c r="V2" s="86">
        <f ca="1">R2*U2</f>
        <v>38.007863568901804</v>
      </c>
      <c r="W2" s="87">
        <f ca="1">O2/T2</f>
        <v>0.17851450430347465</v>
      </c>
      <c r="X2" s="91">
        <f ca="1">DATE(INDEX(OFFSET(Arb!$C$2,,,Arb!$AJ$5,),N2),INDEX(OFFSET(Arb!$B$2,,,Arb!$AJ$5,),N2),INDEX(OFFSET(Arb!$A$2,,,Arb!$AJ$5,),N2))</f>
        <v>43952</v>
      </c>
      <c r="Y2" s="92">
        <v>1</v>
      </c>
      <c r="Z2" s="11">
        <v>3321</v>
      </c>
      <c r="AA2" s="433">
        <f ca="1">IF(Z2="",164,INDEX(OFFSET(Arb!$I$2,,,Arb!$AJ$5,),Z2))</f>
        <v>141</v>
      </c>
      <c r="AB2" s="680">
        <f ca="1">IF(Z2="",240,INDEX(OFFSET(Arb!$H$2,,,Arb!$AJ$5,),Z2))</f>
        <v>78.930000000000007</v>
      </c>
      <c r="AC2" s="727">
        <f t="shared" ref="AC2:AC33" ca="1" si="2">AA2/AB2</f>
        <v>1.7863930064614213</v>
      </c>
      <c r="AD2" s="768">
        <f ca="1">IF(Z2="","",INDEX(OFFSET(Arb!$X$2,,,Arb!$AJ$5,),Z2)/AB2)</f>
        <v>2.1538071709109334</v>
      </c>
      <c r="AE2" s="769">
        <f ca="1">IF(Z2="","",(INDEX(OFFSET(Arb!$U$2,,,Arb!$AJ$5,),Z2)+INDEX(OFFSET(Arb!$V$2,,,Arb!$AJ$5,),Z2))/AB2)</f>
        <v>2.381857341948562</v>
      </c>
      <c r="AF2" s="90">
        <f ca="1">INDEX(OFFSET(Arb!$AC$2,,,Arb!$AJ$5,),Z2)/16</f>
        <v>808.8125</v>
      </c>
      <c r="AG2" s="427">
        <f ca="1">AF2/AB2</f>
        <v>10.247212720131762</v>
      </c>
      <c r="AH2" s="86">
        <f ca="1">AD2*AG2</f>
        <v>22.07052023846952</v>
      </c>
      <c r="AI2" s="87">
        <f ca="1">AA2/AF2</f>
        <v>0.17432964994977204</v>
      </c>
      <c r="AJ2" s="74">
        <f ca="1">DATE(INDEX(OFFSET(Arb!$C$2,,,Arb!$AJ$5,),Z2),INDEX(OFFSET(Arb!$B$2,,,Arb!$AJ$5,),Z2),INDEX(OFFSET(Arb!$A$2,,,Arb!$AJ$5,),Z2))</f>
        <v>44095</v>
      </c>
    </row>
    <row r="3" spans="1:36" x14ac:dyDescent="0.25">
      <c r="A3" s="11">
        <v>2</v>
      </c>
      <c r="B3" s="11">
        <v>1662</v>
      </c>
      <c r="C3" s="433">
        <f ca="1">IF(B3="",16,INDEX(OFFSET(Arb!$I$2,,,Arb!$AJ$5,),B3))</f>
        <v>14</v>
      </c>
      <c r="D3" s="683">
        <f ca="1">IF(B3="",10,INDEX(OFFSET(Arb!$H$2,,,Arb!$AJ$5,),B3))</f>
        <v>4.17</v>
      </c>
      <c r="E3" s="724">
        <f t="shared" ca="1" si="0"/>
        <v>3.3573141486810552</v>
      </c>
      <c r="F3" s="562">
        <f ca="1">IF(B3="","",INDEX(OFFSET(Arb!$X$2,,,Arb!$AJ$5,),B3)/D3)</f>
        <v>3.5971223021582732</v>
      </c>
      <c r="G3" s="723">
        <f ca="1">IF(B3="","",(INDEX(OFFSET(Arb!$U$2,,,Arb!$AJ$5,),B3)+INDEX(OFFSET(Arb!$V$2,,,Arb!$AJ$5,),B3))/D3)</f>
        <v>3.8369304556354917</v>
      </c>
      <c r="H3" s="85">
        <f ca="1">INDEX(OFFSET(Arb!$AC$2,,,Arb!$AJ$5,),B3)/16</f>
        <v>62.5</v>
      </c>
      <c r="I3" s="428">
        <f t="shared" ref="I3:I41" ca="1" si="3">H3/D3</f>
        <v>14.98800959232614</v>
      </c>
      <c r="J3" s="93">
        <f t="shared" ref="J3:J41" ca="1" si="4">F3*I3</f>
        <v>53.913703569518489</v>
      </c>
      <c r="K3" s="87">
        <f t="shared" ref="K3:K41" ca="1" si="5">C3/H3</f>
        <v>0.224</v>
      </c>
      <c r="L3" s="88">
        <f ca="1">DATE(INDEX(OFFSET(Arb!$C$2,,,Arb!$AJ$5,),B3),INDEX(OFFSET(Arb!$B$2,,,Arb!$AJ$5,),B3),INDEX(OFFSET(Arb!$A$2,,,Arb!$AJ$5,),B3))</f>
        <v>44096</v>
      </c>
      <c r="M3" s="89">
        <v>2</v>
      </c>
      <c r="N3" s="11">
        <v>2197</v>
      </c>
      <c r="O3" s="433">
        <f ca="1">IF(N3="",64,INDEX(OFFSET(Arb!$I$2,,,Arb!$AJ$5,),N3))</f>
        <v>36</v>
      </c>
      <c r="P3" s="688">
        <f ca="1">IF(N3="",60,INDEX(OFFSET(Arb!$H$2,,,Arb!$AJ$5,),N3))</f>
        <v>18.68</v>
      </c>
      <c r="Q3" s="727">
        <f t="shared" ca="1" si="1"/>
        <v>1.9271948608137046</v>
      </c>
      <c r="R3" s="561">
        <f ca="1">IF(N3="","",INDEX(OFFSET(Arb!$X$2,,,Arb!$AJ$5,),N3)/P3)</f>
        <v>3.2119914346895078</v>
      </c>
      <c r="S3" s="723">
        <f ca="1">IF(N3="","",(INDEX(OFFSET(Arb!$U$2,,,Arb!$AJ$5,),N3)+INDEX(OFFSET(Arb!$V$2,,,Arb!$AJ$5,),N3))/P3)</f>
        <v>3.8543897216274092</v>
      </c>
      <c r="T3" s="90">
        <f ca="1">INDEX(OFFSET(Arb!$AC$2,,,Arb!$AJ$5,),N3)/16</f>
        <v>208.4375</v>
      </c>
      <c r="U3" s="428">
        <f t="shared" ref="U3:U41" ca="1" si="6">T3/P3</f>
        <v>11.158324411134904</v>
      </c>
      <c r="V3" s="93">
        <f t="shared" ref="V3:V41" ca="1" si="7">R3*U3</f>
        <v>35.840442434052157</v>
      </c>
      <c r="W3" s="87">
        <f t="shared" ref="W3:W41" ca="1" si="8">O3/T3</f>
        <v>0.17271364317841079</v>
      </c>
      <c r="X3" s="91">
        <f ca="1">DATE(INDEX(OFFSET(Arb!$C$2,,,Arb!$AJ$5,),N3),INDEX(OFFSET(Arb!$B$2,,,Arb!$AJ$5,),N3),INDEX(OFFSET(Arb!$A$2,,,Arb!$AJ$5,),N3))</f>
        <v>43854</v>
      </c>
      <c r="Y3" s="92">
        <v>2</v>
      </c>
      <c r="Z3" s="11">
        <v>3356</v>
      </c>
      <c r="AA3" s="433">
        <f ca="1">IF(Z3="",164,INDEX(OFFSET(Arb!$I$2,,,Arb!$AJ$5,),Z3))</f>
        <v>142</v>
      </c>
      <c r="AB3" s="688">
        <f ca="1">IF(Z3="",240,INDEX(OFFSET(Arb!$H$2,,,Arb!$AJ$5,),Z3))</f>
        <v>59.01</v>
      </c>
      <c r="AC3" s="769">
        <f t="shared" ca="1" si="2"/>
        <v>2.4063718013895952</v>
      </c>
      <c r="AD3" s="725">
        <f ca="1">IF(Z3="","",INDEX(OFFSET(Arb!$X$2,,,Arb!$AJ$5,),Z3)/AB3)</f>
        <v>2.9655990510083039</v>
      </c>
      <c r="AE3" s="561">
        <f ca="1">IF(Z3="","",(INDEX(OFFSET(Arb!$U$2,,,Arb!$AJ$5,),Z3)+INDEX(OFFSET(Arb!$V$2,,,Arb!$AJ$5,),Z3))/AB3)</f>
        <v>3.219793255380444</v>
      </c>
      <c r="AF3" s="90">
        <f ca="1">INDEX(OFFSET(Arb!$AC$2,,,Arb!$AJ$5,),Z3)/16</f>
        <v>515.9375</v>
      </c>
      <c r="AG3" s="428">
        <f t="shared" ref="AG3:AG41" ca="1" si="9">AF3/AB3</f>
        <v>8.7432214878834102</v>
      </c>
      <c r="AH3" s="93">
        <f t="shared" ref="AH3:AH41" ca="1" si="10">AD3*AG3</f>
        <v>25.928889347222452</v>
      </c>
      <c r="AI3" s="87">
        <f t="shared" ref="AI3:AI41" ca="1" si="11">AA3/AF3</f>
        <v>0.27522713506965474</v>
      </c>
      <c r="AJ3" s="74">
        <f ca="1">DATE(INDEX(OFFSET(Arb!$C$2,,,Arb!$AJ$5,),Z3),INDEX(OFFSET(Arb!$B$2,,,Arb!$AJ$5,),Z3),INDEX(OFFSET(Arb!$A$2,,,Arb!$AJ$5,),Z3))</f>
        <v>44099</v>
      </c>
    </row>
    <row r="4" spans="1:36" x14ac:dyDescent="0.25">
      <c r="A4" s="11">
        <v>3</v>
      </c>
      <c r="B4" s="11">
        <v>1156</v>
      </c>
      <c r="C4" s="433">
        <f ca="1">IF(B4="",16,INDEX(OFFSET(Arb!$I$2,,,Arb!$AJ$5,),B4))</f>
        <v>18</v>
      </c>
      <c r="D4" s="559">
        <f ca="1">IF(B4="",10,INDEX(OFFSET(Arb!$H$2,,,Arb!$AJ$5,),B4))</f>
        <v>5.84</v>
      </c>
      <c r="E4" s="561">
        <f t="shared" ca="1" si="0"/>
        <v>3.0821917808219177</v>
      </c>
      <c r="F4" s="723">
        <f ca="1">IF(B4="","",INDEX(OFFSET(Arb!$X$2,,,Arb!$AJ$5,),B4)/D4)</f>
        <v>3.9383561643835616</v>
      </c>
      <c r="G4" s="722">
        <f ca="1">IF(B4="","",(INDEX(OFFSET(Arb!$U$2,,,Arb!$AJ$5,),B4)+INDEX(OFFSET(Arb!$V$2,,,Arb!$AJ$5,),B4))/D4)</f>
        <v>4.4520547945205484</v>
      </c>
      <c r="H4" s="85">
        <f ca="1">INDEX(OFFSET(Arb!$AC$2,,,Arb!$AJ$5,),B4)/16</f>
        <v>85.375</v>
      </c>
      <c r="I4" s="428">
        <f t="shared" ca="1" si="3"/>
        <v>14.619006849315069</v>
      </c>
      <c r="J4" s="93">
        <f t="shared" ca="1" si="4"/>
        <v>57.574855742165511</v>
      </c>
      <c r="K4" s="87">
        <f t="shared" ca="1" si="5"/>
        <v>0.21083455344070279</v>
      </c>
      <c r="L4" s="88">
        <f ca="1">DATE(INDEX(OFFSET(Arb!$C$2,,,Arb!$AJ$5,),B4),INDEX(OFFSET(Arb!$B$2,,,Arb!$AJ$5,),B4),INDEX(OFFSET(Arb!$A$2,,,Arb!$AJ$5,),B4))</f>
        <v>43869</v>
      </c>
      <c r="M4" s="89">
        <v>3</v>
      </c>
      <c r="N4" s="11">
        <v>2409</v>
      </c>
      <c r="O4" s="433">
        <f ca="1">IF(N4="",64,INDEX(OFFSET(Arb!$I$2,,,Arb!$AJ$5,),N4))</f>
        <v>30</v>
      </c>
      <c r="P4" s="560">
        <f ca="1">IF(N4="",60,INDEX(OFFSET(Arb!$H$2,,,Arb!$AJ$5,),N4))</f>
        <v>13.41</v>
      </c>
      <c r="Q4" s="768">
        <f t="shared" ca="1" si="1"/>
        <v>2.2371364653243848</v>
      </c>
      <c r="R4" s="769">
        <f ca="1">IF(N4="","",INDEX(OFFSET(Arb!$X$2,,,Arb!$AJ$5,),N4)/P4)</f>
        <v>2.4608501118568231</v>
      </c>
      <c r="S4" s="725">
        <f ca="1">IF(N4="","",(INDEX(OFFSET(Arb!$U$2,,,Arb!$AJ$5,),N4)+INDEX(OFFSET(Arb!$V$2,,,Arb!$AJ$5,),N4))/P4)</f>
        <v>2.9082774049217002</v>
      </c>
      <c r="T4" s="90">
        <f ca="1">INDEX(OFFSET(Arb!$AC$2,,,Arb!$AJ$5,),N4)/16</f>
        <v>142.875</v>
      </c>
      <c r="U4" s="428">
        <f t="shared" ca="1" si="6"/>
        <v>10.654362416107382</v>
      </c>
      <c r="V4" s="93">
        <f t="shared" ca="1" si="7"/>
        <v>26.218788943440984</v>
      </c>
      <c r="W4" s="87">
        <f t="shared" ca="1" si="8"/>
        <v>0.20997375328083989</v>
      </c>
      <c r="X4" s="91">
        <f ca="1">DATE(INDEX(OFFSET(Arb!$C$2,,,Arb!$AJ$5,),N4),INDEX(OFFSET(Arb!$B$2,,,Arb!$AJ$5,),N4),INDEX(OFFSET(Arb!$A$2,,,Arb!$AJ$5,),N4))</f>
        <v>44168</v>
      </c>
      <c r="Y4" s="92">
        <v>3</v>
      </c>
      <c r="Z4" s="11">
        <v>3290</v>
      </c>
      <c r="AA4" s="433">
        <f ca="1">IF(Z4="",164,INDEX(OFFSET(Arb!$I$2,,,Arb!$AJ$5,),Z4))</f>
        <v>168</v>
      </c>
      <c r="AB4" s="679">
        <f ca="1">IF(Z4="",240,INDEX(OFFSET(Arb!$H$2,,,Arb!$AJ$5,),Z4))</f>
        <v>72.67</v>
      </c>
      <c r="AC4" s="769">
        <f t="shared" ca="1" si="2"/>
        <v>2.3118205586899685</v>
      </c>
      <c r="AD4" s="725">
        <f ca="1">IF(Z4="","",INDEX(OFFSET(Arb!$X$2,,,Arb!$AJ$5,),Z4)/AB4)</f>
        <v>2.8347323517269851</v>
      </c>
      <c r="AE4" s="561">
        <f ca="1">IF(Z4="","",(INDEX(OFFSET(Arb!$U$2,,,Arb!$AJ$5,),Z4)+INDEX(OFFSET(Arb!$V$2,,,Arb!$AJ$5,),Z4))/AB4)</f>
        <v>3.1649924315398374</v>
      </c>
      <c r="AF4" s="90">
        <f ca="1">INDEX(OFFSET(Arb!$AC$2,,,Arb!$AJ$5,),Z4)/16</f>
        <v>633.625</v>
      </c>
      <c r="AG4" s="428">
        <f t="shared" ca="1" si="9"/>
        <v>8.7192101279757814</v>
      </c>
      <c r="AH4" s="93">
        <f t="shared" ca="1" si="10"/>
        <v>24.716627031278534</v>
      </c>
      <c r="AI4" s="87">
        <f t="shared" ca="1" si="11"/>
        <v>0.26514105346222133</v>
      </c>
      <c r="AJ4" s="74">
        <f ca="1">DATE(INDEX(OFFSET(Arb!$C$2,,,Arb!$AJ$5,),Z4),INDEX(OFFSET(Arb!$B$2,,,Arb!$AJ$5,),Z4),INDEX(OFFSET(Arb!$A$2,,,Arb!$AJ$5,),Z4))</f>
        <v>44084</v>
      </c>
    </row>
    <row r="5" spans="1:36" x14ac:dyDescent="0.25">
      <c r="A5" s="11">
        <v>4</v>
      </c>
      <c r="B5" s="11">
        <v>369</v>
      </c>
      <c r="C5" s="433">
        <f ca="1">IF(B5="",16,INDEX(OFFSET(Arb!$I$2,,,Arb!$AJ$5,),B5))</f>
        <v>11</v>
      </c>
      <c r="D5" s="683">
        <f ca="1">IF(B5="",10,INDEX(OFFSET(Arb!$H$2,,,Arb!$AJ$5,),B5))</f>
        <v>4.3899999999999997</v>
      </c>
      <c r="E5" s="726">
        <f t="shared" ca="1" si="0"/>
        <v>2.5056947608200457</v>
      </c>
      <c r="F5" s="726">
        <f ca="1">IF(B5="","",INDEX(OFFSET(Arb!$X$2,,,Arb!$AJ$5,),B5)/D5)</f>
        <v>2.5056947608200457</v>
      </c>
      <c r="G5" s="726">
        <f ca="1">IF(B5="","",(INDEX(OFFSET(Arb!$U$2,,,Arb!$AJ$5,),B5)+INDEX(OFFSET(Arb!$V$2,,,Arb!$AJ$5,),B5))/D5)</f>
        <v>2.5056947608200457</v>
      </c>
      <c r="H5" s="85">
        <f ca="1">INDEX(OFFSET(Arb!$AC$2,,,Arb!$AJ$5,),B5)/16</f>
        <v>62.0625</v>
      </c>
      <c r="I5" s="428">
        <f t="shared" ca="1" si="3"/>
        <v>14.137243735763098</v>
      </c>
      <c r="J5" s="93">
        <f t="shared" ca="1" si="4"/>
        <v>35.423617561137604</v>
      </c>
      <c r="K5" s="87">
        <f t="shared" ca="1" si="5"/>
        <v>0.1772406847935549</v>
      </c>
      <c r="L5" s="88">
        <f ca="1">DATE(INDEX(OFFSET(Arb!$C$2,,,Arb!$AJ$5,),B5),INDEX(OFFSET(Arb!$B$2,,,Arb!$AJ$5,),B5),INDEX(OFFSET(Arb!$A$2,,,Arb!$AJ$5,),B5))</f>
        <v>43781</v>
      </c>
      <c r="M5" s="89">
        <v>4</v>
      </c>
      <c r="N5" s="11">
        <v>2033</v>
      </c>
      <c r="O5" s="433">
        <f ca="1">IF(N5="",64,INDEX(OFFSET(Arb!$I$2,,,Arb!$AJ$5,),N5))</f>
        <v>48</v>
      </c>
      <c r="P5" s="691">
        <f ca="1">IF(N5="",60,INDEX(OFFSET(Arb!$H$2,,,Arb!$AJ$5,),N5))</f>
        <v>20.2</v>
      </c>
      <c r="Q5" s="769">
        <f t="shared" ca="1" si="1"/>
        <v>2.3762376237623761</v>
      </c>
      <c r="R5" s="724">
        <f ca="1">IF(N5="","",INDEX(OFFSET(Arb!$X$2,,,Arb!$AJ$5,),N5)/P5)</f>
        <v>3.3663366336633667</v>
      </c>
      <c r="S5" s="562">
        <f ca="1">IF(N5="","",(INDEX(OFFSET(Arb!$U$2,,,Arb!$AJ$5,),N5)+INDEX(OFFSET(Arb!$V$2,,,Arb!$AJ$5,),N5))/P5)</f>
        <v>3.7128712871287131</v>
      </c>
      <c r="T5" s="90">
        <f ca="1">INDEX(OFFSET(Arb!$AC$2,,,Arb!$AJ$5,),N5)/16</f>
        <v>209.6875</v>
      </c>
      <c r="U5" s="428">
        <f t="shared" ca="1" si="6"/>
        <v>10.380569306930694</v>
      </c>
      <c r="V5" s="93">
        <f t="shared" ca="1" si="7"/>
        <v>34.94449073620234</v>
      </c>
      <c r="W5" s="87">
        <f t="shared" ca="1" si="8"/>
        <v>0.22891207153502235</v>
      </c>
      <c r="X5" s="91">
        <f ca="1">DATE(INDEX(OFFSET(Arb!$C$2,,,Arb!$AJ$5,),N5),INDEX(OFFSET(Arb!$B$2,,,Arb!$AJ$5,),N5),INDEX(OFFSET(Arb!$A$2,,,Arb!$AJ$5,),N5))</f>
        <v>43797</v>
      </c>
      <c r="Y5" s="92">
        <v>4</v>
      </c>
      <c r="Z5" s="11">
        <v>3412</v>
      </c>
      <c r="AA5" s="433">
        <f ca="1">IF(Z5="",164,INDEX(OFFSET(Arb!$I$2,,,Arb!$AJ$5,),Z5))</f>
        <v>156</v>
      </c>
      <c r="AB5" s="682">
        <f ca="1">IF(Z5="",240,INDEX(OFFSET(Arb!$H$2,,,Arb!$AJ$5,),Z5))</f>
        <v>81.459999999999994</v>
      </c>
      <c r="AC5" s="727">
        <f t="shared" ca="1" si="2"/>
        <v>1.915050331451019</v>
      </c>
      <c r="AD5" s="768">
        <f ca="1">IF(Z5="","",INDEX(OFFSET(Arb!$X$2,,,Arb!$AJ$5,),Z5)/AB5)</f>
        <v>2.0500859317456421</v>
      </c>
      <c r="AE5" s="768">
        <f ca="1">IF(Z5="","",(INDEX(OFFSET(Arb!$U$2,,,Arb!$AJ$5,),Z5)+INDEX(OFFSET(Arb!$V$2,,,Arb!$AJ$5,),Z5))/AB5)</f>
        <v>2.2096734593665603</v>
      </c>
      <c r="AF5" s="90">
        <f ca="1">INDEX(OFFSET(Arb!$AC$2,,,Arb!$AJ$5,),Z5)/16</f>
        <v>707.0625</v>
      </c>
      <c r="AG5" s="428">
        <f t="shared" ca="1" si="9"/>
        <v>8.67987355757427</v>
      </c>
      <c r="AH5" s="93">
        <f t="shared" ca="1" si="10"/>
        <v>17.794486669714008</v>
      </c>
      <c r="AI5" s="87">
        <f t="shared" ca="1" si="11"/>
        <v>0.22063113232564308</v>
      </c>
      <c r="AJ5" s="74">
        <f ca="1">DATE(INDEX(OFFSET(Arb!$C$2,,,Arb!$AJ$5,),Z5),INDEX(OFFSET(Arb!$B$2,,,Arb!$AJ$5,),Z5),INDEX(OFFSET(Arb!$A$2,,,Arb!$AJ$5,),Z5))</f>
        <v>44147</v>
      </c>
    </row>
    <row r="6" spans="1:36" x14ac:dyDescent="0.25">
      <c r="A6" s="11">
        <v>5</v>
      </c>
      <c r="B6" s="11">
        <v>1798</v>
      </c>
      <c r="C6" s="433">
        <f ca="1">IF(B6="",16,INDEX(OFFSET(Arb!$I$2,,,Arb!$AJ$5,),B6))</f>
        <v>10</v>
      </c>
      <c r="D6" s="686">
        <f ca="1">IF(B6="",10,INDEX(OFFSET(Arb!$H$2,,,Arb!$AJ$5,),B6))</f>
        <v>3.45</v>
      </c>
      <c r="E6" s="725">
        <f t="shared" ca="1" si="0"/>
        <v>2.8985507246376812</v>
      </c>
      <c r="F6" s="561">
        <f ca="1">IF(B6="","",INDEX(OFFSET(Arb!$X$2,,,Arb!$AJ$5,),B6)/D6)</f>
        <v>3.1884057971014492</v>
      </c>
      <c r="G6" s="563">
        <f ca="1">IF(B6="","",(INDEX(OFFSET(Arb!$U$2,,,Arb!$AJ$5,),B6)+INDEX(OFFSET(Arb!$V$2,,,Arb!$AJ$5,),B6))/D6)</f>
        <v>4.057971014492753</v>
      </c>
      <c r="H6" s="85">
        <f ca="1">INDEX(OFFSET(Arb!$AC$2,,,Arb!$AJ$5,),B6)/16</f>
        <v>46.9375</v>
      </c>
      <c r="I6" s="428">
        <f t="shared" ca="1" si="3"/>
        <v>13.605072463768115</v>
      </c>
      <c r="J6" s="93">
        <f t="shared" ca="1" si="4"/>
        <v>43.378491913463556</v>
      </c>
      <c r="K6" s="87">
        <f t="shared" ca="1" si="5"/>
        <v>0.21304926764314247</v>
      </c>
      <c r="L6" s="88">
        <f ca="1">DATE(INDEX(OFFSET(Arb!$C$2,,,Arb!$AJ$5,),B6),INDEX(OFFSET(Arb!$B$2,,,Arb!$AJ$5,),B6),INDEX(OFFSET(Arb!$A$2,,,Arb!$AJ$5,),B6))</f>
        <v>44168</v>
      </c>
      <c r="M6" s="89">
        <v>5</v>
      </c>
      <c r="N6" s="11">
        <v>2318</v>
      </c>
      <c r="O6" s="433">
        <f ca="1">IF(N6="",64,INDEX(OFFSET(Arb!$I$2,,,Arb!$AJ$5,),N6))</f>
        <v>58</v>
      </c>
      <c r="P6" s="692">
        <f ca="1">IF(N6="",60,INDEX(OFFSET(Arb!$H$2,,,Arb!$AJ$5,),N6))</f>
        <v>21.75</v>
      </c>
      <c r="Q6" s="726">
        <f t="shared" ca="1" si="1"/>
        <v>2.6666666666666665</v>
      </c>
      <c r="R6" s="561">
        <f ca="1">IF(N6="","",INDEX(OFFSET(Arb!$X$2,,,Arb!$AJ$5,),N6)/P6)</f>
        <v>3.1724137931034484</v>
      </c>
      <c r="S6" s="562">
        <f ca="1">IF(N6="","",(INDEX(OFFSET(Arb!$U$2,,,Arb!$AJ$5,),N6)+INDEX(OFFSET(Arb!$V$2,,,Arb!$AJ$5,),N6))/P6)</f>
        <v>3.7241379310344827</v>
      </c>
      <c r="T6" s="90">
        <f ca="1">INDEX(OFFSET(Arb!$AC$2,,,Arb!$AJ$5,),N6)/16</f>
        <v>221.4375</v>
      </c>
      <c r="U6" s="428">
        <f t="shared" ca="1" si="6"/>
        <v>10.181034482758621</v>
      </c>
      <c r="V6" s="93">
        <f t="shared" ca="1" si="7"/>
        <v>32.298454221165279</v>
      </c>
      <c r="W6" s="87">
        <f t="shared" ca="1" si="8"/>
        <v>0.26192492238216203</v>
      </c>
      <c r="X6" s="91">
        <f ca="1">DATE(INDEX(OFFSET(Arb!$C$2,,,Arb!$AJ$5,),N6),INDEX(OFFSET(Arb!$B$2,,,Arb!$AJ$5,),N6),INDEX(OFFSET(Arb!$A$2,,,Arb!$AJ$5,),N6))</f>
        <v>43967</v>
      </c>
      <c r="Y6" s="92">
        <v>5</v>
      </c>
      <c r="Z6" s="11">
        <v>3323</v>
      </c>
      <c r="AA6" s="433">
        <f ca="1">IF(Z6="",164,INDEX(OFFSET(Arb!$I$2,,,Arb!$AJ$5,),Z6))</f>
        <v>175</v>
      </c>
      <c r="AB6" s="679">
        <f ca="1">IF(Z6="",240,INDEX(OFFSET(Arb!$H$2,,,Arb!$AJ$5,),Z6))</f>
        <v>71.459999999999994</v>
      </c>
      <c r="AC6" s="769">
        <f t="shared" ca="1" si="2"/>
        <v>2.4489224741113911</v>
      </c>
      <c r="AD6" s="725">
        <f ca="1">IF(Z6="","",INDEX(OFFSET(Arb!$X$2,,,Arb!$AJ$5,),Z6)/AB6)</f>
        <v>2.8967254408060454</v>
      </c>
      <c r="AE6" s="561">
        <f ca="1">IF(Z6="","",(INDEX(OFFSET(Arb!$U$2,,,Arb!$AJ$5,),Z6)+INDEX(OFFSET(Arb!$V$2,,,Arb!$AJ$5,),Z6))/AB6)</f>
        <v>3.2185838231178283</v>
      </c>
      <c r="AF6" s="90">
        <f ca="1">INDEX(OFFSET(Arb!$AC$2,,,Arb!$AJ$5,),Z6)/16</f>
        <v>620.25</v>
      </c>
      <c r="AG6" s="428">
        <f t="shared" ca="1" si="9"/>
        <v>8.6796809403862305</v>
      </c>
      <c r="AH6" s="93">
        <f t="shared" ca="1" si="10"/>
        <v>25.142652598096134</v>
      </c>
      <c r="AI6" s="87">
        <f t="shared" ca="1" si="11"/>
        <v>0.28214429665457474</v>
      </c>
      <c r="AJ6" s="74">
        <f ca="1">DATE(INDEX(OFFSET(Arb!$C$2,,,Arb!$AJ$5,),Z6),INDEX(OFFSET(Arb!$B$2,,,Arb!$AJ$5,),Z6),INDEX(OFFSET(Arb!$A$2,,,Arb!$AJ$5,),Z6))</f>
        <v>44095</v>
      </c>
    </row>
    <row r="7" spans="1:36" x14ac:dyDescent="0.25">
      <c r="A7" s="11">
        <v>6</v>
      </c>
      <c r="B7" s="11">
        <v>370</v>
      </c>
      <c r="C7" s="433">
        <f ca="1">IF(B7="",16,INDEX(OFFSET(Arb!$I$2,,,Arb!$AJ$5,),B7))</f>
        <v>13</v>
      </c>
      <c r="D7" s="684">
        <f ca="1">IF(B7="",10,INDEX(OFFSET(Arb!$H$2,,,Arb!$AJ$5,),B7))</f>
        <v>5.21</v>
      </c>
      <c r="E7" s="769">
        <f t="shared" ca="1" si="0"/>
        <v>2.4952015355086372</v>
      </c>
      <c r="F7" s="724">
        <f ca="1">IF(B7="","",INDEX(OFFSET(Arb!$X$2,,,Arb!$AJ$5,),B7)/D7)</f>
        <v>3.45489443378119</v>
      </c>
      <c r="G7" s="563">
        <f ca="1">IF(B7="","",(INDEX(OFFSET(Arb!$U$2,,,Arb!$AJ$5,),B7)+INDEX(OFFSET(Arb!$V$2,,,Arb!$AJ$5,),B7))/D7)</f>
        <v>4.0307101727447217</v>
      </c>
      <c r="H7" s="85">
        <f ca="1">INDEX(OFFSET(Arb!$AC$2,,,Arb!$AJ$5,),B7)/16</f>
        <v>70.75</v>
      </c>
      <c r="I7" s="428">
        <f t="shared" ca="1" si="3"/>
        <v>13.579654510556622</v>
      </c>
      <c r="J7" s="93">
        <f t="shared" ca="1" si="4"/>
        <v>46.916272781193705</v>
      </c>
      <c r="K7" s="87">
        <f t="shared" ca="1" si="5"/>
        <v>0.18374558303886926</v>
      </c>
      <c r="L7" s="88">
        <f ca="1">DATE(INDEX(OFFSET(Arb!$C$2,,,Arb!$AJ$5,),B7),INDEX(OFFSET(Arb!$B$2,,,Arb!$AJ$5,),B7),INDEX(OFFSET(Arb!$A$2,,,Arb!$AJ$5,),B7))</f>
        <v>43781</v>
      </c>
      <c r="M7" s="89">
        <v>6</v>
      </c>
      <c r="N7" s="11">
        <v>2329</v>
      </c>
      <c r="O7" s="433">
        <f ca="1">IF(N7="",64,INDEX(OFFSET(Arb!$I$2,,,Arb!$AJ$5,),N7))</f>
        <v>62</v>
      </c>
      <c r="P7" s="692">
        <f ca="1">IF(N7="",60,INDEX(OFFSET(Arb!$H$2,,,Arb!$AJ$5,),N7))</f>
        <v>21.75</v>
      </c>
      <c r="Q7" s="725">
        <f t="shared" ca="1" si="1"/>
        <v>2.8505747126436782</v>
      </c>
      <c r="R7" s="724">
        <f ca="1">IF(N7="","",INDEX(OFFSET(Arb!$X$2,,,Arb!$AJ$5,),N7)/P7)</f>
        <v>3.3563218390804597</v>
      </c>
      <c r="S7" s="723">
        <f ca="1">IF(N7="","",(INDEX(OFFSET(Arb!$U$2,,,Arb!$AJ$5,),N7)+INDEX(OFFSET(Arb!$V$2,,,Arb!$AJ$5,),N7))/P7)</f>
        <v>3.9540229885057472</v>
      </c>
      <c r="T7" s="90">
        <f ca="1">INDEX(OFFSET(Arb!$AC$2,,,Arb!$AJ$5,),N7)/16</f>
        <v>218.625</v>
      </c>
      <c r="U7" s="428">
        <f t="shared" ca="1" si="6"/>
        <v>10.051724137931034</v>
      </c>
      <c r="V7" s="93">
        <f t="shared" ca="1" si="7"/>
        <v>33.736821244550136</v>
      </c>
      <c r="W7" s="87">
        <f t="shared" ca="1" si="8"/>
        <v>0.28359062321326473</v>
      </c>
      <c r="X7" s="91">
        <f ca="1">DATE(INDEX(OFFSET(Arb!$C$2,,,Arb!$AJ$5,),N7),INDEX(OFFSET(Arb!$B$2,,,Arb!$AJ$5,),N7),INDEX(OFFSET(Arb!$A$2,,,Arb!$AJ$5,),N7))</f>
        <v>44090</v>
      </c>
      <c r="Y7" s="92">
        <v>6</v>
      </c>
      <c r="Z7" s="11">
        <v>2907</v>
      </c>
      <c r="AA7" s="433">
        <f ca="1">IF(Z7="",164,INDEX(OFFSET(Arb!$I$2,,,Arb!$AJ$5,),Z7))</f>
        <v>166</v>
      </c>
      <c r="AB7" s="679">
        <f ca="1">IF(Z7="",240,INDEX(OFFSET(Arb!$H$2,,,Arb!$AJ$5,),Z7))</f>
        <v>94.14</v>
      </c>
      <c r="AC7" s="727">
        <f t="shared" ca="1" si="2"/>
        <v>1.763331208837901</v>
      </c>
      <c r="AD7" s="768">
        <f ca="1">IF(Z7="","",INDEX(OFFSET(Arb!$X$2,,,Arb!$AJ$5,),Z7)/AB7)</f>
        <v>2.1138729551731466</v>
      </c>
      <c r="AE7" s="769">
        <f ca="1">IF(Z7="","",(INDEX(OFFSET(Arb!$U$2,,,Arb!$AJ$5,),Z7)+INDEX(OFFSET(Arb!$V$2,,,Arb!$AJ$5,),Z7))/AB7)</f>
        <v>2.3900573613766731</v>
      </c>
      <c r="AF7" s="90">
        <f ca="1">INDEX(OFFSET(Arb!$AC$2,,,Arb!$AJ$5,),Z7)/16</f>
        <v>796.125</v>
      </c>
      <c r="AG7" s="428">
        <f t="shared" ca="1" si="9"/>
        <v>8.4568196303377956</v>
      </c>
      <c r="AH7" s="93">
        <f t="shared" ca="1" si="10"/>
        <v>17.876642303348433</v>
      </c>
      <c r="AI7" s="87">
        <f t="shared" ca="1" si="11"/>
        <v>0.20850997016800127</v>
      </c>
      <c r="AJ7" s="74">
        <f ca="1">DATE(INDEX(OFFSET(Arb!$C$2,,,Arb!$AJ$5,),Z7),INDEX(OFFSET(Arb!$B$2,,,Arb!$AJ$5,),Z7),INDEX(OFFSET(Arb!$A$2,,,Arb!$AJ$5,),Z7))</f>
        <v>43929</v>
      </c>
    </row>
    <row r="8" spans="1:36" x14ac:dyDescent="0.25">
      <c r="A8" s="11">
        <v>7</v>
      </c>
      <c r="B8" s="11">
        <v>1661</v>
      </c>
      <c r="C8" s="433">
        <f ca="1">IF(B8="",16,INDEX(OFFSET(Arb!$I$2,,,Arb!$AJ$5,),B8))</f>
        <v>12</v>
      </c>
      <c r="D8" s="686">
        <f ca="1">IF(B8="",10,INDEX(OFFSET(Arb!$H$2,,,Arb!$AJ$5,),B8))</f>
        <v>3.19</v>
      </c>
      <c r="E8" s="723">
        <f t="shared" ca="1" si="0"/>
        <v>3.761755485893417</v>
      </c>
      <c r="F8" s="563">
        <f ca="1">IF(B8="","",INDEX(OFFSET(Arb!$X$2,,,Arb!$AJ$5,),B8)/D8)</f>
        <v>4.0752351097178687</v>
      </c>
      <c r="G8" s="722">
        <f ca="1">IF(B8="","",(INDEX(OFFSET(Arb!$U$2,,,Arb!$AJ$5,),B8)+INDEX(OFFSET(Arb!$V$2,,,Arb!$AJ$5,),B8))/D8)</f>
        <v>4.3887147335423196</v>
      </c>
      <c r="H8" s="85">
        <f ca="1">INDEX(OFFSET(Arb!$AC$2,,,Arb!$AJ$5,),B8)/16</f>
        <v>43.0625</v>
      </c>
      <c r="I8" s="428">
        <f t="shared" ca="1" si="3"/>
        <v>13.499216300940439</v>
      </c>
      <c r="J8" s="93">
        <f t="shared" ca="1" si="4"/>
        <v>55.012480223268255</v>
      </c>
      <c r="K8" s="87">
        <f t="shared" ca="1" si="5"/>
        <v>0.27866473149492016</v>
      </c>
      <c r="L8" s="88">
        <f ca="1">DATE(INDEX(OFFSET(Arb!$C$2,,,Arb!$AJ$5,),B8),INDEX(OFFSET(Arb!$B$2,,,Arb!$AJ$5,),B8),INDEX(OFFSET(Arb!$A$2,,,Arb!$AJ$5,),B8))</f>
        <v>44096</v>
      </c>
      <c r="M8" s="89">
        <v>7</v>
      </c>
      <c r="N8" s="11">
        <v>2238</v>
      </c>
      <c r="O8" s="433">
        <f ca="1">IF(N8="",64,INDEX(OFFSET(Arb!$I$2,,,Arb!$AJ$5,),N8))</f>
        <v>56</v>
      </c>
      <c r="P8" s="680">
        <f ca="1">IF(N8="",60,INDEX(OFFSET(Arb!$H$2,,,Arb!$AJ$5,),N8))</f>
        <v>25.1</v>
      </c>
      <c r="Q8" s="768">
        <f t="shared" ca="1" si="1"/>
        <v>2.2310756972111552</v>
      </c>
      <c r="R8" s="561">
        <f ca="1">IF(N8="","",INDEX(OFFSET(Arb!$X$2,,,Arb!$AJ$5,),N8)/P8)</f>
        <v>3.1872509960159361</v>
      </c>
      <c r="S8" s="562">
        <f ca="1">IF(N8="","",(INDEX(OFFSET(Arb!$U$2,,,Arb!$AJ$5,),N8)+INDEX(OFFSET(Arb!$V$2,,,Arb!$AJ$5,),N8))/P8)</f>
        <v>3.7051792828685257</v>
      </c>
      <c r="T8" s="90">
        <f ca="1">INDEX(OFFSET(Arb!$AC$2,,,Arb!$AJ$5,),N8)/16</f>
        <v>247.6875</v>
      </c>
      <c r="U8" s="428">
        <f t="shared" ca="1" si="6"/>
        <v>9.868027888446214</v>
      </c>
      <c r="V8" s="93">
        <f t="shared" ca="1" si="7"/>
        <v>31.451881716163232</v>
      </c>
      <c r="W8" s="87">
        <f t="shared" ca="1" si="8"/>
        <v>0.22609134494070149</v>
      </c>
      <c r="X8" s="91">
        <f ca="1">DATE(INDEX(OFFSET(Arb!$C$2,,,Arb!$AJ$5,),N8),INDEX(OFFSET(Arb!$B$2,,,Arb!$AJ$5,),N8),INDEX(OFFSET(Arb!$A$2,,,Arb!$AJ$5,),N8))</f>
        <v>43890</v>
      </c>
      <c r="Y8" s="92">
        <v>7</v>
      </c>
      <c r="Z8" s="11">
        <v>3319</v>
      </c>
      <c r="AA8" s="433">
        <f ca="1">IF(Z8="",164,INDEX(OFFSET(Arb!$I$2,,,Arb!$AJ$5,),Z8))</f>
        <v>165</v>
      </c>
      <c r="AB8" s="679">
        <f ca="1">IF(Z8="",240,INDEX(OFFSET(Arb!$H$2,,,Arb!$AJ$5,),Z8))</f>
        <v>72.760000000000005</v>
      </c>
      <c r="AC8" s="769">
        <f t="shared" ca="1" si="2"/>
        <v>2.267729521715228</v>
      </c>
      <c r="AD8" s="726">
        <f ca="1">IF(Z8="","",INDEX(OFFSET(Arb!$X$2,,,Arb!$AJ$5,),Z8)/AB8)</f>
        <v>2.6388125343595381</v>
      </c>
      <c r="AE8" s="725">
        <f ca="1">IF(Z8="","",(INDEX(OFFSET(Arb!$U$2,,,Arb!$AJ$5,),Z8)+INDEX(OFFSET(Arb!$V$2,,,Arb!$AJ$5,),Z8))/AB8)</f>
        <v>2.8862012094557445</v>
      </c>
      <c r="AF8" s="90">
        <f ca="1">INDEX(OFFSET(Arb!$AC$2,,,Arb!$AJ$5,),Z8)/16</f>
        <v>614.8125</v>
      </c>
      <c r="AG8" s="428">
        <f t="shared" ca="1" si="9"/>
        <v>8.4498694337548095</v>
      </c>
      <c r="AH8" s="93">
        <f t="shared" ca="1" si="10"/>
        <v>22.297621375493723</v>
      </c>
      <c r="AI8" s="87">
        <f t="shared" ca="1" si="11"/>
        <v>0.26837450442207988</v>
      </c>
      <c r="AJ8" s="74">
        <f ca="1">DATE(INDEX(OFFSET(Arb!$C$2,,,Arb!$AJ$5,),Z8),INDEX(OFFSET(Arb!$B$2,,,Arb!$AJ$5,),Z8),INDEX(OFFSET(Arb!$A$2,,,Arb!$AJ$5,),Z8))</f>
        <v>44094</v>
      </c>
    </row>
    <row r="9" spans="1:36" x14ac:dyDescent="0.25">
      <c r="A9" s="11">
        <v>8</v>
      </c>
      <c r="B9" s="11">
        <v>1560</v>
      </c>
      <c r="C9" s="433">
        <f ca="1">IF(B9="",16,INDEX(OFFSET(Arb!$I$2,,,Arb!$AJ$5,),B9))</f>
        <v>12</v>
      </c>
      <c r="D9" s="560">
        <f ca="1">IF(B9="",10,INDEX(OFFSET(Arb!$H$2,,,Arb!$AJ$5,),B9))</f>
        <v>3.5</v>
      </c>
      <c r="E9" s="724">
        <f t="shared" ca="1" si="0"/>
        <v>3.4285714285714284</v>
      </c>
      <c r="F9" s="724">
        <f ca="1">IF(B9="","",INDEX(OFFSET(Arb!$X$2,,,Arb!$AJ$5,),B9)/D9)</f>
        <v>3.4285714285714284</v>
      </c>
      <c r="G9" s="562">
        <f ca="1">IF(B9="","",(INDEX(OFFSET(Arb!$U$2,,,Arb!$AJ$5,),B9)+INDEX(OFFSET(Arb!$V$2,,,Arb!$AJ$5,),B9))/D9)</f>
        <v>3.7142857142857144</v>
      </c>
      <c r="H9" s="85">
        <f ca="1">INDEX(OFFSET(Arb!$AC$2,,,Arb!$AJ$5,),B9)/16</f>
        <v>46.5625</v>
      </c>
      <c r="I9" s="428">
        <f t="shared" ca="1" si="3"/>
        <v>13.303571428571429</v>
      </c>
      <c r="J9" s="93">
        <f t="shared" ca="1" si="4"/>
        <v>45.612244897959179</v>
      </c>
      <c r="K9" s="87">
        <f t="shared" ca="1" si="5"/>
        <v>0.25771812080536916</v>
      </c>
      <c r="L9" s="88">
        <f ca="1">DATE(INDEX(OFFSET(Arb!$C$2,,,Arb!$AJ$5,),B9),INDEX(OFFSET(Arb!$B$2,,,Arb!$AJ$5,),B9),INDEX(OFFSET(Arb!$A$2,,,Arb!$AJ$5,),B9))</f>
        <v>43989</v>
      </c>
      <c r="M9" s="89">
        <v>8</v>
      </c>
      <c r="N9" s="11">
        <v>2241</v>
      </c>
      <c r="O9" s="433">
        <f ca="1">IF(N9="",64,INDEX(OFFSET(Arb!$I$2,,,Arb!$AJ$5,),N9))</f>
        <v>68</v>
      </c>
      <c r="P9" s="680">
        <f ca="1">IF(N9="",60,INDEX(OFFSET(Arb!$H$2,,,Arb!$AJ$5,),N9))</f>
        <v>25.26</v>
      </c>
      <c r="Q9" s="726">
        <f t="shared" ca="1" si="1"/>
        <v>2.6920031670625493</v>
      </c>
      <c r="R9" s="725">
        <f ca="1">IF(N9="","",INDEX(OFFSET(Arb!$X$2,,,Arb!$AJ$5,),N9)/P9)</f>
        <v>2.8899445764053837</v>
      </c>
      <c r="S9" s="561">
        <f ca="1">IF(N9="","",(INDEX(OFFSET(Arb!$U$2,,,Arb!$AJ$5,),N9)+INDEX(OFFSET(Arb!$V$2,,,Arb!$AJ$5,),N9))/P9)</f>
        <v>3.1670625494853519</v>
      </c>
      <c r="T9" s="90">
        <f ca="1">INDEX(OFFSET(Arb!$AC$2,,,Arb!$AJ$5,),N9)/16</f>
        <v>247.5</v>
      </c>
      <c r="U9" s="428">
        <f t="shared" ca="1" si="6"/>
        <v>9.7980997624703079</v>
      </c>
      <c r="V9" s="93">
        <f t="shared" ca="1" si="7"/>
        <v>28.315965267629945</v>
      </c>
      <c r="W9" s="87">
        <f t="shared" ca="1" si="8"/>
        <v>0.27474747474747474</v>
      </c>
      <c r="X9" s="91">
        <f ca="1">DATE(INDEX(OFFSET(Arb!$C$2,,,Arb!$AJ$5,),N9),INDEX(OFFSET(Arb!$B$2,,,Arb!$AJ$5,),N9),INDEX(OFFSET(Arb!$A$2,,,Arb!$AJ$5,),N9))</f>
        <v>43890</v>
      </c>
      <c r="Y9" s="92">
        <v>8</v>
      </c>
      <c r="Z9" s="11">
        <v>3337</v>
      </c>
      <c r="AA9" s="433">
        <f ca="1">IF(Z9="",164,INDEX(OFFSET(Arb!$I$2,,,Arb!$AJ$5,),Z9))</f>
        <v>147</v>
      </c>
      <c r="AB9" s="680">
        <f ca="1">IF(Z9="",240,INDEX(OFFSET(Arb!$H$2,,,Arb!$AJ$5,),Z9))</f>
        <v>78.67</v>
      </c>
      <c r="AC9" s="727">
        <f t="shared" ca="1" si="2"/>
        <v>1.8685648913181645</v>
      </c>
      <c r="AD9" s="769">
        <f ca="1">IF(Z9="","",INDEX(OFFSET(Arb!$X$2,,,Arb!$AJ$5,),Z9)/AB9)</f>
        <v>2.4024405745519255</v>
      </c>
      <c r="AE9" s="726">
        <f ca="1">IF(Z9="","",(INDEX(OFFSET(Arb!$U$2,,,Arb!$AJ$5,),Z9)+INDEX(OFFSET(Arb!$V$2,,,Arb!$AJ$5,),Z9))/AB9)</f>
        <v>2.7456463709164867</v>
      </c>
      <c r="AF9" s="90">
        <f ca="1">INDEX(OFFSET(Arb!$AC$2,,,Arb!$AJ$5,),Z9)/16</f>
        <v>647.6875</v>
      </c>
      <c r="AG9" s="428">
        <f t="shared" ca="1" si="9"/>
        <v>8.2329668234396838</v>
      </c>
      <c r="AH9" s="93">
        <f t="shared" ca="1" si="10"/>
        <v>19.779213545571373</v>
      </c>
      <c r="AI9" s="87">
        <f t="shared" ca="1" si="11"/>
        <v>0.22696130464151307</v>
      </c>
      <c r="AJ9" s="74">
        <f ca="1">DATE(INDEX(OFFSET(Arb!$C$2,,,Arb!$AJ$5,),Z9),INDEX(OFFSET(Arb!$B$2,,,Arb!$AJ$5,),Z9),INDEX(OFFSET(Arb!$A$2,,,Arb!$AJ$5,),Z9))</f>
        <v>44096</v>
      </c>
    </row>
    <row r="10" spans="1:36" x14ac:dyDescent="0.25">
      <c r="A10" s="11">
        <v>9</v>
      </c>
      <c r="B10" s="11">
        <v>1783</v>
      </c>
      <c r="C10" s="433">
        <f ca="1">IF(B10="",16,INDEX(OFFSET(Arb!$I$2,,,Arb!$AJ$5,),B10))</f>
        <v>17</v>
      </c>
      <c r="D10" s="559">
        <f ca="1">IF(B10="",10,INDEX(OFFSET(Arb!$H$2,,,Arb!$AJ$5,),B10))</f>
        <v>5.87</v>
      </c>
      <c r="E10" s="725">
        <f t="shared" ca="1" si="0"/>
        <v>2.8960817717206133</v>
      </c>
      <c r="F10" s="724">
        <f ca="1">IF(B10="","",INDEX(OFFSET(Arb!$X$2,,,Arb!$AJ$5,),B10)/D10)</f>
        <v>3.4071550255536627</v>
      </c>
      <c r="G10" s="723">
        <f ca="1">IF(B10="","",(INDEX(OFFSET(Arb!$U$2,,,Arb!$AJ$5,),B10)+INDEX(OFFSET(Arb!$V$2,,,Arb!$AJ$5,),B10))/D10)</f>
        <v>3.918228279386712</v>
      </c>
      <c r="H10" s="85">
        <f ca="1">INDEX(OFFSET(Arb!$AC$2,,,Arb!$AJ$5,),B10)/16</f>
        <v>77.875</v>
      </c>
      <c r="I10" s="428">
        <f t="shared" ca="1" si="3"/>
        <v>13.266609880749574</v>
      </c>
      <c r="J10" s="93">
        <f t="shared" ca="1" si="4"/>
        <v>45.201396527255788</v>
      </c>
      <c r="K10" s="87">
        <f t="shared" ca="1" si="5"/>
        <v>0.21829855537720708</v>
      </c>
      <c r="L10" s="88">
        <f ca="1">DATE(INDEX(OFFSET(Arb!$C$2,,,Arb!$AJ$5,),B10),INDEX(OFFSET(Arb!$B$2,,,Arb!$AJ$5,),B10),INDEX(OFFSET(Arb!$A$2,,,Arb!$AJ$5,),B10))</f>
        <v>44168</v>
      </c>
      <c r="M10" s="89">
        <v>9</v>
      </c>
      <c r="N10" s="11">
        <v>2407</v>
      </c>
      <c r="O10" s="433">
        <f ca="1">IF(N10="",64,INDEX(OFFSET(Arb!$I$2,,,Arb!$AJ$5,),N10))</f>
        <v>59</v>
      </c>
      <c r="P10" s="679">
        <f ca="1">IF(N10="",60,INDEX(OFFSET(Arb!$H$2,,,Arb!$AJ$5,),N10))</f>
        <v>22.2</v>
      </c>
      <c r="Q10" s="726">
        <f t="shared" ca="1" si="1"/>
        <v>2.6576576576576576</v>
      </c>
      <c r="R10" s="561">
        <f ca="1">IF(N10="","",INDEX(OFFSET(Arb!$X$2,,,Arb!$AJ$5,),N10)/P10)</f>
        <v>3.1981981981981984</v>
      </c>
      <c r="S10" s="562">
        <f ca="1">IF(N10="","",(INDEX(OFFSET(Arb!$U$2,,,Arb!$AJ$5,),N10)+INDEX(OFFSET(Arb!$V$2,,,Arb!$AJ$5,),N10))/P10)</f>
        <v>3.5585585585585586</v>
      </c>
      <c r="T10" s="90">
        <f ca="1">INDEX(OFFSET(Arb!$AC$2,,,Arb!$AJ$5,),N10)/16</f>
        <v>216.5625</v>
      </c>
      <c r="U10" s="428">
        <f t="shared" ca="1" si="6"/>
        <v>9.7550675675675684</v>
      </c>
      <c r="V10" s="93">
        <f t="shared" ca="1" si="7"/>
        <v>31.198639517896279</v>
      </c>
      <c r="W10" s="87">
        <f t="shared" ca="1" si="8"/>
        <v>0.27243867243867242</v>
      </c>
      <c r="X10" s="91">
        <f ca="1">DATE(INDEX(OFFSET(Arb!$C$2,,,Arb!$AJ$5,),N10),INDEX(OFFSET(Arb!$B$2,,,Arb!$AJ$5,),N10),INDEX(OFFSET(Arb!$A$2,,,Arb!$AJ$5,),N10))</f>
        <v>44168</v>
      </c>
      <c r="Y10" s="92">
        <v>9</v>
      </c>
      <c r="Z10" s="11">
        <v>3354</v>
      </c>
      <c r="AA10" s="433">
        <f ca="1">IF(Z10="",164,INDEX(OFFSET(Arb!$I$2,,,Arb!$AJ$5,),Z10))</f>
        <v>157</v>
      </c>
      <c r="AB10" s="679">
        <f ca="1">IF(Z10="",240,INDEX(OFFSET(Arb!$H$2,,,Arb!$AJ$5,),Z10))</f>
        <v>69.459999999999994</v>
      </c>
      <c r="AC10" s="769">
        <f t="shared" ca="1" si="2"/>
        <v>2.2602936942124967</v>
      </c>
      <c r="AD10" s="725">
        <f ca="1">IF(Z10="","",INDEX(OFFSET(Arb!$X$2,,,Arb!$AJ$5,),Z10)/AB10)</f>
        <v>2.8793550244745179</v>
      </c>
      <c r="AE10" s="724">
        <f ca="1">IF(Z10="","",(INDEX(OFFSET(Arb!$U$2,,,Arb!$AJ$5,),Z10)+INDEX(OFFSET(Arb!$V$2,,,Arb!$AJ$5,),Z10))/AB10)</f>
        <v>3.3256550532680684</v>
      </c>
      <c r="AF10" s="90">
        <f ca="1">INDEX(OFFSET(Arb!$AC$2,,,Arb!$AJ$5,),Z10)/16</f>
        <v>565.1875</v>
      </c>
      <c r="AG10" s="428">
        <f t="shared" ca="1" si="9"/>
        <v>8.1368773394759586</v>
      </c>
      <c r="AH10" s="93">
        <f t="shared" ca="1" si="10"/>
        <v>23.42895865095295</v>
      </c>
      <c r="AI10" s="87">
        <f t="shared" ca="1" si="11"/>
        <v>0.2777839212650669</v>
      </c>
      <c r="AJ10" s="74">
        <f ca="1">DATE(INDEX(OFFSET(Arb!$C$2,,,Arb!$AJ$5,),Z10),INDEX(OFFSET(Arb!$B$2,,,Arb!$AJ$5,),Z10),INDEX(OFFSET(Arb!$A$2,,,Arb!$AJ$5,),Z10))</f>
        <v>44098</v>
      </c>
    </row>
    <row r="11" spans="1:36" x14ac:dyDescent="0.25">
      <c r="A11" s="11">
        <v>10</v>
      </c>
      <c r="B11" s="11">
        <v>1621</v>
      </c>
      <c r="C11" s="433">
        <f ca="1">IF(B11="",16,INDEX(OFFSET(Arb!$I$2,,,Arb!$AJ$5,),B11))</f>
        <v>17</v>
      </c>
      <c r="D11" s="684">
        <f ca="1">IF(B11="",10,INDEX(OFFSET(Arb!$H$2,,,Arb!$AJ$5,),B11))</f>
        <v>5.35</v>
      </c>
      <c r="E11" s="561">
        <f t="shared" ca="1" si="0"/>
        <v>3.1775700934579443</v>
      </c>
      <c r="F11" s="723">
        <f ca="1">IF(B11="","",INDEX(OFFSET(Arb!$X$2,,,Arb!$AJ$5,),B11)/D11)</f>
        <v>3.9252336448598135</v>
      </c>
      <c r="G11" s="563">
        <f ca="1">IF(B11="","",(INDEX(OFFSET(Arb!$U$2,,,Arb!$AJ$5,),B11)+INDEX(OFFSET(Arb!$V$2,,,Arb!$AJ$5,),B11))/D11)</f>
        <v>4.1121495327102808</v>
      </c>
      <c r="H11" s="85">
        <f ca="1">INDEX(OFFSET(Arb!$AC$2,,,Arb!$AJ$5,),B11)/16</f>
        <v>70</v>
      </c>
      <c r="I11" s="428">
        <f t="shared" ca="1" si="3"/>
        <v>13.084112149532711</v>
      </c>
      <c r="J11" s="93">
        <f t="shared" ca="1" si="4"/>
        <v>51.358197222464852</v>
      </c>
      <c r="K11" s="87">
        <f t="shared" ca="1" si="5"/>
        <v>0.24285714285714285</v>
      </c>
      <c r="L11" s="88">
        <f ca="1">DATE(INDEX(OFFSET(Arb!$C$2,,,Arb!$AJ$5,),B11),INDEX(OFFSET(Arb!$B$2,,,Arb!$AJ$5,),B11),INDEX(OFFSET(Arb!$A$2,,,Arb!$AJ$5,),B11))</f>
        <v>44093</v>
      </c>
      <c r="M11" s="89">
        <v>10</v>
      </c>
      <c r="N11" s="11">
        <v>2287</v>
      </c>
      <c r="O11" s="433">
        <f ca="1">IF(N11="",64,INDEX(OFFSET(Arb!$I$2,,,Arb!$AJ$5,),N11))</f>
        <v>54</v>
      </c>
      <c r="P11" s="679">
        <f ca="1">IF(N11="",60,INDEX(OFFSET(Arb!$H$2,,,Arb!$AJ$5,),N11))</f>
        <v>23.98</v>
      </c>
      <c r="Q11" s="769">
        <f t="shared" ca="1" si="1"/>
        <v>2.2518765638031693</v>
      </c>
      <c r="R11" s="724">
        <f ca="1">IF(N11="","",INDEX(OFFSET(Arb!$X$2,,,Arb!$AJ$5,),N11)/P11)</f>
        <v>3.2527105921601334</v>
      </c>
      <c r="S11" s="723">
        <f ca="1">IF(N11="","",(INDEX(OFFSET(Arb!$U$2,,,Arb!$AJ$5,),N11)+INDEX(OFFSET(Arb!$V$2,,,Arb!$AJ$5,),N11))/P11)</f>
        <v>3.9199332777314426</v>
      </c>
      <c r="T11" s="90">
        <f ca="1">INDEX(OFFSET(Arb!$AC$2,,,Arb!$AJ$5,),N11)/16</f>
        <v>233.375</v>
      </c>
      <c r="U11" s="428">
        <f t="shared" ca="1" si="6"/>
        <v>9.7320683903252707</v>
      </c>
      <c r="V11" s="93">
        <f t="shared" ca="1" si="7"/>
        <v>31.655601936837826</v>
      </c>
      <c r="W11" s="87">
        <f t="shared" ca="1" si="8"/>
        <v>0.23138725227637921</v>
      </c>
      <c r="X11" s="91">
        <f ca="1">DATE(INDEX(OFFSET(Arb!$C$2,,,Arb!$AJ$5,),N11),INDEX(OFFSET(Arb!$B$2,,,Arb!$AJ$5,),N11),INDEX(OFFSET(Arb!$A$2,,,Arb!$AJ$5,),N11))</f>
        <v>43935</v>
      </c>
      <c r="Y11" s="92">
        <v>10</v>
      </c>
      <c r="Z11" s="11">
        <v>3215</v>
      </c>
      <c r="AA11" s="433">
        <f ca="1">IF(Z11="",164,INDEX(OFFSET(Arb!$I$2,,,Arb!$AJ$5,),Z11))</f>
        <v>156</v>
      </c>
      <c r="AB11" s="679">
        <f ca="1">IF(Z11="",240,INDEX(OFFSET(Arb!$H$2,,,Arb!$AJ$5,),Z11))</f>
        <v>71.680000000000007</v>
      </c>
      <c r="AC11" s="768">
        <f t="shared" ca="1" si="2"/>
        <v>2.1763392857142856</v>
      </c>
      <c r="AD11" s="725">
        <f ca="1">IF(Z11="","",INDEX(OFFSET(Arb!$X$2,,,Arb!$AJ$5,),Z11)/AB11)</f>
        <v>2.8738839285714284</v>
      </c>
      <c r="AE11" s="724">
        <f ca="1">IF(Z11="","",(INDEX(OFFSET(Arb!$U$2,,,Arb!$AJ$5,),Z11)+INDEX(OFFSET(Arb!$V$2,,,Arb!$AJ$5,),Z11))/AB11)</f>
        <v>3.2784598214285712</v>
      </c>
      <c r="AF11" s="90">
        <f ca="1">INDEX(OFFSET(Arb!$AC$2,,,Arb!$AJ$5,),Z11)/16</f>
        <v>582.25</v>
      </c>
      <c r="AG11" s="428">
        <f t="shared" ca="1" si="9"/>
        <v>8.122907366071427</v>
      </c>
      <c r="AH11" s="93">
        <f t="shared" ca="1" si="10"/>
        <v>23.344292932627148</v>
      </c>
      <c r="AI11" s="87">
        <f t="shared" ca="1" si="11"/>
        <v>0.26792614856161445</v>
      </c>
      <c r="AJ11" s="74">
        <f ca="1">DATE(INDEX(OFFSET(Arb!$C$2,,,Arb!$AJ$5,),Z11),INDEX(OFFSET(Arb!$B$2,,,Arb!$AJ$5,),Z11),INDEX(OFFSET(Arb!$A$2,,,Arb!$AJ$5,),Z11))</f>
        <v>44059</v>
      </c>
    </row>
    <row r="12" spans="1:36" x14ac:dyDescent="0.25">
      <c r="A12" s="11">
        <v>11</v>
      </c>
      <c r="B12" s="11">
        <v>565</v>
      </c>
      <c r="C12" s="433">
        <f ca="1">IF(B12="",16,INDEX(OFFSET(Arb!$I$2,,,Arb!$AJ$5,),B12))</f>
        <v>14</v>
      </c>
      <c r="D12" s="684">
        <f ca="1">IF(B12="",10,INDEX(OFFSET(Arb!$H$2,,,Arb!$AJ$5,),B12))</f>
        <v>5.38</v>
      </c>
      <c r="E12" s="726">
        <f t="shared" ca="1" si="0"/>
        <v>2.6022304832713754</v>
      </c>
      <c r="F12" s="723">
        <f ca="1">IF(B12="","",INDEX(OFFSET(Arb!$X$2,,,Arb!$AJ$5,),B12)/D12)</f>
        <v>3.9033457249070631</v>
      </c>
      <c r="G12" s="721">
        <f ca="1">IF(B12="","",(INDEX(OFFSET(Arb!$U$2,,,Arb!$AJ$5,),B12)+INDEX(OFFSET(Arb!$V$2,,,Arb!$AJ$5,),B12))/D12)</f>
        <v>4.8327137546468402</v>
      </c>
      <c r="H12" s="85">
        <f ca="1">INDEX(OFFSET(Arb!$AC$2,,,Arb!$AJ$5,),B12)/16</f>
        <v>69.9375</v>
      </c>
      <c r="I12" s="428">
        <f t="shared" ca="1" si="3"/>
        <v>12.999535315985131</v>
      </c>
      <c r="J12" s="93">
        <f t="shared" ca="1" si="4"/>
        <v>50.741680601428946</v>
      </c>
      <c r="K12" s="87">
        <f t="shared" ca="1" si="5"/>
        <v>0.20017873100983022</v>
      </c>
      <c r="L12" s="88">
        <f ca="1">DATE(INDEX(OFFSET(Arb!$C$2,,,Arb!$AJ$5,),B12),INDEX(OFFSET(Arb!$B$2,,,Arb!$AJ$5,),B12),INDEX(OFFSET(Arb!$A$2,,,Arb!$AJ$5,),B12))</f>
        <v>43797</v>
      </c>
      <c r="M12" s="89">
        <v>11</v>
      </c>
      <c r="N12" s="11">
        <v>2113</v>
      </c>
      <c r="O12" s="433">
        <f ca="1">IF(N12="",64,INDEX(OFFSET(Arb!$I$2,,,Arb!$AJ$5,),N12))</f>
        <v>59</v>
      </c>
      <c r="P12" s="679">
        <f ca="1">IF(N12="",60,INDEX(OFFSET(Arb!$H$2,,,Arb!$AJ$5,),N12))</f>
        <v>23.09</v>
      </c>
      <c r="Q12" s="726">
        <f t="shared" ca="1" si="1"/>
        <v>2.5552187093980079</v>
      </c>
      <c r="R12" s="561">
        <f ca="1">IF(N12="","",INDEX(OFFSET(Arb!$X$2,,,Arb!$AJ$5,),N12)/P12)</f>
        <v>3.2048505846686877</v>
      </c>
      <c r="S12" s="723">
        <f ca="1">IF(N12="","",(INDEX(OFFSET(Arb!$U$2,,,Arb!$AJ$5,),N12)+INDEX(OFFSET(Arb!$V$2,,,Arb!$AJ$5,),N12))/P12)</f>
        <v>3.8111736682546558</v>
      </c>
      <c r="T12" s="90">
        <f ca="1">INDEX(OFFSET(Arb!$AC$2,,,Arb!$AJ$5,),N12)/16</f>
        <v>224.5</v>
      </c>
      <c r="U12" s="428">
        <f t="shared" ca="1" si="6"/>
        <v>9.7228237332178438</v>
      </c>
      <c r="V12" s="93">
        <f t="shared" ca="1" si="7"/>
        <v>31.160197326033799</v>
      </c>
      <c r="W12" s="87">
        <f t="shared" ca="1" si="8"/>
        <v>0.26280623608017817</v>
      </c>
      <c r="X12" s="91">
        <f ca="1">DATE(INDEX(OFFSET(Arb!$C$2,,,Arb!$AJ$5,),N12),INDEX(OFFSET(Arb!$B$2,,,Arb!$AJ$5,),N12),INDEX(OFFSET(Arb!$A$2,,,Arb!$AJ$5,),N12))</f>
        <v>43811</v>
      </c>
      <c r="Y12" s="92">
        <v>11</v>
      </c>
      <c r="Z12" s="11">
        <v>3315</v>
      </c>
      <c r="AA12" s="433">
        <f ca="1">IF(Z12="",164,INDEX(OFFSET(Arb!$I$2,,,Arb!$AJ$5,),Z12))</f>
        <v>149</v>
      </c>
      <c r="AB12" s="691">
        <f ca="1">IF(Z12="",240,INDEX(OFFSET(Arb!$H$2,,,Arb!$AJ$5,),Z12))</f>
        <v>66.47</v>
      </c>
      <c r="AC12" s="768">
        <f t="shared" ca="1" si="2"/>
        <v>2.2416127576350235</v>
      </c>
      <c r="AD12" s="725">
        <f ca="1">IF(Z12="","",INDEX(OFFSET(Arb!$X$2,,,Arb!$AJ$5,),Z12)/AB12)</f>
        <v>2.9035655182789228</v>
      </c>
      <c r="AE12" s="724">
        <f ca="1">IF(Z12="","",(INDEX(OFFSET(Arb!$U$2,,,Arb!$AJ$5,),Z12)+INDEX(OFFSET(Arb!$V$2,,,Arb!$AJ$5,),Z12))/AB12)</f>
        <v>3.2646306604483226</v>
      </c>
      <c r="AF12" s="90">
        <f ca="1">INDEX(OFFSET(Arb!$AC$2,,,Arb!$AJ$5,),Z12)/16</f>
        <v>539.375</v>
      </c>
      <c r="AG12" s="428">
        <f t="shared" ca="1" si="9"/>
        <v>8.1145629607341654</v>
      </c>
      <c r="AH12" s="93">
        <f t="shared" ca="1" si="10"/>
        <v>23.561165208691047</v>
      </c>
      <c r="AI12" s="87">
        <f t="shared" ca="1" si="11"/>
        <v>0.27624565469293161</v>
      </c>
      <c r="AJ12" s="74">
        <f ca="1">DATE(INDEX(OFFSET(Arb!$C$2,,,Arb!$AJ$5,),Z12),INDEX(OFFSET(Arb!$B$2,,,Arb!$AJ$5,),Z12),INDEX(OFFSET(Arb!$A$2,,,Arb!$AJ$5,),Z12))</f>
        <v>44094</v>
      </c>
    </row>
    <row r="13" spans="1:36" x14ac:dyDescent="0.25">
      <c r="A13" s="11">
        <v>12</v>
      </c>
      <c r="B13" s="11">
        <v>1465</v>
      </c>
      <c r="C13" s="433">
        <f ca="1">IF(B13="",16,INDEX(OFFSET(Arb!$I$2,,,Arb!$AJ$5,),B13))</f>
        <v>11</v>
      </c>
      <c r="D13" s="686">
        <f ca="1">IF(B13="",10,INDEX(OFFSET(Arb!$H$2,,,Arb!$AJ$5,),B13))</f>
        <v>3.13</v>
      </c>
      <c r="E13" s="562">
        <f t="shared" ca="1" si="0"/>
        <v>3.5143769968051117</v>
      </c>
      <c r="F13" s="723">
        <f ca="1">IF(B13="","",INDEX(OFFSET(Arb!$X$2,,,Arb!$AJ$5,),B13)/D13)</f>
        <v>3.8338658146964857</v>
      </c>
      <c r="G13" s="722">
        <f ca="1">IF(B13="","",(INDEX(OFFSET(Arb!$U$2,,,Arb!$AJ$5,),B13)+INDEX(OFFSET(Arb!$V$2,,,Arb!$AJ$5,),B13))/D13)</f>
        <v>4.4728434504792336</v>
      </c>
      <c r="H13" s="85">
        <f ca="1">INDEX(OFFSET(Arb!$AC$2,,,Arb!$AJ$5,),B13)/16</f>
        <v>40.5</v>
      </c>
      <c r="I13" s="428">
        <f t="shared" ca="1" si="3"/>
        <v>12.939297124600639</v>
      </c>
      <c r="J13" s="93">
        <f t="shared" ca="1" si="4"/>
        <v>49.607528912206924</v>
      </c>
      <c r="K13" s="87">
        <f t="shared" ca="1" si="5"/>
        <v>0.27160493827160492</v>
      </c>
      <c r="L13" s="88">
        <f ca="1">DATE(INDEX(OFFSET(Arb!$C$2,,,Arb!$AJ$5,),B13),INDEX(OFFSET(Arb!$B$2,,,Arb!$AJ$5,),B13),INDEX(OFFSET(Arb!$A$2,,,Arb!$AJ$5,),B13))</f>
        <v>43952</v>
      </c>
      <c r="M13" s="89">
        <v>12</v>
      </c>
      <c r="N13" s="11">
        <v>2232</v>
      </c>
      <c r="O13" s="433">
        <f ca="1">IF(N13="",64,INDEX(OFFSET(Arb!$I$2,,,Arb!$AJ$5,),N13))</f>
        <v>41</v>
      </c>
      <c r="P13" s="691">
        <f ca="1">IF(N13="",60,INDEX(OFFSET(Arb!$H$2,,,Arb!$AJ$5,),N13))</f>
        <v>20.149999999999999</v>
      </c>
      <c r="Q13" s="768">
        <f t="shared" ca="1" si="1"/>
        <v>2.0347394540942929</v>
      </c>
      <c r="R13" s="726">
        <f ca="1">IF(N13="","",INDEX(OFFSET(Arb!$X$2,,,Arb!$AJ$5,),N13)/P13)</f>
        <v>2.6799007444168734</v>
      </c>
      <c r="S13" s="561">
        <f ca="1">IF(N13="","",(INDEX(OFFSET(Arb!$U$2,,,Arb!$AJ$5,),N13)+INDEX(OFFSET(Arb!$V$2,,,Arb!$AJ$5,),N13))/P13)</f>
        <v>3.0769230769230771</v>
      </c>
      <c r="T13" s="90">
        <f ca="1">INDEX(OFFSET(Arb!$AC$2,,,Arb!$AJ$5,),N13)/16</f>
        <v>195.1875</v>
      </c>
      <c r="U13" s="428">
        <f t="shared" ca="1" si="6"/>
        <v>9.6867245657568244</v>
      </c>
      <c r="V13" s="93">
        <f t="shared" ca="1" si="7"/>
        <v>25.959460374732927</v>
      </c>
      <c r="W13" s="87">
        <f t="shared" ca="1" si="8"/>
        <v>0.2100544348382965</v>
      </c>
      <c r="X13" s="91">
        <f ca="1">DATE(INDEX(OFFSET(Arb!$C$2,,,Arb!$AJ$5,),N13),INDEX(OFFSET(Arb!$B$2,,,Arb!$AJ$5,),N13),INDEX(OFFSET(Arb!$A$2,,,Arb!$AJ$5,),N13))</f>
        <v>43885</v>
      </c>
      <c r="Y13" s="92">
        <v>12</v>
      </c>
      <c r="Z13" s="11">
        <v>3197</v>
      </c>
      <c r="AA13" s="433">
        <f ca="1">IF(Z13="",164,INDEX(OFFSET(Arb!$I$2,,,Arb!$AJ$5,),Z13))</f>
        <v>182</v>
      </c>
      <c r="AB13" s="680">
        <f ca="1">IF(Z13="",240,INDEX(OFFSET(Arb!$H$2,,,Arb!$AJ$5,),Z13))</f>
        <v>75</v>
      </c>
      <c r="AC13" s="769">
        <f t="shared" ca="1" si="2"/>
        <v>2.4266666666666667</v>
      </c>
      <c r="AD13" s="725">
        <f ca="1">IF(Z13="","",INDEX(OFFSET(Arb!$X$2,,,Arb!$AJ$5,),Z13)/AB13)</f>
        <v>2.84</v>
      </c>
      <c r="AE13" s="561">
        <f ca="1">IF(Z13="","",(INDEX(OFFSET(Arb!$U$2,,,Arb!$AJ$5,),Z13)+INDEX(OFFSET(Arb!$V$2,,,Arb!$AJ$5,),Z13))/AB13)</f>
        <v>3.24</v>
      </c>
      <c r="AF13" s="90">
        <f ca="1">INDEX(OFFSET(Arb!$AC$2,,,Arb!$AJ$5,),Z13)/16</f>
        <v>608.1875</v>
      </c>
      <c r="AG13" s="428">
        <f t="shared" ca="1" si="9"/>
        <v>8.1091666666666669</v>
      </c>
      <c r="AH13" s="93">
        <f t="shared" ca="1" si="10"/>
        <v>23.030033333333332</v>
      </c>
      <c r="AI13" s="87">
        <f t="shared" ca="1" si="11"/>
        <v>0.29924982016236767</v>
      </c>
      <c r="AJ13" s="74">
        <f ca="1">DATE(INDEX(OFFSET(Arb!$C$2,,,Arb!$AJ$5,),Z13),INDEX(OFFSET(Arb!$B$2,,,Arb!$AJ$5,),Z13),INDEX(OFFSET(Arb!$A$2,,,Arb!$AJ$5,),Z13))</f>
        <v>44057</v>
      </c>
    </row>
    <row r="14" spans="1:36" x14ac:dyDescent="0.25">
      <c r="A14" s="11">
        <v>13</v>
      </c>
      <c r="B14" s="11">
        <v>1159</v>
      </c>
      <c r="C14" s="433">
        <f ca="1">IF(B14="",16,INDEX(OFFSET(Arb!$I$2,,,Arb!$AJ$5,),B14))</f>
        <v>17</v>
      </c>
      <c r="D14" s="691">
        <f ca="1">IF(B14="",10,INDEX(OFFSET(Arb!$H$2,,,Arb!$AJ$5,),B14))</f>
        <v>7.02</v>
      </c>
      <c r="E14" s="769">
        <f t="shared" ca="1" si="0"/>
        <v>2.4216524216524218</v>
      </c>
      <c r="F14" s="562">
        <f ca="1">IF(B14="","",INDEX(OFFSET(Arb!$X$2,,,Arb!$AJ$5,),B14)/D14)</f>
        <v>3.5612535612535616</v>
      </c>
      <c r="G14" s="563">
        <f ca="1">IF(B14="","",(INDEX(OFFSET(Arb!$U$2,,,Arb!$AJ$5,),B14)+INDEX(OFFSET(Arb!$V$2,,,Arb!$AJ$5,),B14))/D14)</f>
        <v>4.1310541310541309</v>
      </c>
      <c r="H14" s="85">
        <f ca="1">INDEX(OFFSET(Arb!$AC$2,,,Arb!$AJ$5,),B14)/16</f>
        <v>90.0625</v>
      </c>
      <c r="I14" s="428">
        <f t="shared" ca="1" si="3"/>
        <v>12.829415954415955</v>
      </c>
      <c r="J14" s="93">
        <f t="shared" ca="1" si="4"/>
        <v>45.688803256467082</v>
      </c>
      <c r="K14" s="87">
        <f t="shared" ca="1" si="5"/>
        <v>0.18875780707841777</v>
      </c>
      <c r="L14" s="88">
        <f ca="1">DATE(INDEX(OFFSET(Arb!$C$2,,,Arb!$AJ$5,),B14),INDEX(OFFSET(Arb!$B$2,,,Arb!$AJ$5,),B14),INDEX(OFFSET(Arb!$A$2,,,Arb!$AJ$5,),B14))</f>
        <v>43869</v>
      </c>
      <c r="M14" s="89">
        <v>13</v>
      </c>
      <c r="N14" s="11">
        <v>2071</v>
      </c>
      <c r="O14" s="433">
        <f ca="1">IF(N14="",64,INDEX(OFFSET(Arb!$I$2,,,Arb!$AJ$5,),N14))</f>
        <v>61</v>
      </c>
      <c r="P14" s="679">
        <f ca="1">IF(N14="",60,INDEX(OFFSET(Arb!$H$2,,,Arb!$AJ$5,),N14))</f>
        <v>30.54</v>
      </c>
      <c r="Q14" s="727">
        <f t="shared" ca="1" si="1"/>
        <v>1.9973804846103471</v>
      </c>
      <c r="R14" s="769">
        <f ca="1">IF(N14="","",INDEX(OFFSET(Arb!$X$2,,,Arb!$AJ$5,),N14)/P14)</f>
        <v>2.3903077930582843</v>
      </c>
      <c r="S14" s="725">
        <f ca="1">IF(N14="","",(INDEX(OFFSET(Arb!$U$2,,,Arb!$AJ$5,),N14)+INDEX(OFFSET(Arb!$V$2,,,Arb!$AJ$5,),N14))/P14)</f>
        <v>2.815979043876883</v>
      </c>
      <c r="T14" s="90">
        <f ca="1">INDEX(OFFSET(Arb!$AC$2,,,Arb!$AJ$5,),N14)/16</f>
        <v>295.625</v>
      </c>
      <c r="U14" s="428">
        <f t="shared" ca="1" si="6"/>
        <v>9.6799279633267847</v>
      </c>
      <c r="V14" s="93">
        <f t="shared" ca="1" si="7"/>
        <v>23.13800724698282</v>
      </c>
      <c r="W14" s="87">
        <f t="shared" ca="1" si="8"/>
        <v>0.20634249471458774</v>
      </c>
      <c r="X14" s="91">
        <f ca="1">DATE(INDEX(OFFSET(Arb!$C$2,,,Arb!$AJ$5,),N14),INDEX(OFFSET(Arb!$B$2,,,Arb!$AJ$5,),N14),INDEX(OFFSET(Arb!$A$2,,,Arb!$AJ$5,),N14))</f>
        <v>43805</v>
      </c>
      <c r="Y14" s="92">
        <v>13</v>
      </c>
      <c r="Z14" s="11">
        <v>3427</v>
      </c>
      <c r="AA14" s="433">
        <f ca="1">IF(Z14="",164,INDEX(OFFSET(Arb!$I$2,,,Arb!$AJ$5,),Z14))</f>
        <v>170</v>
      </c>
      <c r="AB14" s="680">
        <f ca="1">IF(Z14="",240,INDEX(OFFSET(Arb!$H$2,,,Arb!$AJ$5,),Z14))</f>
        <v>74.209999999999994</v>
      </c>
      <c r="AC14" s="769">
        <f t="shared" ca="1" si="2"/>
        <v>2.2907963886268701</v>
      </c>
      <c r="AD14" s="769">
        <f ca="1">IF(Z14="","",INDEX(OFFSET(Arb!$X$2,,,Arb!$AJ$5,),Z14)/AB14)</f>
        <v>2.4255491173696271</v>
      </c>
      <c r="AE14" s="726">
        <f ca="1">IF(Z14="","",(INDEX(OFFSET(Arb!$U$2,,,Arb!$AJ$5,),Z14)+INDEX(OFFSET(Arb!$V$2,,,Arb!$AJ$5,),Z14))/AB14)</f>
        <v>2.7489556663522436</v>
      </c>
      <c r="AF14" s="90">
        <f ca="1">INDEX(OFFSET(Arb!$AC$2,,,Arb!$AJ$5,),Z14)/16</f>
        <v>601.6875</v>
      </c>
      <c r="AG14" s="428">
        <f t="shared" ca="1" si="9"/>
        <v>8.1079032475407633</v>
      </c>
      <c r="AH14" s="93">
        <f t="shared" ca="1" si="10"/>
        <v>19.666117565790831</v>
      </c>
      <c r="AI14" s="87">
        <f t="shared" ca="1" si="11"/>
        <v>0.28253869325854369</v>
      </c>
      <c r="AJ14" s="74">
        <f ca="1">DATE(INDEX(OFFSET(Arb!$C$2,,,Arb!$AJ$5,),Z14),INDEX(OFFSET(Arb!$B$2,,,Arb!$AJ$5,),Z14),INDEX(OFFSET(Arb!$A$2,,,Arb!$AJ$5,),Z14))</f>
        <v>44150</v>
      </c>
    </row>
    <row r="15" spans="1:36" x14ac:dyDescent="0.25">
      <c r="A15" s="11">
        <v>14</v>
      </c>
      <c r="B15" s="11">
        <v>1634</v>
      </c>
      <c r="C15" s="433">
        <f ca="1">IF(B15="",16,INDEX(OFFSET(Arb!$I$2,,,Arb!$AJ$5,),B15))</f>
        <v>11</v>
      </c>
      <c r="D15" s="683">
        <f ca="1">IF(B15="",10,INDEX(OFFSET(Arb!$H$2,,,Arb!$AJ$5,),B15))</f>
        <v>4.4800000000000004</v>
      </c>
      <c r="E15" s="769">
        <f t="shared" ca="1" si="0"/>
        <v>2.4553571428571428</v>
      </c>
      <c r="F15" s="562">
        <f ca="1">IF(B15="","",INDEX(OFFSET(Arb!$X$2,,,Arb!$AJ$5,),B15)/D15)</f>
        <v>3.5714285714285712</v>
      </c>
      <c r="G15" s="770">
        <f ca="1">IF(B15="","",(INDEX(OFFSET(Arb!$U$2,,,Arb!$AJ$5,),B15)+INDEX(OFFSET(Arb!$V$2,,,Arb!$AJ$5,),B15))/D15)</f>
        <v>5.8035714285714279</v>
      </c>
      <c r="H15" s="85">
        <f ca="1">INDEX(OFFSET(Arb!$AC$2,,,Arb!$AJ$5,),B15)/16</f>
        <v>57.1875</v>
      </c>
      <c r="I15" s="428">
        <f t="shared" ca="1" si="3"/>
        <v>12.765066964285714</v>
      </c>
      <c r="J15" s="93">
        <f t="shared" ca="1" si="4"/>
        <v>45.589524872448976</v>
      </c>
      <c r="K15" s="87">
        <f t="shared" ca="1" si="5"/>
        <v>0.1923497267759563</v>
      </c>
      <c r="L15" s="88">
        <f ca="1">DATE(INDEX(OFFSET(Arb!$C$2,,,Arb!$AJ$5,),B15),INDEX(OFFSET(Arb!$B$2,,,Arb!$AJ$5,),B15),INDEX(OFFSET(Arb!$A$2,,,Arb!$AJ$5,),B15))</f>
        <v>44093</v>
      </c>
      <c r="M15" s="89">
        <v>14</v>
      </c>
      <c r="N15" s="11">
        <v>1991</v>
      </c>
      <c r="O15" s="433">
        <f ca="1">IF(N15="",64,INDEX(OFFSET(Arb!$I$2,,,Arb!$AJ$5,),N15))</f>
        <v>56</v>
      </c>
      <c r="P15" s="679">
        <f ca="1">IF(N15="",60,INDEX(OFFSET(Arb!$H$2,,,Arb!$AJ$5,),N15))</f>
        <v>23.66</v>
      </c>
      <c r="Q15" s="769">
        <f t="shared" ca="1" si="1"/>
        <v>2.3668639053254439</v>
      </c>
      <c r="R15" s="725">
        <f ca="1">IF(N15="","",INDEX(OFFSET(Arb!$X$2,,,Arb!$AJ$5,),N15)/P15)</f>
        <v>2.9585798816568047</v>
      </c>
      <c r="S15" s="561">
        <f ca="1">IF(N15="","",(INDEX(OFFSET(Arb!$U$2,,,Arb!$AJ$5,),N15)+INDEX(OFFSET(Arb!$V$2,,,Arb!$AJ$5,),N15))/P15)</f>
        <v>3.1699070160608622</v>
      </c>
      <c r="T15" s="90">
        <f ca="1">INDEX(OFFSET(Arb!$AC$2,,,Arb!$AJ$5,),N15)/16</f>
        <v>227.875</v>
      </c>
      <c r="U15" s="428">
        <f t="shared" ca="1" si="6"/>
        <v>9.6312341504649197</v>
      </c>
      <c r="V15" s="93">
        <f t="shared" ca="1" si="7"/>
        <v>28.494775593091479</v>
      </c>
      <c r="W15" s="87">
        <f t="shared" ca="1" si="8"/>
        <v>0.24574876577070762</v>
      </c>
      <c r="X15" s="91">
        <f ca="1">DATE(INDEX(OFFSET(Arb!$C$2,,,Arb!$AJ$5,),N15),INDEX(OFFSET(Arb!$B$2,,,Arb!$AJ$5,),N15),INDEX(OFFSET(Arb!$A$2,,,Arb!$AJ$5,),N15))</f>
        <v>43784</v>
      </c>
      <c r="Y15" s="92">
        <v>14</v>
      </c>
      <c r="Z15" s="11">
        <v>3384</v>
      </c>
      <c r="AA15" s="433">
        <f ca="1">IF(Z15="",164,INDEX(OFFSET(Arb!$I$2,,,Arb!$AJ$5,),Z15))</f>
        <v>151</v>
      </c>
      <c r="AB15" s="693">
        <f ca="1">IF(Z15="",240,INDEX(OFFSET(Arb!$H$2,,,Arb!$AJ$5,),Z15))</f>
        <v>63.63</v>
      </c>
      <c r="AC15" s="769">
        <f t="shared" ca="1" si="2"/>
        <v>2.3730944523023729</v>
      </c>
      <c r="AD15" s="725">
        <f ca="1">IF(Z15="","",INDEX(OFFSET(Arb!$X$2,,,Arb!$AJ$5,),Z15)/AB15)</f>
        <v>2.9388653151029387</v>
      </c>
      <c r="AE15" s="724">
        <f ca="1">IF(Z15="","",(INDEX(OFFSET(Arb!$U$2,,,Arb!$AJ$5,),Z15)+INDEX(OFFSET(Arb!$V$2,,,Arb!$AJ$5,),Z15))/AB15)</f>
        <v>3.2531824611032532</v>
      </c>
      <c r="AF15" s="90">
        <f ca="1">INDEX(OFFSET(Arb!$AC$2,,,Arb!$AJ$5,),Z15)/16</f>
        <v>515.125</v>
      </c>
      <c r="AG15" s="428">
        <f t="shared" ca="1" si="9"/>
        <v>8.0956309916705962</v>
      </c>
      <c r="AH15" s="93">
        <f t="shared" ca="1" si="10"/>
        <v>23.791969125293122</v>
      </c>
      <c r="AI15" s="87">
        <f t="shared" ca="1" si="11"/>
        <v>0.2931327347731133</v>
      </c>
      <c r="AJ15" s="74">
        <f ca="1">DATE(INDEX(OFFSET(Arb!$C$2,,,Arb!$AJ$5,),Z15),INDEX(OFFSET(Arb!$B$2,,,Arb!$AJ$5,),Z15),INDEX(OFFSET(Arb!$A$2,,,Arb!$AJ$5,),Z15))</f>
        <v>44137</v>
      </c>
    </row>
    <row r="16" spans="1:36" x14ac:dyDescent="0.25">
      <c r="A16" s="11">
        <v>15</v>
      </c>
      <c r="B16" s="11">
        <v>1158</v>
      </c>
      <c r="C16" s="433">
        <f ca="1">IF(B16="",16,INDEX(OFFSET(Arb!$I$2,,,Arb!$AJ$5,),B16))</f>
        <v>10</v>
      </c>
      <c r="D16" s="560">
        <f ca="1">IF(B16="",10,INDEX(OFFSET(Arb!$H$2,,,Arb!$AJ$5,),B16))</f>
        <v>3.79</v>
      </c>
      <c r="E16" s="726">
        <f t="shared" ca="1" si="0"/>
        <v>2.6385224274406331</v>
      </c>
      <c r="F16" s="562">
        <f ca="1">IF(B16="","",INDEX(OFFSET(Arb!$X$2,,,Arb!$AJ$5,),B16)/D16)</f>
        <v>3.6939313984168867</v>
      </c>
      <c r="G16" s="722">
        <f ca="1">IF(B16="","",(INDEX(OFFSET(Arb!$U$2,,,Arb!$AJ$5,),B16)+INDEX(OFFSET(Arb!$V$2,,,Arb!$AJ$5,),B16))/D16)</f>
        <v>4.4854881266490763</v>
      </c>
      <c r="H16" s="85">
        <f ca="1">INDEX(OFFSET(Arb!$AC$2,,,Arb!$AJ$5,),B16)/16</f>
        <v>47.375</v>
      </c>
      <c r="I16" s="428">
        <f t="shared" ca="1" si="3"/>
        <v>12.5</v>
      </c>
      <c r="J16" s="93">
        <f t="shared" ca="1" si="4"/>
        <v>46.174142480211081</v>
      </c>
      <c r="K16" s="87">
        <f t="shared" ca="1" si="5"/>
        <v>0.21108179419525067</v>
      </c>
      <c r="L16" s="88">
        <f ca="1">DATE(INDEX(OFFSET(Arb!$C$2,,,Arb!$AJ$5,),B16),INDEX(OFFSET(Arb!$B$2,,,Arb!$AJ$5,),B16),INDEX(OFFSET(Arb!$A$2,,,Arb!$AJ$5,),B16))</f>
        <v>43869</v>
      </c>
      <c r="M16" s="89">
        <v>15</v>
      </c>
      <c r="N16" s="11">
        <v>2237</v>
      </c>
      <c r="O16" s="433">
        <f ca="1">IF(N16="",64,INDEX(OFFSET(Arb!$I$2,,,Arb!$AJ$5,),N16))</f>
        <v>57</v>
      </c>
      <c r="P16" s="692">
        <f ca="1">IF(N16="",60,INDEX(OFFSET(Arb!$H$2,,,Arb!$AJ$5,),N16))</f>
        <v>21.57</v>
      </c>
      <c r="Q16" s="726">
        <f t="shared" ca="1" si="1"/>
        <v>2.642559109874826</v>
      </c>
      <c r="R16" s="561">
        <f ca="1">IF(N16="","",INDEX(OFFSET(Arb!$X$2,,,Arb!$AJ$5,),N16)/P16)</f>
        <v>3.1525266573945294</v>
      </c>
      <c r="S16" s="724">
        <f ca="1">IF(N16="","",(INDEX(OFFSET(Arb!$U$2,,,Arb!$AJ$5,),N16)+INDEX(OFFSET(Arb!$V$2,,,Arb!$AJ$5,),N16))/P16)</f>
        <v>3.3843300880853038</v>
      </c>
      <c r="T16" s="90">
        <f ca="1">INDEX(OFFSET(Arb!$AC$2,,,Arb!$AJ$5,),N16)/16</f>
        <v>206.75</v>
      </c>
      <c r="U16" s="428">
        <f t="shared" ca="1" si="6"/>
        <v>9.5850718590635147</v>
      </c>
      <c r="V16" s="93">
        <f t="shared" ca="1" si="7"/>
        <v>30.217194548739869</v>
      </c>
      <c r="W16" s="87">
        <f t="shared" ca="1" si="8"/>
        <v>0.27569528415961309</v>
      </c>
      <c r="X16" s="91">
        <f ca="1">DATE(INDEX(OFFSET(Arb!$C$2,,,Arb!$AJ$5,),N16),INDEX(OFFSET(Arb!$B$2,,,Arb!$AJ$5,),N16),INDEX(OFFSET(Arb!$A$2,,,Arb!$AJ$5,),N16))</f>
        <v>43890</v>
      </c>
      <c r="Y16" s="92">
        <v>15</v>
      </c>
      <c r="Z16" s="11">
        <v>2808</v>
      </c>
      <c r="AA16" s="433">
        <f ca="1">IF(Z16="",164,INDEX(OFFSET(Arb!$I$2,,,Arb!$AJ$5,),Z16))</f>
        <v>164</v>
      </c>
      <c r="AB16" s="690">
        <f ca="1">IF(Z16="",240,INDEX(OFFSET(Arb!$H$2,,,Arb!$AJ$5,),Z16))</f>
        <v>89.75</v>
      </c>
      <c r="AC16" s="727">
        <f t="shared" ca="1" si="2"/>
        <v>1.8272980501392757</v>
      </c>
      <c r="AD16" s="768">
        <f ca="1">IF(Z16="","",INDEX(OFFSET(Arb!$X$2,,,Arb!$AJ$5,),Z16)/AB16)</f>
        <v>2.161559888579387</v>
      </c>
      <c r="AE16" s="769">
        <f ca="1">IF(Z16="","",(INDEX(OFFSET(Arb!$U$2,,,Arb!$AJ$5,),Z16)+INDEX(OFFSET(Arb!$V$2,,,Arb!$AJ$5,),Z16))/AB16)</f>
        <v>2.4401114206128134</v>
      </c>
      <c r="AF16" s="90">
        <f ca="1">INDEX(OFFSET(Arb!$AC$2,,,Arb!$AJ$5,),Z16)/16</f>
        <v>724.5625</v>
      </c>
      <c r="AG16" s="428">
        <f t="shared" ca="1" si="9"/>
        <v>8.0731197771587748</v>
      </c>
      <c r="AH16" s="93">
        <f t="shared" ca="1" si="10"/>
        <v>17.450531886003368</v>
      </c>
      <c r="AI16" s="87">
        <f t="shared" ca="1" si="11"/>
        <v>0.2263434831363754</v>
      </c>
      <c r="AJ16" s="74">
        <f ca="1">DATE(INDEX(OFFSET(Arb!$C$2,,,Arb!$AJ$5,),Z16),INDEX(OFFSET(Arb!$B$2,,,Arb!$AJ$5,),Z16),INDEX(OFFSET(Arb!$A$2,,,Arb!$AJ$5,),Z16))</f>
        <v>43897</v>
      </c>
    </row>
    <row r="17" spans="1:36" x14ac:dyDescent="0.25">
      <c r="A17" s="11">
        <v>16</v>
      </c>
      <c r="B17" s="11">
        <v>1565</v>
      </c>
      <c r="C17" s="433">
        <f ca="1">IF(B17="",16,INDEX(OFFSET(Arb!$I$2,,,Arb!$AJ$5,),B17))</f>
        <v>10</v>
      </c>
      <c r="D17" s="686">
        <f ca="1">IF(B17="",10,INDEX(OFFSET(Arb!$H$2,,,Arb!$AJ$5,),B17))</f>
        <v>3.31</v>
      </c>
      <c r="E17" s="561">
        <f t="shared" ca="1" si="0"/>
        <v>3.0211480362537766</v>
      </c>
      <c r="F17" s="724">
        <f ca="1">IF(B17="","",INDEX(OFFSET(Arb!$X$2,,,Arb!$AJ$5,),B17)/D17)</f>
        <v>3.3232628398791539</v>
      </c>
      <c r="G17" s="724">
        <f ca="1">IF(B17="","",(INDEX(OFFSET(Arb!$U$2,,,Arb!$AJ$5,),B17)+INDEX(OFFSET(Arb!$V$2,,,Arb!$AJ$5,),B17))/D17)</f>
        <v>3.3232628398791539</v>
      </c>
      <c r="H17" s="85">
        <f ca="1">INDEX(OFFSET(Arb!$AC$2,,,Arb!$AJ$5,),B17)/16</f>
        <v>41.25</v>
      </c>
      <c r="I17" s="428">
        <f t="shared" ca="1" si="3"/>
        <v>12.462235649546827</v>
      </c>
      <c r="J17" s="93">
        <f t="shared" ca="1" si="4"/>
        <v>41.415284635956219</v>
      </c>
      <c r="K17" s="87">
        <f t="shared" ca="1" si="5"/>
        <v>0.24242424242424243</v>
      </c>
      <c r="L17" s="88">
        <f ca="1">DATE(INDEX(OFFSET(Arb!$C$2,,,Arb!$AJ$5,),B17),INDEX(OFFSET(Arb!$B$2,,,Arb!$AJ$5,),B17),INDEX(OFFSET(Arb!$A$2,,,Arb!$AJ$5,),B17))</f>
        <v>43989</v>
      </c>
      <c r="M17" s="89">
        <v>16</v>
      </c>
      <c r="N17" s="11">
        <v>2323</v>
      </c>
      <c r="O17" s="433">
        <f ca="1">IF(N17="",64,INDEX(OFFSET(Arb!$I$2,,,Arb!$AJ$5,),N17))</f>
        <v>48</v>
      </c>
      <c r="P17" s="691">
        <f ca="1">IF(N17="",60,INDEX(OFFSET(Arb!$H$2,,,Arb!$AJ$5,),N17))</f>
        <v>20.39</v>
      </c>
      <c r="Q17" s="769">
        <f t="shared" ca="1" si="1"/>
        <v>2.3540951446787641</v>
      </c>
      <c r="R17" s="724">
        <f ca="1">IF(N17="","",INDEX(OFFSET(Arb!$X$2,,,Arb!$AJ$5,),N17)/P17)</f>
        <v>3.3349681216282492</v>
      </c>
      <c r="S17" s="723">
        <f ca="1">IF(N17="","",(INDEX(OFFSET(Arb!$U$2,,,Arb!$AJ$5,),N17)+INDEX(OFFSET(Arb!$V$2,,,Arb!$AJ$5,),N17))/P17)</f>
        <v>3.8254046101029915</v>
      </c>
      <c r="T17" s="90">
        <f ca="1">INDEX(OFFSET(Arb!$AC$2,,,Arb!$AJ$5,),N17)/16</f>
        <v>195.0625</v>
      </c>
      <c r="U17" s="428">
        <f t="shared" ca="1" si="6"/>
        <v>9.5665767533104464</v>
      </c>
      <c r="V17" s="93">
        <f t="shared" ca="1" si="7"/>
        <v>31.904228505400216</v>
      </c>
      <c r="W17" s="87">
        <f t="shared" ca="1" si="8"/>
        <v>0.24607497596924063</v>
      </c>
      <c r="X17" s="91">
        <f ca="1">DATE(INDEX(OFFSET(Arb!$C$2,,,Arb!$AJ$5,),N17),INDEX(OFFSET(Arb!$B$2,,,Arb!$AJ$5,),N17),INDEX(OFFSET(Arb!$A$2,,,Arb!$AJ$5,),N17))</f>
        <v>44002</v>
      </c>
      <c r="Y17" s="92">
        <v>16</v>
      </c>
      <c r="Z17" s="11">
        <v>2961</v>
      </c>
      <c r="AA17" s="433">
        <f ca="1">IF(Z17="",164,INDEX(OFFSET(Arb!$I$2,,,Arb!$AJ$5,),Z17))</f>
        <v>154</v>
      </c>
      <c r="AB17" s="692">
        <f ca="1">IF(Z17="",240,INDEX(OFFSET(Arb!$H$2,,,Arb!$AJ$5,),Z17))</f>
        <v>67.31</v>
      </c>
      <c r="AC17" s="769">
        <f t="shared" ca="1" si="2"/>
        <v>2.2879215569751894</v>
      </c>
      <c r="AD17" s="725">
        <f ca="1">IF(Z17="","",INDEX(OFFSET(Arb!$X$2,,,Arb!$AJ$5,),Z17)/AB17)</f>
        <v>2.92675679690982</v>
      </c>
      <c r="AE17" s="724">
        <f ca="1">IF(Z17="","",(INDEX(OFFSET(Arb!$U$2,,,Arb!$AJ$5,),Z17)+INDEX(OFFSET(Arb!$V$2,,,Arb!$AJ$5,),Z17))/AB17)</f>
        <v>3.2536027336205615</v>
      </c>
      <c r="AF17" s="90">
        <f ca="1">INDEX(OFFSET(Arb!$AC$2,,,Arb!$AJ$5,),Z17)/16</f>
        <v>542.3125</v>
      </c>
      <c r="AG17" s="428">
        <f t="shared" ca="1" si="9"/>
        <v>8.0569380478383597</v>
      </c>
      <c r="AH17" s="93">
        <f t="shared" ca="1" si="10"/>
        <v>23.580698193792255</v>
      </c>
      <c r="AI17" s="87">
        <f t="shared" ca="1" si="11"/>
        <v>0.28396911374899159</v>
      </c>
      <c r="AJ17" s="74">
        <f ca="1">DATE(INDEX(OFFSET(Arb!$C$2,,,Arb!$AJ$5,),Z17),INDEX(OFFSET(Arb!$B$2,,,Arb!$AJ$5,),Z17),INDEX(OFFSET(Arb!$A$2,,,Arb!$AJ$5,),Z17))</f>
        <v>43951</v>
      </c>
    </row>
    <row r="18" spans="1:36" x14ac:dyDescent="0.25">
      <c r="A18" s="11">
        <v>17</v>
      </c>
      <c r="B18" s="11">
        <v>1776</v>
      </c>
      <c r="C18" s="433">
        <f ca="1">IF(B18="",16,INDEX(OFFSET(Arb!$I$2,,,Arb!$AJ$5,),B18))</f>
        <v>14</v>
      </c>
      <c r="D18" s="686">
        <f ca="1">IF(B18="",10,INDEX(OFFSET(Arb!$H$2,,,Arb!$AJ$5,),B18))</f>
        <v>3.23</v>
      </c>
      <c r="E18" s="722">
        <f t="shared" ca="1" si="0"/>
        <v>4.3343653250773997</v>
      </c>
      <c r="F18" s="722">
        <f ca="1">IF(B18="","",INDEX(OFFSET(Arb!$X$2,,,Arb!$AJ$5,),B18)/D18)</f>
        <v>4.3343653250773997</v>
      </c>
      <c r="G18" s="721">
        <f ca="1">IF(B18="","",(INDEX(OFFSET(Arb!$U$2,,,Arb!$AJ$5,),B18)+INDEX(OFFSET(Arb!$V$2,,,Arb!$AJ$5,),B18))/D18)</f>
        <v>4.9535603715170282</v>
      </c>
      <c r="H18" s="85">
        <f ca="1">INDEX(OFFSET(Arb!$AC$2,,,Arb!$AJ$5,),B18)/16</f>
        <v>40.125</v>
      </c>
      <c r="I18" s="428">
        <f t="shared" ca="1" si="3"/>
        <v>12.422600619195046</v>
      </c>
      <c r="J18" s="93">
        <f t="shared" ca="1" si="4"/>
        <v>53.844089371124042</v>
      </c>
      <c r="K18" s="87">
        <f t="shared" ca="1" si="5"/>
        <v>0.34890965732087226</v>
      </c>
      <c r="L18" s="88">
        <f ca="1">DATE(INDEX(OFFSET(Arb!$C$2,,,Arb!$AJ$5,),B18),INDEX(OFFSET(Arb!$B$2,,,Arb!$AJ$5,),B18),INDEX(OFFSET(Arb!$A$2,,,Arb!$AJ$5,),B18))</f>
        <v>44167</v>
      </c>
      <c r="M18" s="89">
        <v>17</v>
      </c>
      <c r="N18" s="11">
        <v>2132</v>
      </c>
      <c r="O18" s="433">
        <f ca="1">IF(N18="",64,INDEX(OFFSET(Arb!$I$2,,,Arb!$AJ$5,),N18))</f>
        <v>54</v>
      </c>
      <c r="P18" s="693">
        <f ca="1">IF(N18="",60,INDEX(OFFSET(Arb!$H$2,,,Arb!$AJ$5,),N18))</f>
        <v>19.989999999999998</v>
      </c>
      <c r="Q18" s="726">
        <f t="shared" ca="1" si="1"/>
        <v>2.701350675337669</v>
      </c>
      <c r="R18" s="725">
        <f ca="1">IF(N18="","",INDEX(OFFSET(Arb!$X$2,,,Arb!$AJ$5,),N18)/P18)</f>
        <v>2.8514257128564284</v>
      </c>
      <c r="S18" s="725">
        <f ca="1">IF(N18="","",(INDEX(OFFSET(Arb!$U$2,,,Arb!$AJ$5,),N18)+INDEX(OFFSET(Arb!$V$2,,,Arb!$AJ$5,),N18))/P18)</f>
        <v>2.9514757378689347</v>
      </c>
      <c r="T18" s="90">
        <f ca="1">INDEX(OFFSET(Arb!$AC$2,,,Arb!$AJ$5,),N18)/16</f>
        <v>188.9375</v>
      </c>
      <c r="U18" s="428">
        <f t="shared" ca="1" si="6"/>
        <v>9.4516008004002003</v>
      </c>
      <c r="V18" s="93">
        <f t="shared" ca="1" si="7"/>
        <v>26.950537549915531</v>
      </c>
      <c r="W18" s="87">
        <f t="shared" ca="1" si="8"/>
        <v>0.28580879920608665</v>
      </c>
      <c r="X18" s="91">
        <f ca="1">DATE(INDEX(OFFSET(Arb!$C$2,,,Arb!$AJ$5,),N18),INDEX(OFFSET(Arb!$B$2,,,Arb!$AJ$5,),N18),INDEX(OFFSET(Arb!$A$2,,,Arb!$AJ$5,),N18))</f>
        <v>43815</v>
      </c>
      <c r="Y18" s="92">
        <v>17</v>
      </c>
      <c r="Z18" s="11">
        <v>2499</v>
      </c>
      <c r="AA18" s="433">
        <f ca="1">IF(Z18="",164,INDEX(OFFSET(Arb!$I$2,,,Arb!$AJ$5,),Z18))</f>
        <v>142</v>
      </c>
      <c r="AB18" s="690">
        <f ca="1">IF(Z18="",240,INDEX(OFFSET(Arb!$H$2,,,Arb!$AJ$5,),Z18))</f>
        <v>88.93</v>
      </c>
      <c r="AC18" s="727">
        <f t="shared" ca="1" si="2"/>
        <v>1.596761497807264</v>
      </c>
      <c r="AD18" s="727">
        <f ca="1">IF(Z18="","",INDEX(OFFSET(Arb!$X$2,,,Arb!$AJ$5,),Z18)/AB18)</f>
        <v>1.8441470819745867</v>
      </c>
      <c r="AE18" s="768">
        <f ca="1">IF(Z18="","",(INDEX(OFFSET(Arb!$U$2,,,Arb!$AJ$5,),Z18)+INDEX(OFFSET(Arb!$V$2,,,Arb!$AJ$5,),Z18))/AB18)</f>
        <v>2.0690430675812435</v>
      </c>
      <c r="AF18" s="90">
        <f ca="1">INDEX(OFFSET(Arb!$AC$2,,,Arb!$AJ$5,),Z18)/16</f>
        <v>716.375</v>
      </c>
      <c r="AG18" s="428">
        <f t="shared" ca="1" si="9"/>
        <v>8.0554930844484414</v>
      </c>
      <c r="AH18" s="93">
        <f t="shared" ca="1" si="10"/>
        <v>14.855514065552056</v>
      </c>
      <c r="AI18" s="87">
        <f t="shared" ca="1" si="11"/>
        <v>0.19822020589774908</v>
      </c>
      <c r="AJ18" s="74">
        <f ca="1">DATE(INDEX(OFFSET(Arb!$C$2,,,Arb!$AJ$5,),Z18),INDEX(OFFSET(Arb!$B$2,,,Arb!$AJ$5,),Z18),INDEX(OFFSET(Arb!$A$2,,,Arb!$AJ$5,),Z18))</f>
        <v>43787</v>
      </c>
    </row>
    <row r="19" spans="1:36" x14ac:dyDescent="0.25">
      <c r="A19" s="11">
        <v>18</v>
      </c>
      <c r="B19" s="11">
        <v>1629</v>
      </c>
      <c r="C19" s="433">
        <f ca="1">IF(B19="",16,INDEX(OFFSET(Arb!$I$2,,,Arb!$AJ$5,),B19))</f>
        <v>14</v>
      </c>
      <c r="D19" s="684">
        <f ca="1">IF(B19="",10,INDEX(OFFSET(Arb!$H$2,,,Arb!$AJ$5,),B19))</f>
        <v>5.04</v>
      </c>
      <c r="E19" s="725">
        <f t="shared" ca="1" si="0"/>
        <v>2.7777777777777777</v>
      </c>
      <c r="F19" s="562">
        <f ca="1">IF(B19="","",INDEX(OFFSET(Arb!$X$2,,,Arb!$AJ$5,),B19)/D19)</f>
        <v>3.5714285714285716</v>
      </c>
      <c r="G19" s="721">
        <f ca="1">IF(B19="","",(INDEX(OFFSET(Arb!$U$2,,,Arb!$AJ$5,),B19)+INDEX(OFFSET(Arb!$V$2,,,Arb!$AJ$5,),B19))/D19)</f>
        <v>4.7619047619047619</v>
      </c>
      <c r="H19" s="85">
        <f ca="1">INDEX(OFFSET(Arb!$AC$2,,,Arb!$AJ$5,),B19)/16</f>
        <v>62.1875</v>
      </c>
      <c r="I19" s="428">
        <f t="shared" ca="1" si="3"/>
        <v>12.338789682539682</v>
      </c>
      <c r="J19" s="93">
        <f t="shared" ca="1" si="4"/>
        <v>44.067106009070294</v>
      </c>
      <c r="K19" s="87">
        <f t="shared" ca="1" si="5"/>
        <v>0.22512562814070353</v>
      </c>
      <c r="L19" s="88">
        <f ca="1">DATE(INDEX(OFFSET(Arb!$C$2,,,Arb!$AJ$5,),B19),INDEX(OFFSET(Arb!$B$2,,,Arb!$AJ$5,),B19),INDEX(OFFSET(Arb!$A$2,,,Arb!$AJ$5,),B19))</f>
        <v>44093</v>
      </c>
      <c r="M19" s="89">
        <v>18</v>
      </c>
      <c r="N19" s="11">
        <v>2102</v>
      </c>
      <c r="O19" s="433">
        <f ca="1">IF(N19="",64,INDEX(OFFSET(Arb!$I$2,,,Arb!$AJ$5,),N19))</f>
        <v>55</v>
      </c>
      <c r="P19" s="682">
        <f ca="1">IF(N19="",60,INDEX(OFFSET(Arb!$H$2,,,Arb!$AJ$5,),N19))</f>
        <v>26.07</v>
      </c>
      <c r="Q19" s="768">
        <f t="shared" ca="1" si="1"/>
        <v>2.109704641350211</v>
      </c>
      <c r="R19" s="725">
        <f ca="1">IF(N19="","",INDEX(OFFSET(Arb!$X$2,,,Arb!$AJ$5,),N19)/P19)</f>
        <v>2.838511699271193</v>
      </c>
      <c r="S19" s="561">
        <f ca="1">IF(N19="","",(INDEX(OFFSET(Arb!$U$2,,,Arb!$AJ$5,),N19)+INDEX(OFFSET(Arb!$V$2,,,Arb!$AJ$5,),N19))/P19)</f>
        <v>3.0686612965093976</v>
      </c>
      <c r="T19" s="90">
        <f ca="1">INDEX(OFFSET(Arb!$AC$2,,,Arb!$AJ$5,),N19)/16</f>
        <v>246.0625</v>
      </c>
      <c r="U19" s="428">
        <f t="shared" ca="1" si="6"/>
        <v>9.4385308784042952</v>
      </c>
      <c r="V19" s="93">
        <f t="shared" ca="1" si="7"/>
        <v>26.791380322283</v>
      </c>
      <c r="W19" s="87">
        <f t="shared" ca="1" si="8"/>
        <v>0.22352044704089408</v>
      </c>
      <c r="X19" s="91">
        <f ca="1">DATE(INDEX(OFFSET(Arb!$C$2,,,Arb!$AJ$5,),N19),INDEX(OFFSET(Arb!$B$2,,,Arb!$AJ$5,),N19),INDEX(OFFSET(Arb!$A$2,,,Arb!$AJ$5,),N19))</f>
        <v>43810</v>
      </c>
      <c r="Y19" s="92">
        <v>18</v>
      </c>
      <c r="Z19" s="11">
        <v>3342</v>
      </c>
      <c r="AA19" s="433">
        <f ca="1">IF(Z19="",164,INDEX(OFFSET(Arb!$I$2,,,Arb!$AJ$5,),Z19))</f>
        <v>161</v>
      </c>
      <c r="AB19" s="693">
        <f ca="1">IF(Z19="",240,INDEX(OFFSET(Arb!$H$2,,,Arb!$AJ$5,),Z19))</f>
        <v>63.13</v>
      </c>
      <c r="AC19" s="726">
        <f t="shared" ca="1" si="2"/>
        <v>2.5502930460953586</v>
      </c>
      <c r="AD19" s="725">
        <f ca="1">IF(Z19="","",INDEX(OFFSET(Arb!$X$2,,,Arb!$AJ$5,),Z19)/AB19)</f>
        <v>2.8829399651512748</v>
      </c>
      <c r="AE19" s="561">
        <f ca="1">IF(Z19="","",(INDEX(OFFSET(Arb!$U$2,,,Arb!$AJ$5,),Z19)+INDEX(OFFSET(Arb!$V$2,,,Arb!$AJ$5,),Z19))/AB19)</f>
        <v>3.1522255662917789</v>
      </c>
      <c r="AF19" s="90">
        <f ca="1">INDEX(OFFSET(Arb!$AC$2,,,Arb!$AJ$5,),Z19)/16</f>
        <v>507.9375</v>
      </c>
      <c r="AG19" s="428">
        <f t="shared" ca="1" si="9"/>
        <v>8.0458973546649766</v>
      </c>
      <c r="AH19" s="93">
        <f t="shared" ca="1" si="10"/>
        <v>23.195839039268581</v>
      </c>
      <c r="AI19" s="87">
        <f t="shared" ca="1" si="11"/>
        <v>0.3169681309216193</v>
      </c>
      <c r="AJ19" s="74">
        <f ca="1">DATE(INDEX(OFFSET(Arb!$C$2,,,Arb!$AJ$5,),Z19),INDEX(OFFSET(Arb!$B$2,,,Arb!$AJ$5,),Z19),INDEX(OFFSET(Arb!$A$2,,,Arb!$AJ$5,),Z19))</f>
        <v>44097</v>
      </c>
    </row>
    <row r="20" spans="1:36" x14ac:dyDescent="0.25">
      <c r="A20" s="11">
        <v>19</v>
      </c>
      <c r="B20" s="11">
        <v>390</v>
      </c>
      <c r="C20" s="433">
        <f ca="1">IF(B20="",16,INDEX(OFFSET(Arb!$I$2,,,Arb!$AJ$5,),B20))</f>
        <v>10</v>
      </c>
      <c r="D20" s="560">
        <f ca="1">IF(B20="",10,INDEX(OFFSET(Arb!$H$2,,,Arb!$AJ$5,),B20))</f>
        <v>3.64</v>
      </c>
      <c r="E20" s="726">
        <f t="shared" ca="1" si="0"/>
        <v>2.7472527472527473</v>
      </c>
      <c r="F20" s="724">
        <f ca="1">IF(B20="","",INDEX(OFFSET(Arb!$X$2,,,Arb!$AJ$5,),B20)/D20)</f>
        <v>3.2967032967032965</v>
      </c>
      <c r="G20" s="723">
        <f ca="1">IF(B20="","",(INDEX(OFFSET(Arb!$U$2,,,Arb!$AJ$5,),B20)+INDEX(OFFSET(Arb!$V$2,,,Arb!$AJ$5,),B20))/D20)</f>
        <v>3.8461538461538458</v>
      </c>
      <c r="H20" s="85">
        <f ca="1">INDEX(OFFSET(Arb!$AC$2,,,Arb!$AJ$5,),B20)/16</f>
        <v>44.8125</v>
      </c>
      <c r="I20" s="428">
        <f t="shared" ca="1" si="3"/>
        <v>12.311126373626374</v>
      </c>
      <c r="J20" s="93">
        <f t="shared" ca="1" si="4"/>
        <v>40.586130902064966</v>
      </c>
      <c r="K20" s="87">
        <f t="shared" ca="1" si="5"/>
        <v>0.22315202231520223</v>
      </c>
      <c r="L20" s="88">
        <f ca="1">DATE(INDEX(OFFSET(Arb!$C$2,,,Arb!$AJ$5,),B20),INDEX(OFFSET(Arb!$B$2,,,Arb!$AJ$5,),B20),INDEX(OFFSET(Arb!$A$2,,,Arb!$AJ$5,),B20))</f>
        <v>43781</v>
      </c>
      <c r="M20" s="89">
        <v>19</v>
      </c>
      <c r="N20" s="11">
        <v>2300</v>
      </c>
      <c r="O20" s="433">
        <f ca="1">IF(N20="",64,INDEX(OFFSET(Arb!$I$2,,,Arb!$AJ$5,),N20))</f>
        <v>67</v>
      </c>
      <c r="P20" s="680">
        <f ca="1">IF(N20="",60,INDEX(OFFSET(Arb!$H$2,,,Arb!$AJ$5,),N20))</f>
        <v>24.31</v>
      </c>
      <c r="Q20" s="725">
        <f t="shared" ca="1" si="1"/>
        <v>2.7560674619498151</v>
      </c>
      <c r="R20" s="724">
        <f ca="1">IF(N20="","",INDEX(OFFSET(Arb!$X$2,,,Arb!$AJ$5,),N20)/P20)</f>
        <v>3.3319621554915675</v>
      </c>
      <c r="S20" s="723">
        <f ca="1">IF(N20="","",(INDEX(OFFSET(Arb!$U$2,,,Arb!$AJ$5,),N20)+INDEX(OFFSET(Arb!$V$2,,,Arb!$AJ$5,),N20))/P20)</f>
        <v>3.9901275195392842</v>
      </c>
      <c r="T20" s="90">
        <f ca="1">INDEX(OFFSET(Arb!$AC$2,,,Arb!$AJ$5,),N20)/16</f>
        <v>228.125</v>
      </c>
      <c r="U20" s="428">
        <f t="shared" ca="1" si="6"/>
        <v>9.3839983545865913</v>
      </c>
      <c r="V20" s="93">
        <f t="shared" ca="1" si="7"/>
        <v>31.267127384677661</v>
      </c>
      <c r="W20" s="87">
        <f t="shared" ca="1" si="8"/>
        <v>0.29369863013698633</v>
      </c>
      <c r="X20" s="91">
        <f ca="1">DATE(INDEX(OFFSET(Arb!$C$2,,,Arb!$AJ$5,),N20),INDEX(OFFSET(Arb!$B$2,,,Arb!$AJ$5,),N20),INDEX(OFFSET(Arb!$A$2,,,Arb!$AJ$5,),N20))</f>
        <v>43941</v>
      </c>
      <c r="Y20" s="92">
        <v>19</v>
      </c>
      <c r="Z20" s="11">
        <v>3298</v>
      </c>
      <c r="AA20" s="433">
        <f ca="1">IF(Z20="",164,INDEX(OFFSET(Arb!$I$2,,,Arb!$AJ$5,),Z20))</f>
        <v>172</v>
      </c>
      <c r="AB20" s="680">
        <f ca="1">IF(Z20="",240,INDEX(OFFSET(Arb!$H$2,,,Arb!$AJ$5,),Z20))</f>
        <v>74.319999999999993</v>
      </c>
      <c r="AC20" s="769">
        <f t="shared" ca="1" si="2"/>
        <v>2.3143164693218519</v>
      </c>
      <c r="AD20" s="725">
        <f ca="1">IF(Z20="","",INDEX(OFFSET(Arb!$X$2,,,Arb!$AJ$5,),Z20)/AB20)</f>
        <v>2.8525296017222823</v>
      </c>
      <c r="AE20" s="561">
        <f ca="1">IF(Z20="","",(INDEX(OFFSET(Arb!$U$2,,,Arb!$AJ$5,),Z20)+INDEX(OFFSET(Arb!$V$2,,,Arb!$AJ$5,),Z20))/AB20)</f>
        <v>3.2023681377825621</v>
      </c>
      <c r="AF20" s="90">
        <f ca="1">INDEX(OFFSET(Arb!$AC$2,,,Arb!$AJ$5,),Z20)/16</f>
        <v>597.4375</v>
      </c>
      <c r="AG20" s="428">
        <f t="shared" ca="1" si="9"/>
        <v>8.0387177072120561</v>
      </c>
      <c r="AH20" s="93">
        <f t="shared" ca="1" si="10"/>
        <v>22.930680219711466</v>
      </c>
      <c r="AI20" s="87">
        <f t="shared" ca="1" si="11"/>
        <v>0.28789622345433624</v>
      </c>
      <c r="AJ20" s="74">
        <f ca="1">DATE(INDEX(OFFSET(Arb!$C$2,,,Arb!$AJ$5,),Z20),INDEX(OFFSET(Arb!$B$2,,,Arb!$AJ$5,),Z20),INDEX(OFFSET(Arb!$A$2,,,Arb!$AJ$5,),Z20))</f>
        <v>44089</v>
      </c>
    </row>
    <row r="21" spans="1:36" x14ac:dyDescent="0.25">
      <c r="A21" s="11">
        <v>20</v>
      </c>
      <c r="B21" s="11">
        <v>1397</v>
      </c>
      <c r="C21" s="433">
        <f ca="1">IF(B21="",16,INDEX(OFFSET(Arb!$I$2,,,Arb!$AJ$5,),B21))</f>
        <v>28</v>
      </c>
      <c r="D21" s="693">
        <f ca="1">IF(B21="",10,INDEX(OFFSET(Arb!$H$2,,,Arb!$AJ$5,),B21))</f>
        <v>6.58</v>
      </c>
      <c r="E21" s="722">
        <f t="shared" ca="1" si="0"/>
        <v>4.2553191489361701</v>
      </c>
      <c r="F21" s="721">
        <f ca="1">IF(B21="","",INDEX(OFFSET(Arb!$X$2,,,Arb!$AJ$5,),B21)/D21)</f>
        <v>4.86322188449848</v>
      </c>
      <c r="G21" s="565">
        <f ca="1">IF(B21="","",(INDEX(OFFSET(Arb!$U$2,,,Arb!$AJ$5,),B21)+INDEX(OFFSET(Arb!$V$2,,,Arb!$AJ$5,),B21))/D21)</f>
        <v>5.1671732522796354</v>
      </c>
      <c r="H21" s="85">
        <f ca="1">INDEX(OFFSET(Arb!$AC$2,,,Arb!$AJ$5,),B21)/16</f>
        <v>80.6875</v>
      </c>
      <c r="I21" s="428">
        <f t="shared" ca="1" si="3"/>
        <v>12.262537993920972</v>
      </c>
      <c r="J21" s="93">
        <f t="shared" ca="1" si="4"/>
        <v>59.635443131530565</v>
      </c>
      <c r="K21" s="87">
        <f t="shared" ca="1" si="5"/>
        <v>0.34701781564678541</v>
      </c>
      <c r="L21" s="88">
        <f ca="1">DATE(INDEX(OFFSET(Arb!$C$2,,,Arb!$AJ$5,),B21),INDEX(OFFSET(Arb!$B$2,,,Arb!$AJ$5,),B21),INDEX(OFFSET(Arb!$A$2,,,Arb!$AJ$5,),B21))</f>
        <v>43940</v>
      </c>
      <c r="M21" s="89">
        <v>20</v>
      </c>
      <c r="N21" s="11">
        <v>1989</v>
      </c>
      <c r="O21" s="433">
        <f ca="1">IF(N21="",64,INDEX(OFFSET(Arb!$I$2,,,Arb!$AJ$5,),N21))</f>
        <v>80</v>
      </c>
      <c r="P21" s="690">
        <f ca="1">IF(N21="",60,INDEX(OFFSET(Arb!$H$2,,,Arb!$AJ$5,),N21))</f>
        <v>28.37</v>
      </c>
      <c r="Q21" s="725">
        <f t="shared" ca="1" si="1"/>
        <v>2.8198801550934083</v>
      </c>
      <c r="R21" s="562">
        <f ca="1">IF(N21="","",INDEX(OFFSET(Arb!$X$2,,,Arb!$AJ$5,),N21)/P21)</f>
        <v>3.7010927035600987</v>
      </c>
      <c r="S21" s="563">
        <f ca="1">IF(N21="","",(INDEX(OFFSET(Arb!$U$2,,,Arb!$AJ$5,),N21)+INDEX(OFFSET(Arb!$V$2,,,Arb!$AJ$5,),N21))/P21)</f>
        <v>4.194571730701445</v>
      </c>
      <c r="T21" s="90">
        <f ca="1">INDEX(OFFSET(Arb!$AC$2,,,Arb!$AJ$5,),N21)/16</f>
        <v>266</v>
      </c>
      <c r="U21" s="428">
        <f t="shared" ca="1" si="6"/>
        <v>9.3761015156855834</v>
      </c>
      <c r="V21" s="93">
        <f t="shared" ca="1" si="7"/>
        <v>34.701820907542697</v>
      </c>
      <c r="W21" s="87">
        <f t="shared" ca="1" si="8"/>
        <v>0.3007518796992481</v>
      </c>
      <c r="X21" s="91">
        <f ca="1">DATE(INDEX(OFFSET(Arb!$C$2,,,Arb!$AJ$5,),N21),INDEX(OFFSET(Arb!$B$2,,,Arb!$AJ$5,),N21),INDEX(OFFSET(Arb!$A$2,,,Arb!$AJ$5,),N21))</f>
        <v>43784</v>
      </c>
      <c r="Y21" s="92">
        <v>20</v>
      </c>
      <c r="Z21" s="11">
        <v>3278</v>
      </c>
      <c r="AA21" s="433">
        <f ca="1">IF(Z21="",164,INDEX(OFFSET(Arb!$I$2,,,Arb!$AJ$5,),Z21))</f>
        <v>161</v>
      </c>
      <c r="AB21" s="680">
        <f ca="1">IF(Z21="",240,INDEX(OFFSET(Arb!$H$2,,,Arb!$AJ$5,),Z21))</f>
        <v>78.7</v>
      </c>
      <c r="AC21" s="768">
        <f t="shared" ca="1" si="2"/>
        <v>2.04574332909784</v>
      </c>
      <c r="AD21" s="769">
        <f ca="1">IF(Z21="","",INDEX(OFFSET(Arb!$X$2,,,Arb!$AJ$5,),Z21)/AB21)</f>
        <v>2.4396442185514613</v>
      </c>
      <c r="AE21" s="725">
        <f ca="1">IF(Z21="","",(INDEX(OFFSET(Arb!$U$2,,,Arb!$AJ$5,),Z21)+INDEX(OFFSET(Arb!$V$2,,,Arb!$AJ$5,),Z21))/AB21)</f>
        <v>2.8208386277001272</v>
      </c>
      <c r="AF21" s="90">
        <f ca="1">INDEX(OFFSET(Arb!$AC$2,,,Arb!$AJ$5,),Z21)/16</f>
        <v>626.0625</v>
      </c>
      <c r="AG21" s="428">
        <f t="shared" ca="1" si="9"/>
        <v>7.9550508259212194</v>
      </c>
      <c r="AH21" s="93">
        <f t="shared" ca="1" si="10"/>
        <v>19.407493755741729</v>
      </c>
      <c r="AI21" s="87">
        <f t="shared" ca="1" si="11"/>
        <v>0.25716282320055905</v>
      </c>
      <c r="AJ21" s="74">
        <f ca="1">DATE(INDEX(OFFSET(Arb!$C$2,,,Arb!$AJ$5,),Z21),INDEX(OFFSET(Arb!$B$2,,,Arb!$AJ$5,),Z21),INDEX(OFFSET(Arb!$A$2,,,Arb!$AJ$5,),Z21))</f>
        <v>44075</v>
      </c>
    </row>
    <row r="22" spans="1:36" x14ac:dyDescent="0.25">
      <c r="A22" s="11">
        <v>21</v>
      </c>
      <c r="B22" s="11">
        <v>205</v>
      </c>
      <c r="C22" s="433">
        <f ca="1">IF(B22="",16,INDEX(OFFSET(Arb!$I$2,,,Arb!$AJ$5,),B22))</f>
        <v>11</v>
      </c>
      <c r="D22" s="683">
        <f ca="1">IF(B22="",10,INDEX(OFFSET(Arb!$H$2,,,Arb!$AJ$5,),B22))</f>
        <v>4.0999999999999996</v>
      </c>
      <c r="E22" s="726">
        <f t="shared" ca="1" si="0"/>
        <v>2.6829268292682928</v>
      </c>
      <c r="F22" s="724">
        <f ca="1">IF(B22="","",INDEX(OFFSET(Arb!$X$2,,,Arb!$AJ$5,),B22)/D22)</f>
        <v>3.4146341463414638</v>
      </c>
      <c r="G22" s="721">
        <f ca="1">IF(B22="","",(INDEX(OFFSET(Arb!$U$2,,,Arb!$AJ$5,),B22)+INDEX(OFFSET(Arb!$V$2,,,Arb!$AJ$5,),B22))/D22)</f>
        <v>4.8780487804878057</v>
      </c>
      <c r="H22" s="85">
        <f ca="1">INDEX(OFFSET(Arb!$AC$2,,,Arb!$AJ$5,),B22)/16</f>
        <v>50.25</v>
      </c>
      <c r="I22" s="428">
        <f t="shared" ca="1" si="3"/>
        <v>12.256097560975611</v>
      </c>
      <c r="J22" s="93">
        <f t="shared" ca="1" si="4"/>
        <v>41.85008923259965</v>
      </c>
      <c r="K22" s="87">
        <f t="shared" ca="1" si="5"/>
        <v>0.21890547263681592</v>
      </c>
      <c r="L22" s="88">
        <f ca="1">DATE(INDEX(OFFSET(Arb!$C$2,,,Arb!$AJ$5,),B22),INDEX(OFFSET(Arb!$B$2,,,Arb!$AJ$5,),B22),INDEX(OFFSET(Arb!$A$2,,,Arb!$AJ$5,),B22))</f>
        <v>43774</v>
      </c>
      <c r="M22" s="89">
        <v>21</v>
      </c>
      <c r="N22" s="11">
        <v>2274</v>
      </c>
      <c r="O22" s="433">
        <f ca="1">IF(N22="",64,INDEX(OFFSET(Arb!$I$2,,,Arb!$AJ$5,),N22))</f>
        <v>52</v>
      </c>
      <c r="P22" s="692">
        <f ca="1">IF(N22="",60,INDEX(OFFSET(Arb!$H$2,,,Arb!$AJ$5,),N22))</f>
        <v>21.37</v>
      </c>
      <c r="Q22" s="769">
        <f t="shared" ca="1" si="1"/>
        <v>2.4333177351427233</v>
      </c>
      <c r="R22" s="724">
        <f ca="1">IF(N22="","",INDEX(OFFSET(Arb!$X$2,,,Arb!$AJ$5,),N22)/P22)</f>
        <v>3.4160037435657462</v>
      </c>
      <c r="S22" s="723">
        <f ca="1">IF(N22="","",(INDEX(OFFSET(Arb!$U$2,,,Arb!$AJ$5,),N22)+INDEX(OFFSET(Arb!$V$2,,,Arb!$AJ$5,),N22))/P22)</f>
        <v>3.9307440336920916</v>
      </c>
      <c r="T22" s="90">
        <f ca="1">INDEX(OFFSET(Arb!$AC$2,,,Arb!$AJ$5,),N22)/16</f>
        <v>199.9375</v>
      </c>
      <c r="U22" s="428">
        <f t="shared" ca="1" si="6"/>
        <v>9.3559897051941974</v>
      </c>
      <c r="V22" s="93">
        <f t="shared" ca="1" si="7"/>
        <v>31.960095857705962</v>
      </c>
      <c r="W22" s="87">
        <f t="shared" ca="1" si="8"/>
        <v>0.26008127539856207</v>
      </c>
      <c r="X22" s="91">
        <f ca="1">DATE(INDEX(OFFSET(Arb!$C$2,,,Arb!$AJ$5,),N22),INDEX(OFFSET(Arb!$B$2,,,Arb!$AJ$5,),N22),INDEX(OFFSET(Arb!$A$2,,,Arb!$AJ$5,),N22))</f>
        <v>43934</v>
      </c>
      <c r="Y22" s="92">
        <v>21</v>
      </c>
      <c r="Z22" s="11">
        <v>3353</v>
      </c>
      <c r="AA22" s="433">
        <f ca="1">IF(Z22="",164,INDEX(OFFSET(Arb!$I$2,,,Arb!$AJ$5,),Z22))</f>
        <v>181</v>
      </c>
      <c r="AB22" s="691">
        <f ca="1">IF(Z22="",240,INDEX(OFFSET(Arb!$H$2,,,Arb!$AJ$5,),Z22))</f>
        <v>65.95</v>
      </c>
      <c r="AC22" s="726">
        <f t="shared" ca="1" si="2"/>
        <v>2.7445034116755118</v>
      </c>
      <c r="AD22" s="724">
        <f ca="1">IF(Z22="","",INDEX(OFFSET(Arb!$X$2,,,Arb!$AJ$5,),Z22)/AB22)</f>
        <v>3.3510235026535251</v>
      </c>
      <c r="AE22" s="723">
        <f ca="1">IF(Z22="","",(INDEX(OFFSET(Arb!$U$2,,,Arb!$AJ$5,),Z22)+INDEX(OFFSET(Arb!$V$2,,,Arb!$AJ$5,),Z22))/AB22)</f>
        <v>3.821076573161486</v>
      </c>
      <c r="AF22" s="90">
        <f ca="1">INDEX(OFFSET(Arb!$AC$2,,,Arb!$AJ$5,),Z22)/16</f>
        <v>521.5625</v>
      </c>
      <c r="AG22" s="428">
        <f t="shared" ca="1" si="9"/>
        <v>7.9084533737680056</v>
      </c>
      <c r="AH22" s="93">
        <f t="shared" ca="1" si="10"/>
        <v>26.50141312513615</v>
      </c>
      <c r="AI22" s="87">
        <f t="shared" ca="1" si="11"/>
        <v>0.34703415218693828</v>
      </c>
      <c r="AJ22" s="74">
        <f ca="1">DATE(INDEX(OFFSET(Arb!$C$2,,,Arb!$AJ$5,),Z22),INDEX(OFFSET(Arb!$B$2,,,Arb!$AJ$5,),Z22),INDEX(OFFSET(Arb!$A$2,,,Arb!$AJ$5,),Z22))</f>
        <v>44098</v>
      </c>
    </row>
    <row r="23" spans="1:36" x14ac:dyDescent="0.25">
      <c r="A23" s="11">
        <v>22</v>
      </c>
      <c r="B23" s="11">
        <v>1602</v>
      </c>
      <c r="C23" s="433">
        <f ca="1">IF(B23="",16,INDEX(OFFSET(Arb!$I$2,,,Arb!$AJ$5,),B23))</f>
        <v>16</v>
      </c>
      <c r="D23" s="274">
        <f ca="1">IF(B23="",10,INDEX(OFFSET(Arb!$H$2,,,Arb!$AJ$5,),B23))</f>
        <v>4.57</v>
      </c>
      <c r="E23" s="562">
        <f t="shared" ca="1" si="0"/>
        <v>3.5010940919037199</v>
      </c>
      <c r="F23" s="562">
        <f ca="1">IF(B23="","",INDEX(OFFSET(Arb!$X$2,,,Arb!$AJ$5,),B23)/D23)</f>
        <v>3.7199124726477022</v>
      </c>
      <c r="G23" s="722">
        <f ca="1">IF(B23="","",(INDEX(OFFSET(Arb!$U$2,,,Arb!$AJ$5,),B23)+INDEX(OFFSET(Arb!$V$2,,,Arb!$AJ$5,),B23))/D23)</f>
        <v>4.3763676148796495</v>
      </c>
      <c r="H23" s="85">
        <f ca="1">INDEX(OFFSET(Arb!$AC$2,,,Arb!$AJ$5,),B23)/16</f>
        <v>55.8125</v>
      </c>
      <c r="I23" s="428">
        <f t="shared" ca="1" si="3"/>
        <v>12.212800875273523</v>
      </c>
      <c r="J23" s="93">
        <f t="shared" ca="1" si="4"/>
        <v>45.430550301892751</v>
      </c>
      <c r="K23" s="87">
        <f t="shared" ca="1" si="5"/>
        <v>0.28667413213885778</v>
      </c>
      <c r="L23" s="88">
        <f ca="1">DATE(INDEX(OFFSET(Arb!$C$2,,,Arb!$AJ$5,),B23),INDEX(OFFSET(Arb!$B$2,,,Arb!$AJ$5,),B23),INDEX(OFFSET(Arb!$A$2,,,Arb!$AJ$5,),B23))</f>
        <v>44054</v>
      </c>
      <c r="M23" s="89">
        <v>22</v>
      </c>
      <c r="N23" s="11">
        <v>2198</v>
      </c>
      <c r="O23" s="433">
        <f ca="1">IF(N23="",64,INDEX(OFFSET(Arb!$I$2,,,Arb!$AJ$5,),N23))</f>
        <v>45</v>
      </c>
      <c r="P23" s="693">
        <f ca="1">IF(N23="",60,INDEX(OFFSET(Arb!$H$2,,,Arb!$AJ$5,),N23))</f>
        <v>19.670000000000002</v>
      </c>
      <c r="Q23" s="769">
        <f t="shared" ca="1" si="1"/>
        <v>2.2877478393492625</v>
      </c>
      <c r="R23" s="725">
        <f ca="1">IF(N23="","",INDEX(OFFSET(Arb!$X$2,,,Arb!$AJ$5,),N23)/P23)</f>
        <v>2.7961362480935432</v>
      </c>
      <c r="S23" s="561">
        <f ca="1">IF(N23="","",(INDEX(OFFSET(Arb!$U$2,,,Arb!$AJ$5,),N23)+INDEX(OFFSET(Arb!$V$2,,,Arb!$AJ$5,),N23))/P23)</f>
        <v>3.2028469750889679</v>
      </c>
      <c r="T23" s="90">
        <f ca="1">INDEX(OFFSET(Arb!$AC$2,,,Arb!$AJ$5,),N23)/16</f>
        <v>183.9375</v>
      </c>
      <c r="U23" s="428">
        <f t="shared" ca="1" si="6"/>
        <v>9.3511692933401118</v>
      </c>
      <c r="V23" s="93">
        <f t="shared" ca="1" si="7"/>
        <v>26.14714342316757</v>
      </c>
      <c r="W23" s="87">
        <f t="shared" ca="1" si="8"/>
        <v>0.24464831804281345</v>
      </c>
      <c r="X23" s="91">
        <f ca="1">DATE(INDEX(OFFSET(Arb!$C$2,,,Arb!$AJ$5,),N23),INDEX(OFFSET(Arb!$B$2,,,Arb!$AJ$5,),N23),INDEX(OFFSET(Arb!$A$2,,,Arb!$AJ$5,),N23))</f>
        <v>43854</v>
      </c>
      <c r="Y23" s="92">
        <v>22</v>
      </c>
      <c r="Z23" s="11">
        <v>3308</v>
      </c>
      <c r="AA23" s="433">
        <f ca="1">IF(Z23="",164,INDEX(OFFSET(Arb!$I$2,,,Arb!$AJ$5,),Z23))</f>
        <v>196</v>
      </c>
      <c r="AB23" s="679">
        <f ca="1">IF(Z23="",240,INDEX(OFFSET(Arb!$H$2,,,Arb!$AJ$5,),Z23))</f>
        <v>73.81</v>
      </c>
      <c r="AC23" s="726">
        <f t="shared" ca="1" si="2"/>
        <v>2.655466738924265</v>
      </c>
      <c r="AD23" s="561">
        <f ca="1">IF(Z23="","",INDEX(OFFSET(Arb!$X$2,,,Arb!$AJ$5,),Z23)/AB23)</f>
        <v>3.1973987264598294</v>
      </c>
      <c r="AE23" s="562">
        <f ca="1">IF(Z23="","",(INDEX(OFFSET(Arb!$U$2,,,Arb!$AJ$5,),Z23)+INDEX(OFFSET(Arb!$V$2,,,Arb!$AJ$5,),Z23))/AB23)</f>
        <v>3.5090096192927787</v>
      </c>
      <c r="AF23" s="90">
        <f ca="1">INDEX(OFFSET(Arb!$AC$2,,,Arb!$AJ$5,),Z23)/16</f>
        <v>582.4375</v>
      </c>
      <c r="AG23" s="428">
        <f t="shared" ca="1" si="9"/>
        <v>7.8910377997561305</v>
      </c>
      <c r="AH23" s="93">
        <f t="shared" ca="1" si="10"/>
        <v>25.230794211386627</v>
      </c>
      <c r="AI23" s="87">
        <f t="shared" ca="1" si="11"/>
        <v>0.33651679364738707</v>
      </c>
      <c r="AJ23" s="74">
        <f ca="1">DATE(INDEX(OFFSET(Arb!$C$2,,,Arb!$AJ$5,),Z23),INDEX(OFFSET(Arb!$B$2,,,Arb!$AJ$5,),Z23),INDEX(OFFSET(Arb!$A$2,,,Arb!$AJ$5,),Z23))</f>
        <v>44092</v>
      </c>
    </row>
    <row r="24" spans="1:36" x14ac:dyDescent="0.25">
      <c r="A24" s="11">
        <v>23</v>
      </c>
      <c r="B24" s="11">
        <v>1165</v>
      </c>
      <c r="C24" s="433">
        <f ca="1">IF(B24="",16,INDEX(OFFSET(Arb!$I$2,,,Arb!$AJ$5,),B24))</f>
        <v>13</v>
      </c>
      <c r="D24" s="559">
        <f ca="1">IF(B24="",10,INDEX(OFFSET(Arb!$H$2,,,Arb!$AJ$5,),B24))</f>
        <v>5.84</v>
      </c>
      <c r="E24" s="768">
        <f t="shared" ca="1" si="0"/>
        <v>2.2260273972602742</v>
      </c>
      <c r="F24" s="725">
        <f ca="1">IF(B24="","",INDEX(OFFSET(Arb!$X$2,,,Arb!$AJ$5,),B24)/D24)</f>
        <v>2.9109589041095889</v>
      </c>
      <c r="G24" s="562">
        <f ca="1">IF(B24="","",(INDEX(OFFSET(Arb!$U$2,,,Arb!$AJ$5,),B24)+INDEX(OFFSET(Arb!$V$2,,,Arb!$AJ$5,),B24))/D24)</f>
        <v>3.595890410958904</v>
      </c>
      <c r="H24" s="85">
        <f ca="1">INDEX(OFFSET(Arb!$AC$2,,,Arb!$AJ$5,),B24)/16</f>
        <v>71</v>
      </c>
      <c r="I24" s="428">
        <f t="shared" ca="1" si="3"/>
        <v>12.157534246575343</v>
      </c>
      <c r="J24" s="93">
        <f t="shared" ca="1" si="4"/>
        <v>35.390082567085756</v>
      </c>
      <c r="K24" s="87">
        <f t="shared" ca="1" si="5"/>
        <v>0.18309859154929578</v>
      </c>
      <c r="L24" s="88">
        <f ca="1">DATE(INDEX(OFFSET(Arb!$C$2,,,Arb!$AJ$5,),B24),INDEX(OFFSET(Arb!$B$2,,,Arb!$AJ$5,),B24),INDEX(OFFSET(Arb!$A$2,,,Arb!$AJ$5,),B24))</f>
        <v>43870</v>
      </c>
      <c r="M24" s="89">
        <v>23</v>
      </c>
      <c r="N24" s="11">
        <v>2330</v>
      </c>
      <c r="O24" s="433">
        <f ca="1">IF(N24="",64,INDEX(OFFSET(Arb!$I$2,,,Arb!$AJ$5,),N24))</f>
        <v>48</v>
      </c>
      <c r="P24" s="559">
        <f ca="1">IF(N24="",60,INDEX(OFFSET(Arb!$H$2,,,Arb!$AJ$5,),N24))</f>
        <v>17.940000000000001</v>
      </c>
      <c r="Q24" s="726">
        <f t="shared" ca="1" si="1"/>
        <v>2.6755852842809364</v>
      </c>
      <c r="R24" s="724">
        <f ca="1">IF(N24="","",INDEX(OFFSET(Arb!$X$2,,,Arb!$AJ$5,),N24)/P24)</f>
        <v>3.4559643255295427</v>
      </c>
      <c r="S24" s="563">
        <f ca="1">IF(N24="","",(INDEX(OFFSET(Arb!$U$2,,,Arb!$AJ$5,),N24)+INDEX(OFFSET(Arb!$V$2,,,Arb!$AJ$5,),N24))/P24)</f>
        <v>4.1248606465997764</v>
      </c>
      <c r="T24" s="90">
        <f ca="1">INDEX(OFFSET(Arb!$AC$2,,,Arb!$AJ$5,),N24)/16</f>
        <v>167.6875</v>
      </c>
      <c r="U24" s="428">
        <f t="shared" ca="1" si="6"/>
        <v>9.3471293199554069</v>
      </c>
      <c r="V24" s="93">
        <f t="shared" ca="1" si="7"/>
        <v>32.303345475877101</v>
      </c>
      <c r="W24" s="87">
        <f t="shared" ca="1" si="8"/>
        <v>0.28624673872530748</v>
      </c>
      <c r="X24" s="91">
        <f ca="1">DATE(INDEX(OFFSET(Arb!$C$2,,,Arb!$AJ$5,),N24),INDEX(OFFSET(Arb!$B$2,,,Arb!$AJ$5,),N24),INDEX(OFFSET(Arb!$A$2,,,Arb!$AJ$5,),N24))</f>
        <v>44093</v>
      </c>
      <c r="Y24" s="92">
        <v>23</v>
      </c>
      <c r="Z24" s="11">
        <v>3205</v>
      </c>
      <c r="AA24" s="433">
        <f ca="1">IF(Z24="",164,INDEX(OFFSET(Arb!$I$2,,,Arb!$AJ$5,),Z24))</f>
        <v>155</v>
      </c>
      <c r="AB24" s="692">
        <f ca="1">IF(Z24="",240,INDEX(OFFSET(Arb!$H$2,,,Arb!$AJ$5,),Z24))</f>
        <v>66.709999999999994</v>
      </c>
      <c r="AC24" s="769">
        <f t="shared" ca="1" si="2"/>
        <v>2.3234897316744116</v>
      </c>
      <c r="AD24" s="726">
        <f ca="1">IF(Z24="","",INDEX(OFFSET(Arb!$X$2,,,Arb!$AJ$5,),Z24)/AB24)</f>
        <v>2.6083046020086944</v>
      </c>
      <c r="AE24" s="725">
        <f ca="1">IF(Z24="","",(INDEX(OFFSET(Arb!$U$2,,,Arb!$AJ$5,),Z24)+INDEX(OFFSET(Arb!$V$2,,,Arb!$AJ$5,),Z24))/AB24)</f>
        <v>2.8181681906760607</v>
      </c>
      <c r="AF24" s="90">
        <f ca="1">INDEX(OFFSET(Arb!$AC$2,,,Arb!$AJ$5,),Z24)/16</f>
        <v>525.9375</v>
      </c>
      <c r="AG24" s="428">
        <f t="shared" ca="1" si="9"/>
        <v>7.8839379403387806</v>
      </c>
      <c r="AH24" s="93">
        <f t="shared" ca="1" si="10"/>
        <v>20.56371161173659</v>
      </c>
      <c r="AI24" s="87">
        <f t="shared" ca="1" si="11"/>
        <v>0.29471182412358882</v>
      </c>
      <c r="AJ24" s="74">
        <f ca="1">DATE(INDEX(OFFSET(Arb!$C$2,,,Arb!$AJ$5,),Z24),INDEX(OFFSET(Arb!$B$2,,,Arb!$AJ$5,),Z24),INDEX(OFFSET(Arb!$A$2,,,Arb!$AJ$5,),Z24))</f>
        <v>44058</v>
      </c>
    </row>
    <row r="25" spans="1:36" x14ac:dyDescent="0.25">
      <c r="A25" s="11">
        <v>24</v>
      </c>
      <c r="B25" s="11">
        <v>703</v>
      </c>
      <c r="C25" s="433">
        <f ca="1">IF(B25="",16,INDEX(OFFSET(Arb!$I$2,,,Arb!$AJ$5,),B25))</f>
        <v>15</v>
      </c>
      <c r="D25" s="684">
        <f ca="1">IF(B25="",10,INDEX(OFFSET(Arb!$H$2,,,Arb!$AJ$5,),B25))</f>
        <v>5.1100000000000003</v>
      </c>
      <c r="E25" s="725">
        <f t="shared" ca="1" si="0"/>
        <v>2.9354207436399213</v>
      </c>
      <c r="F25" s="723">
        <f ca="1">IF(B25="","",INDEX(OFFSET(Arb!$X$2,,,Arb!$AJ$5,),B25)/D25)</f>
        <v>3.9138943248532287</v>
      </c>
      <c r="G25" s="564">
        <f ca="1">IF(B25="","",(INDEX(OFFSET(Arb!$U$2,,,Arb!$AJ$5,),B25)+INDEX(OFFSET(Arb!$V$2,,,Arb!$AJ$5,),B25))/D25)</f>
        <v>4.5009784735812133</v>
      </c>
      <c r="H25" s="85">
        <f ca="1">INDEX(OFFSET(Arb!$AC$2,,,Arb!$AJ$5,),B25)/16</f>
        <v>62.0625</v>
      </c>
      <c r="I25" s="428">
        <f t="shared" ca="1" si="3"/>
        <v>12.145303326810176</v>
      </c>
      <c r="J25" s="93">
        <f t="shared" ca="1" si="4"/>
        <v>47.535433764423388</v>
      </c>
      <c r="K25" s="87">
        <f t="shared" ca="1" si="5"/>
        <v>0.24169184290030213</v>
      </c>
      <c r="L25" s="88">
        <f ca="1">DATE(INDEX(OFFSET(Arb!$C$2,,,Arb!$AJ$5,),B25),INDEX(OFFSET(Arb!$B$2,,,Arb!$AJ$5,),B25),INDEX(OFFSET(Arb!$A$2,,,Arb!$AJ$5,),B25))</f>
        <v>43803</v>
      </c>
      <c r="M25" s="89">
        <v>24</v>
      </c>
      <c r="N25" s="11">
        <v>2319</v>
      </c>
      <c r="O25" s="433">
        <f ca="1">IF(N25="",64,INDEX(OFFSET(Arb!$I$2,,,Arb!$AJ$5,),N25))</f>
        <v>42</v>
      </c>
      <c r="P25" s="691">
        <f ca="1">IF(N25="",60,INDEX(OFFSET(Arb!$H$2,,,Arb!$AJ$5,),N25))</f>
        <v>20.93</v>
      </c>
      <c r="Q25" s="768">
        <f t="shared" ca="1" si="1"/>
        <v>2.0066889632107023</v>
      </c>
      <c r="R25" s="725">
        <f ca="1">IF(N25="","",INDEX(OFFSET(Arb!$X$2,,,Arb!$AJ$5,),N25)/P25)</f>
        <v>2.9144768275203057</v>
      </c>
      <c r="S25" s="724">
        <f ca="1">IF(N25="","",(INDEX(OFFSET(Arb!$U$2,,,Arb!$AJ$5,),N25)+INDEX(OFFSET(Arb!$V$2,,,Arb!$AJ$5,),N25))/P25)</f>
        <v>3.3922599139990446</v>
      </c>
      <c r="T25" s="90">
        <f ca="1">INDEX(OFFSET(Arb!$AC$2,,,Arb!$AJ$5,),N25)/16</f>
        <v>195.625</v>
      </c>
      <c r="U25" s="428">
        <f t="shared" ca="1" si="6"/>
        <v>9.3466316292403242</v>
      </c>
      <c r="V25" s="93">
        <f t="shared" ca="1" si="7"/>
        <v>27.240541298789285</v>
      </c>
      <c r="W25" s="87">
        <f t="shared" ca="1" si="8"/>
        <v>0.2146964856230032</v>
      </c>
      <c r="X25" s="91">
        <f ca="1">DATE(INDEX(OFFSET(Arb!$C$2,,,Arb!$AJ$5,),N25),INDEX(OFFSET(Arb!$B$2,,,Arb!$AJ$5,),N25),INDEX(OFFSET(Arb!$A$2,,,Arb!$AJ$5,),N25))</f>
        <v>43984</v>
      </c>
      <c r="Y25" s="92">
        <v>24</v>
      </c>
      <c r="Z25" s="11">
        <v>3218</v>
      </c>
      <c r="AA25" s="433">
        <f ca="1">IF(Z25="",164,INDEX(OFFSET(Arb!$I$2,,,Arb!$AJ$5,),Z25))</f>
        <v>149</v>
      </c>
      <c r="AB25" s="680">
        <f ca="1">IF(Z25="",240,INDEX(OFFSET(Arb!$H$2,,,Arb!$AJ$5,),Z25))</f>
        <v>77.78</v>
      </c>
      <c r="AC25" s="727">
        <f t="shared" ca="1" si="2"/>
        <v>1.9156595525842119</v>
      </c>
      <c r="AD25" s="726">
        <f ca="1">IF(Z25="","",INDEX(OFFSET(Arb!$X$2,,,Arb!$AJ$5,),Z25)/AB25)</f>
        <v>2.5070712265363846</v>
      </c>
      <c r="AE25" s="725">
        <f ca="1">IF(Z25="","",(INDEX(OFFSET(Arb!$U$2,,,Arb!$AJ$5,),Z25)+INDEX(OFFSET(Arb!$V$2,,,Arb!$AJ$5,),Z25))/AB25)</f>
        <v>2.8027770635124711</v>
      </c>
      <c r="AF25" s="90">
        <f ca="1">INDEX(OFFSET(Arb!$AC$2,,,Arb!$AJ$5,),Z25)/16</f>
        <v>612.625</v>
      </c>
      <c r="AG25" s="428">
        <f t="shared" ca="1" si="9"/>
        <v>7.8763821033684751</v>
      </c>
      <c r="AH25" s="93">
        <f t="shared" ca="1" si="10"/>
        <v>19.746650940561231</v>
      </c>
      <c r="AI25" s="87">
        <f t="shared" ca="1" si="11"/>
        <v>0.2432156702713732</v>
      </c>
      <c r="AJ25" s="74">
        <f ca="1">DATE(INDEX(OFFSET(Arb!$C$2,,,Arb!$AJ$5,),Z25),INDEX(OFFSET(Arb!$B$2,,,Arb!$AJ$5,),Z25),INDEX(OFFSET(Arb!$A$2,,,Arb!$AJ$5,),Z25))</f>
        <v>44059</v>
      </c>
    </row>
    <row r="26" spans="1:36" ht="13.8" thickBot="1" x14ac:dyDescent="0.3">
      <c r="A26" s="94">
        <v>25</v>
      </c>
      <c r="B26" s="94">
        <v>445</v>
      </c>
      <c r="C26" s="434">
        <f ca="1">IF(B26="",16,INDEX(OFFSET(Arb!$I$2,,,Arb!$AJ$5,),B26))</f>
        <v>22</v>
      </c>
      <c r="D26" s="850">
        <f ca="1">IF(B26="",10,INDEX(OFFSET(Arb!$H$2,,,Arb!$AJ$5,),B26))</f>
        <v>8.1</v>
      </c>
      <c r="E26" s="863">
        <f t="shared" ca="1" si="0"/>
        <v>2.7160493827160495</v>
      </c>
      <c r="F26" s="864">
        <f ca="1">IF(B26="","",INDEX(OFFSET(Arb!$X$2,,,Arb!$AJ$5,),B26)/D26)</f>
        <v>3.3333333333333335</v>
      </c>
      <c r="G26" s="865">
        <f ca="1">IF(B26="","",(INDEX(OFFSET(Arb!$U$2,,,Arb!$AJ$5,),B26)+INDEX(OFFSET(Arb!$V$2,,,Arb!$AJ$5,),B26))/D26)</f>
        <v>3.9506172839506175</v>
      </c>
      <c r="H26" s="97">
        <f ca="1">INDEX(OFFSET(Arb!$AC$2,,,Arb!$AJ$5,),B26)/16</f>
        <v>97.75</v>
      </c>
      <c r="I26" s="429">
        <f t="shared" ca="1" si="3"/>
        <v>12.067901234567902</v>
      </c>
      <c r="J26" s="98">
        <f t="shared" ca="1" si="4"/>
        <v>40.226337448559676</v>
      </c>
      <c r="K26" s="99">
        <f t="shared" ca="1" si="5"/>
        <v>0.22506393861892582</v>
      </c>
      <c r="L26" s="241">
        <f ca="1">DATE(INDEX(OFFSET(Arb!$C$2,,,Arb!$AJ$5,),B26),INDEX(OFFSET(Arb!$B$2,,,Arb!$AJ$5,),B26),INDEX(OFFSET(Arb!$A$2,,,Arb!$AJ$5,),B26))</f>
        <v>43782</v>
      </c>
      <c r="M26" s="100">
        <v>25</v>
      </c>
      <c r="N26" s="94">
        <v>1905</v>
      </c>
      <c r="O26" s="434">
        <f ca="1">IF(N26="",64,INDEX(OFFSET(Arb!$I$2,,,Arb!$AJ$5,),N26))</f>
        <v>68</v>
      </c>
      <c r="P26" s="851">
        <f ca="1">IF(N26="",60,INDEX(OFFSET(Arb!$H$2,,,Arb!$AJ$5,),N26))</f>
        <v>27.31</v>
      </c>
      <c r="Q26" s="866">
        <f t="shared" ca="1" si="1"/>
        <v>2.4899304284145005</v>
      </c>
      <c r="R26" s="864">
        <f ca="1">IF(N26="","",INDEX(OFFSET(Arb!$X$2,,,Arb!$AJ$5,),N26)/P26)</f>
        <v>3.4053460270963019</v>
      </c>
      <c r="S26" s="865">
        <f ca="1">IF(N26="","",(INDEX(OFFSET(Arb!$U$2,,,Arb!$AJ$5,),N26)+INDEX(OFFSET(Arb!$V$2,,,Arb!$AJ$5,),N26))/P26)</f>
        <v>3.8447455144635665</v>
      </c>
      <c r="T26" s="101">
        <f ca="1">INDEX(OFFSET(Arb!$AC$2,,,Arb!$AJ$5,),N26)/16</f>
        <v>254.5</v>
      </c>
      <c r="U26" s="429">
        <f t="shared" ca="1" si="6"/>
        <v>9.3189307945807407</v>
      </c>
      <c r="V26" s="98">
        <f t="shared" ca="1" si="7"/>
        <v>31.734183958110908</v>
      </c>
      <c r="W26" s="99">
        <f t="shared" ca="1" si="8"/>
        <v>0.26719056974459726</v>
      </c>
      <c r="X26" s="242">
        <f ca="1">DATE(INDEX(OFFSET(Arb!$C$2,,,Arb!$AJ$5,),N26),INDEX(OFFSET(Arb!$B$2,,,Arb!$AJ$5,),N26),INDEX(OFFSET(Arb!$A$2,,,Arb!$AJ$5,),N26))</f>
        <v>43765</v>
      </c>
      <c r="Y26" s="102">
        <v>25</v>
      </c>
      <c r="Z26" s="94">
        <v>3300</v>
      </c>
      <c r="AA26" s="434">
        <f ca="1">IF(Z26="",164,INDEX(OFFSET(Arb!$I$2,,,Arb!$AJ$5,),Z26))</f>
        <v>175</v>
      </c>
      <c r="AB26" s="850">
        <f ca="1">IF(Z26="",240,INDEX(OFFSET(Arb!$H$2,,,Arb!$AJ$5,),Z26))</f>
        <v>72.040000000000006</v>
      </c>
      <c r="AC26" s="866">
        <f t="shared" ca="1" si="2"/>
        <v>2.4292059966685171</v>
      </c>
      <c r="AD26" s="867">
        <f ca="1">IF(Z26="","",INDEX(OFFSET(Arb!$X$2,,,Arb!$AJ$5,),Z26)/AB26)</f>
        <v>2.970571904497501</v>
      </c>
      <c r="AE26" s="864">
        <f ca="1">IF(Z26="","",(INDEX(OFFSET(Arb!$U$2,,,Arb!$AJ$5,),Z26)+INDEX(OFFSET(Arb!$V$2,,,Arb!$AJ$5,),Z26))/AB26)</f>
        <v>3.3176013325930036</v>
      </c>
      <c r="AF26" s="101">
        <f ca="1">INDEX(OFFSET(Arb!$AC$2,,,Arb!$AJ$5,),Z26)/16</f>
        <v>566.8125</v>
      </c>
      <c r="AG26" s="429">
        <f t="shared" ca="1" si="9"/>
        <v>7.8680247084952795</v>
      </c>
      <c r="AH26" s="98">
        <f t="shared" ca="1" si="10"/>
        <v>23.372533142948217</v>
      </c>
      <c r="AI26" s="99">
        <f t="shared" ca="1" si="11"/>
        <v>0.30874407321645164</v>
      </c>
      <c r="AJ26" s="417">
        <f ca="1">DATE(INDEX(OFFSET(Arb!$C$2,,,Arb!$AJ$5,),Z26),INDEX(OFFSET(Arb!$B$2,,,Arb!$AJ$5,),Z26),INDEX(OFFSET(Arb!$A$2,,,Arb!$AJ$5,),Z26))</f>
        <v>44090</v>
      </c>
    </row>
    <row r="27" spans="1:36" x14ac:dyDescent="0.25">
      <c r="A27" s="103">
        <v>1</v>
      </c>
      <c r="B27" s="104">
        <v>1445</v>
      </c>
      <c r="C27" s="446">
        <f ca="1">IF(B27="",16,INDEX(OFFSET(Arb!$I$2,,,Arb!$AJ$5,),B27))</f>
        <v>18</v>
      </c>
      <c r="D27" s="967">
        <f ca="1">IF(B27="",10,INDEX(OFFSET(Arb!$H$2,,,Arb!$AJ$5,),B27))</f>
        <v>12.09</v>
      </c>
      <c r="E27" s="868">
        <f t="shared" ca="1" si="0"/>
        <v>1.4888337468982631</v>
      </c>
      <c r="F27" s="869">
        <f ca="1">IF(B27="","",INDEX(OFFSET(Arb!$X$2,,,Arb!$AJ$5,),B27)/D27)</f>
        <v>12.406947890818859</v>
      </c>
      <c r="G27" s="869">
        <f ca="1">IF(B27="","",(INDEX(OFFSET(Arb!$U$2,,,Arb!$AJ$5,),B27)+INDEX(OFFSET(Arb!$V$2,,,Arb!$AJ$5,),B27))/D27)</f>
        <v>12.655086848635236</v>
      </c>
      <c r="H27" s="107">
        <f ca="1">INDEX(OFFSET(Arb!$AC$2,,,Arb!$AJ$5,),B27)/16</f>
        <v>63.0625</v>
      </c>
      <c r="I27" s="427">
        <f t="shared" ca="1" si="3"/>
        <v>5.2160876757650954</v>
      </c>
      <c r="J27" s="86">
        <f t="shared" ca="1" si="4"/>
        <v>64.715727987159994</v>
      </c>
      <c r="K27" s="108">
        <f t="shared" ca="1" si="5"/>
        <v>0.28543111992071357</v>
      </c>
      <c r="L27" s="245">
        <f ca="1">DATE(INDEX(OFFSET(Arb!$C$2,,,Arb!$AJ$5,),B27),INDEX(OFFSET(Arb!$B$2,,,Arb!$AJ$5,),B27),INDEX(OFFSET(Arb!$A$2,,,Arb!$AJ$5,),B27))</f>
        <v>43949</v>
      </c>
      <c r="M27" s="103">
        <v>1</v>
      </c>
      <c r="N27" s="104">
        <v>2311</v>
      </c>
      <c r="O27" s="446">
        <f ca="1">IF(N27="",64,INDEX(OFFSET(Arb!$I$2,,,Arb!$AJ$5,),N27))</f>
        <v>35</v>
      </c>
      <c r="P27" s="852">
        <f ca="1">IF(N27="",60,INDEX(OFFSET(Arb!$H$2,,,Arb!$AJ$5,),N27))</f>
        <v>16.059999999999999</v>
      </c>
      <c r="Q27" s="870">
        <f t="shared" ca="1" si="1"/>
        <v>2.1793275217932755</v>
      </c>
      <c r="R27" s="871">
        <f ca="1">IF(N27="","",INDEX(OFFSET(Arb!$X$2,,,Arb!$AJ$5,),N27)/P27)</f>
        <v>3.1133250311332508</v>
      </c>
      <c r="S27" s="872">
        <f ca="1">IF(N27="","",(INDEX(OFFSET(Arb!$U$2,,,Arb!$AJ$5,),N27)+INDEX(OFFSET(Arb!$V$2,,,Arb!$AJ$5,),N27))/P27)</f>
        <v>3.5491905354919058</v>
      </c>
      <c r="T27" s="109">
        <f ca="1">INDEX(OFFSET(Arb!$AC$2,,,Arb!$AJ$5,),N27)/16</f>
        <v>196.0625</v>
      </c>
      <c r="U27" s="427">
        <f t="shared" ca="1" si="6"/>
        <v>12.208125778331258</v>
      </c>
      <c r="V27" s="86">
        <f t="shared" ca="1" si="7"/>
        <v>38.007863568901804</v>
      </c>
      <c r="W27" s="108">
        <f t="shared" ca="1" si="8"/>
        <v>0.17851450430347465</v>
      </c>
      <c r="X27" s="246">
        <f ca="1">DATE(INDEX(OFFSET(Arb!$C$2,,,Arb!$AJ$5,),N27),INDEX(OFFSET(Arb!$B$2,,,Arb!$AJ$5,),N27),INDEX(OFFSET(Arb!$A$2,,,Arb!$AJ$5,),N27))</f>
        <v>43952</v>
      </c>
      <c r="Y27" s="110">
        <v>1</v>
      </c>
      <c r="Z27" s="104">
        <v>3353</v>
      </c>
      <c r="AA27" s="446">
        <f ca="1">IF(Z27="",164,INDEX(OFFSET(Arb!$I$2,,,Arb!$AJ$5,),Z27))</f>
        <v>181</v>
      </c>
      <c r="AB27" s="853">
        <f ca="1">IF(Z27="",240,INDEX(OFFSET(Arb!$H$2,,,Arb!$AJ$5,),Z27))</f>
        <v>65.95</v>
      </c>
      <c r="AC27" s="873">
        <f t="shared" ca="1" si="2"/>
        <v>2.7445034116755118</v>
      </c>
      <c r="AD27" s="874">
        <f ca="1">IF(Z27="","",INDEX(OFFSET(Arb!$X$2,,,Arb!$AJ$5,),Z27)/AB27)</f>
        <v>3.3510235026535251</v>
      </c>
      <c r="AE27" s="875">
        <f ca="1">IF(Z27="","",(INDEX(OFFSET(Arb!$U$2,,,Arb!$AJ$5,),Z27)+INDEX(OFFSET(Arb!$V$2,,,Arb!$AJ$5,),Z27))/AB27)</f>
        <v>3.821076573161486</v>
      </c>
      <c r="AF27" s="109">
        <f ca="1">INDEX(OFFSET(Arb!$AC$2,,,Arb!$AJ$5,),Z27)/16</f>
        <v>521.5625</v>
      </c>
      <c r="AG27" s="427">
        <f t="shared" ca="1" si="9"/>
        <v>7.9084533737680056</v>
      </c>
      <c r="AH27" s="86">
        <f t="shared" ca="1" si="10"/>
        <v>26.50141312513615</v>
      </c>
      <c r="AI27" s="108">
        <f t="shared" ca="1" si="11"/>
        <v>0.34703415218693828</v>
      </c>
      <c r="AJ27" s="246">
        <f ca="1">DATE(INDEX(OFFSET(Arb!$C$2,,,Arb!$AJ$5,),Z27),INDEX(OFFSET(Arb!$B$2,,,Arb!$AJ$5,),Z27),INDEX(OFFSET(Arb!$A$2,,,Arb!$AJ$5,),Z27))</f>
        <v>44098</v>
      </c>
    </row>
    <row r="28" spans="1:36" x14ac:dyDescent="0.25">
      <c r="A28" s="89">
        <v>2</v>
      </c>
      <c r="B28" s="408">
        <v>1307</v>
      </c>
      <c r="C28" s="433">
        <f ca="1">IF(B28="",16,INDEX(OFFSET(Arb!$I$2,,,Arb!$AJ$5,),B28))</f>
        <v>11</v>
      </c>
      <c r="D28" s="686">
        <f ca="1">IF(B28="",10,INDEX(OFFSET(Arb!$H$2,,,Arb!$AJ$5,),B28))</f>
        <v>3.26</v>
      </c>
      <c r="E28" s="724">
        <f t="shared" ca="1" si="0"/>
        <v>3.3742331288343559</v>
      </c>
      <c r="F28" s="770">
        <f ca="1">IF(B28="","",INDEX(OFFSET(Arb!$X$2,,,Arb!$AJ$5,),B28)/D28)</f>
        <v>5.8282208588957056</v>
      </c>
      <c r="G28" s="771">
        <f ca="1">IF(B28="","",(INDEX(OFFSET(Arb!$U$2,,,Arb!$AJ$5,),B28)+INDEX(OFFSET(Arb!$V$2,,,Arb!$AJ$5,),B28))/D28)</f>
        <v>6.1349693251533743</v>
      </c>
      <c r="H28" s="85">
        <f ca="1">INDEX(OFFSET(Arb!$AC$2,,,Arb!$AJ$5,),B28)/16</f>
        <v>36.1875</v>
      </c>
      <c r="I28" s="428">
        <f t="shared" ca="1" si="3"/>
        <v>11.100460122699387</v>
      </c>
      <c r="J28" s="93">
        <f t="shared" ca="1" si="4"/>
        <v>64.695933230456546</v>
      </c>
      <c r="K28" s="87">
        <f t="shared" ca="1" si="5"/>
        <v>0.30397236614853196</v>
      </c>
      <c r="L28" s="88">
        <f ca="1">DATE(INDEX(OFFSET(Arb!$C$2,,,Arb!$AJ$5,),B28),INDEX(OFFSET(Arb!$B$2,,,Arb!$AJ$5,),B28),INDEX(OFFSET(Arb!$A$2,,,Arb!$AJ$5,),B28))</f>
        <v>43912</v>
      </c>
      <c r="M28" s="89">
        <v>2</v>
      </c>
      <c r="N28" s="408">
        <v>2197</v>
      </c>
      <c r="O28" s="433">
        <f ca="1">IF(N28="",64,INDEX(OFFSET(Arb!$I$2,,,Arb!$AJ$5,),N28))</f>
        <v>36</v>
      </c>
      <c r="P28" s="688">
        <f ca="1">IF(N28="",60,INDEX(OFFSET(Arb!$H$2,,,Arb!$AJ$5,),N28))</f>
        <v>18.68</v>
      </c>
      <c r="Q28" s="727">
        <f t="shared" ca="1" si="1"/>
        <v>1.9271948608137046</v>
      </c>
      <c r="R28" s="561">
        <f ca="1">IF(N28="","",INDEX(OFFSET(Arb!$X$2,,,Arb!$AJ$5,),N28)/P28)</f>
        <v>3.2119914346895078</v>
      </c>
      <c r="S28" s="723">
        <f ca="1">IF(N28="","",(INDEX(OFFSET(Arb!$U$2,,,Arb!$AJ$5,),N28)+INDEX(OFFSET(Arb!$V$2,,,Arb!$AJ$5,),N28))/P28)</f>
        <v>3.8543897216274092</v>
      </c>
      <c r="T28" s="90">
        <f ca="1">INDEX(OFFSET(Arb!$AC$2,,,Arb!$AJ$5,),N28)/16</f>
        <v>208.4375</v>
      </c>
      <c r="U28" s="428">
        <f t="shared" ca="1" si="6"/>
        <v>11.158324411134904</v>
      </c>
      <c r="V28" s="93">
        <f t="shared" ca="1" si="7"/>
        <v>35.840442434052157</v>
      </c>
      <c r="W28" s="87">
        <f t="shared" ca="1" si="8"/>
        <v>0.17271364317841079</v>
      </c>
      <c r="X28" s="91">
        <f ca="1">DATE(INDEX(OFFSET(Arb!$C$2,,,Arb!$AJ$5,),N28),INDEX(OFFSET(Arb!$B$2,,,Arb!$AJ$5,),N28),INDEX(OFFSET(Arb!$A$2,,,Arb!$AJ$5,),N28))</f>
        <v>43854</v>
      </c>
      <c r="Y28" s="414">
        <v>2</v>
      </c>
      <c r="Z28" s="408">
        <v>3356</v>
      </c>
      <c r="AA28" s="433">
        <f ca="1">IF(Z28="",164,INDEX(OFFSET(Arb!$I$2,,,Arb!$AJ$5,),Z28))</f>
        <v>142</v>
      </c>
      <c r="AB28" s="688">
        <f ca="1">IF(Z28="",240,INDEX(OFFSET(Arb!$H$2,,,Arb!$AJ$5,),Z28))</f>
        <v>59.01</v>
      </c>
      <c r="AC28" s="769">
        <f t="shared" ca="1" si="2"/>
        <v>2.4063718013895952</v>
      </c>
      <c r="AD28" s="725">
        <f ca="1">IF(Z28="","",INDEX(OFFSET(Arb!$X$2,,,Arb!$AJ$5,),Z28)/AB28)</f>
        <v>2.9655990510083039</v>
      </c>
      <c r="AE28" s="561">
        <f ca="1">IF(Z28="","",(INDEX(OFFSET(Arb!$U$2,,,Arb!$AJ$5,),Z28)+INDEX(OFFSET(Arb!$V$2,,,Arb!$AJ$5,),Z28))/AB28)</f>
        <v>3.219793255380444</v>
      </c>
      <c r="AF28" s="90">
        <f ca="1">INDEX(OFFSET(Arb!$AC$2,,,Arb!$AJ$5,),Z28)/16</f>
        <v>515.9375</v>
      </c>
      <c r="AG28" s="428">
        <f t="shared" ca="1" si="9"/>
        <v>8.7432214878834102</v>
      </c>
      <c r="AH28" s="93">
        <f t="shared" ca="1" si="10"/>
        <v>25.928889347222452</v>
      </c>
      <c r="AI28" s="87">
        <f t="shared" ca="1" si="11"/>
        <v>0.27522713506965474</v>
      </c>
      <c r="AJ28" s="91">
        <f ca="1">DATE(INDEX(OFFSET(Arb!$C$2,,,Arb!$AJ$5,),Z28),INDEX(OFFSET(Arb!$B$2,,,Arb!$AJ$5,),Z28),INDEX(OFFSET(Arb!$A$2,,,Arb!$AJ$5,),Z28))</f>
        <v>44099</v>
      </c>
    </row>
    <row r="29" spans="1:36" x14ac:dyDescent="0.25">
      <c r="A29" s="89">
        <v>3</v>
      </c>
      <c r="B29" s="408">
        <v>1625</v>
      </c>
      <c r="C29" s="433">
        <f ca="1">IF(B29="",16,INDEX(OFFSET(Arb!$I$2,,,Arb!$AJ$5,),B29))</f>
        <v>16</v>
      </c>
      <c r="D29" s="274">
        <f ca="1">IF(B29="",10,INDEX(OFFSET(Arb!$H$2,,,Arb!$AJ$5,),B29))</f>
        <v>4.5999999999999996</v>
      </c>
      <c r="E29" s="724">
        <f t="shared" ca="1" si="0"/>
        <v>3.4782608695652177</v>
      </c>
      <c r="F29" s="565">
        <f ca="1">IF(B29="","",INDEX(OFFSET(Arb!$X$2,,,Arb!$AJ$5,),B29)/D29)</f>
        <v>5</v>
      </c>
      <c r="G29" s="772">
        <f ca="1">IF(B29="","",(INDEX(OFFSET(Arb!$U$2,,,Arb!$AJ$5,),B29)+INDEX(OFFSET(Arb!$V$2,,,Arb!$AJ$5,),B29))/D29)</f>
        <v>5.4347826086956523</v>
      </c>
      <c r="H29" s="85">
        <f ca="1">INDEX(OFFSET(Arb!$AC$2,,,Arb!$AJ$5,),B29)/16</f>
        <v>54.875</v>
      </c>
      <c r="I29" s="428">
        <f t="shared" ca="1" si="3"/>
        <v>11.929347826086957</v>
      </c>
      <c r="J29" s="93">
        <f t="shared" ca="1" si="4"/>
        <v>59.646739130434781</v>
      </c>
      <c r="K29" s="87">
        <f t="shared" ca="1" si="5"/>
        <v>0.29157175398633256</v>
      </c>
      <c r="L29" s="88">
        <f ca="1">DATE(INDEX(OFFSET(Arb!$C$2,,,Arb!$AJ$5,),B29),INDEX(OFFSET(Arb!$B$2,,,Arb!$AJ$5,),B29),INDEX(OFFSET(Arb!$A$2,,,Arb!$AJ$5,),B29))</f>
        <v>44093</v>
      </c>
      <c r="M29" s="89">
        <v>3</v>
      </c>
      <c r="N29" s="408">
        <v>2033</v>
      </c>
      <c r="O29" s="433">
        <f ca="1">IF(N29="",64,INDEX(OFFSET(Arb!$I$2,,,Arb!$AJ$5,),N29))</f>
        <v>48</v>
      </c>
      <c r="P29" s="691">
        <f ca="1">IF(N29="",60,INDEX(OFFSET(Arb!$H$2,,,Arb!$AJ$5,),N29))</f>
        <v>20.2</v>
      </c>
      <c r="Q29" s="769">
        <f t="shared" ca="1" si="1"/>
        <v>2.3762376237623761</v>
      </c>
      <c r="R29" s="724">
        <f ca="1">IF(N29="","",INDEX(OFFSET(Arb!$X$2,,,Arb!$AJ$5,),N29)/P29)</f>
        <v>3.3663366336633667</v>
      </c>
      <c r="S29" s="562">
        <f ca="1">IF(N29="","",(INDEX(OFFSET(Arb!$U$2,,,Arb!$AJ$5,),N29)+INDEX(OFFSET(Arb!$V$2,,,Arb!$AJ$5,),N29))/P29)</f>
        <v>3.7128712871287131</v>
      </c>
      <c r="T29" s="90">
        <f ca="1">INDEX(OFFSET(Arb!$AC$2,,,Arb!$AJ$5,),N29)/16</f>
        <v>209.6875</v>
      </c>
      <c r="U29" s="428">
        <f t="shared" ca="1" si="6"/>
        <v>10.380569306930694</v>
      </c>
      <c r="V29" s="93">
        <f t="shared" ca="1" si="7"/>
        <v>34.94449073620234</v>
      </c>
      <c r="W29" s="87">
        <f t="shared" ca="1" si="8"/>
        <v>0.22891207153502235</v>
      </c>
      <c r="X29" s="91">
        <f ca="1">DATE(INDEX(OFFSET(Arb!$C$2,,,Arb!$AJ$5,),N29),INDEX(OFFSET(Arb!$B$2,,,Arb!$AJ$5,),N29),INDEX(OFFSET(Arb!$A$2,,,Arb!$AJ$5,),N29))</f>
        <v>43797</v>
      </c>
      <c r="Y29" s="414">
        <v>3</v>
      </c>
      <c r="Z29" s="408">
        <v>3308</v>
      </c>
      <c r="AA29" s="433">
        <f ca="1">IF(Z29="",164,INDEX(OFFSET(Arb!$I$2,,,Arb!$AJ$5,),Z29))</f>
        <v>196</v>
      </c>
      <c r="AB29" s="679">
        <f ca="1">IF(Z29="",240,INDEX(OFFSET(Arb!$H$2,,,Arb!$AJ$5,),Z29))</f>
        <v>73.81</v>
      </c>
      <c r="AC29" s="726">
        <f t="shared" ca="1" si="2"/>
        <v>2.655466738924265</v>
      </c>
      <c r="AD29" s="561">
        <f ca="1">IF(Z29="","",INDEX(OFFSET(Arb!$X$2,,,Arb!$AJ$5,),Z29)/AB29)</f>
        <v>3.1973987264598294</v>
      </c>
      <c r="AE29" s="562">
        <f ca="1">IF(Z29="","",(INDEX(OFFSET(Arb!$U$2,,,Arb!$AJ$5,),Z29)+INDEX(OFFSET(Arb!$V$2,,,Arb!$AJ$5,),Z29))/AB29)</f>
        <v>3.5090096192927787</v>
      </c>
      <c r="AF29" s="90">
        <f ca="1">INDEX(OFFSET(Arb!$AC$2,,,Arb!$AJ$5,),Z29)/16</f>
        <v>582.4375</v>
      </c>
      <c r="AG29" s="428">
        <f t="shared" ca="1" si="9"/>
        <v>7.8910377997561305</v>
      </c>
      <c r="AH29" s="93">
        <f t="shared" ca="1" si="10"/>
        <v>25.230794211386627</v>
      </c>
      <c r="AI29" s="87">
        <f t="shared" ca="1" si="11"/>
        <v>0.33651679364738707</v>
      </c>
      <c r="AJ29" s="91">
        <f ca="1">DATE(INDEX(OFFSET(Arb!$C$2,,,Arb!$AJ$5,),Z29),INDEX(OFFSET(Arb!$B$2,,,Arb!$AJ$5,),Z29),INDEX(OFFSET(Arb!$A$2,,,Arb!$AJ$5,),Z29))</f>
        <v>44092</v>
      </c>
    </row>
    <row r="30" spans="1:36" x14ac:dyDescent="0.25">
      <c r="A30" s="89">
        <v>4</v>
      </c>
      <c r="B30" s="408">
        <v>1397</v>
      </c>
      <c r="C30" s="433">
        <f ca="1">IF(B30="",16,INDEX(OFFSET(Arb!$I$2,,,Arb!$AJ$5,),B30))</f>
        <v>28</v>
      </c>
      <c r="D30" s="693">
        <f ca="1">IF(B30="",10,INDEX(OFFSET(Arb!$H$2,,,Arb!$AJ$5,),B30))</f>
        <v>6.58</v>
      </c>
      <c r="E30" s="722">
        <f t="shared" ca="1" si="0"/>
        <v>4.2553191489361701</v>
      </c>
      <c r="F30" s="721">
        <f ca="1">IF(B30="","",INDEX(OFFSET(Arb!$X$2,,,Arb!$AJ$5,),B30)/D30)</f>
        <v>4.86322188449848</v>
      </c>
      <c r="G30" s="565">
        <f ca="1">IF(B30="","",(INDEX(OFFSET(Arb!$U$2,,,Arb!$AJ$5,),B30)+INDEX(OFFSET(Arb!$V$2,,,Arb!$AJ$5,),B30))/D30)</f>
        <v>5.1671732522796354</v>
      </c>
      <c r="H30" s="85">
        <f ca="1">INDEX(OFFSET(Arb!$AC$2,,,Arb!$AJ$5,),B30)/16</f>
        <v>80.6875</v>
      </c>
      <c r="I30" s="428">
        <f t="shared" ca="1" si="3"/>
        <v>12.262537993920972</v>
      </c>
      <c r="J30" s="93">
        <f t="shared" ca="1" si="4"/>
        <v>59.635443131530565</v>
      </c>
      <c r="K30" s="87">
        <f t="shared" ca="1" si="5"/>
        <v>0.34701781564678541</v>
      </c>
      <c r="L30" s="88">
        <f ca="1">DATE(INDEX(OFFSET(Arb!$C$2,,,Arb!$AJ$5,),B30),INDEX(OFFSET(Arb!$B$2,,,Arb!$AJ$5,),B30),INDEX(OFFSET(Arb!$A$2,,,Arb!$AJ$5,),B30))</f>
        <v>43940</v>
      </c>
      <c r="M30" s="89">
        <v>4</v>
      </c>
      <c r="N30" s="408">
        <v>1989</v>
      </c>
      <c r="O30" s="433">
        <f ca="1">IF(N30="",64,INDEX(OFFSET(Arb!$I$2,,,Arb!$AJ$5,),N30))</f>
        <v>80</v>
      </c>
      <c r="P30" s="690">
        <f ca="1">IF(N30="",60,INDEX(OFFSET(Arb!$H$2,,,Arb!$AJ$5,),N30))</f>
        <v>28.37</v>
      </c>
      <c r="Q30" s="725">
        <f t="shared" ca="1" si="1"/>
        <v>2.8198801550934083</v>
      </c>
      <c r="R30" s="562">
        <f ca="1">IF(N30="","",INDEX(OFFSET(Arb!$X$2,,,Arb!$AJ$5,),N30)/P30)</f>
        <v>3.7010927035600987</v>
      </c>
      <c r="S30" s="563">
        <f ca="1">IF(N30="","",(INDEX(OFFSET(Arb!$U$2,,,Arb!$AJ$5,),N30)+INDEX(OFFSET(Arb!$V$2,,,Arb!$AJ$5,),N30))/P30)</f>
        <v>4.194571730701445</v>
      </c>
      <c r="T30" s="90">
        <f ca="1">INDEX(OFFSET(Arb!$AC$2,,,Arb!$AJ$5,),N30)/16</f>
        <v>266</v>
      </c>
      <c r="U30" s="428">
        <f t="shared" ca="1" si="6"/>
        <v>9.3761015156855834</v>
      </c>
      <c r="V30" s="93">
        <f t="shared" ca="1" si="7"/>
        <v>34.701820907542697</v>
      </c>
      <c r="W30" s="87">
        <f t="shared" ca="1" si="8"/>
        <v>0.3007518796992481</v>
      </c>
      <c r="X30" s="91">
        <f ca="1">DATE(INDEX(OFFSET(Arb!$C$2,,,Arb!$AJ$5,),N30),INDEX(OFFSET(Arb!$B$2,,,Arb!$AJ$5,),N30),INDEX(OFFSET(Arb!$A$2,,,Arb!$AJ$5,),N30))</f>
        <v>43784</v>
      </c>
      <c r="Y30" s="414">
        <v>4</v>
      </c>
      <c r="Z30" s="408">
        <v>3323</v>
      </c>
      <c r="AA30" s="433">
        <f ca="1">IF(Z30="",164,INDEX(OFFSET(Arb!$I$2,,,Arb!$AJ$5,),Z30))</f>
        <v>175</v>
      </c>
      <c r="AB30" s="679">
        <f ca="1">IF(Z30="",240,INDEX(OFFSET(Arb!$H$2,,,Arb!$AJ$5,),Z30))</f>
        <v>71.459999999999994</v>
      </c>
      <c r="AC30" s="769">
        <f t="shared" ca="1" si="2"/>
        <v>2.4489224741113911</v>
      </c>
      <c r="AD30" s="725">
        <f ca="1">IF(Z30="","",INDEX(OFFSET(Arb!$X$2,,,Arb!$AJ$5,),Z30)/AB30)</f>
        <v>2.8967254408060454</v>
      </c>
      <c r="AE30" s="561">
        <f ca="1">IF(Z30="","",(INDEX(OFFSET(Arb!$U$2,,,Arb!$AJ$5,),Z30)+INDEX(OFFSET(Arb!$V$2,,,Arb!$AJ$5,),Z30))/AB30)</f>
        <v>3.2185838231178283</v>
      </c>
      <c r="AF30" s="90">
        <f ca="1">INDEX(OFFSET(Arb!$AC$2,,,Arb!$AJ$5,),Z30)/16</f>
        <v>620.25</v>
      </c>
      <c r="AG30" s="428">
        <f t="shared" ca="1" si="9"/>
        <v>8.6796809403862305</v>
      </c>
      <c r="AH30" s="93">
        <f t="shared" ca="1" si="10"/>
        <v>25.142652598096134</v>
      </c>
      <c r="AI30" s="87">
        <f t="shared" ca="1" si="11"/>
        <v>0.28214429665457474</v>
      </c>
      <c r="AJ30" s="91">
        <f ca="1">DATE(INDEX(OFFSET(Arb!$C$2,,,Arb!$AJ$5,),Z30),INDEX(OFFSET(Arb!$B$2,,,Arb!$AJ$5,),Z30),INDEX(OFFSET(Arb!$A$2,,,Arb!$AJ$5,),Z30))</f>
        <v>44095</v>
      </c>
    </row>
    <row r="31" spans="1:36" x14ac:dyDescent="0.25">
      <c r="A31" s="89">
        <v>5</v>
      </c>
      <c r="B31" s="408">
        <v>1725</v>
      </c>
      <c r="C31" s="433">
        <f ca="1">IF(B31="",16,INDEX(OFFSET(Arb!$I$2,,,Arb!$AJ$5,),B31))</f>
        <v>14</v>
      </c>
      <c r="D31" s="683">
        <f ca="1">IF(B31="",10,INDEX(OFFSET(Arb!$H$2,,,Arb!$AJ$5,),B31))</f>
        <v>4.29</v>
      </c>
      <c r="E31" s="724">
        <f t="shared" ca="1" si="0"/>
        <v>3.2634032634032635</v>
      </c>
      <c r="F31" s="721">
        <f ca="1">IF(B31="","",INDEX(OFFSET(Arb!$X$2,,,Arb!$AJ$5,),B31)/D31)</f>
        <v>4.895104895104895</v>
      </c>
      <c r="G31" s="779">
        <f ca="1">IF(B31="","",(INDEX(OFFSET(Arb!$U$2,,,Arb!$AJ$5,),B31)+INDEX(OFFSET(Arb!$V$2,,,Arb!$AJ$5,),B31))/D31)</f>
        <v>5.5944055944055942</v>
      </c>
      <c r="H31" s="85">
        <f ca="1">INDEX(OFFSET(Arb!$AC$2,,,Arb!$AJ$5,),B31)/16</f>
        <v>51.4375</v>
      </c>
      <c r="I31" s="428">
        <f t="shared" ca="1" si="3"/>
        <v>11.990093240093239</v>
      </c>
      <c r="J31" s="93">
        <f t="shared" ca="1" si="4"/>
        <v>58.692764112344527</v>
      </c>
      <c r="K31" s="87">
        <f t="shared" ca="1" si="5"/>
        <v>0.27217496962332927</v>
      </c>
      <c r="L31" s="88">
        <f ca="1">DATE(INDEX(OFFSET(Arb!$C$2,,,Arb!$AJ$5,),B31),INDEX(OFFSET(Arb!$B$2,,,Arb!$AJ$5,),B31),INDEX(OFFSET(Arb!$A$2,,,Arb!$AJ$5,),B31))</f>
        <v>44107</v>
      </c>
      <c r="M31" s="89">
        <v>5</v>
      </c>
      <c r="N31" s="408">
        <v>2296</v>
      </c>
      <c r="O31" s="433">
        <f ca="1">IF(N31="",64,INDEX(OFFSET(Arb!$I$2,,,Arb!$AJ$5,),N31))</f>
        <v>85</v>
      </c>
      <c r="P31" s="690">
        <f ca="1">IF(N31="",60,INDEX(OFFSET(Arb!$H$2,,,Arb!$AJ$5,),N31))</f>
        <v>28.13</v>
      </c>
      <c r="Q31" s="561">
        <f t="shared" ca="1" si="1"/>
        <v>3.021685033771774</v>
      </c>
      <c r="R31" s="723">
        <f ca="1">IF(N31="","",INDEX(OFFSET(Arb!$X$2,,,Arb!$AJ$5,),N31)/P31)</f>
        <v>3.981514397440455</v>
      </c>
      <c r="S31" s="722">
        <f ca="1">IF(N31="","",(INDEX(OFFSET(Arb!$U$2,,,Arb!$AJ$5,),N31)+INDEX(OFFSET(Arb!$V$2,,,Arb!$AJ$5,),N31))/P31)</f>
        <v>4.4081052257376472</v>
      </c>
      <c r="T31" s="90">
        <f ca="1">INDEX(OFFSET(Arb!$AC$2,,,Arb!$AJ$5,),N31)/16</f>
        <v>244.9375</v>
      </c>
      <c r="U31" s="428">
        <f t="shared" ca="1" si="6"/>
        <v>8.7073409171702814</v>
      </c>
      <c r="V31" s="93">
        <f t="shared" ca="1" si="7"/>
        <v>34.668403225135854</v>
      </c>
      <c r="W31" s="87">
        <f t="shared" ca="1" si="8"/>
        <v>0.34702730288338862</v>
      </c>
      <c r="X31" s="91">
        <f ca="1">DATE(INDEX(OFFSET(Arb!$C$2,,,Arb!$AJ$5,),N31),INDEX(OFFSET(Arb!$B$2,,,Arb!$AJ$5,),N31),INDEX(OFFSET(Arb!$A$2,,,Arb!$AJ$5,),N31))</f>
        <v>43937</v>
      </c>
      <c r="Y31" s="414">
        <v>5</v>
      </c>
      <c r="Z31" s="408">
        <v>3217</v>
      </c>
      <c r="AA31" s="433">
        <f ca="1">IF(Z31="",164,INDEX(OFFSET(Arb!$I$2,,,Arb!$AJ$5,),Z31))</f>
        <v>194</v>
      </c>
      <c r="AB31" s="679">
        <f ca="1">IF(Z31="",240,INDEX(OFFSET(Arb!$H$2,,,Arb!$AJ$5,),Z31))</f>
        <v>70.53</v>
      </c>
      <c r="AC31" s="725">
        <f t="shared" ca="1" si="2"/>
        <v>2.7506025804622145</v>
      </c>
      <c r="AD31" s="561">
        <f ca="1">IF(Z31="","",INDEX(OFFSET(Arb!$X$2,,,Arb!$AJ$5,),Z31)/AB31)</f>
        <v>3.2184885864171275</v>
      </c>
      <c r="AE31" s="562">
        <f ca="1">IF(Z31="","",(INDEX(OFFSET(Arb!$U$2,,,Arb!$AJ$5,),Z31)+INDEX(OFFSET(Arb!$V$2,,,Arb!$AJ$5,),Z31))/AB31)</f>
        <v>3.5162342265702535</v>
      </c>
      <c r="AF31" s="90">
        <f ca="1">INDEX(OFFSET(Arb!$AC$2,,,Arb!$AJ$5,),Z31)/16</f>
        <v>549.1875</v>
      </c>
      <c r="AG31" s="428">
        <f t="shared" ca="1" si="9"/>
        <v>7.7865801786473838</v>
      </c>
      <c r="AH31" s="93">
        <f t="shared" ca="1" si="10"/>
        <v>25.061019432198442</v>
      </c>
      <c r="AI31" s="87">
        <f t="shared" ca="1" si="11"/>
        <v>0.35324911801524977</v>
      </c>
      <c r="AJ31" s="91">
        <f ca="1">DATE(INDEX(OFFSET(Arb!$C$2,,,Arb!$AJ$5,),Z31),INDEX(OFFSET(Arb!$B$2,,,Arb!$AJ$5,),Z31),INDEX(OFFSET(Arb!$A$2,,,Arb!$AJ$5,),Z31))</f>
        <v>44059</v>
      </c>
    </row>
    <row r="32" spans="1:36" x14ac:dyDescent="0.25">
      <c r="A32" s="89">
        <v>6</v>
      </c>
      <c r="B32" s="408">
        <v>1599</v>
      </c>
      <c r="C32" s="433">
        <f ca="1">IF(B32="",16,INDEX(OFFSET(Arb!$I$2,,,Arb!$AJ$5,),B32))</f>
        <v>25</v>
      </c>
      <c r="D32" s="688">
        <f ca="1">IF(B32="",10,INDEX(OFFSET(Arb!$H$2,,,Arb!$AJ$5,),B32))</f>
        <v>6.38</v>
      </c>
      <c r="E32" s="723">
        <f t="shared" ca="1" si="0"/>
        <v>3.9184952978056429</v>
      </c>
      <c r="F32" s="565">
        <f ca="1">IF(B32="","",INDEX(OFFSET(Arb!$X$2,,,Arb!$AJ$5,),B32)/D32)</f>
        <v>5.1724137931034484</v>
      </c>
      <c r="G32" s="779">
        <f ca="1">IF(B32="","",(INDEX(OFFSET(Arb!$U$2,,,Arb!$AJ$5,),B32)+INDEX(OFFSET(Arb!$V$2,,,Arb!$AJ$5,),B32))/D32)</f>
        <v>5.6426332288401255</v>
      </c>
      <c r="H32" s="85">
        <f ca="1">INDEX(OFFSET(Arb!$AC$2,,,Arb!$AJ$5,),B32)/16</f>
        <v>71.6875</v>
      </c>
      <c r="I32" s="428">
        <f t="shared" ca="1" si="3"/>
        <v>11.23628526645768</v>
      </c>
      <c r="J32" s="93">
        <f t="shared" ca="1" si="4"/>
        <v>58.118716895470754</v>
      </c>
      <c r="K32" s="87">
        <f t="shared" ca="1" si="5"/>
        <v>0.34873583260680036</v>
      </c>
      <c r="L32" s="88">
        <f ca="1">DATE(INDEX(OFFSET(Arb!$C$2,,,Arb!$AJ$5,),B32),INDEX(OFFSET(Arb!$B$2,,,Arb!$AJ$5,),B32),INDEX(OFFSET(Arb!$A$2,,,Arb!$AJ$5,),B32))</f>
        <v>44054</v>
      </c>
      <c r="M32" s="89">
        <v>6</v>
      </c>
      <c r="N32" s="408">
        <v>2329</v>
      </c>
      <c r="O32" s="433">
        <f ca="1">IF(N32="",64,INDEX(OFFSET(Arb!$I$2,,,Arb!$AJ$5,),N32))</f>
        <v>62</v>
      </c>
      <c r="P32" s="692">
        <f ca="1">IF(N32="",60,INDEX(OFFSET(Arb!$H$2,,,Arb!$AJ$5,),N32))</f>
        <v>21.75</v>
      </c>
      <c r="Q32" s="725">
        <f t="shared" ca="1" si="1"/>
        <v>2.8505747126436782</v>
      </c>
      <c r="R32" s="724">
        <f ca="1">IF(N32="","",INDEX(OFFSET(Arb!$X$2,,,Arb!$AJ$5,),N32)/P32)</f>
        <v>3.3563218390804597</v>
      </c>
      <c r="S32" s="723">
        <f ca="1">IF(N32="","",(INDEX(OFFSET(Arb!$U$2,,,Arb!$AJ$5,),N32)+INDEX(OFFSET(Arb!$V$2,,,Arb!$AJ$5,),N32))/P32)</f>
        <v>3.9540229885057472</v>
      </c>
      <c r="T32" s="90">
        <f ca="1">INDEX(OFFSET(Arb!$AC$2,,,Arb!$AJ$5,),N32)/16</f>
        <v>218.625</v>
      </c>
      <c r="U32" s="428">
        <f t="shared" ca="1" si="6"/>
        <v>10.051724137931034</v>
      </c>
      <c r="V32" s="93">
        <f t="shared" ca="1" si="7"/>
        <v>33.736821244550136</v>
      </c>
      <c r="W32" s="87">
        <f t="shared" ca="1" si="8"/>
        <v>0.28359062321326473</v>
      </c>
      <c r="X32" s="91">
        <f ca="1">DATE(INDEX(OFFSET(Arb!$C$2,,,Arb!$AJ$5,),N32),INDEX(OFFSET(Arb!$B$2,,,Arb!$AJ$5,),N32),INDEX(OFFSET(Arb!$A$2,,,Arb!$AJ$5,),N32))</f>
        <v>44090</v>
      </c>
      <c r="Y32" s="414">
        <v>6</v>
      </c>
      <c r="Z32" s="408">
        <v>3333</v>
      </c>
      <c r="AA32" s="433">
        <f ca="1">IF(Z32="",164,INDEX(OFFSET(Arb!$I$2,,,Arb!$AJ$5,),Z32))</f>
        <v>180</v>
      </c>
      <c r="AB32" s="693">
        <f ca="1">IF(Z32="",240,INDEX(OFFSET(Arb!$H$2,,,Arb!$AJ$5,),Z32))</f>
        <v>63.73</v>
      </c>
      <c r="AC32" s="725">
        <f t="shared" ca="1" si="2"/>
        <v>2.8244155029028715</v>
      </c>
      <c r="AD32" s="724">
        <f ca="1">IF(Z32="","",INDEX(OFFSET(Arb!$X$2,,,Arb!$AJ$5,),Z32)/AB32)</f>
        <v>3.3108426172916996</v>
      </c>
      <c r="AE32" s="562">
        <f ca="1">IF(Z32="","",(INDEX(OFFSET(Arb!$U$2,,,Arb!$AJ$5,),Z32)+INDEX(OFFSET(Arb!$V$2,,,Arb!$AJ$5,),Z32))/AB32)</f>
        <v>3.5305193786285893</v>
      </c>
      <c r="AF32" s="90">
        <f ca="1">INDEX(OFFSET(Arb!$AC$2,,,Arb!$AJ$5,),Z32)/16</f>
        <v>479.25</v>
      </c>
      <c r="AG32" s="428">
        <f t="shared" ca="1" si="9"/>
        <v>7.5200062764788953</v>
      </c>
      <c r="AH32" s="93">
        <f t="shared" ca="1" si="10"/>
        <v>24.897557262467394</v>
      </c>
      <c r="AI32" s="87">
        <f t="shared" ca="1" si="11"/>
        <v>0.37558685446009388</v>
      </c>
      <c r="AJ32" s="91">
        <f ca="1">DATE(INDEX(OFFSET(Arb!$C$2,,,Arb!$AJ$5,),Z32),INDEX(OFFSET(Arb!$B$2,,,Arb!$AJ$5,),Z32),INDEX(OFFSET(Arb!$A$2,,,Arb!$AJ$5,),Z32))</f>
        <v>44096</v>
      </c>
    </row>
    <row r="33" spans="1:36" x14ac:dyDescent="0.25">
      <c r="A33" s="89">
        <v>7</v>
      </c>
      <c r="B33" s="408">
        <v>1399</v>
      </c>
      <c r="C33" s="433">
        <f ca="1">IF(B33="",16,INDEX(OFFSET(Arb!$I$2,,,Arb!$AJ$5,),B33))</f>
        <v>19</v>
      </c>
      <c r="D33" s="274">
        <f ca="1">IF(B33="",10,INDEX(OFFSET(Arb!$H$2,,,Arb!$AJ$5,),B33))</f>
        <v>4.9800000000000004</v>
      </c>
      <c r="E33" s="723">
        <f t="shared" ca="1" si="0"/>
        <v>3.8152610441767063</v>
      </c>
      <c r="F33" s="721">
        <f ca="1">IF(B33="","",INDEX(OFFSET(Arb!$X$2,,,Arb!$AJ$5,),B33)/D33)</f>
        <v>4.8192771084337345</v>
      </c>
      <c r="G33" s="772">
        <f ca="1">IF(B33="","",(INDEX(OFFSET(Arb!$U$2,,,Arb!$AJ$5,),B33)+INDEX(OFFSET(Arb!$V$2,,,Arb!$AJ$5,),B33))/D33)</f>
        <v>5.4216867469879517</v>
      </c>
      <c r="H33" s="85">
        <f ca="1">INDEX(OFFSET(Arb!$AC$2,,,Arb!$AJ$5,),B33)/16</f>
        <v>60</v>
      </c>
      <c r="I33" s="428">
        <f t="shared" ca="1" si="3"/>
        <v>12.048192771084336</v>
      </c>
      <c r="J33" s="93">
        <f t="shared" ca="1" si="4"/>
        <v>58.063579619683544</v>
      </c>
      <c r="K33" s="87">
        <f t="shared" ca="1" si="5"/>
        <v>0.31666666666666665</v>
      </c>
      <c r="L33" s="88">
        <f ca="1">DATE(INDEX(OFFSET(Arb!$C$2,,,Arb!$AJ$5,),B33),INDEX(OFFSET(Arb!$B$2,,,Arb!$AJ$5,),B33),INDEX(OFFSET(Arb!$A$2,,,Arb!$AJ$5,),B33))</f>
        <v>43940</v>
      </c>
      <c r="M33" s="89">
        <v>7</v>
      </c>
      <c r="N33" s="408">
        <v>2138</v>
      </c>
      <c r="O33" s="433">
        <f ca="1">IF(N33="",64,INDEX(OFFSET(Arb!$I$2,,,Arb!$AJ$5,),N33))</f>
        <v>93</v>
      </c>
      <c r="P33" s="680">
        <f ca="1">IF(N33="",60,INDEX(OFFSET(Arb!$H$2,,,Arb!$AJ$5,),N33))</f>
        <v>30.3</v>
      </c>
      <c r="Q33" s="561">
        <f t="shared" ca="1" si="1"/>
        <v>3.0693069306930694</v>
      </c>
      <c r="R33" s="723">
        <f ca="1">IF(N33="","",INDEX(OFFSET(Arb!$X$2,,,Arb!$AJ$5,),N33)/P33)</f>
        <v>3.8613861386138613</v>
      </c>
      <c r="S33" s="722">
        <f ca="1">IF(N33="","",(INDEX(OFFSET(Arb!$U$2,,,Arb!$AJ$5,),N33)+INDEX(OFFSET(Arb!$V$2,,,Arb!$AJ$5,),N33))/P33)</f>
        <v>4.455445544554455</v>
      </c>
      <c r="T33" s="90">
        <f ca="1">INDEX(OFFSET(Arb!$AC$2,,,Arb!$AJ$5,),N33)/16</f>
        <v>263</v>
      </c>
      <c r="U33" s="428">
        <f t="shared" ca="1" si="6"/>
        <v>8.6798679867986799</v>
      </c>
      <c r="V33" s="93">
        <f t="shared" ca="1" si="7"/>
        <v>33.516321929222627</v>
      </c>
      <c r="W33" s="87">
        <f t="shared" ca="1" si="8"/>
        <v>0.35361216730038025</v>
      </c>
      <c r="X33" s="91">
        <f ca="1">DATE(INDEX(OFFSET(Arb!$C$2,,,Arb!$AJ$5,),N33),INDEX(OFFSET(Arb!$B$2,,,Arb!$AJ$5,),N33),INDEX(OFFSET(Arb!$A$2,,,Arb!$AJ$5,),N33))</f>
        <v>43817</v>
      </c>
      <c r="Y33" s="414">
        <v>7</v>
      </c>
      <c r="Z33" s="408">
        <v>3332</v>
      </c>
      <c r="AA33" s="433">
        <f ca="1">IF(Z33="",164,INDEX(OFFSET(Arb!$I$2,,,Arb!$AJ$5,),Z33))</f>
        <v>160</v>
      </c>
      <c r="AB33" s="693">
        <f ca="1">IF(Z33="",240,INDEX(OFFSET(Arb!$H$2,,,Arb!$AJ$5,),Z33))</f>
        <v>62.63</v>
      </c>
      <c r="AC33" s="726">
        <f t="shared" ca="1" si="2"/>
        <v>2.5546862525946032</v>
      </c>
      <c r="AD33" s="561">
        <f ca="1">IF(Z33="","",INDEX(OFFSET(Arb!$X$2,,,Arb!$AJ$5,),Z33)/AB33)</f>
        <v>3.1773910266645378</v>
      </c>
      <c r="AE33" s="724">
        <f ca="1">IF(Z33="","",(INDEX(OFFSET(Arb!$U$2,,,Arb!$AJ$5,),Z33)+INDEX(OFFSET(Arb!$V$2,,,Arb!$AJ$5,),Z33))/AB33)</f>
        <v>3.432859651923998</v>
      </c>
      <c r="AF33" s="90">
        <f ca="1">INDEX(OFFSET(Arb!$AC$2,,,Arb!$AJ$5,),Z33)/16</f>
        <v>488.625</v>
      </c>
      <c r="AG33" s="428">
        <f t="shared" ca="1" si="9"/>
        <v>7.8017723135877368</v>
      </c>
      <c r="AH33" s="93">
        <f t="shared" ca="1" si="10"/>
        <v>24.789281341273504</v>
      </c>
      <c r="AI33" s="87">
        <f t="shared" ca="1" si="11"/>
        <v>0.32744947556919929</v>
      </c>
      <c r="AJ33" s="91">
        <f ca="1">DATE(INDEX(OFFSET(Arb!$C$2,,,Arb!$AJ$5,),Z33),INDEX(OFFSET(Arb!$B$2,,,Arb!$AJ$5,),Z33),INDEX(OFFSET(Arb!$A$2,,,Arb!$AJ$5,),Z33))</f>
        <v>44096</v>
      </c>
    </row>
    <row r="34" spans="1:36" x14ac:dyDescent="0.25">
      <c r="A34" s="89">
        <v>8</v>
      </c>
      <c r="B34" s="408">
        <v>1156</v>
      </c>
      <c r="C34" s="433">
        <f ca="1">IF(B34="",16,INDEX(OFFSET(Arb!$I$2,,,Arb!$AJ$5,),B34))</f>
        <v>18</v>
      </c>
      <c r="D34" s="559">
        <f ca="1">IF(B34="",10,INDEX(OFFSET(Arb!$H$2,,,Arb!$AJ$5,),B34))</f>
        <v>5.84</v>
      </c>
      <c r="E34" s="561">
        <f t="shared" ref="E34:E41" ca="1" si="12">C34/D34</f>
        <v>3.0821917808219177</v>
      </c>
      <c r="F34" s="723">
        <f ca="1">IF(B34="","",INDEX(OFFSET(Arb!$X$2,,,Arb!$AJ$5,),B34)/D34)</f>
        <v>3.9383561643835616</v>
      </c>
      <c r="G34" s="722">
        <f ca="1">IF(B34="","",(INDEX(OFFSET(Arb!$U$2,,,Arb!$AJ$5,),B34)+INDEX(OFFSET(Arb!$V$2,,,Arb!$AJ$5,),B34))/D34)</f>
        <v>4.4520547945205484</v>
      </c>
      <c r="H34" s="85">
        <f ca="1">INDEX(OFFSET(Arb!$AC$2,,,Arb!$AJ$5,),B34)/16</f>
        <v>85.375</v>
      </c>
      <c r="I34" s="428">
        <f t="shared" ca="1" si="3"/>
        <v>14.619006849315069</v>
      </c>
      <c r="J34" s="93">
        <f t="shared" ca="1" si="4"/>
        <v>57.574855742165511</v>
      </c>
      <c r="K34" s="87">
        <f t="shared" ca="1" si="5"/>
        <v>0.21083455344070279</v>
      </c>
      <c r="L34" s="88">
        <f ca="1">DATE(INDEX(OFFSET(Arb!$C$2,,,Arb!$AJ$5,),B34),INDEX(OFFSET(Arb!$B$2,,,Arb!$AJ$5,),B34),INDEX(OFFSET(Arb!$A$2,,,Arb!$AJ$5,),B34))</f>
        <v>43869</v>
      </c>
      <c r="M34" s="89">
        <v>8</v>
      </c>
      <c r="N34" s="408">
        <v>2334</v>
      </c>
      <c r="O34" s="433">
        <f ca="1">IF(N34="",64,INDEX(OFFSET(Arb!$I$2,,,Arb!$AJ$5,),N34))</f>
        <v>64</v>
      </c>
      <c r="P34" s="692">
        <f ca="1">IF(N34="",60,INDEX(OFFSET(Arb!$H$2,,,Arb!$AJ$5,),N34))</f>
        <v>21.85</v>
      </c>
      <c r="Q34" s="725">
        <f t="shared" ref="Q34:Q41" ca="1" si="13">O34/P34</f>
        <v>2.9290617848970251</v>
      </c>
      <c r="R34" s="723">
        <f ca="1">IF(N34="","",INDEX(OFFSET(Arb!$X$2,,,Arb!$AJ$5,),N34)/P34)</f>
        <v>3.7528604118993134</v>
      </c>
      <c r="S34" s="563">
        <f ca="1">IF(N34="","",(INDEX(OFFSET(Arb!$U$2,,,Arb!$AJ$5,),N34)+INDEX(OFFSET(Arb!$V$2,,,Arb!$AJ$5,),N34))/P34)</f>
        <v>4.0732265446224254</v>
      </c>
      <c r="T34" s="90">
        <f ca="1">INDEX(OFFSET(Arb!$AC$2,,,Arb!$AJ$5,),N34)/16</f>
        <v>194.9375</v>
      </c>
      <c r="U34" s="428">
        <f t="shared" ca="1" si="6"/>
        <v>8.9216247139588098</v>
      </c>
      <c r="V34" s="93">
        <f t="shared" ca="1" si="7"/>
        <v>33.481612198838555</v>
      </c>
      <c r="W34" s="87">
        <f t="shared" ca="1" si="8"/>
        <v>0.32831035588329593</v>
      </c>
      <c r="X34" s="91">
        <f ca="1">DATE(INDEX(OFFSET(Arb!$C$2,,,Arb!$AJ$5,),N34),INDEX(OFFSET(Arb!$B$2,,,Arb!$AJ$5,),N34),INDEX(OFFSET(Arb!$A$2,,,Arb!$AJ$5,),N34))</f>
        <v>44093</v>
      </c>
      <c r="Y34" s="414">
        <v>8</v>
      </c>
      <c r="Z34" s="408">
        <v>3211</v>
      </c>
      <c r="AA34" s="433">
        <f ca="1">IF(Z34="",164,INDEX(OFFSET(Arb!$I$2,,,Arb!$AJ$5,),Z34))</f>
        <v>171</v>
      </c>
      <c r="AB34" s="691">
        <f ca="1">IF(Z34="",240,INDEX(OFFSET(Arb!$H$2,,,Arb!$AJ$5,),Z34))</f>
        <v>65.650000000000006</v>
      </c>
      <c r="AC34" s="726">
        <f t="shared" ref="AC34:AC41" ca="1" si="14">AA34/AB34</f>
        <v>2.6047220106626043</v>
      </c>
      <c r="AD34" s="724">
        <f ca="1">IF(Z34="","",INDEX(OFFSET(Arb!$X$2,,,Arb!$AJ$5,),Z34)/AB34)</f>
        <v>3.3054074638233053</v>
      </c>
      <c r="AE34" s="562">
        <f ca="1">IF(Z34="","",(INDEX(OFFSET(Arb!$U$2,,,Arb!$AJ$5,),Z34)+INDEX(OFFSET(Arb!$V$2,,,Arb!$AJ$5,),Z34))/AB34)</f>
        <v>3.6557501904036553</v>
      </c>
      <c r="AF34" s="90">
        <f ca="1">INDEX(OFFSET(Arb!$AC$2,,,Arb!$AJ$5,),Z34)/16</f>
        <v>491.5625</v>
      </c>
      <c r="AG34" s="428">
        <f t="shared" ca="1" si="9"/>
        <v>7.4876237623762369</v>
      </c>
      <c r="AH34" s="93">
        <f t="shared" ca="1" si="10"/>
        <v>24.749647470459152</v>
      </c>
      <c r="AI34" s="87">
        <f t="shared" ca="1" si="11"/>
        <v>0.34787031150667513</v>
      </c>
      <c r="AJ34" s="91">
        <f ca="1">DATE(INDEX(OFFSET(Arb!$C$2,,,Arb!$AJ$5,),Z34),INDEX(OFFSET(Arb!$B$2,,,Arb!$AJ$5,),Z34),INDEX(OFFSET(Arb!$A$2,,,Arb!$AJ$5,),Z34))</f>
        <v>44059</v>
      </c>
    </row>
    <row r="35" spans="1:36" x14ac:dyDescent="0.25">
      <c r="A35" s="89">
        <v>9</v>
      </c>
      <c r="B35" s="408">
        <v>1620</v>
      </c>
      <c r="C35" s="433">
        <f ca="1">IF(B35="",16,INDEX(OFFSET(Arb!$I$2,,,Arb!$AJ$5,),B35))</f>
        <v>29</v>
      </c>
      <c r="D35" s="688">
        <f ca="1">IF(B35="",10,INDEX(OFFSET(Arb!$H$2,,,Arb!$AJ$5,),B35))</f>
        <v>6.04</v>
      </c>
      <c r="E35" s="721">
        <f t="shared" ca="1" si="12"/>
        <v>4.8013245033112586</v>
      </c>
      <c r="F35" s="565">
        <f ca="1">IF(B35="","",INDEX(OFFSET(Arb!$X$2,,,Arb!$AJ$5,),B35)/D35)</f>
        <v>5.1324503311258276</v>
      </c>
      <c r="G35" s="770">
        <f ca="1">IF(B35="","",(INDEX(OFFSET(Arb!$U$2,,,Arb!$AJ$5,),B35)+INDEX(OFFSET(Arb!$V$2,,,Arb!$AJ$5,),B35))/D35)</f>
        <v>5.9602649006622519</v>
      </c>
      <c r="H35" s="85">
        <f ca="1">INDEX(OFFSET(Arb!$AC$2,,,Arb!$AJ$5,),B35)/16</f>
        <v>66.75</v>
      </c>
      <c r="I35" s="428">
        <f t="shared" ca="1" si="3"/>
        <v>11.051324503311259</v>
      </c>
      <c r="J35" s="93">
        <f t="shared" ca="1" si="4"/>
        <v>56.720374106398843</v>
      </c>
      <c r="K35" s="87">
        <f t="shared" ca="1" si="5"/>
        <v>0.43445692883895132</v>
      </c>
      <c r="L35" s="88">
        <f ca="1">DATE(INDEX(OFFSET(Arb!$C$2,,,Arb!$AJ$5,),B35),INDEX(OFFSET(Arb!$B$2,,,Arb!$AJ$5,),B35),INDEX(OFFSET(Arb!$A$2,,,Arb!$AJ$5,),B35))</f>
        <v>44093</v>
      </c>
      <c r="M35" s="89">
        <v>9</v>
      </c>
      <c r="N35" s="408">
        <v>2136</v>
      </c>
      <c r="O35" s="433">
        <f ca="1">IF(N35="",64,INDEX(OFFSET(Arb!$I$2,,,Arb!$AJ$5,),N35))</f>
        <v>83</v>
      </c>
      <c r="P35" s="682">
        <f ca="1">IF(N35="",60,INDEX(OFFSET(Arb!$H$2,,,Arb!$AJ$5,),N35))</f>
        <v>27.34</v>
      </c>
      <c r="Q35" s="561">
        <f t="shared" ca="1" si="13"/>
        <v>3.0358449158741769</v>
      </c>
      <c r="R35" s="562">
        <f ca="1">IF(N35="","",INDEX(OFFSET(Arb!$X$2,,,Arb!$AJ$5,),N35)/P35)</f>
        <v>3.5844915874177028</v>
      </c>
      <c r="S35" s="723">
        <f ca="1">IF(N35="","",(INDEX(OFFSET(Arb!$U$2,,,Arb!$AJ$5,),N35)+INDEX(OFFSET(Arb!$V$2,,,Arb!$AJ$5,),N35))/P35)</f>
        <v>3.9868324798829553</v>
      </c>
      <c r="T35" s="90">
        <f ca="1">INDEX(OFFSET(Arb!$AC$2,,,Arb!$AJ$5,),N35)/16</f>
        <v>250.5</v>
      </c>
      <c r="U35" s="428">
        <f t="shared" ca="1" si="6"/>
        <v>9.1623994147768837</v>
      </c>
      <c r="V35" s="93">
        <f t="shared" ca="1" si="7"/>
        <v>32.842543622828622</v>
      </c>
      <c r="W35" s="87">
        <f t="shared" ca="1" si="8"/>
        <v>0.33133732534930138</v>
      </c>
      <c r="X35" s="91">
        <f ca="1">DATE(INDEX(OFFSET(Arb!$C$2,,,Arb!$AJ$5,),N35),INDEX(OFFSET(Arb!$B$2,,,Arb!$AJ$5,),N35),INDEX(OFFSET(Arb!$A$2,,,Arb!$AJ$5,),N35))</f>
        <v>43817</v>
      </c>
      <c r="Y35" s="414">
        <v>9</v>
      </c>
      <c r="Z35" s="408">
        <v>3290</v>
      </c>
      <c r="AA35" s="433">
        <f ca="1">IF(Z35="",164,INDEX(OFFSET(Arb!$I$2,,,Arb!$AJ$5,),Z35))</f>
        <v>168</v>
      </c>
      <c r="AB35" s="679">
        <f ca="1">IF(Z35="",240,INDEX(OFFSET(Arb!$H$2,,,Arb!$AJ$5,),Z35))</f>
        <v>72.67</v>
      </c>
      <c r="AC35" s="769">
        <f t="shared" ca="1" si="14"/>
        <v>2.3118205586899685</v>
      </c>
      <c r="AD35" s="725">
        <f ca="1">IF(Z35="","",INDEX(OFFSET(Arb!$X$2,,,Arb!$AJ$5,),Z35)/AB35)</f>
        <v>2.8347323517269851</v>
      </c>
      <c r="AE35" s="561">
        <f ca="1">IF(Z35="","",(INDEX(OFFSET(Arb!$U$2,,,Arb!$AJ$5,),Z35)+INDEX(OFFSET(Arb!$V$2,,,Arb!$AJ$5,),Z35))/AB35)</f>
        <v>3.1649924315398374</v>
      </c>
      <c r="AF35" s="90">
        <f ca="1">INDEX(OFFSET(Arb!$AC$2,,,Arb!$AJ$5,),Z35)/16</f>
        <v>633.625</v>
      </c>
      <c r="AG35" s="428">
        <f t="shared" ca="1" si="9"/>
        <v>8.7192101279757814</v>
      </c>
      <c r="AH35" s="93">
        <f t="shared" ca="1" si="10"/>
        <v>24.716627031278534</v>
      </c>
      <c r="AI35" s="87">
        <f t="shared" ca="1" si="11"/>
        <v>0.26514105346222133</v>
      </c>
      <c r="AJ35" s="91">
        <f ca="1">DATE(INDEX(OFFSET(Arb!$C$2,,,Arb!$AJ$5,),Z35),INDEX(OFFSET(Arb!$B$2,,,Arb!$AJ$5,),Z35),INDEX(OFFSET(Arb!$A$2,,,Arb!$AJ$5,),Z35))</f>
        <v>44084</v>
      </c>
    </row>
    <row r="36" spans="1:36" x14ac:dyDescent="0.25">
      <c r="A36" s="89">
        <v>10</v>
      </c>
      <c r="B36" s="408">
        <v>1656</v>
      </c>
      <c r="C36" s="433">
        <f ca="1">IF(B36="",16,INDEX(OFFSET(Arb!$I$2,,,Arb!$AJ$5,),B36))</f>
        <v>20</v>
      </c>
      <c r="D36" s="684">
        <f ca="1">IF(B36="",10,INDEX(OFFSET(Arb!$H$2,,,Arb!$AJ$5,),B36))</f>
        <v>5.0999999999999996</v>
      </c>
      <c r="E36" s="723">
        <f t="shared" ca="1" si="12"/>
        <v>3.9215686274509807</v>
      </c>
      <c r="F36" s="564">
        <f ca="1">IF(B36="","",INDEX(OFFSET(Arb!$X$2,,,Arb!$AJ$5,),B36)/D36)</f>
        <v>4.7058823529411766</v>
      </c>
      <c r="G36" s="721">
        <f ca="1">IF(B36="","",(INDEX(OFFSET(Arb!$U$2,,,Arb!$AJ$5,),B36)+INDEX(OFFSET(Arb!$V$2,,,Arb!$AJ$5,),B36))/D36)</f>
        <v>4.9019607843137258</v>
      </c>
      <c r="H36" s="85">
        <f ca="1">INDEX(OFFSET(Arb!$AC$2,,,Arb!$AJ$5,),B36)/16</f>
        <v>60.375</v>
      </c>
      <c r="I36" s="428">
        <f t="shared" ca="1" si="3"/>
        <v>11.838235294117649</v>
      </c>
      <c r="J36" s="93">
        <f t="shared" ca="1" si="4"/>
        <v>55.709342560553644</v>
      </c>
      <c r="K36" s="87">
        <f t="shared" ca="1" si="5"/>
        <v>0.33126293995859213</v>
      </c>
      <c r="L36" s="88">
        <f ca="1">DATE(INDEX(OFFSET(Arb!$C$2,,,Arb!$AJ$5,),B36),INDEX(OFFSET(Arb!$B$2,,,Arb!$AJ$5,),B36),INDEX(OFFSET(Arb!$A$2,,,Arb!$AJ$5,),B36))</f>
        <v>44096</v>
      </c>
      <c r="M36" s="89">
        <v>10</v>
      </c>
      <c r="N36" s="408">
        <v>2330</v>
      </c>
      <c r="O36" s="433">
        <f ca="1">IF(N36="",64,INDEX(OFFSET(Arb!$I$2,,,Arb!$AJ$5,),N36))</f>
        <v>48</v>
      </c>
      <c r="P36" s="559">
        <f ca="1">IF(N36="",60,INDEX(OFFSET(Arb!$H$2,,,Arb!$AJ$5,),N36))</f>
        <v>17.940000000000001</v>
      </c>
      <c r="Q36" s="726">
        <f t="shared" ca="1" si="13"/>
        <v>2.6755852842809364</v>
      </c>
      <c r="R36" s="724">
        <f ca="1">IF(N36="","",INDEX(OFFSET(Arb!$X$2,,,Arb!$AJ$5,),N36)/P36)</f>
        <v>3.4559643255295427</v>
      </c>
      <c r="S36" s="563">
        <f ca="1">IF(N36="","",(INDEX(OFFSET(Arb!$U$2,,,Arb!$AJ$5,),N36)+INDEX(OFFSET(Arb!$V$2,,,Arb!$AJ$5,),N36))/P36)</f>
        <v>4.1248606465997764</v>
      </c>
      <c r="T36" s="90">
        <f ca="1">INDEX(OFFSET(Arb!$AC$2,,,Arb!$AJ$5,),N36)/16</f>
        <v>167.6875</v>
      </c>
      <c r="U36" s="428">
        <f t="shared" ca="1" si="6"/>
        <v>9.3471293199554069</v>
      </c>
      <c r="V36" s="93">
        <f t="shared" ca="1" si="7"/>
        <v>32.303345475877101</v>
      </c>
      <c r="W36" s="87">
        <f t="shared" ca="1" si="8"/>
        <v>0.28624673872530748</v>
      </c>
      <c r="X36" s="91">
        <f ca="1">DATE(INDEX(OFFSET(Arb!$C$2,,,Arb!$AJ$5,),N36),INDEX(OFFSET(Arb!$B$2,,,Arb!$AJ$5,),N36),INDEX(OFFSET(Arb!$A$2,,,Arb!$AJ$5,),N36))</f>
        <v>44093</v>
      </c>
      <c r="Y36" s="414">
        <v>10</v>
      </c>
      <c r="Z36" s="408">
        <v>3083</v>
      </c>
      <c r="AA36" s="433">
        <f ca="1">IF(Z36="",164,INDEX(OFFSET(Arb!$I$2,,,Arb!$AJ$5,),Z36))</f>
        <v>189</v>
      </c>
      <c r="AB36" s="679">
        <f ca="1">IF(Z36="",240,INDEX(OFFSET(Arb!$H$2,,,Arb!$AJ$5,),Z36))</f>
        <v>72.209999999999994</v>
      </c>
      <c r="AC36" s="726">
        <f t="shared" ca="1" si="14"/>
        <v>2.6173660157872871</v>
      </c>
      <c r="AD36" s="561">
        <f ca="1">IF(Z36="","",INDEX(OFFSET(Arb!$X$2,,,Arb!$AJ$5,),Z36)/AB36)</f>
        <v>3.1851544107464345</v>
      </c>
      <c r="AE36" s="724">
        <f ca="1">IF(Z36="","",(INDEX(OFFSET(Arb!$U$2,,,Arb!$AJ$5,),Z36)+INDEX(OFFSET(Arb!$V$2,,,Arb!$AJ$5,),Z36))/AB36)</f>
        <v>3.4898213543830496</v>
      </c>
      <c r="AF36" s="90">
        <f ca="1">INDEX(OFFSET(Arb!$AC$2,,,Arb!$AJ$5,),Z36)/16</f>
        <v>559</v>
      </c>
      <c r="AG36" s="428">
        <f t="shared" ca="1" si="9"/>
        <v>7.7413100678576381</v>
      </c>
      <c r="AH36" s="93">
        <f t="shared" ca="1" si="10"/>
        <v>24.657267907592537</v>
      </c>
      <c r="AI36" s="87">
        <f t="shared" ca="1" si="11"/>
        <v>0.33810375670840787</v>
      </c>
      <c r="AJ36" s="91">
        <f ca="1">DATE(INDEX(OFFSET(Arb!$C$2,,,Arb!$AJ$5,),Z36),INDEX(OFFSET(Arb!$B$2,,,Arb!$AJ$5,),Z36),INDEX(OFFSET(Arb!$A$2,,,Arb!$AJ$5,),Z36))</f>
        <v>44003</v>
      </c>
    </row>
    <row r="37" spans="1:36" x14ac:dyDescent="0.25">
      <c r="A37" s="89">
        <v>11</v>
      </c>
      <c r="B37" s="408">
        <v>1661</v>
      </c>
      <c r="C37" s="433">
        <f ca="1">IF(B37="",16,INDEX(OFFSET(Arb!$I$2,,,Arb!$AJ$5,),B37))</f>
        <v>12</v>
      </c>
      <c r="D37" s="686">
        <f ca="1">IF(B37="",10,INDEX(OFFSET(Arb!$H$2,,,Arb!$AJ$5,),B37))</f>
        <v>3.19</v>
      </c>
      <c r="E37" s="723">
        <f t="shared" ca="1" si="12"/>
        <v>3.761755485893417</v>
      </c>
      <c r="F37" s="563">
        <f ca="1">IF(B37="","",INDEX(OFFSET(Arb!$X$2,,,Arb!$AJ$5,),B37)/D37)</f>
        <v>4.0752351097178687</v>
      </c>
      <c r="G37" s="722">
        <f ca="1">IF(B37="","",(INDEX(OFFSET(Arb!$U$2,,,Arb!$AJ$5,),B37)+INDEX(OFFSET(Arb!$V$2,,,Arb!$AJ$5,),B37))/D37)</f>
        <v>4.3887147335423196</v>
      </c>
      <c r="H37" s="85">
        <f ca="1">INDEX(OFFSET(Arb!$AC$2,,,Arb!$AJ$5,),B37)/16</f>
        <v>43.0625</v>
      </c>
      <c r="I37" s="428">
        <f t="shared" ca="1" si="3"/>
        <v>13.499216300940439</v>
      </c>
      <c r="J37" s="93">
        <f t="shared" ca="1" si="4"/>
        <v>55.012480223268255</v>
      </c>
      <c r="K37" s="87">
        <f t="shared" ca="1" si="5"/>
        <v>0.27866473149492016</v>
      </c>
      <c r="L37" s="88">
        <f ca="1">DATE(INDEX(OFFSET(Arb!$C$2,,,Arb!$AJ$5,),B37),INDEX(OFFSET(Arb!$B$2,,,Arb!$AJ$5,),B37),INDEX(OFFSET(Arb!$A$2,,,Arb!$AJ$5,),B37))</f>
        <v>44096</v>
      </c>
      <c r="M37" s="89">
        <v>11</v>
      </c>
      <c r="N37" s="408">
        <v>2318</v>
      </c>
      <c r="O37" s="433">
        <f ca="1">IF(N37="",64,INDEX(OFFSET(Arb!$I$2,,,Arb!$AJ$5,),N37))</f>
        <v>58</v>
      </c>
      <c r="P37" s="692">
        <f ca="1">IF(N37="",60,INDEX(OFFSET(Arb!$H$2,,,Arb!$AJ$5,),N37))</f>
        <v>21.75</v>
      </c>
      <c r="Q37" s="726">
        <f t="shared" ca="1" si="13"/>
        <v>2.6666666666666665</v>
      </c>
      <c r="R37" s="561">
        <f ca="1">IF(N37="","",INDEX(OFFSET(Arb!$X$2,,,Arb!$AJ$5,),N37)/P37)</f>
        <v>3.1724137931034484</v>
      </c>
      <c r="S37" s="562">
        <f ca="1">IF(N37="","",(INDEX(OFFSET(Arb!$U$2,,,Arb!$AJ$5,),N37)+INDEX(OFFSET(Arb!$V$2,,,Arb!$AJ$5,),N37))/P37)</f>
        <v>3.7241379310344827</v>
      </c>
      <c r="T37" s="90">
        <f ca="1">INDEX(OFFSET(Arb!$AC$2,,,Arb!$AJ$5,),N37)/16</f>
        <v>221.4375</v>
      </c>
      <c r="U37" s="428">
        <f t="shared" ca="1" si="6"/>
        <v>10.181034482758621</v>
      </c>
      <c r="V37" s="93">
        <f t="shared" ca="1" si="7"/>
        <v>32.298454221165279</v>
      </c>
      <c r="W37" s="87">
        <f t="shared" ca="1" si="8"/>
        <v>0.26192492238216203</v>
      </c>
      <c r="X37" s="91">
        <f ca="1">DATE(INDEX(OFFSET(Arb!$C$2,,,Arb!$AJ$5,),N37),INDEX(OFFSET(Arb!$B$2,,,Arb!$AJ$5,),N37),INDEX(OFFSET(Arb!$A$2,,,Arb!$AJ$5,),N37))</f>
        <v>43967</v>
      </c>
      <c r="Y37" s="414">
        <v>11</v>
      </c>
      <c r="Z37" s="408">
        <v>3213</v>
      </c>
      <c r="AA37" s="433">
        <f ca="1">IF(Z37="",164,INDEX(OFFSET(Arb!$I$2,,,Arb!$AJ$5,),Z37))</f>
        <v>236</v>
      </c>
      <c r="AB37" s="682">
        <f ca="1">IF(Z37="",240,INDEX(OFFSET(Arb!$H$2,,,Arb!$AJ$5,),Z37))</f>
        <v>83.1</v>
      </c>
      <c r="AC37" s="725">
        <f t="shared" ca="1" si="14"/>
        <v>2.8399518652226234</v>
      </c>
      <c r="AD37" s="561">
        <f ca="1">IF(Z37="","",INDEX(OFFSET(Arb!$X$2,,,Arb!$AJ$5,),Z37)/AB37)</f>
        <v>3.1648616125150424</v>
      </c>
      <c r="AE37" s="562">
        <f ca="1">IF(Z37="","",(INDEX(OFFSET(Arb!$U$2,,,Arb!$AJ$5,),Z37)+INDEX(OFFSET(Arb!$V$2,,,Arb!$AJ$5,),Z37))/AB37)</f>
        <v>3.5379061371841156</v>
      </c>
      <c r="AF37" s="90">
        <f ca="1">INDEX(OFFSET(Arb!$AC$2,,,Arb!$AJ$5,),Z37)/16</f>
        <v>640.4375</v>
      </c>
      <c r="AG37" s="428">
        <f t="shared" ca="1" si="9"/>
        <v>7.7068291215403137</v>
      </c>
      <c r="AH37" s="93">
        <f t="shared" ca="1" si="10"/>
        <v>24.391047640975966</v>
      </c>
      <c r="AI37" s="87">
        <f t="shared" ca="1" si="11"/>
        <v>0.36849809700400116</v>
      </c>
      <c r="AJ37" s="91">
        <f ca="1">DATE(INDEX(OFFSET(Arb!$C$2,,,Arb!$AJ$5,),Z37),INDEX(OFFSET(Arb!$B$2,,,Arb!$AJ$5,),Z37),INDEX(OFFSET(Arb!$A$2,,,Arb!$AJ$5,),Z37))</f>
        <v>44059</v>
      </c>
    </row>
    <row r="38" spans="1:36" x14ac:dyDescent="0.25">
      <c r="A38" s="89">
        <v>12</v>
      </c>
      <c r="B38" s="408">
        <v>1595</v>
      </c>
      <c r="C38" s="433">
        <f ca="1">IF(B38="",16,INDEX(OFFSET(Arb!$I$2,,,Arb!$AJ$5,),B38))</f>
        <v>24</v>
      </c>
      <c r="D38" s="684">
        <f ca="1">IF(B38="",10,INDEX(OFFSET(Arb!$H$2,,,Arb!$AJ$5,),B38))</f>
        <v>5.28</v>
      </c>
      <c r="E38" s="564">
        <f t="shared" ca="1" si="12"/>
        <v>4.545454545454545</v>
      </c>
      <c r="F38" s="564">
        <f ca="1">IF(B38="","",INDEX(OFFSET(Arb!$X$2,,,Arb!$AJ$5,),B38)/D38)</f>
        <v>4.7348484848484844</v>
      </c>
      <c r="G38" s="565">
        <f ca="1">IF(B38="","",(INDEX(OFFSET(Arb!$U$2,,,Arb!$AJ$5,),B38)+INDEX(OFFSET(Arb!$V$2,,,Arb!$AJ$5,),B38))/D38)</f>
        <v>5.1136363636363633</v>
      </c>
      <c r="H38" s="85">
        <f ca="1">INDEX(OFFSET(Arb!$AC$2,,,Arb!$AJ$5,),B38)/16</f>
        <v>60.8125</v>
      </c>
      <c r="I38" s="428">
        <f t="shared" ca="1" si="3"/>
        <v>11.517518939393939</v>
      </c>
      <c r="J38" s="93">
        <f t="shared" ca="1" si="4"/>
        <v>54.533707099403117</v>
      </c>
      <c r="K38" s="87">
        <f t="shared" ca="1" si="5"/>
        <v>0.39465570400822197</v>
      </c>
      <c r="L38" s="88">
        <f ca="1">DATE(INDEX(OFFSET(Arb!$C$2,,,Arb!$AJ$5,),B38),INDEX(OFFSET(Arb!$B$2,,,Arb!$AJ$5,),B38),INDEX(OFFSET(Arb!$A$2,,,Arb!$AJ$5,),B38))</f>
        <v>44054</v>
      </c>
      <c r="M38" s="89">
        <v>12</v>
      </c>
      <c r="N38" s="408">
        <v>2322</v>
      </c>
      <c r="O38" s="433">
        <f ca="1">IF(N38="",64,INDEX(OFFSET(Arb!$I$2,,,Arb!$AJ$5,),N38))</f>
        <v>82</v>
      </c>
      <c r="P38" s="682">
        <f ca="1">IF(N38="",60,INDEX(OFFSET(Arb!$H$2,,,Arb!$AJ$5,),N38))</f>
        <v>27.89</v>
      </c>
      <c r="Q38" s="725">
        <f t="shared" ca="1" si="13"/>
        <v>2.9401219074937255</v>
      </c>
      <c r="R38" s="723">
        <f ca="1">IF(N38="","",INDEX(OFFSET(Arb!$X$2,,,Arb!$AJ$5,),N38)/P38)</f>
        <v>3.8006453926138399</v>
      </c>
      <c r="S38" s="564">
        <f ca="1">IF(N38="","",(INDEX(OFFSET(Arb!$U$2,,,Arb!$AJ$5,),N38)+INDEX(OFFSET(Arb!$V$2,,,Arb!$AJ$5,),N38))/P38)</f>
        <v>4.6611688777339548</v>
      </c>
      <c r="T38" s="90">
        <f ca="1">INDEX(OFFSET(Arb!$AC$2,,,Arb!$AJ$5,),N38)/16</f>
        <v>236.4375</v>
      </c>
      <c r="U38" s="428">
        <f t="shared" ca="1" si="6"/>
        <v>8.4775008963786309</v>
      </c>
      <c r="V38" s="93">
        <f t="shared" ca="1" si="7"/>
        <v>32.219974722701139</v>
      </c>
      <c r="W38" s="87">
        <f t="shared" ca="1" si="8"/>
        <v>0.34681469733016124</v>
      </c>
      <c r="X38" s="91">
        <f ca="1">DATE(INDEX(OFFSET(Arb!$C$2,,,Arb!$AJ$5,),N38),INDEX(OFFSET(Arb!$B$2,,,Arb!$AJ$5,),N38),INDEX(OFFSET(Arb!$A$2,,,Arb!$AJ$5,),N38))</f>
        <v>43990</v>
      </c>
      <c r="Y38" s="414">
        <v>12</v>
      </c>
      <c r="Z38" s="408">
        <v>3238</v>
      </c>
      <c r="AA38" s="433">
        <f ca="1">IF(Z38="",164,INDEX(OFFSET(Arb!$I$2,,,Arb!$AJ$5,),Z38))</f>
        <v>197</v>
      </c>
      <c r="AB38" s="679">
        <f ca="1">IF(Z38="",240,INDEX(OFFSET(Arb!$H$2,,,Arb!$AJ$5,),Z38))</f>
        <v>70.430000000000007</v>
      </c>
      <c r="AC38" s="725">
        <f t="shared" ca="1" si="14"/>
        <v>2.7971035070282548</v>
      </c>
      <c r="AD38" s="561">
        <f ca="1">IF(Z38="","",INDEX(OFFSET(Arb!$X$2,,,Arb!$AJ$5,),Z38)/AB38)</f>
        <v>3.2372568507738175</v>
      </c>
      <c r="AE38" s="562">
        <f ca="1">IF(Z38="","",(INDEX(OFFSET(Arb!$U$2,,,Arb!$AJ$5,),Z38)+INDEX(OFFSET(Arb!$V$2,,,Arb!$AJ$5,),Z38))/AB38)</f>
        <v>3.6064177197217093</v>
      </c>
      <c r="AF38" s="90">
        <f ca="1">INDEX(OFFSET(Arb!$AC$2,,,Arb!$AJ$5,),Z38)/16</f>
        <v>529.125</v>
      </c>
      <c r="AG38" s="428">
        <f t="shared" ca="1" si="9"/>
        <v>7.5127786454635803</v>
      </c>
      <c r="AH38" s="93">
        <f t="shared" ca="1" si="10"/>
        <v>24.320794138374218</v>
      </c>
      <c r="AI38" s="87">
        <f t="shared" ca="1" si="11"/>
        <v>0.37231278053390032</v>
      </c>
      <c r="AJ38" s="91">
        <f ca="1">DATE(INDEX(OFFSET(Arb!$C$2,,,Arb!$AJ$5,),Z38),INDEX(OFFSET(Arb!$B$2,,,Arb!$AJ$5,),Z38),INDEX(OFFSET(Arb!$A$2,,,Arb!$AJ$5,),Z38))</f>
        <v>44064</v>
      </c>
    </row>
    <row r="39" spans="1:36" x14ac:dyDescent="0.25">
      <c r="A39" s="89">
        <v>13</v>
      </c>
      <c r="B39" s="408">
        <v>1564</v>
      </c>
      <c r="C39" s="433">
        <f ca="1">IF(B39="",16,INDEX(OFFSET(Arb!$I$2,,,Arb!$AJ$5,),B39))</f>
        <v>14</v>
      </c>
      <c r="D39" s="274">
        <f ca="1">IF(B39="",10,INDEX(OFFSET(Arb!$H$2,,,Arb!$AJ$5,),B39))</f>
        <v>4.8600000000000003</v>
      </c>
      <c r="E39" s="725">
        <f t="shared" ca="1" si="12"/>
        <v>2.8806584362139915</v>
      </c>
      <c r="F39" s="721">
        <f ca="1">IF(B39="","",INDEX(OFFSET(Arb!$X$2,,,Arb!$AJ$5,),B39)/D39)</f>
        <v>4.9382716049382713</v>
      </c>
      <c r="G39" s="772">
        <f ca="1">IF(B39="","",(INDEX(OFFSET(Arb!$U$2,,,Arb!$AJ$5,),B39)+INDEX(OFFSET(Arb!$V$2,,,Arb!$AJ$5,),B39))/D39)</f>
        <v>5.3497942386831276</v>
      </c>
      <c r="H39" s="85">
        <f ca="1">INDEX(OFFSET(Arb!$AC$2,,,Arb!$AJ$5,),B39)/16</f>
        <v>53.625</v>
      </c>
      <c r="I39" s="428">
        <f t="shared" ca="1" si="3"/>
        <v>11.033950617283949</v>
      </c>
      <c r="J39" s="93">
        <f t="shared" ca="1" si="4"/>
        <v>54.488645023624436</v>
      </c>
      <c r="K39" s="87">
        <f t="shared" ca="1" si="5"/>
        <v>0.26107226107226106</v>
      </c>
      <c r="L39" s="88">
        <f ca="1">DATE(INDEX(OFFSET(Arb!$C$2,,,Arb!$AJ$5,),B39),INDEX(OFFSET(Arb!$B$2,,,Arb!$AJ$5,),B39),INDEX(OFFSET(Arb!$A$2,,,Arb!$AJ$5,),B39))</f>
        <v>43989</v>
      </c>
      <c r="M39" s="89">
        <v>13</v>
      </c>
      <c r="N39" s="408">
        <v>2274</v>
      </c>
      <c r="O39" s="433">
        <f ca="1">IF(N39="",64,INDEX(OFFSET(Arb!$I$2,,,Arb!$AJ$5,),N39))</f>
        <v>52</v>
      </c>
      <c r="P39" s="692">
        <f ca="1">IF(N39="",60,INDEX(OFFSET(Arb!$H$2,,,Arb!$AJ$5,),N39))</f>
        <v>21.37</v>
      </c>
      <c r="Q39" s="769">
        <f t="shared" ca="1" si="13"/>
        <v>2.4333177351427233</v>
      </c>
      <c r="R39" s="724">
        <f ca="1">IF(N39="","",INDEX(OFFSET(Arb!$X$2,,,Arb!$AJ$5,),N39)/P39)</f>
        <v>3.4160037435657462</v>
      </c>
      <c r="S39" s="723">
        <f ca="1">IF(N39="","",(INDEX(OFFSET(Arb!$U$2,,,Arb!$AJ$5,),N39)+INDEX(OFFSET(Arb!$V$2,,,Arb!$AJ$5,),N39))/P39)</f>
        <v>3.9307440336920916</v>
      </c>
      <c r="T39" s="90">
        <f ca="1">INDEX(OFFSET(Arb!$AC$2,,,Arb!$AJ$5,),N39)/16</f>
        <v>199.9375</v>
      </c>
      <c r="U39" s="428">
        <f t="shared" ca="1" si="6"/>
        <v>9.3559897051941974</v>
      </c>
      <c r="V39" s="93">
        <f t="shared" ca="1" si="7"/>
        <v>31.960095857705962</v>
      </c>
      <c r="W39" s="87">
        <f t="shared" ca="1" si="8"/>
        <v>0.26008127539856207</v>
      </c>
      <c r="X39" s="91">
        <f ca="1">DATE(INDEX(OFFSET(Arb!$C$2,,,Arb!$AJ$5,),N39),INDEX(OFFSET(Arb!$B$2,,,Arb!$AJ$5,),N39),INDEX(OFFSET(Arb!$A$2,,,Arb!$AJ$5,),N39))</f>
        <v>43934</v>
      </c>
      <c r="Y39" s="414">
        <v>13</v>
      </c>
      <c r="Z39" s="408">
        <v>3309</v>
      </c>
      <c r="AA39" s="433">
        <f ca="1">IF(Z39="",164,INDEX(OFFSET(Arb!$I$2,,,Arb!$AJ$5,),Z39))</f>
        <v>170</v>
      </c>
      <c r="AB39" s="692">
        <f ca="1">IF(Z39="",240,INDEX(OFFSET(Arb!$H$2,,,Arb!$AJ$5,),Z39))</f>
        <v>68.41</v>
      </c>
      <c r="AC39" s="769">
        <f t="shared" ca="1" si="14"/>
        <v>2.4850168104078354</v>
      </c>
      <c r="AD39" s="561">
        <f ca="1">IF(Z39="","",INDEX(OFFSET(Arb!$X$2,,,Arb!$AJ$5,),Z39)/AB39)</f>
        <v>3.1281976319251572</v>
      </c>
      <c r="AE39" s="724">
        <f ca="1">IF(Z39="","",(INDEX(OFFSET(Arb!$U$2,,,Arb!$AJ$5,),Z39)+INDEX(OFFSET(Arb!$V$2,,,Arb!$AJ$5,),Z39))/AB39)</f>
        <v>3.4497880426838181</v>
      </c>
      <c r="AF39" s="90">
        <f ca="1">INDEX(OFFSET(Arb!$AC$2,,,Arb!$AJ$5,),Z39)/16</f>
        <v>531.25</v>
      </c>
      <c r="AG39" s="428">
        <f t="shared" ca="1" si="9"/>
        <v>7.7656775325244851</v>
      </c>
      <c r="AH39" s="93">
        <f t="shared" ca="1" si="10"/>
        <v>24.292574067537494</v>
      </c>
      <c r="AI39" s="87">
        <f t="shared" ca="1" si="11"/>
        <v>0.32</v>
      </c>
      <c r="AJ39" s="91">
        <f ca="1">DATE(INDEX(OFFSET(Arb!$C$2,,,Arb!$AJ$5,),Z39),INDEX(OFFSET(Arb!$B$2,,,Arb!$AJ$5,),Z39),INDEX(OFFSET(Arb!$A$2,,,Arb!$AJ$5,),Z39))</f>
        <v>44092</v>
      </c>
    </row>
    <row r="40" spans="1:36" x14ac:dyDescent="0.25">
      <c r="A40" s="89">
        <v>14</v>
      </c>
      <c r="B40" s="408">
        <v>597</v>
      </c>
      <c r="C40" s="433">
        <f ca="1">IF(B40="",16,INDEX(OFFSET(Arb!$I$2,,,Arb!$AJ$5,),B40))</f>
        <v>24</v>
      </c>
      <c r="D40" s="679">
        <f ca="1">IF(B40="",10,INDEX(OFFSET(Arb!$H$2,,,Arb!$AJ$5,),B40))</f>
        <v>8.1</v>
      </c>
      <c r="E40" s="725">
        <f t="shared" ca="1" si="12"/>
        <v>2.9629629629629632</v>
      </c>
      <c r="F40" s="564">
        <f ca="1">IF(B40="","",INDEX(OFFSET(Arb!$X$2,,,Arb!$AJ$5,),B40)/D40)</f>
        <v>4.5679012345679011</v>
      </c>
      <c r="G40" s="565">
        <f ca="1">IF(B40="","",(INDEX(OFFSET(Arb!$U$2,,,Arb!$AJ$5,),B40)+INDEX(OFFSET(Arb!$V$2,,,Arb!$AJ$5,),B40))/D40)</f>
        <v>5.1851851851851851</v>
      </c>
      <c r="H40" s="85">
        <f ca="1">INDEX(OFFSET(Arb!$AC$2,,,Arb!$AJ$5,),B40)/16</f>
        <v>96.5625</v>
      </c>
      <c r="I40" s="428">
        <f t="shared" ca="1" si="3"/>
        <v>11.921296296296298</v>
      </c>
      <c r="J40" s="93">
        <f t="shared" ca="1" si="4"/>
        <v>54.455304069501608</v>
      </c>
      <c r="K40" s="87">
        <f t="shared" ca="1" si="5"/>
        <v>0.24854368932038834</v>
      </c>
      <c r="L40" s="88">
        <f ca="1">DATE(INDEX(OFFSET(Arb!$C$2,,,Arb!$AJ$5,),B40),INDEX(OFFSET(Arb!$B$2,,,Arb!$AJ$5,),B40),INDEX(OFFSET(Arb!$A$2,,,Arb!$AJ$5,),B40))</f>
        <v>43798</v>
      </c>
      <c r="M40" s="89">
        <v>14</v>
      </c>
      <c r="N40" s="408">
        <v>2323</v>
      </c>
      <c r="O40" s="433">
        <f ca="1">IF(N40="",64,INDEX(OFFSET(Arb!$I$2,,,Arb!$AJ$5,),N40))</f>
        <v>48</v>
      </c>
      <c r="P40" s="691">
        <f ca="1">IF(N40="",60,INDEX(OFFSET(Arb!$H$2,,,Arb!$AJ$5,),N40))</f>
        <v>20.39</v>
      </c>
      <c r="Q40" s="769">
        <f t="shared" ca="1" si="13"/>
        <v>2.3540951446787641</v>
      </c>
      <c r="R40" s="724">
        <f ca="1">IF(N40="","",INDEX(OFFSET(Arb!$X$2,,,Arb!$AJ$5,),N40)/P40)</f>
        <v>3.3349681216282492</v>
      </c>
      <c r="S40" s="723">
        <f ca="1">IF(N40="","",(INDEX(OFFSET(Arb!$U$2,,,Arb!$AJ$5,),N40)+INDEX(OFFSET(Arb!$V$2,,,Arb!$AJ$5,),N40))/P40)</f>
        <v>3.8254046101029915</v>
      </c>
      <c r="T40" s="90">
        <f ca="1">INDEX(OFFSET(Arb!$AC$2,,,Arb!$AJ$5,),N40)/16</f>
        <v>195.0625</v>
      </c>
      <c r="U40" s="428">
        <f t="shared" ca="1" si="6"/>
        <v>9.5665767533104464</v>
      </c>
      <c r="V40" s="93">
        <f t="shared" ca="1" si="7"/>
        <v>31.904228505400216</v>
      </c>
      <c r="W40" s="87">
        <f t="shared" ca="1" si="8"/>
        <v>0.24607497596924063</v>
      </c>
      <c r="X40" s="91">
        <f ca="1">DATE(INDEX(OFFSET(Arb!$C$2,,,Arb!$AJ$5,),N40),INDEX(OFFSET(Arb!$B$2,,,Arb!$AJ$5,),N40),INDEX(OFFSET(Arb!$A$2,,,Arb!$AJ$5,),N40))</f>
        <v>44002</v>
      </c>
      <c r="Y40" s="414">
        <v>14</v>
      </c>
      <c r="Z40" s="408">
        <v>3237</v>
      </c>
      <c r="AA40" s="433">
        <f ca="1">IF(Z40="",164,INDEX(OFFSET(Arb!$I$2,,,Arb!$AJ$5,),Z40))</f>
        <v>201</v>
      </c>
      <c r="AB40" s="679">
        <f ca="1">IF(Z40="",240,INDEX(OFFSET(Arb!$H$2,,,Arb!$AJ$5,),Z40))</f>
        <v>72.66</v>
      </c>
      <c r="AC40" s="725">
        <f t="shared" ca="1" si="14"/>
        <v>2.7663088356729975</v>
      </c>
      <c r="AD40" s="561">
        <f ca="1">IF(Z40="","",INDEX(OFFSET(Arb!$X$2,,,Arb!$AJ$5,),Z40)/AB40)</f>
        <v>3.2342416735480319</v>
      </c>
      <c r="AE40" s="724">
        <f ca="1">IF(Z40="","",(INDEX(OFFSET(Arb!$U$2,,,Arb!$AJ$5,),Z40)+INDEX(OFFSET(Arb!$V$2,,,Arb!$AJ$5,),Z40))/AB40)</f>
        <v>3.454445361959813</v>
      </c>
      <c r="AF40" s="90">
        <f ca="1">INDEX(OFFSET(Arb!$AC$2,,,Arb!$AJ$5,),Z40)/16</f>
        <v>544.75</v>
      </c>
      <c r="AG40" s="428">
        <f t="shared" ca="1" si="9"/>
        <v>7.497247453894853</v>
      </c>
      <c r="AH40" s="93">
        <f t="shared" ca="1" si="10"/>
        <v>24.247910152288611</v>
      </c>
      <c r="AI40" s="87">
        <f t="shared" ca="1" si="11"/>
        <v>0.36897659476824229</v>
      </c>
      <c r="AJ40" s="91">
        <f ca="1">DATE(INDEX(OFFSET(Arb!$C$2,,,Arb!$AJ$5,),Z40),INDEX(OFFSET(Arb!$B$2,,,Arb!$AJ$5,),Z40),INDEX(OFFSET(Arb!$A$2,,,Arb!$AJ$5,),Z40))</f>
        <v>44064</v>
      </c>
    </row>
    <row r="41" spans="1:36" x14ac:dyDescent="0.25">
      <c r="A41" s="89">
        <v>15</v>
      </c>
      <c r="B41" s="408">
        <v>1598</v>
      </c>
      <c r="C41" s="433">
        <f ca="1">IF(B41="",16,INDEX(OFFSET(Arb!$I$2,,,Arb!$AJ$5,),B41))</f>
        <v>15</v>
      </c>
      <c r="D41" s="683">
        <f ca="1">IF(B41="",10,INDEX(OFFSET(Arb!$H$2,,,Arb!$AJ$5,),B41))</f>
        <v>4.45</v>
      </c>
      <c r="E41" s="724">
        <f t="shared" ca="1" si="12"/>
        <v>3.3707865168539324</v>
      </c>
      <c r="F41" s="564">
        <f ca="1">IF(B41="","",INDEX(OFFSET(Arb!$X$2,,,Arb!$AJ$5,),B41)/D41)</f>
        <v>4.7191011235955056</v>
      </c>
      <c r="G41" s="772">
        <f ca="1">IF(B41="","",(INDEX(OFFSET(Arb!$U$2,,,Arb!$AJ$5,),B41)+INDEX(OFFSET(Arb!$V$2,,,Arb!$AJ$5,),B41))/D41)</f>
        <v>5.393258426966292</v>
      </c>
      <c r="H41" s="85">
        <f ca="1">INDEX(OFFSET(Arb!$AC$2,,,Arb!$AJ$5,),B41)/16</f>
        <v>50.875</v>
      </c>
      <c r="I41" s="428">
        <f t="shared" ca="1" si="3"/>
        <v>11.432584269662922</v>
      </c>
      <c r="J41" s="93">
        <f t="shared" ca="1" si="4"/>
        <v>53.951521272566595</v>
      </c>
      <c r="K41" s="87">
        <f t="shared" ca="1" si="5"/>
        <v>0.29484029484029484</v>
      </c>
      <c r="L41" s="88">
        <f ca="1">DATE(INDEX(OFFSET(Arb!$C$2,,,Arb!$AJ$5,),B41),INDEX(OFFSET(Arb!$B$2,,,Arb!$AJ$5,),B41),INDEX(OFFSET(Arb!$A$2,,,Arb!$AJ$5,),B41))</f>
        <v>44054</v>
      </c>
      <c r="M41" s="89">
        <v>15</v>
      </c>
      <c r="N41" s="408">
        <v>2335</v>
      </c>
      <c r="O41" s="433">
        <f ca="1">IF(N41="",64,INDEX(OFFSET(Arb!$I$2,,,Arb!$AJ$5,),N41))</f>
        <v>59</v>
      </c>
      <c r="P41" s="692">
        <f ca="1">IF(N41="",60,INDEX(OFFSET(Arb!$H$2,,,Arb!$AJ$5,),N41))</f>
        <v>21.62</v>
      </c>
      <c r="Q41" s="726">
        <f t="shared" ca="1" si="13"/>
        <v>2.7289546716003699</v>
      </c>
      <c r="R41" s="562">
        <f ca="1">IF(N41="","",INDEX(OFFSET(Arb!$X$2,,,Arb!$AJ$5,),N41)/P41)</f>
        <v>3.700277520814061</v>
      </c>
      <c r="S41" s="722">
        <f ca="1">IF(N41="","",(INDEX(OFFSET(Arb!$U$2,,,Arb!$AJ$5,),N41)+INDEX(OFFSET(Arb!$V$2,,,Arb!$AJ$5,),N41))/P41)</f>
        <v>4.3015726179463458</v>
      </c>
      <c r="T41" s="90">
        <f ca="1">INDEX(OFFSET(Arb!$AC$2,,,Arb!$AJ$5,),N41)/16</f>
        <v>185.875</v>
      </c>
      <c r="U41" s="428">
        <f t="shared" ca="1" si="6"/>
        <v>8.5973635522664189</v>
      </c>
      <c r="V41" s="93">
        <f t="shared" ca="1" si="7"/>
        <v>31.812631090717552</v>
      </c>
      <c r="W41" s="87">
        <f t="shared" ca="1" si="8"/>
        <v>0.31741761936785473</v>
      </c>
      <c r="X41" s="91">
        <f ca="1">DATE(INDEX(OFFSET(Arb!$C$2,,,Arb!$AJ$5,),N41),INDEX(OFFSET(Arb!$B$2,,,Arb!$AJ$5,),N41),INDEX(OFFSET(Arb!$A$2,,,Arb!$AJ$5,),N41))</f>
        <v>44093</v>
      </c>
      <c r="Y41" s="414">
        <v>15</v>
      </c>
      <c r="Z41" s="408">
        <v>3343</v>
      </c>
      <c r="AA41" s="433">
        <f ca="1">IF(Z41="",164,INDEX(OFFSET(Arb!$I$2,,,Arb!$AJ$5,),Z41))</f>
        <v>191</v>
      </c>
      <c r="AB41" s="679">
        <f ca="1">IF(Z41="",240,INDEX(OFFSET(Arb!$H$2,,,Arb!$AJ$5,),Z41))</f>
        <v>72.14</v>
      </c>
      <c r="AC41" s="726">
        <f t="shared" ca="1" si="14"/>
        <v>2.6476296090934293</v>
      </c>
      <c r="AD41" s="561">
        <f ca="1">IF(Z41="","",INDEX(OFFSET(Arb!$X$2,,,Arb!$AJ$5,),Z41)/AB41)</f>
        <v>3.1605212087607431</v>
      </c>
      <c r="AE41" s="724">
        <f ca="1">IF(Z41="","",(INDEX(OFFSET(Arb!$U$2,,,Arb!$AJ$5,),Z41)+INDEX(OFFSET(Arb!$V$2,,,Arb!$AJ$5,),Z41))/AB41)</f>
        <v>3.410036041031328</v>
      </c>
      <c r="AF41" s="90">
        <f ca="1">INDEX(OFFSET(Arb!$AC$2,,,Arb!$AJ$5,),Z41)/16</f>
        <v>550.25</v>
      </c>
      <c r="AG41" s="428">
        <f t="shared" ca="1" si="9"/>
        <v>7.6275298031605212</v>
      </c>
      <c r="AH41" s="93">
        <f t="shared" ca="1" si="10"/>
        <v>24.106969713343481</v>
      </c>
      <c r="AI41" s="87">
        <f t="shared" ca="1" si="11"/>
        <v>0.34711494775102225</v>
      </c>
      <c r="AJ41" s="91">
        <f ca="1">DATE(INDEX(OFFSET(Arb!$C$2,,,Arb!$AJ$5,),Z41),INDEX(OFFSET(Arb!$B$2,,,Arb!$AJ$5,),Z41),INDEX(OFFSET(Arb!$A$2,,,Arb!$AJ$5,),Z41))</f>
        <v>44097</v>
      </c>
    </row>
    <row r="42" spans="1:36" x14ac:dyDescent="0.25">
      <c r="A42" s="89">
        <v>16</v>
      </c>
      <c r="B42" s="408">
        <v>1662</v>
      </c>
      <c r="C42" s="433">
        <f ca="1">IF(B42="",16,INDEX(OFFSET(Arb!$I$2,,,Arb!$AJ$5,),B42))</f>
        <v>14</v>
      </c>
      <c r="D42" s="683">
        <f ca="1">IF(B42="",10,INDEX(OFFSET(Arb!$H$2,,,Arb!$AJ$5,),B42))</f>
        <v>4.17</v>
      </c>
      <c r="E42" s="724">
        <f t="shared" ref="E42:E101" ca="1" si="15">C42/D42</f>
        <v>3.3573141486810552</v>
      </c>
      <c r="F42" s="562">
        <f ca="1">IF(B42="","",INDEX(OFFSET(Arb!$X$2,,,Arb!$AJ$5,),B42)/D42)</f>
        <v>3.5971223021582732</v>
      </c>
      <c r="G42" s="723">
        <f ca="1">IF(B42="","",(INDEX(OFFSET(Arb!$U$2,,,Arb!$AJ$5,),B42)+INDEX(OFFSET(Arb!$V$2,,,Arb!$AJ$5,),B42))/D42)</f>
        <v>3.8369304556354917</v>
      </c>
      <c r="H42" s="85">
        <f ca="1">INDEX(OFFSET(Arb!$AC$2,,,Arb!$AJ$5,),B42)/16</f>
        <v>62.5</v>
      </c>
      <c r="I42" s="428">
        <f t="shared" ref="I42:I101" ca="1" si="16">H42/D42</f>
        <v>14.98800959232614</v>
      </c>
      <c r="J42" s="93">
        <f t="shared" ref="J42:J101" ca="1" si="17">F42*I42</f>
        <v>53.913703569518489</v>
      </c>
      <c r="K42" s="87">
        <f t="shared" ref="K42:K101" ca="1" si="18">C42/H42</f>
        <v>0.224</v>
      </c>
      <c r="L42" s="88">
        <f ca="1">DATE(INDEX(OFFSET(Arb!$C$2,,,Arb!$AJ$5,),B42),INDEX(OFFSET(Arb!$B$2,,,Arb!$AJ$5,),B42),INDEX(OFFSET(Arb!$A$2,,,Arb!$AJ$5,),B42))</f>
        <v>44096</v>
      </c>
      <c r="M42" s="89">
        <v>16</v>
      </c>
      <c r="N42" s="408">
        <v>1905</v>
      </c>
      <c r="O42" s="433">
        <f ca="1">IF(N42="",64,INDEX(OFFSET(Arb!$I$2,,,Arb!$AJ$5,),N42))</f>
        <v>68</v>
      </c>
      <c r="P42" s="682">
        <f ca="1">IF(N42="",60,INDEX(OFFSET(Arb!$H$2,,,Arb!$AJ$5,),N42))</f>
        <v>27.31</v>
      </c>
      <c r="Q42" s="769">
        <f t="shared" ref="Q42:Q101" ca="1" si="19">O42/P42</f>
        <v>2.4899304284145005</v>
      </c>
      <c r="R42" s="724">
        <f ca="1">IF(N42="","",INDEX(OFFSET(Arb!$X$2,,,Arb!$AJ$5,),N42)/P42)</f>
        <v>3.4053460270963019</v>
      </c>
      <c r="S42" s="723">
        <f ca="1">IF(N42="","",(INDEX(OFFSET(Arb!$U$2,,,Arb!$AJ$5,),N42)+INDEX(OFFSET(Arb!$V$2,,,Arb!$AJ$5,),N42))/P42)</f>
        <v>3.8447455144635665</v>
      </c>
      <c r="T42" s="90">
        <f ca="1">INDEX(OFFSET(Arb!$AC$2,,,Arb!$AJ$5,),N42)/16</f>
        <v>254.5</v>
      </c>
      <c r="U42" s="428">
        <f t="shared" ref="U42:U101" ca="1" si="20">T42/P42</f>
        <v>9.3189307945807407</v>
      </c>
      <c r="V42" s="93">
        <f t="shared" ref="V42:V101" ca="1" si="21">R42*U42</f>
        <v>31.734183958110908</v>
      </c>
      <c r="W42" s="87">
        <f t="shared" ref="W42:W101" ca="1" si="22">O42/T42</f>
        <v>0.26719056974459726</v>
      </c>
      <c r="X42" s="91">
        <f ca="1">DATE(INDEX(OFFSET(Arb!$C$2,,,Arb!$AJ$5,),N42),INDEX(OFFSET(Arb!$B$2,,,Arb!$AJ$5,),N42),INDEX(OFFSET(Arb!$A$2,,,Arb!$AJ$5,),N42))</f>
        <v>43765</v>
      </c>
      <c r="Y42" s="414">
        <v>16</v>
      </c>
      <c r="Z42" s="408">
        <v>3241</v>
      </c>
      <c r="AA42" s="433">
        <f ca="1">IF(Z42="",164,INDEX(OFFSET(Arb!$I$2,,,Arb!$AJ$5,),Z42))</f>
        <v>146</v>
      </c>
      <c r="AB42" s="688">
        <f ca="1">IF(Z42="",240,INDEX(OFFSET(Arb!$H$2,,,Arb!$AJ$5,),Z42))</f>
        <v>59.17</v>
      </c>
      <c r="AC42" s="769">
        <f t="shared" ref="AC42:AC101" ca="1" si="23">AA42/AB42</f>
        <v>2.467466621598783</v>
      </c>
      <c r="AD42" s="561">
        <f ca="1">IF(Z42="","",INDEX(OFFSET(Arb!$X$2,,,Arb!$AJ$5,),Z42)/AB42)</f>
        <v>3.0927835051546393</v>
      </c>
      <c r="AE42" s="562">
        <f ca="1">IF(Z42="","",(INDEX(OFFSET(Arb!$U$2,,,Arb!$AJ$5,),Z42)+INDEX(OFFSET(Arb!$V$2,,,Arb!$AJ$5,),Z42))/AB42)</f>
        <v>3.5152949129626498</v>
      </c>
      <c r="AF42" s="90">
        <f ca="1">INDEX(OFFSET(Arb!$AC$2,,,Arb!$AJ$5,),Z42)/16</f>
        <v>460.0625</v>
      </c>
      <c r="AG42" s="428">
        <f t="shared" ref="AG42:AG101" ca="1" si="24">AF42/AB42</f>
        <v>7.7752661821869191</v>
      </c>
      <c r="AH42" s="93">
        <f t="shared" ref="AH42:AH101" ca="1" si="25">AD42*AG42</f>
        <v>24.04721499645439</v>
      </c>
      <c r="AI42" s="87">
        <f t="shared" ref="AI42:AI101" ca="1" si="26">AA42/AF42</f>
        <v>0.31734818638771906</v>
      </c>
      <c r="AJ42" s="91">
        <f ca="1">DATE(INDEX(OFFSET(Arb!$C$2,,,Arb!$AJ$5,),Z42),INDEX(OFFSET(Arb!$B$2,,,Arb!$AJ$5,),Z42),INDEX(OFFSET(Arb!$A$2,,,Arb!$AJ$5,),Z42))</f>
        <v>44064</v>
      </c>
    </row>
    <row r="43" spans="1:36" x14ac:dyDescent="0.25">
      <c r="A43" s="89">
        <v>17</v>
      </c>
      <c r="B43" s="408">
        <v>1776</v>
      </c>
      <c r="C43" s="433">
        <f ca="1">IF(B43="",16,INDEX(OFFSET(Arb!$I$2,,,Arb!$AJ$5,),B43))</f>
        <v>14</v>
      </c>
      <c r="D43" s="686">
        <f ca="1">IF(B43="",10,INDEX(OFFSET(Arb!$H$2,,,Arb!$AJ$5,),B43))</f>
        <v>3.23</v>
      </c>
      <c r="E43" s="722">
        <f t="shared" ca="1" si="15"/>
        <v>4.3343653250773997</v>
      </c>
      <c r="F43" s="722">
        <f ca="1">IF(B43="","",INDEX(OFFSET(Arb!$X$2,,,Arb!$AJ$5,),B43)/D43)</f>
        <v>4.3343653250773997</v>
      </c>
      <c r="G43" s="721">
        <f ca="1">IF(B43="","",(INDEX(OFFSET(Arb!$U$2,,,Arb!$AJ$5,),B43)+INDEX(OFFSET(Arb!$V$2,,,Arb!$AJ$5,),B43))/D43)</f>
        <v>4.9535603715170282</v>
      </c>
      <c r="H43" s="85">
        <f ca="1">INDEX(OFFSET(Arb!$AC$2,,,Arb!$AJ$5,),B43)/16</f>
        <v>40.125</v>
      </c>
      <c r="I43" s="428">
        <f t="shared" ca="1" si="16"/>
        <v>12.422600619195046</v>
      </c>
      <c r="J43" s="93">
        <f t="shared" ca="1" si="17"/>
        <v>53.844089371124042</v>
      </c>
      <c r="K43" s="87">
        <f t="shared" ca="1" si="18"/>
        <v>0.34890965732087226</v>
      </c>
      <c r="L43" s="88">
        <f ca="1">DATE(INDEX(OFFSET(Arb!$C$2,,,Arb!$AJ$5,),B43),INDEX(OFFSET(Arb!$B$2,,,Arb!$AJ$5,),B43),INDEX(OFFSET(Arb!$A$2,,,Arb!$AJ$5,),B43))</f>
        <v>44167</v>
      </c>
      <c r="M43" s="89">
        <v>17</v>
      </c>
      <c r="N43" s="408">
        <v>2287</v>
      </c>
      <c r="O43" s="433">
        <f ca="1">IF(N43="",64,INDEX(OFFSET(Arb!$I$2,,,Arb!$AJ$5,),N43))</f>
        <v>54</v>
      </c>
      <c r="P43" s="679">
        <f ca="1">IF(N43="",60,INDEX(OFFSET(Arb!$H$2,,,Arb!$AJ$5,),N43))</f>
        <v>23.98</v>
      </c>
      <c r="Q43" s="769">
        <f t="shared" ca="1" si="19"/>
        <v>2.2518765638031693</v>
      </c>
      <c r="R43" s="724">
        <f ca="1">IF(N43="","",INDEX(OFFSET(Arb!$X$2,,,Arb!$AJ$5,),N43)/P43)</f>
        <v>3.2527105921601334</v>
      </c>
      <c r="S43" s="723">
        <f ca="1">IF(N43="","",(INDEX(OFFSET(Arb!$U$2,,,Arb!$AJ$5,),N43)+INDEX(OFFSET(Arb!$V$2,,,Arb!$AJ$5,),N43))/P43)</f>
        <v>3.9199332777314426</v>
      </c>
      <c r="T43" s="90">
        <f ca="1">INDEX(OFFSET(Arb!$AC$2,,,Arb!$AJ$5,),N43)/16</f>
        <v>233.375</v>
      </c>
      <c r="U43" s="428">
        <f t="shared" ca="1" si="20"/>
        <v>9.7320683903252707</v>
      </c>
      <c r="V43" s="93">
        <f t="shared" ca="1" si="21"/>
        <v>31.655601936837826</v>
      </c>
      <c r="W43" s="87">
        <f t="shared" ca="1" si="22"/>
        <v>0.23138725227637921</v>
      </c>
      <c r="X43" s="91">
        <f ca="1">DATE(INDEX(OFFSET(Arb!$C$2,,,Arb!$AJ$5,),N43),INDEX(OFFSET(Arb!$B$2,,,Arb!$AJ$5,),N43),INDEX(OFFSET(Arb!$A$2,,,Arb!$AJ$5,),N43))</f>
        <v>43935</v>
      </c>
      <c r="Y43" s="414">
        <v>17</v>
      </c>
      <c r="Z43" s="408">
        <v>3299</v>
      </c>
      <c r="AA43" s="433">
        <f ca="1">IF(Z43="",164,INDEX(OFFSET(Arb!$I$2,,,Arb!$AJ$5,),Z43))</f>
        <v>202</v>
      </c>
      <c r="AB43" s="679">
        <f ca="1">IF(Z43="",240,INDEX(OFFSET(Arb!$H$2,,,Arb!$AJ$5,),Z43))</f>
        <v>73.099999999999994</v>
      </c>
      <c r="AC43" s="725">
        <f t="shared" ca="1" si="23"/>
        <v>2.7633378932968538</v>
      </c>
      <c r="AD43" s="724">
        <f ca="1">IF(Z43="","",INDEX(OFFSET(Arb!$X$2,,,Arb!$AJ$5,),Z43)/AB43)</f>
        <v>3.2831737346101235</v>
      </c>
      <c r="AE43" s="562">
        <f ca="1">IF(Z43="","",(INDEX(OFFSET(Arb!$U$2,,,Arb!$AJ$5,),Z43)+INDEX(OFFSET(Arb!$V$2,,,Arb!$AJ$5,),Z43))/AB43)</f>
        <v>3.5294117647058827</v>
      </c>
      <c r="AF43" s="90">
        <f ca="1">INDEX(OFFSET(Arb!$AC$2,,,Arb!$AJ$5,),Z43)/16</f>
        <v>533.1875</v>
      </c>
      <c r="AG43" s="428">
        <f t="shared" ca="1" si="24"/>
        <v>7.2939466484268127</v>
      </c>
      <c r="AH43" s="93">
        <f t="shared" ca="1" si="25"/>
        <v>23.947294057762452</v>
      </c>
      <c r="AI43" s="87">
        <f t="shared" ca="1" si="26"/>
        <v>0.37885359277927561</v>
      </c>
      <c r="AJ43" s="91">
        <f ca="1">DATE(INDEX(OFFSET(Arb!$C$2,,,Arb!$AJ$5,),Z43),INDEX(OFFSET(Arb!$B$2,,,Arb!$AJ$5,),Z43),INDEX(OFFSET(Arb!$A$2,,,Arb!$AJ$5,),Z43))</f>
        <v>44090</v>
      </c>
    </row>
    <row r="44" spans="1:36" x14ac:dyDescent="0.25">
      <c r="A44" s="89">
        <v>18</v>
      </c>
      <c r="B44" s="408">
        <v>563</v>
      </c>
      <c r="C44" s="433">
        <f ca="1">IF(B44="",16,INDEX(OFFSET(Arb!$I$2,,,Arb!$AJ$5,),B44))</f>
        <v>25</v>
      </c>
      <c r="D44" s="691">
        <f ca="1">IF(B44="",10,INDEX(OFFSET(Arb!$H$2,,,Arb!$AJ$5,),B44))</f>
        <v>7.27</v>
      </c>
      <c r="E44" s="724">
        <f t="shared" ca="1" si="15"/>
        <v>3.4387895460797799</v>
      </c>
      <c r="F44" s="564">
        <f ca="1">IF(B44="","",INDEX(OFFSET(Arb!$X$2,,,Arb!$AJ$5,),B44)/D44)</f>
        <v>4.5392022008253097</v>
      </c>
      <c r="G44" s="565">
        <f ca="1">IF(B44="","",(INDEX(OFFSET(Arb!$U$2,,,Arb!$AJ$5,),B44)+INDEX(OFFSET(Arb!$V$2,,,Arb!$AJ$5,),B44))/D44)</f>
        <v>5.0894085281980743</v>
      </c>
      <c r="H44" s="85">
        <f ca="1">INDEX(OFFSET(Arb!$AC$2,,,Arb!$AJ$5,),B44)/16</f>
        <v>85</v>
      </c>
      <c r="I44" s="428">
        <f t="shared" ca="1" si="16"/>
        <v>11.691884456671252</v>
      </c>
      <c r="J44" s="93">
        <f t="shared" ca="1" si="17"/>
        <v>53.071827657517375</v>
      </c>
      <c r="K44" s="87">
        <f t="shared" ca="1" si="18"/>
        <v>0.29411764705882354</v>
      </c>
      <c r="L44" s="88">
        <f ca="1">DATE(INDEX(OFFSET(Arb!$C$2,,,Arb!$AJ$5,),B44),INDEX(OFFSET(Arb!$B$2,,,Arb!$AJ$5,),B44),INDEX(OFFSET(Arb!$A$2,,,Arb!$AJ$5,),B44))</f>
        <v>43797</v>
      </c>
      <c r="M44" s="89">
        <v>18</v>
      </c>
      <c r="N44" s="408">
        <v>2286</v>
      </c>
      <c r="O44" s="433">
        <f ca="1">IF(N44="",64,INDEX(OFFSET(Arb!$I$2,,,Arb!$AJ$5,),N44))</f>
        <v>76</v>
      </c>
      <c r="P44" s="690">
        <f ca="1">IF(N44="",60,INDEX(OFFSET(Arb!$H$2,,,Arb!$AJ$5,),N44))</f>
        <v>28.63</v>
      </c>
      <c r="Q44" s="726">
        <f t="shared" ca="1" si="19"/>
        <v>2.6545581557806499</v>
      </c>
      <c r="R44" s="562">
        <f ca="1">IF(N44="","",INDEX(OFFSET(Arb!$X$2,,,Arb!$AJ$5,),N44)/P44)</f>
        <v>3.597624869018512</v>
      </c>
      <c r="S44" s="563">
        <f ca="1">IF(N44="","",(INDEX(OFFSET(Arb!$U$2,,,Arb!$AJ$5,),N44)+INDEX(OFFSET(Arb!$V$2,,,Arb!$AJ$5,),N44))/P44)</f>
        <v>4.0866224240307369</v>
      </c>
      <c r="T44" s="90">
        <f ca="1">INDEX(OFFSET(Arb!$AC$2,,,Arb!$AJ$5,),N44)/16</f>
        <v>251.8125</v>
      </c>
      <c r="U44" s="428">
        <f t="shared" ca="1" si="20"/>
        <v>8.7954069158225643</v>
      </c>
      <c r="V44" s="93">
        <f t="shared" ca="1" si="21"/>
        <v>31.642574653500667</v>
      </c>
      <c r="W44" s="87">
        <f t="shared" ca="1" si="22"/>
        <v>0.30181186398610077</v>
      </c>
      <c r="X44" s="91">
        <f ca="1">DATE(INDEX(OFFSET(Arb!$C$2,,,Arb!$AJ$5,),N44),INDEX(OFFSET(Arb!$B$2,,,Arb!$AJ$5,),N44),INDEX(OFFSET(Arb!$A$2,,,Arb!$AJ$5,),N44))</f>
        <v>43935</v>
      </c>
      <c r="Y44" s="414">
        <v>18</v>
      </c>
      <c r="Z44" s="408">
        <v>3350</v>
      </c>
      <c r="AA44" s="433">
        <f ca="1">IF(Z44="",164,INDEX(OFFSET(Arb!$I$2,,,Arb!$AJ$5,),Z44))</f>
        <v>141</v>
      </c>
      <c r="AB44" s="688">
        <f ca="1">IF(Z44="",240,INDEX(OFFSET(Arb!$H$2,,,Arb!$AJ$5,),Z44))</f>
        <v>60.62</v>
      </c>
      <c r="AC44" s="769">
        <f t="shared" ca="1" si="23"/>
        <v>2.3259650280435502</v>
      </c>
      <c r="AD44" s="561">
        <f ca="1">IF(Z44="","",INDEX(OFFSET(Arb!$X$2,,,Arb!$AJ$5,),Z44)/AB44)</f>
        <v>3.1012867040580669</v>
      </c>
      <c r="AE44" s="724">
        <f ca="1">IF(Z44="","",(INDEX(OFFSET(Arb!$U$2,,,Arb!$AJ$5,),Z44)+INDEX(OFFSET(Arb!$V$2,,,Arb!$AJ$5,),Z44))/AB44)</f>
        <v>3.464203233256351</v>
      </c>
      <c r="AF44" s="90">
        <f ca="1">INDEX(OFFSET(Arb!$AC$2,,,Arb!$AJ$5,),Z44)/16</f>
        <v>466.375</v>
      </c>
      <c r="AG44" s="428">
        <f t="shared" ca="1" si="24"/>
        <v>7.6934180138568129</v>
      </c>
      <c r="AH44" s="93">
        <f t="shared" ca="1" si="25"/>
        <v>23.859494995134956</v>
      </c>
      <c r="AI44" s="87">
        <f t="shared" ca="1" si="26"/>
        <v>0.30233181452693647</v>
      </c>
      <c r="AJ44" s="91">
        <f ca="1">DATE(INDEX(OFFSET(Arb!$C$2,,,Arb!$AJ$5,),Z44),INDEX(OFFSET(Arb!$B$2,,,Arb!$AJ$5,),Z44),INDEX(OFFSET(Arb!$A$2,,,Arb!$AJ$5,),Z44))</f>
        <v>44098</v>
      </c>
    </row>
    <row r="45" spans="1:36" x14ac:dyDescent="0.25">
      <c r="A45" s="89">
        <v>19</v>
      </c>
      <c r="B45" s="408">
        <v>1659</v>
      </c>
      <c r="C45" s="433">
        <f ca="1">IF(B45="",16,INDEX(OFFSET(Arb!$I$2,,,Arb!$AJ$5,),B45))</f>
        <v>16</v>
      </c>
      <c r="D45" s="274">
        <f ca="1">IF(B45="",10,INDEX(OFFSET(Arb!$H$2,,,Arb!$AJ$5,),B45))</f>
        <v>4.57</v>
      </c>
      <c r="E45" s="562">
        <f t="shared" ca="1" si="15"/>
        <v>3.5010940919037199</v>
      </c>
      <c r="F45" s="721">
        <f ca="1">IF(B45="","",INDEX(OFFSET(Arb!$X$2,,,Arb!$AJ$5,),B45)/D45)</f>
        <v>4.814004376367615</v>
      </c>
      <c r="G45" s="772">
        <f ca="1">IF(B45="","",(INDEX(OFFSET(Arb!$U$2,,,Arb!$AJ$5,),B45)+INDEX(OFFSET(Arb!$V$2,,,Arb!$AJ$5,),B45))/D45)</f>
        <v>5.4704595185995624</v>
      </c>
      <c r="H45" s="85">
        <f ca="1">INDEX(OFFSET(Arb!$AC$2,,,Arb!$AJ$5,),B45)/16</f>
        <v>50.25</v>
      </c>
      <c r="I45" s="428">
        <f t="shared" ca="1" si="16"/>
        <v>10.99562363238512</v>
      </c>
      <c r="J45" s="93">
        <f t="shared" ca="1" si="17"/>
        <v>52.932980287193139</v>
      </c>
      <c r="K45" s="87">
        <f t="shared" ca="1" si="18"/>
        <v>0.31840796019900497</v>
      </c>
      <c r="L45" s="88">
        <f ca="1">DATE(INDEX(OFFSET(Arb!$C$2,,,Arb!$AJ$5,),B45),INDEX(OFFSET(Arb!$B$2,,,Arb!$AJ$5,),B45),INDEX(OFFSET(Arb!$A$2,,,Arb!$AJ$5,),B45))</f>
        <v>44096</v>
      </c>
      <c r="M45" s="89">
        <v>19</v>
      </c>
      <c r="N45" s="408">
        <v>1930</v>
      </c>
      <c r="O45" s="433">
        <f ca="1">IF(N45="",64,INDEX(OFFSET(Arb!$I$2,,,Arb!$AJ$5,),N45))</f>
        <v>89</v>
      </c>
      <c r="P45" s="690">
        <f ca="1">IF(N45="",60,INDEX(OFFSET(Arb!$H$2,,,Arb!$AJ$5,),N45))</f>
        <v>29.4</v>
      </c>
      <c r="Q45" s="561">
        <f t="shared" ca="1" si="19"/>
        <v>3.0272108843537415</v>
      </c>
      <c r="R45" s="562">
        <f ca="1">IF(N45="","",INDEX(OFFSET(Arb!$X$2,,,Arb!$AJ$5,),N45)/P45)</f>
        <v>3.7414965986394559</v>
      </c>
      <c r="S45" s="563">
        <f ca="1">IF(N45="","",(INDEX(OFFSET(Arb!$U$2,,,Arb!$AJ$5,),N45)+INDEX(OFFSET(Arb!$V$2,,,Arb!$AJ$5,),N45))/P45)</f>
        <v>4.1836734693877551</v>
      </c>
      <c r="T45" s="90">
        <f ca="1">INDEX(OFFSET(Arb!$AC$2,,,Arb!$AJ$5,),N45)/16</f>
        <v>248.125</v>
      </c>
      <c r="U45" s="428">
        <f t="shared" ca="1" si="20"/>
        <v>8.4396258503401373</v>
      </c>
      <c r="V45" s="93">
        <f t="shared" ca="1" si="21"/>
        <v>31.576831412837251</v>
      </c>
      <c r="W45" s="87">
        <f t="shared" ca="1" si="22"/>
        <v>0.35869017632241812</v>
      </c>
      <c r="X45" s="91">
        <f ca="1">DATE(INDEX(OFFSET(Arb!$C$2,,,Arb!$AJ$5,),N45),INDEX(OFFSET(Arb!$B$2,,,Arb!$AJ$5,),N45),INDEX(OFFSET(Arb!$A$2,,,Arb!$AJ$5,),N45))</f>
        <v>43771</v>
      </c>
      <c r="Y45" s="414">
        <v>19</v>
      </c>
      <c r="Z45" s="408">
        <v>3314</v>
      </c>
      <c r="AA45" s="433">
        <f ca="1">IF(Z45="",164,INDEX(OFFSET(Arb!$I$2,,,Arb!$AJ$5,),Z45))</f>
        <v>181</v>
      </c>
      <c r="AB45" s="679">
        <f ca="1">IF(Z45="",240,INDEX(OFFSET(Arb!$H$2,,,Arb!$AJ$5,),Z45))</f>
        <v>69.28</v>
      </c>
      <c r="AC45" s="726">
        <f t="shared" ca="1" si="23"/>
        <v>2.6125866050808315</v>
      </c>
      <c r="AD45" s="561">
        <f ca="1">IF(Z45="","",INDEX(OFFSET(Arb!$X$2,,,Arb!$AJ$5,),Z45)/AB45)</f>
        <v>3.1899538106235563</v>
      </c>
      <c r="AE45" s="724">
        <f ca="1">IF(Z45="","",(INDEX(OFFSET(Arb!$U$2,,,Arb!$AJ$5,),Z45)+INDEX(OFFSET(Arb!$V$2,,,Arb!$AJ$5,),Z45))/AB45)</f>
        <v>3.464203233256351</v>
      </c>
      <c r="AF45" s="90">
        <f ca="1">INDEX(OFFSET(Arb!$AC$2,,,Arb!$AJ$5,),Z45)/16</f>
        <v>517.875</v>
      </c>
      <c r="AG45" s="428">
        <f t="shared" ca="1" si="24"/>
        <v>7.47510103926097</v>
      </c>
      <c r="AH45" s="93">
        <f t="shared" ca="1" si="25"/>
        <v>23.845227044986636</v>
      </c>
      <c r="AI45" s="87">
        <f t="shared" ca="1" si="26"/>
        <v>0.34950518947622494</v>
      </c>
      <c r="AJ45" s="91">
        <f ca="1">DATE(INDEX(OFFSET(Arb!$C$2,,,Arb!$AJ$5,),Z45),INDEX(OFFSET(Arb!$B$2,,,Arb!$AJ$5,),Z45),INDEX(OFFSET(Arb!$A$2,,,Arb!$AJ$5,),Z45))</f>
        <v>44094</v>
      </c>
    </row>
    <row r="46" spans="1:36" x14ac:dyDescent="0.25">
      <c r="A46" s="89">
        <v>20</v>
      </c>
      <c r="B46" s="408">
        <v>1614</v>
      </c>
      <c r="C46" s="433">
        <f ca="1">IF(B46="",16,INDEX(OFFSET(Arb!$I$2,,,Arb!$AJ$5,),B46))</f>
        <v>23</v>
      </c>
      <c r="D46" s="688">
        <f ca="1">IF(B46="",10,INDEX(OFFSET(Arb!$H$2,,,Arb!$AJ$5,),B46))</f>
        <v>6.23</v>
      </c>
      <c r="E46" s="562">
        <f t="shared" ca="1" si="15"/>
        <v>3.6918138041733544</v>
      </c>
      <c r="F46" s="721">
        <f ca="1">IF(B46="","",INDEX(OFFSET(Arb!$X$2,,,Arb!$AJ$5,),B46)/D46)</f>
        <v>4.815409309791332</v>
      </c>
      <c r="G46" s="779">
        <f ca="1">IF(B46="","",(INDEX(OFFSET(Arb!$U$2,,,Arb!$AJ$5,),B46)+INDEX(OFFSET(Arb!$V$2,,,Arb!$AJ$5,),B46))/D46)</f>
        <v>5.6179775280898872</v>
      </c>
      <c r="H46" s="85">
        <f ca="1">INDEX(OFFSET(Arb!$AC$2,,,Arb!$AJ$5,),B46)/16</f>
        <v>67.6875</v>
      </c>
      <c r="I46" s="428">
        <f t="shared" ca="1" si="16"/>
        <v>10.864767255216693</v>
      </c>
      <c r="J46" s="93">
        <f t="shared" ca="1" si="17"/>
        <v>52.318301389486479</v>
      </c>
      <c r="K46" s="87">
        <f t="shared" ca="1" si="18"/>
        <v>0.33979686057248382</v>
      </c>
      <c r="L46" s="88">
        <f ca="1">DATE(INDEX(OFFSET(Arb!$C$2,,,Arb!$AJ$5,),B46),INDEX(OFFSET(Arb!$B$2,,,Arb!$AJ$5,),B46),INDEX(OFFSET(Arb!$A$2,,,Arb!$AJ$5,),B46))</f>
        <v>44070</v>
      </c>
      <c r="M46" s="89">
        <v>20</v>
      </c>
      <c r="N46" s="408">
        <v>2327</v>
      </c>
      <c r="O46" s="433">
        <f ca="1">IF(N46="",64,INDEX(OFFSET(Arb!$I$2,,,Arb!$AJ$5,),N46))</f>
        <v>73</v>
      </c>
      <c r="P46" s="682">
        <f ca="1">IF(N46="",60,INDEX(OFFSET(Arb!$H$2,,,Arb!$AJ$5,),N46))</f>
        <v>26.89</v>
      </c>
      <c r="Q46" s="726">
        <f t="shared" ca="1" si="19"/>
        <v>2.7147638527333582</v>
      </c>
      <c r="R46" s="724">
        <f ca="1">IF(N46="","",INDEX(OFFSET(Arb!$X$2,,,Arb!$AJ$5,),N46)/P46)</f>
        <v>3.4957233172182969</v>
      </c>
      <c r="S46" s="723">
        <f ca="1">IF(N46="","",(INDEX(OFFSET(Arb!$U$2,,,Arb!$AJ$5,),N46)+INDEX(OFFSET(Arb!$V$2,,,Arb!$AJ$5,),N46))/P46)</f>
        <v>3.9419858683525475</v>
      </c>
      <c r="T46" s="90">
        <f ca="1">INDEX(OFFSET(Arb!$AC$2,,,Arb!$AJ$5,),N46)/16</f>
        <v>241.9375</v>
      </c>
      <c r="U46" s="428">
        <f t="shared" ca="1" si="20"/>
        <v>8.9973038304202309</v>
      </c>
      <c r="V46" s="93">
        <f t="shared" ca="1" si="21"/>
        <v>31.452084792097498</v>
      </c>
      <c r="W46" s="87">
        <f t="shared" ca="1" si="22"/>
        <v>0.30173081890984244</v>
      </c>
      <c r="X46" s="91">
        <f ca="1">DATE(INDEX(OFFSET(Arb!$C$2,,,Arb!$AJ$5,),N46),INDEX(OFFSET(Arb!$B$2,,,Arb!$AJ$5,),N46),INDEX(OFFSET(Arb!$A$2,,,Arb!$AJ$5,),N46))</f>
        <v>44089</v>
      </c>
      <c r="Y46" s="414">
        <v>20</v>
      </c>
      <c r="Z46" s="408">
        <v>3384</v>
      </c>
      <c r="AA46" s="433">
        <f ca="1">IF(Z46="",164,INDEX(OFFSET(Arb!$I$2,,,Arb!$AJ$5,),Z46))</f>
        <v>151</v>
      </c>
      <c r="AB46" s="693">
        <f ca="1">IF(Z46="",240,INDEX(OFFSET(Arb!$H$2,,,Arb!$AJ$5,),Z46))</f>
        <v>63.63</v>
      </c>
      <c r="AC46" s="769">
        <f t="shared" ca="1" si="23"/>
        <v>2.3730944523023729</v>
      </c>
      <c r="AD46" s="725">
        <f ca="1">IF(Z46="","",INDEX(OFFSET(Arb!$X$2,,,Arb!$AJ$5,),Z46)/AB46)</f>
        <v>2.9388653151029387</v>
      </c>
      <c r="AE46" s="724">
        <f ca="1">IF(Z46="","",(INDEX(OFFSET(Arb!$U$2,,,Arb!$AJ$5,),Z46)+INDEX(OFFSET(Arb!$V$2,,,Arb!$AJ$5,),Z46))/AB46)</f>
        <v>3.2531824611032532</v>
      </c>
      <c r="AF46" s="90">
        <f ca="1">INDEX(OFFSET(Arb!$AC$2,,,Arb!$AJ$5,),Z46)/16</f>
        <v>515.125</v>
      </c>
      <c r="AG46" s="428">
        <f t="shared" ca="1" si="24"/>
        <v>8.0956309916705962</v>
      </c>
      <c r="AH46" s="93">
        <f t="shared" ca="1" si="25"/>
        <v>23.791969125293122</v>
      </c>
      <c r="AI46" s="87">
        <f t="shared" ca="1" si="26"/>
        <v>0.2931327347731133</v>
      </c>
      <c r="AJ46" s="91">
        <f ca="1">DATE(INDEX(OFFSET(Arb!$C$2,,,Arb!$AJ$5,),Z46),INDEX(OFFSET(Arb!$B$2,,,Arb!$AJ$5,),Z46),INDEX(OFFSET(Arb!$A$2,,,Arb!$AJ$5,),Z46))</f>
        <v>44137</v>
      </c>
    </row>
    <row r="47" spans="1:36" x14ac:dyDescent="0.25">
      <c r="A47" s="89">
        <v>21</v>
      </c>
      <c r="B47" s="408">
        <v>1273</v>
      </c>
      <c r="C47" s="433">
        <f ca="1">IF(B47="",16,INDEX(OFFSET(Arb!$I$2,,,Arb!$AJ$5,),B47))</f>
        <v>12</v>
      </c>
      <c r="D47" s="560">
        <f ca="1">IF(B47="",10,INDEX(OFFSET(Arb!$H$2,,,Arb!$AJ$5,),B47))</f>
        <v>3.81</v>
      </c>
      <c r="E47" s="561">
        <f t="shared" ca="1" si="15"/>
        <v>3.1496062992125982</v>
      </c>
      <c r="F47" s="722">
        <f ca="1">IF(B47="","",INDEX(OFFSET(Arb!$X$2,,,Arb!$AJ$5,),B47)/D47)</f>
        <v>4.4619422572178475</v>
      </c>
      <c r="G47" s="771">
        <f ca="1">IF(B47="","",(INDEX(OFFSET(Arb!$U$2,,,Arb!$AJ$5,),B47)+INDEX(OFFSET(Arb!$V$2,,,Arb!$AJ$5,),B47))/D47)</f>
        <v>6.0367454068241466</v>
      </c>
      <c r="H47" s="85">
        <f ca="1">INDEX(OFFSET(Arb!$AC$2,,,Arb!$AJ$5,),B47)/16</f>
        <v>44.5625</v>
      </c>
      <c r="I47" s="428">
        <f t="shared" ca="1" si="16"/>
        <v>11.696194225721785</v>
      </c>
      <c r="J47" s="93">
        <f t="shared" ca="1" si="17"/>
        <v>52.187743264375413</v>
      </c>
      <c r="K47" s="87">
        <f t="shared" ca="1" si="18"/>
        <v>0.26928471248246844</v>
      </c>
      <c r="L47" s="88">
        <f ca="1">DATE(INDEX(OFFSET(Arb!$C$2,,,Arb!$AJ$5,),B47),INDEX(OFFSET(Arb!$B$2,,,Arb!$AJ$5,),B47),INDEX(OFFSET(Arb!$A$2,,,Arb!$AJ$5,),B47))</f>
        <v>43906</v>
      </c>
      <c r="M47" s="89">
        <v>21</v>
      </c>
      <c r="N47" s="408">
        <v>2238</v>
      </c>
      <c r="O47" s="433">
        <f ca="1">IF(N47="",64,INDEX(OFFSET(Arb!$I$2,,,Arb!$AJ$5,),N47))</f>
        <v>56</v>
      </c>
      <c r="P47" s="680">
        <f ca="1">IF(N47="",60,INDEX(OFFSET(Arb!$H$2,,,Arb!$AJ$5,),N47))</f>
        <v>25.1</v>
      </c>
      <c r="Q47" s="768">
        <f t="shared" ca="1" si="19"/>
        <v>2.2310756972111552</v>
      </c>
      <c r="R47" s="561">
        <f ca="1">IF(N47="","",INDEX(OFFSET(Arb!$X$2,,,Arb!$AJ$5,),N47)/P47)</f>
        <v>3.1872509960159361</v>
      </c>
      <c r="S47" s="562">
        <f ca="1">IF(N47="","",(INDEX(OFFSET(Arb!$U$2,,,Arb!$AJ$5,),N47)+INDEX(OFFSET(Arb!$V$2,,,Arb!$AJ$5,),N47))/P47)</f>
        <v>3.7051792828685257</v>
      </c>
      <c r="T47" s="90">
        <f ca="1">INDEX(OFFSET(Arb!$AC$2,,,Arb!$AJ$5,),N47)/16</f>
        <v>247.6875</v>
      </c>
      <c r="U47" s="428">
        <f t="shared" ca="1" si="20"/>
        <v>9.868027888446214</v>
      </c>
      <c r="V47" s="93">
        <f t="shared" ca="1" si="21"/>
        <v>31.451881716163232</v>
      </c>
      <c r="W47" s="87">
        <f t="shared" ca="1" si="22"/>
        <v>0.22609134494070149</v>
      </c>
      <c r="X47" s="91">
        <f ca="1">DATE(INDEX(OFFSET(Arb!$C$2,,,Arb!$AJ$5,),N47),INDEX(OFFSET(Arb!$B$2,,,Arb!$AJ$5,),N47),INDEX(OFFSET(Arb!$A$2,,,Arb!$AJ$5,),N47))</f>
        <v>43890</v>
      </c>
      <c r="Y47" s="414">
        <v>21</v>
      </c>
      <c r="Z47" s="408">
        <v>2873</v>
      </c>
      <c r="AA47" s="433">
        <f ca="1">IF(Z47="",164,INDEX(OFFSET(Arb!$I$2,,,Arb!$AJ$5,),Z47))</f>
        <v>208</v>
      </c>
      <c r="AB47" s="680">
        <f ca="1">IF(Z47="",240,INDEX(OFFSET(Arb!$H$2,,,Arb!$AJ$5,),Z47))</f>
        <v>74.819999999999993</v>
      </c>
      <c r="AC47" s="725">
        <f t="shared" ca="1" si="23"/>
        <v>2.7800053461641276</v>
      </c>
      <c r="AD47" s="561">
        <f ca="1">IF(Z47="","",INDEX(OFFSET(Arb!$X$2,,,Arb!$AJ$5,),Z47)/AB47)</f>
        <v>3.2076984763432241</v>
      </c>
      <c r="AE47" s="724">
        <f ca="1">IF(Z47="","",(INDEX(OFFSET(Arb!$U$2,,,Arb!$AJ$5,),Z47)+INDEX(OFFSET(Arb!$V$2,,,Arb!$AJ$5,),Z47))/AB47)</f>
        <v>3.4883720930232562</v>
      </c>
      <c r="AF47" s="90">
        <f ca="1">INDEX(OFFSET(Arb!$AC$2,,,Arb!$AJ$5,),Z47)/16</f>
        <v>553.6875</v>
      </c>
      <c r="AG47" s="428">
        <f t="shared" ca="1" si="24"/>
        <v>7.400260625501204</v>
      </c>
      <c r="AH47" s="93">
        <f t="shared" ca="1" si="25"/>
        <v>23.737804732962967</v>
      </c>
      <c r="AI47" s="87">
        <f t="shared" ca="1" si="26"/>
        <v>0.3756631674003838</v>
      </c>
      <c r="AJ47" s="91">
        <f ca="1">DATE(INDEX(OFFSET(Arb!$C$2,,,Arb!$AJ$5,),Z47),INDEX(OFFSET(Arb!$B$2,,,Arb!$AJ$5,),Z47),INDEX(OFFSET(Arb!$A$2,,,Arb!$AJ$5,),Z47))</f>
        <v>43911</v>
      </c>
    </row>
    <row r="48" spans="1:36" x14ac:dyDescent="0.25">
      <c r="A48" s="89">
        <v>22</v>
      </c>
      <c r="B48" s="408">
        <v>1870</v>
      </c>
      <c r="C48" s="433">
        <f ca="1">IF(B48="",16,INDEX(OFFSET(Arb!$I$2,,,Arb!$AJ$5,),B48))</f>
        <v>18</v>
      </c>
      <c r="D48" s="559">
        <f ca="1">IF(B48="",10,INDEX(OFFSET(Arb!$H$2,,,Arb!$AJ$5,),B48))</f>
        <v>5.52</v>
      </c>
      <c r="E48" s="724">
        <f t="shared" ca="1" si="15"/>
        <v>3.2608695652173916</v>
      </c>
      <c r="F48" s="722">
        <f ca="1">IF(B48="","",INDEX(OFFSET(Arb!$X$2,,,Arb!$AJ$5,),B48)/D48)</f>
        <v>4.3478260869565224</v>
      </c>
      <c r="G48" s="565">
        <f ca="1">IF(B48="","",(INDEX(OFFSET(Arb!$U$2,,,Arb!$AJ$5,),B48)+INDEX(OFFSET(Arb!$V$2,,,Arb!$AJ$5,),B48))/D48)</f>
        <v>5.0724637681159424</v>
      </c>
      <c r="H48" s="85">
        <f ca="1">INDEX(OFFSET(Arb!$AC$2,,,Arb!$AJ$5,),B48)/16</f>
        <v>65.8125</v>
      </c>
      <c r="I48" s="428">
        <f t="shared" ca="1" si="16"/>
        <v>11.922554347826088</v>
      </c>
      <c r="J48" s="93">
        <f t="shared" ca="1" si="17"/>
        <v>51.837192816635174</v>
      </c>
      <c r="K48" s="87">
        <f t="shared" ca="1" si="18"/>
        <v>0.27350427350427353</v>
      </c>
      <c r="L48" s="88">
        <f ca="1">DATE(INDEX(OFFSET(Arb!$C$2,,,Arb!$AJ$5,),B48),INDEX(OFFSET(Arb!$B$2,,,Arb!$AJ$5,),B48),INDEX(OFFSET(Arb!$A$2,,,Arb!$AJ$5,),B48))</f>
        <v>44168</v>
      </c>
      <c r="M48" s="89">
        <v>22</v>
      </c>
      <c r="N48" s="408">
        <v>2300</v>
      </c>
      <c r="O48" s="433">
        <f ca="1">IF(N48="",64,INDEX(OFFSET(Arb!$I$2,,,Arb!$AJ$5,),N48))</f>
        <v>67</v>
      </c>
      <c r="P48" s="680">
        <f ca="1">IF(N48="",60,INDEX(OFFSET(Arb!$H$2,,,Arb!$AJ$5,),N48))</f>
        <v>24.31</v>
      </c>
      <c r="Q48" s="725">
        <f t="shared" ca="1" si="19"/>
        <v>2.7560674619498151</v>
      </c>
      <c r="R48" s="724">
        <f ca="1">IF(N48="","",INDEX(OFFSET(Arb!$X$2,,,Arb!$AJ$5,),N48)/P48)</f>
        <v>3.3319621554915675</v>
      </c>
      <c r="S48" s="723">
        <f ca="1">IF(N48="","",(INDEX(OFFSET(Arb!$U$2,,,Arb!$AJ$5,),N48)+INDEX(OFFSET(Arb!$V$2,,,Arb!$AJ$5,),N48))/P48)</f>
        <v>3.9901275195392842</v>
      </c>
      <c r="T48" s="90">
        <f ca="1">INDEX(OFFSET(Arb!$AC$2,,,Arb!$AJ$5,),N48)/16</f>
        <v>228.125</v>
      </c>
      <c r="U48" s="428">
        <f t="shared" ca="1" si="20"/>
        <v>9.3839983545865913</v>
      </c>
      <c r="V48" s="93">
        <f t="shared" ca="1" si="21"/>
        <v>31.267127384677661</v>
      </c>
      <c r="W48" s="87">
        <f t="shared" ca="1" si="22"/>
        <v>0.29369863013698633</v>
      </c>
      <c r="X48" s="91">
        <f ca="1">DATE(INDEX(OFFSET(Arb!$C$2,,,Arb!$AJ$5,),N48),INDEX(OFFSET(Arb!$B$2,,,Arb!$AJ$5,),N48),INDEX(OFFSET(Arb!$A$2,,,Arb!$AJ$5,),N48))</f>
        <v>43941</v>
      </c>
      <c r="Y48" s="414">
        <v>22</v>
      </c>
      <c r="Z48" s="408">
        <v>2919</v>
      </c>
      <c r="AA48" s="433">
        <f ca="1">IF(Z48="",164,INDEX(OFFSET(Arb!$I$2,,,Arb!$AJ$5,),Z48))</f>
        <v>162</v>
      </c>
      <c r="AB48" s="691">
        <f ca="1">IF(Z48="",240,INDEX(OFFSET(Arb!$H$2,,,Arb!$AJ$5,),Z48))</f>
        <v>65.540000000000006</v>
      </c>
      <c r="AC48" s="769">
        <f t="shared" ca="1" si="23"/>
        <v>2.4717729630759839</v>
      </c>
      <c r="AD48" s="561">
        <f ca="1">IF(Z48="","",INDEX(OFFSET(Arb!$X$2,,,Arb!$AJ$5,),Z48)/AB48)</f>
        <v>3.0668294171498318</v>
      </c>
      <c r="AE48" s="724">
        <f ca="1">IF(Z48="","",(INDEX(OFFSET(Arb!$U$2,,,Arb!$AJ$5,),Z48)+INDEX(OFFSET(Arb!$V$2,,,Arb!$AJ$5,),Z48))/AB48)</f>
        <v>3.4177601464754344</v>
      </c>
      <c r="AF48" s="90">
        <f ca="1">INDEX(OFFSET(Arb!$AC$2,,,Arb!$AJ$5,),Z48)/16</f>
        <v>506.1875</v>
      </c>
      <c r="AG48" s="428">
        <f t="shared" ca="1" si="24"/>
        <v>7.7233368935001518</v>
      </c>
      <c r="AH48" s="93">
        <f t="shared" ca="1" si="25"/>
        <v>23.686156783544863</v>
      </c>
      <c r="AI48" s="87">
        <f t="shared" ca="1" si="26"/>
        <v>0.32003951105074702</v>
      </c>
      <c r="AJ48" s="91">
        <f ca="1">DATE(INDEX(OFFSET(Arb!$C$2,,,Arb!$AJ$5,),Z48),INDEX(OFFSET(Arb!$B$2,,,Arb!$AJ$5,),Z48),INDEX(OFFSET(Arb!$A$2,,,Arb!$AJ$5,),Z48))</f>
        <v>43935</v>
      </c>
    </row>
    <row r="49" spans="1:36" x14ac:dyDescent="0.25">
      <c r="A49" s="89">
        <v>23</v>
      </c>
      <c r="B49" s="408">
        <v>1621</v>
      </c>
      <c r="C49" s="433">
        <f ca="1">IF(B49="",16,INDEX(OFFSET(Arb!$I$2,,,Arb!$AJ$5,),B49))</f>
        <v>17</v>
      </c>
      <c r="D49" s="684">
        <f ca="1">IF(B49="",10,INDEX(OFFSET(Arb!$H$2,,,Arb!$AJ$5,),B49))</f>
        <v>5.35</v>
      </c>
      <c r="E49" s="561">
        <f t="shared" ca="1" si="15"/>
        <v>3.1775700934579443</v>
      </c>
      <c r="F49" s="723">
        <f ca="1">IF(B49="","",INDEX(OFFSET(Arb!$X$2,,,Arb!$AJ$5,),B49)/D49)</f>
        <v>3.9252336448598135</v>
      </c>
      <c r="G49" s="563">
        <f ca="1">IF(B49="","",(INDEX(OFFSET(Arb!$U$2,,,Arb!$AJ$5,),B49)+INDEX(OFFSET(Arb!$V$2,,,Arb!$AJ$5,),B49))/D49)</f>
        <v>4.1121495327102808</v>
      </c>
      <c r="H49" s="85">
        <f ca="1">INDEX(OFFSET(Arb!$AC$2,,,Arb!$AJ$5,),B49)/16</f>
        <v>70</v>
      </c>
      <c r="I49" s="428">
        <f t="shared" ca="1" si="16"/>
        <v>13.084112149532711</v>
      </c>
      <c r="J49" s="93">
        <f t="shared" ca="1" si="17"/>
        <v>51.358197222464852</v>
      </c>
      <c r="K49" s="87">
        <f t="shared" ca="1" si="18"/>
        <v>0.24285714285714285</v>
      </c>
      <c r="L49" s="88">
        <f ca="1">DATE(INDEX(OFFSET(Arb!$C$2,,,Arb!$AJ$5,),B49),INDEX(OFFSET(Arb!$B$2,,,Arb!$AJ$5,),B49),INDEX(OFFSET(Arb!$A$2,,,Arb!$AJ$5,),B49))</f>
        <v>44093</v>
      </c>
      <c r="M49" s="89">
        <v>23</v>
      </c>
      <c r="N49" s="408">
        <v>2328</v>
      </c>
      <c r="O49" s="433">
        <f ca="1">IF(N49="",64,INDEX(OFFSET(Arb!$I$2,,,Arb!$AJ$5,),N49))</f>
        <v>70</v>
      </c>
      <c r="P49" s="682">
        <f ca="1">IF(N49="",60,INDEX(OFFSET(Arb!$H$2,,,Arb!$AJ$5,),N49))</f>
        <v>27.1</v>
      </c>
      <c r="Q49" s="726">
        <f t="shared" ca="1" si="19"/>
        <v>2.5830258302583022</v>
      </c>
      <c r="R49" s="724">
        <f ca="1">IF(N49="","",INDEX(OFFSET(Arb!$X$2,,,Arb!$AJ$5,),N49)/P49)</f>
        <v>3.4317343173431731</v>
      </c>
      <c r="S49" s="563">
        <f ca="1">IF(N49="","",(INDEX(OFFSET(Arb!$U$2,,,Arb!$AJ$5,),N49)+INDEX(OFFSET(Arb!$V$2,,,Arb!$AJ$5,),N49))/P49)</f>
        <v>4.1328413284132841</v>
      </c>
      <c r="T49" s="90">
        <f ca="1">INDEX(OFFSET(Arb!$AC$2,,,Arb!$AJ$5,),N49)/16</f>
        <v>246.5625</v>
      </c>
      <c r="U49" s="428">
        <f t="shared" ca="1" si="20"/>
        <v>9.0982472324723247</v>
      </c>
      <c r="V49" s="93">
        <f t="shared" ca="1" si="21"/>
        <v>31.222767255347826</v>
      </c>
      <c r="W49" s="87">
        <f t="shared" ca="1" si="22"/>
        <v>0.28390367553865653</v>
      </c>
      <c r="X49" s="91">
        <f ca="1">DATE(INDEX(OFFSET(Arb!$C$2,,,Arb!$AJ$5,),N49),INDEX(OFFSET(Arb!$B$2,,,Arb!$AJ$5,),N49),INDEX(OFFSET(Arb!$A$2,,,Arb!$AJ$5,),N49))</f>
        <v>44090</v>
      </c>
      <c r="Y49" s="414">
        <v>23</v>
      </c>
      <c r="Z49" s="408">
        <v>2961</v>
      </c>
      <c r="AA49" s="433">
        <f ca="1">IF(Z49="",164,INDEX(OFFSET(Arb!$I$2,,,Arb!$AJ$5,),Z49))</f>
        <v>154</v>
      </c>
      <c r="AB49" s="692">
        <f ca="1">IF(Z49="",240,INDEX(OFFSET(Arb!$H$2,,,Arb!$AJ$5,),Z49))</f>
        <v>67.31</v>
      </c>
      <c r="AC49" s="769">
        <f t="shared" ca="1" si="23"/>
        <v>2.2879215569751894</v>
      </c>
      <c r="AD49" s="725">
        <f ca="1">IF(Z49="","",INDEX(OFFSET(Arb!$X$2,,,Arb!$AJ$5,),Z49)/AB49)</f>
        <v>2.92675679690982</v>
      </c>
      <c r="AE49" s="724">
        <f ca="1">IF(Z49="","",(INDEX(OFFSET(Arb!$U$2,,,Arb!$AJ$5,),Z49)+INDEX(OFFSET(Arb!$V$2,,,Arb!$AJ$5,),Z49))/AB49)</f>
        <v>3.2536027336205615</v>
      </c>
      <c r="AF49" s="90">
        <f ca="1">INDEX(OFFSET(Arb!$AC$2,,,Arb!$AJ$5,),Z49)/16</f>
        <v>542.3125</v>
      </c>
      <c r="AG49" s="428">
        <f t="shared" ca="1" si="24"/>
        <v>8.0569380478383597</v>
      </c>
      <c r="AH49" s="93">
        <f t="shared" ca="1" si="25"/>
        <v>23.580698193792255</v>
      </c>
      <c r="AI49" s="87">
        <f t="shared" ca="1" si="26"/>
        <v>0.28396911374899159</v>
      </c>
      <c r="AJ49" s="91">
        <f ca="1">DATE(INDEX(OFFSET(Arb!$C$2,,,Arb!$AJ$5,),Z49),INDEX(OFFSET(Arb!$B$2,,,Arb!$AJ$5,),Z49),INDEX(OFFSET(Arb!$A$2,,,Arb!$AJ$5,),Z49))</f>
        <v>43951</v>
      </c>
    </row>
    <row r="50" spans="1:36" x14ac:dyDescent="0.25">
      <c r="A50" s="89">
        <v>24</v>
      </c>
      <c r="B50" s="408">
        <v>1444</v>
      </c>
      <c r="C50" s="433">
        <f ca="1">IF(B50="",16,INDEX(OFFSET(Arb!$I$2,,,Arb!$AJ$5,),B50))</f>
        <v>11</v>
      </c>
      <c r="D50" s="688">
        <f ca="1">IF(B50="",10,INDEX(OFFSET(Arb!$H$2,,,Arb!$AJ$5,),B50))</f>
        <v>6.09</v>
      </c>
      <c r="E50" s="727">
        <f t="shared" ca="1" si="15"/>
        <v>1.80623973727422</v>
      </c>
      <c r="F50" s="876">
        <f ca="1">IF(B50="","",INDEX(OFFSET(Arb!$X$2,,,Arb!$AJ$5,),B50)/D50)</f>
        <v>10.344827586206897</v>
      </c>
      <c r="G50" s="876">
        <f ca="1">IF(B50="","",(INDEX(OFFSET(Arb!$U$2,,,Arb!$AJ$5,),B50)+INDEX(OFFSET(Arb!$V$2,,,Arb!$AJ$5,),B50))/D50)</f>
        <v>10.509031198686371</v>
      </c>
      <c r="H50" s="85">
        <f ca="1">INDEX(OFFSET(Arb!$AC$2,,,Arb!$AJ$5,),B50)/16</f>
        <v>30.1875</v>
      </c>
      <c r="I50" s="428">
        <f t="shared" ca="1" si="16"/>
        <v>4.9568965517241379</v>
      </c>
      <c r="J50" s="93">
        <f t="shared" ca="1" si="17"/>
        <v>51.278240190249704</v>
      </c>
      <c r="K50" s="87">
        <f t="shared" ca="1" si="18"/>
        <v>0.36438923395445133</v>
      </c>
      <c r="L50" s="88">
        <f ca="1">DATE(INDEX(OFFSET(Arb!$C$2,,,Arb!$AJ$5,),B50),INDEX(OFFSET(Arb!$B$2,,,Arb!$AJ$5,),B50),INDEX(OFFSET(Arb!$A$2,,,Arb!$AJ$5,),B50))</f>
        <v>43949</v>
      </c>
      <c r="M50" s="89">
        <v>24</v>
      </c>
      <c r="N50" s="408">
        <v>2407</v>
      </c>
      <c r="O50" s="433">
        <f ca="1">IF(N50="",64,INDEX(OFFSET(Arb!$I$2,,,Arb!$AJ$5,),N50))</f>
        <v>59</v>
      </c>
      <c r="P50" s="679">
        <f ca="1">IF(N50="",60,INDEX(OFFSET(Arb!$H$2,,,Arb!$AJ$5,),N50))</f>
        <v>22.2</v>
      </c>
      <c r="Q50" s="726">
        <f t="shared" ca="1" si="19"/>
        <v>2.6576576576576576</v>
      </c>
      <c r="R50" s="561">
        <f ca="1">IF(N50="","",INDEX(OFFSET(Arb!$X$2,,,Arb!$AJ$5,),N50)/P50)</f>
        <v>3.1981981981981984</v>
      </c>
      <c r="S50" s="562">
        <f ca="1">IF(N50="","",(INDEX(OFFSET(Arb!$U$2,,,Arb!$AJ$5,),N50)+INDEX(OFFSET(Arb!$V$2,,,Arb!$AJ$5,),N50))/P50)</f>
        <v>3.5585585585585586</v>
      </c>
      <c r="T50" s="90">
        <f ca="1">INDEX(OFFSET(Arb!$AC$2,,,Arb!$AJ$5,),N50)/16</f>
        <v>216.5625</v>
      </c>
      <c r="U50" s="428">
        <f t="shared" ca="1" si="20"/>
        <v>9.7550675675675684</v>
      </c>
      <c r="V50" s="93">
        <f t="shared" ca="1" si="21"/>
        <v>31.198639517896279</v>
      </c>
      <c r="W50" s="87">
        <f t="shared" ca="1" si="22"/>
        <v>0.27243867243867242</v>
      </c>
      <c r="X50" s="91">
        <f ca="1">DATE(INDEX(OFFSET(Arb!$C$2,,,Arb!$AJ$5,),N50),INDEX(OFFSET(Arb!$B$2,,,Arb!$AJ$5,),N50),INDEX(OFFSET(Arb!$A$2,,,Arb!$AJ$5,),N50))</f>
        <v>44168</v>
      </c>
      <c r="Y50" s="414">
        <v>24</v>
      </c>
      <c r="Z50" s="408">
        <v>3267</v>
      </c>
      <c r="AA50" s="433">
        <f ca="1">IF(Z50="",164,INDEX(OFFSET(Arb!$I$2,,,Arb!$AJ$5,),Z50))</f>
        <v>178</v>
      </c>
      <c r="AB50" s="692">
        <f ca="1">IF(Z50="",240,INDEX(OFFSET(Arb!$H$2,,,Arb!$AJ$5,),Z50))</f>
        <v>67.459999999999994</v>
      </c>
      <c r="AC50" s="726">
        <f t="shared" ca="1" si="23"/>
        <v>2.6386006522383636</v>
      </c>
      <c r="AD50" s="561">
        <f ca="1">IF(Z50="","",INDEX(OFFSET(Arb!$X$2,,,Arb!$AJ$5,),Z50)/AB50)</f>
        <v>3.0833086273347172</v>
      </c>
      <c r="AE50" s="724">
        <f ca="1">IF(Z50="","",(INDEX(OFFSET(Arb!$U$2,,,Arb!$AJ$5,),Z50)+INDEX(OFFSET(Arb!$V$2,,,Arb!$AJ$5,),Z50))/AB50)</f>
        <v>3.4835458049214352</v>
      </c>
      <c r="AF50" s="90">
        <f ca="1">INDEX(OFFSET(Arb!$AC$2,,,Arb!$AJ$5,),Z50)/16</f>
        <v>515.5625</v>
      </c>
      <c r="AG50" s="428">
        <f t="shared" ca="1" si="24"/>
        <v>7.642491847020457</v>
      </c>
      <c r="AH50" s="93">
        <f t="shared" ca="1" si="25"/>
        <v>23.564161046253414</v>
      </c>
      <c r="AI50" s="87">
        <f t="shared" ca="1" si="26"/>
        <v>0.34525397017820342</v>
      </c>
      <c r="AJ50" s="91">
        <f ca="1">DATE(INDEX(OFFSET(Arb!$C$2,,,Arb!$AJ$5,),Z50),INDEX(OFFSET(Arb!$B$2,,,Arb!$AJ$5,),Z50),INDEX(OFFSET(Arb!$A$2,,,Arb!$AJ$5,),Z50))</f>
        <v>44073</v>
      </c>
    </row>
    <row r="51" spans="1:36" ht="13.8" thickBot="1" x14ac:dyDescent="0.3">
      <c r="A51" s="111">
        <v>25</v>
      </c>
      <c r="B51" s="67">
        <v>636</v>
      </c>
      <c r="C51" s="447">
        <f ca="1">IF(B51="",16,INDEX(OFFSET(Arb!$I$2,,,Arb!$AJ$5,),B51))</f>
        <v>13</v>
      </c>
      <c r="D51" s="854">
        <f ca="1">IF(B51="",10,INDEX(OFFSET(Arb!$H$2,,,Arb!$AJ$5,),B51))</f>
        <v>5.45</v>
      </c>
      <c r="E51" s="877">
        <f t="shared" ca="1" si="15"/>
        <v>2.3853211009174311</v>
      </c>
      <c r="F51" s="878">
        <f ca="1">IF(B51="","",INDEX(OFFSET(Arb!$X$2,,,Arb!$AJ$5,),B51)/D51)</f>
        <v>4.7706422018348622</v>
      </c>
      <c r="G51" s="879">
        <f ca="1">IF(B51="","",(INDEX(OFFSET(Arb!$U$2,,,Arb!$AJ$5,),B51)+INDEX(OFFSET(Arb!$V$2,,,Arb!$AJ$5,),B51))/D51)</f>
        <v>5.5045871559633026</v>
      </c>
      <c r="H51" s="114">
        <f ca="1">INDEX(OFFSET(Arb!$AC$2,,,Arb!$AJ$5,),B51)/16</f>
        <v>58.125</v>
      </c>
      <c r="I51" s="430">
        <f t="shared" ca="1" si="16"/>
        <v>10.665137614678899</v>
      </c>
      <c r="J51" s="115">
        <f t="shared" ca="1" si="17"/>
        <v>50.879555592963555</v>
      </c>
      <c r="K51" s="116">
        <f t="shared" ca="1" si="18"/>
        <v>0.22365591397849463</v>
      </c>
      <c r="L51" s="249">
        <f ca="1">DATE(INDEX(OFFSET(Arb!$C$2,,,Arb!$AJ$5,),B51),INDEX(OFFSET(Arb!$B$2,,,Arb!$AJ$5,),B51),INDEX(OFFSET(Arb!$A$2,,,Arb!$AJ$5,),B51))</f>
        <v>43800</v>
      </c>
      <c r="M51" s="111">
        <v>25</v>
      </c>
      <c r="N51" s="67">
        <v>2113</v>
      </c>
      <c r="O51" s="447">
        <f ca="1">IF(N51="",64,INDEX(OFFSET(Arb!$I$2,,,Arb!$AJ$5,),N51))</f>
        <v>59</v>
      </c>
      <c r="P51" s="855">
        <f ca="1">IF(N51="",60,INDEX(OFFSET(Arb!$H$2,,,Arb!$AJ$5,),N51))</f>
        <v>23.09</v>
      </c>
      <c r="Q51" s="880">
        <f t="shared" ca="1" si="19"/>
        <v>2.5552187093980079</v>
      </c>
      <c r="R51" s="881">
        <f ca="1">IF(N51="","",INDEX(OFFSET(Arb!$X$2,,,Arb!$AJ$5,),N51)/P51)</f>
        <v>3.2048505846686877</v>
      </c>
      <c r="S51" s="882">
        <f ca="1">IF(N51="","",(INDEX(OFFSET(Arb!$U$2,,,Arb!$AJ$5,),N51)+INDEX(OFFSET(Arb!$V$2,,,Arb!$AJ$5,),N51))/P51)</f>
        <v>3.8111736682546558</v>
      </c>
      <c r="T51" s="117">
        <f ca="1">INDEX(OFFSET(Arb!$AC$2,,,Arb!$AJ$5,),N51)/16</f>
        <v>224.5</v>
      </c>
      <c r="U51" s="430">
        <f t="shared" ca="1" si="20"/>
        <v>9.7228237332178438</v>
      </c>
      <c r="V51" s="115">
        <f t="shared" ca="1" si="21"/>
        <v>31.160197326033799</v>
      </c>
      <c r="W51" s="116">
        <f t="shared" ca="1" si="22"/>
        <v>0.26280623608017817</v>
      </c>
      <c r="X51" s="250">
        <f ca="1">DATE(INDEX(OFFSET(Arb!$C$2,,,Arb!$AJ$5,),N51),INDEX(OFFSET(Arb!$B$2,,,Arb!$AJ$5,),N51),INDEX(OFFSET(Arb!$A$2,,,Arb!$AJ$5,),N51))</f>
        <v>43811</v>
      </c>
      <c r="Y51" s="118">
        <v>25</v>
      </c>
      <c r="Z51" s="67">
        <v>3315</v>
      </c>
      <c r="AA51" s="447">
        <f ca="1">IF(Z51="",164,INDEX(OFFSET(Arb!$I$2,,,Arb!$AJ$5,),Z51))</f>
        <v>149</v>
      </c>
      <c r="AB51" s="856">
        <f ca="1">IF(Z51="",240,INDEX(OFFSET(Arb!$H$2,,,Arb!$AJ$5,),Z51))</f>
        <v>66.47</v>
      </c>
      <c r="AC51" s="883">
        <f t="shared" ca="1" si="23"/>
        <v>2.2416127576350235</v>
      </c>
      <c r="AD51" s="884">
        <f ca="1">IF(Z51="","",INDEX(OFFSET(Arb!$X$2,,,Arb!$AJ$5,),Z51)/AB51)</f>
        <v>2.9035655182789228</v>
      </c>
      <c r="AE51" s="885">
        <f ca="1">IF(Z51="","",(INDEX(OFFSET(Arb!$U$2,,,Arb!$AJ$5,),Z51)+INDEX(OFFSET(Arb!$V$2,,,Arb!$AJ$5,),Z51))/AB51)</f>
        <v>3.2646306604483226</v>
      </c>
      <c r="AF51" s="117">
        <f ca="1">INDEX(OFFSET(Arb!$AC$2,,,Arb!$AJ$5,),Z51)/16</f>
        <v>539.375</v>
      </c>
      <c r="AG51" s="430">
        <f t="shared" ca="1" si="24"/>
        <v>8.1145629607341654</v>
      </c>
      <c r="AH51" s="115">
        <f t="shared" ca="1" si="25"/>
        <v>23.561165208691047</v>
      </c>
      <c r="AI51" s="116">
        <f t="shared" ca="1" si="26"/>
        <v>0.27624565469293161</v>
      </c>
      <c r="AJ51" s="250">
        <f ca="1">DATE(INDEX(OFFSET(Arb!$C$2,,,Arb!$AJ$5,),Z51),INDEX(OFFSET(Arb!$B$2,,,Arb!$AJ$5,),Z51),INDEX(OFFSET(Arb!$A$2,,,Arb!$AJ$5,),Z51))</f>
        <v>44094</v>
      </c>
    </row>
    <row r="52" spans="1:36" x14ac:dyDescent="0.25">
      <c r="A52" s="70">
        <v>1</v>
      </c>
      <c r="B52" s="70">
        <v>1445</v>
      </c>
      <c r="C52" s="438">
        <f ca="1">IF(B52="",16,INDEX(OFFSET(Arb!$I$2,,,Arb!$AJ$5,),B52))</f>
        <v>18</v>
      </c>
      <c r="D52" s="968">
        <f ca="1">IF(B52="",10,INDEX(OFFSET(Arb!$H$2,,,Arb!$AJ$5,),B52))</f>
        <v>12.09</v>
      </c>
      <c r="E52" s="886">
        <f t="shared" ca="1" si="15"/>
        <v>1.4888337468982631</v>
      </c>
      <c r="F52" s="887">
        <f ca="1">IF(B52="","",INDEX(OFFSET(Arb!$X$2,,,Arb!$AJ$5,),B52)/D52)</f>
        <v>12.406947890818859</v>
      </c>
      <c r="G52" s="888">
        <f ca="1">IF(B52="","",(INDEX(OFFSET(Arb!$U$2,,,Arb!$AJ$5,),B52)+INDEX(OFFSET(Arb!$V$2,,,Arb!$AJ$5,),B52))/D52)</f>
        <v>12.655086848635236</v>
      </c>
      <c r="H52" s="120">
        <f ca="1">INDEX(OFFSET(Arb!$AC$2,,,Arb!$AJ$5,),B52)/16</f>
        <v>63.0625</v>
      </c>
      <c r="I52" s="119">
        <f t="shared" ca="1" si="16"/>
        <v>5.2160876757650954</v>
      </c>
      <c r="J52" s="121">
        <f t="shared" ca="1" si="17"/>
        <v>64.715727987159994</v>
      </c>
      <c r="K52" s="122">
        <f t="shared" ca="1" si="18"/>
        <v>0.28543111992071357</v>
      </c>
      <c r="L52" s="419">
        <f ca="1">DATE(INDEX(OFFSET(Arb!$C$2,,,Arb!$AJ$5,),B52),INDEX(OFFSET(Arb!$B$2,,,Arb!$AJ$5,),B52),INDEX(OFFSET(Arb!$A$2,,,Arb!$AJ$5,),B52))</f>
        <v>43949</v>
      </c>
      <c r="M52" s="123">
        <v>1</v>
      </c>
      <c r="N52" s="70">
        <v>2296</v>
      </c>
      <c r="O52" s="438">
        <f ca="1">IF(N52="",64,INDEX(OFFSET(Arb!$I$2,,,Arb!$AJ$5,),N52))</f>
        <v>85</v>
      </c>
      <c r="P52" s="857">
        <f ca="1">IF(N52="",60,INDEX(OFFSET(Arb!$H$2,,,Arb!$AJ$5,),N52))</f>
        <v>28.13</v>
      </c>
      <c r="Q52" s="889">
        <f t="shared" ca="1" si="19"/>
        <v>3.021685033771774</v>
      </c>
      <c r="R52" s="890">
        <f ca="1">IF(N52="","",INDEX(OFFSET(Arb!$X$2,,,Arb!$AJ$5,),N52)/P52)</f>
        <v>3.981514397440455</v>
      </c>
      <c r="S52" s="891">
        <f ca="1">IF(N52="","",(INDEX(OFFSET(Arb!$U$2,,,Arb!$AJ$5,),N52)+INDEX(OFFSET(Arb!$V$2,,,Arb!$AJ$5,),N52))/P52)</f>
        <v>4.4081052257376472</v>
      </c>
      <c r="T52" s="124">
        <f ca="1">INDEX(OFFSET(Arb!$AC$2,,,Arb!$AJ$5,),N52)/16</f>
        <v>244.9375</v>
      </c>
      <c r="U52" s="119">
        <f t="shared" ca="1" si="20"/>
        <v>8.7073409171702814</v>
      </c>
      <c r="V52" s="121">
        <f t="shared" ca="1" si="21"/>
        <v>34.668403225135854</v>
      </c>
      <c r="W52" s="122">
        <f t="shared" ca="1" si="22"/>
        <v>0.34702730288338862</v>
      </c>
      <c r="X52" s="420">
        <f ca="1">DATE(INDEX(OFFSET(Arb!$C$2,,,Arb!$AJ$5,),N52),INDEX(OFFSET(Arb!$B$2,,,Arb!$AJ$5,),N52),INDEX(OFFSET(Arb!$A$2,,,Arb!$AJ$5,),N52))</f>
        <v>43937</v>
      </c>
      <c r="Y52" s="125">
        <v>1</v>
      </c>
      <c r="Z52" s="70">
        <v>3353</v>
      </c>
      <c r="AA52" s="438">
        <f ca="1">IF(Z52="",164,INDEX(OFFSET(Arb!$I$2,,,Arb!$AJ$5,),Z52))</f>
        <v>181</v>
      </c>
      <c r="AB52" s="858">
        <f ca="1">IF(Z52="",240,INDEX(OFFSET(Arb!$H$2,,,Arb!$AJ$5,),Z52))</f>
        <v>65.95</v>
      </c>
      <c r="AC52" s="892">
        <f t="shared" ca="1" si="23"/>
        <v>2.7445034116755118</v>
      </c>
      <c r="AD52" s="893">
        <f ca="1">IF(Z52="","",INDEX(OFFSET(Arb!$X$2,,,Arb!$AJ$5,),Z52)/AB52)</f>
        <v>3.3510235026535251</v>
      </c>
      <c r="AE52" s="894">
        <f ca="1">IF(Z52="","",(INDEX(OFFSET(Arb!$U$2,,,Arb!$AJ$5,),Z52)+INDEX(OFFSET(Arb!$V$2,,,Arb!$AJ$5,),Z52))/AB52)</f>
        <v>3.821076573161486</v>
      </c>
      <c r="AF52" s="124">
        <f ca="1">INDEX(OFFSET(Arb!$AC$2,,,Arb!$AJ$5,),Z52)/16</f>
        <v>521.5625</v>
      </c>
      <c r="AG52" s="119">
        <f t="shared" ca="1" si="24"/>
        <v>7.9084533737680056</v>
      </c>
      <c r="AH52" s="121">
        <f t="shared" ca="1" si="25"/>
        <v>26.50141312513615</v>
      </c>
      <c r="AI52" s="122">
        <f t="shared" ca="1" si="26"/>
        <v>0.34703415218693828</v>
      </c>
      <c r="AJ52" s="421">
        <f ca="1">DATE(INDEX(OFFSET(Arb!$C$2,,,Arb!$AJ$5,),Z52),INDEX(OFFSET(Arb!$B$2,,,Arb!$AJ$5,),Z52),INDEX(OFFSET(Arb!$A$2,,,Arb!$AJ$5,),Z52))</f>
        <v>44098</v>
      </c>
    </row>
    <row r="53" spans="1:36" x14ac:dyDescent="0.25">
      <c r="A53" s="11">
        <v>2</v>
      </c>
      <c r="B53" s="11">
        <v>1444</v>
      </c>
      <c r="C53" s="433">
        <f ca="1">IF(B53="",16,INDEX(OFFSET(Arb!$I$2,,,Arb!$AJ$5,),B53))</f>
        <v>11</v>
      </c>
      <c r="D53" s="688">
        <f ca="1">IF(B53="",10,INDEX(OFFSET(Arb!$H$2,,,Arb!$AJ$5,),B53))</f>
        <v>6.09</v>
      </c>
      <c r="E53" s="895">
        <f t="shared" ca="1" si="15"/>
        <v>1.80623973727422</v>
      </c>
      <c r="F53" s="896">
        <f ca="1">IF(B53="","",INDEX(OFFSET(Arb!$X$2,,,Arb!$AJ$5,),B53)/D53)</f>
        <v>10.344827586206897</v>
      </c>
      <c r="G53" s="897">
        <f ca="1">IF(B53="","",(INDEX(OFFSET(Arb!$U$2,,,Arb!$AJ$5,),B53)+INDEX(OFFSET(Arb!$V$2,,,Arb!$AJ$5,),B53))/D53)</f>
        <v>10.509031198686371</v>
      </c>
      <c r="H53" s="126">
        <f ca="1">INDEX(OFFSET(Arb!$AC$2,,,Arb!$AJ$5,),B53)/16</f>
        <v>30.1875</v>
      </c>
      <c r="I53" s="34">
        <f t="shared" ca="1" si="16"/>
        <v>4.9568965517241379</v>
      </c>
      <c r="J53" s="21">
        <f t="shared" ca="1" si="17"/>
        <v>51.278240190249704</v>
      </c>
      <c r="K53" s="33">
        <f t="shared" ca="1" si="18"/>
        <v>0.36438923395445133</v>
      </c>
      <c r="L53" s="88">
        <f ca="1">DATE(INDEX(OFFSET(Arb!$C$2,,,Arb!$AJ$5,),B53),INDEX(OFFSET(Arb!$B$2,,,Arb!$AJ$5,),B53),INDEX(OFFSET(Arb!$A$2,,,Arb!$AJ$5,),B53))</f>
        <v>43949</v>
      </c>
      <c r="M53" s="89">
        <v>2</v>
      </c>
      <c r="N53" s="11">
        <v>2138</v>
      </c>
      <c r="O53" s="433">
        <f ca="1">IF(N53="",64,INDEX(OFFSET(Arb!$I$2,,,Arb!$AJ$5,),N53))</f>
        <v>93</v>
      </c>
      <c r="P53" s="680">
        <f ca="1">IF(N53="",60,INDEX(OFFSET(Arb!$H$2,,,Arb!$AJ$5,),N53))</f>
        <v>30.3</v>
      </c>
      <c r="Q53" s="898">
        <f t="shared" ca="1" si="19"/>
        <v>3.0693069306930694</v>
      </c>
      <c r="R53" s="899">
        <f ca="1">IF(N53="","",INDEX(OFFSET(Arb!$X$2,,,Arb!$AJ$5,),N53)/P53)</f>
        <v>3.8613861386138613</v>
      </c>
      <c r="S53" s="900">
        <f ca="1">IF(N53="","",(INDEX(OFFSET(Arb!$U$2,,,Arb!$AJ$5,),N53)+INDEX(OFFSET(Arb!$V$2,,,Arb!$AJ$5,),N53))/P53)</f>
        <v>4.455445544554455</v>
      </c>
      <c r="T53" s="127">
        <f ca="1">INDEX(OFFSET(Arb!$AC$2,,,Arb!$AJ$5,),N53)/16</f>
        <v>263</v>
      </c>
      <c r="U53" s="34">
        <f t="shared" ca="1" si="20"/>
        <v>8.6798679867986799</v>
      </c>
      <c r="V53" s="21">
        <f t="shared" ca="1" si="21"/>
        <v>33.516321929222627</v>
      </c>
      <c r="W53" s="33">
        <f t="shared" ca="1" si="22"/>
        <v>0.35361216730038025</v>
      </c>
      <c r="X53" s="91">
        <f ca="1">DATE(INDEX(OFFSET(Arb!$C$2,,,Arb!$AJ$5,),N53),INDEX(OFFSET(Arb!$B$2,,,Arb!$AJ$5,),N53),INDEX(OFFSET(Arb!$A$2,,,Arb!$AJ$5,),N53))</f>
        <v>43817</v>
      </c>
      <c r="Y53" s="92">
        <v>2</v>
      </c>
      <c r="Z53" s="11">
        <v>3333</v>
      </c>
      <c r="AA53" s="433">
        <f ca="1">IF(Z53="",164,INDEX(OFFSET(Arb!$I$2,,,Arb!$AJ$5,),Z53))</f>
        <v>180</v>
      </c>
      <c r="AB53" s="693">
        <f ca="1">IF(Z53="",240,INDEX(OFFSET(Arb!$H$2,,,Arb!$AJ$5,),Z53))</f>
        <v>63.73</v>
      </c>
      <c r="AC53" s="901">
        <f t="shared" ca="1" si="23"/>
        <v>2.8244155029028715</v>
      </c>
      <c r="AD53" s="902">
        <f ca="1">IF(Z53="","",INDEX(OFFSET(Arb!$X$2,,,Arb!$AJ$5,),Z53)/AB53)</f>
        <v>3.3108426172916996</v>
      </c>
      <c r="AE53" s="903">
        <f ca="1">IF(Z53="","",(INDEX(OFFSET(Arb!$U$2,,,Arb!$AJ$5,),Z53)+INDEX(OFFSET(Arb!$V$2,,,Arb!$AJ$5,),Z53))/AB53)</f>
        <v>3.5305193786285893</v>
      </c>
      <c r="AF53" s="127">
        <f ca="1">INDEX(OFFSET(Arb!$AC$2,,,Arb!$AJ$5,),Z53)/16</f>
        <v>479.25</v>
      </c>
      <c r="AG53" s="34">
        <f t="shared" ca="1" si="24"/>
        <v>7.5200062764788953</v>
      </c>
      <c r="AH53" s="21">
        <f t="shared" ca="1" si="25"/>
        <v>24.897557262467394</v>
      </c>
      <c r="AI53" s="33">
        <f t="shared" ca="1" si="26"/>
        <v>0.37558685446009388</v>
      </c>
      <c r="AJ53" s="74">
        <f ca="1">DATE(INDEX(OFFSET(Arb!$C$2,,,Arb!$AJ$5,),Z53),INDEX(OFFSET(Arb!$B$2,,,Arb!$AJ$5,),Z53),INDEX(OFFSET(Arb!$A$2,,,Arb!$AJ$5,),Z53))</f>
        <v>44096</v>
      </c>
    </row>
    <row r="54" spans="1:36" x14ac:dyDescent="0.25">
      <c r="A54" s="11">
        <v>3</v>
      </c>
      <c r="B54" s="11">
        <v>1307</v>
      </c>
      <c r="C54" s="433">
        <f ca="1">IF(B54="",16,INDEX(OFFSET(Arb!$I$2,,,Arb!$AJ$5,),B54))</f>
        <v>11</v>
      </c>
      <c r="D54" s="686">
        <f ca="1">IF(B54="",10,INDEX(OFFSET(Arb!$H$2,,,Arb!$AJ$5,),B54))</f>
        <v>3.26</v>
      </c>
      <c r="E54" s="904">
        <f t="shared" ca="1" si="15"/>
        <v>3.3742331288343559</v>
      </c>
      <c r="F54" s="905">
        <f ca="1">IF(B54="","",INDEX(OFFSET(Arb!$X$2,,,Arb!$AJ$5,),B54)/D54)</f>
        <v>5.8282208588957056</v>
      </c>
      <c r="G54" s="906">
        <f ca="1">IF(B54="","",(INDEX(OFFSET(Arb!$U$2,,,Arb!$AJ$5,),B54)+INDEX(OFFSET(Arb!$V$2,,,Arb!$AJ$5,),B54))/D54)</f>
        <v>6.1349693251533743</v>
      </c>
      <c r="H54" s="126">
        <f ca="1">INDEX(OFFSET(Arb!$AC$2,,,Arb!$AJ$5,),B54)/16</f>
        <v>36.1875</v>
      </c>
      <c r="I54" s="34">
        <f t="shared" ca="1" si="16"/>
        <v>11.100460122699387</v>
      </c>
      <c r="J54" s="21">
        <f t="shared" ca="1" si="17"/>
        <v>64.695933230456546</v>
      </c>
      <c r="K54" s="33">
        <f t="shared" ca="1" si="18"/>
        <v>0.30397236614853196</v>
      </c>
      <c r="L54" s="88">
        <f ca="1">DATE(INDEX(OFFSET(Arb!$C$2,,,Arb!$AJ$5,),B54),INDEX(OFFSET(Arb!$B$2,,,Arb!$AJ$5,),B54),INDEX(OFFSET(Arb!$A$2,,,Arb!$AJ$5,),B54))</f>
        <v>43912</v>
      </c>
      <c r="M54" s="89">
        <v>3</v>
      </c>
      <c r="N54" s="11">
        <v>2247</v>
      </c>
      <c r="O54" s="433">
        <f ca="1">IF(N54="",64,INDEX(OFFSET(Arb!$I$2,,,Arb!$AJ$5,),N54))</f>
        <v>97</v>
      </c>
      <c r="P54" s="682">
        <f ca="1">IF(N54="",60,INDEX(OFFSET(Arb!$H$2,,,Arb!$AJ$5,),N54))</f>
        <v>27.97</v>
      </c>
      <c r="Q54" s="904">
        <f t="shared" ca="1" si="19"/>
        <v>3.4680014301036826</v>
      </c>
      <c r="R54" s="899">
        <f ca="1">IF(N54="","",INDEX(OFFSET(Arb!$X$2,,,Arb!$AJ$5,),N54)/P54)</f>
        <v>3.8255273507329282</v>
      </c>
      <c r="S54" s="907">
        <f ca="1">IF(N54="","",(INDEX(OFFSET(Arb!$U$2,,,Arb!$AJ$5,),N54)+INDEX(OFFSET(Arb!$V$2,,,Arb!$AJ$5,),N54))/P54)</f>
        <v>4.1115480872363248</v>
      </c>
      <c r="T54" s="127">
        <f ca="1">INDEX(OFFSET(Arb!$AC$2,,,Arb!$AJ$5,),N54)/16</f>
        <v>215.375</v>
      </c>
      <c r="U54" s="34">
        <f t="shared" ca="1" si="20"/>
        <v>7.7002145155523776</v>
      </c>
      <c r="V54" s="21">
        <f t="shared" ca="1" si="21"/>
        <v>29.457381235756326</v>
      </c>
      <c r="W54" s="33">
        <f t="shared" ca="1" si="22"/>
        <v>0.45037724898432968</v>
      </c>
      <c r="X54" s="91">
        <f ca="1">DATE(INDEX(OFFSET(Arb!$C$2,,,Arb!$AJ$5,),N54),INDEX(OFFSET(Arb!$B$2,,,Arb!$AJ$5,),N54),INDEX(OFFSET(Arb!$A$2,,,Arb!$AJ$5,),N54))</f>
        <v>43892</v>
      </c>
      <c r="Y54" s="92">
        <v>3</v>
      </c>
      <c r="Z54" s="11">
        <v>3211</v>
      </c>
      <c r="AA54" s="433">
        <f ca="1">IF(Z54="",164,INDEX(OFFSET(Arb!$I$2,,,Arb!$AJ$5,),Z54))</f>
        <v>171</v>
      </c>
      <c r="AB54" s="691">
        <f ca="1">IF(Z54="",240,INDEX(OFFSET(Arb!$H$2,,,Arb!$AJ$5,),Z54))</f>
        <v>65.650000000000006</v>
      </c>
      <c r="AC54" s="908">
        <f t="shared" ca="1" si="23"/>
        <v>2.6047220106626043</v>
      </c>
      <c r="AD54" s="902">
        <f ca="1">IF(Z54="","",INDEX(OFFSET(Arb!$X$2,,,Arb!$AJ$5,),Z54)/AB54)</f>
        <v>3.3054074638233053</v>
      </c>
      <c r="AE54" s="903">
        <f ca="1">IF(Z54="","",(INDEX(OFFSET(Arb!$U$2,,,Arb!$AJ$5,),Z54)+INDEX(OFFSET(Arb!$V$2,,,Arb!$AJ$5,),Z54))/AB54)</f>
        <v>3.6557501904036553</v>
      </c>
      <c r="AF54" s="127">
        <f ca="1">INDEX(OFFSET(Arb!$AC$2,,,Arb!$AJ$5,),Z54)/16</f>
        <v>491.5625</v>
      </c>
      <c r="AG54" s="34">
        <f t="shared" ca="1" si="24"/>
        <v>7.4876237623762369</v>
      </c>
      <c r="AH54" s="21">
        <f t="shared" ca="1" si="25"/>
        <v>24.749647470459152</v>
      </c>
      <c r="AI54" s="33">
        <f t="shared" ca="1" si="26"/>
        <v>0.34787031150667513</v>
      </c>
      <c r="AJ54" s="74">
        <f ca="1">DATE(INDEX(OFFSET(Arb!$C$2,,,Arb!$AJ$5,),Z54),INDEX(OFFSET(Arb!$B$2,,,Arb!$AJ$5,),Z54),INDEX(OFFSET(Arb!$A$2,,,Arb!$AJ$5,),Z54))</f>
        <v>44059</v>
      </c>
    </row>
    <row r="55" spans="1:36" x14ac:dyDescent="0.25">
      <c r="A55" s="11">
        <v>4</v>
      </c>
      <c r="B55" s="11">
        <v>1599</v>
      </c>
      <c r="C55" s="433">
        <f ca="1">IF(B55="",16,INDEX(OFFSET(Arb!$I$2,,,Arb!$AJ$5,),B55))</f>
        <v>25</v>
      </c>
      <c r="D55" s="688">
        <f ca="1">IF(B55="",10,INDEX(OFFSET(Arb!$H$2,,,Arb!$AJ$5,),B55))</f>
        <v>6.38</v>
      </c>
      <c r="E55" s="909">
        <f t="shared" ca="1" si="15"/>
        <v>3.9184952978056429</v>
      </c>
      <c r="F55" s="910">
        <f ca="1">IF(B55="","",INDEX(OFFSET(Arb!$X$2,,,Arb!$AJ$5,),B55)/D55)</f>
        <v>5.1724137931034484</v>
      </c>
      <c r="G55" s="911">
        <f ca="1">IF(B55="","",(INDEX(OFFSET(Arb!$U$2,,,Arb!$AJ$5,),B55)+INDEX(OFFSET(Arb!$V$2,,,Arb!$AJ$5,),B55))/D55)</f>
        <v>5.6426332288401255</v>
      </c>
      <c r="H55" s="126">
        <f ca="1">INDEX(OFFSET(Arb!$AC$2,,,Arb!$AJ$5,),B55)/16</f>
        <v>71.6875</v>
      </c>
      <c r="I55" s="34">
        <f t="shared" ca="1" si="16"/>
        <v>11.23628526645768</v>
      </c>
      <c r="J55" s="21">
        <f t="shared" ca="1" si="17"/>
        <v>58.118716895470754</v>
      </c>
      <c r="K55" s="33">
        <f t="shared" ca="1" si="18"/>
        <v>0.34873583260680036</v>
      </c>
      <c r="L55" s="88">
        <f ca="1">DATE(INDEX(OFFSET(Arb!$C$2,,,Arb!$AJ$5,),B55),INDEX(OFFSET(Arb!$B$2,,,Arb!$AJ$5,),B55),INDEX(OFFSET(Arb!$A$2,,,Arb!$AJ$5,),B55))</f>
        <v>44054</v>
      </c>
      <c r="M55" s="89">
        <v>4</v>
      </c>
      <c r="N55" s="11">
        <v>2322</v>
      </c>
      <c r="O55" s="433">
        <f ca="1">IF(N55="",64,INDEX(OFFSET(Arb!$I$2,,,Arb!$AJ$5,),N55))</f>
        <v>82</v>
      </c>
      <c r="P55" s="682">
        <f ca="1">IF(N55="",60,INDEX(OFFSET(Arb!$H$2,,,Arb!$AJ$5,),N55))</f>
        <v>27.89</v>
      </c>
      <c r="Q55" s="901">
        <f t="shared" ca="1" si="19"/>
        <v>2.9401219074937255</v>
      </c>
      <c r="R55" s="899">
        <f ca="1">IF(N55="","",INDEX(OFFSET(Arb!$X$2,,,Arb!$AJ$5,),N55)/P55)</f>
        <v>3.8006453926138399</v>
      </c>
      <c r="S55" s="912">
        <f ca="1">IF(N55="","",(INDEX(OFFSET(Arb!$U$2,,,Arb!$AJ$5,),N55)+INDEX(OFFSET(Arb!$V$2,,,Arb!$AJ$5,),N55))/P55)</f>
        <v>4.6611688777339548</v>
      </c>
      <c r="T55" s="127">
        <f ca="1">INDEX(OFFSET(Arb!$AC$2,,,Arb!$AJ$5,),N55)/16</f>
        <v>236.4375</v>
      </c>
      <c r="U55" s="34">
        <f t="shared" ca="1" si="20"/>
        <v>8.4775008963786309</v>
      </c>
      <c r="V55" s="21">
        <f t="shared" ca="1" si="21"/>
        <v>32.219974722701139</v>
      </c>
      <c r="W55" s="33">
        <f t="shared" ca="1" si="22"/>
        <v>0.34681469733016124</v>
      </c>
      <c r="X55" s="91">
        <f ca="1">DATE(INDEX(OFFSET(Arb!$C$2,,,Arb!$AJ$5,),N55),INDEX(OFFSET(Arb!$B$2,,,Arb!$AJ$5,),N55),INDEX(OFFSET(Arb!$A$2,,,Arb!$AJ$5,),N55))</f>
        <v>43990</v>
      </c>
      <c r="Y55" s="92">
        <v>4</v>
      </c>
      <c r="Z55" s="11">
        <v>3299</v>
      </c>
      <c r="AA55" s="433">
        <f ca="1">IF(Z55="",164,INDEX(OFFSET(Arb!$I$2,,,Arb!$AJ$5,),Z55))</f>
        <v>202</v>
      </c>
      <c r="AB55" s="679">
        <f ca="1">IF(Z55="",240,INDEX(OFFSET(Arb!$H$2,,,Arb!$AJ$5,),Z55))</f>
        <v>73.099999999999994</v>
      </c>
      <c r="AC55" s="901">
        <f t="shared" ca="1" si="23"/>
        <v>2.7633378932968538</v>
      </c>
      <c r="AD55" s="902">
        <f ca="1">IF(Z55="","",INDEX(OFFSET(Arb!$X$2,,,Arb!$AJ$5,),Z55)/AB55)</f>
        <v>3.2831737346101235</v>
      </c>
      <c r="AE55" s="903">
        <f ca="1">IF(Z55="","",(INDEX(OFFSET(Arb!$U$2,,,Arb!$AJ$5,),Z55)+INDEX(OFFSET(Arb!$V$2,,,Arb!$AJ$5,),Z55))/AB55)</f>
        <v>3.5294117647058827</v>
      </c>
      <c r="AF55" s="127">
        <f ca="1">INDEX(OFFSET(Arb!$AC$2,,,Arb!$AJ$5,),Z55)/16</f>
        <v>533.1875</v>
      </c>
      <c r="AG55" s="34">
        <f t="shared" ca="1" si="24"/>
        <v>7.2939466484268127</v>
      </c>
      <c r="AH55" s="21">
        <f t="shared" ca="1" si="25"/>
        <v>23.947294057762452</v>
      </c>
      <c r="AI55" s="33">
        <f t="shared" ca="1" si="26"/>
        <v>0.37885359277927561</v>
      </c>
      <c r="AJ55" s="74">
        <f ca="1">DATE(INDEX(OFFSET(Arb!$C$2,,,Arb!$AJ$5,),Z55),INDEX(OFFSET(Arb!$B$2,,,Arb!$AJ$5,),Z55),INDEX(OFFSET(Arb!$A$2,,,Arb!$AJ$5,),Z55))</f>
        <v>44090</v>
      </c>
    </row>
    <row r="56" spans="1:36" x14ac:dyDescent="0.25">
      <c r="A56" s="11">
        <v>5</v>
      </c>
      <c r="B56" s="11">
        <v>1620</v>
      </c>
      <c r="C56" s="433">
        <f ca="1">IF(B56="",16,INDEX(OFFSET(Arb!$I$2,,,Arb!$AJ$5,),B56))</f>
        <v>29</v>
      </c>
      <c r="D56" s="688">
        <f ca="1">IF(B56="",10,INDEX(OFFSET(Arb!$H$2,,,Arb!$AJ$5,),B56))</f>
        <v>6.04</v>
      </c>
      <c r="E56" s="913">
        <f t="shared" ca="1" si="15"/>
        <v>4.8013245033112586</v>
      </c>
      <c r="F56" s="910">
        <f ca="1">IF(B56="","",INDEX(OFFSET(Arb!$X$2,,,Arb!$AJ$5,),B56)/D56)</f>
        <v>5.1324503311258276</v>
      </c>
      <c r="G56" s="914">
        <f ca="1">IF(B56="","",(INDEX(OFFSET(Arb!$U$2,,,Arb!$AJ$5,),B56)+INDEX(OFFSET(Arb!$V$2,,,Arb!$AJ$5,),B56))/D56)</f>
        <v>5.9602649006622519</v>
      </c>
      <c r="H56" s="126">
        <f ca="1">INDEX(OFFSET(Arb!$AC$2,,,Arb!$AJ$5,),B56)/16</f>
        <v>66.75</v>
      </c>
      <c r="I56" s="34">
        <f t="shared" ca="1" si="16"/>
        <v>11.051324503311259</v>
      </c>
      <c r="J56" s="21">
        <f t="shared" ca="1" si="17"/>
        <v>56.720374106398843</v>
      </c>
      <c r="K56" s="33">
        <f t="shared" ca="1" si="18"/>
        <v>0.43445692883895132</v>
      </c>
      <c r="L56" s="88">
        <f ca="1">DATE(INDEX(OFFSET(Arb!$C$2,,,Arb!$AJ$5,),B56),INDEX(OFFSET(Arb!$B$2,,,Arb!$AJ$5,),B56),INDEX(OFFSET(Arb!$A$2,,,Arb!$AJ$5,),B56))</f>
        <v>44093</v>
      </c>
      <c r="M56" s="89">
        <v>5</v>
      </c>
      <c r="N56" s="11">
        <v>2055</v>
      </c>
      <c r="O56" s="433">
        <f ca="1">IF(N56="",64,INDEX(OFFSET(Arb!$I$2,,,Arb!$AJ$5,),N56))</f>
        <v>77</v>
      </c>
      <c r="P56" s="680">
        <f ca="1">IF(N56="",60,INDEX(OFFSET(Arb!$H$2,,,Arb!$AJ$5,),N56))</f>
        <v>25.45</v>
      </c>
      <c r="Q56" s="898">
        <f t="shared" ca="1" si="19"/>
        <v>3.0255402750491158</v>
      </c>
      <c r="R56" s="899">
        <f ca="1">IF(N56="","",INDEX(OFFSET(Arb!$X$2,,,Arb!$AJ$5,),N56)/P56)</f>
        <v>3.7721021611001966</v>
      </c>
      <c r="S56" s="907">
        <f ca="1">IF(N56="","",(INDEX(OFFSET(Arb!$U$2,,,Arb!$AJ$5,),N56)+INDEX(OFFSET(Arb!$V$2,,,Arb!$AJ$5,),N56))/P56)</f>
        <v>4.1650294695481334</v>
      </c>
      <c r="T56" s="127">
        <f ca="1">INDEX(OFFSET(Arb!$AC$2,,,Arb!$AJ$5,),N56)/16</f>
        <v>206.3125</v>
      </c>
      <c r="U56" s="34">
        <f t="shared" ca="1" si="20"/>
        <v>8.106581532416504</v>
      </c>
      <c r="V56" s="21">
        <f t="shared" ca="1" si="21"/>
        <v>30.578853717563238</v>
      </c>
      <c r="W56" s="33">
        <f t="shared" ca="1" si="22"/>
        <v>0.37322023629203271</v>
      </c>
      <c r="X56" s="91">
        <f ca="1">DATE(INDEX(OFFSET(Arb!$C$2,,,Arb!$AJ$5,),N56),INDEX(OFFSET(Arb!$B$2,,,Arb!$AJ$5,),N56),INDEX(OFFSET(Arb!$A$2,,,Arb!$AJ$5,),N56))</f>
        <v>43800</v>
      </c>
      <c r="Y56" s="92">
        <v>5</v>
      </c>
      <c r="Z56" s="11">
        <v>3265</v>
      </c>
      <c r="AA56" s="433">
        <f ca="1">IF(Z56="",164,INDEX(OFFSET(Arb!$I$2,,,Arb!$AJ$5,),Z56))</f>
        <v>173</v>
      </c>
      <c r="AB56" s="693">
        <f ca="1">IF(Z56="",240,INDEX(OFFSET(Arb!$H$2,,,Arb!$AJ$5,),Z56))</f>
        <v>63.97</v>
      </c>
      <c r="AC56" s="908">
        <f t="shared" ca="1" si="23"/>
        <v>2.7043926840706582</v>
      </c>
      <c r="AD56" s="902">
        <f ca="1">IF(Z56="","",INDEX(OFFSET(Arb!$X$2,,,Arb!$AJ$5,),Z56)/AB56)</f>
        <v>3.2515241519462248</v>
      </c>
      <c r="AE56" s="903">
        <f ca="1">IF(Z56="","",(INDEX(OFFSET(Arb!$U$2,,,Arb!$AJ$5,),Z56)+INDEX(OFFSET(Arb!$V$2,,,Arb!$AJ$5,),Z56))/AB56)</f>
        <v>3.6267000156323279</v>
      </c>
      <c r="AF56" s="127">
        <f ca="1">INDEX(OFFSET(Arb!$AC$2,,,Arb!$AJ$5,),Z56)/16</f>
        <v>454.25</v>
      </c>
      <c r="AG56" s="34">
        <f t="shared" ca="1" si="24"/>
        <v>7.1009848366421764</v>
      </c>
      <c r="AH56" s="21">
        <f t="shared" ca="1" si="25"/>
        <v>23.089023698945955</v>
      </c>
      <c r="AI56" s="33">
        <f t="shared" ca="1" si="26"/>
        <v>0.38084755090809025</v>
      </c>
      <c r="AJ56" s="74">
        <f ca="1">DATE(INDEX(OFFSET(Arb!$C$2,,,Arb!$AJ$5,),Z56),INDEX(OFFSET(Arb!$B$2,,,Arb!$AJ$5,),Z56),INDEX(OFFSET(Arb!$A$2,,,Arb!$AJ$5,),Z56))</f>
        <v>44073</v>
      </c>
    </row>
    <row r="57" spans="1:36" x14ac:dyDescent="0.25">
      <c r="A57" s="11">
        <v>6</v>
      </c>
      <c r="B57" s="11">
        <v>1636</v>
      </c>
      <c r="C57" s="433">
        <f ca="1">IF(B57="",16,INDEX(OFFSET(Arb!$I$2,,,Arb!$AJ$5,),B57))</f>
        <v>16</v>
      </c>
      <c r="D57" s="560">
        <f ca="1">IF(B57="",10,INDEX(OFFSET(Arb!$H$2,,,Arb!$AJ$5,),B57))</f>
        <v>3.95</v>
      </c>
      <c r="E57" s="915">
        <f t="shared" ca="1" si="15"/>
        <v>4.0506329113924044</v>
      </c>
      <c r="F57" s="910">
        <f ca="1">IF(B57="","",INDEX(OFFSET(Arb!$X$2,,,Arb!$AJ$5,),B57)/D57)</f>
        <v>5.0632911392405058</v>
      </c>
      <c r="G57" s="916">
        <f ca="1">IF(B57="","",(INDEX(OFFSET(Arb!$U$2,,,Arb!$AJ$5,),B57)+INDEX(OFFSET(Arb!$V$2,,,Arb!$AJ$5,),B57))/D57)</f>
        <v>5.0632911392405058</v>
      </c>
      <c r="H57" s="126">
        <f ca="1">INDEX(OFFSET(Arb!$AC$2,,,Arb!$AJ$5,),B57)/16</f>
        <v>37.125</v>
      </c>
      <c r="I57" s="34">
        <f t="shared" ca="1" si="16"/>
        <v>9.3987341772151893</v>
      </c>
      <c r="J57" s="21">
        <f t="shared" ca="1" si="17"/>
        <v>47.588527479570573</v>
      </c>
      <c r="K57" s="33">
        <f t="shared" ca="1" si="18"/>
        <v>0.43097643097643096</v>
      </c>
      <c r="L57" s="88">
        <f ca="1">DATE(INDEX(OFFSET(Arb!$C$2,,,Arb!$AJ$5,),B57),INDEX(OFFSET(Arb!$B$2,,,Arb!$AJ$5,),B57),INDEX(OFFSET(Arb!$A$2,,,Arb!$AJ$5,),B57))</f>
        <v>44093</v>
      </c>
      <c r="M57" s="89">
        <v>6</v>
      </c>
      <c r="N57" s="11">
        <v>2139</v>
      </c>
      <c r="O57" s="433">
        <f ca="1">IF(N57="",64,INDEX(OFFSET(Arb!$I$2,,,Arb!$AJ$5,),N57))</f>
        <v>71</v>
      </c>
      <c r="P57" s="679">
        <f ca="1">IF(N57="",60,INDEX(OFFSET(Arb!$H$2,,,Arb!$AJ$5,),N57))</f>
        <v>22.85</v>
      </c>
      <c r="Q57" s="898">
        <f t="shared" ca="1" si="19"/>
        <v>3.1072210065645511</v>
      </c>
      <c r="R57" s="899">
        <f ca="1">IF(N57="","",INDEX(OFFSET(Arb!$X$2,,,Arb!$AJ$5,),N57)/P57)</f>
        <v>3.7636761487964985</v>
      </c>
      <c r="S57" s="900">
        <f ca="1">IF(N57="","",(INDEX(OFFSET(Arb!$U$2,,,Arb!$AJ$5,),N57)+INDEX(OFFSET(Arb!$V$2,,,Arb!$AJ$5,),N57))/P57)</f>
        <v>4.288840262582057</v>
      </c>
      <c r="T57" s="127">
        <f ca="1">INDEX(OFFSET(Arb!$AC$2,,,Arb!$AJ$5,),N57)/16</f>
        <v>171.6875</v>
      </c>
      <c r="U57" s="34">
        <f t="shared" ca="1" si="20"/>
        <v>7.513676148796498</v>
      </c>
      <c r="V57" s="21">
        <f t="shared" ca="1" si="21"/>
        <v>28.279043711006508</v>
      </c>
      <c r="W57" s="33">
        <f t="shared" ca="1" si="22"/>
        <v>0.41354204586821985</v>
      </c>
      <c r="X57" s="91">
        <f ca="1">DATE(INDEX(OFFSET(Arb!$C$2,,,Arb!$AJ$5,),N57),INDEX(OFFSET(Arb!$B$2,,,Arb!$AJ$5,),N57),INDEX(OFFSET(Arb!$A$2,,,Arb!$AJ$5,),N57))</f>
        <v>43817</v>
      </c>
      <c r="Y57" s="92">
        <v>6</v>
      </c>
      <c r="Z57" s="11">
        <v>3238</v>
      </c>
      <c r="AA57" s="433">
        <f ca="1">IF(Z57="",164,INDEX(OFFSET(Arb!$I$2,,,Arb!$AJ$5,),Z57))</f>
        <v>197</v>
      </c>
      <c r="AB57" s="679">
        <f ca="1">IF(Z57="",240,INDEX(OFFSET(Arb!$H$2,,,Arb!$AJ$5,),Z57))</f>
        <v>70.430000000000007</v>
      </c>
      <c r="AC57" s="901">
        <f t="shared" ca="1" si="23"/>
        <v>2.7971035070282548</v>
      </c>
      <c r="AD57" s="917">
        <f ca="1">IF(Z57="","",INDEX(OFFSET(Arb!$X$2,,,Arb!$AJ$5,),Z57)/AB57)</f>
        <v>3.2372568507738175</v>
      </c>
      <c r="AE57" s="903">
        <f ca="1">IF(Z57="","",(INDEX(OFFSET(Arb!$U$2,,,Arb!$AJ$5,),Z57)+INDEX(OFFSET(Arb!$V$2,,,Arb!$AJ$5,),Z57))/AB57)</f>
        <v>3.6064177197217093</v>
      </c>
      <c r="AF57" s="127">
        <f ca="1">INDEX(OFFSET(Arb!$AC$2,,,Arb!$AJ$5,),Z57)/16</f>
        <v>529.125</v>
      </c>
      <c r="AG57" s="34">
        <f t="shared" ca="1" si="24"/>
        <v>7.5127786454635803</v>
      </c>
      <c r="AH57" s="21">
        <f t="shared" ca="1" si="25"/>
        <v>24.320794138374218</v>
      </c>
      <c r="AI57" s="33">
        <f t="shared" ca="1" si="26"/>
        <v>0.37231278053390032</v>
      </c>
      <c r="AJ57" s="74">
        <f ca="1">DATE(INDEX(OFFSET(Arb!$C$2,,,Arb!$AJ$5,),Z57),INDEX(OFFSET(Arb!$B$2,,,Arb!$AJ$5,),Z57),INDEX(OFFSET(Arb!$A$2,,,Arb!$AJ$5,),Z57))</f>
        <v>44064</v>
      </c>
    </row>
    <row r="58" spans="1:36" x14ac:dyDescent="0.25">
      <c r="A58" s="11">
        <v>7</v>
      </c>
      <c r="B58" s="11">
        <v>1625</v>
      </c>
      <c r="C58" s="433">
        <f ca="1">IF(B58="",16,INDEX(OFFSET(Arb!$I$2,,,Arb!$AJ$5,),B58))</f>
        <v>16</v>
      </c>
      <c r="D58" s="274">
        <f ca="1">IF(B58="",10,INDEX(OFFSET(Arb!$H$2,,,Arb!$AJ$5,),B58))</f>
        <v>4.5999999999999996</v>
      </c>
      <c r="E58" s="904">
        <f t="shared" ca="1" si="15"/>
        <v>3.4782608695652177</v>
      </c>
      <c r="F58" s="910">
        <f ca="1">IF(B58="","",INDEX(OFFSET(Arb!$X$2,,,Arb!$AJ$5,),B58)/D58)</f>
        <v>5</v>
      </c>
      <c r="G58" s="918">
        <f ca="1">IF(B58="","",(INDEX(OFFSET(Arb!$U$2,,,Arb!$AJ$5,),B58)+INDEX(OFFSET(Arb!$V$2,,,Arb!$AJ$5,),B58))/D58)</f>
        <v>5.4347826086956523</v>
      </c>
      <c r="H58" s="126">
        <f ca="1">INDEX(OFFSET(Arb!$AC$2,,,Arb!$AJ$5,),B58)/16</f>
        <v>54.875</v>
      </c>
      <c r="I58" s="34">
        <f t="shared" ca="1" si="16"/>
        <v>11.929347826086957</v>
      </c>
      <c r="J58" s="21">
        <f t="shared" ca="1" si="17"/>
        <v>59.646739130434781</v>
      </c>
      <c r="K58" s="33">
        <f t="shared" ca="1" si="18"/>
        <v>0.29157175398633256</v>
      </c>
      <c r="L58" s="88">
        <f ca="1">DATE(INDEX(OFFSET(Arb!$C$2,,,Arb!$AJ$5,),B58),INDEX(OFFSET(Arb!$B$2,,,Arb!$AJ$5,),B58),INDEX(OFFSET(Arb!$A$2,,,Arb!$AJ$5,),B58))</f>
        <v>44093</v>
      </c>
      <c r="M58" s="89">
        <v>7</v>
      </c>
      <c r="N58" s="11">
        <v>2334</v>
      </c>
      <c r="O58" s="433">
        <f ca="1">IF(N58="",64,INDEX(OFFSET(Arb!$I$2,,,Arb!$AJ$5,),N58))</f>
        <v>64</v>
      </c>
      <c r="P58" s="692">
        <f ca="1">IF(N58="",60,INDEX(OFFSET(Arb!$H$2,,,Arb!$AJ$5,),N58))</f>
        <v>21.85</v>
      </c>
      <c r="Q58" s="901">
        <f t="shared" ca="1" si="19"/>
        <v>2.9290617848970251</v>
      </c>
      <c r="R58" s="899">
        <f ca="1">IF(N58="","",INDEX(OFFSET(Arb!$X$2,,,Arb!$AJ$5,),N58)/P58)</f>
        <v>3.7528604118993134</v>
      </c>
      <c r="S58" s="907">
        <f ca="1">IF(N58="","",(INDEX(OFFSET(Arb!$U$2,,,Arb!$AJ$5,),N58)+INDEX(OFFSET(Arb!$V$2,,,Arb!$AJ$5,),N58))/P58)</f>
        <v>4.0732265446224254</v>
      </c>
      <c r="T58" s="127">
        <f ca="1">INDEX(OFFSET(Arb!$AC$2,,,Arb!$AJ$5,),N58)/16</f>
        <v>194.9375</v>
      </c>
      <c r="U58" s="34">
        <f t="shared" ca="1" si="20"/>
        <v>8.9216247139588098</v>
      </c>
      <c r="V58" s="21">
        <f t="shared" ca="1" si="21"/>
        <v>33.481612198838555</v>
      </c>
      <c r="W58" s="33">
        <f t="shared" ca="1" si="22"/>
        <v>0.32831035588329593</v>
      </c>
      <c r="X58" s="91">
        <f ca="1">DATE(INDEX(OFFSET(Arb!$C$2,,,Arb!$AJ$5,),N58),INDEX(OFFSET(Arb!$B$2,,,Arb!$AJ$5,),N58),INDEX(OFFSET(Arb!$A$2,,,Arb!$AJ$5,),N58))</f>
        <v>44093</v>
      </c>
      <c r="Y58" s="92">
        <v>7</v>
      </c>
      <c r="Z58" s="11">
        <v>3237</v>
      </c>
      <c r="AA58" s="433">
        <f ca="1">IF(Z58="",164,INDEX(OFFSET(Arb!$I$2,,,Arb!$AJ$5,),Z58))</f>
        <v>201</v>
      </c>
      <c r="AB58" s="679">
        <f ca="1">IF(Z58="",240,INDEX(OFFSET(Arb!$H$2,,,Arb!$AJ$5,),Z58))</f>
        <v>72.66</v>
      </c>
      <c r="AC58" s="901">
        <f t="shared" ca="1" si="23"/>
        <v>2.7663088356729975</v>
      </c>
      <c r="AD58" s="917">
        <f ca="1">IF(Z58="","",INDEX(OFFSET(Arb!$X$2,,,Arb!$AJ$5,),Z58)/AB58)</f>
        <v>3.2342416735480319</v>
      </c>
      <c r="AE58" s="919">
        <f ca="1">IF(Z58="","",(INDEX(OFFSET(Arb!$U$2,,,Arb!$AJ$5,),Z58)+INDEX(OFFSET(Arb!$V$2,,,Arb!$AJ$5,),Z58))/AB58)</f>
        <v>3.454445361959813</v>
      </c>
      <c r="AF58" s="127">
        <f ca="1">INDEX(OFFSET(Arb!$AC$2,,,Arb!$AJ$5,),Z58)/16</f>
        <v>544.75</v>
      </c>
      <c r="AG58" s="34">
        <f t="shared" ca="1" si="24"/>
        <v>7.497247453894853</v>
      </c>
      <c r="AH58" s="21">
        <f t="shared" ca="1" si="25"/>
        <v>24.247910152288611</v>
      </c>
      <c r="AI58" s="33">
        <f t="shared" ca="1" si="26"/>
        <v>0.36897659476824229</v>
      </c>
      <c r="AJ58" s="74">
        <f ca="1">DATE(INDEX(OFFSET(Arb!$C$2,,,Arb!$AJ$5,),Z58),INDEX(OFFSET(Arb!$B$2,,,Arb!$AJ$5,),Z58),INDEX(OFFSET(Arb!$A$2,,,Arb!$AJ$5,),Z58))</f>
        <v>44064</v>
      </c>
    </row>
    <row r="59" spans="1:36" x14ac:dyDescent="0.25">
      <c r="A59" s="11">
        <v>8</v>
      </c>
      <c r="B59" s="11">
        <v>1564</v>
      </c>
      <c r="C59" s="433">
        <f ca="1">IF(B59="",16,INDEX(OFFSET(Arb!$I$2,,,Arb!$AJ$5,),B59))</f>
        <v>14</v>
      </c>
      <c r="D59" s="274">
        <f ca="1">IF(B59="",10,INDEX(OFFSET(Arb!$H$2,,,Arb!$AJ$5,),B59))</f>
        <v>4.8600000000000003</v>
      </c>
      <c r="E59" s="901">
        <f t="shared" ca="1" si="15"/>
        <v>2.8806584362139915</v>
      </c>
      <c r="F59" s="920">
        <f ca="1">IF(B59="","",INDEX(OFFSET(Arb!$X$2,,,Arb!$AJ$5,),B59)/D59)</f>
        <v>4.9382716049382713</v>
      </c>
      <c r="G59" s="918">
        <f ca="1">IF(B59="","",(INDEX(OFFSET(Arb!$U$2,,,Arb!$AJ$5,),B59)+INDEX(OFFSET(Arb!$V$2,,,Arb!$AJ$5,),B59))/D59)</f>
        <v>5.3497942386831276</v>
      </c>
      <c r="H59" s="126">
        <f ca="1">INDEX(OFFSET(Arb!$AC$2,,,Arb!$AJ$5,),B59)/16</f>
        <v>53.625</v>
      </c>
      <c r="I59" s="34">
        <f t="shared" ca="1" si="16"/>
        <v>11.033950617283949</v>
      </c>
      <c r="J59" s="21">
        <f t="shared" ca="1" si="17"/>
        <v>54.488645023624436</v>
      </c>
      <c r="K59" s="33">
        <f t="shared" ca="1" si="18"/>
        <v>0.26107226107226106</v>
      </c>
      <c r="L59" s="88">
        <f ca="1">DATE(INDEX(OFFSET(Arb!$C$2,,,Arb!$AJ$5,),B59),INDEX(OFFSET(Arb!$B$2,,,Arb!$AJ$5,),B59),INDEX(OFFSET(Arb!$A$2,,,Arb!$AJ$5,),B59))</f>
        <v>43989</v>
      </c>
      <c r="M59" s="89">
        <v>8</v>
      </c>
      <c r="N59" s="11">
        <v>1930</v>
      </c>
      <c r="O59" s="433">
        <f ca="1">IF(N59="",64,INDEX(OFFSET(Arb!$I$2,,,Arb!$AJ$5,),N59))</f>
        <v>89</v>
      </c>
      <c r="P59" s="690">
        <f ca="1">IF(N59="",60,INDEX(OFFSET(Arb!$H$2,,,Arb!$AJ$5,),N59))</f>
        <v>29.4</v>
      </c>
      <c r="Q59" s="898">
        <f t="shared" ca="1" si="19"/>
        <v>3.0272108843537415</v>
      </c>
      <c r="R59" s="921">
        <f ca="1">IF(N59="","",INDEX(OFFSET(Arb!$X$2,,,Arb!$AJ$5,),N59)/P59)</f>
        <v>3.7414965986394559</v>
      </c>
      <c r="S59" s="907">
        <f ca="1">IF(N59="","",(INDEX(OFFSET(Arb!$U$2,,,Arb!$AJ$5,),N59)+INDEX(OFFSET(Arb!$V$2,,,Arb!$AJ$5,),N59))/P59)</f>
        <v>4.1836734693877551</v>
      </c>
      <c r="T59" s="127">
        <f ca="1">INDEX(OFFSET(Arb!$AC$2,,,Arb!$AJ$5,),N59)/16</f>
        <v>248.125</v>
      </c>
      <c r="U59" s="34">
        <f t="shared" ca="1" si="20"/>
        <v>8.4396258503401373</v>
      </c>
      <c r="V59" s="21">
        <f t="shared" ca="1" si="21"/>
        <v>31.576831412837251</v>
      </c>
      <c r="W59" s="33">
        <f t="shared" ca="1" si="22"/>
        <v>0.35869017632241812</v>
      </c>
      <c r="X59" s="91">
        <f ca="1">DATE(INDEX(OFFSET(Arb!$C$2,,,Arb!$AJ$5,),N59),INDEX(OFFSET(Arb!$B$2,,,Arb!$AJ$5,),N59),INDEX(OFFSET(Arb!$A$2,,,Arb!$AJ$5,),N59))</f>
        <v>43771</v>
      </c>
      <c r="Y59" s="92">
        <v>8</v>
      </c>
      <c r="Z59" s="11">
        <v>2973</v>
      </c>
      <c r="AA59" s="433">
        <f ca="1">IF(Z59="",164,INDEX(OFFSET(Arb!$I$2,,,Arb!$AJ$5,),Z59))</f>
        <v>186</v>
      </c>
      <c r="AB59" s="679">
        <f ca="1">IF(Z59="",240,INDEX(OFFSET(Arb!$H$2,,,Arb!$AJ$5,),Z59))</f>
        <v>71.62</v>
      </c>
      <c r="AC59" s="908">
        <f t="shared" ca="1" si="23"/>
        <v>2.5970399329796146</v>
      </c>
      <c r="AD59" s="917">
        <f ca="1">IF(Z59="","",INDEX(OFFSET(Arb!$X$2,,,Arb!$AJ$5,),Z59)/AB59)</f>
        <v>3.225356045797263</v>
      </c>
      <c r="AE59" s="903">
        <f ca="1">IF(Z59="","",(INDEX(OFFSET(Arb!$U$2,,,Arb!$AJ$5,),Z59)+INDEX(OFFSET(Arb!$V$2,,,Arb!$AJ$5,),Z59))/AB59)</f>
        <v>3.5883831332030156</v>
      </c>
      <c r="AF59" s="127">
        <f ca="1">INDEX(OFFSET(Arb!$AC$2,,,Arb!$AJ$5,),Z59)/16</f>
        <v>498.75</v>
      </c>
      <c r="AG59" s="34">
        <f t="shared" ca="1" si="24"/>
        <v>6.9638369170622729</v>
      </c>
      <c r="AH59" s="21">
        <f t="shared" ca="1" si="25"/>
        <v>22.460853502392975</v>
      </c>
      <c r="AI59" s="33">
        <f t="shared" ca="1" si="26"/>
        <v>0.37293233082706767</v>
      </c>
      <c r="AJ59" s="74">
        <f ca="1">DATE(INDEX(OFFSET(Arb!$C$2,,,Arb!$AJ$5,),Z59),INDEX(OFFSET(Arb!$B$2,,,Arb!$AJ$5,),Z59),INDEX(OFFSET(Arb!$A$2,,,Arb!$AJ$5,),Z59))</f>
        <v>43954</v>
      </c>
    </row>
    <row r="60" spans="1:36" x14ac:dyDescent="0.25">
      <c r="A60" s="11">
        <v>9</v>
      </c>
      <c r="B60" s="11">
        <v>612</v>
      </c>
      <c r="C60" s="433">
        <f ca="1">IF(B60="",16,INDEX(OFFSET(Arb!$I$2,,,Arb!$AJ$5,),B60))</f>
        <v>30</v>
      </c>
      <c r="D60" s="679">
        <f ca="1">IF(B60="",10,INDEX(OFFSET(Arb!$H$2,,,Arb!$AJ$5,),B60))</f>
        <v>8.14</v>
      </c>
      <c r="E60" s="922">
        <f t="shared" ca="1" si="15"/>
        <v>3.6855036855036851</v>
      </c>
      <c r="F60" s="920">
        <f ca="1">IF(B60="","",INDEX(OFFSET(Arb!$X$2,,,Arb!$AJ$5,),B60)/D60)</f>
        <v>4.9140049140049138</v>
      </c>
      <c r="G60" s="918">
        <f ca="1">IF(B60="","",(INDEX(OFFSET(Arb!$U$2,,,Arb!$AJ$5,),B60)+INDEX(OFFSET(Arb!$V$2,,,Arb!$AJ$5,),B60))/D60)</f>
        <v>5.2825552825552826</v>
      </c>
      <c r="H60" s="126">
        <f ca="1">INDEX(OFFSET(Arb!$AC$2,,,Arb!$AJ$5,),B60)/16</f>
        <v>83.75</v>
      </c>
      <c r="I60" s="34">
        <f t="shared" ca="1" si="16"/>
        <v>10.288697788697789</v>
      </c>
      <c r="J60" s="21">
        <f t="shared" ca="1" si="17"/>
        <v>50.558711492372424</v>
      </c>
      <c r="K60" s="33">
        <f t="shared" ca="1" si="18"/>
        <v>0.35820895522388058</v>
      </c>
      <c r="L60" s="88">
        <f ca="1">DATE(INDEX(OFFSET(Arb!$C$2,,,Arb!$AJ$5,),B60),INDEX(OFFSET(Arb!$B$2,,,Arb!$AJ$5,),B60),INDEX(OFFSET(Arb!$A$2,,,Arb!$AJ$5,),B60))</f>
        <v>43799</v>
      </c>
      <c r="M60" s="89">
        <v>9</v>
      </c>
      <c r="N60" s="11">
        <v>2248</v>
      </c>
      <c r="O60" s="433">
        <f ca="1">IF(N60="",64,INDEX(OFFSET(Arb!$I$2,,,Arb!$AJ$5,),N60))</f>
        <v>72</v>
      </c>
      <c r="P60" s="690">
        <f ca="1">IF(N60="",60,INDEX(OFFSET(Arb!$H$2,,,Arb!$AJ$5,),N60))</f>
        <v>28.07</v>
      </c>
      <c r="Q60" s="908">
        <f t="shared" ca="1" si="19"/>
        <v>2.5650160313501957</v>
      </c>
      <c r="R60" s="921">
        <f ca="1">IF(N60="","",INDEX(OFFSET(Arb!$X$2,,,Arb!$AJ$5,),N60)/P60)</f>
        <v>3.7050231563947276</v>
      </c>
      <c r="S60" s="907">
        <f ca="1">IF(N60="","",(INDEX(OFFSET(Arb!$U$2,,,Arb!$AJ$5,),N60)+INDEX(OFFSET(Arb!$V$2,,,Arb!$AJ$5,),N60))/P60)</f>
        <v>4.2394014962593518</v>
      </c>
      <c r="T60" s="127">
        <f ca="1">INDEX(OFFSET(Arb!$AC$2,,,Arb!$AJ$5,),N60)/16</f>
        <v>234.5625</v>
      </c>
      <c r="U60" s="34">
        <f t="shared" ca="1" si="20"/>
        <v>8.3563412896330593</v>
      </c>
      <c r="V60" s="21">
        <f t="shared" ca="1" si="21"/>
        <v>30.960437980827866</v>
      </c>
      <c r="W60" s="33">
        <f t="shared" ca="1" si="22"/>
        <v>0.30695443645083931</v>
      </c>
      <c r="X60" s="91">
        <f ca="1">DATE(INDEX(OFFSET(Arb!$C$2,,,Arb!$AJ$5,),N60),INDEX(OFFSET(Arb!$B$2,,,Arb!$AJ$5,),N60),INDEX(OFFSET(Arb!$A$2,,,Arb!$AJ$5,),N60))</f>
        <v>43894</v>
      </c>
      <c r="Y60" s="92">
        <v>9</v>
      </c>
      <c r="Z60" s="11">
        <v>3217</v>
      </c>
      <c r="AA60" s="433">
        <f ca="1">IF(Z60="",164,INDEX(OFFSET(Arb!$I$2,,,Arb!$AJ$5,),Z60))</f>
        <v>194</v>
      </c>
      <c r="AB60" s="679">
        <f ca="1">IF(Z60="",240,INDEX(OFFSET(Arb!$H$2,,,Arb!$AJ$5,),Z60))</f>
        <v>70.53</v>
      </c>
      <c r="AC60" s="901">
        <f t="shared" ca="1" si="23"/>
        <v>2.7506025804622145</v>
      </c>
      <c r="AD60" s="917">
        <f ca="1">IF(Z60="","",INDEX(OFFSET(Arb!$X$2,,,Arb!$AJ$5,),Z60)/AB60)</f>
        <v>3.2184885864171275</v>
      </c>
      <c r="AE60" s="903">
        <f ca="1">IF(Z60="","",(INDEX(OFFSET(Arb!$U$2,,,Arb!$AJ$5,),Z60)+INDEX(OFFSET(Arb!$V$2,,,Arb!$AJ$5,),Z60))/AB60)</f>
        <v>3.5162342265702535</v>
      </c>
      <c r="AF60" s="127">
        <f ca="1">INDEX(OFFSET(Arb!$AC$2,,,Arb!$AJ$5,),Z60)/16</f>
        <v>549.1875</v>
      </c>
      <c r="AG60" s="34">
        <f t="shared" ca="1" si="24"/>
        <v>7.7865801786473838</v>
      </c>
      <c r="AH60" s="21">
        <f t="shared" ca="1" si="25"/>
        <v>25.061019432198442</v>
      </c>
      <c r="AI60" s="33">
        <f t="shared" ca="1" si="26"/>
        <v>0.35324911801524977</v>
      </c>
      <c r="AJ60" s="74">
        <f ca="1">DATE(INDEX(OFFSET(Arb!$C$2,,,Arb!$AJ$5,),Z60),INDEX(OFFSET(Arb!$B$2,,,Arb!$AJ$5,),Z60),INDEX(OFFSET(Arb!$A$2,,,Arb!$AJ$5,),Z60))</f>
        <v>44059</v>
      </c>
    </row>
    <row r="61" spans="1:36" x14ac:dyDescent="0.25">
      <c r="A61" s="11">
        <v>10</v>
      </c>
      <c r="B61" s="11">
        <v>1725</v>
      </c>
      <c r="C61" s="433">
        <f ca="1">IF(B61="",16,INDEX(OFFSET(Arb!$I$2,,,Arb!$AJ$5,),B61))</f>
        <v>14</v>
      </c>
      <c r="D61" s="683">
        <f ca="1">IF(B61="",10,INDEX(OFFSET(Arb!$H$2,,,Arb!$AJ$5,),B61))</f>
        <v>4.29</v>
      </c>
      <c r="E61" s="904">
        <f t="shared" ca="1" si="15"/>
        <v>3.2634032634032635</v>
      </c>
      <c r="F61" s="920">
        <f ca="1">IF(B61="","",INDEX(OFFSET(Arb!$X$2,,,Arb!$AJ$5,),B61)/D61)</f>
        <v>4.895104895104895</v>
      </c>
      <c r="G61" s="911">
        <f ca="1">IF(B61="","",(INDEX(OFFSET(Arb!$U$2,,,Arb!$AJ$5,),B61)+INDEX(OFFSET(Arb!$V$2,,,Arb!$AJ$5,),B61))/D61)</f>
        <v>5.5944055944055942</v>
      </c>
      <c r="H61" s="126">
        <f ca="1">INDEX(OFFSET(Arb!$AC$2,,,Arb!$AJ$5,),B61)/16</f>
        <v>51.4375</v>
      </c>
      <c r="I61" s="34">
        <f t="shared" ca="1" si="16"/>
        <v>11.990093240093239</v>
      </c>
      <c r="J61" s="21">
        <f t="shared" ca="1" si="17"/>
        <v>58.692764112344527</v>
      </c>
      <c r="K61" s="33">
        <f t="shared" ca="1" si="18"/>
        <v>0.27217496962332927</v>
      </c>
      <c r="L61" s="88">
        <f ca="1">DATE(INDEX(OFFSET(Arb!$C$2,,,Arb!$AJ$5,),B61),INDEX(OFFSET(Arb!$B$2,,,Arb!$AJ$5,),B61),INDEX(OFFSET(Arb!$A$2,,,Arb!$AJ$5,),B61))</f>
        <v>44107</v>
      </c>
      <c r="M61" s="89">
        <v>10</v>
      </c>
      <c r="N61" s="11">
        <v>1989</v>
      </c>
      <c r="O61" s="433">
        <f ca="1">IF(N61="",64,INDEX(OFFSET(Arb!$I$2,,,Arb!$AJ$5,),N61))</f>
        <v>80</v>
      </c>
      <c r="P61" s="690">
        <f ca="1">IF(N61="",60,INDEX(OFFSET(Arb!$H$2,,,Arb!$AJ$5,),N61))</f>
        <v>28.37</v>
      </c>
      <c r="Q61" s="901">
        <f t="shared" ca="1" si="19"/>
        <v>2.8198801550934083</v>
      </c>
      <c r="R61" s="921">
        <f ca="1">IF(N61="","",INDEX(OFFSET(Arb!$X$2,,,Arb!$AJ$5,),N61)/P61)</f>
        <v>3.7010927035600987</v>
      </c>
      <c r="S61" s="907">
        <f ca="1">IF(N61="","",(INDEX(OFFSET(Arb!$U$2,,,Arb!$AJ$5,),N61)+INDEX(OFFSET(Arb!$V$2,,,Arb!$AJ$5,),N61))/P61)</f>
        <v>4.194571730701445</v>
      </c>
      <c r="T61" s="127">
        <f ca="1">INDEX(OFFSET(Arb!$AC$2,,,Arb!$AJ$5,),N61)/16</f>
        <v>266</v>
      </c>
      <c r="U61" s="34">
        <f t="shared" ca="1" si="20"/>
        <v>9.3761015156855834</v>
      </c>
      <c r="V61" s="21">
        <f t="shared" ca="1" si="21"/>
        <v>34.701820907542697</v>
      </c>
      <c r="W61" s="33">
        <f t="shared" ca="1" si="22"/>
        <v>0.3007518796992481</v>
      </c>
      <c r="X61" s="91">
        <f ca="1">DATE(INDEX(OFFSET(Arb!$C$2,,,Arb!$AJ$5,),N61),INDEX(OFFSET(Arb!$B$2,,,Arb!$AJ$5,),N61),INDEX(OFFSET(Arb!$A$2,,,Arb!$AJ$5,),N61))</f>
        <v>43784</v>
      </c>
      <c r="Y61" s="92">
        <v>10</v>
      </c>
      <c r="Z61" s="11">
        <v>2927</v>
      </c>
      <c r="AA61" s="433">
        <f ca="1">IF(Z61="",164,INDEX(OFFSET(Arb!$I$2,,,Arb!$AJ$5,),Z61))</f>
        <v>199</v>
      </c>
      <c r="AB61" s="679">
        <f ca="1">IF(Z61="",240,INDEX(OFFSET(Arb!$H$2,,,Arb!$AJ$5,),Z61))</f>
        <v>73.11</v>
      </c>
      <c r="AC61" s="908">
        <f t="shared" ca="1" si="23"/>
        <v>2.7219258651347285</v>
      </c>
      <c r="AD61" s="917">
        <f ca="1">IF(Z61="","",INDEX(OFFSET(Arb!$X$2,,,Arb!$AJ$5,),Z61)/AB61)</f>
        <v>3.2143345643550814</v>
      </c>
      <c r="AE61" s="903">
        <f ca="1">IF(Z61="","",(INDEX(OFFSET(Arb!$U$2,,,Arb!$AJ$5,),Z61)+INDEX(OFFSET(Arb!$V$2,,,Arb!$AJ$5,),Z61))/AB61)</f>
        <v>3.5289290110791955</v>
      </c>
      <c r="AF61" s="127">
        <f ca="1">INDEX(OFFSET(Arb!$AC$2,,,Arb!$AJ$5,),Z61)/16</f>
        <v>518</v>
      </c>
      <c r="AG61" s="34">
        <f t="shared" ca="1" si="24"/>
        <v>7.0852140610039669</v>
      </c>
      <c r="AH61" s="21">
        <f t="shared" ca="1" si="25"/>
        <v>22.774248452139684</v>
      </c>
      <c r="AI61" s="33">
        <f t="shared" ca="1" si="26"/>
        <v>0.38416988416988418</v>
      </c>
      <c r="AJ61" s="74">
        <f ca="1">DATE(INDEX(OFFSET(Arb!$C$2,,,Arb!$AJ$5,),Z61),INDEX(OFFSET(Arb!$B$2,,,Arb!$AJ$5,),Z61),INDEX(OFFSET(Arb!$A$2,,,Arb!$AJ$5,),Z61))</f>
        <v>43936</v>
      </c>
    </row>
    <row r="62" spans="1:36" x14ac:dyDescent="0.25">
      <c r="A62" s="11">
        <v>11</v>
      </c>
      <c r="B62" s="11">
        <v>1626</v>
      </c>
      <c r="C62" s="433">
        <f ca="1">IF(B62="",16,INDEX(OFFSET(Arb!$I$2,,,Arb!$AJ$5,),B62))</f>
        <v>18</v>
      </c>
      <c r="D62" s="560">
        <f ca="1">IF(B62="",10,INDEX(OFFSET(Arb!$H$2,,,Arb!$AJ$5,),B62))</f>
        <v>3.69</v>
      </c>
      <c r="E62" s="913">
        <f t="shared" ca="1" si="15"/>
        <v>4.8780487804878048</v>
      </c>
      <c r="F62" s="920">
        <f ca="1">IF(B62="","",INDEX(OFFSET(Arb!$X$2,,,Arb!$AJ$5,),B62)/D62)</f>
        <v>4.8780487804878048</v>
      </c>
      <c r="G62" s="916">
        <f ca="1">IF(B62="","",(INDEX(OFFSET(Arb!$U$2,,,Arb!$AJ$5,),B62)+INDEX(OFFSET(Arb!$V$2,,,Arb!$AJ$5,),B62))/D62)</f>
        <v>5.1490514905149052</v>
      </c>
      <c r="H62" s="126">
        <f ca="1">INDEX(OFFSET(Arb!$AC$2,,,Arb!$AJ$5,),B62)/16</f>
        <v>38.3125</v>
      </c>
      <c r="I62" s="34">
        <f t="shared" ca="1" si="16"/>
        <v>10.38279132791328</v>
      </c>
      <c r="J62" s="21">
        <f t="shared" ca="1" si="17"/>
        <v>50.647762575186732</v>
      </c>
      <c r="K62" s="33">
        <f t="shared" ca="1" si="18"/>
        <v>0.46982055464926592</v>
      </c>
      <c r="L62" s="88">
        <f ca="1">DATE(INDEX(OFFSET(Arb!$C$2,,,Arb!$AJ$5,),B62),INDEX(OFFSET(Arb!$B$2,,,Arb!$AJ$5,),B62),INDEX(OFFSET(Arb!$A$2,,,Arb!$AJ$5,),B62))</f>
        <v>44093</v>
      </c>
      <c r="M62" s="89">
        <v>11</v>
      </c>
      <c r="N62" s="11">
        <v>2335</v>
      </c>
      <c r="O62" s="433">
        <f ca="1">IF(N62="",64,INDEX(OFFSET(Arb!$I$2,,,Arb!$AJ$5,),N62))</f>
        <v>59</v>
      </c>
      <c r="P62" s="692">
        <f ca="1">IF(N62="",60,INDEX(OFFSET(Arb!$H$2,,,Arb!$AJ$5,),N62))</f>
        <v>21.62</v>
      </c>
      <c r="Q62" s="908">
        <f t="shared" ca="1" si="19"/>
        <v>2.7289546716003699</v>
      </c>
      <c r="R62" s="921">
        <f ca="1">IF(N62="","",INDEX(OFFSET(Arb!$X$2,,,Arb!$AJ$5,),N62)/P62)</f>
        <v>3.700277520814061</v>
      </c>
      <c r="S62" s="900">
        <f ca="1">IF(N62="","",(INDEX(OFFSET(Arb!$U$2,,,Arb!$AJ$5,),N62)+INDEX(OFFSET(Arb!$V$2,,,Arb!$AJ$5,),N62))/P62)</f>
        <v>4.3015726179463458</v>
      </c>
      <c r="T62" s="127">
        <f ca="1">INDEX(OFFSET(Arb!$AC$2,,,Arb!$AJ$5,),N62)/16</f>
        <v>185.875</v>
      </c>
      <c r="U62" s="34">
        <f t="shared" ca="1" si="20"/>
        <v>8.5973635522664189</v>
      </c>
      <c r="V62" s="21">
        <f t="shared" ca="1" si="21"/>
        <v>31.812631090717552</v>
      </c>
      <c r="W62" s="33">
        <f t="shared" ca="1" si="22"/>
        <v>0.31741761936785473</v>
      </c>
      <c r="X62" s="91">
        <f ca="1">DATE(INDEX(OFFSET(Arb!$C$2,,,Arb!$AJ$5,),N62),INDEX(OFFSET(Arb!$B$2,,,Arb!$AJ$5,),N62),INDEX(OFFSET(Arb!$A$2,,,Arb!$AJ$5,),N62))</f>
        <v>44093</v>
      </c>
      <c r="Y62" s="92">
        <v>11</v>
      </c>
      <c r="Z62" s="11">
        <v>2873</v>
      </c>
      <c r="AA62" s="433">
        <f ca="1">IF(Z62="",164,INDEX(OFFSET(Arb!$I$2,,,Arb!$AJ$5,),Z62))</f>
        <v>208</v>
      </c>
      <c r="AB62" s="680">
        <f ca="1">IF(Z62="",240,INDEX(OFFSET(Arb!$H$2,,,Arb!$AJ$5,),Z62))</f>
        <v>74.819999999999993</v>
      </c>
      <c r="AC62" s="901">
        <f t="shared" ca="1" si="23"/>
        <v>2.7800053461641276</v>
      </c>
      <c r="AD62" s="917">
        <f ca="1">IF(Z62="","",INDEX(OFFSET(Arb!$X$2,,,Arb!$AJ$5,),Z62)/AB62)</f>
        <v>3.2076984763432241</v>
      </c>
      <c r="AE62" s="919">
        <f ca="1">IF(Z62="","",(INDEX(OFFSET(Arb!$U$2,,,Arb!$AJ$5,),Z62)+INDEX(OFFSET(Arb!$V$2,,,Arb!$AJ$5,),Z62))/AB62)</f>
        <v>3.4883720930232562</v>
      </c>
      <c r="AF62" s="127">
        <f ca="1">INDEX(OFFSET(Arb!$AC$2,,,Arb!$AJ$5,),Z62)/16</f>
        <v>553.6875</v>
      </c>
      <c r="AG62" s="34">
        <f t="shared" ca="1" si="24"/>
        <v>7.400260625501204</v>
      </c>
      <c r="AH62" s="21">
        <f t="shared" ca="1" si="25"/>
        <v>23.737804732962967</v>
      </c>
      <c r="AI62" s="33">
        <f t="shared" ca="1" si="26"/>
        <v>0.3756631674003838</v>
      </c>
      <c r="AJ62" s="74">
        <f ca="1">DATE(INDEX(OFFSET(Arb!$C$2,,,Arb!$AJ$5,),Z62),INDEX(OFFSET(Arb!$B$2,,,Arb!$AJ$5,),Z62),INDEX(OFFSET(Arb!$A$2,,,Arb!$AJ$5,),Z62))</f>
        <v>43911</v>
      </c>
    </row>
    <row r="63" spans="1:36" x14ac:dyDescent="0.25">
      <c r="A63" s="11">
        <v>12</v>
      </c>
      <c r="B63" s="11">
        <v>1397</v>
      </c>
      <c r="C63" s="433">
        <f ca="1">IF(B63="",16,INDEX(OFFSET(Arb!$I$2,,,Arb!$AJ$5,),B63))</f>
        <v>28</v>
      </c>
      <c r="D63" s="693">
        <f ca="1">IF(B63="",10,INDEX(OFFSET(Arb!$H$2,,,Arb!$AJ$5,),B63))</f>
        <v>6.58</v>
      </c>
      <c r="E63" s="923">
        <f t="shared" ca="1" si="15"/>
        <v>4.2553191489361701</v>
      </c>
      <c r="F63" s="920">
        <f ca="1">IF(B63="","",INDEX(OFFSET(Arb!$X$2,,,Arb!$AJ$5,),B63)/D63)</f>
        <v>4.86322188449848</v>
      </c>
      <c r="G63" s="916">
        <f ca="1">IF(B63="","",(INDEX(OFFSET(Arb!$U$2,,,Arb!$AJ$5,),B63)+INDEX(OFFSET(Arb!$V$2,,,Arb!$AJ$5,),B63))/D63)</f>
        <v>5.1671732522796354</v>
      </c>
      <c r="H63" s="126">
        <f ca="1">INDEX(OFFSET(Arb!$AC$2,,,Arb!$AJ$5,),B63)/16</f>
        <v>80.6875</v>
      </c>
      <c r="I63" s="34">
        <f t="shared" ca="1" si="16"/>
        <v>12.262537993920972</v>
      </c>
      <c r="J63" s="21">
        <f t="shared" ca="1" si="17"/>
        <v>59.635443131530565</v>
      </c>
      <c r="K63" s="33">
        <f t="shared" ca="1" si="18"/>
        <v>0.34701781564678541</v>
      </c>
      <c r="L63" s="88">
        <f ca="1">DATE(INDEX(OFFSET(Arb!$C$2,,,Arb!$AJ$5,),B63),INDEX(OFFSET(Arb!$B$2,,,Arb!$AJ$5,),B63),INDEX(OFFSET(Arb!$A$2,,,Arb!$AJ$5,),B63))</f>
        <v>43940</v>
      </c>
      <c r="M63" s="89">
        <v>12</v>
      </c>
      <c r="N63" s="11">
        <v>2331</v>
      </c>
      <c r="O63" s="433">
        <f ca="1">IF(N63="",64,INDEX(OFFSET(Arb!$I$2,,,Arb!$AJ$5,),N63))</f>
        <v>80</v>
      </c>
      <c r="P63" s="682">
        <f ca="1">IF(N63="",60,INDEX(OFFSET(Arb!$H$2,,,Arb!$AJ$5,),N63))</f>
        <v>26.8</v>
      </c>
      <c r="Q63" s="901">
        <f t="shared" ca="1" si="19"/>
        <v>2.9850746268656714</v>
      </c>
      <c r="R63" s="921">
        <f ca="1">IF(N63="","",INDEX(OFFSET(Arb!$X$2,,,Arb!$AJ$5,),N63)/P63)</f>
        <v>3.6940298507462686</v>
      </c>
      <c r="S63" s="907">
        <f ca="1">IF(N63="","",(INDEX(OFFSET(Arb!$U$2,,,Arb!$AJ$5,),N63)+INDEX(OFFSET(Arb!$V$2,,,Arb!$AJ$5,),N63))/P63)</f>
        <v>4.1791044776119399</v>
      </c>
      <c r="T63" s="127">
        <f ca="1">INDEX(OFFSET(Arb!$AC$2,,,Arb!$AJ$5,),N63)/16</f>
        <v>219.8125</v>
      </c>
      <c r="U63" s="34">
        <f t="shared" ca="1" si="20"/>
        <v>8.2019589552238799</v>
      </c>
      <c r="V63" s="21">
        <f t="shared" ca="1" si="21"/>
        <v>30.298281215192688</v>
      </c>
      <c r="W63" s="33">
        <f t="shared" ca="1" si="22"/>
        <v>0.36394654535115156</v>
      </c>
      <c r="X63" s="91">
        <f ca="1">DATE(INDEX(OFFSET(Arb!$C$2,,,Arb!$AJ$5,),N63),INDEX(OFFSET(Arb!$B$2,,,Arb!$AJ$5,),N63),INDEX(OFFSET(Arb!$A$2,,,Arb!$AJ$5,),N63))</f>
        <v>44093</v>
      </c>
      <c r="Y63" s="92">
        <v>12</v>
      </c>
      <c r="Z63" s="11">
        <v>3185</v>
      </c>
      <c r="AA63" s="433">
        <f ca="1">IF(Z63="",164,INDEX(OFFSET(Arb!$I$2,,,Arb!$AJ$5,),Z63))</f>
        <v>187</v>
      </c>
      <c r="AB63" s="679">
        <f ca="1">IF(Z63="",240,INDEX(OFFSET(Arb!$H$2,,,Arb!$AJ$5,),Z63))</f>
        <v>69.86</v>
      </c>
      <c r="AC63" s="908">
        <f t="shared" ca="1" si="23"/>
        <v>2.6767821356999715</v>
      </c>
      <c r="AD63" s="917">
        <f ca="1">IF(Z63="","",INDEX(OFFSET(Arb!$X$2,,,Arb!$AJ$5,),Z63)/AB63)</f>
        <v>3.2064128256513027</v>
      </c>
      <c r="AE63" s="919">
        <f ca="1">IF(Z63="","",(INDEX(OFFSET(Arb!$U$2,,,Arb!$AJ$5,),Z63)+INDEX(OFFSET(Arb!$V$2,,,Arb!$AJ$5,),Z63))/AB63)</f>
        <v>3.4354423131978242</v>
      </c>
      <c r="AF63" s="127">
        <f ca="1">INDEX(OFFSET(Arb!$AC$2,,,Arb!$AJ$5,),Z63)/16</f>
        <v>485.25</v>
      </c>
      <c r="AG63" s="34">
        <f t="shared" ca="1" si="24"/>
        <v>6.9460349269968509</v>
      </c>
      <c r="AH63" s="21">
        <f t="shared" ca="1" si="25"/>
        <v>22.271855477344612</v>
      </c>
      <c r="AI63" s="33">
        <f t="shared" ca="1" si="26"/>
        <v>0.38536836682122616</v>
      </c>
      <c r="AJ63" s="74">
        <f ca="1">DATE(INDEX(OFFSET(Arb!$C$2,,,Arb!$AJ$5,),Z63),INDEX(OFFSET(Arb!$B$2,,,Arb!$AJ$5,),Z63),INDEX(OFFSET(Arb!$A$2,,,Arb!$AJ$5,),Z63))</f>
        <v>44052</v>
      </c>
    </row>
    <row r="64" spans="1:36" x14ac:dyDescent="0.25">
      <c r="A64" s="11">
        <v>13</v>
      </c>
      <c r="B64" s="11">
        <v>1370</v>
      </c>
      <c r="C64" s="433">
        <f ca="1">IF(B64="",16,INDEX(OFFSET(Arb!$I$2,,,Arb!$AJ$5,),B64))</f>
        <v>24</v>
      </c>
      <c r="D64" s="688">
        <f ca="1">IF(B64="",10,INDEX(OFFSET(Arb!$H$2,,,Arb!$AJ$5,),B64))</f>
        <v>6.19</v>
      </c>
      <c r="E64" s="909">
        <f t="shared" ca="1" si="15"/>
        <v>3.8772213247172855</v>
      </c>
      <c r="F64" s="920">
        <f ca="1">IF(B64="","",INDEX(OFFSET(Arb!$X$2,,,Arb!$AJ$5,),B64)/D64)</f>
        <v>4.8465266558966071</v>
      </c>
      <c r="G64" s="918">
        <f ca="1">IF(B64="","",(INDEX(OFFSET(Arb!$U$2,,,Arb!$AJ$5,),B64)+INDEX(OFFSET(Arb!$V$2,,,Arb!$AJ$5,),B64))/D64)</f>
        <v>5.4927302100161546</v>
      </c>
      <c r="H64" s="126">
        <f ca="1">INDEX(OFFSET(Arb!$AC$2,,,Arb!$AJ$5,),B64)/16</f>
        <v>57.6875</v>
      </c>
      <c r="I64" s="34">
        <f t="shared" ca="1" si="16"/>
        <v>9.3194668820678501</v>
      </c>
      <c r="J64" s="21">
        <f t="shared" ca="1" si="17"/>
        <v>45.167044662687481</v>
      </c>
      <c r="K64" s="33">
        <f t="shared" ca="1" si="18"/>
        <v>0.41603466955579632</v>
      </c>
      <c r="L64" s="88">
        <f ca="1">DATE(INDEX(OFFSET(Arb!$C$2,,,Arb!$AJ$5,),B64),INDEX(OFFSET(Arb!$B$2,,,Arb!$AJ$5,),B64),INDEX(OFFSET(Arb!$A$2,,,Arb!$AJ$5,),B64))</f>
        <v>43935</v>
      </c>
      <c r="M64" s="89">
        <v>13</v>
      </c>
      <c r="N64" s="11">
        <v>2275</v>
      </c>
      <c r="O64" s="433">
        <f ca="1">IF(N64="",64,INDEX(OFFSET(Arb!$I$2,,,Arb!$AJ$5,),N64))</f>
        <v>85</v>
      </c>
      <c r="P64" s="690">
        <f ca="1">IF(N64="",60,INDEX(OFFSET(Arb!$H$2,,,Arb!$AJ$5,),N64))</f>
        <v>28.03</v>
      </c>
      <c r="Q64" s="898">
        <f t="shared" ca="1" si="19"/>
        <v>3.0324652158401713</v>
      </c>
      <c r="R64" s="921">
        <f ca="1">IF(N64="","",INDEX(OFFSET(Arb!$X$2,,,Arb!$AJ$5,),N64)/P64)</f>
        <v>3.6746343203710308</v>
      </c>
      <c r="S64" s="907">
        <f ca="1">IF(N64="","",(INDEX(OFFSET(Arb!$U$2,,,Arb!$AJ$5,),N64)+INDEX(OFFSET(Arb!$V$2,,,Arb!$AJ$5,),N64))/P64)</f>
        <v>4.1027470567249376</v>
      </c>
      <c r="T64" s="127">
        <f ca="1">INDEX(OFFSET(Arb!$AC$2,,,Arb!$AJ$5,),N64)/16</f>
        <v>207.75</v>
      </c>
      <c r="U64" s="34">
        <f t="shared" ca="1" si="20"/>
        <v>7.4117017481270064</v>
      </c>
      <c r="V64" s="21">
        <f t="shared" ca="1" si="21"/>
        <v>27.235293616021462</v>
      </c>
      <c r="W64" s="33">
        <f t="shared" ca="1" si="22"/>
        <v>0.40914560770156438</v>
      </c>
      <c r="X64" s="91">
        <f ca="1">DATE(INDEX(OFFSET(Arb!$C$2,,,Arb!$AJ$5,),N64),INDEX(OFFSET(Arb!$B$2,,,Arb!$AJ$5,),N64),INDEX(OFFSET(Arb!$A$2,,,Arb!$AJ$5,),N64))</f>
        <v>43934</v>
      </c>
      <c r="Y64" s="92">
        <v>13</v>
      </c>
      <c r="Z64" s="11">
        <v>3320</v>
      </c>
      <c r="AA64" s="433">
        <f ca="1">IF(Z64="",164,INDEX(OFFSET(Arb!$I$2,,,Arb!$AJ$5,),Z64))</f>
        <v>180</v>
      </c>
      <c r="AB64" s="692">
        <f ca="1">IF(Z64="",240,INDEX(OFFSET(Arb!$H$2,,,Arb!$AJ$5,),Z64))</f>
        <v>68.98</v>
      </c>
      <c r="AC64" s="908">
        <f t="shared" ca="1" si="23"/>
        <v>2.6094520150768337</v>
      </c>
      <c r="AD64" s="917">
        <f ca="1">IF(Z64="","",INDEX(OFFSET(Arb!$X$2,,,Arb!$AJ$5,),Z64)/AB64)</f>
        <v>3.203827196288779</v>
      </c>
      <c r="AE64" s="903">
        <f ca="1">IF(Z64="","",(INDEX(OFFSET(Arb!$U$2,,,Arb!$AJ$5,),Z64)+INDEX(OFFSET(Arb!$V$2,,,Arb!$AJ$5,),Z64))/AB64)</f>
        <v>3.5952449985503043</v>
      </c>
      <c r="AF64" s="127">
        <f ca="1">INDEX(OFFSET(Arb!$AC$2,,,Arb!$AJ$5,),Z64)/16</f>
        <v>489.25</v>
      </c>
      <c r="AG64" s="34">
        <f t="shared" ca="1" si="24"/>
        <v>7.0926355465352273</v>
      </c>
      <c r="AH64" s="21">
        <f t="shared" ca="1" si="25"/>
        <v>22.723578657354089</v>
      </c>
      <c r="AI64" s="33">
        <f t="shared" ca="1" si="26"/>
        <v>0.36791006642820645</v>
      </c>
      <c r="AJ64" s="74">
        <f ca="1">DATE(INDEX(OFFSET(Arb!$C$2,,,Arb!$AJ$5,),Z64),INDEX(OFFSET(Arb!$B$2,,,Arb!$AJ$5,),Z64),INDEX(OFFSET(Arb!$A$2,,,Arb!$AJ$5,),Z64))</f>
        <v>44095</v>
      </c>
    </row>
    <row r="65" spans="1:36" x14ac:dyDescent="0.25">
      <c r="A65" s="11">
        <v>14</v>
      </c>
      <c r="B65" s="11">
        <v>1399</v>
      </c>
      <c r="C65" s="433">
        <f ca="1">IF(B65="",16,INDEX(OFFSET(Arb!$I$2,,,Arb!$AJ$5,),B65))</f>
        <v>19</v>
      </c>
      <c r="D65" s="274">
        <f ca="1">IF(B65="",10,INDEX(OFFSET(Arb!$H$2,,,Arb!$AJ$5,),B65))</f>
        <v>4.9800000000000004</v>
      </c>
      <c r="E65" s="909">
        <f t="shared" ca="1" si="15"/>
        <v>3.8152610441767063</v>
      </c>
      <c r="F65" s="920">
        <f ca="1">IF(B65="","",INDEX(OFFSET(Arb!$X$2,,,Arb!$AJ$5,),B65)/D65)</f>
        <v>4.8192771084337345</v>
      </c>
      <c r="G65" s="918">
        <f ca="1">IF(B65="","",(INDEX(OFFSET(Arb!$U$2,,,Arb!$AJ$5,),B65)+INDEX(OFFSET(Arb!$V$2,,,Arb!$AJ$5,),B65))/D65)</f>
        <v>5.4216867469879517</v>
      </c>
      <c r="H65" s="126">
        <f ca="1">INDEX(OFFSET(Arb!$AC$2,,,Arb!$AJ$5,),B65)/16</f>
        <v>60</v>
      </c>
      <c r="I65" s="34">
        <f t="shared" ca="1" si="16"/>
        <v>12.048192771084336</v>
      </c>
      <c r="J65" s="21">
        <f t="shared" ca="1" si="17"/>
        <v>58.063579619683544</v>
      </c>
      <c r="K65" s="33">
        <f t="shared" ca="1" si="18"/>
        <v>0.31666666666666665</v>
      </c>
      <c r="L65" s="88">
        <f ca="1">DATE(INDEX(OFFSET(Arb!$C$2,,,Arb!$AJ$5,),B65),INDEX(OFFSET(Arb!$B$2,,,Arb!$AJ$5,),B65),INDEX(OFFSET(Arb!$A$2,,,Arb!$AJ$5,),B65))</f>
        <v>43940</v>
      </c>
      <c r="M65" s="89">
        <v>14</v>
      </c>
      <c r="N65" s="11">
        <v>2291</v>
      </c>
      <c r="O65" s="433">
        <f ca="1">IF(N65="",64,INDEX(OFFSET(Arb!$I$2,,,Arb!$AJ$5,),N65))</f>
        <v>67</v>
      </c>
      <c r="P65" s="680">
        <f ca="1">IF(N65="",60,INDEX(OFFSET(Arb!$H$2,,,Arb!$AJ$5,),N65))</f>
        <v>24.77</v>
      </c>
      <c r="Q65" s="908">
        <f t="shared" ca="1" si="19"/>
        <v>2.7048849414614455</v>
      </c>
      <c r="R65" s="921">
        <f ca="1">IF(N65="","",INDEX(OFFSET(Arb!$X$2,,,Arb!$AJ$5,),N65)/P65)</f>
        <v>3.6737989503431572</v>
      </c>
      <c r="S65" s="907">
        <f ca="1">IF(N65="","",(INDEX(OFFSET(Arb!$U$2,,,Arb!$AJ$5,),N65)+INDEX(OFFSET(Arb!$V$2,,,Arb!$AJ$5,),N65))/P65)</f>
        <v>4.1178845377472753</v>
      </c>
      <c r="T65" s="127">
        <f ca="1">INDEX(OFFSET(Arb!$AC$2,,,Arb!$AJ$5,),N65)/16</f>
        <v>193.25</v>
      </c>
      <c r="U65" s="34">
        <f t="shared" ca="1" si="20"/>
        <v>7.8017763423496165</v>
      </c>
      <c r="V65" s="21">
        <f t="shared" ca="1" si="21"/>
        <v>28.662157737336099</v>
      </c>
      <c r="W65" s="33">
        <f t="shared" ca="1" si="22"/>
        <v>0.34670116429495473</v>
      </c>
      <c r="X65" s="91">
        <f ca="1">DATE(INDEX(OFFSET(Arb!$C$2,,,Arb!$AJ$5,),N65),INDEX(OFFSET(Arb!$B$2,,,Arb!$AJ$5,),N65),INDEX(OFFSET(Arb!$A$2,,,Arb!$AJ$5,),N65))</f>
        <v>43937</v>
      </c>
      <c r="Y65" s="92">
        <v>14</v>
      </c>
      <c r="Z65" s="11">
        <v>3318</v>
      </c>
      <c r="AA65" s="433">
        <f ca="1">IF(Z65="",164,INDEX(OFFSET(Arb!$I$2,,,Arb!$AJ$5,),Z65))</f>
        <v>176</v>
      </c>
      <c r="AB65" s="679">
        <f ca="1">IF(Z65="",240,INDEX(OFFSET(Arb!$H$2,,,Arb!$AJ$5,),Z65))</f>
        <v>70</v>
      </c>
      <c r="AC65" s="908">
        <f t="shared" ca="1" si="23"/>
        <v>2.5142857142857142</v>
      </c>
      <c r="AD65" s="917">
        <f ca="1">IF(Z65="","",INDEX(OFFSET(Arb!$X$2,,,Arb!$AJ$5,),Z65)/AB65)</f>
        <v>3.2</v>
      </c>
      <c r="AE65" s="903">
        <f ca="1">IF(Z65="","",(INDEX(OFFSET(Arb!$U$2,,,Arb!$AJ$5,),Z65)+INDEX(OFFSET(Arb!$V$2,,,Arb!$AJ$5,),Z65))/AB65)</f>
        <v>3.5285714285714285</v>
      </c>
      <c r="AF65" s="127">
        <f ca="1">INDEX(OFFSET(Arb!$AC$2,,,Arb!$AJ$5,),Z65)/16</f>
        <v>509.5</v>
      </c>
      <c r="AG65" s="34">
        <f t="shared" ca="1" si="24"/>
        <v>7.2785714285714285</v>
      </c>
      <c r="AH65" s="21">
        <f t="shared" ca="1" si="25"/>
        <v>23.291428571428572</v>
      </c>
      <c r="AI65" s="33">
        <f t="shared" ca="1" si="26"/>
        <v>0.34543670264965654</v>
      </c>
      <c r="AJ65" s="74">
        <f ca="1">DATE(INDEX(OFFSET(Arb!$C$2,,,Arb!$AJ$5,),Z65),INDEX(OFFSET(Arb!$B$2,,,Arb!$AJ$5,),Z65),INDEX(OFFSET(Arb!$A$2,,,Arb!$AJ$5,),Z65))</f>
        <v>44094</v>
      </c>
    </row>
    <row r="66" spans="1:36" x14ac:dyDescent="0.25">
      <c r="A66" s="11">
        <v>15</v>
      </c>
      <c r="B66" s="11">
        <v>1292</v>
      </c>
      <c r="C66" s="433">
        <f ca="1">IF(B66="",16,INDEX(OFFSET(Arb!$I$2,,,Arb!$AJ$5,),B66))</f>
        <v>22</v>
      </c>
      <c r="D66" s="688">
        <f ca="1">IF(B66="",10,INDEX(OFFSET(Arb!$H$2,,,Arb!$AJ$5,),B66))</f>
        <v>6.02</v>
      </c>
      <c r="E66" s="922">
        <f t="shared" ca="1" si="15"/>
        <v>3.6544850498338874</v>
      </c>
      <c r="F66" s="920">
        <f ca="1">IF(B66="","",INDEX(OFFSET(Arb!$X$2,,,Arb!$AJ$5,),B66)/D66)</f>
        <v>4.8172757475083063</v>
      </c>
      <c r="G66" s="914">
        <f ca="1">IF(B66="","",(INDEX(OFFSET(Arb!$U$2,,,Arb!$AJ$5,),B66)+INDEX(OFFSET(Arb!$V$2,,,Arb!$AJ$5,),B66))/D66)</f>
        <v>5.8139534883720936</v>
      </c>
      <c r="H66" s="126">
        <f ca="1">INDEX(OFFSET(Arb!$AC$2,,,Arb!$AJ$5,),B66)/16</f>
        <v>61</v>
      </c>
      <c r="I66" s="34">
        <f t="shared" ca="1" si="16"/>
        <v>10.132890365448505</v>
      </c>
      <c r="J66" s="21">
        <f t="shared" ca="1" si="17"/>
        <v>48.812927009635665</v>
      </c>
      <c r="K66" s="33">
        <f t="shared" ca="1" si="18"/>
        <v>0.36065573770491804</v>
      </c>
      <c r="L66" s="88">
        <f ca="1">DATE(INDEX(OFFSET(Arb!$C$2,,,Arb!$AJ$5,),B66),INDEX(OFFSET(Arb!$B$2,,,Arb!$AJ$5,),B66),INDEX(OFFSET(Arb!$A$2,,,Arb!$AJ$5,),B66))</f>
        <v>43906</v>
      </c>
      <c r="M66" s="89">
        <v>15</v>
      </c>
      <c r="N66" s="11">
        <v>2107</v>
      </c>
      <c r="O66" s="433">
        <f ca="1">IF(N66="",64,INDEX(OFFSET(Arb!$I$2,,,Arb!$AJ$5,),N66))</f>
        <v>78</v>
      </c>
      <c r="P66" s="682">
        <f ca="1">IF(N66="",60,INDEX(OFFSET(Arb!$H$2,,,Arb!$AJ$5,),N66))</f>
        <v>26.83</v>
      </c>
      <c r="Q66" s="901">
        <f t="shared" ca="1" si="19"/>
        <v>2.9071934401789044</v>
      </c>
      <c r="R66" s="921">
        <f ca="1">IF(N66="","",INDEX(OFFSET(Arb!$X$2,,,Arb!$AJ$5,),N66)/P66)</f>
        <v>3.6153559448378685</v>
      </c>
      <c r="S66" s="924">
        <f ca="1">IF(N66="","",(INDEX(OFFSET(Arb!$U$2,,,Arb!$AJ$5,),N66)+INDEX(OFFSET(Arb!$V$2,,,Arb!$AJ$5,),N66))/P66)</f>
        <v>3.9880730525531125</v>
      </c>
      <c r="T66" s="127">
        <f ca="1">INDEX(OFFSET(Arb!$AC$2,,,Arb!$AJ$5,),N66)/16</f>
        <v>224.75</v>
      </c>
      <c r="U66" s="34">
        <f t="shared" ca="1" si="20"/>
        <v>8.3768169959001124</v>
      </c>
      <c r="V66" s="21">
        <f t="shared" ca="1" si="21"/>
        <v>30.285175124946367</v>
      </c>
      <c r="W66" s="33">
        <f t="shared" ca="1" si="22"/>
        <v>0.34705228031145718</v>
      </c>
      <c r="X66" s="91">
        <f ca="1">DATE(INDEX(OFFSET(Arb!$C$2,,,Arb!$AJ$5,),N66),INDEX(OFFSET(Arb!$B$2,,,Arb!$AJ$5,),N66),INDEX(OFFSET(Arb!$A$2,,,Arb!$AJ$5,),N66))</f>
        <v>43811</v>
      </c>
      <c r="Y66" s="92">
        <v>15</v>
      </c>
      <c r="Z66" s="11">
        <v>3308</v>
      </c>
      <c r="AA66" s="433">
        <f ca="1">IF(Z66="",164,INDEX(OFFSET(Arb!$I$2,,,Arb!$AJ$5,),Z66))</f>
        <v>196</v>
      </c>
      <c r="AB66" s="679">
        <f ca="1">IF(Z66="",240,INDEX(OFFSET(Arb!$H$2,,,Arb!$AJ$5,),Z66))</f>
        <v>73.81</v>
      </c>
      <c r="AC66" s="908">
        <f t="shared" ca="1" si="23"/>
        <v>2.655466738924265</v>
      </c>
      <c r="AD66" s="917">
        <f ca="1">IF(Z66="","",INDEX(OFFSET(Arb!$X$2,,,Arb!$AJ$5,),Z66)/AB66)</f>
        <v>3.1973987264598294</v>
      </c>
      <c r="AE66" s="903">
        <f ca="1">IF(Z66="","",(INDEX(OFFSET(Arb!$U$2,,,Arb!$AJ$5,),Z66)+INDEX(OFFSET(Arb!$V$2,,,Arb!$AJ$5,),Z66))/AB66)</f>
        <v>3.5090096192927787</v>
      </c>
      <c r="AF66" s="127">
        <f ca="1">INDEX(OFFSET(Arb!$AC$2,,,Arb!$AJ$5,),Z66)/16</f>
        <v>582.4375</v>
      </c>
      <c r="AG66" s="34">
        <f t="shared" ca="1" si="24"/>
        <v>7.8910377997561305</v>
      </c>
      <c r="AH66" s="21">
        <f t="shared" ca="1" si="25"/>
        <v>25.230794211386627</v>
      </c>
      <c r="AI66" s="33">
        <f t="shared" ca="1" si="26"/>
        <v>0.33651679364738707</v>
      </c>
      <c r="AJ66" s="74">
        <f ca="1">DATE(INDEX(OFFSET(Arb!$C$2,,,Arb!$AJ$5,),Z66),INDEX(OFFSET(Arb!$B$2,,,Arb!$AJ$5,),Z66),INDEX(OFFSET(Arb!$A$2,,,Arb!$AJ$5,),Z66))</f>
        <v>44092</v>
      </c>
    </row>
    <row r="67" spans="1:36" x14ac:dyDescent="0.25">
      <c r="A67" s="11">
        <v>16</v>
      </c>
      <c r="B67" s="11">
        <v>1614</v>
      </c>
      <c r="C67" s="433">
        <f ca="1">IF(B67="",16,INDEX(OFFSET(Arb!$I$2,,,Arb!$AJ$5,),B67))</f>
        <v>23</v>
      </c>
      <c r="D67" s="688">
        <f ca="1">IF(B67="",10,INDEX(OFFSET(Arb!$H$2,,,Arb!$AJ$5,),B67))</f>
        <v>6.23</v>
      </c>
      <c r="E67" s="922">
        <f t="shared" ca="1" si="15"/>
        <v>3.6918138041733544</v>
      </c>
      <c r="F67" s="920">
        <f ca="1">IF(B67="","",INDEX(OFFSET(Arb!$X$2,,,Arb!$AJ$5,),B67)/D67)</f>
        <v>4.815409309791332</v>
      </c>
      <c r="G67" s="911">
        <f ca="1">IF(B67="","",(INDEX(OFFSET(Arb!$U$2,,,Arb!$AJ$5,),B67)+INDEX(OFFSET(Arb!$V$2,,,Arb!$AJ$5,),B67))/D67)</f>
        <v>5.6179775280898872</v>
      </c>
      <c r="H67" s="126">
        <f ca="1">INDEX(OFFSET(Arb!$AC$2,,,Arb!$AJ$5,),B67)/16</f>
        <v>67.6875</v>
      </c>
      <c r="I67" s="34">
        <f t="shared" ca="1" si="16"/>
        <v>10.864767255216693</v>
      </c>
      <c r="J67" s="21">
        <f t="shared" ca="1" si="17"/>
        <v>52.318301389486479</v>
      </c>
      <c r="K67" s="33">
        <f t="shared" ca="1" si="18"/>
        <v>0.33979686057248382</v>
      </c>
      <c r="L67" s="88">
        <f ca="1">DATE(INDEX(OFFSET(Arb!$C$2,,,Arb!$AJ$5,),B67),INDEX(OFFSET(Arb!$B$2,,,Arb!$AJ$5,),B67),INDEX(OFFSET(Arb!$A$2,,,Arb!$AJ$5,),B67))</f>
        <v>44070</v>
      </c>
      <c r="M67" s="89">
        <v>16</v>
      </c>
      <c r="N67" s="11">
        <v>2137</v>
      </c>
      <c r="O67" s="433">
        <f ca="1">IF(N67="",64,INDEX(OFFSET(Arb!$I$2,,,Arb!$AJ$5,),N67))</f>
        <v>72</v>
      </c>
      <c r="P67" s="680">
        <f ca="1">IF(N67="",60,INDEX(OFFSET(Arb!$H$2,,,Arb!$AJ$5,),N67))</f>
        <v>24.63</v>
      </c>
      <c r="Q67" s="901">
        <f t="shared" ca="1" si="19"/>
        <v>2.9232643118148602</v>
      </c>
      <c r="R67" s="921">
        <f ca="1">IF(N67="","",INDEX(OFFSET(Arb!$X$2,,,Arb!$AJ$5,),N67)/P67)</f>
        <v>3.6134794965489241</v>
      </c>
      <c r="S67" s="907">
        <f ca="1">IF(N67="","",(INDEX(OFFSET(Arb!$U$2,,,Arb!$AJ$5,),N67)+INDEX(OFFSET(Arb!$V$2,,,Arb!$AJ$5,),N67))/P67)</f>
        <v>4.0600893219650835</v>
      </c>
      <c r="T67" s="127">
        <f ca="1">INDEX(OFFSET(Arb!$AC$2,,,Arb!$AJ$5,),N67)/16</f>
        <v>199.25</v>
      </c>
      <c r="U67" s="34">
        <f t="shared" ca="1" si="20"/>
        <v>8.0897279740154282</v>
      </c>
      <c r="V67" s="21">
        <f t="shared" ca="1" si="21"/>
        <v>29.232066166763016</v>
      </c>
      <c r="W67" s="33">
        <f t="shared" ca="1" si="22"/>
        <v>0.3613550815558344</v>
      </c>
      <c r="X67" s="91">
        <f ca="1">DATE(INDEX(OFFSET(Arb!$C$2,,,Arb!$AJ$5,),N67),INDEX(OFFSET(Arb!$B$2,,,Arb!$AJ$5,),N67),INDEX(OFFSET(Arb!$A$2,,,Arb!$AJ$5,),N67))</f>
        <v>43817</v>
      </c>
      <c r="Y67" s="92">
        <v>16</v>
      </c>
      <c r="Z67" s="11">
        <v>3314</v>
      </c>
      <c r="AA67" s="433">
        <f ca="1">IF(Z67="",164,INDEX(OFFSET(Arb!$I$2,,,Arb!$AJ$5,),Z67))</f>
        <v>181</v>
      </c>
      <c r="AB67" s="679">
        <f ca="1">IF(Z67="",240,INDEX(OFFSET(Arb!$H$2,,,Arb!$AJ$5,),Z67))</f>
        <v>69.28</v>
      </c>
      <c r="AC67" s="908">
        <f t="shared" ca="1" si="23"/>
        <v>2.6125866050808315</v>
      </c>
      <c r="AD67" s="917">
        <f ca="1">IF(Z67="","",INDEX(OFFSET(Arb!$X$2,,,Arb!$AJ$5,),Z67)/AB67)</f>
        <v>3.1899538106235563</v>
      </c>
      <c r="AE67" s="919">
        <f ca="1">IF(Z67="","",(INDEX(OFFSET(Arb!$U$2,,,Arb!$AJ$5,),Z67)+INDEX(OFFSET(Arb!$V$2,,,Arb!$AJ$5,),Z67))/AB67)</f>
        <v>3.464203233256351</v>
      </c>
      <c r="AF67" s="127">
        <f ca="1">INDEX(OFFSET(Arb!$AC$2,,,Arb!$AJ$5,),Z67)/16</f>
        <v>517.875</v>
      </c>
      <c r="AG67" s="34">
        <f t="shared" ca="1" si="24"/>
        <v>7.47510103926097</v>
      </c>
      <c r="AH67" s="21">
        <f t="shared" ca="1" si="25"/>
        <v>23.845227044986636</v>
      </c>
      <c r="AI67" s="33">
        <f t="shared" ca="1" si="26"/>
        <v>0.34950518947622494</v>
      </c>
      <c r="AJ67" s="74">
        <f ca="1">DATE(INDEX(OFFSET(Arb!$C$2,,,Arb!$AJ$5,),Z67),INDEX(OFFSET(Arb!$B$2,,,Arb!$AJ$5,),Z67),INDEX(OFFSET(Arb!$A$2,,,Arb!$AJ$5,),Z67))</f>
        <v>44094</v>
      </c>
    </row>
    <row r="68" spans="1:36" x14ac:dyDescent="0.25">
      <c r="A68" s="11">
        <v>17</v>
      </c>
      <c r="B68" s="11">
        <v>1659</v>
      </c>
      <c r="C68" s="433">
        <f ca="1">IF(B68="",16,INDEX(OFFSET(Arb!$I$2,,,Arb!$AJ$5,),B68))</f>
        <v>16</v>
      </c>
      <c r="D68" s="274">
        <f ca="1">IF(B68="",10,INDEX(OFFSET(Arb!$H$2,,,Arb!$AJ$5,),B68))</f>
        <v>4.57</v>
      </c>
      <c r="E68" s="922">
        <f t="shared" ca="1" si="15"/>
        <v>3.5010940919037199</v>
      </c>
      <c r="F68" s="920">
        <f ca="1">IF(B68="","",INDEX(OFFSET(Arb!$X$2,,,Arb!$AJ$5,),B68)/D68)</f>
        <v>4.814004376367615</v>
      </c>
      <c r="G68" s="918">
        <f ca="1">IF(B68="","",(INDEX(OFFSET(Arb!$U$2,,,Arb!$AJ$5,),B68)+INDEX(OFFSET(Arb!$V$2,,,Arb!$AJ$5,),B68))/D68)</f>
        <v>5.4704595185995624</v>
      </c>
      <c r="H68" s="126">
        <f ca="1">INDEX(OFFSET(Arb!$AC$2,,,Arb!$AJ$5,),B68)/16</f>
        <v>50.25</v>
      </c>
      <c r="I68" s="34">
        <f t="shared" ca="1" si="16"/>
        <v>10.99562363238512</v>
      </c>
      <c r="J68" s="21">
        <f t="shared" ca="1" si="17"/>
        <v>52.932980287193139</v>
      </c>
      <c r="K68" s="33">
        <f t="shared" ca="1" si="18"/>
        <v>0.31840796019900497</v>
      </c>
      <c r="L68" s="88">
        <f ca="1">DATE(INDEX(OFFSET(Arb!$C$2,,,Arb!$AJ$5,),B68),INDEX(OFFSET(Arb!$B$2,,,Arb!$AJ$5,),B68),INDEX(OFFSET(Arb!$A$2,,,Arb!$AJ$5,),B68))</f>
        <v>44096</v>
      </c>
      <c r="M68" s="89">
        <v>17</v>
      </c>
      <c r="N68" s="11">
        <v>2028</v>
      </c>
      <c r="O68" s="433">
        <f ca="1">IF(N68="",64,INDEX(OFFSET(Arb!$I$2,,,Arb!$AJ$5,),N68))</f>
        <v>85</v>
      </c>
      <c r="P68" s="690">
        <f ca="1">IF(N68="",60,INDEX(OFFSET(Arb!$H$2,,,Arb!$AJ$5,),N68))</f>
        <v>28.89</v>
      </c>
      <c r="Q68" s="901">
        <f t="shared" ca="1" si="19"/>
        <v>2.9421945309795778</v>
      </c>
      <c r="R68" s="921">
        <f ca="1">IF(N68="","",INDEX(OFFSET(Arb!$X$2,,,Arb!$AJ$5,),N68)/P68)</f>
        <v>3.5998615437867771</v>
      </c>
      <c r="S68" s="907">
        <f ca="1">IF(N68="","",(INDEX(OFFSET(Arb!$U$2,,,Arb!$AJ$5,),N68)+INDEX(OFFSET(Arb!$V$2,,,Arb!$AJ$5,),N68))/P68)</f>
        <v>4.1536863966770508</v>
      </c>
      <c r="T68" s="127">
        <f ca="1">INDEX(OFFSET(Arb!$AC$2,,,Arb!$AJ$5,),N68)/16</f>
        <v>233.125</v>
      </c>
      <c r="U68" s="34">
        <f t="shared" ca="1" si="20"/>
        <v>8.0694011768778129</v>
      </c>
      <c r="V68" s="21">
        <f t="shared" ca="1" si="21"/>
        <v>29.048726978030199</v>
      </c>
      <c r="W68" s="33">
        <f t="shared" ca="1" si="22"/>
        <v>0.36461126005361932</v>
      </c>
      <c r="X68" s="91">
        <f ca="1">DATE(INDEX(OFFSET(Arb!$C$2,,,Arb!$AJ$5,),N68),INDEX(OFFSET(Arb!$B$2,,,Arb!$AJ$5,),N68),INDEX(OFFSET(Arb!$A$2,,,Arb!$AJ$5,),N68))</f>
        <v>43797</v>
      </c>
      <c r="Y68" s="92">
        <v>17</v>
      </c>
      <c r="Z68" s="11">
        <v>3083</v>
      </c>
      <c r="AA68" s="433">
        <f ca="1">IF(Z68="",164,INDEX(OFFSET(Arb!$I$2,,,Arb!$AJ$5,),Z68))</f>
        <v>189</v>
      </c>
      <c r="AB68" s="679">
        <f ca="1">IF(Z68="",240,INDEX(OFFSET(Arb!$H$2,,,Arb!$AJ$5,),Z68))</f>
        <v>72.209999999999994</v>
      </c>
      <c r="AC68" s="908">
        <f t="shared" ca="1" si="23"/>
        <v>2.6173660157872871</v>
      </c>
      <c r="AD68" s="917">
        <f ca="1">IF(Z68="","",INDEX(OFFSET(Arb!$X$2,,,Arb!$AJ$5,),Z68)/AB68)</f>
        <v>3.1851544107464345</v>
      </c>
      <c r="AE68" s="919">
        <f ca="1">IF(Z68="","",(INDEX(OFFSET(Arb!$U$2,,,Arb!$AJ$5,),Z68)+INDEX(OFFSET(Arb!$V$2,,,Arb!$AJ$5,),Z68))/AB68)</f>
        <v>3.4898213543830496</v>
      </c>
      <c r="AF68" s="127">
        <f ca="1">INDEX(OFFSET(Arb!$AC$2,,,Arb!$AJ$5,),Z68)/16</f>
        <v>559</v>
      </c>
      <c r="AG68" s="34">
        <f t="shared" ca="1" si="24"/>
        <v>7.7413100678576381</v>
      </c>
      <c r="AH68" s="21">
        <f t="shared" ca="1" si="25"/>
        <v>24.657267907592537</v>
      </c>
      <c r="AI68" s="33">
        <f t="shared" ca="1" si="26"/>
        <v>0.33810375670840787</v>
      </c>
      <c r="AJ68" s="74">
        <f ca="1">DATE(INDEX(OFFSET(Arb!$C$2,,,Arb!$AJ$5,),Z68),INDEX(OFFSET(Arb!$B$2,,,Arb!$AJ$5,),Z68),INDEX(OFFSET(Arb!$A$2,,,Arb!$AJ$5,),Z68))</f>
        <v>44003</v>
      </c>
    </row>
    <row r="69" spans="1:36" x14ac:dyDescent="0.25">
      <c r="A69" s="11">
        <v>18</v>
      </c>
      <c r="B69" s="11">
        <v>683</v>
      </c>
      <c r="C69" s="433">
        <f ca="1">IF(B69="",16,INDEX(OFFSET(Arb!$I$2,,,Arb!$AJ$5,),B69))</f>
        <v>24</v>
      </c>
      <c r="D69" s="693">
        <f ca="1">IF(B69="",10,INDEX(OFFSET(Arb!$H$2,,,Arb!$AJ$5,),B69))</f>
        <v>6.87</v>
      </c>
      <c r="E69" s="904">
        <f t="shared" ca="1" si="15"/>
        <v>3.4934497816593888</v>
      </c>
      <c r="F69" s="920">
        <f ca="1">IF(B69="","",INDEX(OFFSET(Arb!$X$2,,,Arb!$AJ$5,),B69)/D69)</f>
        <v>4.8034934497816595</v>
      </c>
      <c r="G69" s="925">
        <f ca="1">IF(B69="","",(INDEX(OFFSET(Arb!$U$2,,,Arb!$AJ$5,),B69)+INDEX(OFFSET(Arb!$V$2,,,Arb!$AJ$5,),B69))/D69)</f>
        <v>6.259097525473071</v>
      </c>
      <c r="H69" s="126">
        <f ca="1">INDEX(OFFSET(Arb!$AC$2,,,Arb!$AJ$5,),B69)/16</f>
        <v>71.75</v>
      </c>
      <c r="I69" s="34">
        <f t="shared" ca="1" si="16"/>
        <v>10.44395924308588</v>
      </c>
      <c r="J69" s="21">
        <f t="shared" ca="1" si="17"/>
        <v>50.167489813949643</v>
      </c>
      <c r="K69" s="33">
        <f t="shared" ca="1" si="18"/>
        <v>0.33449477351916379</v>
      </c>
      <c r="L69" s="88">
        <f ca="1">DATE(INDEX(OFFSET(Arb!$C$2,,,Arb!$AJ$5,),B69),INDEX(OFFSET(Arb!$B$2,,,Arb!$AJ$5,),B69),INDEX(OFFSET(Arb!$A$2,,,Arb!$AJ$5,),B69))</f>
        <v>43801</v>
      </c>
      <c r="M69" s="89">
        <v>18</v>
      </c>
      <c r="N69" s="11">
        <v>2286</v>
      </c>
      <c r="O69" s="433">
        <f ca="1">IF(N69="",64,INDEX(OFFSET(Arb!$I$2,,,Arb!$AJ$5,),N69))</f>
        <v>76</v>
      </c>
      <c r="P69" s="690">
        <f ca="1">IF(N69="",60,INDEX(OFFSET(Arb!$H$2,,,Arb!$AJ$5,),N69))</f>
        <v>28.63</v>
      </c>
      <c r="Q69" s="908">
        <f t="shared" ca="1" si="19"/>
        <v>2.6545581557806499</v>
      </c>
      <c r="R69" s="921">
        <f ca="1">IF(N69="","",INDEX(OFFSET(Arb!$X$2,,,Arb!$AJ$5,),N69)/P69)</f>
        <v>3.597624869018512</v>
      </c>
      <c r="S69" s="907">
        <f ca="1">IF(N69="","",(INDEX(OFFSET(Arb!$U$2,,,Arb!$AJ$5,),N69)+INDEX(OFFSET(Arb!$V$2,,,Arb!$AJ$5,),N69))/P69)</f>
        <v>4.0866224240307369</v>
      </c>
      <c r="T69" s="127">
        <f ca="1">INDEX(OFFSET(Arb!$AC$2,,,Arb!$AJ$5,),N69)/16</f>
        <v>251.8125</v>
      </c>
      <c r="U69" s="34">
        <f t="shared" ca="1" si="20"/>
        <v>8.7954069158225643</v>
      </c>
      <c r="V69" s="21">
        <f t="shared" ca="1" si="21"/>
        <v>31.642574653500667</v>
      </c>
      <c r="W69" s="33">
        <f t="shared" ca="1" si="22"/>
        <v>0.30181186398610077</v>
      </c>
      <c r="X69" s="91">
        <f ca="1">DATE(INDEX(OFFSET(Arb!$C$2,,,Arb!$AJ$5,),N69),INDEX(OFFSET(Arb!$B$2,,,Arb!$AJ$5,),N69),INDEX(OFFSET(Arb!$A$2,,,Arb!$AJ$5,),N69))</f>
        <v>43935</v>
      </c>
      <c r="Y69" s="92">
        <v>18</v>
      </c>
      <c r="Z69" s="11">
        <v>2870</v>
      </c>
      <c r="AA69" s="433">
        <f ca="1">IF(Z69="",164,INDEX(OFFSET(Arb!$I$2,,,Arb!$AJ$5,),Z69))</f>
        <v>214</v>
      </c>
      <c r="AB69" s="680">
        <f ca="1">IF(Z69="",240,INDEX(OFFSET(Arb!$H$2,,,Arb!$AJ$5,),Z69))</f>
        <v>77.099999999999994</v>
      </c>
      <c r="AC69" s="901">
        <f t="shared" ca="1" si="23"/>
        <v>2.7756160830090795</v>
      </c>
      <c r="AD69" s="917">
        <f ca="1">IF(Z69="","",INDEX(OFFSET(Arb!$X$2,,,Arb!$AJ$5,),Z69)/AB69)</f>
        <v>3.1776913099870301</v>
      </c>
      <c r="AE69" s="919">
        <f ca="1">IF(Z69="","",(INDEX(OFFSET(Arb!$U$2,,,Arb!$AJ$5,),Z69)+INDEX(OFFSET(Arb!$V$2,,,Arb!$AJ$5,),Z69))/AB69)</f>
        <v>3.476005188067445</v>
      </c>
      <c r="AF69" s="127">
        <f ca="1">INDEX(OFFSET(Arb!$AC$2,,,Arb!$AJ$5,),Z69)/16</f>
        <v>554.0625</v>
      </c>
      <c r="AG69" s="34">
        <f t="shared" ca="1" si="24"/>
        <v>7.1862840466926077</v>
      </c>
      <c r="AH69" s="21">
        <f t="shared" ca="1" si="25"/>
        <v>22.835792366273527</v>
      </c>
      <c r="AI69" s="33">
        <f t="shared" ca="1" si="26"/>
        <v>0.3862380146644106</v>
      </c>
      <c r="AJ69" s="74">
        <f ca="1">DATE(INDEX(OFFSET(Arb!$C$2,,,Arb!$AJ$5,),Z69),INDEX(OFFSET(Arb!$B$2,,,Arb!$AJ$5,),Z69),INDEX(OFFSET(Arb!$A$2,,,Arb!$AJ$5,),Z69))</f>
        <v>43911</v>
      </c>
    </row>
    <row r="70" spans="1:36" x14ac:dyDescent="0.25">
      <c r="A70" s="11">
        <v>19</v>
      </c>
      <c r="B70" s="11">
        <v>1283</v>
      </c>
      <c r="C70" s="433">
        <f ca="1">IF(B70="",16,INDEX(OFFSET(Arb!$I$2,,,Arb!$AJ$5,),B70))</f>
        <v>19</v>
      </c>
      <c r="D70" s="684">
        <f ca="1">IF(B70="",10,INDEX(OFFSET(Arb!$H$2,,,Arb!$AJ$5,),B70))</f>
        <v>5.22</v>
      </c>
      <c r="E70" s="922">
        <f t="shared" ca="1" si="15"/>
        <v>3.6398467432950192</v>
      </c>
      <c r="F70" s="920">
        <f ca="1">IF(B70="","",INDEX(OFFSET(Arb!$X$2,,,Arb!$AJ$5,),B70)/D70)</f>
        <v>4.7892720306513414</v>
      </c>
      <c r="G70" s="911">
        <f ca="1">IF(B70="","",(INDEX(OFFSET(Arb!$U$2,,,Arb!$AJ$5,),B70)+INDEX(OFFSET(Arb!$V$2,,,Arb!$AJ$5,),B70))/D70)</f>
        <v>5.7471264367816097</v>
      </c>
      <c r="H70" s="126">
        <f ca="1">INDEX(OFFSET(Arb!$AC$2,,,Arb!$AJ$5,),B70)/16</f>
        <v>53.875</v>
      </c>
      <c r="I70" s="34">
        <f t="shared" ca="1" si="16"/>
        <v>10.32088122605364</v>
      </c>
      <c r="J70" s="21">
        <f t="shared" ca="1" si="17"/>
        <v>49.429507787613225</v>
      </c>
      <c r="K70" s="33">
        <f t="shared" ca="1" si="18"/>
        <v>0.35266821345707655</v>
      </c>
      <c r="L70" s="88">
        <f ca="1">DATE(INDEX(OFFSET(Arb!$C$2,,,Arb!$AJ$5,),B70),INDEX(OFFSET(Arb!$B$2,,,Arb!$AJ$5,),B70),INDEX(OFFSET(Arb!$A$2,,,Arb!$AJ$5,),B70))</f>
        <v>43906</v>
      </c>
      <c r="M70" s="89">
        <v>19</v>
      </c>
      <c r="N70" s="11">
        <v>2280</v>
      </c>
      <c r="O70" s="433">
        <f ca="1">IF(N70="",64,INDEX(OFFSET(Arb!$I$2,,,Arb!$AJ$5,),N70))</f>
        <v>81</v>
      </c>
      <c r="P70" s="690">
        <f ca="1">IF(N70="",60,INDEX(OFFSET(Arb!$H$2,,,Arb!$AJ$5,),N70))</f>
        <v>28.11</v>
      </c>
      <c r="Q70" s="901">
        <f t="shared" ca="1" si="19"/>
        <v>2.88153681963714</v>
      </c>
      <c r="R70" s="921">
        <f ca="1">IF(N70="","",INDEX(OFFSET(Arb!$X$2,,,Arb!$AJ$5,),N70)/P70)</f>
        <v>3.593027392387051</v>
      </c>
      <c r="S70" s="924">
        <f ca="1">IF(N70="","",(INDEX(OFFSET(Arb!$U$2,,,Arb!$AJ$5,),N70)+INDEX(OFFSET(Arb!$V$2,,,Arb!$AJ$5,),N70))/P70)</f>
        <v>3.9843472073995021</v>
      </c>
      <c r="T70" s="127">
        <f ca="1">INDEX(OFFSET(Arb!$AC$2,,,Arb!$AJ$5,),N70)/16</f>
        <v>218.1875</v>
      </c>
      <c r="U70" s="34">
        <f t="shared" ca="1" si="20"/>
        <v>7.7619174670935616</v>
      </c>
      <c r="V70" s="21">
        <f t="shared" ca="1" si="21"/>
        <v>27.888782076714683</v>
      </c>
      <c r="W70" s="33">
        <f t="shared" ca="1" si="22"/>
        <v>0.37124033228301345</v>
      </c>
      <c r="X70" s="91">
        <f ca="1">DATE(INDEX(OFFSET(Arb!$C$2,,,Arb!$AJ$5,),N70),INDEX(OFFSET(Arb!$B$2,,,Arb!$AJ$5,),N70),INDEX(OFFSET(Arb!$A$2,,,Arb!$AJ$5,),N70))</f>
        <v>43935</v>
      </c>
      <c r="Y70" s="92">
        <v>19</v>
      </c>
      <c r="Z70" s="11">
        <v>3332</v>
      </c>
      <c r="AA70" s="433">
        <f ca="1">IF(Z70="",164,INDEX(OFFSET(Arb!$I$2,,,Arb!$AJ$5,),Z70))</f>
        <v>160</v>
      </c>
      <c r="AB70" s="693">
        <f ca="1">IF(Z70="",240,INDEX(OFFSET(Arb!$H$2,,,Arb!$AJ$5,),Z70))</f>
        <v>62.63</v>
      </c>
      <c r="AC70" s="908">
        <f t="shared" ca="1" si="23"/>
        <v>2.5546862525946032</v>
      </c>
      <c r="AD70" s="917">
        <f ca="1">IF(Z70="","",INDEX(OFFSET(Arb!$X$2,,,Arb!$AJ$5,),Z70)/AB70)</f>
        <v>3.1773910266645378</v>
      </c>
      <c r="AE70" s="919">
        <f ca="1">IF(Z70="","",(INDEX(OFFSET(Arb!$U$2,,,Arb!$AJ$5,),Z70)+INDEX(OFFSET(Arb!$V$2,,,Arb!$AJ$5,),Z70))/AB70)</f>
        <v>3.432859651923998</v>
      </c>
      <c r="AF70" s="127">
        <f ca="1">INDEX(OFFSET(Arb!$AC$2,,,Arb!$AJ$5,),Z70)/16</f>
        <v>488.625</v>
      </c>
      <c r="AG70" s="34">
        <f t="shared" ca="1" si="24"/>
        <v>7.8017723135877368</v>
      </c>
      <c r="AH70" s="21">
        <f t="shared" ca="1" si="25"/>
        <v>24.789281341273504</v>
      </c>
      <c r="AI70" s="33">
        <f t="shared" ca="1" si="26"/>
        <v>0.32744947556919929</v>
      </c>
      <c r="AJ70" s="74">
        <f ca="1">DATE(INDEX(OFFSET(Arb!$C$2,,,Arb!$AJ$5,),Z70),INDEX(OFFSET(Arb!$B$2,,,Arb!$AJ$5,),Z70),INDEX(OFFSET(Arb!$A$2,,,Arb!$AJ$5,),Z70))</f>
        <v>44096</v>
      </c>
    </row>
    <row r="71" spans="1:36" x14ac:dyDescent="0.25">
      <c r="A71" s="11">
        <v>20</v>
      </c>
      <c r="B71" s="11">
        <v>1388</v>
      </c>
      <c r="C71" s="433">
        <f ca="1">IF(B71="",16,INDEX(OFFSET(Arb!$I$2,,,Arb!$AJ$5,),B71))</f>
        <v>37</v>
      </c>
      <c r="D71" s="679">
        <f ca="1">IF(B71="",10,INDEX(OFFSET(Arb!$H$2,,,Arb!$AJ$5,),B71))</f>
        <v>8.98</v>
      </c>
      <c r="E71" s="915">
        <f t="shared" ca="1" si="15"/>
        <v>4.1202672605790642</v>
      </c>
      <c r="F71" s="920">
        <f ca="1">IF(B71="","",INDEX(OFFSET(Arb!$X$2,,,Arb!$AJ$5,),B71)/D71)</f>
        <v>4.7884187082405347</v>
      </c>
      <c r="G71" s="916">
        <f ca="1">IF(B71="","",(INDEX(OFFSET(Arb!$U$2,,,Arb!$AJ$5,),B71)+INDEX(OFFSET(Arb!$V$2,,,Arb!$AJ$5,),B71))/D71)</f>
        <v>5.1224944320712691</v>
      </c>
      <c r="H71" s="126">
        <f ca="1">INDEX(OFFSET(Arb!$AC$2,,,Arb!$AJ$5,),B71)/16</f>
        <v>88.6875</v>
      </c>
      <c r="I71" s="34">
        <f t="shared" ca="1" si="16"/>
        <v>9.8761135857461024</v>
      </c>
      <c r="J71" s="21">
        <f t="shared" ca="1" si="17"/>
        <v>47.290967058695145</v>
      </c>
      <c r="K71" s="33">
        <f t="shared" ca="1" si="18"/>
        <v>0.41719520789288234</v>
      </c>
      <c r="L71" s="88">
        <f ca="1">DATE(INDEX(OFFSET(Arb!$C$2,,,Arb!$AJ$5,),B71),INDEX(OFFSET(Arb!$B$2,,,Arb!$AJ$5,),B71),INDEX(OFFSET(Arb!$A$2,,,Arb!$AJ$5,),B71))</f>
        <v>43940</v>
      </c>
      <c r="M71" s="89">
        <v>20</v>
      </c>
      <c r="N71" s="11">
        <v>2123</v>
      </c>
      <c r="O71" s="433">
        <f ca="1">IF(N71="",64,INDEX(OFFSET(Arb!$I$2,,,Arb!$AJ$5,),N71))</f>
        <v>74</v>
      </c>
      <c r="P71" s="679">
        <f ca="1">IF(N71="",60,INDEX(OFFSET(Arb!$H$2,,,Arb!$AJ$5,),N71))</f>
        <v>23.7</v>
      </c>
      <c r="Q71" s="898">
        <f t="shared" ca="1" si="19"/>
        <v>3.1223628691983123</v>
      </c>
      <c r="R71" s="921">
        <f ca="1">IF(N71="","",INDEX(OFFSET(Arb!$X$2,,,Arb!$AJ$5,),N71)/P71)</f>
        <v>3.5864978902953588</v>
      </c>
      <c r="S71" s="924">
        <f ca="1">IF(N71="","",(INDEX(OFFSET(Arb!$U$2,,,Arb!$AJ$5,),N71)+INDEX(OFFSET(Arb!$V$2,,,Arb!$AJ$5,),N71))/P71)</f>
        <v>3.9240506329113924</v>
      </c>
      <c r="T71" s="127">
        <f ca="1">INDEX(OFFSET(Arb!$AC$2,,,Arb!$AJ$5,),N71)/16</f>
        <v>195.125</v>
      </c>
      <c r="U71" s="34">
        <f t="shared" ca="1" si="20"/>
        <v>8.2331223628691994</v>
      </c>
      <c r="V71" s="21">
        <f t="shared" ca="1" si="21"/>
        <v>29.528075984973924</v>
      </c>
      <c r="W71" s="33">
        <f t="shared" ca="1" si="22"/>
        <v>0.37924407431133889</v>
      </c>
      <c r="X71" s="91">
        <f ca="1">DATE(INDEX(OFFSET(Arb!$C$2,,,Arb!$AJ$5,),N71),INDEX(OFFSET(Arb!$B$2,,,Arb!$AJ$5,),N71),INDEX(OFFSET(Arb!$A$2,,,Arb!$AJ$5,),N71))</f>
        <v>43811</v>
      </c>
      <c r="Y71" s="92">
        <v>20</v>
      </c>
      <c r="Z71" s="11">
        <v>3213</v>
      </c>
      <c r="AA71" s="433">
        <f ca="1">IF(Z71="",164,INDEX(OFFSET(Arb!$I$2,,,Arb!$AJ$5,),Z71))</f>
        <v>236</v>
      </c>
      <c r="AB71" s="682">
        <f ca="1">IF(Z71="",240,INDEX(OFFSET(Arb!$H$2,,,Arb!$AJ$5,),Z71))</f>
        <v>83.1</v>
      </c>
      <c r="AC71" s="901">
        <f t="shared" ca="1" si="23"/>
        <v>2.8399518652226234</v>
      </c>
      <c r="AD71" s="917">
        <f ca="1">IF(Z71="","",INDEX(OFFSET(Arb!$X$2,,,Arb!$AJ$5,),Z71)/AB71)</f>
        <v>3.1648616125150424</v>
      </c>
      <c r="AE71" s="903">
        <f ca="1">IF(Z71="","",(INDEX(OFFSET(Arb!$U$2,,,Arb!$AJ$5,),Z71)+INDEX(OFFSET(Arb!$V$2,,,Arb!$AJ$5,),Z71))/AB71)</f>
        <v>3.5379061371841156</v>
      </c>
      <c r="AF71" s="127">
        <f ca="1">INDEX(OFFSET(Arb!$AC$2,,,Arb!$AJ$5,),Z71)/16</f>
        <v>640.4375</v>
      </c>
      <c r="AG71" s="34">
        <f t="shared" ca="1" si="24"/>
        <v>7.7068291215403137</v>
      </c>
      <c r="AH71" s="21">
        <f t="shared" ca="1" si="25"/>
        <v>24.391047640975966</v>
      </c>
      <c r="AI71" s="33">
        <f t="shared" ca="1" si="26"/>
        <v>0.36849809700400116</v>
      </c>
      <c r="AJ71" s="74">
        <f ca="1">DATE(INDEX(OFFSET(Arb!$C$2,,,Arb!$AJ$5,),Z71),INDEX(OFFSET(Arb!$B$2,,,Arb!$AJ$5,),Z71),INDEX(OFFSET(Arb!$A$2,,,Arb!$AJ$5,),Z71))</f>
        <v>44059</v>
      </c>
    </row>
    <row r="72" spans="1:36" x14ac:dyDescent="0.25">
      <c r="A72" s="11">
        <v>21</v>
      </c>
      <c r="B72" s="11">
        <v>1589</v>
      </c>
      <c r="C72" s="433">
        <f ca="1">IF(B72="",16,INDEX(OFFSET(Arb!$I$2,,,Arb!$AJ$5,),B72))</f>
        <v>23</v>
      </c>
      <c r="D72" s="559">
        <f ca="1">IF(B72="",10,INDEX(OFFSET(Arb!$H$2,,,Arb!$AJ$5,),B72))</f>
        <v>5.86</v>
      </c>
      <c r="E72" s="909">
        <f t="shared" ca="1" si="15"/>
        <v>3.9249146757679179</v>
      </c>
      <c r="F72" s="920">
        <f ca="1">IF(B72="","",INDEX(OFFSET(Arb!$X$2,,,Arb!$AJ$5,),B72)/D72)</f>
        <v>4.7781569965870307</v>
      </c>
      <c r="G72" s="911">
        <f ca="1">IF(B72="","",(INDEX(OFFSET(Arb!$U$2,,,Arb!$AJ$5,),B72)+INDEX(OFFSET(Arb!$V$2,,,Arb!$AJ$5,),B72))/D72)</f>
        <v>5.6313993174061432</v>
      </c>
      <c r="H72" s="126">
        <f ca="1">INDEX(OFFSET(Arb!$AC$2,,,Arb!$AJ$5,),B72)/16</f>
        <v>61.125</v>
      </c>
      <c r="I72" s="34">
        <f t="shared" ca="1" si="16"/>
        <v>10.430887372013652</v>
      </c>
      <c r="J72" s="21">
        <f t="shared" ca="1" si="17"/>
        <v>49.840417477198336</v>
      </c>
      <c r="K72" s="33">
        <f t="shared" ca="1" si="18"/>
        <v>0.37627811860940696</v>
      </c>
      <c r="L72" s="88">
        <f ca="1">DATE(INDEX(OFFSET(Arb!$C$2,,,Arb!$AJ$5,),B72),INDEX(OFFSET(Arb!$B$2,,,Arb!$AJ$5,),B72),INDEX(OFFSET(Arb!$A$2,,,Arb!$AJ$5,),B72))</f>
        <v>44054</v>
      </c>
      <c r="M72" s="89">
        <v>21</v>
      </c>
      <c r="N72" s="11">
        <v>2136</v>
      </c>
      <c r="O72" s="433">
        <f ca="1">IF(N72="",64,INDEX(OFFSET(Arb!$I$2,,,Arb!$AJ$5,),N72))</f>
        <v>83</v>
      </c>
      <c r="P72" s="682">
        <f ca="1">IF(N72="",60,INDEX(OFFSET(Arb!$H$2,,,Arb!$AJ$5,),N72))</f>
        <v>27.34</v>
      </c>
      <c r="Q72" s="898">
        <f t="shared" ca="1" si="19"/>
        <v>3.0358449158741769</v>
      </c>
      <c r="R72" s="921">
        <f ca="1">IF(N72="","",INDEX(OFFSET(Arb!$X$2,,,Arb!$AJ$5,),N72)/P72)</f>
        <v>3.5844915874177028</v>
      </c>
      <c r="S72" s="924">
        <f ca="1">IF(N72="","",(INDEX(OFFSET(Arb!$U$2,,,Arb!$AJ$5,),N72)+INDEX(OFFSET(Arb!$V$2,,,Arb!$AJ$5,),N72))/P72)</f>
        <v>3.9868324798829553</v>
      </c>
      <c r="T72" s="127">
        <f ca="1">INDEX(OFFSET(Arb!$AC$2,,,Arb!$AJ$5,),N72)/16</f>
        <v>250.5</v>
      </c>
      <c r="U72" s="34">
        <f t="shared" ca="1" si="20"/>
        <v>9.1623994147768837</v>
      </c>
      <c r="V72" s="21">
        <f t="shared" ca="1" si="21"/>
        <v>32.842543622828622</v>
      </c>
      <c r="W72" s="33">
        <f t="shared" ca="1" si="22"/>
        <v>0.33133732534930138</v>
      </c>
      <c r="X72" s="91">
        <f ca="1">DATE(INDEX(OFFSET(Arb!$C$2,,,Arb!$AJ$5,),N72),INDEX(OFFSET(Arb!$B$2,,,Arb!$AJ$5,),N72),INDEX(OFFSET(Arb!$A$2,,,Arb!$AJ$5,),N72))</f>
        <v>43817</v>
      </c>
      <c r="Y72" s="92">
        <v>21</v>
      </c>
      <c r="Z72" s="11">
        <v>3025</v>
      </c>
      <c r="AA72" s="433">
        <f ca="1">IF(Z72="",164,INDEX(OFFSET(Arb!$I$2,,,Arb!$AJ$5,),Z72))</f>
        <v>190</v>
      </c>
      <c r="AB72" s="680">
        <f ca="1">IF(Z72="",240,INDEX(OFFSET(Arb!$H$2,,,Arb!$AJ$5,),Z72))</f>
        <v>74.28</v>
      </c>
      <c r="AC72" s="908">
        <f t="shared" ca="1" si="23"/>
        <v>2.5578890683898763</v>
      </c>
      <c r="AD72" s="917">
        <f ca="1">IF(Z72="","",INDEX(OFFSET(Arb!$X$2,,,Arb!$AJ$5,),Z72)/AB72)</f>
        <v>3.1637049003769522</v>
      </c>
      <c r="AE72" s="903">
        <f ca="1">IF(Z72="","",(INDEX(OFFSET(Arb!$U$2,,,Arb!$AJ$5,),Z72)+INDEX(OFFSET(Arb!$V$2,,,Arb!$AJ$5,),Z72))/AB72)</f>
        <v>3.5271943995691974</v>
      </c>
      <c r="AF72" s="127">
        <f ca="1">INDEX(OFFSET(Arb!$AC$2,,,Arb!$AJ$5,),Z72)/16</f>
        <v>522.25</v>
      </c>
      <c r="AG72" s="34">
        <f t="shared" ca="1" si="24"/>
        <v>7.0308292945611202</v>
      </c>
      <c r="AH72" s="21">
        <f t="shared" ca="1" si="25"/>
        <v>22.243469092916847</v>
      </c>
      <c r="AI72" s="33">
        <f t="shared" ca="1" si="26"/>
        <v>0.36381043561512688</v>
      </c>
      <c r="AJ72" s="74">
        <f ca="1">DATE(INDEX(OFFSET(Arb!$C$2,,,Arb!$AJ$5,),Z72),INDEX(OFFSET(Arb!$B$2,,,Arb!$AJ$5,),Z72),INDEX(OFFSET(Arb!$A$2,,,Arb!$AJ$5,),Z72))</f>
        <v>43967</v>
      </c>
    </row>
    <row r="73" spans="1:36" x14ac:dyDescent="0.25">
      <c r="A73" s="11">
        <v>22</v>
      </c>
      <c r="B73" s="11">
        <v>636</v>
      </c>
      <c r="C73" s="433">
        <f ca="1">IF(B73="",16,INDEX(OFFSET(Arb!$I$2,,,Arb!$AJ$5,),B73))</f>
        <v>13</v>
      </c>
      <c r="D73" s="684">
        <f ca="1">IF(B73="",10,INDEX(OFFSET(Arb!$H$2,,,Arb!$AJ$5,),B73))</f>
        <v>5.45</v>
      </c>
      <c r="E73" s="926">
        <f t="shared" ca="1" si="15"/>
        <v>2.3853211009174311</v>
      </c>
      <c r="F73" s="920">
        <f ca="1">IF(B73="","",INDEX(OFFSET(Arb!$X$2,,,Arb!$AJ$5,),B73)/D73)</f>
        <v>4.7706422018348622</v>
      </c>
      <c r="G73" s="911">
        <f ca="1">IF(B73="","",(INDEX(OFFSET(Arb!$U$2,,,Arb!$AJ$5,),B73)+INDEX(OFFSET(Arb!$V$2,,,Arb!$AJ$5,),B73))/D73)</f>
        <v>5.5045871559633026</v>
      </c>
      <c r="H73" s="126">
        <f ca="1">INDEX(OFFSET(Arb!$AC$2,,,Arb!$AJ$5,),B73)/16</f>
        <v>58.125</v>
      </c>
      <c r="I73" s="34">
        <f t="shared" ca="1" si="16"/>
        <v>10.665137614678899</v>
      </c>
      <c r="J73" s="21">
        <f t="shared" ca="1" si="17"/>
        <v>50.879555592963555</v>
      </c>
      <c r="K73" s="33">
        <f t="shared" ca="1" si="18"/>
        <v>0.22365591397849463</v>
      </c>
      <c r="L73" s="88">
        <f ca="1">DATE(INDEX(OFFSET(Arb!$C$2,,,Arb!$AJ$5,),B73),INDEX(OFFSET(Arb!$B$2,,,Arb!$AJ$5,),B73),INDEX(OFFSET(Arb!$A$2,,,Arb!$AJ$5,),B73))</f>
        <v>43800</v>
      </c>
      <c r="M73" s="89">
        <v>22</v>
      </c>
      <c r="N73" s="11">
        <v>2155</v>
      </c>
      <c r="O73" s="433">
        <f ca="1">IF(N73="",64,INDEX(OFFSET(Arb!$I$2,,,Arb!$AJ$5,),N73))</f>
        <v>72</v>
      </c>
      <c r="P73" s="680">
        <f ca="1">IF(N73="",60,INDEX(OFFSET(Arb!$H$2,,,Arb!$AJ$5,),N73))</f>
        <v>25.95</v>
      </c>
      <c r="Q73" s="901">
        <f t="shared" ca="1" si="19"/>
        <v>2.7745664739884393</v>
      </c>
      <c r="R73" s="921">
        <f ca="1">IF(N73="","",INDEX(OFFSET(Arb!$X$2,,,Arb!$AJ$5,),N73)/P73)</f>
        <v>3.5838150289017343</v>
      </c>
      <c r="S73" s="907">
        <f ca="1">IF(N73="","",(INDEX(OFFSET(Arb!$U$2,,,Arb!$AJ$5,),N73)+INDEX(OFFSET(Arb!$V$2,,,Arb!$AJ$5,),N73))/P73)</f>
        <v>4.1618497109826587</v>
      </c>
      <c r="T73" s="127">
        <f ca="1">INDEX(OFFSET(Arb!$AC$2,,,Arb!$AJ$5,),N73)/16</f>
        <v>199.625</v>
      </c>
      <c r="U73" s="34">
        <f t="shared" ca="1" si="20"/>
        <v>7.6926782273603083</v>
      </c>
      <c r="V73" s="21">
        <f t="shared" ca="1" si="21"/>
        <v>27.569135843719025</v>
      </c>
      <c r="W73" s="33">
        <f t="shared" ca="1" si="22"/>
        <v>0.36067626800250469</v>
      </c>
      <c r="X73" s="91">
        <f ca="1">DATE(INDEX(OFFSET(Arb!$C$2,,,Arb!$AJ$5,),N73),INDEX(OFFSET(Arb!$B$2,,,Arb!$AJ$5,),N73),INDEX(OFFSET(Arb!$A$2,,,Arb!$AJ$5,),N73))</f>
        <v>43822</v>
      </c>
      <c r="Y73" s="92">
        <v>22</v>
      </c>
      <c r="Z73" s="11">
        <v>3343</v>
      </c>
      <c r="AA73" s="433">
        <f ca="1">IF(Z73="",164,INDEX(OFFSET(Arb!$I$2,,,Arb!$AJ$5,),Z73))</f>
        <v>191</v>
      </c>
      <c r="AB73" s="679">
        <f ca="1">IF(Z73="",240,INDEX(OFFSET(Arb!$H$2,,,Arb!$AJ$5,),Z73))</f>
        <v>72.14</v>
      </c>
      <c r="AC73" s="908">
        <f t="shared" ca="1" si="23"/>
        <v>2.6476296090934293</v>
      </c>
      <c r="AD73" s="917">
        <f ca="1">IF(Z73="","",INDEX(OFFSET(Arb!$X$2,,,Arb!$AJ$5,),Z73)/AB73)</f>
        <v>3.1605212087607431</v>
      </c>
      <c r="AE73" s="919">
        <f ca="1">IF(Z73="","",(INDEX(OFFSET(Arb!$U$2,,,Arb!$AJ$5,),Z73)+INDEX(OFFSET(Arb!$V$2,,,Arb!$AJ$5,),Z73))/AB73)</f>
        <v>3.410036041031328</v>
      </c>
      <c r="AF73" s="127">
        <f ca="1">INDEX(OFFSET(Arb!$AC$2,,,Arb!$AJ$5,),Z73)/16</f>
        <v>550.25</v>
      </c>
      <c r="AG73" s="34">
        <f t="shared" ca="1" si="24"/>
        <v>7.6275298031605212</v>
      </c>
      <c r="AH73" s="21">
        <f t="shared" ca="1" si="25"/>
        <v>24.106969713343481</v>
      </c>
      <c r="AI73" s="33">
        <f t="shared" ca="1" si="26"/>
        <v>0.34711494775102225</v>
      </c>
      <c r="AJ73" s="74">
        <f ca="1">DATE(INDEX(OFFSET(Arb!$C$2,,,Arb!$AJ$5,),Z73),INDEX(OFFSET(Arb!$B$2,,,Arb!$AJ$5,),Z73),INDEX(OFFSET(Arb!$A$2,,,Arb!$AJ$5,),Z73))</f>
        <v>44097</v>
      </c>
    </row>
    <row r="74" spans="1:36" x14ac:dyDescent="0.25">
      <c r="A74" s="11">
        <v>23</v>
      </c>
      <c r="B74" s="11">
        <v>1568</v>
      </c>
      <c r="C74" s="433">
        <f ca="1">IF(B74="",16,INDEX(OFFSET(Arb!$I$2,,,Arb!$AJ$5,),B74))</f>
        <v>21</v>
      </c>
      <c r="D74" s="559">
        <f ca="1">IF(B74="",10,INDEX(OFFSET(Arb!$H$2,,,Arb!$AJ$5,),B74))</f>
        <v>5.67</v>
      </c>
      <c r="E74" s="922">
        <f t="shared" ca="1" si="15"/>
        <v>3.7037037037037037</v>
      </c>
      <c r="F74" s="920">
        <f ca="1">IF(B74="","",INDEX(OFFSET(Arb!$X$2,,,Arb!$AJ$5,),B74)/D74)</f>
        <v>4.7619047619047619</v>
      </c>
      <c r="G74" s="918">
        <f ca="1">IF(B74="","",(INDEX(OFFSET(Arb!$U$2,,,Arb!$AJ$5,),B74)+INDEX(OFFSET(Arb!$V$2,,,Arb!$AJ$5,),B74))/D74)</f>
        <v>5.2910052910052912</v>
      </c>
      <c r="H74" s="126">
        <f ca="1">INDEX(OFFSET(Arb!$AC$2,,,Arb!$AJ$5,),B74)/16</f>
        <v>52.0625</v>
      </c>
      <c r="I74" s="34">
        <f t="shared" ca="1" si="16"/>
        <v>9.182098765432098</v>
      </c>
      <c r="J74" s="21">
        <f t="shared" ca="1" si="17"/>
        <v>43.724279835390945</v>
      </c>
      <c r="K74" s="33">
        <f t="shared" ca="1" si="18"/>
        <v>0.40336134453781514</v>
      </c>
      <c r="L74" s="88">
        <f ca="1">DATE(INDEX(OFFSET(Arb!$C$2,,,Arb!$AJ$5,),B74),INDEX(OFFSET(Arb!$B$2,,,Arb!$AJ$5,),B74),INDEX(OFFSET(Arb!$A$2,,,Arb!$AJ$5,),B74))</f>
        <v>43989</v>
      </c>
      <c r="M74" s="89">
        <v>23</v>
      </c>
      <c r="N74" s="11">
        <v>2265</v>
      </c>
      <c r="O74" s="433">
        <f ca="1">IF(N74="",64,INDEX(OFFSET(Arb!$I$2,,,Arb!$AJ$5,),N74))</f>
        <v>93</v>
      </c>
      <c r="P74" s="679">
        <f ca="1">IF(N74="",60,INDEX(OFFSET(Arb!$H$2,,,Arb!$AJ$5,),N74))</f>
        <v>30.15</v>
      </c>
      <c r="Q74" s="898">
        <f t="shared" ca="1" si="19"/>
        <v>3.0845771144278609</v>
      </c>
      <c r="R74" s="921">
        <f ca="1">IF(N74="","",INDEX(OFFSET(Arb!$X$2,,,Arb!$AJ$5,),N74)/P74)</f>
        <v>3.5820895522388061</v>
      </c>
      <c r="S74" s="924">
        <f ca="1">IF(N74="","",(INDEX(OFFSET(Arb!$U$2,,,Arb!$AJ$5,),N74)+INDEX(OFFSET(Arb!$V$2,,,Arb!$AJ$5,),N74))/P74)</f>
        <v>3.9469320066334994</v>
      </c>
      <c r="T74" s="127">
        <f ca="1">INDEX(OFFSET(Arb!$AC$2,,,Arb!$AJ$5,),N74)/16</f>
        <v>239.375</v>
      </c>
      <c r="U74" s="34">
        <f t="shared" ca="1" si="20"/>
        <v>7.9394693200663351</v>
      </c>
      <c r="V74" s="21">
        <f t="shared" ca="1" si="21"/>
        <v>28.439890101730157</v>
      </c>
      <c r="W74" s="33">
        <f t="shared" ca="1" si="22"/>
        <v>0.38851174934725846</v>
      </c>
      <c r="X74" s="91">
        <f ca="1">DATE(INDEX(OFFSET(Arb!$C$2,,,Arb!$AJ$5,),N74),INDEX(OFFSET(Arb!$B$2,,,Arb!$AJ$5,),N74),INDEX(OFFSET(Arb!$A$2,,,Arb!$AJ$5,),N74))</f>
        <v>43906</v>
      </c>
      <c r="Y74" s="92">
        <v>23</v>
      </c>
      <c r="Z74" s="11">
        <v>3188</v>
      </c>
      <c r="AA74" s="433">
        <f ca="1">IF(Z74="",164,INDEX(OFFSET(Arb!$I$2,,,Arb!$AJ$5,),Z74))</f>
        <v>151</v>
      </c>
      <c r="AB74" s="693">
        <f ca="1">IF(Z74="",240,INDEX(OFFSET(Arb!$H$2,,,Arb!$AJ$5,),Z74))</f>
        <v>62.08</v>
      </c>
      <c r="AC74" s="926">
        <f t="shared" ca="1" si="23"/>
        <v>2.4323453608247423</v>
      </c>
      <c r="AD74" s="917">
        <f ca="1">IF(Z74="","",INDEX(OFFSET(Arb!$X$2,,,Arb!$AJ$5,),Z74)/AB74)</f>
        <v>3.1572164948453607</v>
      </c>
      <c r="AE74" s="919">
        <f ca="1">IF(Z74="","",(INDEX(OFFSET(Arb!$U$2,,,Arb!$AJ$5,),Z74)+INDEX(OFFSET(Arb!$V$2,,,Arb!$AJ$5,),Z74))/AB74)</f>
        <v>3.4632731958762886</v>
      </c>
      <c r="AF74" s="127">
        <f ca="1">INDEX(OFFSET(Arb!$AC$2,,,Arb!$AJ$5,),Z74)/16</f>
        <v>440.8125</v>
      </c>
      <c r="AG74" s="34">
        <f t="shared" ca="1" si="24"/>
        <v>7.1007168170103094</v>
      </c>
      <c r="AH74" s="21">
        <f t="shared" ca="1" si="25"/>
        <v>22.418500259890795</v>
      </c>
      <c r="AI74" s="33">
        <f t="shared" ca="1" si="26"/>
        <v>0.34254926981426342</v>
      </c>
      <c r="AJ74" s="74">
        <f ca="1">DATE(INDEX(OFFSET(Arb!$C$2,,,Arb!$AJ$5,),Z74),INDEX(OFFSET(Arb!$B$2,,,Arb!$AJ$5,),Z74),INDEX(OFFSET(Arb!$A$2,,,Arb!$AJ$5,),Z74))</f>
        <v>44054</v>
      </c>
    </row>
    <row r="75" spans="1:36" x14ac:dyDescent="0.25">
      <c r="A75" s="11">
        <v>24</v>
      </c>
      <c r="B75" s="11">
        <v>1318</v>
      </c>
      <c r="C75" s="433">
        <f ca="1">IF(B75="",16,INDEX(OFFSET(Arb!$I$2,,,Arb!$AJ$5,),B75))</f>
        <v>25</v>
      </c>
      <c r="D75" s="693">
        <f ca="1">IF(B75="",10,INDEX(OFFSET(Arb!$H$2,,,Arb!$AJ$5,),B75))</f>
        <v>6.94</v>
      </c>
      <c r="E75" s="922">
        <f t="shared" ca="1" si="15"/>
        <v>3.6023054755043225</v>
      </c>
      <c r="F75" s="920">
        <f ca="1">IF(B75="","",INDEX(OFFSET(Arb!$X$2,,,Arb!$AJ$5,),B75)/D75)</f>
        <v>4.7550432276657055</v>
      </c>
      <c r="G75" s="914">
        <f ca="1">IF(B75="","",(INDEX(OFFSET(Arb!$U$2,,,Arb!$AJ$5,),B75)+INDEX(OFFSET(Arb!$V$2,,,Arb!$AJ$5,),B75))/D75)</f>
        <v>5.7636887608069163</v>
      </c>
      <c r="H75" s="126">
        <f ca="1">INDEX(OFFSET(Arb!$AC$2,,,Arb!$AJ$5,),B75)/16</f>
        <v>70.625</v>
      </c>
      <c r="I75" s="34">
        <f t="shared" ca="1" si="16"/>
        <v>10.176512968299711</v>
      </c>
      <c r="J75" s="21">
        <f t="shared" ca="1" si="17"/>
        <v>48.38975907116577</v>
      </c>
      <c r="K75" s="33">
        <f t="shared" ca="1" si="18"/>
        <v>0.35398230088495575</v>
      </c>
      <c r="L75" s="88">
        <f ca="1">DATE(INDEX(OFFSET(Arb!$C$2,,,Arb!$AJ$5,),B75),INDEX(OFFSET(Arb!$B$2,,,Arb!$AJ$5,),B75),INDEX(OFFSET(Arb!$A$2,,,Arb!$AJ$5,),B75))</f>
        <v>43912</v>
      </c>
      <c r="M75" s="89">
        <v>24</v>
      </c>
      <c r="N75" s="11">
        <v>2064</v>
      </c>
      <c r="O75" s="433">
        <f ca="1">IF(N75="",64,INDEX(OFFSET(Arb!$I$2,,,Arb!$AJ$5,),N75))</f>
        <v>87</v>
      </c>
      <c r="P75" s="679">
        <f ca="1">IF(N75="",60,INDEX(OFFSET(Arb!$H$2,,,Arb!$AJ$5,),N75))</f>
        <v>32.11</v>
      </c>
      <c r="Q75" s="908">
        <f t="shared" ca="1" si="19"/>
        <v>2.7094363126751793</v>
      </c>
      <c r="R75" s="921">
        <f ca="1">IF(N75="","",INDEX(OFFSET(Arb!$X$2,,,Arb!$AJ$5,),N75)/P75)</f>
        <v>3.5814388041108689</v>
      </c>
      <c r="S75" s="907">
        <f ca="1">IF(N75="","",(INDEX(OFFSET(Arb!$U$2,,,Arb!$AJ$5,),N75)+INDEX(OFFSET(Arb!$V$2,,,Arb!$AJ$5,),N75))/P75)</f>
        <v>4.2354406726876359</v>
      </c>
      <c r="T75" s="127">
        <f ca="1">INDEX(OFFSET(Arb!$AC$2,,,Arb!$AJ$5,),N75)/16</f>
        <v>276</v>
      </c>
      <c r="U75" s="34">
        <f t="shared" ca="1" si="20"/>
        <v>8.595453129866085</v>
      </c>
      <c r="V75" s="21">
        <f t="shared" ca="1" si="21"/>
        <v>30.784089378218617</v>
      </c>
      <c r="W75" s="33">
        <f t="shared" ca="1" si="22"/>
        <v>0.31521739130434784</v>
      </c>
      <c r="X75" s="91">
        <f ca="1">DATE(INDEX(OFFSET(Arb!$C$2,,,Arb!$AJ$5,),N75),INDEX(OFFSET(Arb!$B$2,,,Arb!$AJ$5,),N75),INDEX(OFFSET(Arb!$A$2,,,Arb!$AJ$5,),N75))</f>
        <v>43800</v>
      </c>
      <c r="Y75" s="92">
        <v>24</v>
      </c>
      <c r="Z75" s="11">
        <v>3296</v>
      </c>
      <c r="AA75" s="433">
        <f ca="1">IF(Z75="",164,INDEX(OFFSET(Arb!$I$2,,,Arb!$AJ$5,),Z75))</f>
        <v>198</v>
      </c>
      <c r="AB75" s="679">
        <f ca="1">IF(Z75="",240,INDEX(OFFSET(Arb!$H$2,,,Arb!$AJ$5,),Z75))</f>
        <v>73.569999999999993</v>
      </c>
      <c r="AC75" s="908">
        <f t="shared" ca="1" si="23"/>
        <v>2.6913143944542615</v>
      </c>
      <c r="AD75" s="917">
        <f ca="1">IF(Z75="","",INDEX(OFFSET(Arb!$X$2,,,Arb!$AJ$5,),Z75)/AB75)</f>
        <v>3.1534592904716598</v>
      </c>
      <c r="AE75" s="903">
        <f ca="1">IF(Z75="","",(INDEX(OFFSET(Arb!$U$2,,,Arb!$AJ$5,),Z75)+INDEX(OFFSET(Arb!$V$2,,,Arb!$AJ$5,),Z75))/AB75)</f>
        <v>3.5340492048389294</v>
      </c>
      <c r="AF75" s="127">
        <f ca="1">INDEX(OFFSET(Arb!$AC$2,,,Arb!$AJ$5,),Z75)/16</f>
        <v>538.875</v>
      </c>
      <c r="AG75" s="34">
        <f t="shared" ca="1" si="24"/>
        <v>7.3246567894522228</v>
      </c>
      <c r="AH75" s="21">
        <f t="shared" ca="1" si="25"/>
        <v>23.098007002214434</v>
      </c>
      <c r="AI75" s="33">
        <f t="shared" ca="1" si="26"/>
        <v>0.36743215031315241</v>
      </c>
      <c r="AJ75" s="74">
        <f ca="1">DATE(INDEX(OFFSET(Arb!$C$2,,,Arb!$AJ$5,),Z75),INDEX(OFFSET(Arb!$B$2,,,Arb!$AJ$5,),Z75),INDEX(OFFSET(Arb!$A$2,,,Arb!$AJ$5,),Z75))</f>
        <v>44089</v>
      </c>
    </row>
    <row r="76" spans="1:36" ht="13.8" thickBot="1" x14ac:dyDescent="0.3">
      <c r="A76" s="94">
        <v>25</v>
      </c>
      <c r="B76" s="94">
        <v>1188</v>
      </c>
      <c r="C76" s="434">
        <f ca="1">IF(B76="",16,INDEX(OFFSET(Arb!$I$2,,,Arb!$AJ$5,),B76))</f>
        <v>17</v>
      </c>
      <c r="D76" s="859">
        <f ca="1">IF(B76="",10,INDEX(OFFSET(Arb!$H$2,,,Arb!$AJ$5,),B76))</f>
        <v>4.42</v>
      </c>
      <c r="E76" s="927">
        <f t="shared" ca="1" si="15"/>
        <v>3.8461538461538463</v>
      </c>
      <c r="F76" s="928">
        <f ca="1">IF(B76="","",INDEX(OFFSET(Arb!$X$2,,,Arb!$AJ$5,),B76)/D76)</f>
        <v>4.751131221719457</v>
      </c>
      <c r="G76" s="929">
        <f ca="1">IF(B76="","",(INDEX(OFFSET(Arb!$U$2,,,Arb!$AJ$5,),B76)+INDEX(OFFSET(Arb!$V$2,,,Arb!$AJ$5,),B76))/D76)</f>
        <v>4.9773755656108598</v>
      </c>
      <c r="H76" s="128">
        <f ca="1">INDEX(OFFSET(Arb!$AC$2,,,Arb!$AJ$5,),B76)/16</f>
        <v>45.0625</v>
      </c>
      <c r="I76" s="95">
        <f t="shared" ca="1" si="16"/>
        <v>10.195135746606335</v>
      </c>
      <c r="J76" s="129">
        <f t="shared" ca="1" si="17"/>
        <v>48.43842775536946</v>
      </c>
      <c r="K76" s="96">
        <f t="shared" ca="1" si="18"/>
        <v>0.37725381414701803</v>
      </c>
      <c r="L76" s="241">
        <f ca="1">DATE(INDEX(OFFSET(Arb!$C$2,,,Arb!$AJ$5,),B76),INDEX(OFFSET(Arb!$B$2,,,Arb!$AJ$5,),B76),INDEX(OFFSET(Arb!$A$2,,,Arb!$AJ$5,),B76))</f>
        <v>43893</v>
      </c>
      <c r="M76" s="100">
        <v>25</v>
      </c>
      <c r="N76" s="94">
        <v>2224</v>
      </c>
      <c r="O76" s="434">
        <f ca="1">IF(N76="",64,INDEX(OFFSET(Arb!$I$2,,,Arb!$AJ$5,),N76))</f>
        <v>80</v>
      </c>
      <c r="P76" s="860">
        <f ca="1">IF(N76="",60,INDEX(OFFSET(Arb!$H$2,,,Arb!$AJ$5,),N76))</f>
        <v>28.21</v>
      </c>
      <c r="Q76" s="930">
        <f t="shared" ca="1" si="19"/>
        <v>2.8358738036157392</v>
      </c>
      <c r="R76" s="931">
        <f ca="1">IF(N76="","",INDEX(OFFSET(Arb!$X$2,,,Arb!$AJ$5,),N76)/P76)</f>
        <v>3.5802906770648706</v>
      </c>
      <c r="S76" s="932">
        <f ca="1">IF(N76="","",(INDEX(OFFSET(Arb!$U$2,,,Arb!$AJ$5,),N76)+INDEX(OFFSET(Arb!$V$2,,,Arb!$AJ$5,),N76))/P76)</f>
        <v>4.1829138603332154</v>
      </c>
      <c r="T76" s="130">
        <f ca="1">INDEX(OFFSET(Arb!$AC$2,,,Arb!$AJ$5,),N76)/16</f>
        <v>224.5625</v>
      </c>
      <c r="U76" s="95">
        <f t="shared" ca="1" si="20"/>
        <v>7.9603863878057428</v>
      </c>
      <c r="V76" s="129">
        <f t="shared" ca="1" si="21"/>
        <v>28.500497170095002</v>
      </c>
      <c r="W76" s="96">
        <f t="shared" ca="1" si="22"/>
        <v>0.35624826050654052</v>
      </c>
      <c r="X76" s="242">
        <f ca="1">DATE(INDEX(OFFSET(Arb!$C$2,,,Arb!$AJ$5,),N76),INDEX(OFFSET(Arb!$B$2,,,Arb!$AJ$5,),N76),INDEX(OFFSET(Arb!$A$2,,,Arb!$AJ$5,),N76))</f>
        <v>43870</v>
      </c>
      <c r="Y76" s="102">
        <v>25</v>
      </c>
      <c r="Z76" s="94">
        <v>3221</v>
      </c>
      <c r="AA76" s="434">
        <f ca="1">IF(Z76="",164,INDEX(OFFSET(Arb!$I$2,,,Arb!$AJ$5,),Z76))</f>
        <v>184</v>
      </c>
      <c r="AB76" s="850">
        <f ca="1">IF(Z76="",240,INDEX(OFFSET(Arb!$H$2,,,Arb!$AJ$5,),Z76))</f>
        <v>69.84</v>
      </c>
      <c r="AC76" s="933">
        <f t="shared" ca="1" si="23"/>
        <v>2.6345933562428407</v>
      </c>
      <c r="AD76" s="934">
        <f ca="1">IF(Z76="","",INDEX(OFFSET(Arb!$X$2,,,Arb!$AJ$5,),Z76)/AB76)</f>
        <v>3.1500572737686139</v>
      </c>
      <c r="AE76" s="935">
        <f ca="1">IF(Z76="","",(INDEX(OFFSET(Arb!$U$2,,,Arb!$AJ$5,),Z76)+INDEX(OFFSET(Arb!$V$2,,,Arb!$AJ$5,),Z76))/AB76)</f>
        <v>3.5796105383734247</v>
      </c>
      <c r="AF76" s="130">
        <f ca="1">INDEX(OFFSET(Arb!$AC$2,,,Arb!$AJ$5,),Z76)/16</f>
        <v>510.375</v>
      </c>
      <c r="AG76" s="95">
        <f t="shared" ca="1" si="24"/>
        <v>7.3077749140893467</v>
      </c>
      <c r="AH76" s="129">
        <f t="shared" ca="1" si="25"/>
        <v>23.019909523190954</v>
      </c>
      <c r="AI76" s="96">
        <f t="shared" ca="1" si="26"/>
        <v>0.36051922605927017</v>
      </c>
      <c r="AJ76" s="417">
        <f ca="1">DATE(INDEX(OFFSET(Arb!$C$2,,,Arb!$AJ$5,),Z76),INDEX(OFFSET(Arb!$B$2,,,Arb!$AJ$5,),Z76),INDEX(OFFSET(Arb!$A$2,,,Arb!$AJ$5,),Z76))</f>
        <v>44060</v>
      </c>
    </row>
    <row r="77" spans="1:36" x14ac:dyDescent="0.25">
      <c r="A77" s="103">
        <v>1</v>
      </c>
      <c r="B77" s="104">
        <v>1445</v>
      </c>
      <c r="C77" s="446">
        <f ca="1">IF(B77="",16,INDEX(OFFSET(Arb!$I$2,,,Arb!$AJ$5,),B77))</f>
        <v>18</v>
      </c>
      <c r="D77" s="969">
        <f ca="1">IF(B77="",10,INDEX(OFFSET(Arb!$H$2,,,Arb!$AJ$5,),B77))</f>
        <v>12.09</v>
      </c>
      <c r="E77" s="936">
        <f t="shared" ca="1" si="15"/>
        <v>1.4888337468982631</v>
      </c>
      <c r="F77" s="937">
        <f ca="1">IF(B77="","",INDEX(OFFSET(Arb!$X$2,,,Arb!$AJ$5,),B77)/D77)</f>
        <v>12.406947890818859</v>
      </c>
      <c r="G77" s="938">
        <f ca="1">IF(B77="","",(INDEX(OFFSET(Arb!$U$2,,,Arb!$AJ$5,),B77)+INDEX(OFFSET(Arb!$V$2,,,Arb!$AJ$5,),B77))/D77)</f>
        <v>12.655086848635236</v>
      </c>
      <c r="H77" s="131">
        <f ca="1">INDEX(OFFSET(Arb!$AC$2,,,Arb!$AJ$5,),B77)/16</f>
        <v>63.0625</v>
      </c>
      <c r="I77" s="105">
        <f t="shared" ca="1" si="16"/>
        <v>5.2160876757650954</v>
      </c>
      <c r="J77" s="132">
        <f t="shared" ca="1" si="17"/>
        <v>64.715727987159994</v>
      </c>
      <c r="K77" s="106">
        <f t="shared" ca="1" si="18"/>
        <v>0.28543111992071357</v>
      </c>
      <c r="L77" s="245">
        <f ca="1">DATE(INDEX(OFFSET(Arb!$C$2,,,Arb!$AJ$5,),B77),INDEX(OFFSET(Arb!$B$2,,,Arb!$AJ$5,),B77),INDEX(OFFSET(Arb!$A$2,,,Arb!$AJ$5,),B77))</f>
        <v>43949</v>
      </c>
      <c r="M77" s="103">
        <v>1</v>
      </c>
      <c r="N77" s="104">
        <v>2322</v>
      </c>
      <c r="O77" s="446">
        <f ca="1">IF(N77="",64,INDEX(OFFSET(Arb!$I$2,,,Arb!$AJ$5,),N77))</f>
        <v>82</v>
      </c>
      <c r="P77" s="861">
        <f ca="1">IF(N77="",60,INDEX(OFFSET(Arb!$H$2,,,Arb!$AJ$5,),N77))</f>
        <v>27.89</v>
      </c>
      <c r="Q77" s="939">
        <f t="shared" ca="1" si="19"/>
        <v>2.9401219074937255</v>
      </c>
      <c r="R77" s="940">
        <f ca="1">IF(N77="","",INDEX(OFFSET(Arb!$X$2,,,Arb!$AJ$5,),N77)/P77)</f>
        <v>3.8006453926138399</v>
      </c>
      <c r="S77" s="941">
        <f ca="1">IF(N77="","",(INDEX(OFFSET(Arb!$U$2,,,Arb!$AJ$5,),N77)+INDEX(OFFSET(Arb!$V$2,,,Arb!$AJ$5,),N77))/P77)</f>
        <v>4.6611688777339548</v>
      </c>
      <c r="T77" s="133">
        <f ca="1">INDEX(OFFSET(Arb!$AC$2,,,Arb!$AJ$5,),N77)/16</f>
        <v>236.4375</v>
      </c>
      <c r="U77" s="105">
        <f t="shared" ca="1" si="20"/>
        <v>8.4775008963786309</v>
      </c>
      <c r="V77" s="132">
        <f t="shared" ca="1" si="21"/>
        <v>32.219974722701139</v>
      </c>
      <c r="W77" s="106">
        <f t="shared" ca="1" si="22"/>
        <v>0.34681469733016124</v>
      </c>
      <c r="X77" s="246">
        <f ca="1">DATE(INDEX(OFFSET(Arb!$C$2,,,Arb!$AJ$5,),N77),INDEX(OFFSET(Arb!$B$2,,,Arb!$AJ$5,),N77),INDEX(OFFSET(Arb!$A$2,,,Arb!$AJ$5,),N77))</f>
        <v>43990</v>
      </c>
      <c r="Y77" s="110">
        <v>1</v>
      </c>
      <c r="Z77" s="104">
        <v>3353</v>
      </c>
      <c r="AA77" s="446">
        <f ca="1">IF(Z77="",164,INDEX(OFFSET(Arb!$I$2,,,Arb!$AJ$5,),Z77))</f>
        <v>181</v>
      </c>
      <c r="AB77" s="853">
        <f ca="1">IF(Z77="",240,INDEX(OFFSET(Arb!$H$2,,,Arb!$AJ$5,),Z77))</f>
        <v>65.95</v>
      </c>
      <c r="AC77" s="942">
        <f t="shared" ca="1" si="23"/>
        <v>2.7445034116755118</v>
      </c>
      <c r="AD77" s="943">
        <f ca="1">IF(Z77="","",INDEX(OFFSET(Arb!$X$2,,,Arb!$AJ$5,),Z77)/AB77)</f>
        <v>3.3510235026535251</v>
      </c>
      <c r="AE77" s="944">
        <f ca="1">IF(Z77="","",(INDEX(OFFSET(Arb!$U$2,,,Arb!$AJ$5,),Z77)+INDEX(OFFSET(Arb!$V$2,,,Arb!$AJ$5,),Z77))/AB77)</f>
        <v>3.821076573161486</v>
      </c>
      <c r="AF77" s="133">
        <f ca="1">INDEX(OFFSET(Arb!$AC$2,,,Arb!$AJ$5,),Z77)/16</f>
        <v>521.5625</v>
      </c>
      <c r="AG77" s="105">
        <f t="shared" ca="1" si="24"/>
        <v>7.9084533737680056</v>
      </c>
      <c r="AH77" s="132">
        <f t="shared" ca="1" si="25"/>
        <v>26.50141312513615</v>
      </c>
      <c r="AI77" s="106">
        <f t="shared" ca="1" si="26"/>
        <v>0.34703415218693828</v>
      </c>
      <c r="AJ77" s="246">
        <f ca="1">DATE(INDEX(OFFSET(Arb!$C$2,,,Arb!$AJ$5,),Z77),INDEX(OFFSET(Arb!$B$2,,,Arb!$AJ$5,),Z77),INDEX(OFFSET(Arb!$A$2,,,Arb!$AJ$5,),Z77))</f>
        <v>44098</v>
      </c>
    </row>
    <row r="78" spans="1:36" x14ac:dyDescent="0.25">
      <c r="A78" s="89">
        <v>2</v>
      </c>
      <c r="B78" s="408">
        <v>1444</v>
      </c>
      <c r="C78" s="433">
        <f ca="1">IF(B78="",16,INDEX(OFFSET(Arb!$I$2,,,Arb!$AJ$5,),B78))</f>
        <v>11</v>
      </c>
      <c r="D78" s="688">
        <f ca="1">IF(B78="",10,INDEX(OFFSET(Arb!$H$2,,,Arb!$AJ$5,),B78))</f>
        <v>6.09</v>
      </c>
      <c r="E78" s="895">
        <f t="shared" ca="1" si="15"/>
        <v>1.80623973727422</v>
      </c>
      <c r="F78" s="896">
        <f ca="1">IF(B78="","",INDEX(OFFSET(Arb!$X$2,,,Arb!$AJ$5,),B78)/D78)</f>
        <v>10.344827586206897</v>
      </c>
      <c r="G78" s="897">
        <f ca="1">IF(B78="","",(INDEX(OFFSET(Arb!$U$2,,,Arb!$AJ$5,),B78)+INDEX(OFFSET(Arb!$V$2,,,Arb!$AJ$5,),B78))/D78)</f>
        <v>10.509031198686371</v>
      </c>
      <c r="H78" s="126">
        <f ca="1">INDEX(OFFSET(Arb!$AC$2,,,Arb!$AJ$5,),B78)/16</f>
        <v>30.1875</v>
      </c>
      <c r="I78" s="34">
        <f t="shared" ca="1" si="16"/>
        <v>4.9568965517241379</v>
      </c>
      <c r="J78" s="21">
        <f t="shared" ca="1" si="17"/>
        <v>51.278240190249704</v>
      </c>
      <c r="K78" s="33">
        <f t="shared" ca="1" si="18"/>
        <v>0.36438923395445133</v>
      </c>
      <c r="L78" s="88">
        <f ca="1">DATE(INDEX(OFFSET(Arb!$C$2,,,Arb!$AJ$5,),B78),INDEX(OFFSET(Arb!$B$2,,,Arb!$AJ$5,),B78),INDEX(OFFSET(Arb!$A$2,,,Arb!$AJ$5,),B78))</f>
        <v>43949</v>
      </c>
      <c r="M78" s="89">
        <v>2</v>
      </c>
      <c r="N78" s="408">
        <v>2138</v>
      </c>
      <c r="O78" s="433">
        <f ca="1">IF(N78="",64,INDEX(OFFSET(Arb!$I$2,,,Arb!$AJ$5,),N78))</f>
        <v>93</v>
      </c>
      <c r="P78" s="682">
        <f ca="1">IF(N78="",60,INDEX(OFFSET(Arb!$H$2,,,Arb!$AJ$5,),N78))</f>
        <v>30.3</v>
      </c>
      <c r="Q78" s="898">
        <f t="shared" ca="1" si="19"/>
        <v>3.0693069306930694</v>
      </c>
      <c r="R78" s="899">
        <f ca="1">IF(N78="","",INDEX(OFFSET(Arb!$X$2,,,Arb!$AJ$5,),N78)/P78)</f>
        <v>3.8613861386138613</v>
      </c>
      <c r="S78" s="900">
        <f ca="1">IF(N78="","",(INDEX(OFFSET(Arb!$U$2,,,Arb!$AJ$5,),N78)+INDEX(OFFSET(Arb!$V$2,,,Arb!$AJ$5,),N78))/P78)</f>
        <v>4.455445544554455</v>
      </c>
      <c r="T78" s="127">
        <f ca="1">INDEX(OFFSET(Arb!$AC$2,,,Arb!$AJ$5,),N78)/16</f>
        <v>263</v>
      </c>
      <c r="U78" s="34">
        <f t="shared" ca="1" si="20"/>
        <v>8.6798679867986799</v>
      </c>
      <c r="V78" s="21">
        <f t="shared" ca="1" si="21"/>
        <v>33.516321929222627</v>
      </c>
      <c r="W78" s="33">
        <f t="shared" ca="1" si="22"/>
        <v>0.35361216730038025</v>
      </c>
      <c r="X78" s="91">
        <f ca="1">DATE(INDEX(OFFSET(Arb!$C$2,,,Arb!$AJ$5,),N78),INDEX(OFFSET(Arb!$B$2,,,Arb!$AJ$5,),N78),INDEX(OFFSET(Arb!$A$2,,,Arb!$AJ$5,),N78))</f>
        <v>43817</v>
      </c>
      <c r="Y78" s="414">
        <v>2</v>
      </c>
      <c r="Z78" s="408">
        <v>3211</v>
      </c>
      <c r="AA78" s="433">
        <f ca="1">IF(Z78="",164,INDEX(OFFSET(Arb!$I$2,,,Arb!$AJ$5,),Z78))</f>
        <v>171</v>
      </c>
      <c r="AB78" s="691">
        <f ca="1">IF(Z78="",240,INDEX(OFFSET(Arb!$H$2,,,Arb!$AJ$5,),Z78))</f>
        <v>65.650000000000006</v>
      </c>
      <c r="AC78" s="908">
        <f t="shared" ca="1" si="23"/>
        <v>2.6047220106626043</v>
      </c>
      <c r="AD78" s="902">
        <f ca="1">IF(Z78="","",INDEX(OFFSET(Arb!$X$2,,,Arb!$AJ$5,),Z78)/AB78)</f>
        <v>3.3054074638233053</v>
      </c>
      <c r="AE78" s="903">
        <f ca="1">IF(Z78="","",(INDEX(OFFSET(Arb!$U$2,,,Arb!$AJ$5,),Z78)+INDEX(OFFSET(Arb!$V$2,,,Arb!$AJ$5,),Z78))/AB78)</f>
        <v>3.6557501904036553</v>
      </c>
      <c r="AF78" s="127">
        <f ca="1">INDEX(OFFSET(Arb!$AC$2,,,Arb!$AJ$5,),Z78)/16</f>
        <v>491.5625</v>
      </c>
      <c r="AG78" s="34">
        <f t="shared" ca="1" si="24"/>
        <v>7.4876237623762369</v>
      </c>
      <c r="AH78" s="21">
        <f t="shared" ca="1" si="25"/>
        <v>24.749647470459152</v>
      </c>
      <c r="AI78" s="33">
        <f t="shared" ca="1" si="26"/>
        <v>0.34787031150667513</v>
      </c>
      <c r="AJ78" s="91">
        <f ca="1">DATE(INDEX(OFFSET(Arb!$C$2,,,Arb!$AJ$5,),Z78),INDEX(OFFSET(Arb!$B$2,,,Arb!$AJ$5,),Z78),INDEX(OFFSET(Arb!$A$2,,,Arb!$AJ$5,),Z78))</f>
        <v>44059</v>
      </c>
    </row>
    <row r="79" spans="1:36" x14ac:dyDescent="0.25">
      <c r="A79" s="89">
        <v>3</v>
      </c>
      <c r="B79" s="408">
        <v>176</v>
      </c>
      <c r="C79" s="433">
        <f ca="1">IF(B79="",16,INDEX(OFFSET(Arb!$I$2,,,Arb!$AJ$5,),B79))</f>
        <v>12</v>
      </c>
      <c r="D79" s="679">
        <f ca="1">IF(B79="",10,INDEX(OFFSET(Arb!$H$2,,,Arb!$AJ$5,),B79))</f>
        <v>8.08</v>
      </c>
      <c r="E79" s="945">
        <f t="shared" ca="1" si="15"/>
        <v>1.4851485148514851</v>
      </c>
      <c r="F79" s="946">
        <f ca="1">IF(B79="","",INDEX(OFFSET(Arb!$X$2,,,Arb!$AJ$5,),B79)/D79)</f>
        <v>1.8564356435643565</v>
      </c>
      <c r="G79" s="897">
        <f ca="1">IF(B79="","",(INDEX(OFFSET(Arb!$U$2,,,Arb!$AJ$5,),B79)+INDEX(OFFSET(Arb!$V$2,,,Arb!$AJ$5,),B79))/D79)</f>
        <v>9.653465346534654</v>
      </c>
      <c r="H79" s="126">
        <f ca="1">INDEX(OFFSET(Arb!$AC$2,,,Arb!$AJ$5,),B79)/16</f>
        <v>35.625</v>
      </c>
      <c r="I79" s="34">
        <f t="shared" ca="1" si="16"/>
        <v>4.4090346534653468</v>
      </c>
      <c r="J79" s="21">
        <f t="shared" ca="1" si="17"/>
        <v>8.18508908440349</v>
      </c>
      <c r="K79" s="33">
        <f t="shared" ca="1" si="18"/>
        <v>0.33684210526315789</v>
      </c>
      <c r="L79" s="88">
        <f ca="1">DATE(INDEX(OFFSET(Arb!$C$2,,,Arb!$AJ$5,),B79),INDEX(OFFSET(Arb!$B$2,,,Arb!$AJ$5,),B79),INDEX(OFFSET(Arb!$A$2,,,Arb!$AJ$5,),B79))</f>
        <v>43773</v>
      </c>
      <c r="M79" s="89">
        <v>3</v>
      </c>
      <c r="N79" s="408">
        <v>2296</v>
      </c>
      <c r="O79" s="433">
        <f ca="1">IF(N79="",64,INDEX(OFFSET(Arb!$I$2,,,Arb!$AJ$5,),N79))</f>
        <v>85</v>
      </c>
      <c r="P79" s="690">
        <f ca="1">IF(N79="",60,INDEX(OFFSET(Arb!$H$2,,,Arb!$AJ$5,),N79))</f>
        <v>28.13</v>
      </c>
      <c r="Q79" s="898">
        <f t="shared" ca="1" si="19"/>
        <v>3.021685033771774</v>
      </c>
      <c r="R79" s="899">
        <f ca="1">IF(N79="","",INDEX(OFFSET(Arb!$X$2,,,Arb!$AJ$5,),N79)/P79)</f>
        <v>3.981514397440455</v>
      </c>
      <c r="S79" s="900">
        <f ca="1">IF(N79="","",(INDEX(OFFSET(Arb!$U$2,,,Arb!$AJ$5,),N79)+INDEX(OFFSET(Arb!$V$2,,,Arb!$AJ$5,),N79))/P79)</f>
        <v>4.4081052257376472</v>
      </c>
      <c r="T79" s="127">
        <f ca="1">INDEX(OFFSET(Arb!$AC$2,,,Arb!$AJ$5,),N79)/16</f>
        <v>244.9375</v>
      </c>
      <c r="U79" s="34">
        <f t="shared" ca="1" si="20"/>
        <v>8.7073409171702814</v>
      </c>
      <c r="V79" s="21">
        <f t="shared" ca="1" si="21"/>
        <v>34.668403225135854</v>
      </c>
      <c r="W79" s="33">
        <f t="shared" ca="1" si="22"/>
        <v>0.34702730288338862</v>
      </c>
      <c r="X79" s="91">
        <f ca="1">DATE(INDEX(OFFSET(Arb!$C$2,,,Arb!$AJ$5,),N79),INDEX(OFFSET(Arb!$B$2,,,Arb!$AJ$5,),N79),INDEX(OFFSET(Arb!$A$2,,,Arb!$AJ$5,),N79))</f>
        <v>43937</v>
      </c>
      <c r="Y79" s="414">
        <v>3</v>
      </c>
      <c r="Z79" s="408">
        <v>3265</v>
      </c>
      <c r="AA79" s="433">
        <f ca="1">IF(Z79="",164,INDEX(OFFSET(Arb!$I$2,,,Arb!$AJ$5,),Z79))</f>
        <v>173</v>
      </c>
      <c r="AB79" s="693">
        <f ca="1">IF(Z79="",240,INDEX(OFFSET(Arb!$H$2,,,Arb!$AJ$5,),Z79))</f>
        <v>63.97</v>
      </c>
      <c r="AC79" s="908">
        <f t="shared" ca="1" si="23"/>
        <v>2.7043926840706582</v>
      </c>
      <c r="AD79" s="902">
        <f ca="1">IF(Z79="","",INDEX(OFFSET(Arb!$X$2,,,Arb!$AJ$5,),Z79)/AB79)</f>
        <v>3.2515241519462248</v>
      </c>
      <c r="AE79" s="903">
        <f ca="1">IF(Z79="","",(INDEX(OFFSET(Arb!$U$2,,,Arb!$AJ$5,),Z79)+INDEX(OFFSET(Arb!$V$2,,,Arb!$AJ$5,),Z79))/AB79)</f>
        <v>3.6267000156323279</v>
      </c>
      <c r="AF79" s="127">
        <f ca="1">INDEX(OFFSET(Arb!$AC$2,,,Arb!$AJ$5,),Z79)/16</f>
        <v>454.25</v>
      </c>
      <c r="AG79" s="34">
        <f t="shared" ca="1" si="24"/>
        <v>7.1009848366421764</v>
      </c>
      <c r="AH79" s="21">
        <f t="shared" ca="1" si="25"/>
        <v>23.089023698945955</v>
      </c>
      <c r="AI79" s="33">
        <f t="shared" ca="1" si="26"/>
        <v>0.38084755090809025</v>
      </c>
      <c r="AJ79" s="91">
        <f ca="1">DATE(INDEX(OFFSET(Arb!$C$2,,,Arb!$AJ$5,),Z79),INDEX(OFFSET(Arb!$B$2,,,Arb!$AJ$5,),Z79),INDEX(OFFSET(Arb!$A$2,,,Arb!$AJ$5,),Z79))</f>
        <v>44073</v>
      </c>
    </row>
    <row r="80" spans="1:36" x14ac:dyDescent="0.25">
      <c r="A80" s="89">
        <v>4</v>
      </c>
      <c r="B80" s="408">
        <v>174</v>
      </c>
      <c r="C80" s="433">
        <f ca="1">IF(B80="",16,INDEX(OFFSET(Arb!$I$2,,,Arb!$AJ$5,),B80))</f>
        <v>18</v>
      </c>
      <c r="D80" s="690">
        <f ca="1">IF(B80="",10,INDEX(OFFSET(Arb!$H$2,,,Arb!$AJ$5,),B80))</f>
        <v>11.73</v>
      </c>
      <c r="E80" s="895">
        <f t="shared" ca="1" si="15"/>
        <v>1.5345268542199488</v>
      </c>
      <c r="F80" s="946">
        <f ca="1">IF(B80="","",INDEX(OFFSET(Arb!$X$2,,,Arb!$AJ$5,),B80)/D80)</f>
        <v>1.8755328218243819</v>
      </c>
      <c r="G80" s="897">
        <f ca="1">IF(B80="","",(INDEX(OFFSET(Arb!$U$2,,,Arb!$AJ$5,),B80)+INDEX(OFFSET(Arb!$V$2,,,Arb!$AJ$5,),B80))/D80)</f>
        <v>9.6334185848252343</v>
      </c>
      <c r="H80" s="126">
        <f ca="1">INDEX(OFFSET(Arb!$AC$2,,,Arb!$AJ$5,),B80)/16</f>
        <v>46.375</v>
      </c>
      <c r="I80" s="34">
        <f t="shared" ca="1" si="16"/>
        <v>3.9535379369138957</v>
      </c>
      <c r="J80" s="21">
        <f t="shared" ca="1" si="17"/>
        <v>7.4149901630098638</v>
      </c>
      <c r="K80" s="33">
        <f t="shared" ca="1" si="18"/>
        <v>0.38814016172506738</v>
      </c>
      <c r="L80" s="88">
        <f ca="1">DATE(INDEX(OFFSET(Arb!$C$2,,,Arb!$AJ$5,),B80),INDEX(OFFSET(Arb!$B$2,,,Arb!$AJ$5,),B80),INDEX(OFFSET(Arb!$A$2,,,Arb!$AJ$5,),B80))</f>
        <v>43773</v>
      </c>
      <c r="M80" s="89">
        <v>4</v>
      </c>
      <c r="N80" s="408">
        <v>2335</v>
      </c>
      <c r="O80" s="433">
        <f ca="1">IF(N80="",64,INDEX(OFFSET(Arb!$I$2,,,Arb!$AJ$5,),N80))</f>
        <v>59</v>
      </c>
      <c r="P80" s="692">
        <f ca="1">IF(N80="",60,INDEX(OFFSET(Arb!$H$2,,,Arb!$AJ$5,),N80))</f>
        <v>21.62</v>
      </c>
      <c r="Q80" s="908">
        <f t="shared" ca="1" si="19"/>
        <v>2.7289546716003699</v>
      </c>
      <c r="R80" s="921">
        <f ca="1">IF(N80="","",INDEX(OFFSET(Arb!$X$2,,,Arb!$AJ$5,),N80)/P80)</f>
        <v>3.700277520814061</v>
      </c>
      <c r="S80" s="900">
        <f ca="1">IF(N80="","",(INDEX(OFFSET(Arb!$U$2,,,Arb!$AJ$5,),N80)+INDEX(OFFSET(Arb!$V$2,,,Arb!$AJ$5,),N80))/P80)</f>
        <v>4.3015726179463458</v>
      </c>
      <c r="T80" s="127">
        <f ca="1">INDEX(OFFSET(Arb!$AC$2,,,Arb!$AJ$5,),N80)/16</f>
        <v>185.875</v>
      </c>
      <c r="U80" s="34">
        <f t="shared" ca="1" si="20"/>
        <v>8.5973635522664189</v>
      </c>
      <c r="V80" s="21">
        <f t="shared" ca="1" si="21"/>
        <v>31.812631090717552</v>
      </c>
      <c r="W80" s="33">
        <f t="shared" ca="1" si="22"/>
        <v>0.31741761936785473</v>
      </c>
      <c r="X80" s="91">
        <f ca="1">DATE(INDEX(OFFSET(Arb!$C$2,,,Arb!$AJ$5,),N80),INDEX(OFFSET(Arb!$B$2,,,Arb!$AJ$5,),N80),INDEX(OFFSET(Arb!$A$2,,,Arb!$AJ$5,),N80))</f>
        <v>44093</v>
      </c>
      <c r="Y80" s="414">
        <v>4</v>
      </c>
      <c r="Z80" s="408">
        <v>3238</v>
      </c>
      <c r="AA80" s="433">
        <f ca="1">IF(Z80="",164,INDEX(OFFSET(Arb!$I$2,,,Arb!$AJ$5,),Z80))</f>
        <v>197</v>
      </c>
      <c r="AB80" s="679">
        <f ca="1">IF(Z80="",240,INDEX(OFFSET(Arb!$H$2,,,Arb!$AJ$5,),Z80))</f>
        <v>70.430000000000007</v>
      </c>
      <c r="AC80" s="901">
        <f t="shared" ca="1" si="23"/>
        <v>2.7971035070282548</v>
      </c>
      <c r="AD80" s="917">
        <f ca="1">IF(Z80="","",INDEX(OFFSET(Arb!$X$2,,,Arb!$AJ$5,),Z80)/AB80)</f>
        <v>3.2372568507738175</v>
      </c>
      <c r="AE80" s="903">
        <f ca="1">IF(Z80="","",(INDEX(OFFSET(Arb!$U$2,,,Arb!$AJ$5,),Z80)+INDEX(OFFSET(Arb!$V$2,,,Arb!$AJ$5,),Z80))/AB80)</f>
        <v>3.6064177197217093</v>
      </c>
      <c r="AF80" s="127">
        <f ca="1">INDEX(OFFSET(Arb!$AC$2,,,Arb!$AJ$5,),Z80)/16</f>
        <v>529.125</v>
      </c>
      <c r="AG80" s="34">
        <f t="shared" ca="1" si="24"/>
        <v>7.5127786454635803</v>
      </c>
      <c r="AH80" s="21">
        <f t="shared" ca="1" si="25"/>
        <v>24.320794138374218</v>
      </c>
      <c r="AI80" s="33">
        <f t="shared" ca="1" si="26"/>
        <v>0.37231278053390032</v>
      </c>
      <c r="AJ80" s="91">
        <f ca="1">DATE(INDEX(OFFSET(Arb!$C$2,,,Arb!$AJ$5,),Z80),INDEX(OFFSET(Arb!$B$2,,,Arb!$AJ$5,),Z80),INDEX(OFFSET(Arb!$A$2,,,Arb!$AJ$5,),Z80))</f>
        <v>44064</v>
      </c>
    </row>
    <row r="81" spans="1:36" x14ac:dyDescent="0.25">
      <c r="A81" s="89">
        <v>5</v>
      </c>
      <c r="B81" s="408">
        <v>177</v>
      </c>
      <c r="C81" s="433">
        <f ca="1">IF(B81="",16,INDEX(OFFSET(Arb!$I$2,,,Arb!$AJ$5,),B81))</f>
        <v>22</v>
      </c>
      <c r="D81" s="690">
        <f ca="1">IF(B81="",10,INDEX(OFFSET(Arb!$H$2,,,Arb!$AJ$5,),B81))</f>
        <v>11.55</v>
      </c>
      <c r="E81" s="895">
        <f t="shared" ca="1" si="15"/>
        <v>1.9047619047619047</v>
      </c>
      <c r="F81" s="947">
        <f ca="1">IF(B81="","",INDEX(OFFSET(Arb!$X$2,,,Arb!$AJ$5,),B81)/D81)</f>
        <v>2.5108225108225106</v>
      </c>
      <c r="G81" s="897">
        <f ca="1">IF(B81="","",(INDEX(OFFSET(Arb!$U$2,,,Arb!$AJ$5,),B81)+INDEX(OFFSET(Arb!$V$2,,,Arb!$AJ$5,),B81))/D81)</f>
        <v>8.6580086580086579</v>
      </c>
      <c r="H81" s="126">
        <f ca="1">INDEX(OFFSET(Arb!$AC$2,,,Arb!$AJ$5,),B81)/16</f>
        <v>54.0625</v>
      </c>
      <c r="I81" s="34">
        <f t="shared" ca="1" si="16"/>
        <v>4.6807359307359304</v>
      </c>
      <c r="J81" s="21">
        <f t="shared" ca="1" si="17"/>
        <v>11.752497142107529</v>
      </c>
      <c r="K81" s="33">
        <f t="shared" ca="1" si="18"/>
        <v>0.40693641618497112</v>
      </c>
      <c r="L81" s="88">
        <f ca="1">DATE(INDEX(OFFSET(Arb!$C$2,,,Arb!$AJ$5,),B81),INDEX(OFFSET(Arb!$B$2,,,Arb!$AJ$5,),B81),INDEX(OFFSET(Arb!$A$2,,,Arb!$AJ$5,),B81))</f>
        <v>43773</v>
      </c>
      <c r="M81" s="89">
        <v>5</v>
      </c>
      <c r="N81" s="408">
        <v>2139</v>
      </c>
      <c r="O81" s="433">
        <f ca="1">IF(N81="",64,INDEX(OFFSET(Arb!$I$2,,,Arb!$AJ$5,),N81))</f>
        <v>71</v>
      </c>
      <c r="P81" s="679">
        <f ca="1">IF(N81="",60,INDEX(OFFSET(Arb!$H$2,,,Arb!$AJ$5,),N81))</f>
        <v>22.85</v>
      </c>
      <c r="Q81" s="898">
        <f t="shared" ca="1" si="19"/>
        <v>3.1072210065645511</v>
      </c>
      <c r="R81" s="899">
        <f ca="1">IF(N81="","",INDEX(OFFSET(Arb!$X$2,,,Arb!$AJ$5,),N81)/P81)</f>
        <v>3.7636761487964985</v>
      </c>
      <c r="S81" s="900">
        <f ca="1">IF(N81="","",(INDEX(OFFSET(Arb!$U$2,,,Arb!$AJ$5,),N81)+INDEX(OFFSET(Arb!$V$2,,,Arb!$AJ$5,),N81))/P81)</f>
        <v>4.288840262582057</v>
      </c>
      <c r="T81" s="127">
        <f ca="1">INDEX(OFFSET(Arb!$AC$2,,,Arb!$AJ$5,),N81)/16</f>
        <v>171.6875</v>
      </c>
      <c r="U81" s="34">
        <f t="shared" ca="1" si="20"/>
        <v>7.513676148796498</v>
      </c>
      <c r="V81" s="21">
        <f t="shared" ca="1" si="21"/>
        <v>28.279043711006508</v>
      </c>
      <c r="W81" s="33">
        <f t="shared" ca="1" si="22"/>
        <v>0.41354204586821985</v>
      </c>
      <c r="X81" s="91">
        <f ca="1">DATE(INDEX(OFFSET(Arb!$C$2,,,Arb!$AJ$5,),N81),INDEX(OFFSET(Arb!$B$2,,,Arb!$AJ$5,),N81),INDEX(OFFSET(Arb!$A$2,,,Arb!$AJ$5,),N81))</f>
        <v>43817</v>
      </c>
      <c r="Y81" s="414">
        <v>5</v>
      </c>
      <c r="Z81" s="408">
        <v>3320</v>
      </c>
      <c r="AA81" s="433">
        <f ca="1">IF(Z81="",164,INDEX(OFFSET(Arb!$I$2,,,Arb!$AJ$5,),Z81))</f>
        <v>180</v>
      </c>
      <c r="AB81" s="692">
        <f ca="1">IF(Z81="",240,INDEX(OFFSET(Arb!$H$2,,,Arb!$AJ$5,),Z81))</f>
        <v>68.98</v>
      </c>
      <c r="AC81" s="908">
        <f t="shared" ca="1" si="23"/>
        <v>2.6094520150768337</v>
      </c>
      <c r="AD81" s="917">
        <f ca="1">IF(Z81="","",INDEX(OFFSET(Arb!$X$2,,,Arb!$AJ$5,),Z81)/AB81)</f>
        <v>3.203827196288779</v>
      </c>
      <c r="AE81" s="903">
        <f ca="1">IF(Z81="","",(INDEX(OFFSET(Arb!$U$2,,,Arb!$AJ$5,),Z81)+INDEX(OFFSET(Arb!$V$2,,,Arb!$AJ$5,),Z81))/AB81)</f>
        <v>3.5952449985503043</v>
      </c>
      <c r="AF81" s="127">
        <f ca="1">INDEX(OFFSET(Arb!$AC$2,,,Arb!$AJ$5,),Z81)/16</f>
        <v>489.25</v>
      </c>
      <c r="AG81" s="34">
        <f t="shared" ca="1" si="24"/>
        <v>7.0926355465352273</v>
      </c>
      <c r="AH81" s="21">
        <f t="shared" ca="1" si="25"/>
        <v>22.723578657354089</v>
      </c>
      <c r="AI81" s="33">
        <f t="shared" ca="1" si="26"/>
        <v>0.36791006642820645</v>
      </c>
      <c r="AJ81" s="91">
        <f ca="1">DATE(INDEX(OFFSET(Arb!$C$2,,,Arb!$AJ$5,),Z81),INDEX(OFFSET(Arb!$B$2,,,Arb!$AJ$5,),Z81),INDEX(OFFSET(Arb!$A$2,,,Arb!$AJ$5,),Z81))</f>
        <v>44095</v>
      </c>
    </row>
    <row r="82" spans="1:36" x14ac:dyDescent="0.25">
      <c r="A82" s="89">
        <v>6</v>
      </c>
      <c r="B82" s="408">
        <v>171</v>
      </c>
      <c r="C82" s="433">
        <f ca="1">IF(B82="",16,INDEX(OFFSET(Arb!$I$2,,,Arb!$AJ$5,),B82))</f>
        <v>19</v>
      </c>
      <c r="D82" s="682">
        <f ca="1">IF(B82="",10,INDEX(OFFSET(Arb!$H$2,,,Arb!$AJ$5,),B82))</f>
        <v>10.36</v>
      </c>
      <c r="E82" s="895">
        <f t="shared" ca="1" si="15"/>
        <v>1.8339768339768341</v>
      </c>
      <c r="F82" s="948">
        <f ca="1">IF(B82="","",INDEX(OFFSET(Arb!$X$2,,,Arb!$AJ$5,),B82)/D82)</f>
        <v>2.3166023166023169</v>
      </c>
      <c r="G82" s="897">
        <f ca="1">IF(B82="","",(INDEX(OFFSET(Arb!$U$2,,,Arb!$AJ$5,),B82)+INDEX(OFFSET(Arb!$V$2,,,Arb!$AJ$5,),B82))/D82)</f>
        <v>8.590733590733592</v>
      </c>
      <c r="H82" s="126">
        <f ca="1">INDEX(OFFSET(Arb!$AC$2,,,Arb!$AJ$5,),B82)/16</f>
        <v>43</v>
      </c>
      <c r="I82" s="34">
        <f t="shared" ca="1" si="16"/>
        <v>4.1505791505791505</v>
      </c>
      <c r="J82" s="21">
        <f t="shared" ca="1" si="17"/>
        <v>9.6152412754729362</v>
      </c>
      <c r="K82" s="33">
        <f t="shared" ca="1" si="18"/>
        <v>0.44186046511627908</v>
      </c>
      <c r="L82" s="88">
        <f ca="1">DATE(INDEX(OFFSET(Arb!$C$2,,,Arb!$AJ$5,),B82),INDEX(OFFSET(Arb!$B$2,,,Arb!$AJ$5,),B82),INDEX(OFFSET(Arb!$A$2,,,Arb!$AJ$5,),B82))</f>
        <v>43773</v>
      </c>
      <c r="M82" s="89">
        <v>6</v>
      </c>
      <c r="N82" s="408">
        <v>2248</v>
      </c>
      <c r="O82" s="433">
        <f ca="1">IF(N82="",64,INDEX(OFFSET(Arb!$I$2,,,Arb!$AJ$5,),N82))</f>
        <v>72</v>
      </c>
      <c r="P82" s="690">
        <f ca="1">IF(N82="",60,INDEX(OFFSET(Arb!$H$2,,,Arb!$AJ$5,),N82))</f>
        <v>28.07</v>
      </c>
      <c r="Q82" s="908">
        <f t="shared" ca="1" si="19"/>
        <v>2.5650160313501957</v>
      </c>
      <c r="R82" s="921">
        <f ca="1">IF(N82="","",INDEX(OFFSET(Arb!$X$2,,,Arb!$AJ$5,),N82)/P82)</f>
        <v>3.7050231563947276</v>
      </c>
      <c r="S82" s="907">
        <f ca="1">IF(N82="","",(INDEX(OFFSET(Arb!$U$2,,,Arb!$AJ$5,),N82)+INDEX(OFFSET(Arb!$V$2,,,Arb!$AJ$5,),N82))/P82)</f>
        <v>4.2394014962593518</v>
      </c>
      <c r="T82" s="127">
        <f ca="1">INDEX(OFFSET(Arb!$AC$2,,,Arb!$AJ$5,),N82)/16</f>
        <v>234.5625</v>
      </c>
      <c r="U82" s="34">
        <f t="shared" ca="1" si="20"/>
        <v>8.3563412896330593</v>
      </c>
      <c r="V82" s="21">
        <f t="shared" ca="1" si="21"/>
        <v>30.960437980827866</v>
      </c>
      <c r="W82" s="33">
        <f t="shared" ca="1" si="22"/>
        <v>0.30695443645083931</v>
      </c>
      <c r="X82" s="91">
        <f ca="1">DATE(INDEX(OFFSET(Arb!$C$2,,,Arb!$AJ$5,),N82),INDEX(OFFSET(Arb!$B$2,,,Arb!$AJ$5,),N82),INDEX(OFFSET(Arb!$A$2,,,Arb!$AJ$5,),N82))</f>
        <v>43894</v>
      </c>
      <c r="Y82" s="414">
        <v>6</v>
      </c>
      <c r="Z82" s="408">
        <v>2973</v>
      </c>
      <c r="AA82" s="433">
        <f ca="1">IF(Z82="",164,INDEX(OFFSET(Arb!$I$2,,,Arb!$AJ$5,),Z82))</f>
        <v>186</v>
      </c>
      <c r="AB82" s="679">
        <f ca="1">IF(Z82="",240,INDEX(OFFSET(Arb!$H$2,,,Arb!$AJ$5,),Z82))</f>
        <v>71.62</v>
      </c>
      <c r="AC82" s="908">
        <f t="shared" ca="1" si="23"/>
        <v>2.5970399329796146</v>
      </c>
      <c r="AD82" s="917">
        <f ca="1">IF(Z82="","",INDEX(OFFSET(Arb!$X$2,,,Arb!$AJ$5,),Z82)/AB82)</f>
        <v>3.225356045797263</v>
      </c>
      <c r="AE82" s="903">
        <f ca="1">IF(Z82="","",(INDEX(OFFSET(Arb!$U$2,,,Arb!$AJ$5,),Z82)+INDEX(OFFSET(Arb!$V$2,,,Arb!$AJ$5,),Z82))/AB82)</f>
        <v>3.5883831332030156</v>
      </c>
      <c r="AF82" s="127">
        <f ca="1">INDEX(OFFSET(Arb!$AC$2,,,Arb!$AJ$5,),Z82)/16</f>
        <v>498.75</v>
      </c>
      <c r="AG82" s="34">
        <f t="shared" ca="1" si="24"/>
        <v>6.9638369170622729</v>
      </c>
      <c r="AH82" s="21">
        <f t="shared" ca="1" si="25"/>
        <v>22.460853502392975</v>
      </c>
      <c r="AI82" s="33">
        <f t="shared" ca="1" si="26"/>
        <v>0.37293233082706767</v>
      </c>
      <c r="AJ82" s="91">
        <f ca="1">DATE(INDEX(OFFSET(Arb!$C$2,,,Arb!$AJ$5,),Z82),INDEX(OFFSET(Arb!$B$2,,,Arb!$AJ$5,),Z82),INDEX(OFFSET(Arb!$A$2,,,Arb!$AJ$5,),Z82))</f>
        <v>43954</v>
      </c>
    </row>
    <row r="83" spans="1:36" x14ac:dyDescent="0.25">
      <c r="A83" s="89">
        <v>7</v>
      </c>
      <c r="B83" s="408">
        <v>172</v>
      </c>
      <c r="C83" s="433">
        <f ca="1">IF(B83="",16,INDEX(OFFSET(Arb!$I$2,,,Arb!$AJ$5,),B83))</f>
        <v>11</v>
      </c>
      <c r="D83" s="679">
        <f ca="1">IF(B83="",10,INDEX(OFFSET(Arb!$H$2,,,Arb!$AJ$5,),B83))</f>
        <v>8.49</v>
      </c>
      <c r="E83" s="945">
        <f t="shared" ca="1" si="15"/>
        <v>1.2956419316843344</v>
      </c>
      <c r="F83" s="946">
        <f ca="1">IF(B83="","",INDEX(OFFSET(Arb!$X$2,,,Arb!$AJ$5,),B83)/D83)</f>
        <v>1.7667844522968197</v>
      </c>
      <c r="G83" s="897">
        <f ca="1">IF(B83="","",(INDEX(OFFSET(Arb!$U$2,,,Arb!$AJ$5,),B83)+INDEX(OFFSET(Arb!$V$2,,,Arb!$AJ$5,),B83))/D83)</f>
        <v>8.3627797408716127</v>
      </c>
      <c r="H83" s="126">
        <f ca="1">INDEX(OFFSET(Arb!$AC$2,,,Arb!$AJ$5,),B83)/16</f>
        <v>38.8125</v>
      </c>
      <c r="I83" s="34">
        <f t="shared" ca="1" si="16"/>
        <v>4.5715547703180208</v>
      </c>
      <c r="J83" s="21">
        <f t="shared" ca="1" si="17"/>
        <v>8.0769518910212383</v>
      </c>
      <c r="K83" s="33">
        <f t="shared" ca="1" si="18"/>
        <v>0.28341384863123992</v>
      </c>
      <c r="L83" s="88">
        <f ca="1">DATE(INDEX(OFFSET(Arb!$C$2,,,Arb!$AJ$5,),B83),INDEX(OFFSET(Arb!$B$2,,,Arb!$AJ$5,),B83),INDEX(OFFSET(Arb!$A$2,,,Arb!$AJ$5,),B83))</f>
        <v>43773</v>
      </c>
      <c r="M83" s="89">
        <v>7</v>
      </c>
      <c r="N83" s="408">
        <v>2064</v>
      </c>
      <c r="O83" s="433">
        <f ca="1">IF(N83="",64,INDEX(OFFSET(Arb!$I$2,,,Arb!$AJ$5,),N83))</f>
        <v>87</v>
      </c>
      <c r="P83" s="34">
        <f ca="1">IF(N83="",60,INDEX(OFFSET(Arb!$H$2,,,Arb!$AJ$5,),N83))</f>
        <v>32.11</v>
      </c>
      <c r="Q83" s="908">
        <f t="shared" ca="1" si="19"/>
        <v>2.7094363126751793</v>
      </c>
      <c r="R83" s="921">
        <f ca="1">IF(N83="","",INDEX(OFFSET(Arb!$X$2,,,Arb!$AJ$5,),N83)/P83)</f>
        <v>3.5814388041108689</v>
      </c>
      <c r="S83" s="907">
        <f ca="1">IF(N83="","",(INDEX(OFFSET(Arb!$U$2,,,Arb!$AJ$5,),N83)+INDEX(OFFSET(Arb!$V$2,,,Arb!$AJ$5,),N83))/P83)</f>
        <v>4.2354406726876359</v>
      </c>
      <c r="T83" s="127">
        <f ca="1">INDEX(OFFSET(Arb!$AC$2,,,Arb!$AJ$5,),N83)/16</f>
        <v>276</v>
      </c>
      <c r="U83" s="34">
        <f t="shared" ca="1" si="20"/>
        <v>8.595453129866085</v>
      </c>
      <c r="V83" s="21">
        <f t="shared" ca="1" si="21"/>
        <v>30.784089378218617</v>
      </c>
      <c r="W83" s="33">
        <f t="shared" ca="1" si="22"/>
        <v>0.31521739130434784</v>
      </c>
      <c r="X83" s="91">
        <f ca="1">DATE(INDEX(OFFSET(Arb!$C$2,,,Arb!$AJ$5,),N83),INDEX(OFFSET(Arb!$B$2,,,Arb!$AJ$5,),N83),INDEX(OFFSET(Arb!$A$2,,,Arb!$AJ$5,),N83))</f>
        <v>43800</v>
      </c>
      <c r="Y83" s="414">
        <v>7</v>
      </c>
      <c r="Z83" s="408">
        <v>2704</v>
      </c>
      <c r="AA83" s="433">
        <f ca="1">IF(Z83="",164,INDEX(OFFSET(Arb!$I$2,,,Arb!$AJ$5,),Z83))</f>
        <v>199</v>
      </c>
      <c r="AB83" s="682">
        <f ca="1">IF(Z83="",240,INDEX(OFFSET(Arb!$H$2,,,Arb!$AJ$5,),Z83))</f>
        <v>80.819999999999993</v>
      </c>
      <c r="AC83" s="926">
        <f t="shared" ca="1" si="23"/>
        <v>2.462261816382084</v>
      </c>
      <c r="AD83" s="917">
        <f ca="1">IF(Z83="","",INDEX(OFFSET(Arb!$X$2,,,Arb!$AJ$5,),Z83)/AB83)</f>
        <v>3.0932937391734723</v>
      </c>
      <c r="AE83" s="903">
        <f ca="1">IF(Z83="","",(INDEX(OFFSET(Arb!$U$2,,,Arb!$AJ$5,),Z83)+INDEX(OFFSET(Arb!$V$2,,,Arb!$AJ$5,),Z83))/AB83)</f>
        <v>3.5882207374412278</v>
      </c>
      <c r="AF83" s="127">
        <f ca="1">INDEX(OFFSET(Arb!$AC$2,,,Arb!$AJ$5,),Z83)/16</f>
        <v>578.625</v>
      </c>
      <c r="AG83" s="34">
        <f t="shared" ca="1" si="24"/>
        <v>7.1594283593170012</v>
      </c>
      <c r="AH83" s="21">
        <f t="shared" ca="1" si="25"/>
        <v>22.146214919936284</v>
      </c>
      <c r="AI83" s="33">
        <f t="shared" ca="1" si="26"/>
        <v>0.34391877295312162</v>
      </c>
      <c r="AJ83" s="91">
        <f ca="1">DATE(INDEX(OFFSET(Arb!$C$2,,,Arb!$AJ$5,),Z83),INDEX(OFFSET(Arb!$B$2,,,Arb!$AJ$5,),Z83),INDEX(OFFSET(Arb!$A$2,,,Arb!$AJ$5,),Z83))</f>
        <v>43841</v>
      </c>
    </row>
    <row r="84" spans="1:36" x14ac:dyDescent="0.25">
      <c r="A84" s="89">
        <v>8</v>
      </c>
      <c r="B84" s="408">
        <v>170</v>
      </c>
      <c r="C84" s="433">
        <f ca="1">IF(B84="",16,INDEX(OFFSET(Arb!$I$2,,,Arb!$AJ$5,),B84))</f>
        <v>11</v>
      </c>
      <c r="D84" s="679">
        <f ca="1">IF(B84="",10,INDEX(OFFSET(Arb!$H$2,,,Arb!$AJ$5,),B84))</f>
        <v>8.7899999999999991</v>
      </c>
      <c r="E84" s="945">
        <f t="shared" ca="1" si="15"/>
        <v>1.2514220705346986</v>
      </c>
      <c r="F84" s="946">
        <f ca="1">IF(B84="","",INDEX(OFFSET(Arb!$X$2,,,Arb!$AJ$5,),B84)/D84)</f>
        <v>1.8202502844141071</v>
      </c>
      <c r="G84" s="897">
        <f ca="1">IF(B84="","",(INDEX(OFFSET(Arb!$U$2,,,Arb!$AJ$5,),B84)+INDEX(OFFSET(Arb!$V$2,,,Arb!$AJ$5,),B84))/D84)</f>
        <v>8.3048919226393636</v>
      </c>
      <c r="H84" s="126">
        <f ca="1">INDEX(OFFSET(Arb!$AC$2,,,Arb!$AJ$5,),B84)/16</f>
        <v>42.4375</v>
      </c>
      <c r="I84" s="34">
        <f t="shared" ca="1" si="16"/>
        <v>4.8279294653014793</v>
      </c>
      <c r="J84" s="21">
        <f t="shared" ca="1" si="17"/>
        <v>8.788039982346266</v>
      </c>
      <c r="K84" s="33">
        <f t="shared" ca="1" si="18"/>
        <v>0.25920471281296026</v>
      </c>
      <c r="L84" s="88">
        <f ca="1">DATE(INDEX(OFFSET(Arb!$C$2,,,Arb!$AJ$5,),B84),INDEX(OFFSET(Arb!$B$2,,,Arb!$AJ$5,),B84),INDEX(OFFSET(Arb!$A$2,,,Arb!$AJ$5,),B84))</f>
        <v>43773</v>
      </c>
      <c r="M84" s="89">
        <v>8</v>
      </c>
      <c r="N84" s="408">
        <v>1989</v>
      </c>
      <c r="O84" s="433">
        <f ca="1">IF(N84="",64,INDEX(OFFSET(Arb!$I$2,,,Arb!$AJ$5,),N84))</f>
        <v>80</v>
      </c>
      <c r="P84" s="690">
        <f ca="1">IF(N84="",60,INDEX(OFFSET(Arb!$H$2,,,Arb!$AJ$5,),N84))</f>
        <v>28.37</v>
      </c>
      <c r="Q84" s="901">
        <f t="shared" ca="1" si="19"/>
        <v>2.8198801550934083</v>
      </c>
      <c r="R84" s="921">
        <f ca="1">IF(N84="","",INDEX(OFFSET(Arb!$X$2,,,Arb!$AJ$5,),N84)/P84)</f>
        <v>3.7010927035600987</v>
      </c>
      <c r="S84" s="907">
        <f ca="1">IF(N84="","",(INDEX(OFFSET(Arb!$U$2,,,Arb!$AJ$5,),N84)+INDEX(OFFSET(Arb!$V$2,,,Arb!$AJ$5,),N84))/P84)</f>
        <v>4.194571730701445</v>
      </c>
      <c r="T84" s="127">
        <f ca="1">INDEX(OFFSET(Arb!$AC$2,,,Arb!$AJ$5,),N84)/16</f>
        <v>266</v>
      </c>
      <c r="U84" s="34">
        <f t="shared" ca="1" si="20"/>
        <v>9.3761015156855834</v>
      </c>
      <c r="V84" s="21">
        <f t="shared" ca="1" si="21"/>
        <v>34.701820907542697</v>
      </c>
      <c r="W84" s="33">
        <f t="shared" ca="1" si="22"/>
        <v>0.3007518796992481</v>
      </c>
      <c r="X84" s="91">
        <f ca="1">DATE(INDEX(OFFSET(Arb!$C$2,,,Arb!$AJ$5,),N84),INDEX(OFFSET(Arb!$B$2,,,Arb!$AJ$5,),N84),INDEX(OFFSET(Arb!$A$2,,,Arb!$AJ$5,),N84))</f>
        <v>43784</v>
      </c>
      <c r="Y84" s="414">
        <v>8</v>
      </c>
      <c r="Z84" s="408">
        <v>3221</v>
      </c>
      <c r="AA84" s="433">
        <f ca="1">IF(Z84="",164,INDEX(OFFSET(Arb!$I$2,,,Arb!$AJ$5,),Z84))</f>
        <v>184</v>
      </c>
      <c r="AB84" s="679">
        <f ca="1">IF(Z84="",240,INDEX(OFFSET(Arb!$H$2,,,Arb!$AJ$5,),Z84))</f>
        <v>69.84</v>
      </c>
      <c r="AC84" s="908">
        <f t="shared" ca="1" si="23"/>
        <v>2.6345933562428407</v>
      </c>
      <c r="AD84" s="917">
        <f ca="1">IF(Z84="","",INDEX(OFFSET(Arb!$X$2,,,Arb!$AJ$5,),Z84)/AB84)</f>
        <v>3.1500572737686139</v>
      </c>
      <c r="AE84" s="903">
        <f ca="1">IF(Z84="","",(INDEX(OFFSET(Arb!$U$2,,,Arb!$AJ$5,),Z84)+INDEX(OFFSET(Arb!$V$2,,,Arb!$AJ$5,),Z84))/AB84)</f>
        <v>3.5796105383734247</v>
      </c>
      <c r="AF84" s="127">
        <f ca="1">INDEX(OFFSET(Arb!$AC$2,,,Arb!$AJ$5,),Z84)/16</f>
        <v>510.375</v>
      </c>
      <c r="AG84" s="34">
        <f t="shared" ca="1" si="24"/>
        <v>7.3077749140893467</v>
      </c>
      <c r="AH84" s="21">
        <f t="shared" ca="1" si="25"/>
        <v>23.019909523190954</v>
      </c>
      <c r="AI84" s="33">
        <f t="shared" ca="1" si="26"/>
        <v>0.36051922605927017</v>
      </c>
      <c r="AJ84" s="91">
        <f ca="1">DATE(INDEX(OFFSET(Arb!$C$2,,,Arb!$AJ$5,),Z84),INDEX(OFFSET(Arb!$B$2,,,Arb!$AJ$5,),Z84),INDEX(OFFSET(Arb!$A$2,,,Arb!$AJ$5,),Z84))</f>
        <v>44060</v>
      </c>
    </row>
    <row r="85" spans="1:36" x14ac:dyDescent="0.25">
      <c r="A85" s="89">
        <v>9</v>
      </c>
      <c r="B85" s="408">
        <v>178</v>
      </c>
      <c r="C85" s="433">
        <f ca="1">IF(B85="",16,INDEX(OFFSET(Arb!$I$2,,,Arb!$AJ$5,),B85))</f>
        <v>23</v>
      </c>
      <c r="D85" s="559">
        <f ca="1">IF(B85="",10,INDEX(OFFSET(Arb!$H$2,,,Arb!$AJ$5,),B85))</f>
        <v>12.41</v>
      </c>
      <c r="E85" s="895">
        <f t="shared" ca="1" si="15"/>
        <v>1.8533440773569703</v>
      </c>
      <c r="F85" s="949">
        <f ca="1">IF(B85="","",INDEX(OFFSET(Arb!$X$2,,,Arb!$AJ$5,),B85)/D85)</f>
        <v>2.17566478646253</v>
      </c>
      <c r="G85" s="897">
        <f ca="1">IF(B85="","",(INDEX(OFFSET(Arb!$U$2,,,Arb!$AJ$5,),B85)+INDEX(OFFSET(Arb!$V$2,,,Arb!$AJ$5,),B85))/D85)</f>
        <v>8.058017727639001</v>
      </c>
      <c r="H85" s="126">
        <f ca="1">INDEX(OFFSET(Arb!$AC$2,,,Arb!$AJ$5,),B85)/16</f>
        <v>55.5625</v>
      </c>
      <c r="I85" s="34">
        <f t="shared" ca="1" si="16"/>
        <v>4.4772360999194198</v>
      </c>
      <c r="J85" s="21">
        <f t="shared" ca="1" si="17"/>
        <v>9.7409649232735145</v>
      </c>
      <c r="K85" s="33">
        <f t="shared" ca="1" si="18"/>
        <v>0.41394825646794153</v>
      </c>
      <c r="L85" s="88">
        <f ca="1">DATE(INDEX(OFFSET(Arb!$C$2,,,Arb!$AJ$5,),B85),INDEX(OFFSET(Arb!$B$2,,,Arb!$AJ$5,),B85),INDEX(OFFSET(Arb!$A$2,,,Arb!$AJ$5,),B85))</f>
        <v>43773</v>
      </c>
      <c r="M85" s="89">
        <v>9</v>
      </c>
      <c r="N85" s="408">
        <v>1930</v>
      </c>
      <c r="O85" s="433">
        <f ca="1">IF(N85="",64,INDEX(OFFSET(Arb!$I$2,,,Arb!$AJ$5,),N85))</f>
        <v>89</v>
      </c>
      <c r="P85" s="690">
        <f ca="1">IF(N85="",60,INDEX(OFFSET(Arb!$H$2,,,Arb!$AJ$5,),N85))</f>
        <v>29.4</v>
      </c>
      <c r="Q85" s="898">
        <f t="shared" ca="1" si="19"/>
        <v>3.0272108843537415</v>
      </c>
      <c r="R85" s="921">
        <f ca="1">IF(N85="","",INDEX(OFFSET(Arb!$X$2,,,Arb!$AJ$5,),N85)/P85)</f>
        <v>3.7414965986394559</v>
      </c>
      <c r="S85" s="907">
        <f ca="1">IF(N85="","",(INDEX(OFFSET(Arb!$U$2,,,Arb!$AJ$5,),N85)+INDEX(OFFSET(Arb!$V$2,,,Arb!$AJ$5,),N85))/P85)</f>
        <v>4.1836734693877551</v>
      </c>
      <c r="T85" s="127">
        <f ca="1">INDEX(OFFSET(Arb!$AC$2,,,Arb!$AJ$5,),N85)/16</f>
        <v>248.125</v>
      </c>
      <c r="U85" s="34">
        <f t="shared" ca="1" si="20"/>
        <v>8.4396258503401373</v>
      </c>
      <c r="V85" s="21">
        <f t="shared" ca="1" si="21"/>
        <v>31.576831412837251</v>
      </c>
      <c r="W85" s="33">
        <f t="shared" ca="1" si="22"/>
        <v>0.35869017632241812</v>
      </c>
      <c r="X85" s="91">
        <f ca="1">DATE(INDEX(OFFSET(Arb!$C$2,,,Arb!$AJ$5,),N85),INDEX(OFFSET(Arb!$B$2,,,Arb!$AJ$5,),N85),INDEX(OFFSET(Arb!$A$2,,,Arb!$AJ$5,),N85))</f>
        <v>43771</v>
      </c>
      <c r="Y85" s="414">
        <v>9</v>
      </c>
      <c r="Z85" s="408">
        <v>3361</v>
      </c>
      <c r="AA85" s="433">
        <f ca="1">IF(Z85="",164,INDEX(OFFSET(Arb!$I$2,,,Arb!$AJ$5,),Z85))</f>
        <v>183</v>
      </c>
      <c r="AB85" s="680">
        <f ca="1">IF(Z85="",240,INDEX(OFFSET(Arb!$H$2,,,Arb!$AJ$5,),Z85))</f>
        <v>77.790000000000006</v>
      </c>
      <c r="AC85" s="926">
        <f t="shared" ca="1" si="23"/>
        <v>2.3524874662553024</v>
      </c>
      <c r="AD85" s="947">
        <f ca="1">IF(Z85="","",INDEX(OFFSET(Arb!$X$2,,,Arb!$AJ$5,),Z85)/AB85)</f>
        <v>2.7124309037151302</v>
      </c>
      <c r="AE85" s="903">
        <f ca="1">IF(Z85="","",(INDEX(OFFSET(Arb!$U$2,,,Arb!$AJ$5,),Z85)+INDEX(OFFSET(Arb!$V$2,,,Arb!$AJ$5,),Z85))/AB85)</f>
        <v>3.5737241290654325</v>
      </c>
      <c r="AF85" s="127">
        <f ca="1">INDEX(OFFSET(Arb!$AC$2,,,Arb!$AJ$5,),Z85)/16</f>
        <v>567.4375</v>
      </c>
      <c r="AG85" s="34">
        <f t="shared" ca="1" si="24"/>
        <v>7.294478724771821</v>
      </c>
      <c r="AH85" s="21">
        <f t="shared" ca="1" si="25"/>
        <v>19.785769519563623</v>
      </c>
      <c r="AI85" s="33">
        <f t="shared" ca="1" si="26"/>
        <v>0.32250247824650291</v>
      </c>
      <c r="AJ85" s="91">
        <f ca="1">DATE(INDEX(OFFSET(Arb!$C$2,,,Arb!$AJ$5,),Z85),INDEX(OFFSET(Arb!$B$2,,,Arb!$AJ$5,),Z85),INDEX(OFFSET(Arb!$A$2,,,Arb!$AJ$5,),Z85))</f>
        <v>44100</v>
      </c>
    </row>
    <row r="86" spans="1:36" x14ac:dyDescent="0.25">
      <c r="A86" s="89">
        <v>10</v>
      </c>
      <c r="B86" s="408">
        <v>173</v>
      </c>
      <c r="C86" s="433">
        <f ca="1">IF(B86="",16,INDEX(OFFSET(Arb!$I$2,,,Arb!$AJ$5,),B86))</f>
        <v>12</v>
      </c>
      <c r="D86" s="682">
        <f ca="1">IF(B86="",10,INDEX(OFFSET(Arb!$H$2,,,Arb!$AJ$5,),B86))</f>
        <v>10.68</v>
      </c>
      <c r="E86" s="945">
        <f t="shared" ca="1" si="15"/>
        <v>1.1235955056179776</v>
      </c>
      <c r="F86" s="946">
        <f ca="1">IF(B86="","",INDEX(OFFSET(Arb!$X$2,,,Arb!$AJ$5,),B86)/D86)</f>
        <v>1.7790262172284645</v>
      </c>
      <c r="G86" s="950">
        <f ca="1">IF(B86="","",(INDEX(OFFSET(Arb!$U$2,,,Arb!$AJ$5,),B86)+INDEX(OFFSET(Arb!$V$2,,,Arb!$AJ$5,),B86))/D86)</f>
        <v>7.5842696629213489</v>
      </c>
      <c r="H86" s="126">
        <f ca="1">INDEX(OFFSET(Arb!$AC$2,,,Arb!$AJ$5,),B86)/16</f>
        <v>48.5625</v>
      </c>
      <c r="I86" s="34">
        <f t="shared" ca="1" si="16"/>
        <v>4.5470505617977528</v>
      </c>
      <c r="J86" s="21">
        <f t="shared" ca="1" si="17"/>
        <v>8.0893221605016201</v>
      </c>
      <c r="K86" s="33">
        <f t="shared" ca="1" si="18"/>
        <v>0.24710424710424711</v>
      </c>
      <c r="L86" s="88">
        <f ca="1">DATE(INDEX(OFFSET(Arb!$C$2,,,Arb!$AJ$5,),B86),INDEX(OFFSET(Arb!$B$2,,,Arb!$AJ$5,),B86),INDEX(OFFSET(Arb!$A$2,,,Arb!$AJ$5,),B86))</f>
        <v>43773</v>
      </c>
      <c r="M86" s="89">
        <v>10</v>
      </c>
      <c r="N86" s="408">
        <v>2224</v>
      </c>
      <c r="O86" s="433">
        <f ca="1">IF(N86="",64,INDEX(OFFSET(Arb!$I$2,,,Arb!$AJ$5,),N86))</f>
        <v>80</v>
      </c>
      <c r="P86" s="690">
        <f ca="1">IF(N86="",60,INDEX(OFFSET(Arb!$H$2,,,Arb!$AJ$5,),N86))</f>
        <v>28.21</v>
      </c>
      <c r="Q86" s="901">
        <f t="shared" ca="1" si="19"/>
        <v>2.8358738036157392</v>
      </c>
      <c r="R86" s="921">
        <f ca="1">IF(N86="","",INDEX(OFFSET(Arb!$X$2,,,Arb!$AJ$5,),N86)/P86)</f>
        <v>3.5802906770648706</v>
      </c>
      <c r="S86" s="907">
        <f ca="1">IF(N86="","",(INDEX(OFFSET(Arb!$U$2,,,Arb!$AJ$5,),N86)+INDEX(OFFSET(Arb!$V$2,,,Arb!$AJ$5,),N86))/P86)</f>
        <v>4.1829138603332154</v>
      </c>
      <c r="T86" s="127">
        <f ca="1">INDEX(OFFSET(Arb!$AC$2,,,Arb!$AJ$5,),N86)/16</f>
        <v>224.5625</v>
      </c>
      <c r="U86" s="34">
        <f t="shared" ca="1" si="20"/>
        <v>7.9603863878057428</v>
      </c>
      <c r="V86" s="21">
        <f t="shared" ca="1" si="21"/>
        <v>28.500497170095002</v>
      </c>
      <c r="W86" s="33">
        <f t="shared" ca="1" si="22"/>
        <v>0.35624826050654052</v>
      </c>
      <c r="X86" s="91">
        <f ca="1">DATE(INDEX(OFFSET(Arb!$C$2,,,Arb!$AJ$5,),N86),INDEX(OFFSET(Arb!$B$2,,,Arb!$AJ$5,),N86),INDEX(OFFSET(Arb!$A$2,,,Arb!$AJ$5,),N86))</f>
        <v>43870</v>
      </c>
      <c r="Y86" s="414">
        <v>10</v>
      </c>
      <c r="Z86" s="408">
        <v>2852</v>
      </c>
      <c r="AA86" s="433">
        <f ca="1">IF(Z86="",164,INDEX(OFFSET(Arb!$I$2,,,Arb!$AJ$5,),Z86))</f>
        <v>138</v>
      </c>
      <c r="AB86" s="692">
        <f ca="1">IF(Z86="",240,INDEX(OFFSET(Arb!$H$2,,,Arb!$AJ$5,),Z86))</f>
        <v>67.52</v>
      </c>
      <c r="AC86" s="951">
        <f t="shared" ca="1" si="23"/>
        <v>2.0438388625592419</v>
      </c>
      <c r="AD86" s="952">
        <f ca="1">IF(Z86="","",INDEX(OFFSET(Arb!$X$2,,,Arb!$AJ$5,),Z86)/AB86)</f>
        <v>2.9768957345971567</v>
      </c>
      <c r="AE86" s="903">
        <f ca="1">IF(Z86="","",(INDEX(OFFSET(Arb!$U$2,,,Arb!$AJ$5,),Z86)+INDEX(OFFSET(Arb!$V$2,,,Arb!$AJ$5,),Z86))/AB86)</f>
        <v>3.5693127962085311</v>
      </c>
      <c r="AF86" s="127">
        <f ca="1">INDEX(OFFSET(Arb!$AC$2,,,Arb!$AJ$5,),Z86)/16</f>
        <v>470.8125</v>
      </c>
      <c r="AG86" s="34">
        <f t="shared" ca="1" si="24"/>
        <v>6.9729339454976307</v>
      </c>
      <c r="AH86" s="21">
        <f t="shared" ca="1" si="25"/>
        <v>20.75769731997962</v>
      </c>
      <c r="AI86" s="33">
        <f t="shared" ca="1" si="26"/>
        <v>0.29311031461569098</v>
      </c>
      <c r="AJ86" s="91">
        <f ca="1">DATE(INDEX(OFFSET(Arb!$C$2,,,Arb!$AJ$5,),Z86),INDEX(OFFSET(Arb!$B$2,,,Arb!$AJ$5,),Z86),INDEX(OFFSET(Arb!$A$2,,,Arb!$AJ$5,),Z86))</f>
        <v>43905</v>
      </c>
    </row>
    <row r="87" spans="1:36" x14ac:dyDescent="0.25">
      <c r="A87" s="89">
        <v>11</v>
      </c>
      <c r="B87" s="408">
        <v>179</v>
      </c>
      <c r="C87" s="433">
        <f ca="1">IF(B87="",16,INDEX(OFFSET(Arb!$I$2,,,Arb!$AJ$5,),B87))</f>
        <v>12</v>
      </c>
      <c r="D87" s="559">
        <f ca="1">IF(B87="",10,INDEX(OFFSET(Arb!$H$2,,,Arb!$AJ$5,),B87))</f>
        <v>5.96</v>
      </c>
      <c r="E87" s="951">
        <f t="shared" ca="1" si="15"/>
        <v>2.0134228187919465</v>
      </c>
      <c r="F87" s="948">
        <f ca="1">IF(B87="","",INDEX(OFFSET(Arb!$X$2,,,Arb!$AJ$5,),B87)/D87)</f>
        <v>2.348993288590604</v>
      </c>
      <c r="G87" s="950">
        <f ca="1">IF(B87="","",(INDEX(OFFSET(Arb!$U$2,,,Arb!$AJ$5,),B87)+INDEX(OFFSET(Arb!$V$2,,,Arb!$AJ$5,),B87))/D87)</f>
        <v>7.550335570469799</v>
      </c>
      <c r="H87" s="126">
        <f ca="1">INDEX(OFFSET(Arb!$AC$2,,,Arb!$AJ$5,),B87)/16</f>
        <v>35.1875</v>
      </c>
      <c r="I87" s="34">
        <f t="shared" ca="1" si="16"/>
        <v>5.9039429530201346</v>
      </c>
      <c r="J87" s="21">
        <f t="shared" ca="1" si="17"/>
        <v>13.868322372866087</v>
      </c>
      <c r="K87" s="33">
        <f t="shared" ca="1" si="18"/>
        <v>0.34103019538188278</v>
      </c>
      <c r="L87" s="88">
        <f ca="1">DATE(INDEX(OFFSET(Arb!$C$2,,,Arb!$AJ$5,),B87),INDEX(OFFSET(Arb!$B$2,,,Arb!$AJ$5,),B87),INDEX(OFFSET(Arb!$A$2,,,Arb!$AJ$5,),B87))</f>
        <v>43773</v>
      </c>
      <c r="M87" s="89">
        <v>11</v>
      </c>
      <c r="N87" s="408">
        <v>2331</v>
      </c>
      <c r="O87" s="433">
        <f ca="1">IF(N87="",64,INDEX(OFFSET(Arb!$I$2,,,Arb!$AJ$5,),N87))</f>
        <v>80</v>
      </c>
      <c r="P87" s="682">
        <f ca="1">IF(N87="",60,INDEX(OFFSET(Arb!$H$2,,,Arb!$AJ$5,),N87))</f>
        <v>26.8</v>
      </c>
      <c r="Q87" s="901">
        <f t="shared" ca="1" si="19"/>
        <v>2.9850746268656714</v>
      </c>
      <c r="R87" s="921">
        <f ca="1">IF(N87="","",INDEX(OFFSET(Arb!$X$2,,,Arb!$AJ$5,),N87)/P87)</f>
        <v>3.6940298507462686</v>
      </c>
      <c r="S87" s="907">
        <f ca="1">IF(N87="","",(INDEX(OFFSET(Arb!$U$2,,,Arb!$AJ$5,),N87)+INDEX(OFFSET(Arb!$V$2,,,Arb!$AJ$5,),N87))/P87)</f>
        <v>4.1791044776119399</v>
      </c>
      <c r="T87" s="127">
        <f ca="1">INDEX(OFFSET(Arb!$AC$2,,,Arb!$AJ$5,),N87)/16</f>
        <v>219.8125</v>
      </c>
      <c r="U87" s="34">
        <f t="shared" ca="1" si="20"/>
        <v>8.2019589552238799</v>
      </c>
      <c r="V87" s="21">
        <f t="shared" ca="1" si="21"/>
        <v>30.298281215192688</v>
      </c>
      <c r="W87" s="33">
        <f t="shared" ca="1" si="22"/>
        <v>0.36394654535115156</v>
      </c>
      <c r="X87" s="91">
        <f ca="1">DATE(INDEX(OFFSET(Arb!$C$2,,,Arb!$AJ$5,),N87),INDEX(OFFSET(Arb!$B$2,,,Arb!$AJ$5,),N87),INDEX(OFFSET(Arb!$A$2,,,Arb!$AJ$5,),N87))</f>
        <v>44093</v>
      </c>
      <c r="Y87" s="414">
        <v>11</v>
      </c>
      <c r="Z87" s="408">
        <v>2980</v>
      </c>
      <c r="AA87" s="433">
        <f ca="1">IF(Z87="",164,INDEX(OFFSET(Arb!$I$2,,,Arb!$AJ$5,),Z87))</f>
        <v>155</v>
      </c>
      <c r="AB87" s="691">
        <f ca="1">IF(Z87="",240,INDEX(OFFSET(Arb!$H$2,,,Arb!$AJ$5,),Z87))</f>
        <v>65.03</v>
      </c>
      <c r="AC87" s="926">
        <f t="shared" ca="1" si="23"/>
        <v>2.3835153006304783</v>
      </c>
      <c r="AD87" s="917">
        <f ca="1">IF(Z87="","",INDEX(OFFSET(Arb!$X$2,,,Arb!$AJ$5,),Z87)/AB87)</f>
        <v>3.0447485775795786</v>
      </c>
      <c r="AE87" s="903">
        <f ca="1">IF(Z87="","",(INDEX(OFFSET(Arb!$U$2,,,Arb!$AJ$5,),Z87)+INDEX(OFFSET(Arb!$V$2,,,Arb!$AJ$5,),Z87))/AB87)</f>
        <v>3.5675841919114255</v>
      </c>
      <c r="AF87" s="127">
        <f ca="1">INDEX(OFFSET(Arb!$AC$2,,,Arb!$AJ$5,),Z87)/16</f>
        <v>468.625</v>
      </c>
      <c r="AG87" s="34">
        <f t="shared" ca="1" si="24"/>
        <v>7.2062894048900503</v>
      </c>
      <c r="AH87" s="21">
        <f t="shared" ca="1" si="25"/>
        <v>21.941339415165768</v>
      </c>
      <c r="AI87" s="33">
        <f t="shared" ca="1" si="26"/>
        <v>0.33075486796479059</v>
      </c>
      <c r="AJ87" s="91">
        <f ca="1">DATE(INDEX(OFFSET(Arb!$C$2,,,Arb!$AJ$5,),Z87),INDEX(OFFSET(Arb!$B$2,,,Arb!$AJ$5,),Z87),INDEX(OFFSET(Arb!$A$2,,,Arb!$AJ$5,),Z87))</f>
        <v>43956</v>
      </c>
    </row>
    <row r="88" spans="1:36" x14ac:dyDescent="0.25">
      <c r="A88" s="89">
        <v>12</v>
      </c>
      <c r="B88" s="408">
        <v>175</v>
      </c>
      <c r="C88" s="433">
        <f ca="1">IF(B88="",16,INDEX(OFFSET(Arb!$I$2,,,Arb!$AJ$5,),B88))</f>
        <v>13</v>
      </c>
      <c r="D88" s="682">
        <f ca="1">IF(B88="",10,INDEX(OFFSET(Arb!$H$2,,,Arb!$AJ$5,),B88))</f>
        <v>10.15</v>
      </c>
      <c r="E88" s="945">
        <f t="shared" ca="1" si="15"/>
        <v>1.2807881773399015</v>
      </c>
      <c r="F88" s="946">
        <f ca="1">IF(B88="","",INDEX(OFFSET(Arb!$X$2,,,Arb!$AJ$5,),B88)/D88)</f>
        <v>1.8719211822660098</v>
      </c>
      <c r="G88" s="953">
        <f ca="1">IF(B88="","",(INDEX(OFFSET(Arb!$U$2,,,Arb!$AJ$5,),B88)+INDEX(OFFSET(Arb!$V$2,,,Arb!$AJ$5,),B88))/D88)</f>
        <v>7.2906403940886699</v>
      </c>
      <c r="H88" s="126">
        <f ca="1">INDEX(OFFSET(Arb!$AC$2,,,Arb!$AJ$5,),B88)/16</f>
        <v>46.875</v>
      </c>
      <c r="I88" s="34">
        <f t="shared" ca="1" si="16"/>
        <v>4.6182266009852215</v>
      </c>
      <c r="J88" s="21">
        <f t="shared" ca="1" si="17"/>
        <v>8.6449561988885915</v>
      </c>
      <c r="K88" s="33">
        <f t="shared" ca="1" si="18"/>
        <v>0.27733333333333332</v>
      </c>
      <c r="L88" s="88">
        <f ca="1">DATE(INDEX(OFFSET(Arb!$C$2,,,Arb!$AJ$5,),B88),INDEX(OFFSET(Arb!$B$2,,,Arb!$AJ$5,),B88),INDEX(OFFSET(Arb!$A$2,,,Arb!$AJ$5,),B88))</f>
        <v>43773</v>
      </c>
      <c r="M88" s="89">
        <v>12</v>
      </c>
      <c r="N88" s="408">
        <v>2055</v>
      </c>
      <c r="O88" s="433">
        <f ca="1">IF(N88="",64,INDEX(OFFSET(Arb!$I$2,,,Arb!$AJ$5,),N88))</f>
        <v>77</v>
      </c>
      <c r="P88" s="680">
        <f ca="1">IF(N88="",60,INDEX(OFFSET(Arb!$H$2,,,Arb!$AJ$5,),N88))</f>
        <v>25.45</v>
      </c>
      <c r="Q88" s="898">
        <f t="shared" ca="1" si="19"/>
        <v>3.0255402750491158</v>
      </c>
      <c r="R88" s="899">
        <f ca="1">IF(N88="","",INDEX(OFFSET(Arb!$X$2,,,Arb!$AJ$5,),N88)/P88)</f>
        <v>3.7721021611001966</v>
      </c>
      <c r="S88" s="907">
        <f ca="1">IF(N88="","",(INDEX(OFFSET(Arb!$U$2,,,Arb!$AJ$5,),N88)+INDEX(OFFSET(Arb!$V$2,,,Arb!$AJ$5,),N88))/P88)</f>
        <v>4.1650294695481334</v>
      </c>
      <c r="T88" s="127">
        <f ca="1">INDEX(OFFSET(Arb!$AC$2,,,Arb!$AJ$5,),N88)/16</f>
        <v>206.3125</v>
      </c>
      <c r="U88" s="34">
        <f t="shared" ca="1" si="20"/>
        <v>8.106581532416504</v>
      </c>
      <c r="V88" s="21">
        <f t="shared" ca="1" si="21"/>
        <v>30.578853717563238</v>
      </c>
      <c r="W88" s="33">
        <f t="shared" ca="1" si="22"/>
        <v>0.37322023629203271</v>
      </c>
      <c r="X88" s="91">
        <f ca="1">DATE(INDEX(OFFSET(Arb!$C$2,,,Arb!$AJ$5,),N88),INDEX(OFFSET(Arb!$B$2,,,Arb!$AJ$5,),N88),INDEX(OFFSET(Arb!$A$2,,,Arb!$AJ$5,),N88))</f>
        <v>43800</v>
      </c>
      <c r="Y88" s="414">
        <v>12</v>
      </c>
      <c r="Z88" s="408">
        <v>3269</v>
      </c>
      <c r="AA88" s="433">
        <f ca="1">IF(Z88="",164,INDEX(OFFSET(Arb!$I$2,,,Arb!$AJ$5,),Z88))</f>
        <v>165</v>
      </c>
      <c r="AB88" s="691">
        <f ca="1">IF(Z88="",240,INDEX(OFFSET(Arb!$H$2,,,Arb!$AJ$5,),Z88))</f>
        <v>66.180000000000007</v>
      </c>
      <c r="AC88" s="926">
        <f t="shared" ca="1" si="23"/>
        <v>2.4932003626473254</v>
      </c>
      <c r="AD88" s="917">
        <f ca="1">IF(Z88="","",INDEX(OFFSET(Arb!$X$2,,,Arb!$AJ$5,),Z88)/AB88)</f>
        <v>3.082502266545784</v>
      </c>
      <c r="AE88" s="903">
        <f ca="1">IF(Z88="","",(INDEX(OFFSET(Arb!$U$2,,,Arb!$AJ$5,),Z88)+INDEX(OFFSET(Arb!$V$2,,,Arb!$AJ$5,),Z88))/AB88)</f>
        <v>3.5660320338470832</v>
      </c>
      <c r="AF88" s="127">
        <f ca="1">INDEX(OFFSET(Arb!$AC$2,,,Arb!$AJ$5,),Z88)/16</f>
        <v>464.1875</v>
      </c>
      <c r="AG88" s="34">
        <f t="shared" ca="1" si="24"/>
        <v>7.0140148080991231</v>
      </c>
      <c r="AH88" s="21">
        <f t="shared" ca="1" si="25"/>
        <v>21.620716543551239</v>
      </c>
      <c r="AI88" s="33">
        <f t="shared" ca="1" si="26"/>
        <v>0.35545980880570888</v>
      </c>
      <c r="AJ88" s="91">
        <f ca="1">DATE(INDEX(OFFSET(Arb!$C$2,,,Arb!$AJ$5,),Z88),INDEX(OFFSET(Arb!$B$2,,,Arb!$AJ$5,),Z88),INDEX(OFFSET(Arb!$A$2,,,Arb!$AJ$5,),Z88))</f>
        <v>44074</v>
      </c>
    </row>
    <row r="89" spans="1:36" x14ac:dyDescent="0.25">
      <c r="A89" s="89">
        <v>13</v>
      </c>
      <c r="B89" s="408">
        <v>168</v>
      </c>
      <c r="C89" s="433">
        <f ca="1">IF(B89="",16,INDEX(OFFSET(Arb!$I$2,,,Arb!$AJ$5,),B89))</f>
        <v>13</v>
      </c>
      <c r="D89" s="691">
        <f ca="1">IF(B89="",10,INDEX(OFFSET(Arb!$H$2,,,Arb!$AJ$5,),B89))</f>
        <v>7.13</v>
      </c>
      <c r="E89" s="895">
        <f t="shared" ca="1" si="15"/>
        <v>1.8232819074333801</v>
      </c>
      <c r="F89" s="949">
        <f ca="1">IF(B89="","",INDEX(OFFSET(Arb!$X$2,,,Arb!$AJ$5,),B89)/D89)</f>
        <v>2.244039270687237</v>
      </c>
      <c r="G89" s="954">
        <f ca="1">IF(B89="","",(INDEX(OFFSET(Arb!$U$2,,,Arb!$AJ$5,),B89)+INDEX(OFFSET(Arb!$V$2,,,Arb!$AJ$5,),B89))/D89)</f>
        <v>6.8723702664796633</v>
      </c>
      <c r="H89" s="126">
        <f ca="1">INDEX(OFFSET(Arb!$AC$2,,,Arb!$AJ$5,),B89)/16</f>
        <v>37</v>
      </c>
      <c r="I89" s="34">
        <f t="shared" ca="1" si="16"/>
        <v>5.189340813464236</v>
      </c>
      <c r="J89" s="21">
        <f t="shared" ca="1" si="17"/>
        <v>11.645084574393797</v>
      </c>
      <c r="K89" s="33">
        <f t="shared" ca="1" si="18"/>
        <v>0.35135135135135137</v>
      </c>
      <c r="L89" s="88">
        <f ca="1">DATE(INDEX(OFFSET(Arb!$C$2,,,Arb!$AJ$5,),B89),INDEX(OFFSET(Arb!$B$2,,,Arb!$AJ$5,),B89),INDEX(OFFSET(Arb!$A$2,,,Arb!$AJ$5,),B89))</f>
        <v>43773</v>
      </c>
      <c r="M89" s="89">
        <v>13</v>
      </c>
      <c r="N89" s="408">
        <v>2155</v>
      </c>
      <c r="O89" s="433">
        <f ca="1">IF(N89="",64,INDEX(OFFSET(Arb!$I$2,,,Arb!$AJ$5,),N89))</f>
        <v>72</v>
      </c>
      <c r="P89" s="680">
        <f ca="1">IF(N89="",60,INDEX(OFFSET(Arb!$H$2,,,Arb!$AJ$5,),N89))</f>
        <v>25.95</v>
      </c>
      <c r="Q89" s="901">
        <f t="shared" ca="1" si="19"/>
        <v>2.7745664739884393</v>
      </c>
      <c r="R89" s="921">
        <f ca="1">IF(N89="","",INDEX(OFFSET(Arb!$X$2,,,Arb!$AJ$5,),N89)/P89)</f>
        <v>3.5838150289017343</v>
      </c>
      <c r="S89" s="907">
        <f ca="1">IF(N89="","",(INDEX(OFFSET(Arb!$U$2,,,Arb!$AJ$5,),N89)+INDEX(OFFSET(Arb!$V$2,,,Arb!$AJ$5,),N89))/P89)</f>
        <v>4.1618497109826587</v>
      </c>
      <c r="T89" s="127">
        <f ca="1">INDEX(OFFSET(Arb!$AC$2,,,Arb!$AJ$5,),N89)/16</f>
        <v>199.625</v>
      </c>
      <c r="U89" s="34">
        <f t="shared" ca="1" si="20"/>
        <v>7.6926782273603083</v>
      </c>
      <c r="V89" s="21">
        <f t="shared" ca="1" si="21"/>
        <v>27.569135843719025</v>
      </c>
      <c r="W89" s="33">
        <f t="shared" ca="1" si="22"/>
        <v>0.36067626800250469</v>
      </c>
      <c r="X89" s="91">
        <f ca="1">DATE(INDEX(OFFSET(Arb!$C$2,,,Arb!$AJ$5,),N89),INDEX(OFFSET(Arb!$B$2,,,Arb!$AJ$5,),N89),INDEX(OFFSET(Arb!$A$2,,,Arb!$AJ$5,),N89))</f>
        <v>43822</v>
      </c>
      <c r="Y89" s="414">
        <v>13</v>
      </c>
      <c r="Z89" s="408">
        <v>3122</v>
      </c>
      <c r="AA89" s="433">
        <f ca="1">IF(Z89="",164,INDEX(OFFSET(Arb!$I$2,,,Arb!$AJ$5,),Z89))</f>
        <v>163</v>
      </c>
      <c r="AB89" s="691">
        <f ca="1">IF(Z89="",240,INDEX(OFFSET(Arb!$H$2,,,Arb!$AJ$5,),Z89))</f>
        <v>66.33</v>
      </c>
      <c r="AC89" s="926">
        <f t="shared" ca="1" si="23"/>
        <v>2.4574099200964872</v>
      </c>
      <c r="AD89" s="917">
        <f ca="1">IF(Z89="","",INDEX(OFFSET(Arb!$X$2,,,Arb!$AJ$5,),Z89)/AB89)</f>
        <v>3.1056837026986281</v>
      </c>
      <c r="AE89" s="903">
        <f ca="1">IF(Z89="","",(INDEX(OFFSET(Arb!$U$2,,,Arb!$AJ$5,),Z89)+INDEX(OFFSET(Arb!$V$2,,,Arb!$AJ$5,),Z89))/AB89)</f>
        <v>3.5579677370722149</v>
      </c>
      <c r="AF89" s="127">
        <f ca="1">INDEX(OFFSET(Arb!$AC$2,,,Arb!$AJ$5,),Z89)/16</f>
        <v>428.9375</v>
      </c>
      <c r="AG89" s="34">
        <f t="shared" ca="1" si="24"/>
        <v>6.4667194331373441</v>
      </c>
      <c r="AH89" s="21">
        <f t="shared" ca="1" si="25"/>
        <v>20.083585153419161</v>
      </c>
      <c r="AI89" s="33">
        <f t="shared" ca="1" si="26"/>
        <v>0.38000874253242023</v>
      </c>
      <c r="AJ89" s="91">
        <f ca="1">DATE(INDEX(OFFSET(Arb!$C$2,,,Arb!$AJ$5,),Z89),INDEX(OFFSET(Arb!$B$2,,,Arb!$AJ$5,),Z89),INDEX(OFFSET(Arb!$A$2,,,Arb!$AJ$5,),Z89))</f>
        <v>44013</v>
      </c>
    </row>
    <row r="90" spans="1:36" x14ac:dyDescent="0.25">
      <c r="A90" s="89">
        <v>14</v>
      </c>
      <c r="B90" s="408">
        <v>683</v>
      </c>
      <c r="C90" s="433">
        <f ca="1">IF(B90="",16,INDEX(OFFSET(Arb!$I$2,,,Arb!$AJ$5,),B90))</f>
        <v>24</v>
      </c>
      <c r="D90" s="693">
        <f ca="1">IF(B90="",10,INDEX(OFFSET(Arb!$H$2,,,Arb!$AJ$5,),B90))</f>
        <v>6.87</v>
      </c>
      <c r="E90" s="904">
        <f t="shared" ca="1" si="15"/>
        <v>3.4934497816593888</v>
      </c>
      <c r="F90" s="920">
        <f ca="1">IF(B90="","",INDEX(OFFSET(Arb!$X$2,,,Arb!$AJ$5,),B90)/D90)</f>
        <v>4.8034934497816595</v>
      </c>
      <c r="G90" s="925">
        <f ca="1">IF(B90="","",(INDEX(OFFSET(Arb!$U$2,,,Arb!$AJ$5,),B90)+INDEX(OFFSET(Arb!$V$2,,,Arb!$AJ$5,),B90))/D90)</f>
        <v>6.259097525473071</v>
      </c>
      <c r="H90" s="126">
        <f ca="1">INDEX(OFFSET(Arb!$AC$2,,,Arb!$AJ$5,),B90)/16</f>
        <v>71.75</v>
      </c>
      <c r="I90" s="34">
        <f t="shared" ca="1" si="16"/>
        <v>10.44395924308588</v>
      </c>
      <c r="J90" s="21">
        <f t="shared" ca="1" si="17"/>
        <v>50.167489813949643</v>
      </c>
      <c r="K90" s="33">
        <f t="shared" ca="1" si="18"/>
        <v>0.33449477351916379</v>
      </c>
      <c r="L90" s="88">
        <f ca="1">DATE(INDEX(OFFSET(Arb!$C$2,,,Arb!$AJ$5,),B90),INDEX(OFFSET(Arb!$B$2,,,Arb!$AJ$5,),B90),INDEX(OFFSET(Arb!$A$2,,,Arb!$AJ$5,),B90))</f>
        <v>43801</v>
      </c>
      <c r="M90" s="89">
        <v>14</v>
      </c>
      <c r="N90" s="408">
        <v>2028</v>
      </c>
      <c r="O90" s="433">
        <f ca="1">IF(N90="",64,INDEX(OFFSET(Arb!$I$2,,,Arb!$AJ$5,),N90))</f>
        <v>85</v>
      </c>
      <c r="P90" s="690">
        <f ca="1">IF(N90="",60,INDEX(OFFSET(Arb!$H$2,,,Arb!$AJ$5,),N90))</f>
        <v>28.89</v>
      </c>
      <c r="Q90" s="901">
        <f t="shared" ca="1" si="19"/>
        <v>2.9421945309795778</v>
      </c>
      <c r="R90" s="921">
        <f ca="1">IF(N90="","",INDEX(OFFSET(Arb!$X$2,,,Arb!$AJ$5,),N90)/P90)</f>
        <v>3.5998615437867771</v>
      </c>
      <c r="S90" s="907">
        <f ca="1">IF(N90="","",(INDEX(OFFSET(Arb!$U$2,,,Arb!$AJ$5,),N90)+INDEX(OFFSET(Arb!$V$2,,,Arb!$AJ$5,),N90))/P90)</f>
        <v>4.1536863966770508</v>
      </c>
      <c r="T90" s="127">
        <f ca="1">INDEX(OFFSET(Arb!$AC$2,,,Arb!$AJ$5,),N90)/16</f>
        <v>233.125</v>
      </c>
      <c r="U90" s="34">
        <f t="shared" ca="1" si="20"/>
        <v>8.0694011768778129</v>
      </c>
      <c r="V90" s="21">
        <f t="shared" ca="1" si="21"/>
        <v>29.048726978030199</v>
      </c>
      <c r="W90" s="33">
        <f t="shared" ca="1" si="22"/>
        <v>0.36461126005361932</v>
      </c>
      <c r="X90" s="91">
        <f ca="1">DATE(INDEX(OFFSET(Arb!$C$2,,,Arb!$AJ$5,),N90),INDEX(OFFSET(Arb!$B$2,,,Arb!$AJ$5,),N90),INDEX(OFFSET(Arb!$A$2,,,Arb!$AJ$5,),N90))</f>
        <v>43797</v>
      </c>
      <c r="Y90" s="414">
        <v>14</v>
      </c>
      <c r="Z90" s="408">
        <v>3229</v>
      </c>
      <c r="AA90" s="433">
        <f ca="1">IF(Z90="",164,INDEX(OFFSET(Arb!$I$2,,,Arb!$AJ$5,),Z90))</f>
        <v>157</v>
      </c>
      <c r="AB90" s="691">
        <f ca="1">IF(Z90="",240,INDEX(OFFSET(Arb!$H$2,,,Arb!$AJ$5,),Z90))</f>
        <v>65.540000000000006</v>
      </c>
      <c r="AC90" s="926">
        <f t="shared" ca="1" si="23"/>
        <v>2.3954836740921572</v>
      </c>
      <c r="AD90" s="917">
        <f ca="1">IF(Z90="","",INDEX(OFFSET(Arb!$X$2,,,Arb!$AJ$5,),Z90)/AB90)</f>
        <v>3.0515715593530666</v>
      </c>
      <c r="AE90" s="903">
        <f ca="1">IF(Z90="","",(INDEX(OFFSET(Arb!$U$2,,,Arb!$AJ$5,),Z90)+INDEX(OFFSET(Arb!$V$2,,,Arb!$AJ$5,),Z90))/AB90)</f>
        <v>3.5398230088495573</v>
      </c>
      <c r="AF90" s="127">
        <f ca="1">INDEX(OFFSET(Arb!$AC$2,,,Arb!$AJ$5,),Z90)/16</f>
        <v>495.875</v>
      </c>
      <c r="AG90" s="34">
        <f t="shared" ca="1" si="24"/>
        <v>7.5659902349710091</v>
      </c>
      <c r="AH90" s="21">
        <f t="shared" ca="1" si="25"/>
        <v>23.088160619380556</v>
      </c>
      <c r="AI90" s="33">
        <f t="shared" ca="1" si="26"/>
        <v>0.31661204940761278</v>
      </c>
      <c r="AJ90" s="91">
        <f ca="1">DATE(INDEX(OFFSET(Arb!$C$2,,,Arb!$AJ$5,),Z90),INDEX(OFFSET(Arb!$B$2,,,Arb!$AJ$5,),Z90),INDEX(OFFSET(Arb!$A$2,,,Arb!$AJ$5,),Z90))</f>
        <v>44061</v>
      </c>
    </row>
    <row r="91" spans="1:36" x14ac:dyDescent="0.25">
      <c r="A91" s="89">
        <v>15</v>
      </c>
      <c r="B91" s="408">
        <v>1307</v>
      </c>
      <c r="C91" s="433">
        <f ca="1">IF(B91="",16,INDEX(OFFSET(Arb!$I$2,,,Arb!$AJ$5,),B91))</f>
        <v>11</v>
      </c>
      <c r="D91" s="686">
        <f ca="1">IF(B91="",10,INDEX(OFFSET(Arb!$H$2,,,Arb!$AJ$5,),B91))</f>
        <v>3.26</v>
      </c>
      <c r="E91" s="904">
        <f t="shared" ca="1" si="15"/>
        <v>3.3742331288343559</v>
      </c>
      <c r="F91" s="905">
        <f ca="1">IF(B91="","",INDEX(OFFSET(Arb!$X$2,,,Arb!$AJ$5,),B91)/D91)</f>
        <v>5.8282208588957056</v>
      </c>
      <c r="G91" s="906">
        <f ca="1">IF(B91="","",(INDEX(OFFSET(Arb!$U$2,,,Arb!$AJ$5,),B91)+INDEX(OFFSET(Arb!$V$2,,,Arb!$AJ$5,),B91))/D91)</f>
        <v>6.1349693251533743</v>
      </c>
      <c r="H91" s="126">
        <f ca="1">INDEX(OFFSET(Arb!$AC$2,,,Arb!$AJ$5,),B91)/16</f>
        <v>36.1875</v>
      </c>
      <c r="I91" s="34">
        <f t="shared" ca="1" si="16"/>
        <v>11.100460122699387</v>
      </c>
      <c r="J91" s="21">
        <f t="shared" ca="1" si="17"/>
        <v>64.695933230456546</v>
      </c>
      <c r="K91" s="33">
        <f t="shared" ca="1" si="18"/>
        <v>0.30397236614853196</v>
      </c>
      <c r="L91" s="88">
        <f ca="1">DATE(INDEX(OFFSET(Arb!$C$2,,,Arb!$AJ$5,),B91),INDEX(OFFSET(Arb!$B$2,,,Arb!$AJ$5,),B91),INDEX(OFFSET(Arb!$A$2,,,Arb!$AJ$5,),B91))</f>
        <v>43912</v>
      </c>
      <c r="M91" s="89">
        <v>15</v>
      </c>
      <c r="N91" s="408">
        <v>2098</v>
      </c>
      <c r="O91" s="433">
        <f ca="1">IF(N91="",64,INDEX(OFFSET(Arb!$I$2,,,Arb!$AJ$5,),N91))</f>
        <v>62</v>
      </c>
      <c r="P91" s="680">
        <f ca="1">IF(N91="",60,INDEX(OFFSET(Arb!$H$2,,,Arb!$AJ$5,),N91))</f>
        <v>25.3</v>
      </c>
      <c r="Q91" s="926">
        <f t="shared" ca="1" si="19"/>
        <v>2.4505928853754941</v>
      </c>
      <c r="R91" s="921">
        <f ca="1">IF(N91="","",INDEX(OFFSET(Arb!$X$2,,,Arb!$AJ$5,),N91)/P91)</f>
        <v>3.5177865612648223</v>
      </c>
      <c r="S91" s="907">
        <f ca="1">IF(N91="","",(INDEX(OFFSET(Arb!$U$2,,,Arb!$AJ$5,),N91)+INDEX(OFFSET(Arb!$V$2,,,Arb!$AJ$5,),N91))/P91)</f>
        <v>4.150197628458498</v>
      </c>
      <c r="T91" s="127">
        <f ca="1">INDEX(OFFSET(Arb!$AC$2,,,Arb!$AJ$5,),N91)/16</f>
        <v>217.6875</v>
      </c>
      <c r="U91" s="34">
        <f t="shared" ca="1" si="20"/>
        <v>8.6042490118577071</v>
      </c>
      <c r="V91" s="21">
        <f t="shared" ca="1" si="21"/>
        <v>30.26791154368917</v>
      </c>
      <c r="W91" s="33">
        <f t="shared" ca="1" si="22"/>
        <v>0.2848119437266724</v>
      </c>
      <c r="X91" s="91">
        <f ca="1">DATE(INDEX(OFFSET(Arb!$C$2,,,Arb!$AJ$5,),N91),INDEX(OFFSET(Arb!$B$2,,,Arb!$AJ$5,),N91),INDEX(OFFSET(Arb!$A$2,,,Arb!$AJ$5,),N91))</f>
        <v>43810</v>
      </c>
      <c r="Y91" s="414">
        <v>15</v>
      </c>
      <c r="Z91" s="408">
        <v>3213</v>
      </c>
      <c r="AA91" s="433">
        <f ca="1">IF(Z91="",164,INDEX(OFFSET(Arb!$I$2,,,Arb!$AJ$5,),Z91))</f>
        <v>236</v>
      </c>
      <c r="AB91" s="682">
        <f ca="1">IF(Z91="",240,INDEX(OFFSET(Arb!$H$2,,,Arb!$AJ$5,),Z91))</f>
        <v>83.1</v>
      </c>
      <c r="AC91" s="901">
        <f t="shared" ca="1" si="23"/>
        <v>2.8399518652226234</v>
      </c>
      <c r="AD91" s="917">
        <f ca="1">IF(Z91="","",INDEX(OFFSET(Arb!$X$2,,,Arb!$AJ$5,),Z91)/AB91)</f>
        <v>3.1648616125150424</v>
      </c>
      <c r="AE91" s="903">
        <f ca="1">IF(Z91="","",(INDEX(OFFSET(Arb!$U$2,,,Arb!$AJ$5,),Z91)+INDEX(OFFSET(Arb!$V$2,,,Arb!$AJ$5,),Z91))/AB91)</f>
        <v>3.5379061371841156</v>
      </c>
      <c r="AF91" s="127">
        <f ca="1">INDEX(OFFSET(Arb!$AC$2,,,Arb!$AJ$5,),Z91)/16</f>
        <v>640.4375</v>
      </c>
      <c r="AG91" s="34">
        <f t="shared" ca="1" si="24"/>
        <v>7.7068291215403137</v>
      </c>
      <c r="AH91" s="21">
        <f t="shared" ca="1" si="25"/>
        <v>24.391047640975966</v>
      </c>
      <c r="AI91" s="33">
        <f t="shared" ca="1" si="26"/>
        <v>0.36849809700400116</v>
      </c>
      <c r="AJ91" s="91">
        <f ca="1">DATE(INDEX(OFFSET(Arb!$C$2,,,Arb!$AJ$5,),Z91),INDEX(OFFSET(Arb!$B$2,,,Arb!$AJ$5,),Z91),INDEX(OFFSET(Arb!$A$2,,,Arb!$AJ$5,),Z91))</f>
        <v>44059</v>
      </c>
    </row>
    <row r="92" spans="1:36" x14ac:dyDescent="0.25">
      <c r="A92" s="89">
        <v>16</v>
      </c>
      <c r="B92" s="408">
        <v>1273</v>
      </c>
      <c r="C92" s="433">
        <f ca="1">IF(B92="",16,INDEX(OFFSET(Arb!$I$2,,,Arb!$AJ$5,),B92))</f>
        <v>12</v>
      </c>
      <c r="D92" s="560">
        <f ca="1">IF(B92="",10,INDEX(OFFSET(Arb!$H$2,,,Arb!$AJ$5,),B92))</f>
        <v>3.81</v>
      </c>
      <c r="E92" s="898">
        <f t="shared" ca="1" si="15"/>
        <v>3.1496062992125982</v>
      </c>
      <c r="F92" s="955">
        <f ca="1">IF(B92="","",INDEX(OFFSET(Arb!$X$2,,,Arb!$AJ$5,),B92)/D92)</f>
        <v>4.4619422572178475</v>
      </c>
      <c r="G92" s="906">
        <f ca="1">IF(B92="","",(INDEX(OFFSET(Arb!$U$2,,,Arb!$AJ$5,),B92)+INDEX(OFFSET(Arb!$V$2,,,Arb!$AJ$5,),B92))/D92)</f>
        <v>6.0367454068241466</v>
      </c>
      <c r="H92" s="126">
        <f ca="1">INDEX(OFFSET(Arb!$AC$2,,,Arb!$AJ$5,),B92)/16</f>
        <v>44.5625</v>
      </c>
      <c r="I92" s="34">
        <f t="shared" ca="1" si="16"/>
        <v>11.696194225721785</v>
      </c>
      <c r="J92" s="21">
        <f t="shared" ca="1" si="17"/>
        <v>52.187743264375413</v>
      </c>
      <c r="K92" s="33">
        <f t="shared" ca="1" si="18"/>
        <v>0.26928471248246844</v>
      </c>
      <c r="L92" s="88">
        <f ca="1">DATE(INDEX(OFFSET(Arb!$C$2,,,Arb!$AJ$5,),B92),INDEX(OFFSET(Arb!$B$2,,,Arb!$AJ$5,),B92),INDEX(OFFSET(Arb!$A$2,,,Arb!$AJ$5,),B92))</f>
        <v>43906</v>
      </c>
      <c r="M92" s="89">
        <v>16</v>
      </c>
      <c r="N92" s="408">
        <v>2328</v>
      </c>
      <c r="O92" s="433">
        <f ca="1">IF(N92="",64,INDEX(OFFSET(Arb!$I$2,,,Arb!$AJ$5,),N92))</f>
        <v>70</v>
      </c>
      <c r="P92" s="682">
        <f ca="1">IF(N92="",60,INDEX(OFFSET(Arb!$H$2,,,Arb!$AJ$5,),N92))</f>
        <v>27.1</v>
      </c>
      <c r="Q92" s="908">
        <f t="shared" ca="1" si="19"/>
        <v>2.5830258302583022</v>
      </c>
      <c r="R92" s="902">
        <f ca="1">IF(N92="","",INDEX(OFFSET(Arb!$X$2,,,Arb!$AJ$5,),N92)/P92)</f>
        <v>3.4317343173431731</v>
      </c>
      <c r="S92" s="907">
        <f ca="1">IF(N92="","",(INDEX(OFFSET(Arb!$U$2,,,Arb!$AJ$5,),N92)+INDEX(OFFSET(Arb!$V$2,,,Arb!$AJ$5,),N92))/P92)</f>
        <v>4.1328413284132841</v>
      </c>
      <c r="T92" s="127">
        <f ca="1">INDEX(OFFSET(Arb!$AC$2,,,Arb!$AJ$5,),N92)/16</f>
        <v>246.5625</v>
      </c>
      <c r="U92" s="34">
        <f t="shared" ca="1" si="20"/>
        <v>9.0982472324723247</v>
      </c>
      <c r="V92" s="21">
        <f t="shared" ca="1" si="21"/>
        <v>31.222767255347826</v>
      </c>
      <c r="W92" s="33">
        <f t="shared" ca="1" si="22"/>
        <v>0.28390367553865653</v>
      </c>
      <c r="X92" s="91">
        <f ca="1">DATE(INDEX(OFFSET(Arb!$C$2,,,Arb!$AJ$5,),N92),INDEX(OFFSET(Arb!$B$2,,,Arb!$AJ$5,),N92),INDEX(OFFSET(Arb!$A$2,,,Arb!$AJ$5,),N92))</f>
        <v>44090</v>
      </c>
      <c r="Y92" s="414">
        <v>16</v>
      </c>
      <c r="Z92" s="408">
        <v>3296</v>
      </c>
      <c r="AA92" s="433">
        <f ca="1">IF(Z92="",164,INDEX(OFFSET(Arb!$I$2,,,Arb!$AJ$5,),Z92))</f>
        <v>198</v>
      </c>
      <c r="AB92" s="679">
        <f ca="1">IF(Z92="",240,INDEX(OFFSET(Arb!$H$2,,,Arb!$AJ$5,),Z92))</f>
        <v>73.569999999999993</v>
      </c>
      <c r="AC92" s="908">
        <f t="shared" ca="1" si="23"/>
        <v>2.6913143944542615</v>
      </c>
      <c r="AD92" s="917">
        <f ca="1">IF(Z92="","",INDEX(OFFSET(Arb!$X$2,,,Arb!$AJ$5,),Z92)/AB92)</f>
        <v>3.1534592904716598</v>
      </c>
      <c r="AE92" s="903">
        <f ca="1">IF(Z92="","",(INDEX(OFFSET(Arb!$U$2,,,Arb!$AJ$5,),Z92)+INDEX(OFFSET(Arb!$V$2,,,Arb!$AJ$5,),Z92))/AB92)</f>
        <v>3.5340492048389294</v>
      </c>
      <c r="AF92" s="127">
        <f ca="1">INDEX(OFFSET(Arb!$AC$2,,,Arb!$AJ$5,),Z92)/16</f>
        <v>538.875</v>
      </c>
      <c r="AG92" s="34">
        <f t="shared" ca="1" si="24"/>
        <v>7.3246567894522228</v>
      </c>
      <c r="AH92" s="21">
        <f t="shared" ca="1" si="25"/>
        <v>23.098007002214434</v>
      </c>
      <c r="AI92" s="33">
        <f t="shared" ca="1" si="26"/>
        <v>0.36743215031315241</v>
      </c>
      <c r="AJ92" s="91">
        <f ca="1">DATE(INDEX(OFFSET(Arb!$C$2,,,Arb!$AJ$5,),Z92),INDEX(OFFSET(Arb!$B$2,,,Arb!$AJ$5,),Z92),INDEX(OFFSET(Arb!$A$2,,,Arb!$AJ$5,),Z92))</f>
        <v>44089</v>
      </c>
    </row>
    <row r="93" spans="1:36" x14ac:dyDescent="0.25">
      <c r="A93" s="89">
        <v>17</v>
      </c>
      <c r="B93" s="408">
        <v>1620</v>
      </c>
      <c r="C93" s="433">
        <f ca="1">IF(B93="",16,INDEX(OFFSET(Arb!$I$2,,,Arb!$AJ$5,),B93))</f>
        <v>29</v>
      </c>
      <c r="D93" s="688">
        <f ca="1">IF(B93="",10,INDEX(OFFSET(Arb!$H$2,,,Arb!$AJ$5,),B93))</f>
        <v>6.04</v>
      </c>
      <c r="E93" s="913">
        <f t="shared" ca="1" si="15"/>
        <v>4.8013245033112586</v>
      </c>
      <c r="F93" s="910">
        <f ca="1">IF(B93="","",INDEX(OFFSET(Arb!$X$2,,,Arb!$AJ$5,),B93)/D93)</f>
        <v>5.1324503311258276</v>
      </c>
      <c r="G93" s="914">
        <f ca="1">IF(B93="","",(INDEX(OFFSET(Arb!$U$2,,,Arb!$AJ$5,),B93)+INDEX(OFFSET(Arb!$V$2,,,Arb!$AJ$5,),B93))/D93)</f>
        <v>5.9602649006622519</v>
      </c>
      <c r="H93" s="126">
        <f ca="1">INDEX(OFFSET(Arb!$AC$2,,,Arb!$AJ$5,),B93)/16</f>
        <v>66.75</v>
      </c>
      <c r="I93" s="34">
        <f t="shared" ca="1" si="16"/>
        <v>11.051324503311259</v>
      </c>
      <c r="J93" s="21">
        <f t="shared" ca="1" si="17"/>
        <v>56.720374106398843</v>
      </c>
      <c r="K93" s="33">
        <f t="shared" ca="1" si="18"/>
        <v>0.43445692883895132</v>
      </c>
      <c r="L93" s="88">
        <f ca="1">DATE(INDEX(OFFSET(Arb!$C$2,,,Arb!$AJ$5,),B93),INDEX(OFFSET(Arb!$B$2,,,Arb!$AJ$5,),B93),INDEX(OFFSET(Arb!$A$2,,,Arb!$AJ$5,),B93))</f>
        <v>44093</v>
      </c>
      <c r="M93" s="89">
        <v>17</v>
      </c>
      <c r="N93" s="408">
        <v>2049</v>
      </c>
      <c r="O93" s="433">
        <f ca="1">IF(N93="",64,INDEX(OFFSET(Arb!$I$2,,,Arb!$AJ$5,),N93))</f>
        <v>64</v>
      </c>
      <c r="P93" s="679">
        <f ca="1">IF(N93="",60,INDEX(OFFSET(Arb!$H$2,,,Arb!$AJ$5,),N93))</f>
        <v>23.75</v>
      </c>
      <c r="Q93" s="908">
        <f t="shared" ca="1" si="19"/>
        <v>2.6947368421052631</v>
      </c>
      <c r="R93" s="921">
        <f ca="1">IF(N93="","",INDEX(OFFSET(Arb!$X$2,,,Arb!$AJ$5,),N93)/P93)</f>
        <v>3.5789473684210527</v>
      </c>
      <c r="S93" s="907">
        <f ca="1">IF(N93="","",(INDEX(OFFSET(Arb!$U$2,,,Arb!$AJ$5,),N93)+INDEX(OFFSET(Arb!$V$2,,,Arb!$AJ$5,),N93))/P93)</f>
        <v>4.1263157894736846</v>
      </c>
      <c r="T93" s="127">
        <f ca="1">INDEX(OFFSET(Arb!$AC$2,,,Arb!$AJ$5,),N93)/16</f>
        <v>205.3125</v>
      </c>
      <c r="U93" s="34">
        <f t="shared" ca="1" si="20"/>
        <v>8.6447368421052637</v>
      </c>
      <c r="V93" s="21">
        <f t="shared" ca="1" si="21"/>
        <v>30.939058171745156</v>
      </c>
      <c r="W93" s="33">
        <f t="shared" ca="1" si="22"/>
        <v>0.31171993911719942</v>
      </c>
      <c r="X93" s="91">
        <f ca="1">DATE(INDEX(OFFSET(Arb!$C$2,,,Arb!$AJ$5,),N93),INDEX(OFFSET(Arb!$B$2,,,Arb!$AJ$5,),N93),INDEX(OFFSET(Arb!$A$2,,,Arb!$AJ$5,),N93))</f>
        <v>43798</v>
      </c>
      <c r="Y93" s="414">
        <v>17</v>
      </c>
      <c r="Z93" s="408">
        <v>3333</v>
      </c>
      <c r="AA93" s="433">
        <f ca="1">IF(Z93="",164,INDEX(OFFSET(Arb!$I$2,,,Arb!$AJ$5,),Z93))</f>
        <v>180</v>
      </c>
      <c r="AB93" s="693">
        <f ca="1">IF(Z93="",240,INDEX(OFFSET(Arb!$H$2,,,Arb!$AJ$5,),Z93))</f>
        <v>63.73</v>
      </c>
      <c r="AC93" s="901">
        <f t="shared" ca="1" si="23"/>
        <v>2.8244155029028715</v>
      </c>
      <c r="AD93" s="902">
        <f ca="1">IF(Z93="","",INDEX(OFFSET(Arb!$X$2,,,Arb!$AJ$5,),Z93)/AB93)</f>
        <v>3.3108426172916996</v>
      </c>
      <c r="AE93" s="903">
        <f ca="1">IF(Z93="","",(INDEX(OFFSET(Arb!$U$2,,,Arb!$AJ$5,),Z93)+INDEX(OFFSET(Arb!$V$2,,,Arb!$AJ$5,),Z93))/AB93)</f>
        <v>3.5305193786285893</v>
      </c>
      <c r="AF93" s="127">
        <f ca="1">INDEX(OFFSET(Arb!$AC$2,,,Arb!$AJ$5,),Z93)/16</f>
        <v>479.25</v>
      </c>
      <c r="AG93" s="34">
        <f t="shared" ca="1" si="24"/>
        <v>7.5200062764788953</v>
      </c>
      <c r="AH93" s="21">
        <f t="shared" ca="1" si="25"/>
        <v>24.897557262467394</v>
      </c>
      <c r="AI93" s="33">
        <f t="shared" ca="1" si="26"/>
        <v>0.37558685446009388</v>
      </c>
      <c r="AJ93" s="91">
        <f ca="1">DATE(INDEX(OFFSET(Arb!$C$2,,,Arb!$AJ$5,),Z93),INDEX(OFFSET(Arb!$B$2,,,Arb!$AJ$5,),Z93),INDEX(OFFSET(Arb!$A$2,,,Arb!$AJ$5,),Z93))</f>
        <v>44096</v>
      </c>
    </row>
    <row r="94" spans="1:36" x14ac:dyDescent="0.25">
      <c r="A94" s="89">
        <v>18</v>
      </c>
      <c r="B94" s="408">
        <v>1558</v>
      </c>
      <c r="C94" s="433">
        <f ca="1">IF(B94="",16,INDEX(OFFSET(Arb!$I$2,,,Arb!$AJ$5,),B94))</f>
        <v>26</v>
      </c>
      <c r="D94" s="693">
        <f ca="1">IF(B94="",10,INDEX(OFFSET(Arb!$H$2,,,Arb!$AJ$5,),B94))</f>
        <v>6.94</v>
      </c>
      <c r="E94" s="922">
        <f t="shared" ca="1" si="15"/>
        <v>3.7463976945244957</v>
      </c>
      <c r="F94" s="955">
        <f ca="1">IF(B94="","",INDEX(OFFSET(Arb!$X$2,,,Arb!$AJ$5,),B94)/D94)</f>
        <v>4.3227665706051868</v>
      </c>
      <c r="G94" s="914">
        <f ca="1">IF(B94="","",(INDEX(OFFSET(Arb!$U$2,,,Arb!$AJ$5,),B94)+INDEX(OFFSET(Arb!$V$2,,,Arb!$AJ$5,),B94))/D94)</f>
        <v>5.9077809798270886</v>
      </c>
      <c r="H94" s="126">
        <f ca="1">INDEX(OFFSET(Arb!$AC$2,,,Arb!$AJ$5,),B94)/16</f>
        <v>78.5</v>
      </c>
      <c r="I94" s="34">
        <f t="shared" ca="1" si="16"/>
        <v>11.311239193083573</v>
      </c>
      <c r="J94" s="21">
        <f t="shared" ca="1" si="17"/>
        <v>48.895846655980854</v>
      </c>
      <c r="K94" s="33">
        <f t="shared" ca="1" si="18"/>
        <v>0.33121019108280253</v>
      </c>
      <c r="L94" s="88">
        <f ca="1">DATE(INDEX(OFFSET(Arb!$C$2,,,Arb!$AJ$5,),B94),INDEX(OFFSET(Arb!$B$2,,,Arb!$AJ$5,),B94),INDEX(OFFSET(Arb!$A$2,,,Arb!$AJ$5,),B94))</f>
        <v>43989</v>
      </c>
      <c r="M94" s="89">
        <v>18</v>
      </c>
      <c r="N94" s="408">
        <v>2330</v>
      </c>
      <c r="O94" s="433">
        <f ca="1">IF(N94="",64,INDEX(OFFSET(Arb!$I$2,,,Arb!$AJ$5,),N94))</f>
        <v>48</v>
      </c>
      <c r="P94" s="559">
        <f ca="1">IF(N94="",60,INDEX(OFFSET(Arb!$H$2,,,Arb!$AJ$5,),N94))</f>
        <v>17.940000000000001</v>
      </c>
      <c r="Q94" s="908">
        <f t="shared" ca="1" si="19"/>
        <v>2.6755852842809364</v>
      </c>
      <c r="R94" s="902">
        <f ca="1">IF(N94="","",INDEX(OFFSET(Arb!$X$2,,,Arb!$AJ$5,),N94)/P94)</f>
        <v>3.4559643255295427</v>
      </c>
      <c r="S94" s="907">
        <f ca="1">IF(N94="","",(INDEX(OFFSET(Arb!$U$2,,,Arb!$AJ$5,),N94)+INDEX(OFFSET(Arb!$V$2,,,Arb!$AJ$5,),N94))/P94)</f>
        <v>4.1248606465997764</v>
      </c>
      <c r="T94" s="127">
        <f ca="1">INDEX(OFFSET(Arb!$AC$2,,,Arb!$AJ$5,),N94)/16</f>
        <v>167.6875</v>
      </c>
      <c r="U94" s="34">
        <f t="shared" ca="1" si="20"/>
        <v>9.3471293199554069</v>
      </c>
      <c r="V94" s="21">
        <f t="shared" ca="1" si="21"/>
        <v>32.303345475877101</v>
      </c>
      <c r="W94" s="33">
        <f t="shared" ca="1" si="22"/>
        <v>0.28624673872530748</v>
      </c>
      <c r="X94" s="91">
        <f ca="1">DATE(INDEX(OFFSET(Arb!$C$2,,,Arb!$AJ$5,),N94),INDEX(OFFSET(Arb!$B$2,,,Arb!$AJ$5,),N94),INDEX(OFFSET(Arb!$A$2,,,Arb!$AJ$5,),N94))</f>
        <v>44093</v>
      </c>
      <c r="Y94" s="414">
        <v>18</v>
      </c>
      <c r="Z94" s="408">
        <v>3299</v>
      </c>
      <c r="AA94" s="433">
        <f ca="1">IF(Z94="",164,INDEX(OFFSET(Arb!$I$2,,,Arb!$AJ$5,),Z94))</f>
        <v>202</v>
      </c>
      <c r="AB94" s="679">
        <f ca="1">IF(Z94="",240,INDEX(OFFSET(Arb!$H$2,,,Arb!$AJ$5,),Z94))</f>
        <v>73.099999999999994</v>
      </c>
      <c r="AC94" s="901">
        <f t="shared" ca="1" si="23"/>
        <v>2.7633378932968538</v>
      </c>
      <c r="AD94" s="902">
        <f ca="1">IF(Z94="","",INDEX(OFFSET(Arb!$X$2,,,Arb!$AJ$5,),Z94)/AB94)</f>
        <v>3.2831737346101235</v>
      </c>
      <c r="AE94" s="903">
        <f ca="1">IF(Z94="","",(INDEX(OFFSET(Arb!$U$2,,,Arb!$AJ$5,),Z94)+INDEX(OFFSET(Arb!$V$2,,,Arb!$AJ$5,),Z94))/AB94)</f>
        <v>3.5294117647058827</v>
      </c>
      <c r="AF94" s="127">
        <f ca="1">INDEX(OFFSET(Arb!$AC$2,,,Arb!$AJ$5,),Z94)/16</f>
        <v>533.1875</v>
      </c>
      <c r="AG94" s="34">
        <f t="shared" ca="1" si="24"/>
        <v>7.2939466484268127</v>
      </c>
      <c r="AH94" s="21">
        <f t="shared" ca="1" si="25"/>
        <v>23.947294057762452</v>
      </c>
      <c r="AI94" s="33">
        <f t="shared" ca="1" si="26"/>
        <v>0.37885359277927561</v>
      </c>
      <c r="AJ94" s="91">
        <f ca="1">DATE(INDEX(OFFSET(Arb!$C$2,,,Arb!$AJ$5,),Z94),INDEX(OFFSET(Arb!$B$2,,,Arb!$AJ$5,),Z94),INDEX(OFFSET(Arb!$A$2,,,Arb!$AJ$5,),Z94))</f>
        <v>44090</v>
      </c>
    </row>
    <row r="95" spans="1:36" x14ac:dyDescent="0.25">
      <c r="A95" s="89">
        <v>19</v>
      </c>
      <c r="B95" s="408">
        <v>1508</v>
      </c>
      <c r="C95" s="433">
        <f ca="1">IF(B95="",16,INDEX(OFFSET(Arb!$I$2,,,Arb!$AJ$5,),B95))</f>
        <v>15</v>
      </c>
      <c r="D95" s="274">
        <f ca="1">IF(B95="",10,INDEX(OFFSET(Arb!$H$2,,,Arb!$AJ$5,),B95))</f>
        <v>4.74</v>
      </c>
      <c r="E95" s="898">
        <f t="shared" ca="1" si="15"/>
        <v>3.1645569620253164</v>
      </c>
      <c r="F95" s="956">
        <f ca="1">IF(B95="","",INDEX(OFFSET(Arb!$X$2,,,Arb!$AJ$5,),B95)/D95)</f>
        <v>4.0084388185654003</v>
      </c>
      <c r="G95" s="914">
        <f ca="1">IF(B95="","",(INDEX(OFFSET(Arb!$U$2,,,Arb!$AJ$5,),B95)+INDEX(OFFSET(Arb!$V$2,,,Arb!$AJ$5,),B95))/D95)</f>
        <v>5.9071729957805905</v>
      </c>
      <c r="H95" s="126">
        <f ca="1">INDEX(OFFSET(Arb!$AC$2,,,Arb!$AJ$5,),B95)/16</f>
        <v>39.6875</v>
      </c>
      <c r="I95" s="34">
        <f t="shared" ca="1" si="16"/>
        <v>8.3728902953586495</v>
      </c>
      <c r="J95" s="21">
        <f t="shared" ca="1" si="17"/>
        <v>33.562218483505127</v>
      </c>
      <c r="K95" s="33">
        <f t="shared" ca="1" si="18"/>
        <v>0.37795275590551181</v>
      </c>
      <c r="L95" s="88">
        <f ca="1">DATE(INDEX(OFFSET(Arb!$C$2,,,Arb!$AJ$5,),B95),INDEX(OFFSET(Arb!$B$2,,,Arb!$AJ$5,),B95),INDEX(OFFSET(Arb!$A$2,,,Arb!$AJ$5,),B95))</f>
        <v>43984</v>
      </c>
      <c r="M95" s="89">
        <v>19</v>
      </c>
      <c r="N95" s="408">
        <v>2291</v>
      </c>
      <c r="O95" s="433">
        <f ca="1">IF(N95="",64,INDEX(OFFSET(Arb!$I$2,,,Arb!$AJ$5,),N95))</f>
        <v>67</v>
      </c>
      <c r="P95" s="680">
        <f ca="1">IF(N95="",60,INDEX(OFFSET(Arb!$H$2,,,Arb!$AJ$5,),N95))</f>
        <v>24.77</v>
      </c>
      <c r="Q95" s="908">
        <f t="shared" ca="1" si="19"/>
        <v>2.7048849414614455</v>
      </c>
      <c r="R95" s="921">
        <f ca="1">IF(N95="","",INDEX(OFFSET(Arb!$X$2,,,Arb!$AJ$5,),N95)/P95)</f>
        <v>3.6737989503431572</v>
      </c>
      <c r="S95" s="907">
        <f ca="1">IF(N95="","",(INDEX(OFFSET(Arb!$U$2,,,Arb!$AJ$5,),N95)+INDEX(OFFSET(Arb!$V$2,,,Arb!$AJ$5,),N95))/P95)</f>
        <v>4.1178845377472753</v>
      </c>
      <c r="T95" s="127">
        <f ca="1">INDEX(OFFSET(Arb!$AC$2,,,Arb!$AJ$5,),N95)/16</f>
        <v>193.25</v>
      </c>
      <c r="U95" s="34">
        <f t="shared" ca="1" si="20"/>
        <v>7.8017763423496165</v>
      </c>
      <c r="V95" s="21">
        <f t="shared" ca="1" si="21"/>
        <v>28.662157737336099</v>
      </c>
      <c r="W95" s="33">
        <f t="shared" ca="1" si="22"/>
        <v>0.34670116429495473</v>
      </c>
      <c r="X95" s="91">
        <f ca="1">DATE(INDEX(OFFSET(Arb!$C$2,,,Arb!$AJ$5,),N95),INDEX(OFFSET(Arb!$B$2,,,Arb!$AJ$5,),N95),INDEX(OFFSET(Arb!$A$2,,,Arb!$AJ$5,),N95))</f>
        <v>43937</v>
      </c>
      <c r="Y95" s="414">
        <v>19</v>
      </c>
      <c r="Z95" s="408">
        <v>2927</v>
      </c>
      <c r="AA95" s="433">
        <f ca="1">IF(Z95="",164,INDEX(OFFSET(Arb!$I$2,,,Arb!$AJ$5,),Z95))</f>
        <v>199</v>
      </c>
      <c r="AB95" s="679">
        <f ca="1">IF(Z95="",240,INDEX(OFFSET(Arb!$H$2,,,Arb!$AJ$5,),Z95))</f>
        <v>73.11</v>
      </c>
      <c r="AC95" s="908">
        <f t="shared" ca="1" si="23"/>
        <v>2.7219258651347285</v>
      </c>
      <c r="AD95" s="917">
        <f ca="1">IF(Z95="","",INDEX(OFFSET(Arb!$X$2,,,Arb!$AJ$5,),Z95)/AB95)</f>
        <v>3.2143345643550814</v>
      </c>
      <c r="AE95" s="903">
        <f ca="1">IF(Z95="","",(INDEX(OFFSET(Arb!$U$2,,,Arb!$AJ$5,),Z95)+INDEX(OFFSET(Arb!$V$2,,,Arb!$AJ$5,),Z95))/AB95)</f>
        <v>3.5289290110791955</v>
      </c>
      <c r="AF95" s="127">
        <f ca="1">INDEX(OFFSET(Arb!$AC$2,,,Arb!$AJ$5,),Z95)/16</f>
        <v>518</v>
      </c>
      <c r="AG95" s="34">
        <f t="shared" ca="1" si="24"/>
        <v>7.0852140610039669</v>
      </c>
      <c r="AH95" s="21">
        <f t="shared" ca="1" si="25"/>
        <v>22.774248452139684</v>
      </c>
      <c r="AI95" s="33">
        <f t="shared" ca="1" si="26"/>
        <v>0.38416988416988418</v>
      </c>
      <c r="AJ95" s="91">
        <f ca="1">DATE(INDEX(OFFSET(Arb!$C$2,,,Arb!$AJ$5,),Z95),INDEX(OFFSET(Arb!$B$2,,,Arb!$AJ$5,),Z95),INDEX(OFFSET(Arb!$A$2,,,Arb!$AJ$5,),Z95))</f>
        <v>43936</v>
      </c>
    </row>
    <row r="96" spans="1:36" x14ac:dyDescent="0.25">
      <c r="A96" s="89">
        <v>20</v>
      </c>
      <c r="B96" s="408">
        <v>167</v>
      </c>
      <c r="C96" s="433">
        <f ca="1">IF(B96="",16,INDEX(OFFSET(Arb!$I$2,,,Arb!$AJ$5,),B96))</f>
        <v>21</v>
      </c>
      <c r="D96" s="680">
        <f ca="1">IF(B96="",10,INDEX(OFFSET(Arb!$H$2,,,Arb!$AJ$5,),B96))</f>
        <v>9.67</v>
      </c>
      <c r="E96" s="951">
        <f t="shared" ca="1" si="15"/>
        <v>2.1716649431230612</v>
      </c>
      <c r="F96" s="948">
        <f ca="1">IF(B96="","",INDEX(OFFSET(Arb!$X$2,,,Arb!$AJ$5,),B96)/D96)</f>
        <v>2.4819027921406414</v>
      </c>
      <c r="G96" s="914">
        <f ca="1">IF(B96="","",(INDEX(OFFSET(Arb!$U$2,,,Arb!$AJ$5,),B96)+INDEX(OFFSET(Arb!$V$2,,,Arb!$AJ$5,),B96))/D96)</f>
        <v>5.8945191313340226</v>
      </c>
      <c r="H96" s="126">
        <f ca="1">INDEX(OFFSET(Arb!$AC$2,,,Arb!$AJ$5,),B96)/16</f>
        <v>59.75</v>
      </c>
      <c r="I96" s="34">
        <f t="shared" ca="1" si="16"/>
        <v>6.1789038262668043</v>
      </c>
      <c r="J96" s="21">
        <f t="shared" ca="1" si="17"/>
        <v>15.335438658780074</v>
      </c>
      <c r="K96" s="33">
        <f t="shared" ca="1" si="18"/>
        <v>0.35146443514644349</v>
      </c>
      <c r="L96" s="88">
        <f ca="1">DATE(INDEX(OFFSET(Arb!$C$2,,,Arb!$AJ$5,),B96),INDEX(OFFSET(Arb!$B$2,,,Arb!$AJ$5,),B96),INDEX(OFFSET(Arb!$A$2,,,Arb!$AJ$5,),B96))</f>
        <v>43773</v>
      </c>
      <c r="M96" s="89">
        <v>20</v>
      </c>
      <c r="N96" s="408">
        <v>2247</v>
      </c>
      <c r="O96" s="433">
        <f ca="1">IF(N96="",64,INDEX(OFFSET(Arb!$I$2,,,Arb!$AJ$5,),N96))</f>
        <v>97</v>
      </c>
      <c r="P96" s="682">
        <f ca="1">IF(N96="",60,INDEX(OFFSET(Arb!$H$2,,,Arb!$AJ$5,),N96))</f>
        <v>27.97</v>
      </c>
      <c r="Q96" s="904">
        <f t="shared" ca="1" si="19"/>
        <v>3.4680014301036826</v>
      </c>
      <c r="R96" s="899">
        <f ca="1">IF(N96="","",INDEX(OFFSET(Arb!$X$2,,,Arb!$AJ$5,),N96)/P96)</f>
        <v>3.8255273507329282</v>
      </c>
      <c r="S96" s="907">
        <f ca="1">IF(N96="","",(INDEX(OFFSET(Arb!$U$2,,,Arb!$AJ$5,),N96)+INDEX(OFFSET(Arb!$V$2,,,Arb!$AJ$5,),N96))/P96)</f>
        <v>4.1115480872363248</v>
      </c>
      <c r="T96" s="127">
        <f ca="1">INDEX(OFFSET(Arb!$AC$2,,,Arb!$AJ$5,),N96)/16</f>
        <v>215.375</v>
      </c>
      <c r="U96" s="34">
        <f t="shared" ca="1" si="20"/>
        <v>7.7002145155523776</v>
      </c>
      <c r="V96" s="21">
        <f t="shared" ca="1" si="21"/>
        <v>29.457381235756326</v>
      </c>
      <c r="W96" s="33">
        <f t="shared" ca="1" si="22"/>
        <v>0.45037724898432968</v>
      </c>
      <c r="X96" s="91">
        <f ca="1">DATE(INDEX(OFFSET(Arb!$C$2,,,Arb!$AJ$5,),N96),INDEX(OFFSET(Arb!$B$2,,,Arb!$AJ$5,),N96),INDEX(OFFSET(Arb!$A$2,,,Arb!$AJ$5,),N96))</f>
        <v>43892</v>
      </c>
      <c r="Y96" s="414">
        <v>20</v>
      </c>
      <c r="Z96" s="408">
        <v>3318</v>
      </c>
      <c r="AA96" s="433">
        <f ca="1">IF(Z96="",164,INDEX(OFFSET(Arb!$I$2,,,Arb!$AJ$5,),Z96))</f>
        <v>176</v>
      </c>
      <c r="AB96" s="679">
        <f ca="1">IF(Z96="",240,INDEX(OFFSET(Arb!$H$2,,,Arb!$AJ$5,),Z96))</f>
        <v>70</v>
      </c>
      <c r="AC96" s="908">
        <f t="shared" ca="1" si="23"/>
        <v>2.5142857142857142</v>
      </c>
      <c r="AD96" s="917">
        <f ca="1">IF(Z96="","",INDEX(OFFSET(Arb!$X$2,,,Arb!$AJ$5,),Z96)/AB96)</f>
        <v>3.2</v>
      </c>
      <c r="AE96" s="903">
        <f ca="1">IF(Z96="","",(INDEX(OFFSET(Arb!$U$2,,,Arb!$AJ$5,),Z96)+INDEX(OFFSET(Arb!$V$2,,,Arb!$AJ$5,),Z96))/AB96)</f>
        <v>3.5285714285714285</v>
      </c>
      <c r="AF96" s="127">
        <f ca="1">INDEX(OFFSET(Arb!$AC$2,,,Arb!$AJ$5,),Z96)/16</f>
        <v>509.5</v>
      </c>
      <c r="AG96" s="34">
        <f t="shared" ca="1" si="24"/>
        <v>7.2785714285714285</v>
      </c>
      <c r="AH96" s="21">
        <f t="shared" ca="1" si="25"/>
        <v>23.291428571428572</v>
      </c>
      <c r="AI96" s="33">
        <f t="shared" ca="1" si="26"/>
        <v>0.34543670264965654</v>
      </c>
      <c r="AJ96" s="91">
        <f ca="1">DATE(INDEX(OFFSET(Arb!$C$2,,,Arb!$AJ$5,),Z96),INDEX(OFFSET(Arb!$B$2,,,Arb!$AJ$5,),Z96),INDEX(OFFSET(Arb!$A$2,,,Arb!$AJ$5,),Z96))</f>
        <v>44094</v>
      </c>
    </row>
    <row r="97" spans="1:36" x14ac:dyDescent="0.25">
      <c r="A97" s="89">
        <v>21</v>
      </c>
      <c r="B97" s="408">
        <v>1292</v>
      </c>
      <c r="C97" s="433">
        <f ca="1">IF(B97="",16,INDEX(OFFSET(Arb!$I$2,,,Arb!$AJ$5,),B97))</f>
        <v>22</v>
      </c>
      <c r="D97" s="688">
        <f ca="1">IF(B97="",10,INDEX(OFFSET(Arb!$H$2,,,Arb!$AJ$5,),B97))</f>
        <v>6.02</v>
      </c>
      <c r="E97" s="922">
        <f t="shared" ca="1" si="15"/>
        <v>3.6544850498338874</v>
      </c>
      <c r="F97" s="920">
        <f ca="1">IF(B97="","",INDEX(OFFSET(Arb!$X$2,,,Arb!$AJ$5,),B97)/D97)</f>
        <v>4.8172757475083063</v>
      </c>
      <c r="G97" s="914">
        <f ca="1">IF(B97="","",(INDEX(OFFSET(Arb!$U$2,,,Arb!$AJ$5,),B97)+INDEX(OFFSET(Arb!$V$2,,,Arb!$AJ$5,),B97))/D97)</f>
        <v>5.8139534883720936</v>
      </c>
      <c r="H97" s="126">
        <f ca="1">INDEX(OFFSET(Arb!$AC$2,,,Arb!$AJ$5,),B97)/16</f>
        <v>61</v>
      </c>
      <c r="I97" s="34">
        <f t="shared" ca="1" si="16"/>
        <v>10.132890365448505</v>
      </c>
      <c r="J97" s="21">
        <f t="shared" ca="1" si="17"/>
        <v>48.812927009635665</v>
      </c>
      <c r="K97" s="33">
        <f t="shared" ca="1" si="18"/>
        <v>0.36065573770491804</v>
      </c>
      <c r="L97" s="88">
        <f ca="1">DATE(INDEX(OFFSET(Arb!$C$2,,,Arb!$AJ$5,),B97),INDEX(OFFSET(Arb!$B$2,,,Arb!$AJ$5,),B97),INDEX(OFFSET(Arb!$A$2,,,Arb!$AJ$5,),B97))</f>
        <v>43906</v>
      </c>
      <c r="M97" s="89">
        <v>21</v>
      </c>
      <c r="N97" s="408">
        <v>1927</v>
      </c>
      <c r="O97" s="433">
        <f ca="1">IF(N97="",64,INDEX(OFFSET(Arb!$I$2,,,Arb!$AJ$5,),N97))</f>
        <v>74</v>
      </c>
      <c r="P97" s="682">
        <f ca="1">IF(N97="",60,INDEX(OFFSET(Arb!$H$2,,,Arb!$AJ$5,),N97))</f>
        <v>27.01</v>
      </c>
      <c r="Q97" s="908">
        <f t="shared" ca="1" si="19"/>
        <v>2.7397260273972601</v>
      </c>
      <c r="R97" s="921">
        <f ca="1">IF(N97="","",INDEX(OFFSET(Arb!$X$2,,,Arb!$AJ$5,),N97)/P97)</f>
        <v>3.5172158459829692</v>
      </c>
      <c r="S97" s="907">
        <f ca="1">IF(N97="","",(INDEX(OFFSET(Arb!$U$2,,,Arb!$AJ$5,),N97)+INDEX(OFFSET(Arb!$V$2,,,Arb!$AJ$5,),N97))/P97)</f>
        <v>4.10958904109589</v>
      </c>
      <c r="T97" s="127">
        <f ca="1">INDEX(OFFSET(Arb!$AC$2,,,Arb!$AJ$5,),N97)/16</f>
        <v>219.5625</v>
      </c>
      <c r="U97" s="34">
        <f t="shared" ca="1" si="20"/>
        <v>8.1289337282487963</v>
      </c>
      <c r="V97" s="21">
        <f t="shared" ca="1" si="21"/>
        <v>28.591214519942081</v>
      </c>
      <c r="W97" s="33">
        <f t="shared" ca="1" si="22"/>
        <v>0.33703387418161118</v>
      </c>
      <c r="X97" s="91">
        <f ca="1">DATE(INDEX(OFFSET(Arb!$C$2,,,Arb!$AJ$5,),N97),INDEX(OFFSET(Arb!$B$2,,,Arb!$AJ$5,),N97),INDEX(OFFSET(Arb!$A$2,,,Arb!$AJ$5,),N97))</f>
        <v>43771</v>
      </c>
      <c r="Y97" s="414">
        <v>21</v>
      </c>
      <c r="Z97" s="408">
        <v>3025</v>
      </c>
      <c r="AA97" s="433">
        <f ca="1">IF(Z97="",164,INDEX(OFFSET(Arb!$I$2,,,Arb!$AJ$5,),Z97))</f>
        <v>190</v>
      </c>
      <c r="AB97" s="680">
        <f ca="1">IF(Z97="",240,INDEX(OFFSET(Arb!$H$2,,,Arb!$AJ$5,),Z97))</f>
        <v>74.28</v>
      </c>
      <c r="AC97" s="908">
        <f t="shared" ca="1" si="23"/>
        <v>2.5578890683898763</v>
      </c>
      <c r="AD97" s="917">
        <f ca="1">IF(Z97="","",INDEX(OFFSET(Arb!$X$2,,,Arb!$AJ$5,),Z97)/AB97)</f>
        <v>3.1637049003769522</v>
      </c>
      <c r="AE97" s="903">
        <f ca="1">IF(Z97="","",(INDEX(OFFSET(Arb!$U$2,,,Arb!$AJ$5,),Z97)+INDEX(OFFSET(Arb!$V$2,,,Arb!$AJ$5,),Z97))/AB97)</f>
        <v>3.5271943995691974</v>
      </c>
      <c r="AF97" s="127">
        <f ca="1">INDEX(OFFSET(Arb!$AC$2,,,Arb!$AJ$5,),Z97)/16</f>
        <v>522.25</v>
      </c>
      <c r="AG97" s="34">
        <f t="shared" ca="1" si="24"/>
        <v>7.0308292945611202</v>
      </c>
      <c r="AH97" s="21">
        <f t="shared" ca="1" si="25"/>
        <v>22.243469092916847</v>
      </c>
      <c r="AI97" s="33">
        <f t="shared" ca="1" si="26"/>
        <v>0.36381043561512688</v>
      </c>
      <c r="AJ97" s="91">
        <f ca="1">DATE(INDEX(OFFSET(Arb!$C$2,,,Arb!$AJ$5,),Z97),INDEX(OFFSET(Arb!$B$2,,,Arb!$AJ$5,),Z97),INDEX(OFFSET(Arb!$A$2,,,Arb!$AJ$5,),Z97))</f>
        <v>43967</v>
      </c>
    </row>
    <row r="98" spans="1:36" x14ac:dyDescent="0.25">
      <c r="A98" s="89">
        <v>22</v>
      </c>
      <c r="B98" s="408">
        <v>1634</v>
      </c>
      <c r="C98" s="433">
        <f ca="1">IF(B98="",16,INDEX(OFFSET(Arb!$I$2,,,Arb!$AJ$5,),B98))</f>
        <v>11</v>
      </c>
      <c r="D98" s="683">
        <f ca="1">IF(B98="",10,INDEX(OFFSET(Arb!$H$2,,,Arb!$AJ$5,),B98))</f>
        <v>4.4800000000000004</v>
      </c>
      <c r="E98" s="926">
        <f t="shared" ca="1" si="15"/>
        <v>2.4553571428571428</v>
      </c>
      <c r="F98" s="921">
        <f ca="1">IF(B98="","",INDEX(OFFSET(Arb!$X$2,,,Arb!$AJ$5,),B98)/D98)</f>
        <v>3.5714285714285712</v>
      </c>
      <c r="G98" s="914">
        <f ca="1">IF(B98="","",(INDEX(OFFSET(Arb!$U$2,,,Arb!$AJ$5,),B98)+INDEX(OFFSET(Arb!$V$2,,,Arb!$AJ$5,),B98))/D98)</f>
        <v>5.8035714285714279</v>
      </c>
      <c r="H98" s="126">
        <f ca="1">INDEX(OFFSET(Arb!$AC$2,,,Arb!$AJ$5,),B98)/16</f>
        <v>57.1875</v>
      </c>
      <c r="I98" s="34">
        <f t="shared" ca="1" si="16"/>
        <v>12.765066964285714</v>
      </c>
      <c r="J98" s="21">
        <f t="shared" ca="1" si="17"/>
        <v>45.589524872448976</v>
      </c>
      <c r="K98" s="33">
        <f t="shared" ca="1" si="18"/>
        <v>0.1923497267759563</v>
      </c>
      <c r="L98" s="88">
        <f ca="1">DATE(INDEX(OFFSET(Arb!$C$2,,,Arb!$AJ$5,),B98),INDEX(OFFSET(Arb!$B$2,,,Arb!$AJ$5,),B98),INDEX(OFFSET(Arb!$A$2,,,Arb!$AJ$5,),B98))</f>
        <v>44093</v>
      </c>
      <c r="M98" s="89">
        <v>22</v>
      </c>
      <c r="N98" s="408">
        <v>2275</v>
      </c>
      <c r="O98" s="433">
        <f ca="1">IF(N98="",64,INDEX(OFFSET(Arb!$I$2,,,Arb!$AJ$5,),N98))</f>
        <v>85</v>
      </c>
      <c r="P98" s="690">
        <f ca="1">IF(N98="",60,INDEX(OFFSET(Arb!$H$2,,,Arb!$AJ$5,),N98))</f>
        <v>28.03</v>
      </c>
      <c r="Q98" s="898">
        <f t="shared" ca="1" si="19"/>
        <v>3.0324652158401713</v>
      </c>
      <c r="R98" s="921">
        <f ca="1">IF(N98="","",INDEX(OFFSET(Arb!$X$2,,,Arb!$AJ$5,),N98)/P98)</f>
        <v>3.6746343203710308</v>
      </c>
      <c r="S98" s="907">
        <f ca="1">IF(N98="","",(INDEX(OFFSET(Arb!$U$2,,,Arb!$AJ$5,),N98)+INDEX(OFFSET(Arb!$V$2,,,Arb!$AJ$5,),N98))/P98)</f>
        <v>4.1027470567249376</v>
      </c>
      <c r="T98" s="127">
        <f ca="1">INDEX(OFFSET(Arb!$AC$2,,,Arb!$AJ$5,),N98)/16</f>
        <v>207.75</v>
      </c>
      <c r="U98" s="34">
        <f t="shared" ca="1" si="20"/>
        <v>7.4117017481270064</v>
      </c>
      <c r="V98" s="21">
        <f t="shared" ca="1" si="21"/>
        <v>27.235293616021462</v>
      </c>
      <c r="W98" s="33">
        <f t="shared" ca="1" si="22"/>
        <v>0.40914560770156438</v>
      </c>
      <c r="X98" s="91">
        <f ca="1">DATE(INDEX(OFFSET(Arb!$C$2,,,Arb!$AJ$5,),N98),INDEX(OFFSET(Arb!$B$2,,,Arb!$AJ$5,),N98),INDEX(OFFSET(Arb!$A$2,,,Arb!$AJ$5,),N98))</f>
        <v>43934</v>
      </c>
      <c r="Y98" s="414">
        <v>22</v>
      </c>
      <c r="Z98" s="408">
        <v>3341</v>
      </c>
      <c r="AA98" s="433">
        <f ca="1">IF(Z98="",164,INDEX(OFFSET(Arb!$I$2,,,Arb!$AJ$5,),Z98))</f>
        <v>199</v>
      </c>
      <c r="AB98" s="680">
        <f ca="1">IF(Z98="",240,INDEX(OFFSET(Arb!$H$2,,,Arb!$AJ$5,),Z98))</f>
        <v>77.91</v>
      </c>
      <c r="AC98" s="908">
        <f t="shared" ca="1" si="23"/>
        <v>2.5542292388653576</v>
      </c>
      <c r="AD98" s="917">
        <f ca="1">IF(Z98="","",INDEX(OFFSET(Arb!$X$2,,,Arb!$AJ$5,),Z98)/AB98)</f>
        <v>3.1318187652419458</v>
      </c>
      <c r="AE98" s="903">
        <f ca="1">IF(Z98="","",(INDEX(OFFSET(Arb!$U$2,,,Arb!$AJ$5,),Z98)+INDEX(OFFSET(Arb!$V$2,,,Arb!$AJ$5,),Z98))/AB98)</f>
        <v>3.5168784494930048</v>
      </c>
      <c r="AF98" s="127">
        <f ca="1">INDEX(OFFSET(Arb!$AC$2,,,Arb!$AJ$5,),Z98)/16</f>
        <v>550.9375</v>
      </c>
      <c r="AG98" s="34">
        <f t="shared" ca="1" si="24"/>
        <v>7.0714606597355925</v>
      </c>
      <c r="AH98" s="21">
        <f t="shared" ca="1" si="25"/>
        <v>22.14653319183012</v>
      </c>
      <c r="AI98" s="33">
        <f t="shared" ca="1" si="26"/>
        <v>0.3612024957458877</v>
      </c>
      <c r="AJ98" s="91">
        <f ca="1">DATE(INDEX(OFFSET(Arb!$C$2,,,Arb!$AJ$5,),Z98),INDEX(OFFSET(Arb!$B$2,,,Arb!$AJ$5,),Z98),INDEX(OFFSET(Arb!$A$2,,,Arb!$AJ$5,),Z98))</f>
        <v>44097</v>
      </c>
    </row>
    <row r="99" spans="1:36" x14ac:dyDescent="0.25">
      <c r="A99" s="89">
        <v>23</v>
      </c>
      <c r="B99" s="408">
        <v>788</v>
      </c>
      <c r="C99" s="433">
        <f ca="1">IF(B99="",16,INDEX(OFFSET(Arb!$I$2,,,Arb!$AJ$5,),B99))</f>
        <v>11</v>
      </c>
      <c r="D99" s="274">
        <f ca="1">IF(B99="",10,INDEX(OFFSET(Arb!$H$2,,,Arb!$AJ$5,),B99))</f>
        <v>4.51</v>
      </c>
      <c r="E99" s="926">
        <f t="shared" ca="1" si="15"/>
        <v>2.4390243902439024</v>
      </c>
      <c r="F99" s="956">
        <f ca="1">IF(B99="","",INDEX(OFFSET(Arb!$X$2,,,Arb!$AJ$5,),B99)/D99)</f>
        <v>4.2128603104212861</v>
      </c>
      <c r="G99" s="914">
        <f ca="1">IF(B99="","",(INDEX(OFFSET(Arb!$U$2,,,Arb!$AJ$5,),B99)+INDEX(OFFSET(Arb!$V$2,,,Arb!$AJ$5,),B99))/D99)</f>
        <v>5.7649667405764973</v>
      </c>
      <c r="H99" s="126">
        <f ca="1">INDEX(OFFSET(Arb!$AC$2,,,Arb!$AJ$5,),B99)/16</f>
        <v>47.375</v>
      </c>
      <c r="I99" s="34">
        <f t="shared" ca="1" si="16"/>
        <v>10.504434589800445</v>
      </c>
      <c r="J99" s="21">
        <f t="shared" ca="1" si="17"/>
        <v>44.253715566786795</v>
      </c>
      <c r="K99" s="33">
        <f t="shared" ca="1" si="18"/>
        <v>0.23218997361477572</v>
      </c>
      <c r="L99" s="88">
        <f ca="1">DATE(INDEX(OFFSET(Arb!$C$2,,,Arb!$AJ$5,),B99),INDEX(OFFSET(Arb!$B$2,,,Arb!$AJ$5,),B99),INDEX(OFFSET(Arb!$A$2,,,Arb!$AJ$5,),B99))</f>
        <v>43811</v>
      </c>
      <c r="M99" s="89">
        <v>23</v>
      </c>
      <c r="N99" s="408">
        <v>2286</v>
      </c>
      <c r="O99" s="433">
        <f ca="1">IF(N99="",64,INDEX(OFFSET(Arb!$I$2,,,Arb!$AJ$5,),N99))</f>
        <v>76</v>
      </c>
      <c r="P99" s="690">
        <f ca="1">IF(N99="",60,INDEX(OFFSET(Arb!$H$2,,,Arb!$AJ$5,),N99))</f>
        <v>28.63</v>
      </c>
      <c r="Q99" s="908">
        <f t="shared" ca="1" si="19"/>
        <v>2.6545581557806499</v>
      </c>
      <c r="R99" s="921">
        <f ca="1">IF(N99="","",INDEX(OFFSET(Arb!$X$2,,,Arb!$AJ$5,),N99)/P99)</f>
        <v>3.597624869018512</v>
      </c>
      <c r="S99" s="907">
        <f ca="1">IF(N99="","",(INDEX(OFFSET(Arb!$U$2,,,Arb!$AJ$5,),N99)+INDEX(OFFSET(Arb!$V$2,,,Arb!$AJ$5,),N99))/P99)</f>
        <v>4.0866224240307369</v>
      </c>
      <c r="T99" s="127">
        <f ca="1">INDEX(OFFSET(Arb!$AC$2,,,Arb!$AJ$5,),N99)/16</f>
        <v>251.8125</v>
      </c>
      <c r="U99" s="34">
        <f t="shared" ca="1" si="20"/>
        <v>8.7954069158225643</v>
      </c>
      <c r="V99" s="21">
        <f t="shared" ca="1" si="21"/>
        <v>31.642574653500667</v>
      </c>
      <c r="W99" s="33">
        <f t="shared" ca="1" si="22"/>
        <v>0.30181186398610077</v>
      </c>
      <c r="X99" s="91">
        <f ca="1">DATE(INDEX(OFFSET(Arb!$C$2,,,Arb!$AJ$5,),N99),INDEX(OFFSET(Arb!$B$2,,,Arb!$AJ$5,),N99),INDEX(OFFSET(Arb!$A$2,,,Arb!$AJ$5,),N99))</f>
        <v>43935</v>
      </c>
      <c r="Y99" s="414">
        <v>23</v>
      </c>
      <c r="Z99" s="408">
        <v>3217</v>
      </c>
      <c r="AA99" s="433">
        <f ca="1">IF(Z99="",164,INDEX(OFFSET(Arb!$I$2,,,Arb!$AJ$5,),Z99))</f>
        <v>194</v>
      </c>
      <c r="AB99" s="679">
        <f ca="1">IF(Z99="",240,INDEX(OFFSET(Arb!$H$2,,,Arb!$AJ$5,),Z99))</f>
        <v>70.53</v>
      </c>
      <c r="AC99" s="901">
        <f t="shared" ca="1" si="23"/>
        <v>2.7506025804622145</v>
      </c>
      <c r="AD99" s="917">
        <f ca="1">IF(Z99="","",INDEX(OFFSET(Arb!$X$2,,,Arb!$AJ$5,),Z99)/AB99)</f>
        <v>3.2184885864171275</v>
      </c>
      <c r="AE99" s="903">
        <f ca="1">IF(Z99="","",(INDEX(OFFSET(Arb!$U$2,,,Arb!$AJ$5,),Z99)+INDEX(OFFSET(Arb!$V$2,,,Arb!$AJ$5,),Z99))/AB99)</f>
        <v>3.5162342265702535</v>
      </c>
      <c r="AF99" s="127">
        <f ca="1">INDEX(OFFSET(Arb!$AC$2,,,Arb!$AJ$5,),Z99)/16</f>
        <v>549.1875</v>
      </c>
      <c r="AG99" s="34">
        <f t="shared" ca="1" si="24"/>
        <v>7.7865801786473838</v>
      </c>
      <c r="AH99" s="21">
        <f t="shared" ca="1" si="25"/>
        <v>25.061019432198442</v>
      </c>
      <c r="AI99" s="33">
        <f t="shared" ca="1" si="26"/>
        <v>0.35324911801524977</v>
      </c>
      <c r="AJ99" s="91">
        <f ca="1">DATE(INDEX(OFFSET(Arb!$C$2,,,Arb!$AJ$5,),Z99),INDEX(OFFSET(Arb!$B$2,,,Arb!$AJ$5,),Z99),INDEX(OFFSET(Arb!$A$2,,,Arb!$AJ$5,),Z99))</f>
        <v>44059</v>
      </c>
    </row>
    <row r="100" spans="1:36" x14ac:dyDescent="0.25">
      <c r="A100" s="89">
        <v>24</v>
      </c>
      <c r="B100" s="408">
        <v>1318</v>
      </c>
      <c r="C100" s="433">
        <f ca="1">IF(B100="",16,INDEX(OFFSET(Arb!$I$2,,,Arb!$AJ$5,),B100))</f>
        <v>25</v>
      </c>
      <c r="D100" s="693">
        <f ca="1">IF(B100="",10,INDEX(OFFSET(Arb!$H$2,,,Arb!$AJ$5,),B100))</f>
        <v>6.94</v>
      </c>
      <c r="E100" s="922">
        <f t="shared" ca="1" si="15"/>
        <v>3.6023054755043225</v>
      </c>
      <c r="F100" s="920">
        <f ca="1">IF(B100="","",INDEX(OFFSET(Arb!$X$2,,,Arb!$AJ$5,),B100)/D100)</f>
        <v>4.7550432276657055</v>
      </c>
      <c r="G100" s="914">
        <f ca="1">IF(B100="","",(INDEX(OFFSET(Arb!$U$2,,,Arb!$AJ$5,),B100)+INDEX(OFFSET(Arb!$V$2,,,Arb!$AJ$5,),B100))/D100)</f>
        <v>5.7636887608069163</v>
      </c>
      <c r="H100" s="126">
        <f ca="1">INDEX(OFFSET(Arb!$AC$2,,,Arb!$AJ$5,),B100)/16</f>
        <v>70.625</v>
      </c>
      <c r="I100" s="34">
        <f t="shared" ca="1" si="16"/>
        <v>10.176512968299711</v>
      </c>
      <c r="J100" s="21">
        <f t="shared" ca="1" si="17"/>
        <v>48.38975907116577</v>
      </c>
      <c r="K100" s="33">
        <f t="shared" ca="1" si="18"/>
        <v>0.35398230088495575</v>
      </c>
      <c r="L100" s="88">
        <f ca="1">DATE(INDEX(OFFSET(Arb!$C$2,,,Arb!$AJ$5,),B100),INDEX(OFFSET(Arb!$B$2,,,Arb!$AJ$5,),B100),INDEX(OFFSET(Arb!$A$2,,,Arb!$AJ$5,),B100))</f>
        <v>43912</v>
      </c>
      <c r="M100" s="89">
        <v>24</v>
      </c>
      <c r="N100" s="408">
        <v>1898</v>
      </c>
      <c r="O100" s="433">
        <f ca="1">IF(N100="",64,INDEX(OFFSET(Arb!$I$2,,,Arb!$AJ$5,),N100))</f>
        <v>73</v>
      </c>
      <c r="P100" s="682">
        <f ca="1">IF(N100="",60,INDEX(OFFSET(Arb!$H$2,,,Arb!$AJ$5,),N100))</f>
        <v>26.43</v>
      </c>
      <c r="Q100" s="901">
        <f t="shared" ca="1" si="19"/>
        <v>2.7620128641695043</v>
      </c>
      <c r="R100" s="921">
        <f ca="1">IF(N100="","",INDEX(OFFSET(Arb!$X$2,,,Arb!$AJ$5,),N100)/P100)</f>
        <v>3.5565645100264849</v>
      </c>
      <c r="S100" s="907">
        <f ca="1">IF(N100="","",(INDEX(OFFSET(Arb!$U$2,,,Arb!$AJ$5,),N100)+INDEX(OFFSET(Arb!$V$2,,,Arb!$AJ$5,),N100))/P100)</f>
        <v>4.0862656072644725</v>
      </c>
      <c r="T100" s="127">
        <f ca="1">INDEX(OFFSET(Arb!$AC$2,,,Arb!$AJ$5,),N100)/16</f>
        <v>226.6875</v>
      </c>
      <c r="U100" s="34">
        <f t="shared" ca="1" si="20"/>
        <v>8.5769012485811587</v>
      </c>
      <c r="V100" s="21">
        <f t="shared" ca="1" si="21"/>
        <v>30.504302586705595</v>
      </c>
      <c r="W100" s="33">
        <f t="shared" ca="1" si="22"/>
        <v>0.32202922525503169</v>
      </c>
      <c r="X100" s="91">
        <f ca="1">DATE(INDEX(OFFSET(Arb!$C$2,,,Arb!$AJ$5,),N100),INDEX(OFFSET(Arb!$B$2,,,Arb!$AJ$5,),N100),INDEX(OFFSET(Arb!$A$2,,,Arb!$AJ$5,),N100))</f>
        <v>43765</v>
      </c>
      <c r="Y100" s="414">
        <v>24</v>
      </c>
      <c r="Z100" s="408">
        <v>3241</v>
      </c>
      <c r="AA100" s="433">
        <f ca="1">IF(Z100="",164,INDEX(OFFSET(Arb!$I$2,,,Arb!$AJ$5,),Z100))</f>
        <v>146</v>
      </c>
      <c r="AB100" s="688">
        <f ca="1">IF(Z100="",240,INDEX(OFFSET(Arb!$H$2,,,Arb!$AJ$5,),Z100))</f>
        <v>59.17</v>
      </c>
      <c r="AC100" s="926">
        <f t="shared" ca="1" si="23"/>
        <v>2.467466621598783</v>
      </c>
      <c r="AD100" s="917">
        <f ca="1">IF(Z100="","",INDEX(OFFSET(Arb!$X$2,,,Arb!$AJ$5,),Z100)/AB100)</f>
        <v>3.0927835051546393</v>
      </c>
      <c r="AE100" s="903">
        <f ca="1">IF(Z100="","",(INDEX(OFFSET(Arb!$U$2,,,Arb!$AJ$5,),Z100)+INDEX(OFFSET(Arb!$V$2,,,Arb!$AJ$5,),Z100))/AB100)</f>
        <v>3.5152949129626498</v>
      </c>
      <c r="AF100" s="127">
        <f ca="1">INDEX(OFFSET(Arb!$AC$2,,,Arb!$AJ$5,),Z100)/16</f>
        <v>460.0625</v>
      </c>
      <c r="AG100" s="34">
        <f t="shared" ca="1" si="24"/>
        <v>7.7752661821869191</v>
      </c>
      <c r="AH100" s="21">
        <f t="shared" ca="1" si="25"/>
        <v>24.04721499645439</v>
      </c>
      <c r="AI100" s="33">
        <f t="shared" ca="1" si="26"/>
        <v>0.31734818638771906</v>
      </c>
      <c r="AJ100" s="91">
        <f ca="1">DATE(INDEX(OFFSET(Arb!$C$2,,,Arb!$AJ$5,),Z100),INDEX(OFFSET(Arb!$B$2,,,Arb!$AJ$5,),Z100),INDEX(OFFSET(Arb!$A$2,,,Arb!$AJ$5,),Z100))</f>
        <v>44064</v>
      </c>
    </row>
    <row r="101" spans="1:36" ht="13.8" thickBot="1" x14ac:dyDescent="0.3">
      <c r="A101" s="111">
        <v>25</v>
      </c>
      <c r="B101" s="67">
        <v>1283</v>
      </c>
      <c r="C101" s="447">
        <f ca="1">IF(B101="",16,INDEX(OFFSET(Arb!$I$2,,,Arb!$AJ$5,),B101))</f>
        <v>19</v>
      </c>
      <c r="D101" s="854">
        <f ca="1">IF(B101="",10,INDEX(OFFSET(Arb!$H$2,,,Arb!$AJ$5,),B101))</f>
        <v>5.22</v>
      </c>
      <c r="E101" s="957">
        <f t="shared" ca="1" si="15"/>
        <v>3.6398467432950192</v>
      </c>
      <c r="F101" s="958">
        <f ca="1">IF(B101="","",INDEX(OFFSET(Arb!$X$2,,,Arb!$AJ$5,),B101)/D101)</f>
        <v>4.7892720306513414</v>
      </c>
      <c r="G101" s="959">
        <f ca="1">IF(B101="","",(INDEX(OFFSET(Arb!$U$2,,,Arb!$AJ$5,),B101)+INDEX(OFFSET(Arb!$V$2,,,Arb!$AJ$5,),B101))/D101)</f>
        <v>5.7471264367816097</v>
      </c>
      <c r="H101" s="134">
        <f ca="1">INDEX(OFFSET(Arb!$AC$2,,,Arb!$AJ$5,),B101)/16</f>
        <v>53.875</v>
      </c>
      <c r="I101" s="112">
        <f t="shared" ca="1" si="16"/>
        <v>10.32088122605364</v>
      </c>
      <c r="J101" s="135">
        <f t="shared" ca="1" si="17"/>
        <v>49.429507787613225</v>
      </c>
      <c r="K101" s="113">
        <f t="shared" ca="1" si="18"/>
        <v>0.35266821345707655</v>
      </c>
      <c r="L101" s="249">
        <f ca="1">DATE(INDEX(OFFSET(Arb!$C$2,,,Arb!$AJ$5,),B101),INDEX(OFFSET(Arb!$B$2,,,Arb!$AJ$5,),B101),INDEX(OFFSET(Arb!$A$2,,,Arb!$AJ$5,),B101))</f>
        <v>43906</v>
      </c>
      <c r="M101" s="111">
        <v>25</v>
      </c>
      <c r="N101" s="67">
        <v>2334</v>
      </c>
      <c r="O101" s="447">
        <f ca="1">IF(N101="",64,INDEX(OFFSET(Arb!$I$2,,,Arb!$AJ$5,),N101))</f>
        <v>64</v>
      </c>
      <c r="P101" s="862">
        <f ca="1">IF(N101="",60,INDEX(OFFSET(Arb!$H$2,,,Arb!$AJ$5,),N101))</f>
        <v>21.85</v>
      </c>
      <c r="Q101" s="960">
        <f t="shared" ca="1" si="19"/>
        <v>2.9290617848970251</v>
      </c>
      <c r="R101" s="961">
        <f ca="1">IF(N101="","",INDEX(OFFSET(Arb!$X$2,,,Arb!$AJ$5,),N101)/P101)</f>
        <v>3.7528604118993134</v>
      </c>
      <c r="S101" s="962">
        <f ca="1">IF(N101="","",(INDEX(OFFSET(Arb!$U$2,,,Arb!$AJ$5,),N101)+INDEX(OFFSET(Arb!$V$2,,,Arb!$AJ$5,),N101))/P101)</f>
        <v>4.0732265446224254</v>
      </c>
      <c r="T101" s="136">
        <f ca="1">INDEX(OFFSET(Arb!$AC$2,,,Arb!$AJ$5,),N101)/16</f>
        <v>194.9375</v>
      </c>
      <c r="U101" s="112">
        <f t="shared" ca="1" si="20"/>
        <v>8.9216247139588098</v>
      </c>
      <c r="V101" s="135">
        <f t="shared" ca="1" si="21"/>
        <v>33.481612198838555</v>
      </c>
      <c r="W101" s="113">
        <f t="shared" ca="1" si="22"/>
        <v>0.32831035588329593</v>
      </c>
      <c r="X101" s="250">
        <f ca="1">DATE(INDEX(OFFSET(Arb!$C$2,,,Arb!$AJ$5,),N101),INDEX(OFFSET(Arb!$B$2,,,Arb!$AJ$5,),N101),INDEX(OFFSET(Arb!$A$2,,,Arb!$AJ$5,),N101))</f>
        <v>44093</v>
      </c>
      <c r="Y101" s="118">
        <v>25</v>
      </c>
      <c r="Z101" s="67">
        <v>3308</v>
      </c>
      <c r="AA101" s="447">
        <f ca="1">IF(Z101="",164,INDEX(OFFSET(Arb!$I$2,,,Arb!$AJ$5,),Z101))</f>
        <v>196</v>
      </c>
      <c r="AB101" s="855">
        <f ca="1">IF(Z101="",240,INDEX(OFFSET(Arb!$H$2,,,Arb!$AJ$5,),Z101))</f>
        <v>73.81</v>
      </c>
      <c r="AC101" s="963">
        <f t="shared" ca="1" si="23"/>
        <v>2.655466738924265</v>
      </c>
      <c r="AD101" s="964">
        <f ca="1">IF(Z101="","",INDEX(OFFSET(Arb!$X$2,,,Arb!$AJ$5,),Z101)/AB101)</f>
        <v>3.1973987264598294</v>
      </c>
      <c r="AE101" s="965">
        <f ca="1">IF(Z101="","",(INDEX(OFFSET(Arb!$U$2,,,Arb!$AJ$5,),Z101)+INDEX(OFFSET(Arb!$V$2,,,Arb!$AJ$5,),Z101))/AB101)</f>
        <v>3.5090096192927787</v>
      </c>
      <c r="AF101" s="136">
        <f ca="1">INDEX(OFFSET(Arb!$AC$2,,,Arb!$AJ$5,),Z101)/16</f>
        <v>582.4375</v>
      </c>
      <c r="AG101" s="112">
        <f t="shared" ca="1" si="24"/>
        <v>7.8910377997561305</v>
      </c>
      <c r="AH101" s="135">
        <f t="shared" ca="1" si="25"/>
        <v>25.230794211386627</v>
      </c>
      <c r="AI101" s="113">
        <f t="shared" ca="1" si="26"/>
        <v>0.33651679364738707</v>
      </c>
      <c r="AJ101" s="250">
        <f ca="1">DATE(INDEX(OFFSET(Arb!$C$2,,,Arb!$AJ$5,),Z101),INDEX(OFFSET(Arb!$B$2,,,Arb!$AJ$5,),Z101),INDEX(OFFSET(Arb!$A$2,,,Arb!$AJ$5,),Z101))</f>
        <v>44092</v>
      </c>
    </row>
    <row r="102" spans="1:36" x14ac:dyDescent="0.25">
      <c r="A102" s="70"/>
      <c r="B102" s="70"/>
      <c r="C102" s="438"/>
      <c r="D102" s="119"/>
      <c r="E102" s="70"/>
      <c r="F102" s="70"/>
      <c r="G102" s="70"/>
      <c r="H102" s="137"/>
      <c r="I102" s="119"/>
      <c r="J102" s="121"/>
      <c r="K102" s="122"/>
      <c r="L102" s="419"/>
      <c r="M102" s="123"/>
      <c r="N102" s="70"/>
      <c r="O102" s="438"/>
      <c r="P102" s="119"/>
      <c r="Q102" s="70"/>
      <c r="R102" s="70"/>
      <c r="S102" s="70"/>
      <c r="T102" s="70"/>
      <c r="U102" s="119"/>
      <c r="V102" s="121"/>
      <c r="W102" s="122"/>
      <c r="X102" s="420"/>
      <c r="Y102" s="125"/>
      <c r="Z102" s="70"/>
      <c r="AA102" s="438"/>
      <c r="AB102" s="119"/>
      <c r="AC102" s="70"/>
      <c r="AD102" s="70"/>
      <c r="AE102" s="70"/>
      <c r="AF102" s="70"/>
      <c r="AG102" s="119"/>
      <c r="AH102" s="121"/>
      <c r="AI102" s="122"/>
      <c r="AJ102" s="421"/>
    </row>
  </sheetData>
  <phoneticPr fontId="1" type="noConversion"/>
  <conditionalFormatting sqref="J1:J1048576">
    <cfRule type="expression" dxfId="115" priority="80">
      <formula>J1&gt;=168.75</formula>
    </cfRule>
    <cfRule type="expression" dxfId="114" priority="81">
      <formula>J1&gt;=147</formula>
    </cfRule>
    <cfRule type="expression" dxfId="113" priority="82">
      <formula>J1&gt;=126.75</formula>
    </cfRule>
    <cfRule type="expression" dxfId="112" priority="83">
      <formula>J1&gt;=108</formula>
    </cfRule>
    <cfRule type="expression" dxfId="111" priority="84">
      <formula>J1&gt;=90.75</formula>
    </cfRule>
    <cfRule type="expression" dxfId="110" priority="85">
      <formula>J1&gt;=75</formula>
    </cfRule>
    <cfRule type="expression" dxfId="109" priority="86">
      <formula>J1&gt;=60.75</formula>
    </cfRule>
    <cfRule type="expression" dxfId="108" priority="87">
      <formula>J1&gt;=48</formula>
    </cfRule>
    <cfRule type="expression" dxfId="107" priority="88">
      <formula>J1&gt;=36.75</formula>
    </cfRule>
    <cfRule type="expression" dxfId="106" priority="89">
      <formula>J1&gt;=27</formula>
    </cfRule>
    <cfRule type="expression" dxfId="105" priority="90">
      <formula>J1&gt;=18.75</formula>
    </cfRule>
    <cfRule type="expression" dxfId="104" priority="91">
      <formula>J1&gt;=12</formula>
    </cfRule>
    <cfRule type="expression" dxfId="103" priority="92">
      <formula>J1&gt;=6.75</formula>
    </cfRule>
    <cfRule type="expression" dxfId="102" priority="93">
      <formula>J1&gt;=0</formula>
    </cfRule>
  </conditionalFormatting>
  <conditionalFormatting sqref="V1:V1048576">
    <cfRule type="expression" dxfId="101" priority="66">
      <formula>V1&gt;=168.75</formula>
    </cfRule>
    <cfRule type="expression" dxfId="100" priority="67">
      <formula>V1&gt;=147</formula>
    </cfRule>
    <cfRule type="expression" dxfId="99" priority="68">
      <formula>V1&gt;=126.75</formula>
    </cfRule>
    <cfRule type="expression" dxfId="98" priority="69">
      <formula>V1&gt;=108</formula>
    </cfRule>
    <cfRule type="expression" dxfId="97" priority="70">
      <formula>V1&gt;=90.75</formula>
    </cfRule>
    <cfRule type="expression" dxfId="96" priority="71">
      <formula>V1&gt;=75</formula>
    </cfRule>
    <cfRule type="expression" dxfId="95" priority="72">
      <formula>V1&gt;=60.75</formula>
    </cfRule>
    <cfRule type="expression" dxfId="94" priority="73">
      <formula>V1&gt;=48</formula>
    </cfRule>
    <cfRule type="expression" dxfId="93" priority="74">
      <formula>V1&gt;=36.75</formula>
    </cfRule>
    <cfRule type="expression" dxfId="92" priority="75">
      <formula>V1&gt;=27</formula>
    </cfRule>
    <cfRule type="expression" dxfId="91" priority="76">
      <formula>V1&gt;=18.75</formula>
    </cfRule>
    <cfRule type="expression" dxfId="90" priority="77">
      <formula>V1&gt;=12</formula>
    </cfRule>
    <cfRule type="expression" dxfId="89" priority="78">
      <formula>V1&gt;=6.75</formula>
    </cfRule>
    <cfRule type="expression" dxfId="88" priority="79">
      <formula>V1&gt;=0</formula>
    </cfRule>
  </conditionalFormatting>
  <conditionalFormatting sqref="AH1:AH1048576">
    <cfRule type="expression" dxfId="87" priority="52">
      <formula>AH1&gt;=168.75</formula>
    </cfRule>
    <cfRule type="expression" dxfId="86" priority="53">
      <formula>AH1&gt;=147</formula>
    </cfRule>
    <cfRule type="expression" dxfId="85" priority="54">
      <formula>AH1&gt;=126.75</formula>
    </cfRule>
    <cfRule type="expression" dxfId="84" priority="55">
      <formula>AH1&gt;=108</formula>
    </cfRule>
    <cfRule type="expression" dxfId="83" priority="56">
      <formula>AH1&gt;=90.75</formula>
    </cfRule>
    <cfRule type="expression" dxfId="82" priority="57">
      <formula>AH1&gt;=75</formula>
    </cfRule>
    <cfRule type="expression" dxfId="81" priority="58">
      <formula>AH1&gt;=60.75</formula>
    </cfRule>
    <cfRule type="expression" dxfId="80" priority="59">
      <formula>AH1&gt;=48</formula>
    </cfRule>
    <cfRule type="expression" dxfId="79" priority="60">
      <formula>AH1&gt;=36.75</formula>
    </cfRule>
    <cfRule type="expression" dxfId="78" priority="61">
      <formula>AH1&gt;=27</formula>
    </cfRule>
    <cfRule type="expression" dxfId="77" priority="62">
      <formula>AH1&gt;=18.75</formula>
    </cfRule>
    <cfRule type="expression" dxfId="76" priority="63">
      <formula>AH1&gt;=12</formula>
    </cfRule>
    <cfRule type="expression" dxfId="75" priority="64">
      <formula>AH1&gt;=6.75</formula>
    </cfRule>
    <cfRule type="expression" dxfId="74" priority="65">
      <formula>AH1&gt;=0</formula>
    </cfRule>
  </conditionalFormatting>
  <conditionalFormatting sqref="L1:L1048576">
    <cfRule type="expression" dxfId="73" priority="49">
      <formula>YEAR(NOW())-YEAR(L1)=0</formula>
    </cfRule>
    <cfRule type="expression" dxfId="72" priority="50">
      <formula>YEAR(NOW())-YEAR(L1)=1</formula>
    </cfRule>
    <cfRule type="expression" dxfId="71" priority="51">
      <formula>YEAR(NOW())-YEAR(L1)=2</formula>
    </cfRule>
  </conditionalFormatting>
  <conditionalFormatting sqref="X1:X1048576">
    <cfRule type="expression" dxfId="70" priority="46">
      <formula>YEAR(NOW())-YEAR(X1)=0</formula>
    </cfRule>
    <cfRule type="expression" dxfId="69" priority="47">
      <formula>YEAR(NOW())-YEAR(X1)=1</formula>
    </cfRule>
    <cfRule type="expression" dxfId="68" priority="48">
      <formula>YEAR(NOW())-YEAR(X1)=2</formula>
    </cfRule>
  </conditionalFormatting>
  <conditionalFormatting sqref="AJ1:AJ1048576">
    <cfRule type="expression" dxfId="67" priority="43">
      <formula>YEAR(NOW())-YEAR(AJ1)=0</formula>
    </cfRule>
    <cfRule type="expression" dxfId="66" priority="44">
      <formula>YEAR(NOW())-YEAR(AJ1)=1</formula>
    </cfRule>
    <cfRule type="expression" dxfId="65" priority="45">
      <formula>YEAR(NOW())-YEAR(AJ1)=2</formula>
    </cfRule>
  </conditionalFormatting>
  <conditionalFormatting sqref="I1:I1048576">
    <cfRule type="expression" dxfId="64" priority="29">
      <formula>I1&gt;=7.5*3</formula>
    </cfRule>
    <cfRule type="expression" dxfId="63" priority="30">
      <formula>I1&gt;=7*3</formula>
    </cfRule>
    <cfRule type="expression" dxfId="62" priority="31">
      <formula>I1&gt;=6.5*3</formula>
    </cfRule>
    <cfRule type="expression" dxfId="61" priority="32">
      <formula>I1&gt;=6*3</formula>
    </cfRule>
    <cfRule type="expression" dxfId="60" priority="33">
      <formula>I1&gt;=5.5*3</formula>
    </cfRule>
    <cfRule type="expression" dxfId="59" priority="34">
      <formula>I1&gt;=5*3</formula>
    </cfRule>
    <cfRule type="expression" dxfId="58" priority="35">
      <formula>I1&gt;=4.5*3</formula>
    </cfRule>
    <cfRule type="expression" dxfId="57" priority="36">
      <formula>I1&gt;=4*3</formula>
    </cfRule>
    <cfRule type="expression" dxfId="56" priority="37">
      <formula>I1&gt;=3.5*3</formula>
    </cfRule>
    <cfRule type="expression" dxfId="55" priority="38">
      <formula>I1&gt;=3*3</formula>
    </cfRule>
    <cfRule type="expression" dxfId="54" priority="39">
      <formula>I1&gt;=2.5*3</formula>
    </cfRule>
    <cfRule type="expression" dxfId="53" priority="40">
      <formula>I1&gt;=2*3</formula>
    </cfRule>
    <cfRule type="expression" dxfId="52" priority="41">
      <formula>I1&gt;=1.5*3</formula>
    </cfRule>
    <cfRule type="expression" dxfId="51" priority="42">
      <formula>I1&gt;=0</formula>
    </cfRule>
  </conditionalFormatting>
  <conditionalFormatting sqref="U1:U1048576">
    <cfRule type="expression" dxfId="50" priority="15">
      <formula>U1&gt;=7.5*3</formula>
    </cfRule>
    <cfRule type="expression" dxfId="49" priority="16">
      <formula>U1&gt;=7*3</formula>
    </cfRule>
    <cfRule type="expression" dxfId="48" priority="17">
      <formula>U1&gt;=6.5*3</formula>
    </cfRule>
    <cfRule type="expression" dxfId="47" priority="18">
      <formula>U1&gt;=6*3</formula>
    </cfRule>
    <cfRule type="expression" dxfId="46" priority="19">
      <formula>U1&gt;=5.5*3</formula>
    </cfRule>
    <cfRule type="expression" dxfId="45" priority="20">
      <formula>U1&gt;=5*3</formula>
    </cfRule>
    <cfRule type="expression" dxfId="44" priority="21">
      <formula>U1&gt;=4.5*3</formula>
    </cfRule>
    <cfRule type="expression" dxfId="43" priority="22">
      <formula>U1&gt;=4*3</formula>
    </cfRule>
    <cfRule type="expression" dxfId="42" priority="23">
      <formula>U1&gt;=3.5*3</formula>
    </cfRule>
    <cfRule type="expression" dxfId="41" priority="24">
      <formula>U1&gt;=3*3</formula>
    </cfRule>
    <cfRule type="expression" dxfId="40" priority="25">
      <formula>U1&gt;=2.5*3</formula>
    </cfRule>
    <cfRule type="expression" dxfId="39" priority="26">
      <formula>U1&gt;=2*3</formula>
    </cfRule>
    <cfRule type="expression" dxfId="38" priority="27">
      <formula>U1&gt;=1.5*3</formula>
    </cfRule>
    <cfRule type="expression" dxfId="37" priority="28">
      <formula>U1&gt;=0</formula>
    </cfRule>
  </conditionalFormatting>
  <conditionalFormatting sqref="AG1:AG1048576">
    <cfRule type="expression" dxfId="36" priority="1">
      <formula>AG1&gt;=7.5*3</formula>
    </cfRule>
    <cfRule type="expression" dxfId="35" priority="2">
      <formula>AG1&gt;=7*3</formula>
    </cfRule>
    <cfRule type="expression" dxfId="34" priority="3">
      <formula>AG1&gt;=6.5*3</formula>
    </cfRule>
    <cfRule type="expression" dxfId="33" priority="4">
      <formula>AG1&gt;=6*3</formula>
    </cfRule>
    <cfRule type="expression" dxfId="32" priority="5">
      <formula>AG1&gt;=5.5*3</formula>
    </cfRule>
    <cfRule type="expression" dxfId="31" priority="6">
      <formula>AG1&gt;=5*3</formula>
    </cfRule>
    <cfRule type="expression" dxfId="30" priority="7">
      <formula>AG1&gt;=4.5*3</formula>
    </cfRule>
    <cfRule type="expression" dxfId="29" priority="8">
      <formula>AG1&gt;=4*3</formula>
    </cfRule>
    <cfRule type="expression" dxfId="28" priority="9">
      <formula>AG1&gt;=3.5*3</formula>
    </cfRule>
    <cfRule type="expression" dxfId="27" priority="10">
      <formula>AG1&gt;=3*3</formula>
    </cfRule>
    <cfRule type="expression" dxfId="26" priority="11">
      <formula>AG1&gt;=2.5*3</formula>
    </cfRule>
    <cfRule type="expression" dxfId="25" priority="12">
      <formula>AG1&gt;=2*3</formula>
    </cfRule>
    <cfRule type="expression" dxfId="24" priority="13">
      <formula>AG1&gt;=1.5*3</formula>
    </cfRule>
    <cfRule type="expression" dxfId="23" priority="14">
      <formula>AG1&gt;=0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FFC000"/>
  </sheetPr>
  <dimension ref="A1:AS302"/>
  <sheetViews>
    <sheetView workbookViewId="0">
      <pane ySplit="1" topLeftCell="A2" activePane="bottomLeft" state="frozen"/>
      <selection activeCell="E1" sqref="E1"/>
      <selection pane="bottomLeft"/>
    </sheetView>
  </sheetViews>
  <sheetFormatPr defaultColWidth="5.109375" defaultRowHeight="13.2" x14ac:dyDescent="0.25"/>
  <cols>
    <col min="1" max="1" width="3.6640625" style="11" bestFit="1" customWidth="1"/>
    <col min="2" max="2" width="0" style="11" hidden="1" customWidth="1"/>
    <col min="3" max="3" width="3.6640625" style="433" bestFit="1" customWidth="1"/>
    <col min="4" max="4" width="3.33203125" style="35" bestFit="1" customWidth="1"/>
    <col min="5" max="5" width="2.88671875" style="35" bestFit="1" customWidth="1"/>
    <col min="6" max="6" width="3.6640625" style="35" bestFit="1" customWidth="1"/>
    <col min="7" max="7" width="2.88671875" style="35" bestFit="1" customWidth="1"/>
    <col min="8" max="8" width="6.21875" style="34" bestFit="1" customWidth="1"/>
    <col min="9" max="9" width="6.21875" style="11" bestFit="1" customWidth="1"/>
    <col min="10" max="10" width="4" style="11" bestFit="1" customWidth="1"/>
    <col min="11" max="11" width="4.77734375" style="13" bestFit="1" customWidth="1"/>
    <col min="12" max="12" width="5.33203125" style="20" bestFit="1" customWidth="1"/>
    <col min="13" max="13" width="4.6640625" style="11" bestFit="1" customWidth="1"/>
    <col min="14" max="14" width="4.77734375" style="33" bestFit="1" customWidth="1"/>
    <col min="15" max="15" width="8.109375" style="88" bestFit="1" customWidth="1"/>
    <col min="16" max="16" width="3.6640625" style="89" bestFit="1" customWidth="1"/>
    <col min="17" max="17" width="0" style="11" hidden="1" customWidth="1"/>
    <col min="18" max="18" width="3.6640625" style="433" bestFit="1" customWidth="1"/>
    <col min="19" max="19" width="3.33203125" style="35" bestFit="1" customWidth="1"/>
    <col min="20" max="20" width="2.88671875" style="35" bestFit="1" customWidth="1"/>
    <col min="21" max="21" width="3.6640625" style="35" bestFit="1" customWidth="1"/>
    <col min="22" max="22" width="2.88671875" style="35" bestFit="1" customWidth="1"/>
    <col min="23" max="23" width="6.44140625" style="34" bestFit="1" customWidth="1"/>
    <col min="24" max="24" width="6.109375" style="11" bestFit="1" customWidth="1"/>
    <col min="25" max="25" width="4" style="11" bestFit="1" customWidth="1"/>
    <col min="26" max="26" width="4.77734375" style="13" bestFit="1" customWidth="1"/>
    <col min="27" max="27" width="5.33203125" style="20" bestFit="1" customWidth="1"/>
    <col min="28" max="28" width="4.6640625" style="11" bestFit="1" customWidth="1"/>
    <col min="29" max="29" width="4.77734375" style="33" bestFit="1" customWidth="1"/>
    <col min="30" max="30" width="8.109375" style="91" bestFit="1" customWidth="1"/>
    <col min="31" max="31" width="3.6640625" style="92" bestFit="1" customWidth="1"/>
    <col min="32" max="32" width="0" style="11" hidden="1" customWidth="1"/>
    <col min="33" max="33" width="4.6640625" style="433" bestFit="1" customWidth="1"/>
    <col min="34" max="34" width="3.33203125" style="35" bestFit="1" customWidth="1"/>
    <col min="35" max="35" width="2.88671875" style="35" bestFit="1" customWidth="1"/>
    <col min="36" max="36" width="3.6640625" style="35" bestFit="1" customWidth="1"/>
    <col min="37" max="37" width="2.88671875" style="35" bestFit="1" customWidth="1"/>
    <col min="38" max="38" width="7.33203125" style="34" bestFit="1" customWidth="1"/>
    <col min="39" max="39" width="6.33203125" style="11" bestFit="1" customWidth="1"/>
    <col min="40" max="40" width="4" style="11" bestFit="1" customWidth="1"/>
    <col min="41" max="41" width="4.77734375" style="13" bestFit="1" customWidth="1"/>
    <col min="42" max="42" width="5.33203125" style="20" bestFit="1" customWidth="1"/>
    <col min="43" max="43" width="4.6640625" style="11" bestFit="1" customWidth="1"/>
    <col min="44" max="44" width="4.77734375" style="33" bestFit="1" customWidth="1"/>
    <col min="45" max="45" width="8.109375" style="74" bestFit="1" customWidth="1"/>
    <col min="46" max="16384" width="5.109375" style="19"/>
  </cols>
  <sheetData>
    <row r="1" spans="1:45" ht="13.8" thickBot="1" x14ac:dyDescent="0.3">
      <c r="A1" s="24"/>
      <c r="B1" s="24"/>
      <c r="D1" s="30"/>
      <c r="E1" s="30"/>
      <c r="F1" s="30"/>
      <c r="G1" s="30"/>
      <c r="H1" s="38"/>
      <c r="I1" s="64"/>
      <c r="J1" s="64"/>
      <c r="K1" s="84"/>
      <c r="L1" s="16"/>
      <c r="M1" s="138"/>
      <c r="N1" s="64"/>
      <c r="O1" s="76"/>
      <c r="P1" s="46"/>
      <c r="Q1" s="47"/>
      <c r="R1" s="446"/>
      <c r="S1" s="139"/>
      <c r="T1" s="139"/>
      <c r="U1" s="139"/>
      <c r="V1" s="139"/>
      <c r="W1" s="77"/>
      <c r="X1" s="78"/>
      <c r="Y1" s="78"/>
      <c r="Z1" s="79"/>
      <c r="AA1" s="140"/>
      <c r="AB1" s="141"/>
      <c r="AC1" s="78"/>
      <c r="AD1" s="82"/>
      <c r="AE1" s="83"/>
      <c r="AF1" s="24"/>
      <c r="AH1" s="30"/>
      <c r="AI1" s="30"/>
      <c r="AJ1" s="30"/>
      <c r="AK1" s="30"/>
      <c r="AL1" s="38"/>
      <c r="AM1" s="64"/>
      <c r="AN1" s="64"/>
      <c r="AO1" s="84"/>
      <c r="AP1" s="16"/>
      <c r="AQ1" s="138"/>
      <c r="AR1" s="64"/>
      <c r="AS1" s="73"/>
    </row>
    <row r="2" spans="1:45" x14ac:dyDescent="0.25">
      <c r="A2" s="1"/>
      <c r="B2" s="1"/>
      <c r="D2" s="17"/>
      <c r="E2" s="17"/>
      <c r="F2" s="1"/>
      <c r="G2" s="1"/>
      <c r="H2" s="2"/>
      <c r="I2" s="3"/>
      <c r="J2" s="3"/>
      <c r="K2" s="53"/>
      <c r="L2" s="142"/>
      <c r="M2" s="143"/>
      <c r="N2" s="144"/>
      <c r="P2" s="55"/>
      <c r="Q2" s="1"/>
      <c r="S2" s="17"/>
      <c r="T2" s="17"/>
      <c r="U2" s="1"/>
      <c r="V2" s="1"/>
      <c r="W2" s="2"/>
      <c r="X2" s="3"/>
      <c r="Y2" s="3"/>
      <c r="Z2" s="53"/>
      <c r="AA2" s="142"/>
      <c r="AB2" s="143"/>
      <c r="AC2" s="144"/>
      <c r="AE2" s="58"/>
      <c r="AF2" s="1"/>
      <c r="AH2" s="17"/>
      <c r="AI2" s="17"/>
      <c r="AJ2" s="1"/>
      <c r="AK2" s="1"/>
      <c r="AL2" s="2"/>
      <c r="AM2" s="3"/>
      <c r="AN2" s="3"/>
      <c r="AO2" s="53"/>
      <c r="AP2" s="142"/>
      <c r="AQ2" s="143"/>
      <c r="AR2" s="144"/>
    </row>
    <row r="3" spans="1:45" x14ac:dyDescent="0.25">
      <c r="A3" s="1"/>
      <c r="B3" s="1"/>
      <c r="D3" s="17"/>
      <c r="E3" s="17"/>
      <c r="F3" s="1"/>
      <c r="G3" s="1"/>
      <c r="H3" s="2"/>
      <c r="I3" s="3"/>
      <c r="J3" s="3"/>
      <c r="K3" s="53"/>
      <c r="L3" s="142"/>
      <c r="M3" s="145"/>
      <c r="N3" s="144"/>
      <c r="P3" s="55"/>
      <c r="Q3" s="1"/>
      <c r="S3" s="17"/>
      <c r="T3" s="17"/>
      <c r="U3" s="1"/>
      <c r="V3" s="1"/>
      <c r="W3" s="2"/>
      <c r="X3" s="3"/>
      <c r="Y3" s="3"/>
      <c r="Z3" s="53"/>
      <c r="AA3" s="142"/>
      <c r="AB3" s="145"/>
      <c r="AC3" s="144"/>
      <c r="AE3" s="58"/>
      <c r="AF3" s="1"/>
      <c r="AH3" s="17"/>
      <c r="AI3" s="17"/>
      <c r="AJ3" s="1"/>
      <c r="AK3" s="1"/>
      <c r="AL3" s="2"/>
      <c r="AM3" s="3"/>
      <c r="AN3" s="3"/>
      <c r="AO3" s="53"/>
      <c r="AP3" s="142"/>
      <c r="AQ3" s="145"/>
      <c r="AR3" s="144"/>
    </row>
    <row r="4" spans="1:45" x14ac:dyDescent="0.25">
      <c r="A4" s="1"/>
      <c r="B4" s="1"/>
      <c r="D4" s="17"/>
      <c r="E4" s="17"/>
      <c r="F4" s="1"/>
      <c r="G4" s="1"/>
      <c r="H4" s="2"/>
      <c r="I4" s="3"/>
      <c r="J4" s="3"/>
      <c r="K4" s="53"/>
      <c r="L4" s="142"/>
      <c r="M4" s="145"/>
      <c r="N4" s="144"/>
      <c r="P4" s="55"/>
      <c r="Q4" s="1"/>
      <c r="S4" s="17"/>
      <c r="T4" s="17"/>
      <c r="U4" s="1"/>
      <c r="V4" s="1"/>
      <c r="W4" s="2"/>
      <c r="X4" s="3"/>
      <c r="Y4" s="3"/>
      <c r="Z4" s="53"/>
      <c r="AA4" s="142"/>
      <c r="AB4" s="145"/>
      <c r="AC4" s="144"/>
      <c r="AE4" s="58"/>
      <c r="AF4" s="1"/>
      <c r="AH4" s="17"/>
      <c r="AI4" s="17"/>
      <c r="AJ4" s="1"/>
      <c r="AK4" s="1"/>
      <c r="AL4" s="2"/>
      <c r="AM4" s="3"/>
      <c r="AN4" s="3"/>
      <c r="AO4" s="53"/>
      <c r="AP4" s="142"/>
      <c r="AQ4" s="145"/>
      <c r="AR4" s="144"/>
    </row>
    <row r="5" spans="1:45" x14ac:dyDescent="0.25">
      <c r="A5" s="1"/>
      <c r="B5" s="1"/>
      <c r="D5" s="17"/>
      <c r="E5" s="17"/>
      <c r="F5" s="1"/>
      <c r="G5" s="1"/>
      <c r="H5" s="2"/>
      <c r="I5" s="3"/>
      <c r="J5" s="3"/>
      <c r="K5" s="53"/>
      <c r="L5" s="142"/>
      <c r="M5" s="145"/>
      <c r="N5" s="144"/>
      <c r="P5" s="55"/>
      <c r="Q5" s="1"/>
      <c r="S5" s="17"/>
      <c r="T5" s="17"/>
      <c r="U5" s="1"/>
      <c r="V5" s="1"/>
      <c r="W5" s="2"/>
      <c r="X5" s="3"/>
      <c r="Y5" s="3"/>
      <c r="Z5" s="53"/>
      <c r="AA5" s="142"/>
      <c r="AB5" s="145"/>
      <c r="AC5" s="144"/>
      <c r="AE5" s="58"/>
      <c r="AF5" s="1"/>
      <c r="AH5" s="17"/>
      <c r="AI5" s="17"/>
      <c r="AJ5" s="1"/>
      <c r="AK5" s="1"/>
      <c r="AL5" s="2"/>
      <c r="AM5" s="3"/>
      <c r="AN5" s="3"/>
      <c r="AO5" s="53"/>
      <c r="AP5" s="142"/>
      <c r="AQ5" s="145"/>
      <c r="AR5" s="144"/>
    </row>
    <row r="6" spans="1:45" x14ac:dyDescent="0.25">
      <c r="A6" s="1"/>
      <c r="B6" s="1"/>
      <c r="D6" s="17"/>
      <c r="E6" s="17"/>
      <c r="F6" s="1"/>
      <c r="G6" s="1"/>
      <c r="H6" s="2"/>
      <c r="I6" s="3"/>
      <c r="J6" s="3"/>
      <c r="K6" s="53"/>
      <c r="L6" s="142"/>
      <c r="M6" s="145"/>
      <c r="N6" s="144"/>
      <c r="P6" s="55"/>
      <c r="Q6" s="1"/>
      <c r="S6" s="17"/>
      <c r="T6" s="17"/>
      <c r="U6" s="1"/>
      <c r="V6" s="1"/>
      <c r="W6" s="2"/>
      <c r="X6" s="3"/>
      <c r="Y6" s="3"/>
      <c r="Z6" s="53"/>
      <c r="AA6" s="142"/>
      <c r="AB6" s="145"/>
      <c r="AC6" s="144"/>
      <c r="AE6" s="58"/>
      <c r="AF6" s="1"/>
      <c r="AH6" s="17"/>
      <c r="AI6" s="17"/>
      <c r="AJ6" s="1"/>
      <c r="AK6" s="1"/>
      <c r="AL6" s="2"/>
      <c r="AM6" s="3"/>
      <c r="AN6" s="3"/>
      <c r="AO6" s="53"/>
      <c r="AP6" s="142"/>
      <c r="AQ6" s="145"/>
      <c r="AR6" s="144"/>
    </row>
    <row r="7" spans="1:45" x14ac:dyDescent="0.25">
      <c r="A7" s="1"/>
      <c r="B7" s="1"/>
      <c r="D7" s="17"/>
      <c r="E7" s="17"/>
      <c r="F7" s="1"/>
      <c r="G7" s="1"/>
      <c r="H7" s="2"/>
      <c r="I7" s="3"/>
      <c r="J7" s="3"/>
      <c r="K7" s="53"/>
      <c r="L7" s="142"/>
      <c r="M7" s="145"/>
      <c r="N7" s="144"/>
      <c r="P7" s="55"/>
      <c r="Q7" s="1"/>
      <c r="S7" s="17"/>
      <c r="T7" s="17"/>
      <c r="U7" s="1"/>
      <c r="V7" s="1"/>
      <c r="W7" s="2"/>
      <c r="X7" s="3"/>
      <c r="Y7" s="3"/>
      <c r="Z7" s="53"/>
      <c r="AA7" s="142"/>
      <c r="AB7" s="145"/>
      <c r="AC7" s="144"/>
      <c r="AE7" s="58"/>
      <c r="AF7" s="1"/>
      <c r="AH7" s="17"/>
      <c r="AI7" s="17"/>
      <c r="AJ7" s="1"/>
      <c r="AK7" s="1"/>
      <c r="AL7" s="2"/>
      <c r="AM7" s="3"/>
      <c r="AN7" s="3"/>
      <c r="AO7" s="53"/>
      <c r="AP7" s="142"/>
      <c r="AQ7" s="145"/>
      <c r="AR7" s="144"/>
    </row>
    <row r="8" spans="1:45" x14ac:dyDescent="0.25">
      <c r="A8" s="1"/>
      <c r="B8" s="1"/>
      <c r="D8" s="17"/>
      <c r="E8" s="17"/>
      <c r="F8" s="1"/>
      <c r="G8" s="1"/>
      <c r="H8" s="2"/>
      <c r="I8" s="3"/>
      <c r="J8" s="3"/>
      <c r="K8" s="53"/>
      <c r="L8" s="142"/>
      <c r="M8" s="145"/>
      <c r="N8" s="144"/>
      <c r="P8" s="55"/>
      <c r="Q8" s="1"/>
      <c r="S8" s="17"/>
      <c r="T8" s="17"/>
      <c r="U8" s="1"/>
      <c r="V8" s="1"/>
      <c r="W8" s="2"/>
      <c r="X8" s="3"/>
      <c r="Y8" s="3"/>
      <c r="Z8" s="53"/>
      <c r="AA8" s="142"/>
      <c r="AB8" s="145"/>
      <c r="AC8" s="144"/>
      <c r="AE8" s="58"/>
      <c r="AF8" s="1"/>
      <c r="AH8" s="17"/>
      <c r="AI8" s="17"/>
      <c r="AJ8" s="1"/>
      <c r="AK8" s="1"/>
      <c r="AL8" s="2"/>
      <c r="AM8" s="3"/>
      <c r="AN8" s="3"/>
      <c r="AO8" s="53"/>
      <c r="AP8" s="142"/>
      <c r="AQ8" s="145"/>
      <c r="AR8" s="144"/>
    </row>
    <row r="9" spans="1:45" x14ac:dyDescent="0.25">
      <c r="A9" s="1"/>
      <c r="B9" s="1"/>
      <c r="D9" s="17"/>
      <c r="E9" s="17"/>
      <c r="F9" s="1"/>
      <c r="G9" s="1"/>
      <c r="H9" s="2"/>
      <c r="I9" s="3"/>
      <c r="J9" s="3"/>
      <c r="K9" s="53"/>
      <c r="L9" s="142"/>
      <c r="M9" s="145"/>
      <c r="N9" s="144"/>
      <c r="P9" s="55"/>
      <c r="Q9" s="1"/>
      <c r="S9" s="17"/>
      <c r="T9" s="17"/>
      <c r="U9" s="1"/>
      <c r="V9" s="1"/>
      <c r="W9" s="2"/>
      <c r="X9" s="3"/>
      <c r="Y9" s="3"/>
      <c r="Z9" s="53"/>
      <c r="AA9" s="142"/>
      <c r="AB9" s="145"/>
      <c r="AC9" s="144"/>
      <c r="AE9" s="58"/>
      <c r="AF9" s="1"/>
      <c r="AH9" s="17"/>
      <c r="AI9" s="17"/>
      <c r="AJ9" s="1"/>
      <c r="AK9" s="1"/>
      <c r="AL9" s="2"/>
      <c r="AM9" s="3"/>
      <c r="AN9" s="3"/>
      <c r="AO9" s="53"/>
      <c r="AP9" s="142"/>
      <c r="AQ9" s="145"/>
      <c r="AR9" s="144"/>
    </row>
    <row r="10" spans="1:45" x14ac:dyDescent="0.25">
      <c r="A10" s="1"/>
      <c r="B10" s="1"/>
      <c r="D10" s="17"/>
      <c r="E10" s="17"/>
      <c r="F10" s="1"/>
      <c r="G10" s="1"/>
      <c r="H10" s="2"/>
      <c r="I10" s="3"/>
      <c r="J10" s="3"/>
      <c r="K10" s="53"/>
      <c r="L10" s="142"/>
      <c r="M10" s="145"/>
      <c r="N10" s="144"/>
      <c r="P10" s="55"/>
      <c r="Q10" s="1"/>
      <c r="S10" s="17"/>
      <c r="T10" s="17"/>
      <c r="U10" s="1"/>
      <c r="V10" s="1"/>
      <c r="W10" s="2"/>
      <c r="X10" s="3"/>
      <c r="Y10" s="3"/>
      <c r="Z10" s="53"/>
      <c r="AA10" s="142"/>
      <c r="AB10" s="145"/>
      <c r="AC10" s="144"/>
      <c r="AE10" s="58"/>
      <c r="AF10" s="1"/>
      <c r="AH10" s="17"/>
      <c r="AI10" s="17"/>
      <c r="AJ10" s="1"/>
      <c r="AK10" s="1"/>
      <c r="AL10" s="2"/>
      <c r="AM10" s="3"/>
      <c r="AN10" s="3"/>
      <c r="AO10" s="53"/>
      <c r="AP10" s="142"/>
      <c r="AQ10" s="145"/>
      <c r="AR10" s="144"/>
    </row>
    <row r="11" spans="1:45" x14ac:dyDescent="0.25">
      <c r="A11" s="1"/>
      <c r="B11" s="1"/>
      <c r="D11" s="17"/>
      <c r="E11" s="17"/>
      <c r="F11" s="1"/>
      <c r="G11" s="1"/>
      <c r="H11" s="2"/>
      <c r="I11" s="3"/>
      <c r="J11" s="3"/>
      <c r="K11" s="53"/>
      <c r="L11" s="142"/>
      <c r="M11" s="145"/>
      <c r="N11" s="144"/>
      <c r="P11" s="55"/>
      <c r="Q11" s="1"/>
      <c r="S11" s="17"/>
      <c r="T11" s="17"/>
      <c r="U11" s="1"/>
      <c r="V11" s="1"/>
      <c r="W11" s="2"/>
      <c r="X11" s="3"/>
      <c r="Y11" s="3"/>
      <c r="Z11" s="53"/>
      <c r="AA11" s="142"/>
      <c r="AB11" s="145"/>
      <c r="AC11" s="144"/>
      <c r="AE11" s="58"/>
      <c r="AF11" s="1"/>
      <c r="AH11" s="17"/>
      <c r="AI11" s="17"/>
      <c r="AJ11" s="1"/>
      <c r="AK11" s="1"/>
      <c r="AL11" s="2"/>
      <c r="AM11" s="3"/>
      <c r="AN11" s="3"/>
      <c r="AO11" s="53"/>
      <c r="AP11" s="142"/>
      <c r="AQ11" s="145"/>
      <c r="AR11" s="144"/>
    </row>
    <row r="12" spans="1:45" x14ac:dyDescent="0.25">
      <c r="A12" s="1"/>
      <c r="B12" s="1"/>
      <c r="D12" s="17"/>
      <c r="E12" s="17"/>
      <c r="F12" s="1"/>
      <c r="G12" s="1"/>
      <c r="H12" s="2"/>
      <c r="I12" s="3"/>
      <c r="J12" s="3"/>
      <c r="K12" s="53"/>
      <c r="L12" s="142"/>
      <c r="M12" s="145"/>
      <c r="N12" s="144"/>
      <c r="P12" s="55"/>
      <c r="Q12" s="1"/>
      <c r="S12" s="17"/>
      <c r="T12" s="17"/>
      <c r="U12" s="1"/>
      <c r="V12" s="1"/>
      <c r="W12" s="2"/>
      <c r="X12" s="3"/>
      <c r="Y12" s="3"/>
      <c r="Z12" s="53"/>
      <c r="AA12" s="142"/>
      <c r="AB12" s="145"/>
      <c r="AC12" s="144"/>
      <c r="AE12" s="58"/>
      <c r="AF12" s="1"/>
      <c r="AH12" s="17"/>
      <c r="AI12" s="17"/>
      <c r="AJ12" s="1"/>
      <c r="AK12" s="1"/>
      <c r="AL12" s="2"/>
      <c r="AM12" s="3"/>
      <c r="AN12" s="3"/>
      <c r="AO12" s="53"/>
      <c r="AP12" s="142"/>
      <c r="AQ12" s="145"/>
      <c r="AR12" s="144"/>
    </row>
    <row r="13" spans="1:45" x14ac:dyDescent="0.25">
      <c r="A13" s="1"/>
      <c r="B13" s="1"/>
      <c r="D13" s="17"/>
      <c r="E13" s="17"/>
      <c r="F13" s="1"/>
      <c r="G13" s="1"/>
      <c r="H13" s="2"/>
      <c r="I13" s="3"/>
      <c r="J13" s="3"/>
      <c r="K13" s="53"/>
      <c r="L13" s="142"/>
      <c r="M13" s="145"/>
      <c r="N13" s="144"/>
      <c r="P13" s="55"/>
      <c r="Q13" s="1"/>
      <c r="S13" s="17"/>
      <c r="T13" s="17"/>
      <c r="U13" s="1"/>
      <c r="V13" s="1"/>
      <c r="W13" s="2"/>
      <c r="X13" s="3"/>
      <c r="Y13" s="3"/>
      <c r="Z13" s="53"/>
      <c r="AA13" s="142"/>
      <c r="AB13" s="145"/>
      <c r="AC13" s="144"/>
      <c r="AE13" s="58"/>
      <c r="AF13" s="1"/>
      <c r="AH13" s="17"/>
      <c r="AI13" s="17"/>
      <c r="AJ13" s="1"/>
      <c r="AK13" s="1"/>
      <c r="AL13" s="2"/>
      <c r="AM13" s="3"/>
      <c r="AN13" s="3"/>
      <c r="AO13" s="53"/>
      <c r="AP13" s="142"/>
      <c r="AQ13" s="145"/>
      <c r="AR13" s="144"/>
    </row>
    <row r="14" spans="1:45" x14ac:dyDescent="0.25">
      <c r="A14" s="1"/>
      <c r="B14" s="1"/>
      <c r="D14" s="17"/>
      <c r="E14" s="17"/>
      <c r="F14" s="1"/>
      <c r="G14" s="1"/>
      <c r="H14" s="2"/>
      <c r="I14" s="3"/>
      <c r="J14" s="3"/>
      <c r="K14" s="53"/>
      <c r="L14" s="142"/>
      <c r="M14" s="145"/>
      <c r="N14" s="144"/>
      <c r="P14" s="55"/>
      <c r="Q14" s="1"/>
      <c r="S14" s="17"/>
      <c r="T14" s="17"/>
      <c r="U14" s="1"/>
      <c r="V14" s="1"/>
      <c r="W14" s="2"/>
      <c r="X14" s="3"/>
      <c r="Y14" s="3"/>
      <c r="Z14" s="53"/>
      <c r="AA14" s="142"/>
      <c r="AB14" s="145"/>
      <c r="AC14" s="144"/>
      <c r="AE14" s="58"/>
      <c r="AF14" s="1"/>
      <c r="AH14" s="17"/>
      <c r="AI14" s="17"/>
      <c r="AJ14" s="1"/>
      <c r="AK14" s="1"/>
      <c r="AL14" s="2"/>
      <c r="AM14" s="3"/>
      <c r="AN14" s="3"/>
      <c r="AO14" s="53"/>
      <c r="AP14" s="142"/>
      <c r="AQ14" s="145"/>
      <c r="AR14" s="144"/>
    </row>
    <row r="15" spans="1:45" x14ac:dyDescent="0.25">
      <c r="A15" s="1"/>
      <c r="B15" s="1"/>
      <c r="D15" s="17"/>
      <c r="E15" s="17"/>
      <c r="F15" s="1"/>
      <c r="G15" s="1"/>
      <c r="H15" s="2"/>
      <c r="I15" s="3"/>
      <c r="J15" s="3"/>
      <c r="K15" s="53"/>
      <c r="L15" s="142"/>
      <c r="M15" s="145"/>
      <c r="N15" s="144"/>
      <c r="P15" s="55"/>
      <c r="Q15" s="1"/>
      <c r="S15" s="17"/>
      <c r="T15" s="17"/>
      <c r="U15" s="1"/>
      <c r="V15" s="1"/>
      <c r="W15" s="2"/>
      <c r="X15" s="3"/>
      <c r="Y15" s="3"/>
      <c r="Z15" s="53"/>
      <c r="AA15" s="142"/>
      <c r="AB15" s="145"/>
      <c r="AC15" s="144"/>
      <c r="AE15" s="58"/>
      <c r="AF15" s="1"/>
      <c r="AH15" s="17"/>
      <c r="AI15" s="17"/>
      <c r="AJ15" s="1"/>
      <c r="AK15" s="1"/>
      <c r="AL15" s="2"/>
      <c r="AM15" s="3"/>
      <c r="AN15" s="3"/>
      <c r="AO15" s="53"/>
      <c r="AP15" s="142"/>
      <c r="AQ15" s="145"/>
      <c r="AR15" s="144"/>
    </row>
    <row r="16" spans="1:45" x14ac:dyDescent="0.25">
      <c r="A16" s="1"/>
      <c r="B16" s="1"/>
      <c r="D16" s="17"/>
      <c r="E16" s="17"/>
      <c r="F16" s="1"/>
      <c r="G16" s="1"/>
      <c r="H16" s="2"/>
      <c r="I16" s="3"/>
      <c r="J16" s="3"/>
      <c r="K16" s="53"/>
      <c r="L16" s="142"/>
      <c r="M16" s="145"/>
      <c r="N16" s="144"/>
      <c r="P16" s="55"/>
      <c r="Q16" s="1"/>
      <c r="S16" s="17"/>
      <c r="T16" s="17"/>
      <c r="U16" s="1"/>
      <c r="V16" s="1"/>
      <c r="W16" s="2"/>
      <c r="X16" s="3"/>
      <c r="Y16" s="3"/>
      <c r="Z16" s="53"/>
      <c r="AA16" s="142"/>
      <c r="AB16" s="145"/>
      <c r="AC16" s="144"/>
      <c r="AE16" s="58"/>
      <c r="AF16" s="1"/>
      <c r="AH16" s="17"/>
      <c r="AI16" s="17"/>
      <c r="AJ16" s="1"/>
      <c r="AK16" s="1"/>
      <c r="AL16" s="2"/>
      <c r="AM16" s="3"/>
      <c r="AN16" s="3"/>
      <c r="AO16" s="53"/>
      <c r="AP16" s="142"/>
      <c r="AQ16" s="145"/>
      <c r="AR16" s="144"/>
    </row>
    <row r="17" spans="1:45" x14ac:dyDescent="0.25">
      <c r="A17" s="1"/>
      <c r="B17" s="1"/>
      <c r="D17" s="17"/>
      <c r="E17" s="17"/>
      <c r="F17" s="1"/>
      <c r="G17" s="1"/>
      <c r="H17" s="2"/>
      <c r="I17" s="3"/>
      <c r="J17" s="3"/>
      <c r="K17" s="53"/>
      <c r="L17" s="142"/>
      <c r="M17" s="145"/>
      <c r="N17" s="144"/>
      <c r="P17" s="55"/>
      <c r="Q17" s="1"/>
      <c r="S17" s="17"/>
      <c r="T17" s="17"/>
      <c r="U17" s="1"/>
      <c r="V17" s="1"/>
      <c r="W17" s="2"/>
      <c r="X17" s="3"/>
      <c r="Y17" s="3"/>
      <c r="Z17" s="53"/>
      <c r="AA17" s="142"/>
      <c r="AB17" s="145"/>
      <c r="AC17" s="144"/>
      <c r="AE17" s="58"/>
      <c r="AF17" s="1"/>
      <c r="AH17" s="17"/>
      <c r="AI17" s="17"/>
      <c r="AJ17" s="1"/>
      <c r="AK17" s="1"/>
      <c r="AL17" s="2"/>
      <c r="AM17" s="3"/>
      <c r="AN17" s="3"/>
      <c r="AO17" s="53"/>
      <c r="AP17" s="142"/>
      <c r="AQ17" s="145"/>
      <c r="AR17" s="144"/>
    </row>
    <row r="18" spans="1:45" x14ac:dyDescent="0.25">
      <c r="A18" s="1"/>
      <c r="B18" s="1"/>
      <c r="D18" s="17"/>
      <c r="E18" s="17"/>
      <c r="F18" s="1"/>
      <c r="G18" s="1"/>
      <c r="H18" s="2"/>
      <c r="I18" s="3"/>
      <c r="J18" s="3"/>
      <c r="K18" s="53"/>
      <c r="L18" s="142"/>
      <c r="M18" s="145"/>
      <c r="N18" s="144"/>
      <c r="P18" s="55"/>
      <c r="Q18" s="1"/>
      <c r="S18" s="17"/>
      <c r="T18" s="17"/>
      <c r="U18" s="1"/>
      <c r="V18" s="1"/>
      <c r="W18" s="2"/>
      <c r="X18" s="3"/>
      <c r="Y18" s="3"/>
      <c r="Z18" s="53"/>
      <c r="AA18" s="142"/>
      <c r="AB18" s="145"/>
      <c r="AC18" s="144"/>
      <c r="AE18" s="58"/>
      <c r="AF18" s="1"/>
      <c r="AH18" s="17"/>
      <c r="AI18" s="17"/>
      <c r="AJ18" s="1"/>
      <c r="AK18" s="1"/>
      <c r="AL18" s="2"/>
      <c r="AM18" s="3"/>
      <c r="AN18" s="3"/>
      <c r="AO18" s="53"/>
      <c r="AP18" s="142"/>
      <c r="AQ18" s="145"/>
      <c r="AR18" s="144"/>
    </row>
    <row r="19" spans="1:45" x14ac:dyDescent="0.25">
      <c r="A19" s="1"/>
      <c r="B19" s="1"/>
      <c r="D19" s="17"/>
      <c r="E19" s="17"/>
      <c r="F19" s="1"/>
      <c r="G19" s="1"/>
      <c r="H19" s="2"/>
      <c r="I19" s="3"/>
      <c r="J19" s="3"/>
      <c r="K19" s="53"/>
      <c r="L19" s="142"/>
      <c r="M19" s="145"/>
      <c r="N19" s="144"/>
      <c r="P19" s="55"/>
      <c r="Q19" s="1"/>
      <c r="S19" s="17"/>
      <c r="T19" s="17"/>
      <c r="U19" s="1"/>
      <c r="V19" s="1"/>
      <c r="W19" s="2"/>
      <c r="X19" s="3"/>
      <c r="Y19" s="3"/>
      <c r="Z19" s="53"/>
      <c r="AA19" s="142"/>
      <c r="AB19" s="145"/>
      <c r="AC19" s="144"/>
      <c r="AE19" s="58"/>
      <c r="AF19" s="1"/>
      <c r="AH19" s="17"/>
      <c r="AI19" s="17"/>
      <c r="AJ19" s="1"/>
      <c r="AK19" s="1"/>
      <c r="AL19" s="2"/>
      <c r="AM19" s="3"/>
      <c r="AN19" s="3"/>
      <c r="AO19" s="53"/>
      <c r="AP19" s="142"/>
      <c r="AQ19" s="145"/>
      <c r="AR19" s="144"/>
    </row>
    <row r="20" spans="1:45" x14ac:dyDescent="0.25">
      <c r="A20" s="1"/>
      <c r="B20" s="1"/>
      <c r="D20" s="17"/>
      <c r="E20" s="17"/>
      <c r="F20" s="1"/>
      <c r="G20" s="1"/>
      <c r="H20" s="2"/>
      <c r="I20" s="3"/>
      <c r="J20" s="3"/>
      <c r="K20" s="53"/>
      <c r="L20" s="142"/>
      <c r="M20" s="145"/>
      <c r="N20" s="144"/>
      <c r="P20" s="55"/>
      <c r="Q20" s="1"/>
      <c r="S20" s="17"/>
      <c r="T20" s="17"/>
      <c r="U20" s="1"/>
      <c r="V20" s="1"/>
      <c r="W20" s="2"/>
      <c r="X20" s="3"/>
      <c r="Y20" s="3"/>
      <c r="Z20" s="53"/>
      <c r="AA20" s="142"/>
      <c r="AB20" s="145"/>
      <c r="AC20" s="144"/>
      <c r="AE20" s="58"/>
      <c r="AF20" s="1"/>
      <c r="AH20" s="17"/>
      <c r="AI20" s="17"/>
      <c r="AJ20" s="1"/>
      <c r="AK20" s="1"/>
      <c r="AL20" s="2"/>
      <c r="AM20" s="3"/>
      <c r="AN20" s="3"/>
      <c r="AO20" s="53"/>
      <c r="AP20" s="142"/>
      <c r="AQ20" s="145"/>
      <c r="AR20" s="144"/>
    </row>
    <row r="21" spans="1:45" ht="13.8" thickBot="1" x14ac:dyDescent="0.3">
      <c r="A21" s="146"/>
      <c r="B21" s="146"/>
      <c r="C21" s="434"/>
      <c r="D21" s="147"/>
      <c r="E21" s="147"/>
      <c r="F21" s="146"/>
      <c r="G21" s="146"/>
      <c r="H21" s="148"/>
      <c r="I21" s="149"/>
      <c r="J21" s="149"/>
      <c r="K21" s="150"/>
      <c r="L21" s="151"/>
      <c r="M21" s="416"/>
      <c r="N21" s="153"/>
      <c r="O21" s="241"/>
      <c r="P21" s="154"/>
      <c r="Q21" s="146"/>
      <c r="R21" s="434"/>
      <c r="S21" s="147"/>
      <c r="T21" s="147"/>
      <c r="U21" s="146"/>
      <c r="V21" s="146"/>
      <c r="W21" s="148"/>
      <c r="X21" s="149"/>
      <c r="Y21" s="149"/>
      <c r="Z21" s="150"/>
      <c r="AA21" s="151"/>
      <c r="AB21" s="416"/>
      <c r="AC21" s="153"/>
      <c r="AD21" s="242"/>
      <c r="AE21" s="155"/>
      <c r="AF21" s="146"/>
      <c r="AG21" s="434"/>
      <c r="AH21" s="147"/>
      <c r="AI21" s="147"/>
      <c r="AJ21" s="146"/>
      <c r="AK21" s="146"/>
      <c r="AL21" s="148"/>
      <c r="AM21" s="149"/>
      <c r="AN21" s="149"/>
      <c r="AO21" s="150"/>
      <c r="AP21" s="151"/>
      <c r="AQ21" s="416"/>
      <c r="AR21" s="153"/>
      <c r="AS21" s="417"/>
    </row>
    <row r="22" spans="1:45" x14ac:dyDescent="0.25">
      <c r="A22" s="156"/>
      <c r="B22" s="157"/>
      <c r="C22" s="446"/>
      <c r="D22" s="158"/>
      <c r="E22" s="158"/>
      <c r="F22" s="157"/>
      <c r="G22" s="157"/>
      <c r="H22" s="159"/>
      <c r="I22" s="160"/>
      <c r="J22" s="160"/>
      <c r="K22" s="161"/>
      <c r="L22" s="162"/>
      <c r="M22" s="163"/>
      <c r="N22" s="143"/>
      <c r="O22" s="245"/>
      <c r="P22" s="156"/>
      <c r="Q22" s="157"/>
      <c r="R22" s="446"/>
      <c r="S22" s="158"/>
      <c r="T22" s="158"/>
      <c r="U22" s="157"/>
      <c r="V22" s="157"/>
      <c r="W22" s="159"/>
      <c r="X22" s="160"/>
      <c r="Y22" s="160"/>
      <c r="Z22" s="161"/>
      <c r="AA22" s="162"/>
      <c r="AB22" s="163"/>
      <c r="AC22" s="143"/>
      <c r="AD22" s="246"/>
      <c r="AE22" s="164"/>
      <c r="AF22" s="157"/>
      <c r="AG22" s="446"/>
      <c r="AH22" s="158"/>
      <c r="AI22" s="158"/>
      <c r="AJ22" s="157"/>
      <c r="AK22" s="157"/>
      <c r="AL22" s="159"/>
      <c r="AM22" s="160"/>
      <c r="AN22" s="160"/>
      <c r="AO22" s="161"/>
      <c r="AP22" s="162"/>
      <c r="AQ22" s="163"/>
      <c r="AR22" s="143"/>
      <c r="AS22" s="246"/>
    </row>
    <row r="23" spans="1:45" x14ac:dyDescent="0.25">
      <c r="A23" s="55"/>
      <c r="B23" s="406"/>
      <c r="D23" s="413"/>
      <c r="E23" s="413"/>
      <c r="F23" s="406"/>
      <c r="G23" s="406"/>
      <c r="H23" s="2"/>
      <c r="I23" s="3"/>
      <c r="J23" s="3"/>
      <c r="K23" s="409"/>
      <c r="L23" s="165"/>
      <c r="M23" s="166"/>
      <c r="N23" s="145"/>
      <c r="P23" s="55"/>
      <c r="Q23" s="406"/>
      <c r="S23" s="413"/>
      <c r="T23" s="413"/>
      <c r="U23" s="406"/>
      <c r="V23" s="406"/>
      <c r="W23" s="2"/>
      <c r="X23" s="3"/>
      <c r="Y23" s="3"/>
      <c r="Z23" s="409"/>
      <c r="AA23" s="165"/>
      <c r="AB23" s="166"/>
      <c r="AC23" s="145"/>
      <c r="AE23" s="411"/>
      <c r="AF23" s="406"/>
      <c r="AH23" s="413"/>
      <c r="AI23" s="413"/>
      <c r="AJ23" s="406"/>
      <c r="AK23" s="406"/>
      <c r="AL23" s="2"/>
      <c r="AM23" s="3"/>
      <c r="AN23" s="3"/>
      <c r="AO23" s="409"/>
      <c r="AP23" s="165"/>
      <c r="AQ23" s="166"/>
      <c r="AR23" s="145"/>
      <c r="AS23" s="91"/>
    </row>
    <row r="24" spans="1:45" x14ac:dyDescent="0.25">
      <c r="A24" s="55"/>
      <c r="B24" s="406"/>
      <c r="D24" s="413"/>
      <c r="E24" s="413"/>
      <c r="F24" s="406"/>
      <c r="G24" s="406"/>
      <c r="H24" s="2"/>
      <c r="I24" s="3"/>
      <c r="J24" s="3"/>
      <c r="K24" s="409"/>
      <c r="L24" s="165"/>
      <c r="M24" s="166"/>
      <c r="N24" s="145"/>
      <c r="P24" s="55"/>
      <c r="Q24" s="406"/>
      <c r="S24" s="413"/>
      <c r="T24" s="413"/>
      <c r="U24" s="406"/>
      <c r="V24" s="406"/>
      <c r="W24" s="2"/>
      <c r="X24" s="3"/>
      <c r="Y24" s="3"/>
      <c r="Z24" s="409"/>
      <c r="AA24" s="165"/>
      <c r="AB24" s="166"/>
      <c r="AC24" s="145"/>
      <c r="AE24" s="411"/>
      <c r="AF24" s="406"/>
      <c r="AH24" s="413"/>
      <c r="AI24" s="413"/>
      <c r="AJ24" s="406"/>
      <c r="AK24" s="406"/>
      <c r="AL24" s="2"/>
      <c r="AM24" s="3"/>
      <c r="AN24" s="3"/>
      <c r="AO24" s="409"/>
      <c r="AP24" s="165"/>
      <c r="AQ24" s="166"/>
      <c r="AR24" s="145"/>
      <c r="AS24" s="91"/>
    </row>
    <row r="25" spans="1:45" x14ac:dyDescent="0.25">
      <c r="A25" s="55"/>
      <c r="B25" s="406"/>
      <c r="D25" s="413"/>
      <c r="E25" s="413"/>
      <c r="F25" s="406"/>
      <c r="G25" s="406"/>
      <c r="H25" s="2"/>
      <c r="I25" s="3"/>
      <c r="J25" s="3"/>
      <c r="K25" s="409"/>
      <c r="L25" s="165"/>
      <c r="M25" s="166"/>
      <c r="N25" s="145"/>
      <c r="P25" s="55"/>
      <c r="Q25" s="406"/>
      <c r="S25" s="413"/>
      <c r="T25" s="413"/>
      <c r="U25" s="406"/>
      <c r="V25" s="406"/>
      <c r="W25" s="2"/>
      <c r="X25" s="3"/>
      <c r="Y25" s="3"/>
      <c r="Z25" s="409"/>
      <c r="AA25" s="165"/>
      <c r="AB25" s="166"/>
      <c r="AC25" s="145"/>
      <c r="AE25" s="411"/>
      <c r="AF25" s="406"/>
      <c r="AH25" s="413"/>
      <c r="AI25" s="413"/>
      <c r="AJ25" s="406"/>
      <c r="AK25" s="406"/>
      <c r="AL25" s="2"/>
      <c r="AM25" s="3"/>
      <c r="AN25" s="3"/>
      <c r="AO25" s="409"/>
      <c r="AP25" s="165"/>
      <c r="AQ25" s="166"/>
      <c r="AR25" s="145"/>
      <c r="AS25" s="91"/>
    </row>
    <row r="26" spans="1:45" x14ac:dyDescent="0.25">
      <c r="A26" s="55"/>
      <c r="B26" s="406"/>
      <c r="D26" s="413"/>
      <c r="E26" s="413"/>
      <c r="F26" s="406"/>
      <c r="G26" s="406"/>
      <c r="H26" s="2"/>
      <c r="I26" s="3"/>
      <c r="J26" s="3"/>
      <c r="K26" s="409"/>
      <c r="L26" s="165"/>
      <c r="M26" s="166"/>
      <c r="N26" s="145"/>
      <c r="P26" s="55"/>
      <c r="Q26" s="406"/>
      <c r="S26" s="413"/>
      <c r="T26" s="413"/>
      <c r="U26" s="406"/>
      <c r="V26" s="406"/>
      <c r="W26" s="2"/>
      <c r="X26" s="3"/>
      <c r="Y26" s="3"/>
      <c r="Z26" s="409"/>
      <c r="AA26" s="165"/>
      <c r="AB26" s="166"/>
      <c r="AC26" s="145"/>
      <c r="AE26" s="411"/>
      <c r="AF26" s="406"/>
      <c r="AH26" s="413"/>
      <c r="AI26" s="413"/>
      <c r="AJ26" s="406"/>
      <c r="AK26" s="406"/>
      <c r="AL26" s="2"/>
      <c r="AM26" s="3"/>
      <c r="AN26" s="3"/>
      <c r="AO26" s="409"/>
      <c r="AP26" s="165"/>
      <c r="AQ26" s="166"/>
      <c r="AR26" s="145"/>
      <c r="AS26" s="91"/>
    </row>
    <row r="27" spans="1:45" x14ac:dyDescent="0.25">
      <c r="A27" s="55"/>
      <c r="B27" s="406"/>
      <c r="D27" s="413"/>
      <c r="E27" s="413"/>
      <c r="F27" s="406"/>
      <c r="G27" s="406"/>
      <c r="H27" s="2"/>
      <c r="I27" s="3"/>
      <c r="J27" s="3"/>
      <c r="K27" s="409"/>
      <c r="L27" s="165"/>
      <c r="M27" s="166"/>
      <c r="N27" s="145"/>
      <c r="P27" s="55"/>
      <c r="Q27" s="406"/>
      <c r="S27" s="413"/>
      <c r="T27" s="413"/>
      <c r="U27" s="406"/>
      <c r="V27" s="406"/>
      <c r="W27" s="2"/>
      <c r="X27" s="3"/>
      <c r="Y27" s="3"/>
      <c r="Z27" s="409"/>
      <c r="AA27" s="165"/>
      <c r="AB27" s="166"/>
      <c r="AC27" s="145"/>
      <c r="AE27" s="411"/>
      <c r="AF27" s="406"/>
      <c r="AH27" s="413"/>
      <c r="AI27" s="413"/>
      <c r="AJ27" s="406"/>
      <c r="AK27" s="406"/>
      <c r="AL27" s="2"/>
      <c r="AM27" s="3"/>
      <c r="AN27" s="3"/>
      <c r="AO27" s="409"/>
      <c r="AP27" s="165"/>
      <c r="AQ27" s="166"/>
      <c r="AR27" s="145"/>
      <c r="AS27" s="91"/>
    </row>
    <row r="28" spans="1:45" x14ac:dyDescent="0.25">
      <c r="A28" s="55"/>
      <c r="B28" s="406"/>
      <c r="D28" s="413"/>
      <c r="E28" s="413"/>
      <c r="F28" s="406"/>
      <c r="G28" s="406"/>
      <c r="H28" s="2"/>
      <c r="I28" s="3"/>
      <c r="J28" s="3"/>
      <c r="K28" s="409"/>
      <c r="L28" s="165"/>
      <c r="M28" s="166"/>
      <c r="N28" s="145"/>
      <c r="P28" s="55"/>
      <c r="Q28" s="406"/>
      <c r="S28" s="413"/>
      <c r="T28" s="413"/>
      <c r="U28" s="406"/>
      <c r="V28" s="406"/>
      <c r="W28" s="2"/>
      <c r="X28" s="3"/>
      <c r="Y28" s="3"/>
      <c r="Z28" s="409"/>
      <c r="AA28" s="165"/>
      <c r="AB28" s="166"/>
      <c r="AC28" s="145"/>
      <c r="AE28" s="411"/>
      <c r="AF28" s="406"/>
      <c r="AH28" s="413"/>
      <c r="AI28" s="413"/>
      <c r="AJ28" s="406"/>
      <c r="AK28" s="406"/>
      <c r="AL28" s="2"/>
      <c r="AM28" s="3"/>
      <c r="AN28" s="3"/>
      <c r="AO28" s="409"/>
      <c r="AP28" s="165"/>
      <c r="AQ28" s="166"/>
      <c r="AR28" s="145"/>
      <c r="AS28" s="91"/>
    </row>
    <row r="29" spans="1:45" x14ac:dyDescent="0.25">
      <c r="A29" s="55"/>
      <c r="B29" s="406"/>
      <c r="D29" s="413"/>
      <c r="E29" s="413"/>
      <c r="F29" s="406"/>
      <c r="G29" s="406"/>
      <c r="H29" s="2"/>
      <c r="I29" s="3"/>
      <c r="J29" s="3"/>
      <c r="K29" s="409"/>
      <c r="L29" s="165"/>
      <c r="M29" s="166"/>
      <c r="N29" s="145"/>
      <c r="P29" s="55"/>
      <c r="Q29" s="406"/>
      <c r="S29" s="413"/>
      <c r="T29" s="413"/>
      <c r="U29" s="406"/>
      <c r="V29" s="406"/>
      <c r="W29" s="2"/>
      <c r="X29" s="3"/>
      <c r="Y29" s="3"/>
      <c r="Z29" s="409"/>
      <c r="AA29" s="165"/>
      <c r="AB29" s="166"/>
      <c r="AC29" s="145"/>
      <c r="AE29" s="411"/>
      <c r="AF29" s="406"/>
      <c r="AH29" s="413"/>
      <c r="AI29" s="413"/>
      <c r="AJ29" s="406"/>
      <c r="AK29" s="406"/>
      <c r="AL29" s="2"/>
      <c r="AM29" s="3"/>
      <c r="AN29" s="3"/>
      <c r="AO29" s="409"/>
      <c r="AP29" s="165"/>
      <c r="AQ29" s="166"/>
      <c r="AR29" s="145"/>
      <c r="AS29" s="91"/>
    </row>
    <row r="30" spans="1:45" x14ac:dyDescent="0.25">
      <c r="A30" s="55"/>
      <c r="B30" s="406"/>
      <c r="D30" s="413"/>
      <c r="E30" s="413"/>
      <c r="F30" s="406"/>
      <c r="G30" s="406"/>
      <c r="H30" s="2"/>
      <c r="I30" s="3"/>
      <c r="J30" s="3"/>
      <c r="K30" s="409"/>
      <c r="L30" s="165"/>
      <c r="M30" s="166"/>
      <c r="N30" s="145"/>
      <c r="P30" s="55"/>
      <c r="Q30" s="406"/>
      <c r="S30" s="413"/>
      <c r="T30" s="413"/>
      <c r="U30" s="406"/>
      <c r="V30" s="406"/>
      <c r="W30" s="2"/>
      <c r="X30" s="3"/>
      <c r="Y30" s="3"/>
      <c r="Z30" s="409"/>
      <c r="AA30" s="165"/>
      <c r="AB30" s="166"/>
      <c r="AC30" s="145"/>
      <c r="AE30" s="411"/>
      <c r="AF30" s="406"/>
      <c r="AH30" s="413"/>
      <c r="AI30" s="413"/>
      <c r="AJ30" s="406"/>
      <c r="AK30" s="406"/>
      <c r="AL30" s="2"/>
      <c r="AM30" s="3"/>
      <c r="AN30" s="3"/>
      <c r="AO30" s="409"/>
      <c r="AP30" s="165"/>
      <c r="AQ30" s="166"/>
      <c r="AR30" s="145"/>
      <c r="AS30" s="91"/>
    </row>
    <row r="31" spans="1:45" x14ac:dyDescent="0.25">
      <c r="A31" s="55"/>
      <c r="B31" s="406"/>
      <c r="D31" s="413"/>
      <c r="E31" s="413"/>
      <c r="F31" s="406"/>
      <c r="G31" s="406"/>
      <c r="H31" s="2"/>
      <c r="I31" s="3"/>
      <c r="J31" s="3"/>
      <c r="K31" s="409"/>
      <c r="L31" s="165"/>
      <c r="M31" s="166"/>
      <c r="N31" s="145"/>
      <c r="P31" s="55"/>
      <c r="Q31" s="406"/>
      <c r="S31" s="413"/>
      <c r="T31" s="413"/>
      <c r="U31" s="406"/>
      <c r="V31" s="406"/>
      <c r="W31" s="2"/>
      <c r="X31" s="3"/>
      <c r="Y31" s="3"/>
      <c r="Z31" s="409"/>
      <c r="AA31" s="165"/>
      <c r="AB31" s="166"/>
      <c r="AC31" s="145"/>
      <c r="AE31" s="411"/>
      <c r="AF31" s="406"/>
      <c r="AH31" s="413"/>
      <c r="AI31" s="413"/>
      <c r="AJ31" s="406"/>
      <c r="AK31" s="406"/>
      <c r="AL31" s="2"/>
      <c r="AM31" s="3"/>
      <c r="AN31" s="3"/>
      <c r="AO31" s="409"/>
      <c r="AP31" s="165"/>
      <c r="AQ31" s="166"/>
      <c r="AR31" s="145"/>
      <c r="AS31" s="91"/>
    </row>
    <row r="32" spans="1:45" x14ac:dyDescent="0.25">
      <c r="A32" s="55"/>
      <c r="B32" s="406"/>
      <c r="D32" s="413"/>
      <c r="E32" s="413"/>
      <c r="F32" s="406"/>
      <c r="G32" s="406"/>
      <c r="H32" s="2"/>
      <c r="I32" s="3"/>
      <c r="J32" s="3"/>
      <c r="K32" s="409"/>
      <c r="L32" s="165"/>
      <c r="M32" s="166"/>
      <c r="N32" s="145"/>
      <c r="P32" s="55"/>
      <c r="Q32" s="406"/>
      <c r="S32" s="413"/>
      <c r="T32" s="413"/>
      <c r="U32" s="406"/>
      <c r="V32" s="406"/>
      <c r="W32" s="2"/>
      <c r="X32" s="3"/>
      <c r="Y32" s="3"/>
      <c r="Z32" s="409"/>
      <c r="AA32" s="165"/>
      <c r="AB32" s="166"/>
      <c r="AC32" s="145"/>
      <c r="AE32" s="411"/>
      <c r="AF32" s="406"/>
      <c r="AH32" s="413"/>
      <c r="AI32" s="413"/>
      <c r="AJ32" s="406"/>
      <c r="AK32" s="406"/>
      <c r="AL32" s="2"/>
      <c r="AM32" s="3"/>
      <c r="AN32" s="3"/>
      <c r="AO32" s="409"/>
      <c r="AP32" s="165"/>
      <c r="AQ32" s="166"/>
      <c r="AR32" s="145"/>
      <c r="AS32" s="91"/>
    </row>
    <row r="33" spans="1:45" x14ac:dyDescent="0.25">
      <c r="A33" s="55"/>
      <c r="B33" s="406"/>
      <c r="D33" s="413"/>
      <c r="E33" s="413"/>
      <c r="F33" s="406"/>
      <c r="G33" s="406"/>
      <c r="H33" s="2"/>
      <c r="I33" s="3"/>
      <c r="J33" s="3"/>
      <c r="K33" s="409"/>
      <c r="L33" s="165"/>
      <c r="M33" s="166"/>
      <c r="N33" s="145"/>
      <c r="P33" s="55"/>
      <c r="Q33" s="406"/>
      <c r="S33" s="413"/>
      <c r="T33" s="413"/>
      <c r="U33" s="406"/>
      <c r="V33" s="406"/>
      <c r="W33" s="2"/>
      <c r="X33" s="3"/>
      <c r="Y33" s="3"/>
      <c r="Z33" s="409"/>
      <c r="AA33" s="165"/>
      <c r="AB33" s="166"/>
      <c r="AC33" s="145"/>
      <c r="AE33" s="411"/>
      <c r="AF33" s="406"/>
      <c r="AH33" s="413"/>
      <c r="AI33" s="413"/>
      <c r="AJ33" s="406"/>
      <c r="AK33" s="406"/>
      <c r="AL33" s="2"/>
      <c r="AM33" s="3"/>
      <c r="AN33" s="3"/>
      <c r="AO33" s="409"/>
      <c r="AP33" s="165"/>
      <c r="AQ33" s="166"/>
      <c r="AR33" s="145"/>
      <c r="AS33" s="91"/>
    </row>
    <row r="34" spans="1:45" x14ac:dyDescent="0.25">
      <c r="A34" s="55"/>
      <c r="B34" s="406"/>
      <c r="D34" s="413"/>
      <c r="E34" s="413"/>
      <c r="F34" s="406"/>
      <c r="G34" s="406"/>
      <c r="H34" s="2"/>
      <c r="I34" s="3"/>
      <c r="J34" s="3"/>
      <c r="K34" s="409"/>
      <c r="L34" s="165"/>
      <c r="M34" s="166"/>
      <c r="N34" s="145"/>
      <c r="P34" s="55"/>
      <c r="Q34" s="406"/>
      <c r="S34" s="413"/>
      <c r="T34" s="413"/>
      <c r="U34" s="406"/>
      <c r="V34" s="406"/>
      <c r="W34" s="2"/>
      <c r="X34" s="3"/>
      <c r="Y34" s="3"/>
      <c r="Z34" s="409"/>
      <c r="AA34" s="165"/>
      <c r="AB34" s="166"/>
      <c r="AC34" s="145"/>
      <c r="AE34" s="411"/>
      <c r="AF34" s="406"/>
      <c r="AH34" s="413"/>
      <c r="AI34" s="413"/>
      <c r="AJ34" s="406"/>
      <c r="AK34" s="406"/>
      <c r="AL34" s="2"/>
      <c r="AM34" s="3"/>
      <c r="AN34" s="3"/>
      <c r="AO34" s="409"/>
      <c r="AP34" s="165"/>
      <c r="AQ34" s="166"/>
      <c r="AR34" s="145"/>
      <c r="AS34" s="91"/>
    </row>
    <row r="35" spans="1:45" x14ac:dyDescent="0.25">
      <c r="A35" s="55"/>
      <c r="B35" s="406"/>
      <c r="D35" s="413"/>
      <c r="E35" s="413"/>
      <c r="F35" s="406"/>
      <c r="G35" s="406"/>
      <c r="H35" s="2"/>
      <c r="I35" s="3"/>
      <c r="J35" s="3"/>
      <c r="K35" s="409"/>
      <c r="L35" s="165"/>
      <c r="M35" s="166"/>
      <c r="N35" s="145"/>
      <c r="P35" s="55"/>
      <c r="Q35" s="406"/>
      <c r="S35" s="413"/>
      <c r="T35" s="413"/>
      <c r="U35" s="406"/>
      <c r="V35" s="406"/>
      <c r="W35" s="2"/>
      <c r="X35" s="3"/>
      <c r="Y35" s="3"/>
      <c r="Z35" s="409"/>
      <c r="AA35" s="165"/>
      <c r="AB35" s="166"/>
      <c r="AC35" s="145"/>
      <c r="AE35" s="411"/>
      <c r="AF35" s="406"/>
      <c r="AH35" s="413"/>
      <c r="AI35" s="413"/>
      <c r="AJ35" s="406"/>
      <c r="AK35" s="406"/>
      <c r="AL35" s="2"/>
      <c r="AM35" s="3"/>
      <c r="AN35" s="3"/>
      <c r="AO35" s="409"/>
      <c r="AP35" s="165"/>
      <c r="AQ35" s="166"/>
      <c r="AR35" s="145"/>
      <c r="AS35" s="91"/>
    </row>
    <row r="36" spans="1:45" x14ac:dyDescent="0.25">
      <c r="A36" s="55"/>
      <c r="B36" s="406"/>
      <c r="D36" s="413"/>
      <c r="E36" s="413"/>
      <c r="F36" s="406"/>
      <c r="G36" s="406"/>
      <c r="H36" s="2"/>
      <c r="I36" s="3"/>
      <c r="J36" s="3"/>
      <c r="K36" s="409"/>
      <c r="L36" s="165"/>
      <c r="M36" s="166"/>
      <c r="N36" s="145"/>
      <c r="P36" s="55"/>
      <c r="Q36" s="406"/>
      <c r="S36" s="413"/>
      <c r="T36" s="413"/>
      <c r="U36" s="406"/>
      <c r="V36" s="406"/>
      <c r="W36" s="2"/>
      <c r="X36" s="3"/>
      <c r="Y36" s="3"/>
      <c r="Z36" s="409"/>
      <c r="AA36" s="165"/>
      <c r="AB36" s="166"/>
      <c r="AC36" s="145"/>
      <c r="AE36" s="411"/>
      <c r="AF36" s="406"/>
      <c r="AH36" s="413"/>
      <c r="AI36" s="413"/>
      <c r="AJ36" s="406"/>
      <c r="AK36" s="406"/>
      <c r="AL36" s="2"/>
      <c r="AM36" s="3"/>
      <c r="AN36" s="3"/>
      <c r="AO36" s="409"/>
      <c r="AP36" s="165"/>
      <c r="AQ36" s="166"/>
      <c r="AR36" s="145"/>
      <c r="AS36" s="91"/>
    </row>
    <row r="37" spans="1:45" x14ac:dyDescent="0.25">
      <c r="A37" s="55"/>
      <c r="B37" s="406"/>
      <c r="D37" s="413"/>
      <c r="E37" s="413"/>
      <c r="F37" s="406"/>
      <c r="G37" s="406"/>
      <c r="H37" s="2"/>
      <c r="I37" s="3"/>
      <c r="J37" s="3"/>
      <c r="K37" s="409"/>
      <c r="L37" s="165"/>
      <c r="M37" s="166"/>
      <c r="N37" s="145"/>
      <c r="P37" s="55"/>
      <c r="Q37" s="406"/>
      <c r="S37" s="413"/>
      <c r="T37" s="413"/>
      <c r="U37" s="406"/>
      <c r="V37" s="406"/>
      <c r="W37" s="2"/>
      <c r="X37" s="3"/>
      <c r="Y37" s="3"/>
      <c r="Z37" s="409"/>
      <c r="AA37" s="165"/>
      <c r="AB37" s="166"/>
      <c r="AC37" s="145"/>
      <c r="AE37" s="411"/>
      <c r="AF37" s="406"/>
      <c r="AH37" s="413"/>
      <c r="AI37" s="413"/>
      <c r="AJ37" s="406"/>
      <c r="AK37" s="406"/>
      <c r="AL37" s="2"/>
      <c r="AM37" s="3"/>
      <c r="AN37" s="3"/>
      <c r="AO37" s="409"/>
      <c r="AP37" s="165"/>
      <c r="AQ37" s="166"/>
      <c r="AR37" s="145"/>
      <c r="AS37" s="91"/>
    </row>
    <row r="38" spans="1:45" x14ac:dyDescent="0.25">
      <c r="A38" s="55"/>
      <c r="B38" s="406"/>
      <c r="D38" s="413"/>
      <c r="E38" s="413"/>
      <c r="F38" s="406"/>
      <c r="G38" s="406"/>
      <c r="H38" s="2"/>
      <c r="I38" s="3"/>
      <c r="J38" s="3"/>
      <c r="K38" s="409"/>
      <c r="L38" s="165"/>
      <c r="M38" s="166"/>
      <c r="N38" s="145"/>
      <c r="P38" s="55"/>
      <c r="Q38" s="406"/>
      <c r="S38" s="413"/>
      <c r="T38" s="413"/>
      <c r="U38" s="406"/>
      <c r="V38" s="406"/>
      <c r="W38" s="2"/>
      <c r="X38" s="3"/>
      <c r="Y38" s="3"/>
      <c r="Z38" s="409"/>
      <c r="AA38" s="165"/>
      <c r="AB38" s="166"/>
      <c r="AC38" s="145"/>
      <c r="AE38" s="411"/>
      <c r="AF38" s="406"/>
      <c r="AH38" s="413"/>
      <c r="AI38" s="413"/>
      <c r="AJ38" s="406"/>
      <c r="AK38" s="406"/>
      <c r="AL38" s="2"/>
      <c r="AM38" s="3"/>
      <c r="AN38" s="3"/>
      <c r="AO38" s="409"/>
      <c r="AP38" s="165"/>
      <c r="AQ38" s="166"/>
      <c r="AR38" s="145"/>
      <c r="AS38" s="91"/>
    </row>
    <row r="39" spans="1:45" x14ac:dyDescent="0.25">
      <c r="A39" s="55"/>
      <c r="B39" s="406"/>
      <c r="D39" s="413"/>
      <c r="E39" s="413"/>
      <c r="F39" s="406"/>
      <c r="G39" s="406"/>
      <c r="H39" s="2"/>
      <c r="I39" s="3"/>
      <c r="J39" s="3"/>
      <c r="K39" s="409"/>
      <c r="L39" s="165"/>
      <c r="M39" s="166"/>
      <c r="N39" s="145"/>
      <c r="P39" s="55"/>
      <c r="Q39" s="406"/>
      <c r="S39" s="413"/>
      <c r="T39" s="413"/>
      <c r="U39" s="406"/>
      <c r="V39" s="406"/>
      <c r="W39" s="2"/>
      <c r="X39" s="3"/>
      <c r="Y39" s="3"/>
      <c r="Z39" s="409"/>
      <c r="AA39" s="165"/>
      <c r="AB39" s="166"/>
      <c r="AC39" s="145"/>
      <c r="AE39" s="411"/>
      <c r="AF39" s="406"/>
      <c r="AH39" s="413"/>
      <c r="AI39" s="413"/>
      <c r="AJ39" s="406"/>
      <c r="AK39" s="406"/>
      <c r="AL39" s="2"/>
      <c r="AM39" s="3"/>
      <c r="AN39" s="3"/>
      <c r="AO39" s="409"/>
      <c r="AP39" s="165"/>
      <c r="AQ39" s="166"/>
      <c r="AR39" s="145"/>
      <c r="AS39" s="91"/>
    </row>
    <row r="40" spans="1:45" x14ac:dyDescent="0.25">
      <c r="A40" s="55"/>
      <c r="B40" s="406"/>
      <c r="D40" s="413"/>
      <c r="E40" s="413"/>
      <c r="F40" s="406"/>
      <c r="G40" s="406"/>
      <c r="H40" s="2"/>
      <c r="I40" s="3"/>
      <c r="J40" s="3"/>
      <c r="K40" s="409"/>
      <c r="L40" s="165"/>
      <c r="M40" s="166"/>
      <c r="N40" s="145"/>
      <c r="P40" s="55"/>
      <c r="Q40" s="406"/>
      <c r="S40" s="413"/>
      <c r="T40" s="413"/>
      <c r="U40" s="406"/>
      <c r="V40" s="406"/>
      <c r="W40" s="2"/>
      <c r="X40" s="3"/>
      <c r="Y40" s="3"/>
      <c r="Z40" s="409"/>
      <c r="AA40" s="165"/>
      <c r="AB40" s="166"/>
      <c r="AC40" s="145"/>
      <c r="AE40" s="411"/>
      <c r="AF40" s="406"/>
      <c r="AH40" s="413"/>
      <c r="AI40" s="413"/>
      <c r="AJ40" s="406"/>
      <c r="AK40" s="406"/>
      <c r="AL40" s="2"/>
      <c r="AM40" s="3"/>
      <c r="AN40" s="3"/>
      <c r="AO40" s="409"/>
      <c r="AP40" s="165"/>
      <c r="AQ40" s="166"/>
      <c r="AR40" s="145"/>
      <c r="AS40" s="91"/>
    </row>
    <row r="41" spans="1:45" ht="13.8" thickBot="1" x14ac:dyDescent="0.3">
      <c r="A41" s="66"/>
      <c r="B41" s="167"/>
      <c r="C41" s="447"/>
      <c r="D41" s="168"/>
      <c r="E41" s="168"/>
      <c r="F41" s="167"/>
      <c r="G41" s="167"/>
      <c r="H41" s="169"/>
      <c r="I41" s="170"/>
      <c r="J41" s="170"/>
      <c r="K41" s="171"/>
      <c r="L41" s="172"/>
      <c r="M41" s="173"/>
      <c r="N41" s="152"/>
      <c r="O41" s="249"/>
      <c r="P41" s="66"/>
      <c r="Q41" s="167"/>
      <c r="R41" s="447"/>
      <c r="S41" s="168"/>
      <c r="T41" s="168"/>
      <c r="U41" s="167"/>
      <c r="V41" s="167"/>
      <c r="W41" s="169"/>
      <c r="X41" s="170"/>
      <c r="Y41" s="170"/>
      <c r="Z41" s="171"/>
      <c r="AA41" s="172"/>
      <c r="AB41" s="173"/>
      <c r="AC41" s="152"/>
      <c r="AD41" s="250"/>
      <c r="AE41" s="174"/>
      <c r="AF41" s="167"/>
      <c r="AG41" s="447"/>
      <c r="AH41" s="168"/>
      <c r="AI41" s="168"/>
      <c r="AJ41" s="167"/>
      <c r="AK41" s="167"/>
      <c r="AL41" s="169"/>
      <c r="AM41" s="170"/>
      <c r="AN41" s="170"/>
      <c r="AO41" s="171"/>
      <c r="AP41" s="172"/>
      <c r="AQ41" s="173"/>
      <c r="AR41" s="152"/>
      <c r="AS41" s="250"/>
    </row>
    <row r="42" spans="1:45" x14ac:dyDescent="0.25">
      <c r="A42" s="69"/>
      <c r="B42" s="69"/>
      <c r="C42" s="438"/>
      <c r="D42" s="175"/>
      <c r="E42" s="175"/>
      <c r="F42" s="69"/>
      <c r="G42" s="69"/>
      <c r="H42" s="176"/>
      <c r="I42" s="177"/>
      <c r="J42" s="418"/>
      <c r="K42" s="178"/>
      <c r="L42" s="179"/>
      <c r="M42" s="180"/>
      <c r="N42" s="180"/>
      <c r="O42" s="419"/>
      <c r="P42" s="181"/>
      <c r="Q42" s="69"/>
      <c r="R42" s="438"/>
      <c r="S42" s="175"/>
      <c r="T42" s="175"/>
      <c r="U42" s="69"/>
      <c r="V42" s="69"/>
      <c r="W42" s="176"/>
      <c r="X42" s="177"/>
      <c r="Y42" s="418"/>
      <c r="Z42" s="178"/>
      <c r="AA42" s="179"/>
      <c r="AB42" s="180"/>
      <c r="AC42" s="180"/>
      <c r="AD42" s="420"/>
      <c r="AE42" s="182"/>
      <c r="AF42" s="69"/>
      <c r="AG42" s="438"/>
      <c r="AH42" s="175"/>
      <c r="AI42" s="175"/>
      <c r="AJ42" s="69"/>
      <c r="AK42" s="69"/>
      <c r="AL42" s="176"/>
      <c r="AM42" s="177"/>
      <c r="AN42" s="418"/>
      <c r="AO42" s="178"/>
      <c r="AP42" s="179"/>
      <c r="AQ42" s="180"/>
      <c r="AR42" s="180"/>
      <c r="AS42" s="421"/>
    </row>
    <row r="43" spans="1:45" x14ac:dyDescent="0.25">
      <c r="A43" s="1"/>
      <c r="B43" s="1"/>
      <c r="D43" s="17"/>
      <c r="E43" s="17"/>
      <c r="F43" s="1"/>
      <c r="G43" s="1"/>
      <c r="H43" s="2"/>
      <c r="I43" s="166"/>
      <c r="J43" s="145"/>
      <c r="K43" s="183"/>
      <c r="L43" s="165"/>
      <c r="M43" s="3"/>
      <c r="N43" s="3"/>
      <c r="P43" s="55"/>
      <c r="Q43" s="1"/>
      <c r="S43" s="17"/>
      <c r="T43" s="17"/>
      <c r="U43" s="1"/>
      <c r="V43" s="1"/>
      <c r="W43" s="2"/>
      <c r="X43" s="166"/>
      <c r="Y43" s="145"/>
      <c r="Z43" s="183"/>
      <c r="AA43" s="165"/>
      <c r="AB43" s="3"/>
      <c r="AC43" s="3"/>
      <c r="AE43" s="58"/>
      <c r="AF43" s="1"/>
      <c r="AH43" s="17"/>
      <c r="AI43" s="17"/>
      <c r="AJ43" s="1"/>
      <c r="AK43" s="1"/>
      <c r="AL43" s="2"/>
      <c r="AM43" s="166"/>
      <c r="AN43" s="145"/>
      <c r="AO43" s="183"/>
      <c r="AP43" s="165"/>
      <c r="AQ43" s="3"/>
      <c r="AR43" s="3"/>
    </row>
    <row r="44" spans="1:45" x14ac:dyDescent="0.25">
      <c r="A44" s="1"/>
      <c r="B44" s="1"/>
      <c r="D44" s="17"/>
      <c r="E44" s="17"/>
      <c r="F44" s="1"/>
      <c r="G44" s="1"/>
      <c r="H44" s="2"/>
      <c r="I44" s="166"/>
      <c r="J44" s="145"/>
      <c r="K44" s="183"/>
      <c r="L44" s="165"/>
      <c r="M44" s="3"/>
      <c r="N44" s="3"/>
      <c r="P44" s="55"/>
      <c r="Q44" s="1"/>
      <c r="S44" s="17"/>
      <c r="T44" s="17"/>
      <c r="U44" s="1"/>
      <c r="V44" s="1"/>
      <c r="W44" s="2"/>
      <c r="X44" s="166"/>
      <c r="Y44" s="145"/>
      <c r="Z44" s="183"/>
      <c r="AA44" s="165"/>
      <c r="AB44" s="3"/>
      <c r="AC44" s="3"/>
      <c r="AE44" s="58"/>
      <c r="AF44" s="1"/>
      <c r="AH44" s="17"/>
      <c r="AI44" s="17"/>
      <c r="AJ44" s="1"/>
      <c r="AK44" s="1"/>
      <c r="AL44" s="2"/>
      <c r="AM44" s="166"/>
      <c r="AN44" s="145"/>
      <c r="AO44" s="183"/>
      <c r="AP44" s="165"/>
      <c r="AQ44" s="3"/>
      <c r="AR44" s="3"/>
    </row>
    <row r="45" spans="1:45" x14ac:dyDescent="0.25">
      <c r="A45" s="1"/>
      <c r="B45" s="1"/>
      <c r="D45" s="17"/>
      <c r="E45" s="17"/>
      <c r="F45" s="1"/>
      <c r="G45" s="1"/>
      <c r="H45" s="2"/>
      <c r="I45" s="166"/>
      <c r="J45" s="145"/>
      <c r="K45" s="183"/>
      <c r="L45" s="165"/>
      <c r="M45" s="3"/>
      <c r="N45" s="3"/>
      <c r="P45" s="55"/>
      <c r="Q45" s="1"/>
      <c r="S45" s="17"/>
      <c r="T45" s="17"/>
      <c r="U45" s="1"/>
      <c r="V45" s="1"/>
      <c r="W45" s="2"/>
      <c r="X45" s="166"/>
      <c r="Y45" s="145"/>
      <c r="Z45" s="183"/>
      <c r="AA45" s="165"/>
      <c r="AB45" s="3"/>
      <c r="AC45" s="3"/>
      <c r="AE45" s="58"/>
      <c r="AF45" s="1"/>
      <c r="AH45" s="17"/>
      <c r="AI45" s="17"/>
      <c r="AJ45" s="1"/>
      <c r="AK45" s="1"/>
      <c r="AL45" s="2"/>
      <c r="AM45" s="166"/>
      <c r="AN45" s="145"/>
      <c r="AO45" s="183"/>
      <c r="AP45" s="165"/>
      <c r="AQ45" s="3"/>
      <c r="AR45" s="3"/>
    </row>
    <row r="46" spans="1:45" x14ac:dyDescent="0.25">
      <c r="A46" s="1"/>
      <c r="B46" s="1"/>
      <c r="D46" s="17"/>
      <c r="E46" s="17"/>
      <c r="F46" s="1"/>
      <c r="G46" s="1"/>
      <c r="H46" s="2"/>
      <c r="I46" s="166"/>
      <c r="J46" s="145"/>
      <c r="K46" s="183"/>
      <c r="L46" s="165"/>
      <c r="M46" s="3"/>
      <c r="N46" s="3"/>
      <c r="P46" s="55"/>
      <c r="Q46" s="1"/>
      <c r="S46" s="17"/>
      <c r="T46" s="17"/>
      <c r="U46" s="1"/>
      <c r="V46" s="1"/>
      <c r="W46" s="2"/>
      <c r="X46" s="166"/>
      <c r="Y46" s="145"/>
      <c r="Z46" s="183"/>
      <c r="AA46" s="165"/>
      <c r="AB46" s="3"/>
      <c r="AC46" s="3"/>
      <c r="AE46" s="58"/>
      <c r="AF46" s="1"/>
      <c r="AH46" s="17"/>
      <c r="AI46" s="17"/>
      <c r="AJ46" s="1"/>
      <c r="AK46" s="1"/>
      <c r="AL46" s="2"/>
      <c r="AM46" s="166"/>
      <c r="AN46" s="145"/>
      <c r="AO46" s="183"/>
      <c r="AP46" s="165"/>
      <c r="AQ46" s="3"/>
      <c r="AR46" s="3"/>
    </row>
    <row r="47" spans="1:45" x14ac:dyDescent="0.25">
      <c r="A47" s="1"/>
      <c r="B47" s="1"/>
      <c r="D47" s="17"/>
      <c r="E47" s="17"/>
      <c r="F47" s="1"/>
      <c r="G47" s="1"/>
      <c r="H47" s="2"/>
      <c r="I47" s="166"/>
      <c r="J47" s="145"/>
      <c r="K47" s="183"/>
      <c r="L47" s="165"/>
      <c r="M47" s="3"/>
      <c r="N47" s="3"/>
      <c r="P47" s="55"/>
      <c r="Q47" s="1"/>
      <c r="S47" s="17"/>
      <c r="T47" s="17"/>
      <c r="U47" s="1"/>
      <c r="V47" s="1"/>
      <c r="W47" s="2"/>
      <c r="X47" s="166"/>
      <c r="Y47" s="145"/>
      <c r="Z47" s="183"/>
      <c r="AA47" s="165"/>
      <c r="AB47" s="3"/>
      <c r="AC47" s="3"/>
      <c r="AE47" s="58"/>
      <c r="AF47" s="1"/>
      <c r="AH47" s="17"/>
      <c r="AI47" s="17"/>
      <c r="AJ47" s="1"/>
      <c r="AK47" s="1"/>
      <c r="AL47" s="2"/>
      <c r="AM47" s="166"/>
      <c r="AN47" s="145"/>
      <c r="AO47" s="183"/>
      <c r="AP47" s="165"/>
      <c r="AQ47" s="3"/>
      <c r="AR47" s="3"/>
    </row>
    <row r="48" spans="1:45" x14ac:dyDescent="0.25">
      <c r="A48" s="1"/>
      <c r="B48" s="1"/>
      <c r="D48" s="17"/>
      <c r="E48" s="17"/>
      <c r="F48" s="1"/>
      <c r="G48" s="1"/>
      <c r="H48" s="2"/>
      <c r="I48" s="166"/>
      <c r="J48" s="145"/>
      <c r="K48" s="183"/>
      <c r="L48" s="165"/>
      <c r="M48" s="3"/>
      <c r="N48" s="3"/>
      <c r="P48" s="55"/>
      <c r="Q48" s="1"/>
      <c r="S48" s="17"/>
      <c r="T48" s="17"/>
      <c r="U48" s="1"/>
      <c r="V48" s="1"/>
      <c r="W48" s="2"/>
      <c r="X48" s="166"/>
      <c r="Y48" s="145"/>
      <c r="Z48" s="183"/>
      <c r="AA48" s="165"/>
      <c r="AB48" s="3"/>
      <c r="AC48" s="3"/>
      <c r="AE48" s="58"/>
      <c r="AF48" s="1"/>
      <c r="AH48" s="17"/>
      <c r="AI48" s="17"/>
      <c r="AJ48" s="1"/>
      <c r="AK48" s="1"/>
      <c r="AL48" s="2"/>
      <c r="AM48" s="166"/>
      <c r="AN48" s="145"/>
      <c r="AO48" s="183"/>
      <c r="AP48" s="165"/>
      <c r="AQ48" s="3"/>
      <c r="AR48" s="3"/>
    </row>
    <row r="49" spans="1:45" x14ac:dyDescent="0.25">
      <c r="A49" s="1"/>
      <c r="B49" s="1"/>
      <c r="D49" s="17"/>
      <c r="E49" s="17"/>
      <c r="F49" s="1"/>
      <c r="G49" s="1"/>
      <c r="H49" s="2"/>
      <c r="I49" s="166"/>
      <c r="J49" s="145"/>
      <c r="K49" s="183"/>
      <c r="L49" s="165"/>
      <c r="M49" s="3"/>
      <c r="N49" s="3"/>
      <c r="P49" s="55"/>
      <c r="Q49" s="1"/>
      <c r="S49" s="17"/>
      <c r="T49" s="17"/>
      <c r="U49" s="1"/>
      <c r="V49" s="1"/>
      <c r="W49" s="2"/>
      <c r="X49" s="166"/>
      <c r="Y49" s="145"/>
      <c r="Z49" s="183"/>
      <c r="AA49" s="165"/>
      <c r="AB49" s="3"/>
      <c r="AC49" s="3"/>
      <c r="AE49" s="58"/>
      <c r="AF49" s="1"/>
      <c r="AH49" s="17"/>
      <c r="AI49" s="17"/>
      <c r="AJ49" s="1"/>
      <c r="AK49" s="1"/>
      <c r="AL49" s="2"/>
      <c r="AM49" s="166"/>
      <c r="AN49" s="145"/>
      <c r="AO49" s="183"/>
      <c r="AP49" s="165"/>
      <c r="AQ49" s="3"/>
      <c r="AR49" s="3"/>
    </row>
    <row r="50" spans="1:45" x14ac:dyDescent="0.25">
      <c r="A50" s="1"/>
      <c r="B50" s="1"/>
      <c r="D50" s="17"/>
      <c r="E50" s="17"/>
      <c r="F50" s="1"/>
      <c r="G50" s="1"/>
      <c r="H50" s="2"/>
      <c r="I50" s="166"/>
      <c r="J50" s="145"/>
      <c r="K50" s="183"/>
      <c r="L50" s="165"/>
      <c r="M50" s="3"/>
      <c r="N50" s="3"/>
      <c r="P50" s="55"/>
      <c r="Q50" s="1"/>
      <c r="S50" s="17"/>
      <c r="T50" s="17"/>
      <c r="U50" s="1"/>
      <c r="V50" s="1"/>
      <c r="W50" s="2"/>
      <c r="X50" s="166"/>
      <c r="Y50" s="145"/>
      <c r="Z50" s="183"/>
      <c r="AA50" s="165"/>
      <c r="AB50" s="3"/>
      <c r="AC50" s="3"/>
      <c r="AE50" s="58"/>
      <c r="AF50" s="1"/>
      <c r="AH50" s="17"/>
      <c r="AI50" s="17"/>
      <c r="AJ50" s="1"/>
      <c r="AK50" s="1"/>
      <c r="AL50" s="2"/>
      <c r="AM50" s="166"/>
      <c r="AN50" s="145"/>
      <c r="AO50" s="183"/>
      <c r="AP50" s="165"/>
      <c r="AQ50" s="3"/>
      <c r="AR50" s="3"/>
    </row>
    <row r="51" spans="1:45" x14ac:dyDescent="0.25">
      <c r="A51" s="1"/>
      <c r="B51" s="1"/>
      <c r="D51" s="17"/>
      <c r="E51" s="17"/>
      <c r="F51" s="1"/>
      <c r="G51" s="1"/>
      <c r="H51" s="2"/>
      <c r="I51" s="166"/>
      <c r="J51" s="145"/>
      <c r="K51" s="183"/>
      <c r="L51" s="165"/>
      <c r="M51" s="3"/>
      <c r="N51" s="3"/>
      <c r="P51" s="55"/>
      <c r="Q51" s="1"/>
      <c r="S51" s="17"/>
      <c r="T51" s="17"/>
      <c r="U51" s="1"/>
      <c r="V51" s="1"/>
      <c r="W51" s="2"/>
      <c r="X51" s="166"/>
      <c r="Y51" s="145"/>
      <c r="Z51" s="183"/>
      <c r="AA51" s="165"/>
      <c r="AB51" s="3"/>
      <c r="AC51" s="3"/>
      <c r="AE51" s="58"/>
      <c r="AF51" s="1"/>
      <c r="AH51" s="17"/>
      <c r="AI51" s="17"/>
      <c r="AJ51" s="1"/>
      <c r="AK51" s="1"/>
      <c r="AL51" s="2"/>
      <c r="AM51" s="166"/>
      <c r="AN51" s="145"/>
      <c r="AO51" s="183"/>
      <c r="AP51" s="165"/>
      <c r="AQ51" s="3"/>
      <c r="AR51" s="3"/>
    </row>
    <row r="52" spans="1:45" x14ac:dyDescent="0.25">
      <c r="A52" s="1"/>
      <c r="B52" s="1"/>
      <c r="D52" s="17"/>
      <c r="E52" s="17"/>
      <c r="F52" s="1"/>
      <c r="G52" s="1"/>
      <c r="H52" s="2"/>
      <c r="I52" s="166"/>
      <c r="J52" s="145"/>
      <c r="K52" s="183"/>
      <c r="L52" s="165"/>
      <c r="M52" s="3"/>
      <c r="N52" s="3"/>
      <c r="P52" s="55"/>
      <c r="Q52" s="1"/>
      <c r="S52" s="17"/>
      <c r="T52" s="17"/>
      <c r="U52" s="1"/>
      <c r="V52" s="1"/>
      <c r="W52" s="2"/>
      <c r="X52" s="166"/>
      <c r="Y52" s="145"/>
      <c r="Z52" s="183"/>
      <c r="AA52" s="165"/>
      <c r="AB52" s="3"/>
      <c r="AC52" s="3"/>
      <c r="AE52" s="58"/>
      <c r="AF52" s="1"/>
      <c r="AH52" s="17"/>
      <c r="AI52" s="17"/>
      <c r="AJ52" s="1"/>
      <c r="AK52" s="1"/>
      <c r="AL52" s="2"/>
      <c r="AM52" s="166"/>
      <c r="AN52" s="145"/>
      <c r="AO52" s="183"/>
      <c r="AP52" s="165"/>
      <c r="AQ52" s="3"/>
      <c r="AR52" s="3"/>
    </row>
    <row r="53" spans="1:45" x14ac:dyDescent="0.25">
      <c r="A53" s="1"/>
      <c r="B53" s="1"/>
      <c r="D53" s="17"/>
      <c r="E53" s="17"/>
      <c r="F53" s="1"/>
      <c r="G53" s="1"/>
      <c r="H53" s="2"/>
      <c r="I53" s="166"/>
      <c r="J53" s="145"/>
      <c r="K53" s="183"/>
      <c r="L53" s="165"/>
      <c r="M53" s="3"/>
      <c r="N53" s="3"/>
      <c r="P53" s="55"/>
      <c r="Q53" s="1"/>
      <c r="S53" s="17"/>
      <c r="T53" s="17"/>
      <c r="U53" s="1"/>
      <c r="V53" s="1"/>
      <c r="W53" s="2"/>
      <c r="X53" s="166"/>
      <c r="Y53" s="145"/>
      <c r="Z53" s="183"/>
      <c r="AA53" s="165"/>
      <c r="AB53" s="3"/>
      <c r="AC53" s="3"/>
      <c r="AE53" s="58"/>
      <c r="AF53" s="1"/>
      <c r="AH53" s="17"/>
      <c r="AI53" s="17"/>
      <c r="AJ53" s="1"/>
      <c r="AK53" s="1"/>
      <c r="AL53" s="2"/>
      <c r="AM53" s="166"/>
      <c r="AN53" s="145"/>
      <c r="AO53" s="183"/>
      <c r="AP53" s="165"/>
      <c r="AQ53" s="3"/>
      <c r="AR53" s="3"/>
    </row>
    <row r="54" spans="1:45" x14ac:dyDescent="0.25">
      <c r="A54" s="1"/>
      <c r="B54" s="1"/>
      <c r="D54" s="17"/>
      <c r="E54" s="17"/>
      <c r="F54" s="1"/>
      <c r="G54" s="1"/>
      <c r="H54" s="2"/>
      <c r="I54" s="166"/>
      <c r="J54" s="145"/>
      <c r="K54" s="183"/>
      <c r="L54" s="165"/>
      <c r="M54" s="3"/>
      <c r="N54" s="3"/>
      <c r="P54" s="55"/>
      <c r="Q54" s="1"/>
      <c r="S54" s="17"/>
      <c r="T54" s="17"/>
      <c r="U54" s="1"/>
      <c r="V54" s="1"/>
      <c r="W54" s="2"/>
      <c r="X54" s="166"/>
      <c r="Y54" s="145"/>
      <c r="Z54" s="183"/>
      <c r="AA54" s="165"/>
      <c r="AB54" s="3"/>
      <c r="AC54" s="3"/>
      <c r="AE54" s="58"/>
      <c r="AF54" s="1"/>
      <c r="AH54" s="17"/>
      <c r="AI54" s="17"/>
      <c r="AJ54" s="1"/>
      <c r="AK54" s="1"/>
      <c r="AL54" s="2"/>
      <c r="AM54" s="166"/>
      <c r="AN54" s="145"/>
      <c r="AO54" s="183"/>
      <c r="AP54" s="165"/>
      <c r="AQ54" s="3"/>
      <c r="AR54" s="3"/>
    </row>
    <row r="55" spans="1:45" x14ac:dyDescent="0.25">
      <c r="A55" s="1"/>
      <c r="B55" s="1"/>
      <c r="D55" s="17"/>
      <c r="E55" s="17"/>
      <c r="F55" s="1"/>
      <c r="G55" s="1"/>
      <c r="H55" s="2"/>
      <c r="I55" s="166"/>
      <c r="J55" s="145"/>
      <c r="K55" s="183"/>
      <c r="L55" s="165"/>
      <c r="M55" s="3"/>
      <c r="N55" s="3"/>
      <c r="P55" s="55"/>
      <c r="Q55" s="1"/>
      <c r="S55" s="17"/>
      <c r="T55" s="17"/>
      <c r="U55" s="1"/>
      <c r="V55" s="1"/>
      <c r="W55" s="2"/>
      <c r="X55" s="166"/>
      <c r="Y55" s="145"/>
      <c r="Z55" s="183"/>
      <c r="AA55" s="165"/>
      <c r="AB55" s="3"/>
      <c r="AC55" s="3"/>
      <c r="AE55" s="58"/>
      <c r="AF55" s="1"/>
      <c r="AH55" s="17"/>
      <c r="AI55" s="17"/>
      <c r="AJ55" s="1"/>
      <c r="AK55" s="1"/>
      <c r="AL55" s="2"/>
      <c r="AM55" s="166"/>
      <c r="AN55" s="145"/>
      <c r="AO55" s="183"/>
      <c r="AP55" s="165"/>
      <c r="AQ55" s="3"/>
      <c r="AR55" s="3"/>
    </row>
    <row r="56" spans="1:45" x14ac:dyDescent="0.25">
      <c r="A56" s="1"/>
      <c r="B56" s="1"/>
      <c r="D56" s="17"/>
      <c r="E56" s="17"/>
      <c r="F56" s="1"/>
      <c r="G56" s="1"/>
      <c r="H56" s="2"/>
      <c r="I56" s="166"/>
      <c r="J56" s="145"/>
      <c r="K56" s="183"/>
      <c r="L56" s="165"/>
      <c r="M56" s="3"/>
      <c r="N56" s="3"/>
      <c r="P56" s="55"/>
      <c r="Q56" s="1"/>
      <c r="S56" s="17"/>
      <c r="T56" s="17"/>
      <c r="U56" s="1"/>
      <c r="V56" s="1"/>
      <c r="W56" s="2"/>
      <c r="X56" s="166"/>
      <c r="Y56" s="145"/>
      <c r="Z56" s="183"/>
      <c r="AA56" s="165"/>
      <c r="AB56" s="3"/>
      <c r="AC56" s="3"/>
      <c r="AE56" s="58"/>
      <c r="AF56" s="1"/>
      <c r="AH56" s="17"/>
      <c r="AI56" s="17"/>
      <c r="AJ56" s="1"/>
      <c r="AK56" s="1"/>
      <c r="AL56" s="2"/>
      <c r="AM56" s="166"/>
      <c r="AN56" s="145"/>
      <c r="AO56" s="183"/>
      <c r="AP56" s="165"/>
      <c r="AQ56" s="3"/>
      <c r="AR56" s="3"/>
    </row>
    <row r="57" spans="1:45" x14ac:dyDescent="0.25">
      <c r="A57" s="1"/>
      <c r="B57" s="1"/>
      <c r="D57" s="17"/>
      <c r="E57" s="17"/>
      <c r="F57" s="1"/>
      <c r="G57" s="1"/>
      <c r="H57" s="2"/>
      <c r="I57" s="166"/>
      <c r="J57" s="145"/>
      <c r="K57" s="183"/>
      <c r="L57" s="165"/>
      <c r="M57" s="3"/>
      <c r="N57" s="3"/>
      <c r="P57" s="55"/>
      <c r="Q57" s="1"/>
      <c r="S57" s="17"/>
      <c r="T57" s="17"/>
      <c r="U57" s="1"/>
      <c r="V57" s="1"/>
      <c r="W57" s="2"/>
      <c r="X57" s="166"/>
      <c r="Y57" s="145"/>
      <c r="Z57" s="183"/>
      <c r="AA57" s="165"/>
      <c r="AB57" s="3"/>
      <c r="AC57" s="3"/>
      <c r="AE57" s="58"/>
      <c r="AF57" s="1"/>
      <c r="AH57" s="17"/>
      <c r="AI57" s="17"/>
      <c r="AJ57" s="1"/>
      <c r="AK57" s="1"/>
      <c r="AL57" s="2"/>
      <c r="AM57" s="166"/>
      <c r="AN57" s="145"/>
      <c r="AO57" s="183"/>
      <c r="AP57" s="165"/>
      <c r="AQ57" s="3"/>
      <c r="AR57" s="3"/>
    </row>
    <row r="58" spans="1:45" x14ac:dyDescent="0.25">
      <c r="A58" s="1"/>
      <c r="B58" s="1"/>
      <c r="D58" s="17"/>
      <c r="E58" s="17"/>
      <c r="F58" s="1"/>
      <c r="G58" s="1"/>
      <c r="H58" s="2"/>
      <c r="I58" s="166"/>
      <c r="J58" s="145"/>
      <c r="K58" s="183"/>
      <c r="L58" s="165"/>
      <c r="M58" s="3"/>
      <c r="N58" s="3"/>
      <c r="P58" s="55"/>
      <c r="Q58" s="1"/>
      <c r="S58" s="17"/>
      <c r="T58" s="17"/>
      <c r="U58" s="1"/>
      <c r="V58" s="1"/>
      <c r="W58" s="2"/>
      <c r="X58" s="166"/>
      <c r="Y58" s="145"/>
      <c r="Z58" s="183"/>
      <c r="AA58" s="165"/>
      <c r="AB58" s="3"/>
      <c r="AC58" s="3"/>
      <c r="AE58" s="58"/>
      <c r="AF58" s="1"/>
      <c r="AH58" s="17"/>
      <c r="AI58" s="17"/>
      <c r="AJ58" s="1"/>
      <c r="AK58" s="1"/>
      <c r="AL58" s="2"/>
      <c r="AM58" s="166"/>
      <c r="AN58" s="145"/>
      <c r="AO58" s="183"/>
      <c r="AP58" s="165"/>
      <c r="AQ58" s="3"/>
      <c r="AR58" s="3"/>
    </row>
    <row r="59" spans="1:45" x14ac:dyDescent="0.25">
      <c r="A59" s="1"/>
      <c r="B59" s="1"/>
      <c r="D59" s="17"/>
      <c r="E59" s="17"/>
      <c r="F59" s="1"/>
      <c r="G59" s="1"/>
      <c r="H59" s="2"/>
      <c r="I59" s="166"/>
      <c r="J59" s="145"/>
      <c r="K59" s="183"/>
      <c r="L59" s="165"/>
      <c r="M59" s="3"/>
      <c r="N59" s="3"/>
      <c r="P59" s="55"/>
      <c r="Q59" s="1"/>
      <c r="S59" s="17"/>
      <c r="T59" s="17"/>
      <c r="U59" s="1"/>
      <c r="V59" s="1"/>
      <c r="W59" s="2"/>
      <c r="X59" s="166"/>
      <c r="Y59" s="145"/>
      <c r="Z59" s="183"/>
      <c r="AA59" s="165"/>
      <c r="AB59" s="3"/>
      <c r="AC59" s="3"/>
      <c r="AE59" s="58"/>
      <c r="AF59" s="1"/>
      <c r="AH59" s="17"/>
      <c r="AI59" s="17"/>
      <c r="AJ59" s="1"/>
      <c r="AK59" s="1"/>
      <c r="AL59" s="2"/>
      <c r="AM59" s="166"/>
      <c r="AN59" s="145"/>
      <c r="AO59" s="183"/>
      <c r="AP59" s="165"/>
      <c r="AQ59" s="3"/>
      <c r="AR59" s="3"/>
    </row>
    <row r="60" spans="1:45" x14ac:dyDescent="0.25">
      <c r="A60" s="1"/>
      <c r="B60" s="1"/>
      <c r="D60" s="17"/>
      <c r="E60" s="17"/>
      <c r="F60" s="1"/>
      <c r="G60" s="1"/>
      <c r="H60" s="2"/>
      <c r="I60" s="166"/>
      <c r="J60" s="145"/>
      <c r="K60" s="183"/>
      <c r="L60" s="165"/>
      <c r="M60" s="3"/>
      <c r="N60" s="3"/>
      <c r="P60" s="55"/>
      <c r="Q60" s="1"/>
      <c r="S60" s="17"/>
      <c r="T60" s="17"/>
      <c r="U60" s="1"/>
      <c r="V60" s="1"/>
      <c r="W60" s="2"/>
      <c r="X60" s="166"/>
      <c r="Y60" s="145"/>
      <c r="Z60" s="183"/>
      <c r="AA60" s="165"/>
      <c r="AB60" s="3"/>
      <c r="AC60" s="3"/>
      <c r="AE60" s="58"/>
      <c r="AF60" s="1"/>
      <c r="AH60" s="17"/>
      <c r="AI60" s="17"/>
      <c r="AJ60" s="1"/>
      <c r="AK60" s="1"/>
      <c r="AL60" s="2"/>
      <c r="AM60" s="166"/>
      <c r="AN60" s="145"/>
      <c r="AO60" s="183"/>
      <c r="AP60" s="165"/>
      <c r="AQ60" s="3"/>
      <c r="AR60" s="3"/>
    </row>
    <row r="61" spans="1:45" ht="13.8" thickBot="1" x14ac:dyDescent="0.3">
      <c r="A61" s="146"/>
      <c r="B61" s="146"/>
      <c r="C61" s="434"/>
      <c r="D61" s="147"/>
      <c r="E61" s="147"/>
      <c r="F61" s="146"/>
      <c r="G61" s="146"/>
      <c r="H61" s="148"/>
      <c r="I61" s="184"/>
      <c r="J61" s="416"/>
      <c r="K61" s="185"/>
      <c r="L61" s="186"/>
      <c r="M61" s="149"/>
      <c r="N61" s="149"/>
      <c r="O61" s="241"/>
      <c r="P61" s="154"/>
      <c r="Q61" s="146"/>
      <c r="R61" s="434"/>
      <c r="S61" s="147"/>
      <c r="T61" s="147"/>
      <c r="U61" s="146"/>
      <c r="V61" s="146"/>
      <c r="W61" s="148"/>
      <c r="X61" s="184"/>
      <c r="Y61" s="416"/>
      <c r="Z61" s="185"/>
      <c r="AA61" s="186"/>
      <c r="AB61" s="149"/>
      <c r="AC61" s="149"/>
      <c r="AD61" s="242"/>
      <c r="AE61" s="155"/>
      <c r="AF61" s="146"/>
      <c r="AG61" s="434"/>
      <c r="AH61" s="147"/>
      <c r="AI61" s="147"/>
      <c r="AJ61" s="146"/>
      <c r="AK61" s="146"/>
      <c r="AL61" s="148"/>
      <c r="AM61" s="184"/>
      <c r="AN61" s="416"/>
      <c r="AO61" s="185"/>
      <c r="AP61" s="186"/>
      <c r="AQ61" s="149"/>
      <c r="AR61" s="149"/>
      <c r="AS61" s="417"/>
    </row>
    <row r="62" spans="1:45" x14ac:dyDescent="0.25">
      <c r="A62" s="156"/>
      <c r="B62" s="157"/>
      <c r="C62" s="446"/>
      <c r="D62" s="158"/>
      <c r="E62" s="158"/>
      <c r="F62" s="157"/>
      <c r="G62" s="157"/>
      <c r="H62" s="159"/>
      <c r="I62" s="160"/>
      <c r="J62" s="163"/>
      <c r="K62" s="187"/>
      <c r="L62" s="188"/>
      <c r="M62" s="160"/>
      <c r="N62" s="160"/>
      <c r="O62" s="245"/>
      <c r="P62" s="156"/>
      <c r="Q62" s="157"/>
      <c r="R62" s="446"/>
      <c r="S62" s="158"/>
      <c r="T62" s="158"/>
      <c r="U62" s="157"/>
      <c r="V62" s="157"/>
      <c r="W62" s="159"/>
      <c r="X62" s="160"/>
      <c r="Y62" s="163"/>
      <c r="Z62" s="187"/>
      <c r="AA62" s="188"/>
      <c r="AB62" s="160"/>
      <c r="AC62" s="160"/>
      <c r="AD62" s="246"/>
      <c r="AE62" s="164"/>
      <c r="AF62" s="157"/>
      <c r="AG62" s="446"/>
      <c r="AH62" s="158"/>
      <c r="AI62" s="158"/>
      <c r="AJ62" s="157"/>
      <c r="AK62" s="157"/>
      <c r="AL62" s="159"/>
      <c r="AM62" s="160"/>
      <c r="AN62" s="163"/>
      <c r="AO62" s="187"/>
      <c r="AP62" s="188"/>
      <c r="AQ62" s="160"/>
      <c r="AR62" s="160"/>
      <c r="AS62" s="246"/>
    </row>
    <row r="63" spans="1:45" x14ac:dyDescent="0.25">
      <c r="A63" s="55"/>
      <c r="B63" s="406"/>
      <c r="D63" s="413"/>
      <c r="E63" s="413"/>
      <c r="F63" s="406"/>
      <c r="G63" s="406"/>
      <c r="H63" s="2"/>
      <c r="I63" s="3"/>
      <c r="J63" s="166"/>
      <c r="K63" s="189"/>
      <c r="L63" s="190"/>
      <c r="M63" s="3"/>
      <c r="N63" s="3"/>
      <c r="P63" s="55"/>
      <c r="Q63" s="406"/>
      <c r="S63" s="413"/>
      <c r="T63" s="413"/>
      <c r="U63" s="406"/>
      <c r="V63" s="406"/>
      <c r="W63" s="2"/>
      <c r="X63" s="3"/>
      <c r="Y63" s="166"/>
      <c r="Z63" s="189"/>
      <c r="AA63" s="190"/>
      <c r="AB63" s="3"/>
      <c r="AC63" s="3"/>
      <c r="AE63" s="411"/>
      <c r="AF63" s="406"/>
      <c r="AH63" s="413"/>
      <c r="AI63" s="413"/>
      <c r="AJ63" s="406"/>
      <c r="AK63" s="406"/>
      <c r="AL63" s="2"/>
      <c r="AM63" s="3"/>
      <c r="AN63" s="166"/>
      <c r="AO63" s="189"/>
      <c r="AP63" s="190"/>
      <c r="AQ63" s="3"/>
      <c r="AR63" s="3"/>
      <c r="AS63" s="91"/>
    </row>
    <row r="64" spans="1:45" x14ac:dyDescent="0.25">
      <c r="A64" s="55"/>
      <c r="B64" s="406"/>
      <c r="D64" s="413"/>
      <c r="E64" s="413"/>
      <c r="F64" s="406"/>
      <c r="G64" s="406"/>
      <c r="H64" s="2"/>
      <c r="I64" s="3"/>
      <c r="J64" s="166"/>
      <c r="K64" s="189"/>
      <c r="L64" s="190"/>
      <c r="M64" s="3"/>
      <c r="N64" s="3"/>
      <c r="P64" s="55"/>
      <c r="Q64" s="406"/>
      <c r="S64" s="413"/>
      <c r="T64" s="413"/>
      <c r="U64" s="406"/>
      <c r="V64" s="406"/>
      <c r="W64" s="2"/>
      <c r="X64" s="3"/>
      <c r="Y64" s="166"/>
      <c r="Z64" s="189"/>
      <c r="AA64" s="190"/>
      <c r="AB64" s="3"/>
      <c r="AC64" s="3"/>
      <c r="AE64" s="411"/>
      <c r="AF64" s="406"/>
      <c r="AH64" s="413"/>
      <c r="AI64" s="413"/>
      <c r="AJ64" s="406"/>
      <c r="AK64" s="406"/>
      <c r="AL64" s="2"/>
      <c r="AM64" s="3"/>
      <c r="AN64" s="166"/>
      <c r="AO64" s="189"/>
      <c r="AP64" s="190"/>
      <c r="AQ64" s="3"/>
      <c r="AR64" s="3"/>
      <c r="AS64" s="91"/>
    </row>
    <row r="65" spans="1:45" x14ac:dyDescent="0.25">
      <c r="A65" s="55"/>
      <c r="B65" s="406"/>
      <c r="D65" s="413"/>
      <c r="E65" s="413"/>
      <c r="F65" s="406"/>
      <c r="G65" s="406"/>
      <c r="H65" s="2"/>
      <c r="I65" s="3"/>
      <c r="J65" s="166"/>
      <c r="K65" s="189"/>
      <c r="L65" s="190"/>
      <c r="M65" s="3"/>
      <c r="N65" s="3"/>
      <c r="P65" s="55"/>
      <c r="Q65" s="406"/>
      <c r="S65" s="413"/>
      <c r="T65" s="413"/>
      <c r="U65" s="406"/>
      <c r="V65" s="406"/>
      <c r="W65" s="2"/>
      <c r="X65" s="3"/>
      <c r="Y65" s="166"/>
      <c r="Z65" s="189"/>
      <c r="AA65" s="190"/>
      <c r="AB65" s="3"/>
      <c r="AC65" s="3"/>
      <c r="AE65" s="411"/>
      <c r="AF65" s="406"/>
      <c r="AH65" s="413"/>
      <c r="AI65" s="413"/>
      <c r="AJ65" s="406"/>
      <c r="AK65" s="406"/>
      <c r="AL65" s="2"/>
      <c r="AM65" s="3"/>
      <c r="AN65" s="166"/>
      <c r="AO65" s="189"/>
      <c r="AP65" s="190"/>
      <c r="AQ65" s="3"/>
      <c r="AR65" s="3"/>
      <c r="AS65" s="91"/>
    </row>
    <row r="66" spans="1:45" x14ac:dyDescent="0.25">
      <c r="A66" s="55"/>
      <c r="B66" s="406"/>
      <c r="D66" s="413"/>
      <c r="E66" s="413"/>
      <c r="F66" s="406"/>
      <c r="G66" s="406"/>
      <c r="H66" s="2"/>
      <c r="I66" s="3"/>
      <c r="J66" s="166"/>
      <c r="K66" s="189"/>
      <c r="L66" s="190"/>
      <c r="M66" s="3"/>
      <c r="N66" s="3"/>
      <c r="P66" s="55"/>
      <c r="Q66" s="406"/>
      <c r="S66" s="413"/>
      <c r="T66" s="413"/>
      <c r="U66" s="406"/>
      <c r="V66" s="406"/>
      <c r="W66" s="2"/>
      <c r="X66" s="3"/>
      <c r="Y66" s="166"/>
      <c r="Z66" s="189"/>
      <c r="AA66" s="190"/>
      <c r="AB66" s="3"/>
      <c r="AC66" s="3"/>
      <c r="AE66" s="411"/>
      <c r="AF66" s="406"/>
      <c r="AH66" s="413"/>
      <c r="AI66" s="413"/>
      <c r="AJ66" s="406"/>
      <c r="AK66" s="406"/>
      <c r="AL66" s="2"/>
      <c r="AM66" s="3"/>
      <c r="AN66" s="166"/>
      <c r="AO66" s="189"/>
      <c r="AP66" s="190"/>
      <c r="AQ66" s="3"/>
      <c r="AR66" s="3"/>
      <c r="AS66" s="91"/>
    </row>
    <row r="67" spans="1:45" x14ac:dyDescent="0.25">
      <c r="A67" s="55"/>
      <c r="B67" s="406"/>
      <c r="D67" s="413"/>
      <c r="E67" s="413"/>
      <c r="F67" s="406"/>
      <c r="G67" s="406"/>
      <c r="H67" s="2"/>
      <c r="I67" s="3"/>
      <c r="J67" s="166"/>
      <c r="K67" s="189"/>
      <c r="L67" s="190"/>
      <c r="M67" s="3"/>
      <c r="N67" s="3"/>
      <c r="P67" s="55"/>
      <c r="Q67" s="406"/>
      <c r="S67" s="413"/>
      <c r="T67" s="413"/>
      <c r="U67" s="406"/>
      <c r="V67" s="406"/>
      <c r="W67" s="2"/>
      <c r="X67" s="3"/>
      <c r="Y67" s="166"/>
      <c r="Z67" s="189"/>
      <c r="AA67" s="190"/>
      <c r="AB67" s="3"/>
      <c r="AC67" s="3"/>
      <c r="AE67" s="411"/>
      <c r="AF67" s="406"/>
      <c r="AH67" s="413"/>
      <c r="AI67" s="413"/>
      <c r="AJ67" s="406"/>
      <c r="AK67" s="406"/>
      <c r="AL67" s="2"/>
      <c r="AM67" s="3"/>
      <c r="AN67" s="166"/>
      <c r="AO67" s="189"/>
      <c r="AP67" s="190"/>
      <c r="AQ67" s="3"/>
      <c r="AR67" s="3"/>
      <c r="AS67" s="91"/>
    </row>
    <row r="68" spans="1:45" x14ac:dyDescent="0.25">
      <c r="A68" s="55"/>
      <c r="B68" s="406"/>
      <c r="D68" s="413"/>
      <c r="E68" s="413"/>
      <c r="F68" s="406"/>
      <c r="G68" s="406"/>
      <c r="H68" s="2"/>
      <c r="I68" s="3"/>
      <c r="J68" s="166"/>
      <c r="K68" s="189"/>
      <c r="L68" s="190"/>
      <c r="M68" s="3"/>
      <c r="N68" s="3"/>
      <c r="P68" s="55"/>
      <c r="Q68" s="406"/>
      <c r="S68" s="413"/>
      <c r="T68" s="413"/>
      <c r="U68" s="406"/>
      <c r="V68" s="406"/>
      <c r="W68" s="2"/>
      <c r="X68" s="3"/>
      <c r="Y68" s="166"/>
      <c r="Z68" s="189"/>
      <c r="AA68" s="190"/>
      <c r="AB68" s="3"/>
      <c r="AC68" s="3"/>
      <c r="AE68" s="411"/>
      <c r="AF68" s="406"/>
      <c r="AH68" s="413"/>
      <c r="AI68" s="413"/>
      <c r="AJ68" s="406"/>
      <c r="AK68" s="406"/>
      <c r="AL68" s="2"/>
      <c r="AM68" s="3"/>
      <c r="AN68" s="166"/>
      <c r="AO68" s="189"/>
      <c r="AP68" s="190"/>
      <c r="AQ68" s="3"/>
      <c r="AR68" s="3"/>
      <c r="AS68" s="91"/>
    </row>
    <row r="69" spans="1:45" x14ac:dyDescent="0.25">
      <c r="A69" s="55"/>
      <c r="B69" s="406"/>
      <c r="D69" s="413"/>
      <c r="E69" s="413"/>
      <c r="F69" s="406"/>
      <c r="G69" s="406"/>
      <c r="H69" s="2"/>
      <c r="I69" s="3"/>
      <c r="J69" s="166"/>
      <c r="K69" s="189"/>
      <c r="L69" s="190"/>
      <c r="M69" s="3"/>
      <c r="N69" s="3"/>
      <c r="P69" s="55"/>
      <c r="Q69" s="406"/>
      <c r="S69" s="413"/>
      <c r="T69" s="413"/>
      <c r="U69" s="406"/>
      <c r="V69" s="406"/>
      <c r="W69" s="2"/>
      <c r="X69" s="3"/>
      <c r="Y69" s="166"/>
      <c r="Z69" s="189"/>
      <c r="AA69" s="190"/>
      <c r="AB69" s="3"/>
      <c r="AC69" s="3"/>
      <c r="AE69" s="411"/>
      <c r="AF69" s="406"/>
      <c r="AH69" s="413"/>
      <c r="AI69" s="413"/>
      <c r="AJ69" s="406"/>
      <c r="AK69" s="406"/>
      <c r="AL69" s="2"/>
      <c r="AM69" s="3"/>
      <c r="AN69" s="166"/>
      <c r="AO69" s="189"/>
      <c r="AP69" s="190"/>
      <c r="AQ69" s="3"/>
      <c r="AR69" s="3"/>
      <c r="AS69" s="91"/>
    </row>
    <row r="70" spans="1:45" x14ac:dyDescent="0.25">
      <c r="A70" s="55"/>
      <c r="B70" s="406"/>
      <c r="D70" s="413"/>
      <c r="E70" s="413"/>
      <c r="F70" s="406"/>
      <c r="G70" s="406"/>
      <c r="H70" s="2"/>
      <c r="I70" s="3"/>
      <c r="J70" s="166"/>
      <c r="K70" s="189"/>
      <c r="L70" s="190"/>
      <c r="M70" s="3"/>
      <c r="N70" s="3"/>
      <c r="P70" s="55"/>
      <c r="Q70" s="406"/>
      <c r="S70" s="413"/>
      <c r="T70" s="413"/>
      <c r="U70" s="406"/>
      <c r="V70" s="406"/>
      <c r="W70" s="2"/>
      <c r="X70" s="3"/>
      <c r="Y70" s="166"/>
      <c r="Z70" s="189"/>
      <c r="AA70" s="190"/>
      <c r="AB70" s="3"/>
      <c r="AC70" s="3"/>
      <c r="AE70" s="411"/>
      <c r="AF70" s="406"/>
      <c r="AH70" s="413"/>
      <c r="AI70" s="413"/>
      <c r="AJ70" s="406"/>
      <c r="AK70" s="406"/>
      <c r="AL70" s="2"/>
      <c r="AM70" s="3"/>
      <c r="AN70" s="166"/>
      <c r="AO70" s="189"/>
      <c r="AP70" s="190"/>
      <c r="AQ70" s="3"/>
      <c r="AR70" s="3"/>
      <c r="AS70" s="91"/>
    </row>
    <row r="71" spans="1:45" x14ac:dyDescent="0.25">
      <c r="A71" s="55"/>
      <c r="B71" s="406"/>
      <c r="D71" s="413"/>
      <c r="E71" s="413"/>
      <c r="F71" s="406"/>
      <c r="G71" s="406"/>
      <c r="H71" s="2"/>
      <c r="I71" s="3"/>
      <c r="J71" s="166"/>
      <c r="K71" s="189"/>
      <c r="L71" s="190"/>
      <c r="M71" s="3"/>
      <c r="N71" s="3"/>
      <c r="P71" s="55"/>
      <c r="Q71" s="406"/>
      <c r="S71" s="413"/>
      <c r="T71" s="413"/>
      <c r="U71" s="406"/>
      <c r="V71" s="406"/>
      <c r="W71" s="2"/>
      <c r="X71" s="3"/>
      <c r="Y71" s="166"/>
      <c r="Z71" s="189"/>
      <c r="AA71" s="190"/>
      <c r="AB71" s="3"/>
      <c r="AC71" s="3"/>
      <c r="AE71" s="411"/>
      <c r="AF71" s="406"/>
      <c r="AH71" s="413"/>
      <c r="AI71" s="413"/>
      <c r="AJ71" s="406"/>
      <c r="AK71" s="406"/>
      <c r="AL71" s="2"/>
      <c r="AM71" s="3"/>
      <c r="AN71" s="166"/>
      <c r="AO71" s="189"/>
      <c r="AP71" s="190"/>
      <c r="AQ71" s="3"/>
      <c r="AR71" s="3"/>
      <c r="AS71" s="91"/>
    </row>
    <row r="72" spans="1:45" x14ac:dyDescent="0.25">
      <c r="A72" s="55"/>
      <c r="B72" s="406"/>
      <c r="D72" s="413"/>
      <c r="E72" s="413"/>
      <c r="F72" s="406"/>
      <c r="G72" s="406"/>
      <c r="H72" s="2"/>
      <c r="I72" s="3"/>
      <c r="J72" s="166"/>
      <c r="K72" s="189"/>
      <c r="L72" s="190"/>
      <c r="M72" s="3"/>
      <c r="N72" s="3"/>
      <c r="P72" s="55"/>
      <c r="Q72" s="406"/>
      <c r="S72" s="413"/>
      <c r="T72" s="413"/>
      <c r="U72" s="406"/>
      <c r="V72" s="406"/>
      <c r="W72" s="2"/>
      <c r="X72" s="3"/>
      <c r="Y72" s="166"/>
      <c r="Z72" s="189"/>
      <c r="AA72" s="190"/>
      <c r="AB72" s="3"/>
      <c r="AC72" s="3"/>
      <c r="AE72" s="411"/>
      <c r="AF72" s="406"/>
      <c r="AH72" s="413"/>
      <c r="AI72" s="413"/>
      <c r="AJ72" s="406"/>
      <c r="AK72" s="406"/>
      <c r="AL72" s="2"/>
      <c r="AM72" s="3"/>
      <c r="AN72" s="166"/>
      <c r="AO72" s="189"/>
      <c r="AP72" s="190"/>
      <c r="AQ72" s="3"/>
      <c r="AR72" s="3"/>
      <c r="AS72" s="91"/>
    </row>
    <row r="73" spans="1:45" x14ac:dyDescent="0.25">
      <c r="A73" s="55"/>
      <c r="B73" s="406"/>
      <c r="D73" s="413"/>
      <c r="E73" s="413"/>
      <c r="F73" s="406"/>
      <c r="G73" s="406"/>
      <c r="H73" s="2"/>
      <c r="I73" s="3"/>
      <c r="J73" s="166"/>
      <c r="K73" s="189"/>
      <c r="L73" s="190"/>
      <c r="M73" s="3"/>
      <c r="N73" s="3"/>
      <c r="P73" s="55"/>
      <c r="Q73" s="406"/>
      <c r="S73" s="413"/>
      <c r="T73" s="413"/>
      <c r="U73" s="406"/>
      <c r="V73" s="406"/>
      <c r="W73" s="2"/>
      <c r="X73" s="3"/>
      <c r="Y73" s="166"/>
      <c r="Z73" s="189"/>
      <c r="AA73" s="190"/>
      <c r="AB73" s="3"/>
      <c r="AC73" s="3"/>
      <c r="AE73" s="411"/>
      <c r="AF73" s="406"/>
      <c r="AH73" s="413"/>
      <c r="AI73" s="413"/>
      <c r="AJ73" s="406"/>
      <c r="AK73" s="406"/>
      <c r="AL73" s="2"/>
      <c r="AM73" s="3"/>
      <c r="AN73" s="166"/>
      <c r="AO73" s="189"/>
      <c r="AP73" s="190"/>
      <c r="AQ73" s="3"/>
      <c r="AR73" s="3"/>
      <c r="AS73" s="91"/>
    </row>
    <row r="74" spans="1:45" x14ac:dyDescent="0.25">
      <c r="A74" s="55"/>
      <c r="B74" s="406"/>
      <c r="D74" s="413"/>
      <c r="E74" s="413"/>
      <c r="F74" s="406"/>
      <c r="G74" s="406"/>
      <c r="H74" s="2"/>
      <c r="I74" s="3"/>
      <c r="J74" s="166"/>
      <c r="K74" s="189"/>
      <c r="L74" s="190"/>
      <c r="M74" s="3"/>
      <c r="N74" s="3"/>
      <c r="P74" s="55"/>
      <c r="Q74" s="406"/>
      <c r="S74" s="413"/>
      <c r="T74" s="413"/>
      <c r="U74" s="406"/>
      <c r="V74" s="406"/>
      <c r="W74" s="2"/>
      <c r="X74" s="3"/>
      <c r="Y74" s="166"/>
      <c r="Z74" s="189"/>
      <c r="AA74" s="190"/>
      <c r="AB74" s="3"/>
      <c r="AC74" s="3"/>
      <c r="AE74" s="411"/>
      <c r="AF74" s="406"/>
      <c r="AH74" s="413"/>
      <c r="AI74" s="413"/>
      <c r="AJ74" s="406"/>
      <c r="AK74" s="406"/>
      <c r="AL74" s="2"/>
      <c r="AM74" s="3"/>
      <c r="AN74" s="166"/>
      <c r="AO74" s="189"/>
      <c r="AP74" s="190"/>
      <c r="AQ74" s="3"/>
      <c r="AR74" s="3"/>
      <c r="AS74" s="91"/>
    </row>
    <row r="75" spans="1:45" x14ac:dyDescent="0.25">
      <c r="A75" s="55"/>
      <c r="B75" s="406"/>
      <c r="D75" s="413"/>
      <c r="E75" s="413"/>
      <c r="F75" s="406"/>
      <c r="G75" s="406"/>
      <c r="H75" s="2"/>
      <c r="I75" s="3"/>
      <c r="J75" s="166"/>
      <c r="K75" s="189"/>
      <c r="L75" s="190"/>
      <c r="M75" s="3"/>
      <c r="N75" s="3"/>
      <c r="P75" s="55"/>
      <c r="Q75" s="406"/>
      <c r="S75" s="413"/>
      <c r="T75" s="413"/>
      <c r="U75" s="406"/>
      <c r="V75" s="406"/>
      <c r="W75" s="2"/>
      <c r="X75" s="3"/>
      <c r="Y75" s="166"/>
      <c r="Z75" s="189"/>
      <c r="AA75" s="190"/>
      <c r="AB75" s="3"/>
      <c r="AC75" s="3"/>
      <c r="AE75" s="411"/>
      <c r="AF75" s="406"/>
      <c r="AH75" s="413"/>
      <c r="AI75" s="413"/>
      <c r="AJ75" s="406"/>
      <c r="AK75" s="406"/>
      <c r="AL75" s="2"/>
      <c r="AM75" s="3"/>
      <c r="AN75" s="166"/>
      <c r="AO75" s="189"/>
      <c r="AP75" s="190"/>
      <c r="AQ75" s="3"/>
      <c r="AR75" s="3"/>
      <c r="AS75" s="91"/>
    </row>
    <row r="76" spans="1:45" x14ac:dyDescent="0.25">
      <c r="A76" s="55"/>
      <c r="B76" s="406"/>
      <c r="D76" s="413"/>
      <c r="E76" s="413"/>
      <c r="F76" s="406"/>
      <c r="G76" s="406"/>
      <c r="H76" s="2"/>
      <c r="I76" s="3"/>
      <c r="J76" s="166"/>
      <c r="K76" s="189"/>
      <c r="L76" s="190"/>
      <c r="M76" s="3"/>
      <c r="N76" s="3"/>
      <c r="P76" s="55"/>
      <c r="Q76" s="406"/>
      <c r="S76" s="413"/>
      <c r="T76" s="413"/>
      <c r="U76" s="406"/>
      <c r="V76" s="406"/>
      <c r="W76" s="2"/>
      <c r="X76" s="3"/>
      <c r="Y76" s="166"/>
      <c r="Z76" s="189"/>
      <c r="AA76" s="190"/>
      <c r="AB76" s="3"/>
      <c r="AC76" s="3"/>
      <c r="AE76" s="411"/>
      <c r="AF76" s="406"/>
      <c r="AH76" s="413"/>
      <c r="AI76" s="413"/>
      <c r="AJ76" s="406"/>
      <c r="AK76" s="406"/>
      <c r="AL76" s="2"/>
      <c r="AM76" s="3"/>
      <c r="AN76" s="166"/>
      <c r="AO76" s="189"/>
      <c r="AP76" s="190"/>
      <c r="AQ76" s="3"/>
      <c r="AR76" s="3"/>
      <c r="AS76" s="91"/>
    </row>
    <row r="77" spans="1:45" x14ac:dyDescent="0.25">
      <c r="A77" s="55"/>
      <c r="B77" s="406"/>
      <c r="D77" s="413"/>
      <c r="E77" s="413"/>
      <c r="F77" s="406"/>
      <c r="G77" s="406"/>
      <c r="H77" s="2"/>
      <c r="I77" s="3"/>
      <c r="J77" s="166"/>
      <c r="K77" s="189"/>
      <c r="L77" s="190"/>
      <c r="M77" s="3"/>
      <c r="N77" s="3"/>
      <c r="P77" s="55"/>
      <c r="Q77" s="406"/>
      <c r="S77" s="413"/>
      <c r="T77" s="413"/>
      <c r="U77" s="406"/>
      <c r="V77" s="406"/>
      <c r="W77" s="2"/>
      <c r="X77" s="3"/>
      <c r="Y77" s="166"/>
      <c r="Z77" s="189"/>
      <c r="AA77" s="190"/>
      <c r="AB77" s="3"/>
      <c r="AC77" s="3"/>
      <c r="AE77" s="411"/>
      <c r="AF77" s="406"/>
      <c r="AH77" s="413"/>
      <c r="AI77" s="413"/>
      <c r="AJ77" s="406"/>
      <c r="AK77" s="406"/>
      <c r="AL77" s="2"/>
      <c r="AM77" s="3"/>
      <c r="AN77" s="166"/>
      <c r="AO77" s="189"/>
      <c r="AP77" s="190"/>
      <c r="AQ77" s="3"/>
      <c r="AR77" s="3"/>
      <c r="AS77" s="91"/>
    </row>
    <row r="78" spans="1:45" x14ac:dyDescent="0.25">
      <c r="A78" s="55"/>
      <c r="B78" s="406"/>
      <c r="D78" s="413"/>
      <c r="E78" s="413"/>
      <c r="F78" s="406"/>
      <c r="G78" s="406"/>
      <c r="H78" s="2"/>
      <c r="I78" s="3"/>
      <c r="J78" s="166"/>
      <c r="K78" s="189"/>
      <c r="L78" s="190"/>
      <c r="M78" s="3"/>
      <c r="N78" s="3"/>
      <c r="P78" s="55"/>
      <c r="Q78" s="406"/>
      <c r="S78" s="413"/>
      <c r="T78" s="413"/>
      <c r="U78" s="406"/>
      <c r="V78" s="406"/>
      <c r="W78" s="2"/>
      <c r="X78" s="3"/>
      <c r="Y78" s="166"/>
      <c r="Z78" s="189"/>
      <c r="AA78" s="190"/>
      <c r="AB78" s="3"/>
      <c r="AC78" s="3"/>
      <c r="AE78" s="411"/>
      <c r="AF78" s="406"/>
      <c r="AH78" s="413"/>
      <c r="AI78" s="413"/>
      <c r="AJ78" s="406"/>
      <c r="AK78" s="406"/>
      <c r="AL78" s="2"/>
      <c r="AM78" s="3"/>
      <c r="AN78" s="166"/>
      <c r="AO78" s="189"/>
      <c r="AP78" s="190"/>
      <c r="AQ78" s="3"/>
      <c r="AR78" s="3"/>
      <c r="AS78" s="91"/>
    </row>
    <row r="79" spans="1:45" x14ac:dyDescent="0.25">
      <c r="A79" s="55"/>
      <c r="B79" s="406"/>
      <c r="D79" s="413"/>
      <c r="E79" s="413"/>
      <c r="F79" s="406"/>
      <c r="G79" s="406"/>
      <c r="H79" s="2"/>
      <c r="I79" s="3"/>
      <c r="J79" s="166"/>
      <c r="K79" s="189"/>
      <c r="L79" s="190"/>
      <c r="M79" s="3"/>
      <c r="N79" s="3"/>
      <c r="P79" s="55"/>
      <c r="Q79" s="406"/>
      <c r="S79" s="413"/>
      <c r="T79" s="413"/>
      <c r="U79" s="406"/>
      <c r="V79" s="406"/>
      <c r="W79" s="2"/>
      <c r="X79" s="3"/>
      <c r="Y79" s="166"/>
      <c r="Z79" s="189"/>
      <c r="AA79" s="190"/>
      <c r="AB79" s="3"/>
      <c r="AC79" s="3"/>
      <c r="AE79" s="411"/>
      <c r="AF79" s="406"/>
      <c r="AH79" s="413"/>
      <c r="AI79" s="413"/>
      <c r="AJ79" s="406"/>
      <c r="AK79" s="406"/>
      <c r="AL79" s="2"/>
      <c r="AM79" s="3"/>
      <c r="AN79" s="166"/>
      <c r="AO79" s="189"/>
      <c r="AP79" s="190"/>
      <c r="AQ79" s="3"/>
      <c r="AR79" s="3"/>
      <c r="AS79" s="91"/>
    </row>
    <row r="80" spans="1:45" x14ac:dyDescent="0.25">
      <c r="A80" s="55"/>
      <c r="B80" s="406"/>
      <c r="D80" s="413"/>
      <c r="E80" s="413"/>
      <c r="F80" s="406"/>
      <c r="G80" s="406"/>
      <c r="H80" s="2"/>
      <c r="I80" s="3"/>
      <c r="J80" s="166"/>
      <c r="K80" s="189"/>
      <c r="L80" s="190"/>
      <c r="M80" s="3"/>
      <c r="N80" s="3"/>
      <c r="P80" s="55"/>
      <c r="Q80" s="406"/>
      <c r="S80" s="413"/>
      <c r="T80" s="413"/>
      <c r="U80" s="406"/>
      <c r="V80" s="406"/>
      <c r="W80" s="2"/>
      <c r="X80" s="3"/>
      <c r="Y80" s="166"/>
      <c r="Z80" s="189"/>
      <c r="AA80" s="190"/>
      <c r="AB80" s="3"/>
      <c r="AC80" s="3"/>
      <c r="AE80" s="411"/>
      <c r="AF80" s="406"/>
      <c r="AH80" s="413"/>
      <c r="AI80" s="413"/>
      <c r="AJ80" s="406"/>
      <c r="AK80" s="406"/>
      <c r="AL80" s="2"/>
      <c r="AM80" s="3"/>
      <c r="AN80" s="166"/>
      <c r="AO80" s="189"/>
      <c r="AP80" s="190"/>
      <c r="AQ80" s="3"/>
      <c r="AR80" s="3"/>
      <c r="AS80" s="91"/>
    </row>
    <row r="81" spans="1:45" ht="13.8" thickBot="1" x14ac:dyDescent="0.3">
      <c r="A81" s="66"/>
      <c r="B81" s="167"/>
      <c r="C81" s="447"/>
      <c r="D81" s="168"/>
      <c r="E81" s="168"/>
      <c r="F81" s="167"/>
      <c r="G81" s="167"/>
      <c r="H81" s="169"/>
      <c r="I81" s="170"/>
      <c r="J81" s="173"/>
      <c r="K81" s="191"/>
      <c r="L81" s="192"/>
      <c r="M81" s="170"/>
      <c r="N81" s="170"/>
      <c r="O81" s="249"/>
      <c r="P81" s="66"/>
      <c r="Q81" s="167"/>
      <c r="R81" s="447"/>
      <c r="S81" s="168"/>
      <c r="T81" s="168"/>
      <c r="U81" s="167"/>
      <c r="V81" s="167"/>
      <c r="W81" s="169"/>
      <c r="X81" s="170"/>
      <c r="Y81" s="173"/>
      <c r="Z81" s="191"/>
      <c r="AA81" s="192"/>
      <c r="AB81" s="170"/>
      <c r="AC81" s="170"/>
      <c r="AD81" s="250"/>
      <c r="AE81" s="174"/>
      <c r="AF81" s="167"/>
      <c r="AG81" s="447"/>
      <c r="AH81" s="168"/>
      <c r="AI81" s="168"/>
      <c r="AJ81" s="167"/>
      <c r="AK81" s="167"/>
      <c r="AL81" s="169"/>
      <c r="AM81" s="170"/>
      <c r="AN81" s="173"/>
      <c r="AO81" s="191"/>
      <c r="AP81" s="192"/>
      <c r="AQ81" s="170"/>
      <c r="AR81" s="170"/>
      <c r="AS81" s="250"/>
    </row>
    <row r="82" spans="1:45" x14ac:dyDescent="0.25">
      <c r="A82" s="69"/>
      <c r="B82" s="69"/>
      <c r="C82" s="438"/>
      <c r="D82" s="175"/>
      <c r="E82" s="175"/>
      <c r="F82" s="69"/>
      <c r="G82" s="69"/>
      <c r="H82" s="176"/>
      <c r="I82" s="180"/>
      <c r="J82" s="180"/>
      <c r="K82" s="193"/>
      <c r="L82" s="422"/>
      <c r="M82" s="194"/>
      <c r="N82" s="180"/>
      <c r="O82" s="419"/>
      <c r="P82" s="181"/>
      <c r="Q82" s="69"/>
      <c r="R82" s="438"/>
      <c r="S82" s="175"/>
      <c r="T82" s="175"/>
      <c r="U82" s="69"/>
      <c r="V82" s="69"/>
      <c r="W82" s="176"/>
      <c r="X82" s="180"/>
      <c r="Y82" s="180"/>
      <c r="Z82" s="193"/>
      <c r="AA82" s="422"/>
      <c r="AB82" s="194"/>
      <c r="AC82" s="180"/>
      <c r="AD82" s="420"/>
      <c r="AE82" s="182"/>
      <c r="AF82" s="69"/>
      <c r="AG82" s="438"/>
      <c r="AH82" s="175"/>
      <c r="AI82" s="175"/>
      <c r="AJ82" s="69"/>
      <c r="AK82" s="69"/>
      <c r="AL82" s="176"/>
      <c r="AM82" s="180"/>
      <c r="AN82" s="180"/>
      <c r="AO82" s="193"/>
      <c r="AP82" s="422"/>
      <c r="AQ82" s="194"/>
      <c r="AR82" s="180"/>
      <c r="AS82" s="421"/>
    </row>
    <row r="83" spans="1:45" x14ac:dyDescent="0.25">
      <c r="A83" s="1"/>
      <c r="B83" s="1"/>
      <c r="D83" s="17"/>
      <c r="E83" s="17"/>
      <c r="F83" s="1"/>
      <c r="G83" s="1"/>
      <c r="H83" s="2"/>
      <c r="I83" s="3"/>
      <c r="J83" s="3"/>
      <c r="K83" s="54"/>
      <c r="L83" s="195"/>
      <c r="M83" s="144"/>
      <c r="N83" s="3"/>
      <c r="P83" s="55"/>
      <c r="Q83" s="1"/>
      <c r="S83" s="17"/>
      <c r="T83" s="17"/>
      <c r="U83" s="1"/>
      <c r="V83" s="1"/>
      <c r="W83" s="2"/>
      <c r="X83" s="3"/>
      <c r="Y83" s="3"/>
      <c r="Z83" s="54"/>
      <c r="AA83" s="195"/>
      <c r="AB83" s="144"/>
      <c r="AC83" s="3"/>
      <c r="AE83" s="58"/>
      <c r="AF83" s="1"/>
      <c r="AH83" s="17"/>
      <c r="AI83" s="17"/>
      <c r="AJ83" s="1"/>
      <c r="AK83" s="1"/>
      <c r="AL83" s="2"/>
      <c r="AM83" s="3"/>
      <c r="AN83" s="3"/>
      <c r="AO83" s="54"/>
      <c r="AP83" s="195"/>
      <c r="AQ83" s="144"/>
      <c r="AR83" s="3"/>
    </row>
    <row r="84" spans="1:45" x14ac:dyDescent="0.25">
      <c r="A84" s="1"/>
      <c r="B84" s="1"/>
      <c r="D84" s="17"/>
      <c r="E84" s="17"/>
      <c r="F84" s="1"/>
      <c r="G84" s="1"/>
      <c r="H84" s="2"/>
      <c r="I84" s="3"/>
      <c r="J84" s="3"/>
      <c r="K84" s="54"/>
      <c r="L84" s="195"/>
      <c r="M84" s="144"/>
      <c r="N84" s="3"/>
      <c r="P84" s="55"/>
      <c r="Q84" s="1"/>
      <c r="S84" s="17"/>
      <c r="T84" s="17"/>
      <c r="U84" s="1"/>
      <c r="V84" s="1"/>
      <c r="W84" s="2"/>
      <c r="X84" s="3"/>
      <c r="Y84" s="3"/>
      <c r="Z84" s="54"/>
      <c r="AA84" s="195"/>
      <c r="AB84" s="144"/>
      <c r="AC84" s="3"/>
      <c r="AE84" s="58"/>
      <c r="AF84" s="1"/>
      <c r="AH84" s="17"/>
      <c r="AI84" s="17"/>
      <c r="AJ84" s="1"/>
      <c r="AK84" s="1"/>
      <c r="AL84" s="2"/>
      <c r="AM84" s="3"/>
      <c r="AN84" s="3"/>
      <c r="AO84" s="54"/>
      <c r="AP84" s="195"/>
      <c r="AQ84" s="144"/>
      <c r="AR84" s="3"/>
    </row>
    <row r="85" spans="1:45" x14ac:dyDescent="0.25">
      <c r="A85" s="1"/>
      <c r="B85" s="1"/>
      <c r="D85" s="17"/>
      <c r="E85" s="17"/>
      <c r="F85" s="1"/>
      <c r="G85" s="1"/>
      <c r="H85" s="2"/>
      <c r="I85" s="3"/>
      <c r="J85" s="3"/>
      <c r="K85" s="54"/>
      <c r="L85" s="195"/>
      <c r="M85" s="144"/>
      <c r="N85" s="3"/>
      <c r="P85" s="55"/>
      <c r="Q85" s="1"/>
      <c r="S85" s="17"/>
      <c r="T85" s="17"/>
      <c r="U85" s="1"/>
      <c r="V85" s="1"/>
      <c r="W85" s="2"/>
      <c r="X85" s="3"/>
      <c r="Y85" s="3"/>
      <c r="Z85" s="54"/>
      <c r="AA85" s="195"/>
      <c r="AB85" s="144"/>
      <c r="AC85" s="3"/>
      <c r="AE85" s="58"/>
      <c r="AF85" s="1"/>
      <c r="AH85" s="17"/>
      <c r="AI85" s="17"/>
      <c r="AJ85" s="1"/>
      <c r="AK85" s="1"/>
      <c r="AL85" s="2"/>
      <c r="AM85" s="3"/>
      <c r="AN85" s="3"/>
      <c r="AO85" s="54"/>
      <c r="AP85" s="195"/>
      <c r="AQ85" s="144"/>
      <c r="AR85" s="3"/>
    </row>
    <row r="86" spans="1:45" x14ac:dyDescent="0.25">
      <c r="A86" s="1"/>
      <c r="B86" s="1"/>
      <c r="D86" s="17"/>
      <c r="E86" s="17"/>
      <c r="F86" s="1"/>
      <c r="G86" s="1"/>
      <c r="H86" s="2"/>
      <c r="I86" s="3"/>
      <c r="J86" s="3"/>
      <c r="K86" s="54"/>
      <c r="L86" s="195"/>
      <c r="M86" s="144"/>
      <c r="N86" s="3"/>
      <c r="P86" s="55"/>
      <c r="Q86" s="1"/>
      <c r="S86" s="17"/>
      <c r="T86" s="17"/>
      <c r="U86" s="1"/>
      <c r="V86" s="1"/>
      <c r="W86" s="2"/>
      <c r="X86" s="3"/>
      <c r="Y86" s="3"/>
      <c r="Z86" s="54"/>
      <c r="AA86" s="195"/>
      <c r="AB86" s="144"/>
      <c r="AC86" s="3"/>
      <c r="AE86" s="58"/>
      <c r="AF86" s="1"/>
      <c r="AH86" s="17"/>
      <c r="AI86" s="17"/>
      <c r="AJ86" s="1"/>
      <c r="AK86" s="1"/>
      <c r="AL86" s="2"/>
      <c r="AM86" s="3"/>
      <c r="AN86" s="3"/>
      <c r="AO86" s="54"/>
      <c r="AP86" s="195"/>
      <c r="AQ86" s="144"/>
      <c r="AR86" s="3"/>
    </row>
    <row r="87" spans="1:45" x14ac:dyDescent="0.25">
      <c r="A87" s="1"/>
      <c r="B87" s="1"/>
      <c r="D87" s="17"/>
      <c r="E87" s="17"/>
      <c r="F87" s="1"/>
      <c r="G87" s="1"/>
      <c r="H87" s="2"/>
      <c r="I87" s="3"/>
      <c r="J87" s="3"/>
      <c r="K87" s="54"/>
      <c r="L87" s="195"/>
      <c r="M87" s="144"/>
      <c r="N87" s="3"/>
      <c r="P87" s="55"/>
      <c r="Q87" s="1"/>
      <c r="S87" s="17"/>
      <c r="T87" s="17"/>
      <c r="U87" s="1"/>
      <c r="V87" s="1"/>
      <c r="W87" s="2"/>
      <c r="X87" s="3"/>
      <c r="Y87" s="3"/>
      <c r="Z87" s="54"/>
      <c r="AA87" s="195"/>
      <c r="AB87" s="144"/>
      <c r="AC87" s="3"/>
      <c r="AE87" s="58"/>
      <c r="AF87" s="1"/>
      <c r="AH87" s="17"/>
      <c r="AI87" s="17"/>
      <c r="AJ87" s="1"/>
      <c r="AK87" s="1"/>
      <c r="AL87" s="2"/>
      <c r="AM87" s="3"/>
      <c r="AN87" s="3"/>
      <c r="AO87" s="54"/>
      <c r="AP87" s="195"/>
      <c r="AQ87" s="144"/>
      <c r="AR87" s="3"/>
    </row>
    <row r="88" spans="1:45" x14ac:dyDescent="0.25">
      <c r="A88" s="1"/>
      <c r="B88" s="1"/>
      <c r="D88" s="17"/>
      <c r="E88" s="17"/>
      <c r="F88" s="1"/>
      <c r="G88" s="1"/>
      <c r="H88" s="2"/>
      <c r="I88" s="3"/>
      <c r="J88" s="3"/>
      <c r="K88" s="54"/>
      <c r="L88" s="195"/>
      <c r="M88" s="144"/>
      <c r="N88" s="3"/>
      <c r="P88" s="55"/>
      <c r="Q88" s="1"/>
      <c r="S88" s="17"/>
      <c r="T88" s="17"/>
      <c r="U88" s="1"/>
      <c r="V88" s="1"/>
      <c r="W88" s="2"/>
      <c r="X88" s="3"/>
      <c r="Y88" s="3"/>
      <c r="Z88" s="54"/>
      <c r="AA88" s="195"/>
      <c r="AB88" s="144"/>
      <c r="AC88" s="3"/>
      <c r="AE88" s="58"/>
      <c r="AF88" s="1"/>
      <c r="AH88" s="17"/>
      <c r="AI88" s="17"/>
      <c r="AJ88" s="1"/>
      <c r="AK88" s="1"/>
      <c r="AL88" s="2"/>
      <c r="AM88" s="3"/>
      <c r="AN88" s="3"/>
      <c r="AO88" s="54"/>
      <c r="AP88" s="195"/>
      <c r="AQ88" s="144"/>
      <c r="AR88" s="3"/>
    </row>
    <row r="89" spans="1:45" x14ac:dyDescent="0.25">
      <c r="A89" s="1"/>
      <c r="B89" s="1"/>
      <c r="D89" s="17"/>
      <c r="E89" s="17"/>
      <c r="F89" s="1"/>
      <c r="G89" s="1"/>
      <c r="H89" s="2"/>
      <c r="I89" s="3"/>
      <c r="J89" s="3"/>
      <c r="K89" s="54"/>
      <c r="L89" s="195"/>
      <c r="M89" s="144"/>
      <c r="N89" s="3"/>
      <c r="P89" s="55"/>
      <c r="Q89" s="1"/>
      <c r="S89" s="17"/>
      <c r="T89" s="17"/>
      <c r="U89" s="1"/>
      <c r="V89" s="1"/>
      <c r="W89" s="2"/>
      <c r="X89" s="3"/>
      <c r="Y89" s="3"/>
      <c r="Z89" s="54"/>
      <c r="AA89" s="195"/>
      <c r="AB89" s="144"/>
      <c r="AC89" s="3"/>
      <c r="AE89" s="58"/>
      <c r="AF89" s="1"/>
      <c r="AH89" s="17"/>
      <c r="AI89" s="17"/>
      <c r="AJ89" s="1"/>
      <c r="AK89" s="1"/>
      <c r="AL89" s="2"/>
      <c r="AM89" s="3"/>
      <c r="AN89" s="3"/>
      <c r="AO89" s="54"/>
      <c r="AP89" s="195"/>
      <c r="AQ89" s="144"/>
      <c r="AR89" s="3"/>
    </row>
    <row r="90" spans="1:45" x14ac:dyDescent="0.25">
      <c r="A90" s="1"/>
      <c r="B90" s="1"/>
      <c r="D90" s="17"/>
      <c r="E90" s="17"/>
      <c r="F90" s="1"/>
      <c r="G90" s="1"/>
      <c r="H90" s="2"/>
      <c r="I90" s="3"/>
      <c r="J90" s="3"/>
      <c r="K90" s="54"/>
      <c r="L90" s="195"/>
      <c r="M90" s="144"/>
      <c r="N90" s="3"/>
      <c r="P90" s="55"/>
      <c r="Q90" s="1"/>
      <c r="S90" s="17"/>
      <c r="T90" s="17"/>
      <c r="U90" s="1"/>
      <c r="V90" s="1"/>
      <c r="W90" s="2"/>
      <c r="X90" s="3"/>
      <c r="Y90" s="3"/>
      <c r="Z90" s="54"/>
      <c r="AA90" s="195"/>
      <c r="AB90" s="144"/>
      <c r="AC90" s="3"/>
      <c r="AE90" s="58"/>
      <c r="AF90" s="1"/>
      <c r="AH90" s="17"/>
      <c r="AI90" s="17"/>
      <c r="AJ90" s="1"/>
      <c r="AK90" s="1"/>
      <c r="AL90" s="2"/>
      <c r="AM90" s="3"/>
      <c r="AN90" s="3"/>
      <c r="AO90" s="54"/>
      <c r="AP90" s="195"/>
      <c r="AQ90" s="144"/>
      <c r="AR90" s="3"/>
    </row>
    <row r="91" spans="1:45" x14ac:dyDescent="0.25">
      <c r="A91" s="1"/>
      <c r="B91" s="1"/>
      <c r="D91" s="17"/>
      <c r="E91" s="17"/>
      <c r="F91" s="1"/>
      <c r="G91" s="1"/>
      <c r="H91" s="2"/>
      <c r="I91" s="3"/>
      <c r="J91" s="3"/>
      <c r="K91" s="54"/>
      <c r="L91" s="195"/>
      <c r="M91" s="144"/>
      <c r="N91" s="3"/>
      <c r="P91" s="55"/>
      <c r="Q91" s="1"/>
      <c r="S91" s="17"/>
      <c r="T91" s="17"/>
      <c r="U91" s="1"/>
      <c r="V91" s="1"/>
      <c r="W91" s="2"/>
      <c r="X91" s="3"/>
      <c r="Y91" s="3"/>
      <c r="Z91" s="54"/>
      <c r="AA91" s="195"/>
      <c r="AB91" s="144"/>
      <c r="AC91" s="3"/>
      <c r="AE91" s="58"/>
      <c r="AF91" s="1"/>
      <c r="AH91" s="17"/>
      <c r="AI91" s="17"/>
      <c r="AJ91" s="1"/>
      <c r="AK91" s="1"/>
      <c r="AL91" s="2"/>
      <c r="AM91" s="3"/>
      <c r="AN91" s="3"/>
      <c r="AO91" s="54"/>
      <c r="AP91" s="195"/>
      <c r="AQ91" s="144"/>
      <c r="AR91" s="3"/>
    </row>
    <row r="92" spans="1:45" x14ac:dyDescent="0.25">
      <c r="A92" s="1"/>
      <c r="B92" s="1"/>
      <c r="D92" s="17"/>
      <c r="E92" s="17"/>
      <c r="F92" s="1"/>
      <c r="G92" s="1"/>
      <c r="H92" s="2"/>
      <c r="I92" s="3"/>
      <c r="J92" s="3"/>
      <c r="K92" s="54"/>
      <c r="L92" s="195"/>
      <c r="M92" s="144"/>
      <c r="N92" s="3"/>
      <c r="P92" s="55"/>
      <c r="Q92" s="1"/>
      <c r="S92" s="17"/>
      <c r="T92" s="17"/>
      <c r="U92" s="1"/>
      <c r="V92" s="1"/>
      <c r="W92" s="2"/>
      <c r="X92" s="3"/>
      <c r="Y92" s="3"/>
      <c r="Z92" s="54"/>
      <c r="AA92" s="195"/>
      <c r="AB92" s="144"/>
      <c r="AC92" s="3"/>
      <c r="AE92" s="58"/>
      <c r="AF92" s="1"/>
      <c r="AH92" s="17"/>
      <c r="AI92" s="17"/>
      <c r="AJ92" s="1"/>
      <c r="AK92" s="1"/>
      <c r="AL92" s="2"/>
      <c r="AM92" s="3"/>
      <c r="AN92" s="3"/>
      <c r="AO92" s="54"/>
      <c r="AP92" s="195"/>
      <c r="AQ92" s="144"/>
      <c r="AR92" s="3"/>
    </row>
    <row r="93" spans="1:45" x14ac:dyDescent="0.25">
      <c r="A93" s="1"/>
      <c r="B93" s="1"/>
      <c r="D93" s="17"/>
      <c r="E93" s="17"/>
      <c r="F93" s="1"/>
      <c r="G93" s="1"/>
      <c r="H93" s="2"/>
      <c r="I93" s="3"/>
      <c r="J93" s="3"/>
      <c r="K93" s="54"/>
      <c r="L93" s="195"/>
      <c r="M93" s="144"/>
      <c r="N93" s="3"/>
      <c r="P93" s="55"/>
      <c r="Q93" s="1"/>
      <c r="S93" s="17"/>
      <c r="T93" s="17"/>
      <c r="U93" s="1"/>
      <c r="V93" s="1"/>
      <c r="W93" s="2"/>
      <c r="X93" s="3"/>
      <c r="Y93" s="3"/>
      <c r="Z93" s="54"/>
      <c r="AA93" s="195"/>
      <c r="AB93" s="144"/>
      <c r="AC93" s="3"/>
      <c r="AE93" s="58"/>
      <c r="AF93" s="1"/>
      <c r="AH93" s="17"/>
      <c r="AI93" s="17"/>
      <c r="AJ93" s="1"/>
      <c r="AK93" s="1"/>
      <c r="AL93" s="2"/>
      <c r="AM93" s="3"/>
      <c r="AN93" s="3"/>
      <c r="AO93" s="54"/>
      <c r="AP93" s="195"/>
      <c r="AQ93" s="144"/>
      <c r="AR93" s="3"/>
    </row>
    <row r="94" spans="1:45" x14ac:dyDescent="0.25">
      <c r="A94" s="1"/>
      <c r="B94" s="1"/>
      <c r="D94" s="17"/>
      <c r="E94" s="17"/>
      <c r="F94" s="1"/>
      <c r="G94" s="1"/>
      <c r="H94" s="2"/>
      <c r="I94" s="3"/>
      <c r="J94" s="3"/>
      <c r="K94" s="54"/>
      <c r="L94" s="195"/>
      <c r="M94" s="144"/>
      <c r="N94" s="3"/>
      <c r="P94" s="55"/>
      <c r="Q94" s="1"/>
      <c r="S94" s="17"/>
      <c r="T94" s="17"/>
      <c r="U94" s="1"/>
      <c r="V94" s="1"/>
      <c r="W94" s="2"/>
      <c r="X94" s="3"/>
      <c r="Y94" s="3"/>
      <c r="Z94" s="54"/>
      <c r="AA94" s="195"/>
      <c r="AB94" s="144"/>
      <c r="AC94" s="3"/>
      <c r="AE94" s="58"/>
      <c r="AF94" s="1"/>
      <c r="AH94" s="17"/>
      <c r="AI94" s="17"/>
      <c r="AJ94" s="1"/>
      <c r="AK94" s="1"/>
      <c r="AL94" s="2"/>
      <c r="AM94" s="3"/>
      <c r="AN94" s="3"/>
      <c r="AO94" s="54"/>
      <c r="AP94" s="195"/>
      <c r="AQ94" s="144"/>
      <c r="AR94" s="3"/>
    </row>
    <row r="95" spans="1:45" x14ac:dyDescent="0.25">
      <c r="A95" s="1"/>
      <c r="B95" s="1"/>
      <c r="D95" s="17"/>
      <c r="E95" s="17"/>
      <c r="F95" s="1"/>
      <c r="G95" s="1"/>
      <c r="H95" s="2"/>
      <c r="I95" s="3"/>
      <c r="J95" s="3"/>
      <c r="K95" s="54"/>
      <c r="L95" s="195"/>
      <c r="M95" s="144"/>
      <c r="N95" s="3"/>
      <c r="P95" s="55"/>
      <c r="Q95" s="1"/>
      <c r="S95" s="17"/>
      <c r="T95" s="17"/>
      <c r="U95" s="1"/>
      <c r="V95" s="1"/>
      <c r="W95" s="2"/>
      <c r="X95" s="3"/>
      <c r="Y95" s="3"/>
      <c r="Z95" s="54"/>
      <c r="AA95" s="195"/>
      <c r="AB95" s="144"/>
      <c r="AC95" s="3"/>
      <c r="AE95" s="58"/>
      <c r="AF95" s="1"/>
      <c r="AH95" s="17"/>
      <c r="AI95" s="17"/>
      <c r="AJ95" s="1"/>
      <c r="AK95" s="1"/>
      <c r="AL95" s="2"/>
      <c r="AM95" s="3"/>
      <c r="AN95" s="3"/>
      <c r="AO95" s="54"/>
      <c r="AP95" s="195"/>
      <c r="AQ95" s="144"/>
      <c r="AR95" s="3"/>
    </row>
    <row r="96" spans="1:45" x14ac:dyDescent="0.25">
      <c r="A96" s="1"/>
      <c r="B96" s="1"/>
      <c r="D96" s="17"/>
      <c r="E96" s="17"/>
      <c r="F96" s="1"/>
      <c r="G96" s="1"/>
      <c r="H96" s="2"/>
      <c r="I96" s="3"/>
      <c r="J96" s="3"/>
      <c r="K96" s="54"/>
      <c r="L96" s="195"/>
      <c r="M96" s="144"/>
      <c r="N96" s="3"/>
      <c r="P96" s="55"/>
      <c r="Q96" s="1"/>
      <c r="S96" s="17"/>
      <c r="T96" s="17"/>
      <c r="U96" s="1"/>
      <c r="V96" s="1"/>
      <c r="W96" s="2"/>
      <c r="X96" s="3"/>
      <c r="Y96" s="3"/>
      <c r="Z96" s="54"/>
      <c r="AA96" s="195"/>
      <c r="AB96" s="144"/>
      <c r="AC96" s="3"/>
      <c r="AE96" s="58"/>
      <c r="AF96" s="1"/>
      <c r="AH96" s="17"/>
      <c r="AI96" s="17"/>
      <c r="AJ96" s="1"/>
      <c r="AK96" s="1"/>
      <c r="AL96" s="2"/>
      <c r="AM96" s="3"/>
      <c r="AN96" s="3"/>
      <c r="AO96" s="54"/>
      <c r="AP96" s="195"/>
      <c r="AQ96" s="144"/>
      <c r="AR96" s="3"/>
    </row>
    <row r="97" spans="1:45" x14ac:dyDescent="0.25">
      <c r="A97" s="1"/>
      <c r="B97" s="1"/>
      <c r="D97" s="17"/>
      <c r="E97" s="17"/>
      <c r="F97" s="1"/>
      <c r="G97" s="1"/>
      <c r="H97" s="2"/>
      <c r="I97" s="3"/>
      <c r="J97" s="3"/>
      <c r="K97" s="54"/>
      <c r="L97" s="195"/>
      <c r="M97" s="144"/>
      <c r="N97" s="3"/>
      <c r="P97" s="55"/>
      <c r="Q97" s="1"/>
      <c r="S97" s="17"/>
      <c r="T97" s="17"/>
      <c r="U97" s="1"/>
      <c r="V97" s="1"/>
      <c r="W97" s="2"/>
      <c r="X97" s="3"/>
      <c r="Y97" s="3"/>
      <c r="Z97" s="54"/>
      <c r="AA97" s="195"/>
      <c r="AB97" s="144"/>
      <c r="AC97" s="3"/>
      <c r="AE97" s="58"/>
      <c r="AF97" s="1"/>
      <c r="AH97" s="17"/>
      <c r="AI97" s="17"/>
      <c r="AJ97" s="1"/>
      <c r="AK97" s="1"/>
      <c r="AL97" s="2"/>
      <c r="AM97" s="3"/>
      <c r="AN97" s="3"/>
      <c r="AO97" s="54"/>
      <c r="AP97" s="195"/>
      <c r="AQ97" s="144"/>
      <c r="AR97" s="3"/>
    </row>
    <row r="98" spans="1:45" x14ac:dyDescent="0.25">
      <c r="A98" s="1"/>
      <c r="B98" s="1"/>
      <c r="D98" s="17"/>
      <c r="E98" s="17"/>
      <c r="F98" s="1"/>
      <c r="G98" s="1"/>
      <c r="H98" s="2"/>
      <c r="I98" s="3"/>
      <c r="J98" s="3"/>
      <c r="K98" s="54"/>
      <c r="L98" s="195"/>
      <c r="M98" s="144"/>
      <c r="N98" s="3"/>
      <c r="P98" s="55"/>
      <c r="Q98" s="1"/>
      <c r="S98" s="17"/>
      <c r="T98" s="17"/>
      <c r="U98" s="1"/>
      <c r="V98" s="1"/>
      <c r="W98" s="2"/>
      <c r="X98" s="3"/>
      <c r="Y98" s="3"/>
      <c r="Z98" s="54"/>
      <c r="AA98" s="195"/>
      <c r="AB98" s="144"/>
      <c r="AC98" s="3"/>
      <c r="AE98" s="58"/>
      <c r="AF98" s="1"/>
      <c r="AH98" s="17"/>
      <c r="AI98" s="17"/>
      <c r="AJ98" s="1"/>
      <c r="AK98" s="1"/>
      <c r="AL98" s="2"/>
      <c r="AM98" s="3"/>
      <c r="AN98" s="3"/>
      <c r="AO98" s="54"/>
      <c r="AP98" s="195"/>
      <c r="AQ98" s="144"/>
      <c r="AR98" s="3"/>
    </row>
    <row r="99" spans="1:45" x14ac:dyDescent="0.25">
      <c r="A99" s="1"/>
      <c r="B99" s="1"/>
      <c r="D99" s="17"/>
      <c r="E99" s="17"/>
      <c r="F99" s="1"/>
      <c r="G99" s="1"/>
      <c r="H99" s="2"/>
      <c r="I99" s="3"/>
      <c r="J99" s="3"/>
      <c r="K99" s="54"/>
      <c r="L99" s="195"/>
      <c r="M99" s="144"/>
      <c r="N99" s="3"/>
      <c r="P99" s="55"/>
      <c r="Q99" s="1"/>
      <c r="S99" s="17"/>
      <c r="T99" s="17"/>
      <c r="U99" s="1"/>
      <c r="V99" s="1"/>
      <c r="W99" s="2"/>
      <c r="X99" s="3"/>
      <c r="Y99" s="3"/>
      <c r="Z99" s="54"/>
      <c r="AA99" s="195"/>
      <c r="AB99" s="144"/>
      <c r="AC99" s="3"/>
      <c r="AE99" s="58"/>
      <c r="AF99" s="1"/>
      <c r="AH99" s="17"/>
      <c r="AI99" s="17"/>
      <c r="AJ99" s="1"/>
      <c r="AK99" s="1"/>
      <c r="AL99" s="2"/>
      <c r="AM99" s="3"/>
      <c r="AN99" s="3"/>
      <c r="AO99" s="54"/>
      <c r="AP99" s="195"/>
      <c r="AQ99" s="144"/>
      <c r="AR99" s="3"/>
    </row>
    <row r="100" spans="1:45" x14ac:dyDescent="0.25">
      <c r="A100" s="1"/>
      <c r="B100" s="1"/>
      <c r="D100" s="17"/>
      <c r="E100" s="17"/>
      <c r="F100" s="1"/>
      <c r="G100" s="1"/>
      <c r="H100" s="2"/>
      <c r="I100" s="3"/>
      <c r="J100" s="3"/>
      <c r="K100" s="54"/>
      <c r="L100" s="195"/>
      <c r="M100" s="144"/>
      <c r="N100" s="3"/>
      <c r="P100" s="55"/>
      <c r="Q100" s="1"/>
      <c r="S100" s="17"/>
      <c r="T100" s="17"/>
      <c r="U100" s="1"/>
      <c r="V100" s="1"/>
      <c r="W100" s="2"/>
      <c r="X100" s="3"/>
      <c r="Y100" s="3"/>
      <c r="Z100" s="54"/>
      <c r="AA100" s="195"/>
      <c r="AB100" s="144"/>
      <c r="AC100" s="3"/>
      <c r="AE100" s="58"/>
      <c r="AF100" s="1"/>
      <c r="AH100" s="17"/>
      <c r="AI100" s="17"/>
      <c r="AJ100" s="1"/>
      <c r="AK100" s="1"/>
      <c r="AL100" s="2"/>
      <c r="AM100" s="3"/>
      <c r="AN100" s="3"/>
      <c r="AO100" s="54"/>
      <c r="AP100" s="195"/>
      <c r="AQ100" s="144"/>
      <c r="AR100" s="3"/>
    </row>
    <row r="101" spans="1:45" ht="13.8" thickBot="1" x14ac:dyDescent="0.3">
      <c r="A101" s="146"/>
      <c r="B101" s="146"/>
      <c r="C101" s="434"/>
      <c r="D101" s="147"/>
      <c r="E101" s="147"/>
      <c r="F101" s="146"/>
      <c r="G101" s="146"/>
      <c r="H101" s="148"/>
      <c r="I101" s="149"/>
      <c r="J101" s="149"/>
      <c r="K101" s="196"/>
      <c r="L101" s="423"/>
      <c r="M101" s="153"/>
      <c r="N101" s="149"/>
      <c r="O101" s="241"/>
      <c r="P101" s="154"/>
      <c r="Q101" s="146"/>
      <c r="R101" s="434"/>
      <c r="S101" s="147"/>
      <c r="T101" s="147"/>
      <c r="U101" s="146"/>
      <c r="V101" s="146"/>
      <c r="W101" s="148"/>
      <c r="X101" s="149"/>
      <c r="Y101" s="149"/>
      <c r="Z101" s="196"/>
      <c r="AA101" s="423"/>
      <c r="AB101" s="153"/>
      <c r="AC101" s="149"/>
      <c r="AD101" s="242"/>
      <c r="AE101" s="155"/>
      <c r="AF101" s="146"/>
      <c r="AG101" s="434"/>
      <c r="AH101" s="147"/>
      <c r="AI101" s="147"/>
      <c r="AJ101" s="146"/>
      <c r="AK101" s="146"/>
      <c r="AL101" s="148"/>
      <c r="AM101" s="149"/>
      <c r="AN101" s="149"/>
      <c r="AO101" s="196"/>
      <c r="AP101" s="423"/>
      <c r="AQ101" s="153"/>
      <c r="AR101" s="149"/>
      <c r="AS101" s="417"/>
    </row>
    <row r="102" spans="1:45" x14ac:dyDescent="0.25">
      <c r="A102" s="156"/>
      <c r="B102" s="157"/>
      <c r="C102" s="446"/>
      <c r="D102" s="197"/>
      <c r="E102" s="198"/>
      <c r="F102" s="164"/>
      <c r="G102" s="157"/>
      <c r="H102" s="159"/>
      <c r="I102" s="160"/>
      <c r="J102" s="160"/>
      <c r="K102" s="161"/>
      <c r="L102" s="162"/>
      <c r="M102" s="160"/>
      <c r="N102" s="160"/>
      <c r="O102" s="245"/>
      <c r="P102" s="156"/>
      <c r="Q102" s="157"/>
      <c r="R102" s="446"/>
      <c r="S102" s="197"/>
      <c r="T102" s="198"/>
      <c r="U102" s="164"/>
      <c r="V102" s="157"/>
      <c r="W102" s="159"/>
      <c r="X102" s="160"/>
      <c r="Y102" s="160"/>
      <c r="Z102" s="161"/>
      <c r="AA102" s="162"/>
      <c r="AB102" s="160"/>
      <c r="AC102" s="160"/>
      <c r="AD102" s="246"/>
      <c r="AE102" s="164"/>
      <c r="AF102" s="157"/>
      <c r="AG102" s="446"/>
      <c r="AH102" s="197"/>
      <c r="AI102" s="198"/>
      <c r="AJ102" s="164"/>
      <c r="AK102" s="157"/>
      <c r="AL102" s="159"/>
      <c r="AM102" s="160"/>
      <c r="AN102" s="160"/>
      <c r="AO102" s="161"/>
      <c r="AP102" s="162"/>
      <c r="AQ102" s="160"/>
      <c r="AR102" s="160"/>
      <c r="AS102" s="246"/>
    </row>
    <row r="103" spans="1:45" x14ac:dyDescent="0.25">
      <c r="A103" s="55"/>
      <c r="B103" s="406"/>
      <c r="D103" s="412"/>
      <c r="E103" s="200"/>
      <c r="F103" s="411"/>
      <c r="G103" s="406"/>
      <c r="H103" s="2"/>
      <c r="I103" s="3"/>
      <c r="J103" s="3"/>
      <c r="K103" s="409"/>
      <c r="L103" s="165"/>
      <c r="M103" s="3"/>
      <c r="N103" s="3"/>
      <c r="P103" s="55"/>
      <c r="Q103" s="406"/>
      <c r="S103" s="412"/>
      <c r="T103" s="200"/>
      <c r="U103" s="411"/>
      <c r="V103" s="406"/>
      <c r="W103" s="2"/>
      <c r="X103" s="3"/>
      <c r="Y103" s="3"/>
      <c r="Z103" s="409"/>
      <c r="AA103" s="165"/>
      <c r="AB103" s="3"/>
      <c r="AC103" s="3"/>
      <c r="AE103" s="411"/>
      <c r="AF103" s="406"/>
      <c r="AH103" s="412"/>
      <c r="AI103" s="200"/>
      <c r="AJ103" s="411"/>
      <c r="AK103" s="406"/>
      <c r="AL103" s="2"/>
      <c r="AM103" s="3"/>
      <c r="AN103" s="3"/>
      <c r="AO103" s="409"/>
      <c r="AP103" s="165"/>
      <c r="AQ103" s="3"/>
      <c r="AR103" s="3"/>
      <c r="AS103" s="91"/>
    </row>
    <row r="104" spans="1:45" x14ac:dyDescent="0.25">
      <c r="A104" s="55"/>
      <c r="B104" s="406"/>
      <c r="D104" s="412"/>
      <c r="E104" s="200"/>
      <c r="F104" s="411"/>
      <c r="G104" s="406"/>
      <c r="H104" s="2"/>
      <c r="I104" s="3"/>
      <c r="J104" s="3"/>
      <c r="K104" s="409"/>
      <c r="L104" s="165"/>
      <c r="M104" s="3"/>
      <c r="N104" s="3"/>
      <c r="P104" s="55"/>
      <c r="Q104" s="406"/>
      <c r="S104" s="412"/>
      <c r="T104" s="200"/>
      <c r="U104" s="411"/>
      <c r="V104" s="406"/>
      <c r="W104" s="2"/>
      <c r="X104" s="3"/>
      <c r="Y104" s="3"/>
      <c r="Z104" s="409"/>
      <c r="AA104" s="165"/>
      <c r="AB104" s="3"/>
      <c r="AC104" s="3"/>
      <c r="AE104" s="411"/>
      <c r="AF104" s="406"/>
      <c r="AH104" s="412"/>
      <c r="AI104" s="200"/>
      <c r="AJ104" s="411"/>
      <c r="AK104" s="406"/>
      <c r="AL104" s="2"/>
      <c r="AM104" s="3"/>
      <c r="AN104" s="3"/>
      <c r="AO104" s="409"/>
      <c r="AP104" s="165"/>
      <c r="AQ104" s="3"/>
      <c r="AR104" s="3"/>
      <c r="AS104" s="91"/>
    </row>
    <row r="105" spans="1:45" x14ac:dyDescent="0.25">
      <c r="A105" s="55"/>
      <c r="B105" s="406"/>
      <c r="D105" s="412"/>
      <c r="E105" s="200"/>
      <c r="F105" s="411"/>
      <c r="G105" s="406"/>
      <c r="H105" s="2"/>
      <c r="I105" s="3"/>
      <c r="J105" s="3"/>
      <c r="K105" s="409"/>
      <c r="L105" s="165"/>
      <c r="M105" s="3"/>
      <c r="N105" s="3"/>
      <c r="P105" s="55"/>
      <c r="Q105" s="406"/>
      <c r="S105" s="412"/>
      <c r="T105" s="200"/>
      <c r="U105" s="411"/>
      <c r="V105" s="406"/>
      <c r="W105" s="2"/>
      <c r="X105" s="3"/>
      <c r="Y105" s="3"/>
      <c r="Z105" s="409"/>
      <c r="AA105" s="165"/>
      <c r="AB105" s="3"/>
      <c r="AC105" s="3"/>
      <c r="AE105" s="411"/>
      <c r="AF105" s="406"/>
      <c r="AH105" s="412"/>
      <c r="AI105" s="200"/>
      <c r="AJ105" s="411"/>
      <c r="AK105" s="406"/>
      <c r="AL105" s="2"/>
      <c r="AM105" s="3"/>
      <c r="AN105" s="3"/>
      <c r="AO105" s="409"/>
      <c r="AP105" s="165"/>
      <c r="AQ105" s="3"/>
      <c r="AR105" s="3"/>
      <c r="AS105" s="91"/>
    </row>
    <row r="106" spans="1:45" x14ac:dyDescent="0.25">
      <c r="A106" s="55"/>
      <c r="B106" s="406"/>
      <c r="D106" s="412"/>
      <c r="E106" s="200"/>
      <c r="F106" s="411"/>
      <c r="G106" s="406"/>
      <c r="H106" s="2"/>
      <c r="I106" s="3"/>
      <c r="J106" s="3"/>
      <c r="K106" s="409"/>
      <c r="L106" s="165"/>
      <c r="M106" s="3"/>
      <c r="N106" s="3"/>
      <c r="P106" s="55"/>
      <c r="Q106" s="406"/>
      <c r="S106" s="412"/>
      <c r="T106" s="200"/>
      <c r="U106" s="411"/>
      <c r="V106" s="406"/>
      <c r="W106" s="2"/>
      <c r="X106" s="3"/>
      <c r="Y106" s="3"/>
      <c r="Z106" s="409"/>
      <c r="AA106" s="165"/>
      <c r="AB106" s="3"/>
      <c r="AC106" s="3"/>
      <c r="AE106" s="411"/>
      <c r="AF106" s="406"/>
      <c r="AH106" s="412"/>
      <c r="AI106" s="200"/>
      <c r="AJ106" s="411"/>
      <c r="AK106" s="406"/>
      <c r="AL106" s="2"/>
      <c r="AM106" s="3"/>
      <c r="AN106" s="3"/>
      <c r="AO106" s="409"/>
      <c r="AP106" s="165"/>
      <c r="AQ106" s="3"/>
      <c r="AR106" s="3"/>
      <c r="AS106" s="91"/>
    </row>
    <row r="107" spans="1:45" x14ac:dyDescent="0.25">
      <c r="A107" s="55"/>
      <c r="B107" s="406"/>
      <c r="D107" s="412"/>
      <c r="E107" s="200"/>
      <c r="F107" s="411"/>
      <c r="G107" s="406"/>
      <c r="H107" s="2"/>
      <c r="I107" s="3"/>
      <c r="J107" s="3"/>
      <c r="K107" s="409"/>
      <c r="L107" s="165"/>
      <c r="M107" s="3"/>
      <c r="N107" s="3"/>
      <c r="P107" s="55"/>
      <c r="Q107" s="406"/>
      <c r="S107" s="412"/>
      <c r="T107" s="200"/>
      <c r="U107" s="411"/>
      <c r="V107" s="406"/>
      <c r="W107" s="2"/>
      <c r="X107" s="3"/>
      <c r="Y107" s="3"/>
      <c r="Z107" s="409"/>
      <c r="AA107" s="165"/>
      <c r="AB107" s="3"/>
      <c r="AC107" s="3"/>
      <c r="AE107" s="411"/>
      <c r="AF107" s="406"/>
      <c r="AH107" s="412"/>
      <c r="AI107" s="200"/>
      <c r="AJ107" s="411"/>
      <c r="AK107" s="406"/>
      <c r="AL107" s="2"/>
      <c r="AM107" s="3"/>
      <c r="AN107" s="3"/>
      <c r="AO107" s="409"/>
      <c r="AP107" s="165"/>
      <c r="AQ107" s="3"/>
      <c r="AR107" s="3"/>
      <c r="AS107" s="91"/>
    </row>
    <row r="108" spans="1:45" x14ac:dyDescent="0.25">
      <c r="A108" s="55"/>
      <c r="B108" s="406"/>
      <c r="D108" s="412"/>
      <c r="E108" s="200"/>
      <c r="F108" s="411"/>
      <c r="G108" s="406"/>
      <c r="H108" s="2"/>
      <c r="I108" s="3"/>
      <c r="J108" s="3"/>
      <c r="K108" s="409"/>
      <c r="L108" s="165"/>
      <c r="M108" s="3"/>
      <c r="N108" s="3"/>
      <c r="P108" s="55"/>
      <c r="Q108" s="406"/>
      <c r="S108" s="412"/>
      <c r="T108" s="200"/>
      <c r="U108" s="411"/>
      <c r="V108" s="406"/>
      <c r="W108" s="2"/>
      <c r="X108" s="3"/>
      <c r="Y108" s="3"/>
      <c r="Z108" s="409"/>
      <c r="AA108" s="165"/>
      <c r="AB108" s="3"/>
      <c r="AC108" s="3"/>
      <c r="AE108" s="411"/>
      <c r="AF108" s="406"/>
      <c r="AH108" s="412"/>
      <c r="AI108" s="200"/>
      <c r="AJ108" s="411"/>
      <c r="AK108" s="406"/>
      <c r="AL108" s="2"/>
      <c r="AM108" s="3"/>
      <c r="AN108" s="3"/>
      <c r="AO108" s="409"/>
      <c r="AP108" s="165"/>
      <c r="AQ108" s="3"/>
      <c r="AR108" s="3"/>
      <c r="AS108" s="91"/>
    </row>
    <row r="109" spans="1:45" x14ac:dyDescent="0.25">
      <c r="A109" s="55"/>
      <c r="B109" s="406"/>
      <c r="D109" s="412"/>
      <c r="E109" s="200"/>
      <c r="F109" s="411"/>
      <c r="G109" s="406"/>
      <c r="H109" s="2"/>
      <c r="I109" s="3"/>
      <c r="J109" s="3"/>
      <c r="K109" s="409"/>
      <c r="L109" s="165"/>
      <c r="M109" s="3"/>
      <c r="N109" s="3"/>
      <c r="P109" s="55"/>
      <c r="Q109" s="406"/>
      <c r="S109" s="412"/>
      <c r="T109" s="200"/>
      <c r="U109" s="411"/>
      <c r="V109" s="406"/>
      <c r="W109" s="2"/>
      <c r="X109" s="3"/>
      <c r="Y109" s="3"/>
      <c r="Z109" s="409"/>
      <c r="AA109" s="165"/>
      <c r="AB109" s="3"/>
      <c r="AC109" s="3"/>
      <c r="AE109" s="411"/>
      <c r="AF109" s="406"/>
      <c r="AH109" s="412"/>
      <c r="AI109" s="200"/>
      <c r="AJ109" s="411"/>
      <c r="AK109" s="406"/>
      <c r="AL109" s="2"/>
      <c r="AM109" s="3"/>
      <c r="AN109" s="3"/>
      <c r="AO109" s="409"/>
      <c r="AP109" s="165"/>
      <c r="AQ109" s="3"/>
      <c r="AR109" s="3"/>
      <c r="AS109" s="91"/>
    </row>
    <row r="110" spans="1:45" x14ac:dyDescent="0.25">
      <c r="A110" s="55"/>
      <c r="B110" s="406"/>
      <c r="D110" s="412"/>
      <c r="E110" s="200"/>
      <c r="F110" s="411"/>
      <c r="G110" s="406"/>
      <c r="H110" s="2"/>
      <c r="I110" s="3"/>
      <c r="J110" s="3"/>
      <c r="K110" s="409"/>
      <c r="L110" s="165"/>
      <c r="M110" s="3"/>
      <c r="N110" s="3"/>
      <c r="P110" s="55"/>
      <c r="Q110" s="406"/>
      <c r="S110" s="412"/>
      <c r="T110" s="200"/>
      <c r="U110" s="411"/>
      <c r="V110" s="406"/>
      <c r="W110" s="2"/>
      <c r="X110" s="3"/>
      <c r="Y110" s="3"/>
      <c r="Z110" s="409"/>
      <c r="AA110" s="165"/>
      <c r="AB110" s="3"/>
      <c r="AC110" s="3"/>
      <c r="AE110" s="411"/>
      <c r="AF110" s="406"/>
      <c r="AH110" s="412"/>
      <c r="AI110" s="200"/>
      <c r="AJ110" s="411"/>
      <c r="AK110" s="406"/>
      <c r="AL110" s="2"/>
      <c r="AM110" s="3"/>
      <c r="AN110" s="3"/>
      <c r="AO110" s="409"/>
      <c r="AP110" s="165"/>
      <c r="AQ110" s="3"/>
      <c r="AR110" s="3"/>
      <c r="AS110" s="91"/>
    </row>
    <row r="111" spans="1:45" x14ac:dyDescent="0.25">
      <c r="A111" s="55"/>
      <c r="B111" s="406"/>
      <c r="D111" s="412"/>
      <c r="E111" s="200"/>
      <c r="F111" s="411"/>
      <c r="G111" s="406"/>
      <c r="H111" s="2"/>
      <c r="I111" s="3"/>
      <c r="J111" s="3"/>
      <c r="K111" s="409"/>
      <c r="L111" s="165"/>
      <c r="M111" s="3"/>
      <c r="N111" s="3"/>
      <c r="P111" s="55"/>
      <c r="Q111" s="406"/>
      <c r="S111" s="412"/>
      <c r="T111" s="200"/>
      <c r="U111" s="411"/>
      <c r="V111" s="406"/>
      <c r="W111" s="2"/>
      <c r="X111" s="3"/>
      <c r="Y111" s="3"/>
      <c r="Z111" s="409"/>
      <c r="AA111" s="165"/>
      <c r="AB111" s="3"/>
      <c r="AC111" s="3"/>
      <c r="AE111" s="411"/>
      <c r="AF111" s="406"/>
      <c r="AH111" s="412"/>
      <c r="AI111" s="200"/>
      <c r="AJ111" s="411"/>
      <c r="AK111" s="406"/>
      <c r="AL111" s="2"/>
      <c r="AM111" s="3"/>
      <c r="AN111" s="3"/>
      <c r="AO111" s="409"/>
      <c r="AP111" s="165"/>
      <c r="AQ111" s="3"/>
      <c r="AR111" s="3"/>
      <c r="AS111" s="91"/>
    </row>
    <row r="112" spans="1:45" x14ac:dyDescent="0.25">
      <c r="A112" s="55"/>
      <c r="B112" s="406"/>
      <c r="D112" s="412"/>
      <c r="E112" s="200"/>
      <c r="F112" s="411"/>
      <c r="G112" s="406"/>
      <c r="H112" s="2"/>
      <c r="I112" s="3"/>
      <c r="J112" s="3"/>
      <c r="K112" s="409"/>
      <c r="L112" s="165"/>
      <c r="M112" s="3"/>
      <c r="N112" s="3"/>
      <c r="P112" s="55"/>
      <c r="Q112" s="406"/>
      <c r="S112" s="412"/>
      <c r="T112" s="200"/>
      <c r="U112" s="411"/>
      <c r="V112" s="406"/>
      <c r="W112" s="2"/>
      <c r="X112" s="3"/>
      <c r="Y112" s="3"/>
      <c r="Z112" s="409"/>
      <c r="AA112" s="165"/>
      <c r="AB112" s="3"/>
      <c r="AC112" s="3"/>
      <c r="AE112" s="411"/>
      <c r="AF112" s="406"/>
      <c r="AH112" s="412"/>
      <c r="AI112" s="200"/>
      <c r="AJ112" s="411"/>
      <c r="AK112" s="406"/>
      <c r="AL112" s="2"/>
      <c r="AM112" s="3"/>
      <c r="AN112" s="3"/>
      <c r="AO112" s="409"/>
      <c r="AP112" s="165"/>
      <c r="AQ112" s="3"/>
      <c r="AR112" s="3"/>
      <c r="AS112" s="91"/>
    </row>
    <row r="113" spans="1:45" x14ac:dyDescent="0.25">
      <c r="A113" s="55"/>
      <c r="B113" s="406"/>
      <c r="D113" s="412"/>
      <c r="E113" s="200"/>
      <c r="F113" s="411"/>
      <c r="G113" s="406"/>
      <c r="H113" s="2"/>
      <c r="I113" s="3"/>
      <c r="J113" s="3"/>
      <c r="K113" s="409"/>
      <c r="L113" s="165"/>
      <c r="M113" s="3"/>
      <c r="N113" s="3"/>
      <c r="P113" s="55"/>
      <c r="Q113" s="406"/>
      <c r="S113" s="412"/>
      <c r="T113" s="200"/>
      <c r="U113" s="411"/>
      <c r="V113" s="406"/>
      <c r="W113" s="2"/>
      <c r="X113" s="3"/>
      <c r="Y113" s="3"/>
      <c r="Z113" s="409"/>
      <c r="AA113" s="165"/>
      <c r="AB113" s="3"/>
      <c r="AC113" s="3"/>
      <c r="AE113" s="411"/>
      <c r="AF113" s="406"/>
      <c r="AH113" s="412"/>
      <c r="AI113" s="200"/>
      <c r="AJ113" s="411"/>
      <c r="AK113" s="406"/>
      <c r="AL113" s="2"/>
      <c r="AM113" s="3"/>
      <c r="AN113" s="3"/>
      <c r="AO113" s="409"/>
      <c r="AP113" s="165"/>
      <c r="AQ113" s="3"/>
      <c r="AR113" s="3"/>
      <c r="AS113" s="91"/>
    </row>
    <row r="114" spans="1:45" x14ac:dyDescent="0.25">
      <c r="A114" s="55"/>
      <c r="B114" s="406"/>
      <c r="D114" s="412"/>
      <c r="E114" s="200"/>
      <c r="F114" s="411"/>
      <c r="G114" s="406"/>
      <c r="H114" s="2"/>
      <c r="I114" s="3"/>
      <c r="J114" s="3"/>
      <c r="K114" s="409"/>
      <c r="L114" s="165"/>
      <c r="M114" s="3"/>
      <c r="N114" s="3"/>
      <c r="P114" s="55"/>
      <c r="Q114" s="406"/>
      <c r="S114" s="412"/>
      <c r="T114" s="200"/>
      <c r="U114" s="411"/>
      <c r="V114" s="406"/>
      <c r="W114" s="2"/>
      <c r="X114" s="3"/>
      <c r="Y114" s="3"/>
      <c r="Z114" s="409"/>
      <c r="AA114" s="165"/>
      <c r="AB114" s="3"/>
      <c r="AC114" s="3"/>
      <c r="AE114" s="411"/>
      <c r="AF114" s="406"/>
      <c r="AH114" s="412"/>
      <c r="AI114" s="200"/>
      <c r="AJ114" s="411"/>
      <c r="AK114" s="406"/>
      <c r="AL114" s="2"/>
      <c r="AM114" s="3"/>
      <c r="AN114" s="3"/>
      <c r="AO114" s="409"/>
      <c r="AP114" s="165"/>
      <c r="AQ114" s="3"/>
      <c r="AR114" s="3"/>
      <c r="AS114" s="91"/>
    </row>
    <row r="115" spans="1:45" x14ac:dyDescent="0.25">
      <c r="A115" s="55"/>
      <c r="B115" s="406"/>
      <c r="D115" s="412"/>
      <c r="E115" s="200"/>
      <c r="F115" s="411"/>
      <c r="G115" s="406"/>
      <c r="H115" s="2"/>
      <c r="I115" s="3"/>
      <c r="J115" s="3"/>
      <c r="K115" s="409"/>
      <c r="L115" s="165"/>
      <c r="M115" s="3"/>
      <c r="N115" s="3"/>
      <c r="P115" s="55"/>
      <c r="Q115" s="406"/>
      <c r="S115" s="412"/>
      <c r="T115" s="200"/>
      <c r="U115" s="411"/>
      <c r="V115" s="406"/>
      <c r="W115" s="2"/>
      <c r="X115" s="3"/>
      <c r="Y115" s="3"/>
      <c r="Z115" s="409"/>
      <c r="AA115" s="165"/>
      <c r="AB115" s="3"/>
      <c r="AC115" s="3"/>
      <c r="AE115" s="411"/>
      <c r="AF115" s="406"/>
      <c r="AH115" s="412"/>
      <c r="AI115" s="200"/>
      <c r="AJ115" s="411"/>
      <c r="AK115" s="406"/>
      <c r="AL115" s="2"/>
      <c r="AM115" s="3"/>
      <c r="AN115" s="3"/>
      <c r="AO115" s="409"/>
      <c r="AP115" s="165"/>
      <c r="AQ115" s="3"/>
      <c r="AR115" s="3"/>
      <c r="AS115" s="91"/>
    </row>
    <row r="116" spans="1:45" x14ac:dyDescent="0.25">
      <c r="A116" s="55"/>
      <c r="B116" s="406"/>
      <c r="D116" s="412"/>
      <c r="E116" s="200"/>
      <c r="F116" s="411"/>
      <c r="G116" s="406"/>
      <c r="H116" s="2"/>
      <c r="I116" s="3"/>
      <c r="J116" s="3"/>
      <c r="K116" s="409"/>
      <c r="L116" s="165"/>
      <c r="M116" s="3"/>
      <c r="N116" s="3"/>
      <c r="P116" s="55"/>
      <c r="Q116" s="406"/>
      <c r="S116" s="412"/>
      <c r="T116" s="200"/>
      <c r="U116" s="411"/>
      <c r="V116" s="406"/>
      <c r="W116" s="2"/>
      <c r="X116" s="3"/>
      <c r="Y116" s="3"/>
      <c r="Z116" s="409"/>
      <c r="AA116" s="165"/>
      <c r="AB116" s="3"/>
      <c r="AC116" s="3"/>
      <c r="AE116" s="411"/>
      <c r="AF116" s="406"/>
      <c r="AH116" s="412"/>
      <c r="AI116" s="200"/>
      <c r="AJ116" s="411"/>
      <c r="AK116" s="406"/>
      <c r="AL116" s="2"/>
      <c r="AM116" s="3"/>
      <c r="AN116" s="3"/>
      <c r="AO116" s="409"/>
      <c r="AP116" s="165"/>
      <c r="AQ116" s="3"/>
      <c r="AR116" s="3"/>
      <c r="AS116" s="91"/>
    </row>
    <row r="117" spans="1:45" x14ac:dyDescent="0.25">
      <c r="A117" s="55"/>
      <c r="B117" s="406"/>
      <c r="D117" s="412"/>
      <c r="E117" s="200"/>
      <c r="F117" s="411"/>
      <c r="G117" s="406"/>
      <c r="H117" s="2"/>
      <c r="I117" s="3"/>
      <c r="J117" s="3"/>
      <c r="K117" s="409"/>
      <c r="L117" s="165"/>
      <c r="M117" s="3"/>
      <c r="N117" s="3"/>
      <c r="P117" s="55"/>
      <c r="Q117" s="406"/>
      <c r="S117" s="412"/>
      <c r="T117" s="200"/>
      <c r="U117" s="411"/>
      <c r="V117" s="406"/>
      <c r="W117" s="2"/>
      <c r="X117" s="3"/>
      <c r="Y117" s="3"/>
      <c r="Z117" s="409"/>
      <c r="AA117" s="165"/>
      <c r="AB117" s="3"/>
      <c r="AC117" s="3"/>
      <c r="AE117" s="411"/>
      <c r="AF117" s="406"/>
      <c r="AH117" s="412"/>
      <c r="AI117" s="200"/>
      <c r="AJ117" s="411"/>
      <c r="AK117" s="406"/>
      <c r="AL117" s="2"/>
      <c r="AM117" s="3"/>
      <c r="AN117" s="3"/>
      <c r="AO117" s="409"/>
      <c r="AP117" s="165"/>
      <c r="AQ117" s="3"/>
      <c r="AR117" s="3"/>
      <c r="AS117" s="91"/>
    </row>
    <row r="118" spans="1:45" x14ac:dyDescent="0.25">
      <c r="A118" s="55"/>
      <c r="B118" s="406"/>
      <c r="D118" s="412"/>
      <c r="E118" s="200"/>
      <c r="F118" s="411"/>
      <c r="G118" s="406"/>
      <c r="H118" s="2"/>
      <c r="I118" s="3"/>
      <c r="J118" s="3"/>
      <c r="K118" s="409"/>
      <c r="L118" s="165"/>
      <c r="M118" s="3"/>
      <c r="N118" s="3"/>
      <c r="P118" s="55"/>
      <c r="Q118" s="406"/>
      <c r="S118" s="412"/>
      <c r="T118" s="200"/>
      <c r="U118" s="411"/>
      <c r="V118" s="406"/>
      <c r="W118" s="2"/>
      <c r="X118" s="3"/>
      <c r="Y118" s="3"/>
      <c r="Z118" s="409"/>
      <c r="AA118" s="165"/>
      <c r="AB118" s="3"/>
      <c r="AC118" s="3"/>
      <c r="AE118" s="411"/>
      <c r="AF118" s="406"/>
      <c r="AH118" s="412"/>
      <c r="AI118" s="200"/>
      <c r="AJ118" s="411"/>
      <c r="AK118" s="406"/>
      <c r="AL118" s="2"/>
      <c r="AM118" s="3"/>
      <c r="AN118" s="3"/>
      <c r="AO118" s="409"/>
      <c r="AP118" s="165"/>
      <c r="AQ118" s="3"/>
      <c r="AR118" s="3"/>
      <c r="AS118" s="91"/>
    </row>
    <row r="119" spans="1:45" x14ac:dyDescent="0.25">
      <c r="A119" s="55"/>
      <c r="B119" s="406"/>
      <c r="D119" s="412"/>
      <c r="E119" s="200"/>
      <c r="F119" s="411"/>
      <c r="G119" s="406"/>
      <c r="H119" s="2"/>
      <c r="I119" s="3"/>
      <c r="J119" s="3"/>
      <c r="K119" s="409"/>
      <c r="L119" s="165"/>
      <c r="M119" s="3"/>
      <c r="N119" s="3"/>
      <c r="P119" s="55"/>
      <c r="Q119" s="406"/>
      <c r="S119" s="412"/>
      <c r="T119" s="200"/>
      <c r="U119" s="411"/>
      <c r="V119" s="406"/>
      <c r="W119" s="2"/>
      <c r="X119" s="3"/>
      <c r="Y119" s="3"/>
      <c r="Z119" s="409"/>
      <c r="AA119" s="165"/>
      <c r="AB119" s="3"/>
      <c r="AC119" s="3"/>
      <c r="AE119" s="411"/>
      <c r="AF119" s="406"/>
      <c r="AH119" s="412"/>
      <c r="AI119" s="200"/>
      <c r="AJ119" s="411"/>
      <c r="AK119" s="406"/>
      <c r="AL119" s="2"/>
      <c r="AM119" s="3"/>
      <c r="AN119" s="3"/>
      <c r="AO119" s="409"/>
      <c r="AP119" s="165"/>
      <c r="AQ119" s="3"/>
      <c r="AR119" s="3"/>
      <c r="AS119" s="91"/>
    </row>
    <row r="120" spans="1:45" x14ac:dyDescent="0.25">
      <c r="A120" s="55"/>
      <c r="B120" s="406"/>
      <c r="D120" s="412"/>
      <c r="E120" s="200"/>
      <c r="F120" s="411"/>
      <c r="G120" s="406"/>
      <c r="H120" s="2"/>
      <c r="I120" s="3"/>
      <c r="J120" s="3"/>
      <c r="K120" s="409"/>
      <c r="L120" s="165"/>
      <c r="M120" s="3"/>
      <c r="N120" s="3"/>
      <c r="P120" s="55"/>
      <c r="Q120" s="406"/>
      <c r="S120" s="412"/>
      <c r="T120" s="200"/>
      <c r="U120" s="411"/>
      <c r="V120" s="406"/>
      <c r="W120" s="2"/>
      <c r="X120" s="3"/>
      <c r="Y120" s="3"/>
      <c r="Z120" s="409"/>
      <c r="AA120" s="165"/>
      <c r="AB120" s="3"/>
      <c r="AC120" s="3"/>
      <c r="AE120" s="411"/>
      <c r="AF120" s="406"/>
      <c r="AH120" s="412"/>
      <c r="AI120" s="200"/>
      <c r="AJ120" s="411"/>
      <c r="AK120" s="406"/>
      <c r="AL120" s="2"/>
      <c r="AM120" s="3"/>
      <c r="AN120" s="3"/>
      <c r="AO120" s="409"/>
      <c r="AP120" s="165"/>
      <c r="AQ120" s="3"/>
      <c r="AR120" s="3"/>
      <c r="AS120" s="91"/>
    </row>
    <row r="121" spans="1:45" ht="13.8" thickBot="1" x14ac:dyDescent="0.3">
      <c r="A121" s="66"/>
      <c r="B121" s="167"/>
      <c r="C121" s="447"/>
      <c r="D121" s="201"/>
      <c r="E121" s="202"/>
      <c r="F121" s="174"/>
      <c r="G121" s="167"/>
      <c r="H121" s="169"/>
      <c r="I121" s="170"/>
      <c r="J121" s="170"/>
      <c r="K121" s="171"/>
      <c r="L121" s="172"/>
      <c r="M121" s="170"/>
      <c r="N121" s="170"/>
      <c r="O121" s="249"/>
      <c r="P121" s="66"/>
      <c r="Q121" s="167"/>
      <c r="R121" s="447"/>
      <c r="S121" s="201"/>
      <c r="T121" s="202"/>
      <c r="U121" s="174"/>
      <c r="V121" s="167"/>
      <c r="W121" s="169"/>
      <c r="X121" s="170"/>
      <c r="Y121" s="170"/>
      <c r="Z121" s="171"/>
      <c r="AA121" s="172"/>
      <c r="AB121" s="170"/>
      <c r="AC121" s="170"/>
      <c r="AD121" s="250"/>
      <c r="AE121" s="174"/>
      <c r="AF121" s="167"/>
      <c r="AG121" s="447"/>
      <c r="AH121" s="201"/>
      <c r="AI121" s="202"/>
      <c r="AJ121" s="174"/>
      <c r="AK121" s="167"/>
      <c r="AL121" s="169"/>
      <c r="AM121" s="170"/>
      <c r="AN121" s="170"/>
      <c r="AO121" s="171"/>
      <c r="AP121" s="172"/>
      <c r="AQ121" s="170"/>
      <c r="AR121" s="170"/>
      <c r="AS121" s="250"/>
    </row>
    <row r="122" spans="1:45" x14ac:dyDescent="0.25">
      <c r="A122" s="69"/>
      <c r="B122" s="69"/>
      <c r="C122" s="438"/>
      <c r="D122" s="203"/>
      <c r="E122" s="204"/>
      <c r="F122" s="182"/>
      <c r="G122" s="69"/>
      <c r="H122" s="176"/>
      <c r="I122" s="180"/>
      <c r="J122" s="180"/>
      <c r="K122" s="205"/>
      <c r="L122" s="179"/>
      <c r="M122" s="180"/>
      <c r="N122" s="180"/>
      <c r="O122" s="419"/>
      <c r="P122" s="181"/>
      <c r="Q122" s="69"/>
      <c r="R122" s="438"/>
      <c r="S122" s="203"/>
      <c r="T122" s="204"/>
      <c r="U122" s="182"/>
      <c r="V122" s="69"/>
      <c r="W122" s="176"/>
      <c r="X122" s="180"/>
      <c r="Y122" s="180"/>
      <c r="Z122" s="205"/>
      <c r="AA122" s="179"/>
      <c r="AB122" s="180"/>
      <c r="AC122" s="180"/>
      <c r="AD122" s="420"/>
      <c r="AE122" s="182"/>
      <c r="AF122" s="69"/>
      <c r="AG122" s="438"/>
      <c r="AH122" s="203"/>
      <c r="AI122" s="204"/>
      <c r="AJ122" s="182"/>
      <c r="AK122" s="69"/>
      <c r="AL122" s="176"/>
      <c r="AM122" s="180"/>
      <c r="AN122" s="180"/>
      <c r="AO122" s="205"/>
      <c r="AP122" s="179"/>
      <c r="AQ122" s="180"/>
      <c r="AR122" s="180"/>
      <c r="AS122" s="421"/>
    </row>
    <row r="123" spans="1:45" x14ac:dyDescent="0.25">
      <c r="A123" s="1"/>
      <c r="B123" s="1"/>
      <c r="D123" s="199"/>
      <c r="E123" s="200"/>
      <c r="F123" s="58"/>
      <c r="G123" s="1"/>
      <c r="H123" s="2"/>
      <c r="I123" s="3"/>
      <c r="J123" s="3"/>
      <c r="K123" s="53"/>
      <c r="L123" s="165"/>
      <c r="M123" s="3"/>
      <c r="N123" s="3"/>
      <c r="P123" s="55"/>
      <c r="Q123" s="1"/>
      <c r="S123" s="199"/>
      <c r="T123" s="200"/>
      <c r="U123" s="58"/>
      <c r="V123" s="1"/>
      <c r="W123" s="2"/>
      <c r="X123" s="3"/>
      <c r="Y123" s="3"/>
      <c r="Z123" s="53"/>
      <c r="AA123" s="165"/>
      <c r="AB123" s="3"/>
      <c r="AC123" s="3"/>
      <c r="AE123" s="58"/>
      <c r="AF123" s="1"/>
      <c r="AH123" s="199"/>
      <c r="AI123" s="200"/>
      <c r="AJ123" s="58"/>
      <c r="AK123" s="1"/>
      <c r="AL123" s="2"/>
      <c r="AM123" s="3"/>
      <c r="AN123" s="3"/>
      <c r="AO123" s="53"/>
      <c r="AP123" s="165"/>
      <c r="AQ123" s="3"/>
      <c r="AR123" s="3"/>
    </row>
    <row r="124" spans="1:45" x14ac:dyDescent="0.25">
      <c r="A124" s="1"/>
      <c r="B124" s="1"/>
      <c r="D124" s="199"/>
      <c r="E124" s="200"/>
      <c r="F124" s="58"/>
      <c r="G124" s="1"/>
      <c r="H124" s="2"/>
      <c r="I124" s="3"/>
      <c r="J124" s="3"/>
      <c r="K124" s="53"/>
      <c r="L124" s="165"/>
      <c r="M124" s="3"/>
      <c r="N124" s="3"/>
      <c r="P124" s="55"/>
      <c r="Q124" s="1"/>
      <c r="S124" s="199"/>
      <c r="T124" s="200"/>
      <c r="U124" s="58"/>
      <c r="V124" s="1"/>
      <c r="W124" s="2"/>
      <c r="X124" s="3"/>
      <c r="Y124" s="3"/>
      <c r="Z124" s="53"/>
      <c r="AA124" s="165"/>
      <c r="AB124" s="3"/>
      <c r="AC124" s="3"/>
      <c r="AE124" s="58"/>
      <c r="AF124" s="1"/>
      <c r="AH124" s="199"/>
      <c r="AI124" s="200"/>
      <c r="AJ124" s="58"/>
      <c r="AK124" s="1"/>
      <c r="AL124" s="2"/>
      <c r="AM124" s="3"/>
      <c r="AN124" s="3"/>
      <c r="AO124" s="53"/>
      <c r="AP124" s="165"/>
      <c r="AQ124" s="3"/>
      <c r="AR124" s="3"/>
    </row>
    <row r="125" spans="1:45" x14ac:dyDescent="0.25">
      <c r="A125" s="1"/>
      <c r="B125" s="1"/>
      <c r="D125" s="199"/>
      <c r="E125" s="200"/>
      <c r="F125" s="58"/>
      <c r="G125" s="1"/>
      <c r="H125" s="2"/>
      <c r="I125" s="3"/>
      <c r="J125" s="3"/>
      <c r="K125" s="53"/>
      <c r="L125" s="165"/>
      <c r="M125" s="3"/>
      <c r="N125" s="3"/>
      <c r="P125" s="55"/>
      <c r="Q125" s="1"/>
      <c r="S125" s="199"/>
      <c r="T125" s="200"/>
      <c r="U125" s="58"/>
      <c r="V125" s="1"/>
      <c r="W125" s="2"/>
      <c r="X125" s="3"/>
      <c r="Y125" s="3"/>
      <c r="Z125" s="53"/>
      <c r="AA125" s="165"/>
      <c r="AB125" s="3"/>
      <c r="AC125" s="3"/>
      <c r="AE125" s="58"/>
      <c r="AF125" s="1"/>
      <c r="AH125" s="199"/>
      <c r="AI125" s="200"/>
      <c r="AJ125" s="58"/>
      <c r="AK125" s="1"/>
      <c r="AL125" s="2"/>
      <c r="AM125" s="3"/>
      <c r="AN125" s="3"/>
      <c r="AO125" s="53"/>
      <c r="AP125" s="165"/>
      <c r="AQ125" s="3"/>
      <c r="AR125" s="3"/>
    </row>
    <row r="126" spans="1:45" x14ac:dyDescent="0.25">
      <c r="A126" s="1"/>
      <c r="B126" s="1"/>
      <c r="D126" s="199"/>
      <c r="E126" s="200"/>
      <c r="F126" s="58"/>
      <c r="G126" s="1"/>
      <c r="H126" s="2"/>
      <c r="I126" s="3"/>
      <c r="J126" s="3"/>
      <c r="K126" s="53"/>
      <c r="L126" s="165"/>
      <c r="M126" s="3"/>
      <c r="N126" s="3"/>
      <c r="P126" s="55"/>
      <c r="Q126" s="1"/>
      <c r="S126" s="199"/>
      <c r="T126" s="200"/>
      <c r="U126" s="58"/>
      <c r="V126" s="1"/>
      <c r="W126" s="2"/>
      <c r="X126" s="3"/>
      <c r="Y126" s="3"/>
      <c r="Z126" s="53"/>
      <c r="AA126" s="165"/>
      <c r="AB126" s="3"/>
      <c r="AC126" s="3"/>
      <c r="AE126" s="58"/>
      <c r="AF126" s="1"/>
      <c r="AH126" s="199"/>
      <c r="AI126" s="200"/>
      <c r="AJ126" s="58"/>
      <c r="AK126" s="1"/>
      <c r="AL126" s="2"/>
      <c r="AM126" s="3"/>
      <c r="AN126" s="3"/>
      <c r="AO126" s="53"/>
      <c r="AP126" s="165"/>
      <c r="AQ126" s="3"/>
      <c r="AR126" s="3"/>
    </row>
    <row r="127" spans="1:45" x14ac:dyDescent="0.25">
      <c r="A127" s="1"/>
      <c r="B127" s="1"/>
      <c r="D127" s="199"/>
      <c r="E127" s="200"/>
      <c r="F127" s="58"/>
      <c r="G127" s="1"/>
      <c r="H127" s="2"/>
      <c r="I127" s="3"/>
      <c r="J127" s="3"/>
      <c r="K127" s="53"/>
      <c r="L127" s="165"/>
      <c r="M127" s="3"/>
      <c r="N127" s="3"/>
      <c r="P127" s="55"/>
      <c r="Q127" s="1"/>
      <c r="S127" s="199"/>
      <c r="T127" s="200"/>
      <c r="U127" s="58"/>
      <c r="V127" s="1"/>
      <c r="W127" s="2"/>
      <c r="X127" s="3"/>
      <c r="Y127" s="3"/>
      <c r="Z127" s="53"/>
      <c r="AA127" s="165"/>
      <c r="AB127" s="3"/>
      <c r="AC127" s="3"/>
      <c r="AE127" s="58"/>
      <c r="AF127" s="1"/>
      <c r="AH127" s="199"/>
      <c r="AI127" s="200"/>
      <c r="AJ127" s="58"/>
      <c r="AK127" s="1"/>
      <c r="AL127" s="2"/>
      <c r="AM127" s="3"/>
      <c r="AN127" s="3"/>
      <c r="AO127" s="53"/>
      <c r="AP127" s="165"/>
      <c r="AQ127" s="3"/>
      <c r="AR127" s="3"/>
    </row>
    <row r="128" spans="1:45" x14ac:dyDescent="0.25">
      <c r="A128" s="1"/>
      <c r="B128" s="1"/>
      <c r="D128" s="199"/>
      <c r="E128" s="200"/>
      <c r="F128" s="58"/>
      <c r="G128" s="1"/>
      <c r="H128" s="2"/>
      <c r="I128" s="3"/>
      <c r="J128" s="3"/>
      <c r="K128" s="53"/>
      <c r="L128" s="165"/>
      <c r="M128" s="3"/>
      <c r="N128" s="3"/>
      <c r="P128" s="55"/>
      <c r="Q128" s="1"/>
      <c r="S128" s="199"/>
      <c r="T128" s="200"/>
      <c r="U128" s="58"/>
      <c r="V128" s="1"/>
      <c r="W128" s="2"/>
      <c r="X128" s="3"/>
      <c r="Y128" s="3"/>
      <c r="Z128" s="53"/>
      <c r="AA128" s="165"/>
      <c r="AB128" s="3"/>
      <c r="AC128" s="3"/>
      <c r="AE128" s="58"/>
      <c r="AF128" s="1"/>
      <c r="AH128" s="199"/>
      <c r="AI128" s="200"/>
      <c r="AJ128" s="58"/>
      <c r="AK128" s="1"/>
      <c r="AL128" s="2"/>
      <c r="AM128" s="3"/>
      <c r="AN128" s="3"/>
      <c r="AO128" s="53"/>
      <c r="AP128" s="165"/>
      <c r="AQ128" s="3"/>
      <c r="AR128" s="3"/>
    </row>
    <row r="129" spans="1:45" x14ac:dyDescent="0.25">
      <c r="A129" s="1"/>
      <c r="B129" s="1"/>
      <c r="D129" s="199"/>
      <c r="E129" s="200"/>
      <c r="F129" s="58"/>
      <c r="G129" s="1"/>
      <c r="H129" s="2"/>
      <c r="I129" s="3"/>
      <c r="J129" s="3"/>
      <c r="K129" s="53"/>
      <c r="L129" s="165"/>
      <c r="M129" s="3"/>
      <c r="N129" s="3"/>
      <c r="P129" s="55"/>
      <c r="Q129" s="1"/>
      <c r="S129" s="199"/>
      <c r="T129" s="200"/>
      <c r="U129" s="58"/>
      <c r="V129" s="1"/>
      <c r="W129" s="2"/>
      <c r="X129" s="3"/>
      <c r="Y129" s="3"/>
      <c r="Z129" s="53"/>
      <c r="AA129" s="165"/>
      <c r="AB129" s="3"/>
      <c r="AC129" s="3"/>
      <c r="AE129" s="58"/>
      <c r="AF129" s="1"/>
      <c r="AH129" s="199"/>
      <c r="AI129" s="200"/>
      <c r="AJ129" s="58"/>
      <c r="AK129" s="1"/>
      <c r="AL129" s="2"/>
      <c r="AM129" s="3"/>
      <c r="AN129" s="3"/>
      <c r="AO129" s="53"/>
      <c r="AP129" s="165"/>
      <c r="AQ129" s="3"/>
      <c r="AR129" s="3"/>
    </row>
    <row r="130" spans="1:45" x14ac:dyDescent="0.25">
      <c r="A130" s="1"/>
      <c r="B130" s="1"/>
      <c r="D130" s="199"/>
      <c r="E130" s="200"/>
      <c r="F130" s="58"/>
      <c r="G130" s="1"/>
      <c r="H130" s="2"/>
      <c r="I130" s="3"/>
      <c r="J130" s="3"/>
      <c r="K130" s="53"/>
      <c r="L130" s="165"/>
      <c r="M130" s="3"/>
      <c r="N130" s="3"/>
      <c r="P130" s="55"/>
      <c r="Q130" s="1"/>
      <c r="S130" s="199"/>
      <c r="T130" s="200"/>
      <c r="U130" s="58"/>
      <c r="V130" s="1"/>
      <c r="W130" s="2"/>
      <c r="X130" s="3"/>
      <c r="Y130" s="3"/>
      <c r="Z130" s="53"/>
      <c r="AA130" s="165"/>
      <c r="AB130" s="3"/>
      <c r="AC130" s="3"/>
      <c r="AE130" s="58"/>
      <c r="AF130" s="1"/>
      <c r="AH130" s="199"/>
      <c r="AI130" s="200"/>
      <c r="AJ130" s="58"/>
      <c r="AK130" s="1"/>
      <c r="AL130" s="2"/>
      <c r="AM130" s="3"/>
      <c r="AN130" s="3"/>
      <c r="AO130" s="53"/>
      <c r="AP130" s="165"/>
      <c r="AQ130" s="3"/>
      <c r="AR130" s="3"/>
    </row>
    <row r="131" spans="1:45" x14ac:dyDescent="0.25">
      <c r="A131" s="1"/>
      <c r="B131" s="1"/>
      <c r="D131" s="199"/>
      <c r="E131" s="200"/>
      <c r="F131" s="58"/>
      <c r="G131" s="1"/>
      <c r="H131" s="2"/>
      <c r="I131" s="3"/>
      <c r="J131" s="3"/>
      <c r="K131" s="53"/>
      <c r="L131" s="165"/>
      <c r="M131" s="3"/>
      <c r="N131" s="3"/>
      <c r="P131" s="55"/>
      <c r="Q131" s="1"/>
      <c r="S131" s="199"/>
      <c r="T131" s="200"/>
      <c r="U131" s="58"/>
      <c r="V131" s="1"/>
      <c r="W131" s="2"/>
      <c r="X131" s="3"/>
      <c r="Y131" s="3"/>
      <c r="Z131" s="53"/>
      <c r="AA131" s="165"/>
      <c r="AB131" s="3"/>
      <c r="AC131" s="3"/>
      <c r="AE131" s="58"/>
      <c r="AF131" s="1"/>
      <c r="AH131" s="199"/>
      <c r="AI131" s="200"/>
      <c r="AJ131" s="58"/>
      <c r="AK131" s="1"/>
      <c r="AL131" s="2"/>
      <c r="AM131" s="3"/>
      <c r="AN131" s="3"/>
      <c r="AO131" s="53"/>
      <c r="AP131" s="165"/>
      <c r="AQ131" s="3"/>
      <c r="AR131" s="3"/>
    </row>
    <row r="132" spans="1:45" x14ac:dyDescent="0.25">
      <c r="A132" s="1"/>
      <c r="B132" s="1"/>
      <c r="D132" s="199"/>
      <c r="E132" s="200"/>
      <c r="F132" s="58"/>
      <c r="G132" s="1"/>
      <c r="H132" s="2"/>
      <c r="I132" s="3"/>
      <c r="J132" s="3"/>
      <c r="K132" s="53"/>
      <c r="L132" s="165"/>
      <c r="M132" s="3"/>
      <c r="N132" s="3"/>
      <c r="P132" s="55"/>
      <c r="Q132" s="1"/>
      <c r="S132" s="199"/>
      <c r="T132" s="200"/>
      <c r="U132" s="58"/>
      <c r="V132" s="1"/>
      <c r="W132" s="2"/>
      <c r="X132" s="3"/>
      <c r="Y132" s="3"/>
      <c r="Z132" s="53"/>
      <c r="AA132" s="165"/>
      <c r="AB132" s="3"/>
      <c r="AC132" s="3"/>
      <c r="AE132" s="58"/>
      <c r="AF132" s="1"/>
      <c r="AH132" s="199"/>
      <c r="AI132" s="200"/>
      <c r="AJ132" s="58"/>
      <c r="AK132" s="1"/>
      <c r="AL132" s="2"/>
      <c r="AM132" s="3"/>
      <c r="AN132" s="3"/>
      <c r="AO132" s="53"/>
      <c r="AP132" s="165"/>
      <c r="AQ132" s="3"/>
      <c r="AR132" s="3"/>
    </row>
    <row r="133" spans="1:45" x14ac:dyDescent="0.25">
      <c r="A133" s="1"/>
      <c r="B133" s="1"/>
      <c r="D133" s="199"/>
      <c r="E133" s="200"/>
      <c r="F133" s="58"/>
      <c r="G133" s="1"/>
      <c r="H133" s="2"/>
      <c r="I133" s="3"/>
      <c r="J133" s="3"/>
      <c r="K133" s="53"/>
      <c r="L133" s="165"/>
      <c r="M133" s="3"/>
      <c r="N133" s="3"/>
      <c r="P133" s="55"/>
      <c r="Q133" s="1"/>
      <c r="S133" s="199"/>
      <c r="T133" s="200"/>
      <c r="U133" s="58"/>
      <c r="V133" s="1"/>
      <c r="W133" s="2"/>
      <c r="X133" s="3"/>
      <c r="Y133" s="3"/>
      <c r="Z133" s="53"/>
      <c r="AA133" s="165"/>
      <c r="AB133" s="3"/>
      <c r="AC133" s="3"/>
      <c r="AE133" s="58"/>
      <c r="AF133" s="1"/>
      <c r="AH133" s="199"/>
      <c r="AI133" s="200"/>
      <c r="AJ133" s="58"/>
      <c r="AK133" s="1"/>
      <c r="AL133" s="2"/>
      <c r="AM133" s="3"/>
      <c r="AN133" s="3"/>
      <c r="AO133" s="53"/>
      <c r="AP133" s="165"/>
      <c r="AQ133" s="3"/>
      <c r="AR133" s="3"/>
    </row>
    <row r="134" spans="1:45" x14ac:dyDescent="0.25">
      <c r="A134" s="1"/>
      <c r="B134" s="1"/>
      <c r="D134" s="199"/>
      <c r="E134" s="200"/>
      <c r="F134" s="58"/>
      <c r="G134" s="1"/>
      <c r="H134" s="2"/>
      <c r="I134" s="3"/>
      <c r="J134" s="3"/>
      <c r="K134" s="53"/>
      <c r="L134" s="165"/>
      <c r="M134" s="3"/>
      <c r="N134" s="3"/>
      <c r="P134" s="55"/>
      <c r="Q134" s="1"/>
      <c r="S134" s="199"/>
      <c r="T134" s="200"/>
      <c r="U134" s="58"/>
      <c r="V134" s="1"/>
      <c r="W134" s="2"/>
      <c r="X134" s="3"/>
      <c r="Y134" s="3"/>
      <c r="Z134" s="53"/>
      <c r="AA134" s="165"/>
      <c r="AB134" s="3"/>
      <c r="AC134" s="3"/>
      <c r="AE134" s="58"/>
      <c r="AF134" s="1"/>
      <c r="AH134" s="199"/>
      <c r="AI134" s="200"/>
      <c r="AJ134" s="58"/>
      <c r="AK134" s="1"/>
      <c r="AL134" s="2"/>
      <c r="AM134" s="3"/>
      <c r="AN134" s="3"/>
      <c r="AO134" s="53"/>
      <c r="AP134" s="165"/>
      <c r="AQ134" s="3"/>
      <c r="AR134" s="3"/>
    </row>
    <row r="135" spans="1:45" x14ac:dyDescent="0.25">
      <c r="A135" s="1"/>
      <c r="B135" s="1"/>
      <c r="D135" s="199"/>
      <c r="E135" s="200"/>
      <c r="F135" s="58"/>
      <c r="G135" s="1"/>
      <c r="H135" s="2"/>
      <c r="I135" s="3"/>
      <c r="J135" s="3"/>
      <c r="K135" s="53"/>
      <c r="L135" s="165"/>
      <c r="M135" s="3"/>
      <c r="N135" s="3"/>
      <c r="P135" s="55"/>
      <c r="Q135" s="1"/>
      <c r="S135" s="199"/>
      <c r="T135" s="200"/>
      <c r="U135" s="58"/>
      <c r="V135" s="1"/>
      <c r="W135" s="2"/>
      <c r="X135" s="3"/>
      <c r="Y135" s="3"/>
      <c r="Z135" s="53"/>
      <c r="AA135" s="165"/>
      <c r="AB135" s="3"/>
      <c r="AC135" s="3"/>
      <c r="AE135" s="58"/>
      <c r="AF135" s="1"/>
      <c r="AH135" s="199"/>
      <c r="AI135" s="200"/>
      <c r="AJ135" s="58"/>
      <c r="AK135" s="1"/>
      <c r="AL135" s="2"/>
      <c r="AM135" s="3"/>
      <c r="AN135" s="3"/>
      <c r="AO135" s="53"/>
      <c r="AP135" s="165"/>
      <c r="AQ135" s="3"/>
      <c r="AR135" s="3"/>
    </row>
    <row r="136" spans="1:45" x14ac:dyDescent="0.25">
      <c r="A136" s="1"/>
      <c r="B136" s="1"/>
      <c r="D136" s="199"/>
      <c r="E136" s="200"/>
      <c r="F136" s="58"/>
      <c r="G136" s="1"/>
      <c r="H136" s="2"/>
      <c r="I136" s="3"/>
      <c r="J136" s="3"/>
      <c r="K136" s="53"/>
      <c r="L136" s="165"/>
      <c r="M136" s="3"/>
      <c r="N136" s="3"/>
      <c r="P136" s="55"/>
      <c r="Q136" s="1"/>
      <c r="S136" s="199"/>
      <c r="T136" s="200"/>
      <c r="U136" s="58"/>
      <c r="V136" s="1"/>
      <c r="W136" s="2"/>
      <c r="X136" s="3"/>
      <c r="Y136" s="3"/>
      <c r="Z136" s="53"/>
      <c r="AA136" s="165"/>
      <c r="AB136" s="3"/>
      <c r="AC136" s="3"/>
      <c r="AE136" s="58"/>
      <c r="AF136" s="1"/>
      <c r="AH136" s="199"/>
      <c r="AI136" s="200"/>
      <c r="AJ136" s="58"/>
      <c r="AK136" s="1"/>
      <c r="AL136" s="2"/>
      <c r="AM136" s="3"/>
      <c r="AN136" s="3"/>
      <c r="AO136" s="53"/>
      <c r="AP136" s="165"/>
      <c r="AQ136" s="3"/>
      <c r="AR136" s="3"/>
    </row>
    <row r="137" spans="1:45" x14ac:dyDescent="0.25">
      <c r="A137" s="1"/>
      <c r="B137" s="1"/>
      <c r="D137" s="199"/>
      <c r="E137" s="200"/>
      <c r="F137" s="58"/>
      <c r="G137" s="1"/>
      <c r="H137" s="2"/>
      <c r="I137" s="3"/>
      <c r="J137" s="3"/>
      <c r="K137" s="53"/>
      <c r="L137" s="165"/>
      <c r="M137" s="3"/>
      <c r="N137" s="3"/>
      <c r="P137" s="55"/>
      <c r="Q137" s="1"/>
      <c r="S137" s="199"/>
      <c r="T137" s="200"/>
      <c r="U137" s="58"/>
      <c r="V137" s="1"/>
      <c r="W137" s="2"/>
      <c r="X137" s="3"/>
      <c r="Y137" s="3"/>
      <c r="Z137" s="53"/>
      <c r="AA137" s="165"/>
      <c r="AB137" s="3"/>
      <c r="AC137" s="3"/>
      <c r="AE137" s="58"/>
      <c r="AF137" s="1"/>
      <c r="AH137" s="199"/>
      <c r="AI137" s="200"/>
      <c r="AJ137" s="58"/>
      <c r="AK137" s="1"/>
      <c r="AL137" s="2"/>
      <c r="AM137" s="3"/>
      <c r="AN137" s="3"/>
      <c r="AO137" s="53"/>
      <c r="AP137" s="165"/>
      <c r="AQ137" s="3"/>
      <c r="AR137" s="3"/>
    </row>
    <row r="138" spans="1:45" x14ac:dyDescent="0.25">
      <c r="A138" s="1"/>
      <c r="B138" s="1"/>
      <c r="D138" s="199"/>
      <c r="E138" s="200"/>
      <c r="F138" s="58"/>
      <c r="G138" s="1"/>
      <c r="H138" s="2"/>
      <c r="I138" s="3"/>
      <c r="J138" s="3"/>
      <c r="K138" s="53"/>
      <c r="L138" s="165"/>
      <c r="M138" s="3"/>
      <c r="N138" s="3"/>
      <c r="P138" s="55"/>
      <c r="Q138" s="1"/>
      <c r="S138" s="199"/>
      <c r="T138" s="200"/>
      <c r="U138" s="58"/>
      <c r="V138" s="1"/>
      <c r="W138" s="2"/>
      <c r="X138" s="3"/>
      <c r="Y138" s="3"/>
      <c r="Z138" s="53"/>
      <c r="AA138" s="165"/>
      <c r="AB138" s="3"/>
      <c r="AC138" s="3"/>
      <c r="AE138" s="58"/>
      <c r="AF138" s="1"/>
      <c r="AH138" s="199"/>
      <c r="AI138" s="200"/>
      <c r="AJ138" s="58"/>
      <c r="AK138" s="1"/>
      <c r="AL138" s="2"/>
      <c r="AM138" s="3"/>
      <c r="AN138" s="3"/>
      <c r="AO138" s="53"/>
      <c r="AP138" s="165"/>
      <c r="AQ138" s="3"/>
      <c r="AR138" s="3"/>
    </row>
    <row r="139" spans="1:45" x14ac:dyDescent="0.25">
      <c r="A139" s="1"/>
      <c r="B139" s="1"/>
      <c r="D139" s="199"/>
      <c r="E139" s="200"/>
      <c r="F139" s="58"/>
      <c r="G139" s="1"/>
      <c r="H139" s="2"/>
      <c r="I139" s="3"/>
      <c r="J139" s="3"/>
      <c r="K139" s="53"/>
      <c r="L139" s="165"/>
      <c r="M139" s="3"/>
      <c r="N139" s="3"/>
      <c r="P139" s="55"/>
      <c r="Q139" s="1"/>
      <c r="S139" s="199"/>
      <c r="T139" s="200"/>
      <c r="U139" s="58"/>
      <c r="V139" s="1"/>
      <c r="W139" s="2"/>
      <c r="X139" s="3"/>
      <c r="Y139" s="3"/>
      <c r="Z139" s="53"/>
      <c r="AA139" s="165"/>
      <c r="AB139" s="3"/>
      <c r="AC139" s="3"/>
      <c r="AE139" s="58"/>
      <c r="AF139" s="1"/>
      <c r="AH139" s="199"/>
      <c r="AI139" s="200"/>
      <c r="AJ139" s="58"/>
      <c r="AK139" s="1"/>
      <c r="AL139" s="2"/>
      <c r="AM139" s="3"/>
      <c r="AN139" s="3"/>
      <c r="AO139" s="53"/>
      <c r="AP139" s="165"/>
      <c r="AQ139" s="3"/>
      <c r="AR139" s="3"/>
    </row>
    <row r="140" spans="1:45" x14ac:dyDescent="0.25">
      <c r="A140" s="1"/>
      <c r="B140" s="1"/>
      <c r="D140" s="199"/>
      <c r="E140" s="200"/>
      <c r="F140" s="58"/>
      <c r="G140" s="1"/>
      <c r="H140" s="2"/>
      <c r="I140" s="3"/>
      <c r="J140" s="3"/>
      <c r="K140" s="53"/>
      <c r="L140" s="165"/>
      <c r="M140" s="3"/>
      <c r="N140" s="3"/>
      <c r="P140" s="55"/>
      <c r="Q140" s="1"/>
      <c r="S140" s="199"/>
      <c r="T140" s="200"/>
      <c r="U140" s="58"/>
      <c r="V140" s="1"/>
      <c r="W140" s="2"/>
      <c r="X140" s="3"/>
      <c r="Y140" s="3"/>
      <c r="Z140" s="53"/>
      <c r="AA140" s="165"/>
      <c r="AB140" s="3"/>
      <c r="AC140" s="3"/>
      <c r="AE140" s="58"/>
      <c r="AF140" s="1"/>
      <c r="AH140" s="199"/>
      <c r="AI140" s="200"/>
      <c r="AJ140" s="58"/>
      <c r="AK140" s="1"/>
      <c r="AL140" s="2"/>
      <c r="AM140" s="3"/>
      <c r="AN140" s="3"/>
      <c r="AO140" s="53"/>
      <c r="AP140" s="165"/>
      <c r="AQ140" s="3"/>
      <c r="AR140" s="3"/>
    </row>
    <row r="141" spans="1:45" ht="13.8" thickBot="1" x14ac:dyDescent="0.3">
      <c r="A141" s="146"/>
      <c r="B141" s="146"/>
      <c r="C141" s="434"/>
      <c r="D141" s="206"/>
      <c r="E141" s="424"/>
      <c r="F141" s="155"/>
      <c r="G141" s="146"/>
      <c r="H141" s="148"/>
      <c r="I141" s="149"/>
      <c r="J141" s="149"/>
      <c r="K141" s="150"/>
      <c r="L141" s="186"/>
      <c r="M141" s="149"/>
      <c r="N141" s="149"/>
      <c r="O141" s="241"/>
      <c r="P141" s="154"/>
      <c r="Q141" s="146"/>
      <c r="R141" s="434"/>
      <c r="S141" s="206"/>
      <c r="T141" s="424"/>
      <c r="U141" s="155"/>
      <c r="V141" s="146"/>
      <c r="W141" s="148"/>
      <c r="X141" s="149"/>
      <c r="Y141" s="149"/>
      <c r="Z141" s="150"/>
      <c r="AA141" s="186"/>
      <c r="AB141" s="149"/>
      <c r="AC141" s="149"/>
      <c r="AD141" s="242"/>
      <c r="AE141" s="155"/>
      <c r="AF141" s="146"/>
      <c r="AG141" s="434"/>
      <c r="AH141" s="206"/>
      <c r="AI141" s="424"/>
      <c r="AJ141" s="155"/>
      <c r="AK141" s="146"/>
      <c r="AL141" s="148"/>
      <c r="AM141" s="149"/>
      <c r="AN141" s="149"/>
      <c r="AO141" s="150"/>
      <c r="AP141" s="186"/>
      <c r="AQ141" s="149"/>
      <c r="AR141" s="149"/>
      <c r="AS141" s="417"/>
    </row>
    <row r="142" spans="1:45" x14ac:dyDescent="0.25">
      <c r="A142" s="156"/>
      <c r="B142" s="157"/>
      <c r="C142" s="446"/>
      <c r="D142" s="158"/>
      <c r="E142" s="197"/>
      <c r="F142" s="207"/>
      <c r="G142" s="164"/>
      <c r="H142" s="159"/>
      <c r="I142" s="160"/>
      <c r="J142" s="160"/>
      <c r="K142" s="161"/>
      <c r="L142" s="162"/>
      <c r="M142" s="160"/>
      <c r="N142" s="160"/>
      <c r="O142" s="245"/>
      <c r="P142" s="156"/>
      <c r="Q142" s="157"/>
      <c r="R142" s="446"/>
      <c r="S142" s="158"/>
      <c r="T142" s="197"/>
      <c r="U142" s="207"/>
      <c r="V142" s="164"/>
      <c r="W142" s="159"/>
      <c r="X142" s="160"/>
      <c r="Y142" s="160"/>
      <c r="Z142" s="161"/>
      <c r="AA142" s="162"/>
      <c r="AB142" s="160"/>
      <c r="AC142" s="160"/>
      <c r="AD142" s="246"/>
      <c r="AE142" s="164"/>
      <c r="AF142" s="157"/>
      <c r="AG142" s="446"/>
      <c r="AH142" s="158"/>
      <c r="AI142" s="197"/>
      <c r="AJ142" s="207"/>
      <c r="AK142" s="164"/>
      <c r="AL142" s="159"/>
      <c r="AM142" s="160"/>
      <c r="AN142" s="160"/>
      <c r="AO142" s="161"/>
      <c r="AP142" s="162"/>
      <c r="AQ142" s="160"/>
      <c r="AR142" s="160"/>
      <c r="AS142" s="246"/>
    </row>
    <row r="143" spans="1:45" x14ac:dyDescent="0.25">
      <c r="A143" s="55"/>
      <c r="B143" s="406"/>
      <c r="D143" s="413"/>
      <c r="E143" s="412"/>
      <c r="F143" s="208"/>
      <c r="G143" s="411"/>
      <c r="H143" s="2"/>
      <c r="I143" s="3"/>
      <c r="J143" s="3"/>
      <c r="K143" s="409"/>
      <c r="L143" s="165"/>
      <c r="M143" s="3"/>
      <c r="N143" s="3"/>
      <c r="P143" s="55"/>
      <c r="Q143" s="406"/>
      <c r="S143" s="413"/>
      <c r="T143" s="412"/>
      <c r="U143" s="208"/>
      <c r="V143" s="411"/>
      <c r="W143" s="2"/>
      <c r="X143" s="3"/>
      <c r="Y143" s="3"/>
      <c r="Z143" s="409"/>
      <c r="AA143" s="165"/>
      <c r="AB143" s="3"/>
      <c r="AC143" s="3"/>
      <c r="AE143" s="411"/>
      <c r="AF143" s="406"/>
      <c r="AH143" s="413"/>
      <c r="AI143" s="412"/>
      <c r="AJ143" s="208"/>
      <c r="AK143" s="411"/>
      <c r="AL143" s="2"/>
      <c r="AM143" s="3"/>
      <c r="AN143" s="3"/>
      <c r="AO143" s="409"/>
      <c r="AP143" s="165"/>
      <c r="AQ143" s="3"/>
      <c r="AR143" s="3"/>
      <c r="AS143" s="91"/>
    </row>
    <row r="144" spans="1:45" x14ac:dyDescent="0.25">
      <c r="A144" s="55"/>
      <c r="B144" s="406"/>
      <c r="D144" s="413"/>
      <c r="E144" s="412"/>
      <c r="F144" s="208"/>
      <c r="G144" s="411"/>
      <c r="H144" s="2"/>
      <c r="I144" s="3"/>
      <c r="J144" s="3"/>
      <c r="K144" s="409"/>
      <c r="L144" s="165"/>
      <c r="M144" s="3"/>
      <c r="N144" s="3"/>
      <c r="P144" s="55"/>
      <c r="Q144" s="406"/>
      <c r="S144" s="413"/>
      <c r="T144" s="412"/>
      <c r="U144" s="208"/>
      <c r="V144" s="411"/>
      <c r="W144" s="2"/>
      <c r="X144" s="3"/>
      <c r="Y144" s="3"/>
      <c r="Z144" s="409"/>
      <c r="AA144" s="165"/>
      <c r="AB144" s="3"/>
      <c r="AC144" s="3"/>
      <c r="AE144" s="411"/>
      <c r="AF144" s="406"/>
      <c r="AH144" s="413"/>
      <c r="AI144" s="412"/>
      <c r="AJ144" s="208"/>
      <c r="AK144" s="411"/>
      <c r="AL144" s="2"/>
      <c r="AM144" s="3"/>
      <c r="AN144" s="3"/>
      <c r="AO144" s="409"/>
      <c r="AP144" s="165"/>
      <c r="AQ144" s="3"/>
      <c r="AR144" s="3"/>
      <c r="AS144" s="91"/>
    </row>
    <row r="145" spans="1:45" x14ac:dyDescent="0.25">
      <c r="A145" s="55"/>
      <c r="B145" s="406"/>
      <c r="D145" s="413"/>
      <c r="E145" s="412"/>
      <c r="F145" s="208"/>
      <c r="G145" s="411"/>
      <c r="H145" s="2"/>
      <c r="I145" s="3"/>
      <c r="J145" s="3"/>
      <c r="K145" s="409"/>
      <c r="L145" s="165"/>
      <c r="M145" s="3"/>
      <c r="N145" s="3"/>
      <c r="P145" s="55"/>
      <c r="Q145" s="406"/>
      <c r="S145" s="413"/>
      <c r="T145" s="412"/>
      <c r="U145" s="208"/>
      <c r="V145" s="411"/>
      <c r="W145" s="2"/>
      <c r="X145" s="3"/>
      <c r="Y145" s="3"/>
      <c r="Z145" s="409"/>
      <c r="AA145" s="165"/>
      <c r="AB145" s="3"/>
      <c r="AC145" s="3"/>
      <c r="AE145" s="411"/>
      <c r="AF145" s="406"/>
      <c r="AH145" s="413"/>
      <c r="AI145" s="412"/>
      <c r="AJ145" s="208"/>
      <c r="AK145" s="411"/>
      <c r="AL145" s="2"/>
      <c r="AM145" s="3"/>
      <c r="AN145" s="3"/>
      <c r="AO145" s="409"/>
      <c r="AP145" s="165"/>
      <c r="AQ145" s="3"/>
      <c r="AR145" s="3"/>
      <c r="AS145" s="91"/>
    </row>
    <row r="146" spans="1:45" x14ac:dyDescent="0.25">
      <c r="A146" s="55"/>
      <c r="B146" s="406"/>
      <c r="D146" s="413"/>
      <c r="E146" s="412"/>
      <c r="F146" s="208"/>
      <c r="G146" s="411"/>
      <c r="H146" s="2"/>
      <c r="I146" s="3"/>
      <c r="J146" s="3"/>
      <c r="K146" s="409"/>
      <c r="L146" s="165"/>
      <c r="M146" s="3"/>
      <c r="N146" s="3"/>
      <c r="P146" s="55"/>
      <c r="Q146" s="406"/>
      <c r="S146" s="413"/>
      <c r="T146" s="412"/>
      <c r="U146" s="208"/>
      <c r="V146" s="411"/>
      <c r="W146" s="2"/>
      <c r="X146" s="3"/>
      <c r="Y146" s="3"/>
      <c r="Z146" s="409"/>
      <c r="AA146" s="165"/>
      <c r="AB146" s="3"/>
      <c r="AC146" s="3"/>
      <c r="AE146" s="411"/>
      <c r="AF146" s="406"/>
      <c r="AH146" s="413"/>
      <c r="AI146" s="412"/>
      <c r="AJ146" s="208"/>
      <c r="AK146" s="411"/>
      <c r="AL146" s="2"/>
      <c r="AM146" s="3"/>
      <c r="AN146" s="3"/>
      <c r="AO146" s="409"/>
      <c r="AP146" s="165"/>
      <c r="AQ146" s="3"/>
      <c r="AR146" s="3"/>
      <c r="AS146" s="91"/>
    </row>
    <row r="147" spans="1:45" x14ac:dyDescent="0.25">
      <c r="A147" s="55"/>
      <c r="B147" s="406"/>
      <c r="D147" s="413"/>
      <c r="E147" s="412"/>
      <c r="F147" s="208"/>
      <c r="G147" s="411"/>
      <c r="H147" s="2"/>
      <c r="I147" s="3"/>
      <c r="J147" s="3"/>
      <c r="K147" s="409"/>
      <c r="L147" s="165"/>
      <c r="M147" s="3"/>
      <c r="N147" s="3"/>
      <c r="P147" s="55"/>
      <c r="Q147" s="406"/>
      <c r="S147" s="413"/>
      <c r="T147" s="412"/>
      <c r="U147" s="208"/>
      <c r="V147" s="411"/>
      <c r="W147" s="2"/>
      <c r="X147" s="3"/>
      <c r="Y147" s="3"/>
      <c r="Z147" s="409"/>
      <c r="AA147" s="165"/>
      <c r="AB147" s="3"/>
      <c r="AC147" s="3"/>
      <c r="AE147" s="411"/>
      <c r="AF147" s="406"/>
      <c r="AH147" s="413"/>
      <c r="AI147" s="412"/>
      <c r="AJ147" s="208"/>
      <c r="AK147" s="411"/>
      <c r="AL147" s="2"/>
      <c r="AM147" s="3"/>
      <c r="AN147" s="3"/>
      <c r="AO147" s="409"/>
      <c r="AP147" s="165"/>
      <c r="AQ147" s="3"/>
      <c r="AR147" s="3"/>
      <c r="AS147" s="91"/>
    </row>
    <row r="148" spans="1:45" x14ac:dyDescent="0.25">
      <c r="A148" s="55"/>
      <c r="B148" s="406"/>
      <c r="D148" s="413"/>
      <c r="E148" s="412"/>
      <c r="F148" s="208"/>
      <c r="G148" s="411"/>
      <c r="H148" s="2"/>
      <c r="I148" s="3"/>
      <c r="J148" s="3"/>
      <c r="K148" s="409"/>
      <c r="L148" s="165"/>
      <c r="M148" s="3"/>
      <c r="N148" s="3"/>
      <c r="P148" s="55"/>
      <c r="Q148" s="406"/>
      <c r="S148" s="413"/>
      <c r="T148" s="412"/>
      <c r="U148" s="208"/>
      <c r="V148" s="411"/>
      <c r="W148" s="2"/>
      <c r="X148" s="3"/>
      <c r="Y148" s="3"/>
      <c r="Z148" s="409"/>
      <c r="AA148" s="165"/>
      <c r="AB148" s="3"/>
      <c r="AC148" s="3"/>
      <c r="AE148" s="411"/>
      <c r="AF148" s="406"/>
      <c r="AH148" s="413"/>
      <c r="AI148" s="412"/>
      <c r="AJ148" s="208"/>
      <c r="AK148" s="411"/>
      <c r="AL148" s="2"/>
      <c r="AM148" s="3"/>
      <c r="AN148" s="3"/>
      <c r="AO148" s="409"/>
      <c r="AP148" s="165"/>
      <c r="AQ148" s="3"/>
      <c r="AR148" s="3"/>
      <c r="AS148" s="91"/>
    </row>
    <row r="149" spans="1:45" x14ac:dyDescent="0.25">
      <c r="A149" s="55"/>
      <c r="B149" s="406"/>
      <c r="D149" s="413"/>
      <c r="E149" s="412"/>
      <c r="F149" s="208"/>
      <c r="G149" s="411"/>
      <c r="H149" s="2"/>
      <c r="I149" s="3"/>
      <c r="J149" s="3"/>
      <c r="K149" s="409"/>
      <c r="L149" s="165"/>
      <c r="M149" s="3"/>
      <c r="N149" s="3"/>
      <c r="P149" s="55"/>
      <c r="Q149" s="406"/>
      <c r="S149" s="413"/>
      <c r="T149" s="412"/>
      <c r="U149" s="208"/>
      <c r="V149" s="411"/>
      <c r="W149" s="2"/>
      <c r="X149" s="3"/>
      <c r="Y149" s="3"/>
      <c r="Z149" s="409"/>
      <c r="AA149" s="165"/>
      <c r="AB149" s="3"/>
      <c r="AC149" s="3"/>
      <c r="AE149" s="411"/>
      <c r="AF149" s="406"/>
      <c r="AH149" s="413"/>
      <c r="AI149" s="412"/>
      <c r="AJ149" s="208"/>
      <c r="AK149" s="411"/>
      <c r="AL149" s="2"/>
      <c r="AM149" s="3"/>
      <c r="AN149" s="3"/>
      <c r="AO149" s="409"/>
      <c r="AP149" s="165"/>
      <c r="AQ149" s="3"/>
      <c r="AR149" s="3"/>
      <c r="AS149" s="91"/>
    </row>
    <row r="150" spans="1:45" x14ac:dyDescent="0.25">
      <c r="A150" s="55"/>
      <c r="B150" s="406"/>
      <c r="D150" s="413"/>
      <c r="E150" s="412"/>
      <c r="F150" s="208"/>
      <c r="G150" s="411"/>
      <c r="H150" s="2"/>
      <c r="I150" s="3"/>
      <c r="J150" s="3"/>
      <c r="K150" s="409"/>
      <c r="L150" s="165"/>
      <c r="M150" s="3"/>
      <c r="N150" s="3"/>
      <c r="P150" s="55"/>
      <c r="Q150" s="406"/>
      <c r="S150" s="413"/>
      <c r="T150" s="412"/>
      <c r="U150" s="208"/>
      <c r="V150" s="411"/>
      <c r="W150" s="2"/>
      <c r="X150" s="3"/>
      <c r="Y150" s="3"/>
      <c r="Z150" s="409"/>
      <c r="AA150" s="165"/>
      <c r="AB150" s="3"/>
      <c r="AC150" s="3"/>
      <c r="AE150" s="411"/>
      <c r="AF150" s="406"/>
      <c r="AH150" s="413"/>
      <c r="AI150" s="412"/>
      <c r="AJ150" s="208"/>
      <c r="AK150" s="411"/>
      <c r="AL150" s="2"/>
      <c r="AM150" s="3"/>
      <c r="AN150" s="3"/>
      <c r="AO150" s="409"/>
      <c r="AP150" s="165"/>
      <c r="AQ150" s="3"/>
      <c r="AR150" s="3"/>
      <c r="AS150" s="91"/>
    </row>
    <row r="151" spans="1:45" x14ac:dyDescent="0.25">
      <c r="A151" s="55"/>
      <c r="B151" s="406"/>
      <c r="D151" s="413"/>
      <c r="E151" s="412"/>
      <c r="F151" s="208"/>
      <c r="G151" s="411"/>
      <c r="H151" s="2"/>
      <c r="I151" s="3"/>
      <c r="J151" s="3"/>
      <c r="K151" s="409"/>
      <c r="L151" s="165"/>
      <c r="M151" s="3"/>
      <c r="N151" s="3"/>
      <c r="P151" s="55"/>
      <c r="Q151" s="406"/>
      <c r="S151" s="413"/>
      <c r="T151" s="412"/>
      <c r="U151" s="208"/>
      <c r="V151" s="411"/>
      <c r="W151" s="2"/>
      <c r="X151" s="3"/>
      <c r="Y151" s="3"/>
      <c r="Z151" s="409"/>
      <c r="AA151" s="165"/>
      <c r="AB151" s="3"/>
      <c r="AC151" s="3"/>
      <c r="AE151" s="411"/>
      <c r="AF151" s="406"/>
      <c r="AH151" s="413"/>
      <c r="AI151" s="412"/>
      <c r="AJ151" s="208"/>
      <c r="AK151" s="411"/>
      <c r="AL151" s="2"/>
      <c r="AM151" s="3"/>
      <c r="AN151" s="3"/>
      <c r="AO151" s="409"/>
      <c r="AP151" s="165"/>
      <c r="AQ151" s="3"/>
      <c r="AR151" s="3"/>
      <c r="AS151" s="91"/>
    </row>
    <row r="152" spans="1:45" x14ac:dyDescent="0.25">
      <c r="A152" s="55"/>
      <c r="B152" s="406"/>
      <c r="D152" s="413"/>
      <c r="E152" s="412"/>
      <c r="F152" s="208"/>
      <c r="G152" s="411"/>
      <c r="H152" s="2"/>
      <c r="I152" s="3"/>
      <c r="J152" s="3"/>
      <c r="K152" s="409"/>
      <c r="L152" s="165"/>
      <c r="M152" s="3"/>
      <c r="N152" s="3"/>
      <c r="P152" s="55"/>
      <c r="Q152" s="406"/>
      <c r="S152" s="413"/>
      <c r="T152" s="412"/>
      <c r="U152" s="208"/>
      <c r="V152" s="411"/>
      <c r="W152" s="2"/>
      <c r="X152" s="3"/>
      <c r="Y152" s="3"/>
      <c r="Z152" s="409"/>
      <c r="AA152" s="165"/>
      <c r="AB152" s="3"/>
      <c r="AC152" s="3"/>
      <c r="AE152" s="411"/>
      <c r="AF152" s="406"/>
      <c r="AH152" s="413"/>
      <c r="AI152" s="412"/>
      <c r="AJ152" s="208"/>
      <c r="AK152" s="411"/>
      <c r="AL152" s="2"/>
      <c r="AM152" s="3"/>
      <c r="AN152" s="3"/>
      <c r="AO152" s="409"/>
      <c r="AP152" s="165"/>
      <c r="AQ152" s="3"/>
      <c r="AR152" s="3"/>
      <c r="AS152" s="91"/>
    </row>
    <row r="153" spans="1:45" x14ac:dyDescent="0.25">
      <c r="A153" s="55"/>
      <c r="B153" s="406"/>
      <c r="D153" s="413"/>
      <c r="E153" s="412"/>
      <c r="F153" s="208"/>
      <c r="G153" s="411"/>
      <c r="H153" s="2"/>
      <c r="I153" s="3"/>
      <c r="J153" s="3"/>
      <c r="K153" s="409"/>
      <c r="L153" s="165"/>
      <c r="M153" s="3"/>
      <c r="N153" s="3"/>
      <c r="P153" s="55"/>
      <c r="Q153" s="406"/>
      <c r="S153" s="413"/>
      <c r="T153" s="412"/>
      <c r="U153" s="208"/>
      <c r="V153" s="411"/>
      <c r="W153" s="2"/>
      <c r="X153" s="3"/>
      <c r="Y153" s="3"/>
      <c r="Z153" s="409"/>
      <c r="AA153" s="165"/>
      <c r="AB153" s="3"/>
      <c r="AC153" s="3"/>
      <c r="AE153" s="411"/>
      <c r="AF153" s="406"/>
      <c r="AH153" s="413"/>
      <c r="AI153" s="412"/>
      <c r="AJ153" s="208"/>
      <c r="AK153" s="411"/>
      <c r="AL153" s="2"/>
      <c r="AM153" s="3"/>
      <c r="AN153" s="3"/>
      <c r="AO153" s="409"/>
      <c r="AP153" s="165"/>
      <c r="AQ153" s="3"/>
      <c r="AR153" s="3"/>
      <c r="AS153" s="91"/>
    </row>
    <row r="154" spans="1:45" x14ac:dyDescent="0.25">
      <c r="A154" s="55"/>
      <c r="B154" s="406"/>
      <c r="D154" s="413"/>
      <c r="E154" s="412"/>
      <c r="F154" s="208"/>
      <c r="G154" s="411"/>
      <c r="H154" s="2"/>
      <c r="I154" s="3"/>
      <c r="J154" s="3"/>
      <c r="K154" s="409"/>
      <c r="L154" s="165"/>
      <c r="M154" s="3"/>
      <c r="N154" s="3"/>
      <c r="P154" s="55"/>
      <c r="Q154" s="406"/>
      <c r="S154" s="413"/>
      <c r="T154" s="412"/>
      <c r="U154" s="208"/>
      <c r="V154" s="411"/>
      <c r="W154" s="2"/>
      <c r="X154" s="3"/>
      <c r="Y154" s="3"/>
      <c r="Z154" s="409"/>
      <c r="AA154" s="165"/>
      <c r="AB154" s="3"/>
      <c r="AC154" s="3"/>
      <c r="AE154" s="411"/>
      <c r="AF154" s="406"/>
      <c r="AH154" s="413"/>
      <c r="AI154" s="412"/>
      <c r="AJ154" s="208"/>
      <c r="AK154" s="411"/>
      <c r="AL154" s="2"/>
      <c r="AM154" s="3"/>
      <c r="AN154" s="3"/>
      <c r="AO154" s="409"/>
      <c r="AP154" s="165"/>
      <c r="AQ154" s="3"/>
      <c r="AR154" s="3"/>
      <c r="AS154" s="91"/>
    </row>
    <row r="155" spans="1:45" x14ac:dyDescent="0.25">
      <c r="A155" s="55"/>
      <c r="B155" s="406"/>
      <c r="D155" s="413"/>
      <c r="E155" s="412"/>
      <c r="F155" s="208"/>
      <c r="G155" s="411"/>
      <c r="H155" s="2"/>
      <c r="I155" s="3"/>
      <c r="J155" s="3"/>
      <c r="K155" s="409"/>
      <c r="L155" s="165"/>
      <c r="M155" s="3"/>
      <c r="N155" s="3"/>
      <c r="P155" s="55"/>
      <c r="Q155" s="406"/>
      <c r="S155" s="413"/>
      <c r="T155" s="412"/>
      <c r="U155" s="208"/>
      <c r="V155" s="411"/>
      <c r="W155" s="2"/>
      <c r="X155" s="3"/>
      <c r="Y155" s="3"/>
      <c r="Z155" s="409"/>
      <c r="AA155" s="165"/>
      <c r="AB155" s="3"/>
      <c r="AC155" s="3"/>
      <c r="AE155" s="411"/>
      <c r="AF155" s="406"/>
      <c r="AH155" s="413"/>
      <c r="AI155" s="412"/>
      <c r="AJ155" s="208"/>
      <c r="AK155" s="411"/>
      <c r="AL155" s="2"/>
      <c r="AM155" s="3"/>
      <c r="AN155" s="3"/>
      <c r="AO155" s="409"/>
      <c r="AP155" s="165"/>
      <c r="AQ155" s="3"/>
      <c r="AR155" s="3"/>
      <c r="AS155" s="91"/>
    </row>
    <row r="156" spans="1:45" x14ac:dyDescent="0.25">
      <c r="A156" s="55"/>
      <c r="B156" s="406"/>
      <c r="D156" s="413"/>
      <c r="E156" s="412"/>
      <c r="F156" s="208"/>
      <c r="G156" s="411"/>
      <c r="H156" s="2"/>
      <c r="I156" s="3"/>
      <c r="J156" s="3"/>
      <c r="K156" s="409"/>
      <c r="L156" s="165"/>
      <c r="M156" s="3"/>
      <c r="N156" s="3"/>
      <c r="P156" s="55"/>
      <c r="Q156" s="406"/>
      <c r="S156" s="413"/>
      <c r="T156" s="412"/>
      <c r="U156" s="208"/>
      <c r="V156" s="411"/>
      <c r="W156" s="2"/>
      <c r="X156" s="3"/>
      <c r="Y156" s="3"/>
      <c r="Z156" s="409"/>
      <c r="AA156" s="165"/>
      <c r="AB156" s="3"/>
      <c r="AC156" s="3"/>
      <c r="AE156" s="411"/>
      <c r="AF156" s="406"/>
      <c r="AH156" s="413"/>
      <c r="AI156" s="412"/>
      <c r="AJ156" s="208"/>
      <c r="AK156" s="411"/>
      <c r="AL156" s="2"/>
      <c r="AM156" s="3"/>
      <c r="AN156" s="3"/>
      <c r="AO156" s="409"/>
      <c r="AP156" s="165"/>
      <c r="AQ156" s="3"/>
      <c r="AR156" s="3"/>
      <c r="AS156" s="91"/>
    </row>
    <row r="157" spans="1:45" x14ac:dyDescent="0.25">
      <c r="A157" s="55"/>
      <c r="B157" s="406"/>
      <c r="D157" s="413"/>
      <c r="E157" s="412"/>
      <c r="F157" s="208"/>
      <c r="G157" s="411"/>
      <c r="H157" s="2"/>
      <c r="I157" s="3"/>
      <c r="J157" s="3"/>
      <c r="K157" s="409"/>
      <c r="L157" s="165"/>
      <c r="M157" s="3"/>
      <c r="N157" s="3"/>
      <c r="P157" s="55"/>
      <c r="Q157" s="406"/>
      <c r="S157" s="413"/>
      <c r="T157" s="412"/>
      <c r="U157" s="208"/>
      <c r="V157" s="411"/>
      <c r="W157" s="2"/>
      <c r="X157" s="3"/>
      <c r="Y157" s="3"/>
      <c r="Z157" s="409"/>
      <c r="AA157" s="165"/>
      <c r="AB157" s="3"/>
      <c r="AC157" s="3"/>
      <c r="AE157" s="411"/>
      <c r="AF157" s="406"/>
      <c r="AH157" s="413"/>
      <c r="AI157" s="412"/>
      <c r="AJ157" s="208"/>
      <c r="AK157" s="411"/>
      <c r="AL157" s="2"/>
      <c r="AM157" s="3"/>
      <c r="AN157" s="3"/>
      <c r="AO157" s="409"/>
      <c r="AP157" s="165"/>
      <c r="AQ157" s="3"/>
      <c r="AR157" s="3"/>
      <c r="AS157" s="91"/>
    </row>
    <row r="158" spans="1:45" x14ac:dyDescent="0.25">
      <c r="A158" s="55"/>
      <c r="B158" s="406"/>
      <c r="D158" s="413"/>
      <c r="E158" s="412"/>
      <c r="F158" s="208"/>
      <c r="G158" s="411"/>
      <c r="H158" s="2"/>
      <c r="I158" s="3"/>
      <c r="J158" s="3"/>
      <c r="K158" s="409"/>
      <c r="L158" s="165"/>
      <c r="M158" s="3"/>
      <c r="N158" s="3"/>
      <c r="P158" s="55"/>
      <c r="Q158" s="406"/>
      <c r="S158" s="413"/>
      <c r="T158" s="412"/>
      <c r="U158" s="208"/>
      <c r="V158" s="411"/>
      <c r="W158" s="2"/>
      <c r="X158" s="3"/>
      <c r="Y158" s="3"/>
      <c r="Z158" s="409"/>
      <c r="AA158" s="165"/>
      <c r="AB158" s="3"/>
      <c r="AC158" s="3"/>
      <c r="AE158" s="411"/>
      <c r="AF158" s="406"/>
      <c r="AH158" s="413"/>
      <c r="AI158" s="412"/>
      <c r="AJ158" s="208"/>
      <c r="AK158" s="411"/>
      <c r="AL158" s="2"/>
      <c r="AM158" s="3"/>
      <c r="AN158" s="3"/>
      <c r="AO158" s="409"/>
      <c r="AP158" s="165"/>
      <c r="AQ158" s="3"/>
      <c r="AR158" s="3"/>
      <c r="AS158" s="91"/>
    </row>
    <row r="159" spans="1:45" x14ac:dyDescent="0.25">
      <c r="A159" s="55"/>
      <c r="B159" s="406"/>
      <c r="D159" s="413"/>
      <c r="E159" s="412"/>
      <c r="F159" s="208"/>
      <c r="G159" s="411"/>
      <c r="H159" s="2"/>
      <c r="I159" s="3"/>
      <c r="J159" s="3"/>
      <c r="K159" s="409"/>
      <c r="L159" s="165"/>
      <c r="M159" s="3"/>
      <c r="N159" s="3"/>
      <c r="P159" s="55"/>
      <c r="Q159" s="406"/>
      <c r="S159" s="413"/>
      <c r="T159" s="412"/>
      <c r="U159" s="208"/>
      <c r="V159" s="411"/>
      <c r="W159" s="2"/>
      <c r="X159" s="3"/>
      <c r="Y159" s="3"/>
      <c r="Z159" s="409"/>
      <c r="AA159" s="165"/>
      <c r="AB159" s="3"/>
      <c r="AC159" s="3"/>
      <c r="AE159" s="411"/>
      <c r="AF159" s="406"/>
      <c r="AH159" s="413"/>
      <c r="AI159" s="412"/>
      <c r="AJ159" s="208"/>
      <c r="AK159" s="411"/>
      <c r="AL159" s="2"/>
      <c r="AM159" s="3"/>
      <c r="AN159" s="3"/>
      <c r="AO159" s="409"/>
      <c r="AP159" s="165"/>
      <c r="AQ159" s="3"/>
      <c r="AR159" s="3"/>
      <c r="AS159" s="91"/>
    </row>
    <row r="160" spans="1:45" x14ac:dyDescent="0.25">
      <c r="A160" s="55"/>
      <c r="B160" s="406"/>
      <c r="D160" s="413"/>
      <c r="E160" s="412"/>
      <c r="F160" s="208"/>
      <c r="G160" s="411"/>
      <c r="H160" s="2"/>
      <c r="I160" s="3"/>
      <c r="J160" s="3"/>
      <c r="K160" s="409"/>
      <c r="L160" s="165"/>
      <c r="M160" s="3"/>
      <c r="N160" s="3"/>
      <c r="P160" s="55"/>
      <c r="Q160" s="406"/>
      <c r="S160" s="413"/>
      <c r="T160" s="412"/>
      <c r="U160" s="208"/>
      <c r="V160" s="411"/>
      <c r="W160" s="2"/>
      <c r="X160" s="3"/>
      <c r="Y160" s="3"/>
      <c r="Z160" s="409"/>
      <c r="AA160" s="165"/>
      <c r="AB160" s="3"/>
      <c r="AC160" s="3"/>
      <c r="AE160" s="411"/>
      <c r="AF160" s="406"/>
      <c r="AH160" s="413"/>
      <c r="AI160" s="412"/>
      <c r="AJ160" s="208"/>
      <c r="AK160" s="411"/>
      <c r="AL160" s="2"/>
      <c r="AM160" s="3"/>
      <c r="AN160" s="3"/>
      <c r="AO160" s="409"/>
      <c r="AP160" s="165"/>
      <c r="AQ160" s="3"/>
      <c r="AR160" s="3"/>
      <c r="AS160" s="91"/>
    </row>
    <row r="161" spans="1:45" ht="13.8" thickBot="1" x14ac:dyDescent="0.3">
      <c r="A161" s="66"/>
      <c r="B161" s="167"/>
      <c r="C161" s="447"/>
      <c r="D161" s="168"/>
      <c r="E161" s="201"/>
      <c r="F161" s="209"/>
      <c r="G161" s="174"/>
      <c r="H161" s="169"/>
      <c r="I161" s="170"/>
      <c r="J161" s="170"/>
      <c r="K161" s="171"/>
      <c r="L161" s="172"/>
      <c r="M161" s="170"/>
      <c r="N161" s="170"/>
      <c r="O161" s="249"/>
      <c r="P161" s="66"/>
      <c r="Q161" s="167"/>
      <c r="R161" s="447"/>
      <c r="S161" s="168"/>
      <c r="T161" s="201"/>
      <c r="U161" s="209"/>
      <c r="V161" s="174"/>
      <c r="W161" s="169"/>
      <c r="X161" s="170"/>
      <c r="Y161" s="170"/>
      <c r="Z161" s="171"/>
      <c r="AA161" s="172"/>
      <c r="AB161" s="170"/>
      <c r="AC161" s="170"/>
      <c r="AD161" s="250"/>
      <c r="AE161" s="174"/>
      <c r="AF161" s="167"/>
      <c r="AG161" s="447"/>
      <c r="AH161" s="168"/>
      <c r="AI161" s="201"/>
      <c r="AJ161" s="209"/>
      <c r="AK161" s="174"/>
      <c r="AL161" s="169"/>
      <c r="AM161" s="170"/>
      <c r="AN161" s="170"/>
      <c r="AO161" s="171"/>
      <c r="AP161" s="172"/>
      <c r="AQ161" s="170"/>
      <c r="AR161" s="170"/>
      <c r="AS161" s="250"/>
    </row>
    <row r="162" spans="1:45" x14ac:dyDescent="0.25">
      <c r="A162" s="69"/>
      <c r="B162" s="69"/>
      <c r="C162" s="438"/>
      <c r="D162" s="175"/>
      <c r="E162" s="203"/>
      <c r="F162" s="210"/>
      <c r="G162" s="182"/>
      <c r="H162" s="176"/>
      <c r="I162" s="180"/>
      <c r="J162" s="180"/>
      <c r="K162" s="205"/>
      <c r="L162" s="179"/>
      <c r="M162" s="180"/>
      <c r="N162" s="180"/>
      <c r="O162" s="419"/>
      <c r="P162" s="181"/>
      <c r="Q162" s="69"/>
      <c r="R162" s="438"/>
      <c r="S162" s="175"/>
      <c r="T162" s="203"/>
      <c r="U162" s="210"/>
      <c r="V162" s="182"/>
      <c r="W162" s="176"/>
      <c r="X162" s="180"/>
      <c r="Y162" s="180"/>
      <c r="Z162" s="205"/>
      <c r="AA162" s="179"/>
      <c r="AB162" s="180"/>
      <c r="AC162" s="180"/>
      <c r="AD162" s="420"/>
      <c r="AE162" s="182"/>
      <c r="AF162" s="69"/>
      <c r="AG162" s="438"/>
      <c r="AH162" s="175"/>
      <c r="AI162" s="203"/>
      <c r="AJ162" s="210"/>
      <c r="AK162" s="182"/>
      <c r="AL162" s="176"/>
      <c r="AM162" s="180"/>
      <c r="AN162" s="180"/>
      <c r="AO162" s="205"/>
      <c r="AP162" s="179"/>
      <c r="AQ162" s="180"/>
      <c r="AR162" s="180"/>
      <c r="AS162" s="421"/>
    </row>
    <row r="163" spans="1:45" x14ac:dyDescent="0.25">
      <c r="A163" s="1"/>
      <c r="B163" s="1"/>
      <c r="D163" s="17"/>
      <c r="E163" s="199"/>
      <c r="F163" s="208"/>
      <c r="G163" s="58"/>
      <c r="H163" s="2"/>
      <c r="I163" s="3"/>
      <c r="J163" s="3"/>
      <c r="K163" s="53"/>
      <c r="L163" s="165"/>
      <c r="M163" s="3"/>
      <c r="N163" s="3"/>
      <c r="P163" s="55"/>
      <c r="Q163" s="1"/>
      <c r="S163" s="17"/>
      <c r="T163" s="199"/>
      <c r="U163" s="208"/>
      <c r="V163" s="58"/>
      <c r="W163" s="2"/>
      <c r="X163" s="3"/>
      <c r="Y163" s="3"/>
      <c r="Z163" s="53"/>
      <c r="AA163" s="165"/>
      <c r="AB163" s="3"/>
      <c r="AC163" s="3"/>
      <c r="AE163" s="58"/>
      <c r="AF163" s="1"/>
      <c r="AH163" s="17"/>
      <c r="AI163" s="199"/>
      <c r="AJ163" s="208"/>
      <c r="AK163" s="58"/>
      <c r="AL163" s="2"/>
      <c r="AM163" s="3"/>
      <c r="AN163" s="3"/>
      <c r="AO163" s="53"/>
      <c r="AP163" s="165"/>
      <c r="AQ163" s="3"/>
      <c r="AR163" s="3"/>
    </row>
    <row r="164" spans="1:45" x14ac:dyDescent="0.25">
      <c r="A164" s="1"/>
      <c r="B164" s="1"/>
      <c r="D164" s="17"/>
      <c r="E164" s="199"/>
      <c r="F164" s="208"/>
      <c r="G164" s="58"/>
      <c r="H164" s="2"/>
      <c r="I164" s="3"/>
      <c r="J164" s="3"/>
      <c r="K164" s="53"/>
      <c r="L164" s="165"/>
      <c r="M164" s="3"/>
      <c r="N164" s="3"/>
      <c r="P164" s="55"/>
      <c r="Q164" s="1"/>
      <c r="S164" s="17"/>
      <c r="T164" s="199"/>
      <c r="U164" s="208"/>
      <c r="V164" s="58"/>
      <c r="W164" s="2"/>
      <c r="X164" s="3"/>
      <c r="Y164" s="3"/>
      <c r="Z164" s="53"/>
      <c r="AA164" s="165"/>
      <c r="AB164" s="3"/>
      <c r="AC164" s="3"/>
      <c r="AE164" s="58"/>
      <c r="AF164" s="1"/>
      <c r="AH164" s="17"/>
      <c r="AI164" s="199"/>
      <c r="AJ164" s="208"/>
      <c r="AK164" s="58"/>
      <c r="AL164" s="2"/>
      <c r="AM164" s="3"/>
      <c r="AN164" s="3"/>
      <c r="AO164" s="53"/>
      <c r="AP164" s="165"/>
      <c r="AQ164" s="3"/>
      <c r="AR164" s="3"/>
    </row>
    <row r="165" spans="1:45" x14ac:dyDescent="0.25">
      <c r="A165" s="1"/>
      <c r="B165" s="1"/>
      <c r="D165" s="17"/>
      <c r="E165" s="199"/>
      <c r="F165" s="208"/>
      <c r="G165" s="58"/>
      <c r="H165" s="2"/>
      <c r="I165" s="3"/>
      <c r="J165" s="3"/>
      <c r="K165" s="53"/>
      <c r="L165" s="165"/>
      <c r="M165" s="3"/>
      <c r="N165" s="3"/>
      <c r="P165" s="55"/>
      <c r="Q165" s="1"/>
      <c r="S165" s="17"/>
      <c r="T165" s="199"/>
      <c r="U165" s="208"/>
      <c r="V165" s="58"/>
      <c r="W165" s="2"/>
      <c r="X165" s="3"/>
      <c r="Y165" s="3"/>
      <c r="Z165" s="53"/>
      <c r="AA165" s="165"/>
      <c r="AB165" s="3"/>
      <c r="AC165" s="3"/>
      <c r="AE165" s="58"/>
      <c r="AF165" s="1"/>
      <c r="AH165" s="17"/>
      <c r="AI165" s="199"/>
      <c r="AJ165" s="208"/>
      <c r="AK165" s="58"/>
      <c r="AL165" s="2"/>
      <c r="AM165" s="3"/>
      <c r="AN165" s="3"/>
      <c r="AO165" s="53"/>
      <c r="AP165" s="165"/>
      <c r="AQ165" s="3"/>
      <c r="AR165" s="3"/>
    </row>
    <row r="166" spans="1:45" x14ac:dyDescent="0.25">
      <c r="A166" s="1"/>
      <c r="B166" s="1"/>
      <c r="D166" s="17"/>
      <c r="E166" s="199"/>
      <c r="F166" s="208"/>
      <c r="G166" s="58"/>
      <c r="H166" s="2"/>
      <c r="I166" s="3"/>
      <c r="J166" s="3"/>
      <c r="K166" s="53"/>
      <c r="L166" s="165"/>
      <c r="M166" s="3"/>
      <c r="N166" s="3"/>
      <c r="P166" s="55"/>
      <c r="Q166" s="1"/>
      <c r="S166" s="17"/>
      <c r="T166" s="199"/>
      <c r="U166" s="208"/>
      <c r="V166" s="58"/>
      <c r="W166" s="2"/>
      <c r="X166" s="3"/>
      <c r="Y166" s="3"/>
      <c r="Z166" s="53"/>
      <c r="AA166" s="165"/>
      <c r="AB166" s="3"/>
      <c r="AC166" s="3"/>
      <c r="AE166" s="58"/>
      <c r="AF166" s="1"/>
      <c r="AH166" s="17"/>
      <c r="AI166" s="199"/>
      <c r="AJ166" s="208"/>
      <c r="AK166" s="58"/>
      <c r="AL166" s="2"/>
      <c r="AM166" s="3"/>
      <c r="AN166" s="3"/>
      <c r="AO166" s="53"/>
      <c r="AP166" s="165"/>
      <c r="AQ166" s="3"/>
      <c r="AR166" s="3"/>
    </row>
    <row r="167" spans="1:45" x14ac:dyDescent="0.25">
      <c r="A167" s="1"/>
      <c r="B167" s="1"/>
      <c r="D167" s="17"/>
      <c r="E167" s="199"/>
      <c r="F167" s="208"/>
      <c r="G167" s="58"/>
      <c r="H167" s="2"/>
      <c r="I167" s="3"/>
      <c r="J167" s="3"/>
      <c r="K167" s="53"/>
      <c r="L167" s="165"/>
      <c r="M167" s="3"/>
      <c r="N167" s="3"/>
      <c r="P167" s="55"/>
      <c r="Q167" s="1"/>
      <c r="S167" s="17"/>
      <c r="T167" s="199"/>
      <c r="U167" s="208"/>
      <c r="V167" s="58"/>
      <c r="W167" s="2"/>
      <c r="X167" s="3"/>
      <c r="Y167" s="3"/>
      <c r="Z167" s="53"/>
      <c r="AA167" s="165"/>
      <c r="AB167" s="3"/>
      <c r="AC167" s="3"/>
      <c r="AE167" s="58"/>
      <c r="AF167" s="1"/>
      <c r="AH167" s="17"/>
      <c r="AI167" s="199"/>
      <c r="AJ167" s="208"/>
      <c r="AK167" s="58"/>
      <c r="AL167" s="2"/>
      <c r="AM167" s="3"/>
      <c r="AN167" s="3"/>
      <c r="AO167" s="53"/>
      <c r="AP167" s="165"/>
      <c r="AQ167" s="3"/>
      <c r="AR167" s="3"/>
    </row>
    <row r="168" spans="1:45" x14ac:dyDescent="0.25">
      <c r="A168" s="1"/>
      <c r="B168" s="1"/>
      <c r="D168" s="17"/>
      <c r="E168" s="199"/>
      <c r="F168" s="208"/>
      <c r="G168" s="58"/>
      <c r="H168" s="2"/>
      <c r="I168" s="3"/>
      <c r="J168" s="3"/>
      <c r="K168" s="53"/>
      <c r="L168" s="165"/>
      <c r="M168" s="3"/>
      <c r="N168" s="3"/>
      <c r="P168" s="55"/>
      <c r="Q168" s="1"/>
      <c r="S168" s="17"/>
      <c r="T168" s="199"/>
      <c r="U168" s="208"/>
      <c r="V168" s="58"/>
      <c r="W168" s="2"/>
      <c r="X168" s="3"/>
      <c r="Y168" s="3"/>
      <c r="Z168" s="53"/>
      <c r="AA168" s="165"/>
      <c r="AB168" s="3"/>
      <c r="AC168" s="3"/>
      <c r="AE168" s="58"/>
      <c r="AF168" s="1"/>
      <c r="AH168" s="17"/>
      <c r="AI168" s="199"/>
      <c r="AJ168" s="208"/>
      <c r="AK168" s="58"/>
      <c r="AL168" s="2"/>
      <c r="AM168" s="3"/>
      <c r="AN168" s="3"/>
      <c r="AO168" s="53"/>
      <c r="AP168" s="165"/>
      <c r="AQ168" s="3"/>
      <c r="AR168" s="3"/>
    </row>
    <row r="169" spans="1:45" x14ac:dyDescent="0.25">
      <c r="A169" s="1"/>
      <c r="B169" s="1"/>
      <c r="D169" s="17"/>
      <c r="E169" s="199"/>
      <c r="F169" s="208"/>
      <c r="G169" s="58"/>
      <c r="H169" s="2"/>
      <c r="I169" s="3"/>
      <c r="J169" s="3"/>
      <c r="K169" s="53"/>
      <c r="L169" s="165"/>
      <c r="M169" s="3"/>
      <c r="N169" s="3"/>
      <c r="P169" s="55"/>
      <c r="Q169" s="1"/>
      <c r="S169" s="17"/>
      <c r="T169" s="199"/>
      <c r="U169" s="208"/>
      <c r="V169" s="58"/>
      <c r="W169" s="2"/>
      <c r="X169" s="3"/>
      <c r="Y169" s="3"/>
      <c r="Z169" s="53"/>
      <c r="AA169" s="165"/>
      <c r="AB169" s="3"/>
      <c r="AC169" s="3"/>
      <c r="AE169" s="58"/>
      <c r="AF169" s="1"/>
      <c r="AH169" s="17"/>
      <c r="AI169" s="199"/>
      <c r="AJ169" s="208"/>
      <c r="AK169" s="58"/>
      <c r="AL169" s="2"/>
      <c r="AM169" s="3"/>
      <c r="AN169" s="3"/>
      <c r="AO169" s="53"/>
      <c r="AP169" s="165"/>
      <c r="AQ169" s="3"/>
      <c r="AR169" s="3"/>
    </row>
    <row r="170" spans="1:45" x14ac:dyDescent="0.25">
      <c r="A170" s="1"/>
      <c r="B170" s="1"/>
      <c r="D170" s="17"/>
      <c r="E170" s="199"/>
      <c r="F170" s="208"/>
      <c r="G170" s="58"/>
      <c r="H170" s="2"/>
      <c r="I170" s="3"/>
      <c r="J170" s="3"/>
      <c r="K170" s="53"/>
      <c r="L170" s="165"/>
      <c r="M170" s="3"/>
      <c r="N170" s="3"/>
      <c r="P170" s="55"/>
      <c r="Q170" s="1"/>
      <c r="S170" s="17"/>
      <c r="T170" s="199"/>
      <c r="U170" s="208"/>
      <c r="V170" s="58"/>
      <c r="W170" s="2"/>
      <c r="X170" s="3"/>
      <c r="Y170" s="3"/>
      <c r="Z170" s="53"/>
      <c r="AA170" s="165"/>
      <c r="AB170" s="3"/>
      <c r="AC170" s="3"/>
      <c r="AE170" s="58"/>
      <c r="AF170" s="1"/>
      <c r="AH170" s="17"/>
      <c r="AI170" s="199"/>
      <c r="AJ170" s="208"/>
      <c r="AK170" s="58"/>
      <c r="AL170" s="2"/>
      <c r="AM170" s="3"/>
      <c r="AN170" s="3"/>
      <c r="AO170" s="53"/>
      <c r="AP170" s="165"/>
      <c r="AQ170" s="3"/>
      <c r="AR170" s="3"/>
    </row>
    <row r="171" spans="1:45" x14ac:dyDescent="0.25">
      <c r="A171" s="1"/>
      <c r="B171" s="1"/>
      <c r="D171" s="17"/>
      <c r="E171" s="199"/>
      <c r="F171" s="208"/>
      <c r="G171" s="58"/>
      <c r="H171" s="2"/>
      <c r="I171" s="3"/>
      <c r="J171" s="3"/>
      <c r="K171" s="53"/>
      <c r="L171" s="165"/>
      <c r="M171" s="3"/>
      <c r="N171" s="3"/>
      <c r="P171" s="55"/>
      <c r="Q171" s="1"/>
      <c r="S171" s="17"/>
      <c r="T171" s="199"/>
      <c r="U171" s="208"/>
      <c r="V171" s="58"/>
      <c r="W171" s="2"/>
      <c r="X171" s="3"/>
      <c r="Y171" s="3"/>
      <c r="Z171" s="53"/>
      <c r="AA171" s="165"/>
      <c r="AB171" s="3"/>
      <c r="AC171" s="3"/>
      <c r="AE171" s="58"/>
      <c r="AF171" s="1"/>
      <c r="AH171" s="17"/>
      <c r="AI171" s="199"/>
      <c r="AJ171" s="208"/>
      <c r="AK171" s="58"/>
      <c r="AL171" s="2"/>
      <c r="AM171" s="3"/>
      <c r="AN171" s="3"/>
      <c r="AO171" s="53"/>
      <c r="AP171" s="165"/>
      <c r="AQ171" s="3"/>
      <c r="AR171" s="3"/>
    </row>
    <row r="172" spans="1:45" x14ac:dyDescent="0.25">
      <c r="A172" s="1"/>
      <c r="B172" s="1"/>
      <c r="D172" s="17"/>
      <c r="E172" s="199"/>
      <c r="F172" s="208"/>
      <c r="G172" s="58"/>
      <c r="H172" s="2"/>
      <c r="I172" s="3"/>
      <c r="J172" s="3"/>
      <c r="K172" s="53"/>
      <c r="L172" s="165"/>
      <c r="M172" s="3"/>
      <c r="N172" s="3"/>
      <c r="P172" s="55"/>
      <c r="Q172" s="1"/>
      <c r="S172" s="17"/>
      <c r="T172" s="199"/>
      <c r="U172" s="208"/>
      <c r="V172" s="58"/>
      <c r="W172" s="2"/>
      <c r="X172" s="3"/>
      <c r="Y172" s="3"/>
      <c r="Z172" s="53"/>
      <c r="AA172" s="165"/>
      <c r="AB172" s="3"/>
      <c r="AC172" s="3"/>
      <c r="AE172" s="58"/>
      <c r="AF172" s="1"/>
      <c r="AH172" s="17"/>
      <c r="AI172" s="199"/>
      <c r="AJ172" s="208"/>
      <c r="AK172" s="58"/>
      <c r="AL172" s="2"/>
      <c r="AM172" s="3"/>
      <c r="AN172" s="3"/>
      <c r="AO172" s="53"/>
      <c r="AP172" s="165"/>
      <c r="AQ172" s="3"/>
      <c r="AR172" s="3"/>
    </row>
    <row r="173" spans="1:45" x14ac:dyDescent="0.25">
      <c r="A173" s="1"/>
      <c r="B173" s="1"/>
      <c r="D173" s="17"/>
      <c r="E173" s="199"/>
      <c r="F173" s="208"/>
      <c r="G173" s="58"/>
      <c r="H173" s="2"/>
      <c r="I173" s="3"/>
      <c r="J173" s="3"/>
      <c r="K173" s="53"/>
      <c r="L173" s="165"/>
      <c r="M173" s="3"/>
      <c r="N173" s="3"/>
      <c r="P173" s="55"/>
      <c r="Q173" s="1"/>
      <c r="S173" s="17"/>
      <c r="T173" s="199"/>
      <c r="U173" s="208"/>
      <c r="V173" s="58"/>
      <c r="W173" s="2"/>
      <c r="X173" s="3"/>
      <c r="Y173" s="3"/>
      <c r="Z173" s="53"/>
      <c r="AA173" s="165"/>
      <c r="AB173" s="3"/>
      <c r="AC173" s="3"/>
      <c r="AE173" s="58"/>
      <c r="AF173" s="1"/>
      <c r="AH173" s="17"/>
      <c r="AI173" s="199"/>
      <c r="AJ173" s="208"/>
      <c r="AK173" s="58"/>
      <c r="AL173" s="2"/>
      <c r="AM173" s="3"/>
      <c r="AN173" s="3"/>
      <c r="AO173" s="53"/>
      <c r="AP173" s="165"/>
      <c r="AQ173" s="3"/>
      <c r="AR173" s="3"/>
    </row>
    <row r="174" spans="1:45" x14ac:dyDescent="0.25">
      <c r="A174" s="1"/>
      <c r="B174" s="1"/>
      <c r="D174" s="17"/>
      <c r="E174" s="199"/>
      <c r="F174" s="208"/>
      <c r="G174" s="58"/>
      <c r="H174" s="2"/>
      <c r="I174" s="3"/>
      <c r="J174" s="3"/>
      <c r="K174" s="53"/>
      <c r="L174" s="165"/>
      <c r="M174" s="3"/>
      <c r="N174" s="3"/>
      <c r="P174" s="55"/>
      <c r="Q174" s="1"/>
      <c r="S174" s="17"/>
      <c r="T174" s="199"/>
      <c r="U174" s="208"/>
      <c r="V174" s="58"/>
      <c r="W174" s="2"/>
      <c r="X174" s="3"/>
      <c r="Y174" s="3"/>
      <c r="Z174" s="53"/>
      <c r="AA174" s="165"/>
      <c r="AB174" s="3"/>
      <c r="AC174" s="3"/>
      <c r="AE174" s="58"/>
      <c r="AF174" s="1"/>
      <c r="AH174" s="17"/>
      <c r="AI174" s="199"/>
      <c r="AJ174" s="208"/>
      <c r="AK174" s="58"/>
      <c r="AL174" s="2"/>
      <c r="AM174" s="3"/>
      <c r="AN174" s="3"/>
      <c r="AO174" s="53"/>
      <c r="AP174" s="165"/>
      <c r="AQ174" s="3"/>
      <c r="AR174" s="3"/>
    </row>
    <row r="175" spans="1:45" x14ac:dyDescent="0.25">
      <c r="A175" s="1"/>
      <c r="B175" s="1"/>
      <c r="D175" s="17"/>
      <c r="E175" s="199"/>
      <c r="F175" s="208"/>
      <c r="G175" s="58"/>
      <c r="H175" s="2"/>
      <c r="I175" s="3"/>
      <c r="J175" s="3"/>
      <c r="K175" s="53"/>
      <c r="L175" s="165"/>
      <c r="M175" s="3"/>
      <c r="N175" s="3"/>
      <c r="P175" s="55"/>
      <c r="Q175" s="1"/>
      <c r="S175" s="17"/>
      <c r="T175" s="199"/>
      <c r="U175" s="208"/>
      <c r="V175" s="58"/>
      <c r="W175" s="2"/>
      <c r="X175" s="3"/>
      <c r="Y175" s="3"/>
      <c r="Z175" s="53"/>
      <c r="AA175" s="165"/>
      <c r="AB175" s="3"/>
      <c r="AC175" s="3"/>
      <c r="AE175" s="58"/>
      <c r="AF175" s="1"/>
      <c r="AH175" s="17"/>
      <c r="AI175" s="199"/>
      <c r="AJ175" s="208"/>
      <c r="AK175" s="58"/>
      <c r="AL175" s="2"/>
      <c r="AM175" s="3"/>
      <c r="AN175" s="3"/>
      <c r="AO175" s="53"/>
      <c r="AP175" s="165"/>
      <c r="AQ175" s="3"/>
      <c r="AR175" s="3"/>
    </row>
    <row r="176" spans="1:45" x14ac:dyDescent="0.25">
      <c r="A176" s="1"/>
      <c r="B176" s="1"/>
      <c r="D176" s="17"/>
      <c r="E176" s="199"/>
      <c r="F176" s="208"/>
      <c r="G176" s="58"/>
      <c r="H176" s="2"/>
      <c r="I176" s="3"/>
      <c r="J176" s="3"/>
      <c r="K176" s="53"/>
      <c r="L176" s="165"/>
      <c r="M176" s="3"/>
      <c r="N176" s="3"/>
      <c r="P176" s="55"/>
      <c r="Q176" s="1"/>
      <c r="S176" s="17"/>
      <c r="T176" s="199"/>
      <c r="U176" s="208"/>
      <c r="V176" s="58"/>
      <c r="W176" s="2"/>
      <c r="X176" s="3"/>
      <c r="Y176" s="3"/>
      <c r="Z176" s="53"/>
      <c r="AA176" s="165"/>
      <c r="AB176" s="3"/>
      <c r="AC176" s="3"/>
      <c r="AE176" s="58"/>
      <c r="AF176" s="1"/>
      <c r="AH176" s="17"/>
      <c r="AI176" s="199"/>
      <c r="AJ176" s="208"/>
      <c r="AK176" s="58"/>
      <c r="AL176" s="2"/>
      <c r="AM176" s="3"/>
      <c r="AN176" s="3"/>
      <c r="AO176" s="53"/>
      <c r="AP176" s="165"/>
      <c r="AQ176" s="3"/>
      <c r="AR176" s="3"/>
    </row>
    <row r="177" spans="1:45" x14ac:dyDescent="0.25">
      <c r="A177" s="1"/>
      <c r="B177" s="1"/>
      <c r="D177" s="17"/>
      <c r="E177" s="199"/>
      <c r="F177" s="208"/>
      <c r="G177" s="58"/>
      <c r="H177" s="2"/>
      <c r="I177" s="3"/>
      <c r="J177" s="3"/>
      <c r="K177" s="53"/>
      <c r="L177" s="165"/>
      <c r="M177" s="3"/>
      <c r="N177" s="3"/>
      <c r="P177" s="55"/>
      <c r="Q177" s="1"/>
      <c r="S177" s="17"/>
      <c r="T177" s="199"/>
      <c r="U177" s="208"/>
      <c r="V177" s="58"/>
      <c r="W177" s="2"/>
      <c r="X177" s="3"/>
      <c r="Y177" s="3"/>
      <c r="Z177" s="53"/>
      <c r="AA177" s="165"/>
      <c r="AB177" s="3"/>
      <c r="AC177" s="3"/>
      <c r="AE177" s="58"/>
      <c r="AF177" s="1"/>
      <c r="AH177" s="17"/>
      <c r="AI177" s="199"/>
      <c r="AJ177" s="208"/>
      <c r="AK177" s="58"/>
      <c r="AL177" s="2"/>
      <c r="AM177" s="3"/>
      <c r="AN177" s="3"/>
      <c r="AO177" s="53"/>
      <c r="AP177" s="165"/>
      <c r="AQ177" s="3"/>
      <c r="AR177" s="3"/>
    </row>
    <row r="178" spans="1:45" x14ac:dyDescent="0.25">
      <c r="A178" s="1"/>
      <c r="B178" s="1"/>
      <c r="D178" s="17"/>
      <c r="E178" s="199"/>
      <c r="F178" s="208"/>
      <c r="G178" s="58"/>
      <c r="H178" s="2"/>
      <c r="I178" s="3"/>
      <c r="J178" s="3"/>
      <c r="K178" s="53"/>
      <c r="L178" s="165"/>
      <c r="M178" s="3"/>
      <c r="N178" s="3"/>
      <c r="P178" s="55"/>
      <c r="Q178" s="1"/>
      <c r="S178" s="17"/>
      <c r="T178" s="199"/>
      <c r="U178" s="208"/>
      <c r="V178" s="58"/>
      <c r="W178" s="2"/>
      <c r="X178" s="3"/>
      <c r="Y178" s="3"/>
      <c r="Z178" s="53"/>
      <c r="AA178" s="165"/>
      <c r="AB178" s="3"/>
      <c r="AC178" s="3"/>
      <c r="AE178" s="58"/>
      <c r="AF178" s="1"/>
      <c r="AH178" s="17"/>
      <c r="AI178" s="199"/>
      <c r="AJ178" s="208"/>
      <c r="AK178" s="58"/>
      <c r="AL178" s="2"/>
      <c r="AM178" s="3"/>
      <c r="AN178" s="3"/>
      <c r="AO178" s="53"/>
      <c r="AP178" s="165"/>
      <c r="AQ178" s="3"/>
      <c r="AR178" s="3"/>
    </row>
    <row r="179" spans="1:45" x14ac:dyDescent="0.25">
      <c r="A179" s="1"/>
      <c r="B179" s="1"/>
      <c r="D179" s="17"/>
      <c r="E179" s="199"/>
      <c r="F179" s="208"/>
      <c r="G179" s="58"/>
      <c r="H179" s="2"/>
      <c r="I179" s="3"/>
      <c r="J179" s="3"/>
      <c r="K179" s="53"/>
      <c r="L179" s="165"/>
      <c r="M179" s="3"/>
      <c r="N179" s="3"/>
      <c r="P179" s="55"/>
      <c r="Q179" s="1"/>
      <c r="S179" s="17"/>
      <c r="T179" s="199"/>
      <c r="U179" s="208"/>
      <c r="V179" s="58"/>
      <c r="W179" s="2"/>
      <c r="X179" s="3"/>
      <c r="Y179" s="3"/>
      <c r="Z179" s="53"/>
      <c r="AA179" s="165"/>
      <c r="AB179" s="3"/>
      <c r="AC179" s="3"/>
      <c r="AE179" s="58"/>
      <c r="AF179" s="1"/>
      <c r="AH179" s="17"/>
      <c r="AI179" s="199"/>
      <c r="AJ179" s="208"/>
      <c r="AK179" s="58"/>
      <c r="AL179" s="2"/>
      <c r="AM179" s="3"/>
      <c r="AN179" s="3"/>
      <c r="AO179" s="53"/>
      <c r="AP179" s="165"/>
      <c r="AQ179" s="3"/>
      <c r="AR179" s="3"/>
    </row>
    <row r="180" spans="1:45" x14ac:dyDescent="0.25">
      <c r="A180" s="1"/>
      <c r="B180" s="1"/>
      <c r="D180" s="17"/>
      <c r="E180" s="199"/>
      <c r="F180" s="208"/>
      <c r="G180" s="58"/>
      <c r="H180" s="2"/>
      <c r="I180" s="3"/>
      <c r="J180" s="3"/>
      <c r="K180" s="53"/>
      <c r="L180" s="165"/>
      <c r="M180" s="3"/>
      <c r="N180" s="3"/>
      <c r="P180" s="55"/>
      <c r="Q180" s="1"/>
      <c r="S180" s="17"/>
      <c r="T180" s="199"/>
      <c r="U180" s="208"/>
      <c r="V180" s="58"/>
      <c r="W180" s="2"/>
      <c r="X180" s="3"/>
      <c r="Y180" s="3"/>
      <c r="Z180" s="53"/>
      <c r="AA180" s="165"/>
      <c r="AB180" s="3"/>
      <c r="AC180" s="3"/>
      <c r="AE180" s="58"/>
      <c r="AF180" s="1"/>
      <c r="AH180" s="17"/>
      <c r="AI180" s="199"/>
      <c r="AJ180" s="208"/>
      <c r="AK180" s="58"/>
      <c r="AL180" s="2"/>
      <c r="AM180" s="3"/>
      <c r="AN180" s="3"/>
      <c r="AO180" s="53"/>
      <c r="AP180" s="165"/>
      <c r="AQ180" s="3"/>
      <c r="AR180" s="3"/>
    </row>
    <row r="181" spans="1:45" ht="13.8" thickBot="1" x14ac:dyDescent="0.3">
      <c r="A181" s="146"/>
      <c r="B181" s="146"/>
      <c r="C181" s="434"/>
      <c r="D181" s="147"/>
      <c r="E181" s="206"/>
      <c r="F181" s="425"/>
      <c r="G181" s="155"/>
      <c r="H181" s="148"/>
      <c r="I181" s="149"/>
      <c r="J181" s="149"/>
      <c r="K181" s="150"/>
      <c r="L181" s="186"/>
      <c r="M181" s="149"/>
      <c r="N181" s="149"/>
      <c r="O181" s="241"/>
      <c r="P181" s="154"/>
      <c r="Q181" s="146"/>
      <c r="R181" s="434"/>
      <c r="S181" s="147"/>
      <c r="T181" s="206"/>
      <c r="U181" s="425"/>
      <c r="V181" s="155"/>
      <c r="W181" s="148"/>
      <c r="X181" s="149"/>
      <c r="Y181" s="149"/>
      <c r="Z181" s="150"/>
      <c r="AA181" s="186"/>
      <c r="AB181" s="149"/>
      <c r="AC181" s="149"/>
      <c r="AD181" s="242"/>
      <c r="AE181" s="155"/>
      <c r="AF181" s="146"/>
      <c r="AG181" s="434"/>
      <c r="AH181" s="147"/>
      <c r="AI181" s="206"/>
      <c r="AJ181" s="425"/>
      <c r="AK181" s="155"/>
      <c r="AL181" s="148"/>
      <c r="AM181" s="149"/>
      <c r="AN181" s="149"/>
      <c r="AO181" s="150"/>
      <c r="AP181" s="186"/>
      <c r="AQ181" s="149"/>
      <c r="AR181" s="149"/>
      <c r="AS181" s="417"/>
    </row>
    <row r="182" spans="1:45" x14ac:dyDescent="0.25">
      <c r="A182" s="156"/>
      <c r="B182" s="157"/>
      <c r="C182" s="446"/>
      <c r="D182" s="158"/>
      <c r="E182" s="158"/>
      <c r="F182" s="211"/>
      <c r="G182" s="207"/>
      <c r="H182" s="212"/>
      <c r="I182" s="160"/>
      <c r="J182" s="160"/>
      <c r="K182" s="161"/>
      <c r="L182" s="162"/>
      <c r="M182" s="160"/>
      <c r="N182" s="160"/>
      <c r="O182" s="245"/>
      <c r="P182" s="156"/>
      <c r="Q182" s="157"/>
      <c r="R182" s="446"/>
      <c r="S182" s="158"/>
      <c r="T182" s="158"/>
      <c r="U182" s="211"/>
      <c r="V182" s="207"/>
      <c r="W182" s="212"/>
      <c r="X182" s="160"/>
      <c r="Y182" s="160"/>
      <c r="Z182" s="161"/>
      <c r="AA182" s="162"/>
      <c r="AB182" s="160"/>
      <c r="AC182" s="160"/>
      <c r="AD182" s="246"/>
      <c r="AE182" s="164"/>
      <c r="AF182" s="157"/>
      <c r="AG182" s="446"/>
      <c r="AH182" s="158"/>
      <c r="AI182" s="158"/>
      <c r="AJ182" s="211"/>
      <c r="AK182" s="207"/>
      <c r="AL182" s="212"/>
      <c r="AM182" s="160"/>
      <c r="AN182" s="160"/>
      <c r="AO182" s="161"/>
      <c r="AP182" s="162"/>
      <c r="AQ182" s="160"/>
      <c r="AR182" s="160"/>
      <c r="AS182" s="246"/>
    </row>
    <row r="183" spans="1:45" x14ac:dyDescent="0.25">
      <c r="A183" s="55"/>
      <c r="B183" s="406"/>
      <c r="D183" s="413"/>
      <c r="E183" s="413"/>
      <c r="F183" s="410"/>
      <c r="G183" s="208"/>
      <c r="H183" s="407"/>
      <c r="I183" s="3"/>
      <c r="J183" s="3"/>
      <c r="K183" s="409"/>
      <c r="L183" s="165"/>
      <c r="M183" s="3"/>
      <c r="N183" s="3"/>
      <c r="P183" s="55"/>
      <c r="Q183" s="406"/>
      <c r="S183" s="413"/>
      <c r="T183" s="413"/>
      <c r="U183" s="410"/>
      <c r="V183" s="208"/>
      <c r="W183" s="407"/>
      <c r="X183" s="3"/>
      <c r="Y183" s="3"/>
      <c r="Z183" s="409"/>
      <c r="AA183" s="165"/>
      <c r="AB183" s="3"/>
      <c r="AC183" s="3"/>
      <c r="AE183" s="411"/>
      <c r="AF183" s="406"/>
      <c r="AH183" s="413"/>
      <c r="AI183" s="413"/>
      <c r="AJ183" s="410"/>
      <c r="AK183" s="208"/>
      <c r="AL183" s="407"/>
      <c r="AM183" s="3"/>
      <c r="AN183" s="3"/>
      <c r="AO183" s="409"/>
      <c r="AP183" s="165"/>
      <c r="AQ183" s="3"/>
      <c r="AR183" s="3"/>
      <c r="AS183" s="91"/>
    </row>
    <row r="184" spans="1:45" x14ac:dyDescent="0.25">
      <c r="A184" s="55"/>
      <c r="B184" s="406"/>
      <c r="D184" s="413"/>
      <c r="E184" s="413"/>
      <c r="F184" s="410"/>
      <c r="G184" s="208"/>
      <c r="H184" s="407"/>
      <c r="I184" s="3"/>
      <c r="J184" s="3"/>
      <c r="K184" s="409"/>
      <c r="L184" s="165"/>
      <c r="M184" s="3"/>
      <c r="N184" s="3"/>
      <c r="P184" s="55"/>
      <c r="Q184" s="406"/>
      <c r="S184" s="413"/>
      <c r="T184" s="413"/>
      <c r="U184" s="410"/>
      <c r="V184" s="208"/>
      <c r="W184" s="407"/>
      <c r="X184" s="3"/>
      <c r="Y184" s="3"/>
      <c r="Z184" s="409"/>
      <c r="AA184" s="165"/>
      <c r="AB184" s="3"/>
      <c r="AC184" s="3"/>
      <c r="AE184" s="411"/>
      <c r="AF184" s="406"/>
      <c r="AH184" s="413"/>
      <c r="AI184" s="413"/>
      <c r="AJ184" s="410"/>
      <c r="AK184" s="208"/>
      <c r="AL184" s="407"/>
      <c r="AM184" s="3"/>
      <c r="AN184" s="3"/>
      <c r="AO184" s="409"/>
      <c r="AP184" s="165"/>
      <c r="AQ184" s="3"/>
      <c r="AR184" s="3"/>
      <c r="AS184" s="91"/>
    </row>
    <row r="185" spans="1:45" x14ac:dyDescent="0.25">
      <c r="A185" s="55"/>
      <c r="B185" s="406"/>
      <c r="D185" s="413"/>
      <c r="E185" s="413"/>
      <c r="F185" s="410"/>
      <c r="G185" s="208"/>
      <c r="H185" s="407"/>
      <c r="I185" s="3"/>
      <c r="J185" s="3"/>
      <c r="K185" s="409"/>
      <c r="L185" s="165"/>
      <c r="M185" s="3"/>
      <c r="N185" s="3"/>
      <c r="P185" s="55"/>
      <c r="Q185" s="406"/>
      <c r="S185" s="413"/>
      <c r="T185" s="413"/>
      <c r="U185" s="410"/>
      <c r="V185" s="208"/>
      <c r="W185" s="407"/>
      <c r="X185" s="3"/>
      <c r="Y185" s="3"/>
      <c r="Z185" s="409"/>
      <c r="AA185" s="165"/>
      <c r="AB185" s="3"/>
      <c r="AC185" s="3"/>
      <c r="AE185" s="411"/>
      <c r="AF185" s="406"/>
      <c r="AH185" s="413"/>
      <c r="AI185" s="413"/>
      <c r="AJ185" s="410"/>
      <c r="AK185" s="208"/>
      <c r="AL185" s="407"/>
      <c r="AM185" s="3"/>
      <c r="AN185" s="3"/>
      <c r="AO185" s="409"/>
      <c r="AP185" s="165"/>
      <c r="AQ185" s="3"/>
      <c r="AR185" s="3"/>
      <c r="AS185" s="91"/>
    </row>
    <row r="186" spans="1:45" x14ac:dyDescent="0.25">
      <c r="A186" s="55"/>
      <c r="B186" s="406"/>
      <c r="D186" s="413"/>
      <c r="E186" s="413"/>
      <c r="F186" s="410"/>
      <c r="G186" s="208"/>
      <c r="H186" s="407"/>
      <c r="I186" s="3"/>
      <c r="J186" s="3"/>
      <c r="K186" s="409"/>
      <c r="L186" s="165"/>
      <c r="M186" s="3"/>
      <c r="N186" s="3"/>
      <c r="P186" s="55"/>
      <c r="Q186" s="406"/>
      <c r="S186" s="413"/>
      <c r="T186" s="413"/>
      <c r="U186" s="410"/>
      <c r="V186" s="208"/>
      <c r="W186" s="407"/>
      <c r="X186" s="3"/>
      <c r="Y186" s="3"/>
      <c r="Z186" s="409"/>
      <c r="AA186" s="165"/>
      <c r="AB186" s="3"/>
      <c r="AC186" s="3"/>
      <c r="AE186" s="411"/>
      <c r="AF186" s="406"/>
      <c r="AH186" s="413"/>
      <c r="AI186" s="413"/>
      <c r="AJ186" s="410"/>
      <c r="AK186" s="208"/>
      <c r="AL186" s="407"/>
      <c r="AM186" s="3"/>
      <c r="AN186" s="3"/>
      <c r="AO186" s="409"/>
      <c r="AP186" s="165"/>
      <c r="AQ186" s="3"/>
      <c r="AR186" s="3"/>
      <c r="AS186" s="91"/>
    </row>
    <row r="187" spans="1:45" x14ac:dyDescent="0.25">
      <c r="A187" s="55"/>
      <c r="B187" s="406"/>
      <c r="D187" s="413"/>
      <c r="E187" s="413"/>
      <c r="F187" s="410"/>
      <c r="G187" s="208"/>
      <c r="H187" s="407"/>
      <c r="I187" s="3"/>
      <c r="J187" s="3"/>
      <c r="K187" s="409"/>
      <c r="L187" s="165"/>
      <c r="M187" s="3"/>
      <c r="N187" s="3"/>
      <c r="P187" s="55"/>
      <c r="Q187" s="406"/>
      <c r="S187" s="413"/>
      <c r="T187" s="413"/>
      <c r="U187" s="410"/>
      <c r="V187" s="208"/>
      <c r="W187" s="407"/>
      <c r="X187" s="3"/>
      <c r="Y187" s="3"/>
      <c r="Z187" s="409"/>
      <c r="AA187" s="165"/>
      <c r="AB187" s="3"/>
      <c r="AC187" s="3"/>
      <c r="AE187" s="411"/>
      <c r="AF187" s="406"/>
      <c r="AH187" s="413"/>
      <c r="AI187" s="413"/>
      <c r="AJ187" s="410"/>
      <c r="AK187" s="208"/>
      <c r="AL187" s="407"/>
      <c r="AM187" s="3"/>
      <c r="AN187" s="3"/>
      <c r="AO187" s="409"/>
      <c r="AP187" s="165"/>
      <c r="AQ187" s="3"/>
      <c r="AR187" s="3"/>
      <c r="AS187" s="91"/>
    </row>
    <row r="188" spans="1:45" x14ac:dyDescent="0.25">
      <c r="A188" s="55"/>
      <c r="B188" s="406"/>
      <c r="D188" s="413"/>
      <c r="E188" s="413"/>
      <c r="F188" s="410"/>
      <c r="G188" s="208"/>
      <c r="H188" s="407"/>
      <c r="I188" s="3"/>
      <c r="J188" s="3"/>
      <c r="K188" s="409"/>
      <c r="L188" s="165"/>
      <c r="M188" s="3"/>
      <c r="N188" s="3"/>
      <c r="P188" s="55"/>
      <c r="Q188" s="406"/>
      <c r="S188" s="413"/>
      <c r="T188" s="413"/>
      <c r="U188" s="410"/>
      <c r="V188" s="208"/>
      <c r="W188" s="407"/>
      <c r="X188" s="3"/>
      <c r="Y188" s="3"/>
      <c r="Z188" s="409"/>
      <c r="AA188" s="165"/>
      <c r="AB188" s="3"/>
      <c r="AC188" s="3"/>
      <c r="AE188" s="411"/>
      <c r="AF188" s="406"/>
      <c r="AH188" s="413"/>
      <c r="AI188" s="413"/>
      <c r="AJ188" s="410"/>
      <c r="AK188" s="208"/>
      <c r="AL188" s="407"/>
      <c r="AM188" s="3"/>
      <c r="AN188" s="3"/>
      <c r="AO188" s="409"/>
      <c r="AP188" s="165"/>
      <c r="AQ188" s="3"/>
      <c r="AR188" s="3"/>
      <c r="AS188" s="91"/>
    </row>
    <row r="189" spans="1:45" x14ac:dyDescent="0.25">
      <c r="A189" s="55"/>
      <c r="B189" s="406"/>
      <c r="D189" s="413"/>
      <c r="E189" s="413"/>
      <c r="F189" s="410"/>
      <c r="G189" s="208"/>
      <c r="H189" s="407"/>
      <c r="I189" s="3"/>
      <c r="J189" s="3"/>
      <c r="K189" s="409"/>
      <c r="L189" s="165"/>
      <c r="M189" s="3"/>
      <c r="N189" s="3"/>
      <c r="P189" s="55"/>
      <c r="Q189" s="406"/>
      <c r="S189" s="413"/>
      <c r="T189" s="413"/>
      <c r="U189" s="410"/>
      <c r="V189" s="208"/>
      <c r="W189" s="407"/>
      <c r="X189" s="3"/>
      <c r="Y189" s="3"/>
      <c r="Z189" s="409"/>
      <c r="AA189" s="165"/>
      <c r="AB189" s="3"/>
      <c r="AC189" s="3"/>
      <c r="AE189" s="411"/>
      <c r="AF189" s="406"/>
      <c r="AH189" s="413"/>
      <c r="AI189" s="413"/>
      <c r="AJ189" s="410"/>
      <c r="AK189" s="208"/>
      <c r="AL189" s="407"/>
      <c r="AM189" s="3"/>
      <c r="AN189" s="3"/>
      <c r="AO189" s="409"/>
      <c r="AP189" s="165"/>
      <c r="AQ189" s="3"/>
      <c r="AR189" s="3"/>
      <c r="AS189" s="91"/>
    </row>
    <row r="190" spans="1:45" x14ac:dyDescent="0.25">
      <c r="A190" s="55"/>
      <c r="B190" s="406"/>
      <c r="D190" s="413"/>
      <c r="E190" s="413"/>
      <c r="F190" s="410"/>
      <c r="G190" s="208"/>
      <c r="H190" s="407"/>
      <c r="I190" s="3"/>
      <c r="J190" s="3"/>
      <c r="K190" s="409"/>
      <c r="L190" s="165"/>
      <c r="M190" s="3"/>
      <c r="N190" s="3"/>
      <c r="P190" s="55"/>
      <c r="Q190" s="406"/>
      <c r="S190" s="413"/>
      <c r="T190" s="413"/>
      <c r="U190" s="410"/>
      <c r="V190" s="208"/>
      <c r="W190" s="407"/>
      <c r="X190" s="3"/>
      <c r="Y190" s="3"/>
      <c r="Z190" s="409"/>
      <c r="AA190" s="165"/>
      <c r="AB190" s="3"/>
      <c r="AC190" s="3"/>
      <c r="AE190" s="411"/>
      <c r="AF190" s="406"/>
      <c r="AH190" s="413"/>
      <c r="AI190" s="413"/>
      <c r="AJ190" s="410"/>
      <c r="AK190" s="208"/>
      <c r="AL190" s="407"/>
      <c r="AM190" s="3"/>
      <c r="AN190" s="3"/>
      <c r="AO190" s="409"/>
      <c r="AP190" s="165"/>
      <c r="AQ190" s="3"/>
      <c r="AR190" s="3"/>
      <c r="AS190" s="91"/>
    </row>
    <row r="191" spans="1:45" x14ac:dyDescent="0.25">
      <c r="A191" s="55"/>
      <c r="B191" s="406"/>
      <c r="D191" s="413"/>
      <c r="E191" s="413"/>
      <c r="F191" s="410"/>
      <c r="G191" s="208"/>
      <c r="H191" s="407"/>
      <c r="I191" s="3"/>
      <c r="J191" s="3"/>
      <c r="K191" s="409"/>
      <c r="L191" s="165"/>
      <c r="M191" s="3"/>
      <c r="N191" s="3"/>
      <c r="P191" s="55"/>
      <c r="Q191" s="406"/>
      <c r="S191" s="413"/>
      <c r="T191" s="413"/>
      <c r="U191" s="410"/>
      <c r="V191" s="208"/>
      <c r="W191" s="407"/>
      <c r="X191" s="3"/>
      <c r="Y191" s="3"/>
      <c r="Z191" s="409"/>
      <c r="AA191" s="165"/>
      <c r="AB191" s="3"/>
      <c r="AC191" s="3"/>
      <c r="AE191" s="411"/>
      <c r="AF191" s="406"/>
      <c r="AH191" s="413"/>
      <c r="AI191" s="413"/>
      <c r="AJ191" s="410"/>
      <c r="AK191" s="208"/>
      <c r="AL191" s="407"/>
      <c r="AM191" s="3"/>
      <c r="AN191" s="3"/>
      <c r="AO191" s="409"/>
      <c r="AP191" s="165"/>
      <c r="AQ191" s="3"/>
      <c r="AR191" s="3"/>
      <c r="AS191" s="91"/>
    </row>
    <row r="192" spans="1:45" x14ac:dyDescent="0.25">
      <c r="A192" s="55"/>
      <c r="B192" s="406"/>
      <c r="D192" s="413"/>
      <c r="E192" s="413"/>
      <c r="F192" s="410"/>
      <c r="G192" s="208"/>
      <c r="H192" s="407"/>
      <c r="I192" s="3"/>
      <c r="J192" s="3"/>
      <c r="K192" s="409"/>
      <c r="L192" s="165"/>
      <c r="M192" s="3"/>
      <c r="N192" s="3"/>
      <c r="P192" s="55"/>
      <c r="Q192" s="406"/>
      <c r="S192" s="413"/>
      <c r="T192" s="413"/>
      <c r="U192" s="410"/>
      <c r="V192" s="208"/>
      <c r="W192" s="407"/>
      <c r="X192" s="3"/>
      <c r="Y192" s="3"/>
      <c r="Z192" s="409"/>
      <c r="AA192" s="165"/>
      <c r="AB192" s="3"/>
      <c r="AC192" s="3"/>
      <c r="AE192" s="411"/>
      <c r="AF192" s="406"/>
      <c r="AH192" s="413"/>
      <c r="AI192" s="413"/>
      <c r="AJ192" s="410"/>
      <c r="AK192" s="208"/>
      <c r="AL192" s="407"/>
      <c r="AM192" s="3"/>
      <c r="AN192" s="3"/>
      <c r="AO192" s="409"/>
      <c r="AP192" s="165"/>
      <c r="AQ192" s="3"/>
      <c r="AR192" s="3"/>
      <c r="AS192" s="91"/>
    </row>
    <row r="193" spans="1:45" x14ac:dyDescent="0.25">
      <c r="A193" s="55"/>
      <c r="B193" s="406"/>
      <c r="D193" s="413"/>
      <c r="E193" s="413"/>
      <c r="F193" s="410"/>
      <c r="G193" s="208"/>
      <c r="H193" s="407"/>
      <c r="I193" s="3"/>
      <c r="J193" s="3"/>
      <c r="K193" s="409"/>
      <c r="L193" s="165"/>
      <c r="M193" s="3"/>
      <c r="N193" s="3"/>
      <c r="P193" s="55"/>
      <c r="Q193" s="406"/>
      <c r="S193" s="413"/>
      <c r="T193" s="413"/>
      <c r="U193" s="410"/>
      <c r="V193" s="208"/>
      <c r="W193" s="407"/>
      <c r="X193" s="3"/>
      <c r="Y193" s="3"/>
      <c r="Z193" s="409"/>
      <c r="AA193" s="165"/>
      <c r="AB193" s="3"/>
      <c r="AC193" s="3"/>
      <c r="AE193" s="411"/>
      <c r="AF193" s="406"/>
      <c r="AH193" s="413"/>
      <c r="AI193" s="413"/>
      <c r="AJ193" s="410"/>
      <c r="AK193" s="208"/>
      <c r="AL193" s="407"/>
      <c r="AM193" s="3"/>
      <c r="AN193" s="3"/>
      <c r="AO193" s="409"/>
      <c r="AP193" s="165"/>
      <c r="AQ193" s="3"/>
      <c r="AR193" s="3"/>
      <c r="AS193" s="91"/>
    </row>
    <row r="194" spans="1:45" x14ac:dyDescent="0.25">
      <c r="A194" s="55"/>
      <c r="B194" s="406"/>
      <c r="D194" s="413"/>
      <c r="E194" s="413"/>
      <c r="F194" s="410"/>
      <c r="G194" s="208"/>
      <c r="H194" s="407"/>
      <c r="I194" s="3"/>
      <c r="J194" s="3"/>
      <c r="K194" s="409"/>
      <c r="L194" s="165"/>
      <c r="M194" s="3"/>
      <c r="N194" s="3"/>
      <c r="P194" s="55"/>
      <c r="Q194" s="406"/>
      <c r="S194" s="413"/>
      <c r="T194" s="413"/>
      <c r="U194" s="410"/>
      <c r="V194" s="208"/>
      <c r="W194" s="407"/>
      <c r="X194" s="3"/>
      <c r="Y194" s="3"/>
      <c r="Z194" s="409"/>
      <c r="AA194" s="165"/>
      <c r="AB194" s="3"/>
      <c r="AC194" s="3"/>
      <c r="AE194" s="411"/>
      <c r="AF194" s="406"/>
      <c r="AH194" s="413"/>
      <c r="AI194" s="413"/>
      <c r="AJ194" s="410"/>
      <c r="AK194" s="208"/>
      <c r="AL194" s="407"/>
      <c r="AM194" s="3"/>
      <c r="AN194" s="3"/>
      <c r="AO194" s="409"/>
      <c r="AP194" s="165"/>
      <c r="AQ194" s="3"/>
      <c r="AR194" s="3"/>
      <c r="AS194" s="91"/>
    </row>
    <row r="195" spans="1:45" x14ac:dyDescent="0.25">
      <c r="A195" s="55"/>
      <c r="B195" s="406"/>
      <c r="D195" s="413"/>
      <c r="E195" s="413"/>
      <c r="F195" s="410"/>
      <c r="G195" s="208"/>
      <c r="H195" s="407"/>
      <c r="I195" s="3"/>
      <c r="J195" s="3"/>
      <c r="K195" s="409"/>
      <c r="L195" s="165"/>
      <c r="M195" s="3"/>
      <c r="N195" s="3"/>
      <c r="P195" s="55"/>
      <c r="Q195" s="406"/>
      <c r="S195" s="413"/>
      <c r="T195" s="413"/>
      <c r="U195" s="410"/>
      <c r="V195" s="208"/>
      <c r="W195" s="407"/>
      <c r="X195" s="3"/>
      <c r="Y195" s="3"/>
      <c r="Z195" s="409"/>
      <c r="AA195" s="165"/>
      <c r="AB195" s="3"/>
      <c r="AC195" s="3"/>
      <c r="AE195" s="411"/>
      <c r="AF195" s="406"/>
      <c r="AH195" s="413"/>
      <c r="AI195" s="413"/>
      <c r="AJ195" s="410"/>
      <c r="AK195" s="208"/>
      <c r="AL195" s="407"/>
      <c r="AM195" s="3"/>
      <c r="AN195" s="3"/>
      <c r="AO195" s="409"/>
      <c r="AP195" s="165"/>
      <c r="AQ195" s="3"/>
      <c r="AR195" s="3"/>
      <c r="AS195" s="91"/>
    </row>
    <row r="196" spans="1:45" x14ac:dyDescent="0.25">
      <c r="A196" s="55"/>
      <c r="B196" s="406"/>
      <c r="D196" s="413"/>
      <c r="E196" s="413"/>
      <c r="F196" s="410"/>
      <c r="G196" s="208"/>
      <c r="H196" s="407"/>
      <c r="I196" s="3"/>
      <c r="J196" s="3"/>
      <c r="K196" s="409"/>
      <c r="L196" s="165"/>
      <c r="M196" s="3"/>
      <c r="N196" s="3"/>
      <c r="P196" s="55"/>
      <c r="Q196" s="406"/>
      <c r="S196" s="413"/>
      <c r="T196" s="413"/>
      <c r="U196" s="410"/>
      <c r="V196" s="208"/>
      <c r="W196" s="407"/>
      <c r="X196" s="3"/>
      <c r="Y196" s="3"/>
      <c r="Z196" s="409"/>
      <c r="AA196" s="165"/>
      <c r="AB196" s="3"/>
      <c r="AC196" s="3"/>
      <c r="AE196" s="411"/>
      <c r="AF196" s="406"/>
      <c r="AH196" s="413"/>
      <c r="AI196" s="413"/>
      <c r="AJ196" s="410"/>
      <c r="AK196" s="208"/>
      <c r="AL196" s="407"/>
      <c r="AM196" s="3"/>
      <c r="AN196" s="3"/>
      <c r="AO196" s="409"/>
      <c r="AP196" s="165"/>
      <c r="AQ196" s="3"/>
      <c r="AR196" s="3"/>
      <c r="AS196" s="91"/>
    </row>
    <row r="197" spans="1:45" x14ac:dyDescent="0.25">
      <c r="A197" s="55"/>
      <c r="B197" s="406"/>
      <c r="D197" s="413"/>
      <c r="E197" s="413"/>
      <c r="F197" s="410"/>
      <c r="G197" s="208"/>
      <c r="H197" s="407"/>
      <c r="I197" s="3"/>
      <c r="J197" s="3"/>
      <c r="K197" s="409"/>
      <c r="L197" s="165"/>
      <c r="M197" s="3"/>
      <c r="N197" s="3"/>
      <c r="P197" s="55"/>
      <c r="Q197" s="406"/>
      <c r="S197" s="413"/>
      <c r="T197" s="413"/>
      <c r="U197" s="410"/>
      <c r="V197" s="208"/>
      <c r="W197" s="407"/>
      <c r="X197" s="3"/>
      <c r="Y197" s="3"/>
      <c r="Z197" s="409"/>
      <c r="AA197" s="165"/>
      <c r="AB197" s="3"/>
      <c r="AC197" s="3"/>
      <c r="AE197" s="411"/>
      <c r="AF197" s="406"/>
      <c r="AH197" s="413"/>
      <c r="AI197" s="413"/>
      <c r="AJ197" s="410"/>
      <c r="AK197" s="208"/>
      <c r="AL197" s="407"/>
      <c r="AM197" s="3"/>
      <c r="AN197" s="3"/>
      <c r="AO197" s="409"/>
      <c r="AP197" s="165"/>
      <c r="AQ197" s="3"/>
      <c r="AR197" s="3"/>
      <c r="AS197" s="91"/>
    </row>
    <row r="198" spans="1:45" x14ac:dyDescent="0.25">
      <c r="A198" s="55"/>
      <c r="B198" s="406"/>
      <c r="D198" s="413"/>
      <c r="E198" s="413"/>
      <c r="F198" s="410"/>
      <c r="G198" s="208"/>
      <c r="H198" s="407"/>
      <c r="I198" s="3"/>
      <c r="J198" s="3"/>
      <c r="K198" s="409"/>
      <c r="L198" s="165"/>
      <c r="M198" s="3"/>
      <c r="N198" s="3"/>
      <c r="P198" s="55"/>
      <c r="Q198" s="406"/>
      <c r="S198" s="413"/>
      <c r="T198" s="413"/>
      <c r="U198" s="410"/>
      <c r="V198" s="208"/>
      <c r="W198" s="407"/>
      <c r="X198" s="3"/>
      <c r="Y198" s="3"/>
      <c r="Z198" s="409"/>
      <c r="AA198" s="165"/>
      <c r="AB198" s="3"/>
      <c r="AC198" s="3"/>
      <c r="AE198" s="411"/>
      <c r="AF198" s="406"/>
      <c r="AH198" s="413"/>
      <c r="AI198" s="413"/>
      <c r="AJ198" s="410"/>
      <c r="AK198" s="208"/>
      <c r="AL198" s="407"/>
      <c r="AM198" s="3"/>
      <c r="AN198" s="3"/>
      <c r="AO198" s="409"/>
      <c r="AP198" s="165"/>
      <c r="AQ198" s="3"/>
      <c r="AR198" s="3"/>
      <c r="AS198" s="91"/>
    </row>
    <row r="199" spans="1:45" x14ac:dyDescent="0.25">
      <c r="A199" s="55"/>
      <c r="B199" s="406"/>
      <c r="D199" s="413"/>
      <c r="E199" s="413"/>
      <c r="F199" s="410"/>
      <c r="G199" s="208"/>
      <c r="H199" s="407"/>
      <c r="I199" s="3"/>
      <c r="J199" s="3"/>
      <c r="K199" s="409"/>
      <c r="L199" s="165"/>
      <c r="M199" s="3"/>
      <c r="N199" s="3"/>
      <c r="P199" s="55"/>
      <c r="Q199" s="406"/>
      <c r="S199" s="413"/>
      <c r="T199" s="413"/>
      <c r="U199" s="410"/>
      <c r="V199" s="208"/>
      <c r="W199" s="407"/>
      <c r="X199" s="3"/>
      <c r="Y199" s="3"/>
      <c r="Z199" s="409"/>
      <c r="AA199" s="165"/>
      <c r="AB199" s="3"/>
      <c r="AC199" s="3"/>
      <c r="AE199" s="411"/>
      <c r="AF199" s="406"/>
      <c r="AH199" s="413"/>
      <c r="AI199" s="413"/>
      <c r="AJ199" s="410"/>
      <c r="AK199" s="208"/>
      <c r="AL199" s="407"/>
      <c r="AM199" s="3"/>
      <c r="AN199" s="3"/>
      <c r="AO199" s="409"/>
      <c r="AP199" s="165"/>
      <c r="AQ199" s="3"/>
      <c r="AR199" s="3"/>
      <c r="AS199" s="91"/>
    </row>
    <row r="200" spans="1:45" x14ac:dyDescent="0.25">
      <c r="A200" s="55"/>
      <c r="B200" s="406"/>
      <c r="D200" s="413"/>
      <c r="E200" s="413"/>
      <c r="F200" s="410"/>
      <c r="G200" s="208"/>
      <c r="H200" s="407"/>
      <c r="I200" s="3"/>
      <c r="J200" s="3"/>
      <c r="K200" s="409"/>
      <c r="L200" s="165"/>
      <c r="M200" s="3"/>
      <c r="N200" s="3"/>
      <c r="P200" s="55"/>
      <c r="Q200" s="406"/>
      <c r="S200" s="413"/>
      <c r="T200" s="413"/>
      <c r="U200" s="410"/>
      <c r="V200" s="208"/>
      <c r="W200" s="407"/>
      <c r="X200" s="3"/>
      <c r="Y200" s="3"/>
      <c r="Z200" s="409"/>
      <c r="AA200" s="165"/>
      <c r="AB200" s="3"/>
      <c r="AC200" s="3"/>
      <c r="AE200" s="411"/>
      <c r="AF200" s="406"/>
      <c r="AH200" s="413"/>
      <c r="AI200" s="413"/>
      <c r="AJ200" s="410"/>
      <c r="AK200" s="208"/>
      <c r="AL200" s="407"/>
      <c r="AM200" s="3"/>
      <c r="AN200" s="3"/>
      <c r="AO200" s="409"/>
      <c r="AP200" s="165"/>
      <c r="AQ200" s="3"/>
      <c r="AR200" s="3"/>
      <c r="AS200" s="91"/>
    </row>
    <row r="201" spans="1:45" ht="13.8" thickBot="1" x14ac:dyDescent="0.3">
      <c r="A201" s="66"/>
      <c r="B201" s="167"/>
      <c r="C201" s="447"/>
      <c r="D201" s="168"/>
      <c r="E201" s="168"/>
      <c r="F201" s="215"/>
      <c r="G201" s="209"/>
      <c r="H201" s="216"/>
      <c r="I201" s="170"/>
      <c r="J201" s="170"/>
      <c r="K201" s="171"/>
      <c r="L201" s="172"/>
      <c r="M201" s="170"/>
      <c r="N201" s="170"/>
      <c r="O201" s="249"/>
      <c r="P201" s="66"/>
      <c r="Q201" s="167"/>
      <c r="R201" s="447"/>
      <c r="S201" s="168"/>
      <c r="T201" s="168"/>
      <c r="U201" s="215"/>
      <c r="V201" s="209"/>
      <c r="W201" s="216"/>
      <c r="X201" s="170"/>
      <c r="Y201" s="170"/>
      <c r="Z201" s="171"/>
      <c r="AA201" s="172"/>
      <c r="AB201" s="170"/>
      <c r="AC201" s="170"/>
      <c r="AD201" s="250"/>
      <c r="AE201" s="174"/>
      <c r="AF201" s="167"/>
      <c r="AG201" s="447"/>
      <c r="AH201" s="168"/>
      <c r="AI201" s="168"/>
      <c r="AJ201" s="215"/>
      <c r="AK201" s="209"/>
      <c r="AL201" s="216"/>
      <c r="AM201" s="170"/>
      <c r="AN201" s="170"/>
      <c r="AO201" s="171"/>
      <c r="AP201" s="172"/>
      <c r="AQ201" s="170"/>
      <c r="AR201" s="170"/>
      <c r="AS201" s="250"/>
    </row>
    <row r="202" spans="1:45" x14ac:dyDescent="0.25">
      <c r="A202" s="69"/>
      <c r="B202" s="69"/>
      <c r="C202" s="438"/>
      <c r="D202" s="175"/>
      <c r="E202" s="175"/>
      <c r="F202" s="217"/>
      <c r="G202" s="210"/>
      <c r="H202" s="218"/>
      <c r="I202" s="180"/>
      <c r="J202" s="180"/>
      <c r="K202" s="205"/>
      <c r="L202" s="179"/>
      <c r="M202" s="180"/>
      <c r="N202" s="180"/>
      <c r="O202" s="419"/>
      <c r="P202" s="181"/>
      <c r="Q202" s="69"/>
      <c r="R202" s="438"/>
      <c r="S202" s="175"/>
      <c r="T202" s="175"/>
      <c r="U202" s="217"/>
      <c r="V202" s="210"/>
      <c r="W202" s="218"/>
      <c r="X202" s="180"/>
      <c r="Y202" s="180"/>
      <c r="Z202" s="205"/>
      <c r="AA202" s="179"/>
      <c r="AB202" s="180"/>
      <c r="AC202" s="180"/>
      <c r="AD202" s="420"/>
      <c r="AE202" s="182"/>
      <c r="AF202" s="69"/>
      <c r="AG202" s="438"/>
      <c r="AH202" s="175"/>
      <c r="AI202" s="175"/>
      <c r="AJ202" s="217"/>
      <c r="AK202" s="210"/>
      <c r="AL202" s="218"/>
      <c r="AM202" s="180"/>
      <c r="AN202" s="180"/>
      <c r="AO202" s="205"/>
      <c r="AP202" s="179"/>
      <c r="AQ202" s="180"/>
      <c r="AR202" s="180"/>
      <c r="AS202" s="421"/>
    </row>
    <row r="203" spans="1:45" x14ac:dyDescent="0.25">
      <c r="A203" s="1"/>
      <c r="B203" s="1"/>
      <c r="D203" s="17"/>
      <c r="E203" s="17"/>
      <c r="F203" s="213"/>
      <c r="G203" s="208"/>
      <c r="H203" s="214"/>
      <c r="I203" s="3"/>
      <c r="J203" s="3"/>
      <c r="K203" s="53"/>
      <c r="L203" s="165"/>
      <c r="M203" s="3"/>
      <c r="N203" s="3"/>
      <c r="P203" s="55"/>
      <c r="Q203" s="1"/>
      <c r="S203" s="17"/>
      <c r="T203" s="17"/>
      <c r="U203" s="213"/>
      <c r="V203" s="208"/>
      <c r="W203" s="214"/>
      <c r="X203" s="3"/>
      <c r="Y203" s="3"/>
      <c r="Z203" s="53"/>
      <c r="AA203" s="165"/>
      <c r="AB203" s="3"/>
      <c r="AC203" s="3"/>
      <c r="AE203" s="58"/>
      <c r="AF203" s="1"/>
      <c r="AH203" s="17"/>
      <c r="AI203" s="17"/>
      <c r="AJ203" s="213"/>
      <c r="AK203" s="208"/>
      <c r="AL203" s="214"/>
      <c r="AM203" s="3"/>
      <c r="AN203" s="3"/>
      <c r="AO203" s="53"/>
      <c r="AP203" s="165"/>
      <c r="AQ203" s="3"/>
      <c r="AR203" s="3"/>
    </row>
    <row r="204" spans="1:45" x14ac:dyDescent="0.25">
      <c r="A204" s="1"/>
      <c r="B204" s="1"/>
      <c r="D204" s="17"/>
      <c r="E204" s="17"/>
      <c r="F204" s="213"/>
      <c r="G204" s="208"/>
      <c r="H204" s="214"/>
      <c r="I204" s="3"/>
      <c r="J204" s="3"/>
      <c r="K204" s="53"/>
      <c r="L204" s="165"/>
      <c r="M204" s="3"/>
      <c r="N204" s="3"/>
      <c r="P204" s="55"/>
      <c r="Q204" s="1"/>
      <c r="S204" s="17"/>
      <c r="T204" s="17"/>
      <c r="U204" s="213"/>
      <c r="V204" s="208"/>
      <c r="W204" s="214"/>
      <c r="X204" s="3"/>
      <c r="Y204" s="3"/>
      <c r="Z204" s="53"/>
      <c r="AA204" s="165"/>
      <c r="AB204" s="3"/>
      <c r="AC204" s="3"/>
      <c r="AE204" s="58"/>
      <c r="AF204" s="1"/>
      <c r="AH204" s="17"/>
      <c r="AI204" s="17"/>
      <c r="AJ204" s="213"/>
      <c r="AK204" s="208"/>
      <c r="AL204" s="214"/>
      <c r="AM204" s="3"/>
      <c r="AN204" s="3"/>
      <c r="AO204" s="53"/>
      <c r="AP204" s="165"/>
      <c r="AQ204" s="3"/>
      <c r="AR204" s="3"/>
    </row>
    <row r="205" spans="1:45" x14ac:dyDescent="0.25">
      <c r="A205" s="1"/>
      <c r="B205" s="1"/>
      <c r="D205" s="17"/>
      <c r="E205" s="17"/>
      <c r="F205" s="213"/>
      <c r="G205" s="208"/>
      <c r="H205" s="214"/>
      <c r="I205" s="3"/>
      <c r="J205" s="3"/>
      <c r="K205" s="53"/>
      <c r="L205" s="165"/>
      <c r="M205" s="3"/>
      <c r="N205" s="3"/>
      <c r="P205" s="55"/>
      <c r="Q205" s="1"/>
      <c r="S205" s="17"/>
      <c r="T205" s="17"/>
      <c r="U205" s="213"/>
      <c r="V205" s="208"/>
      <c r="W205" s="214"/>
      <c r="X205" s="3"/>
      <c r="Y205" s="3"/>
      <c r="Z205" s="53"/>
      <c r="AA205" s="165"/>
      <c r="AB205" s="3"/>
      <c r="AC205" s="3"/>
      <c r="AE205" s="58"/>
      <c r="AF205" s="1"/>
      <c r="AH205" s="17"/>
      <c r="AI205" s="17"/>
      <c r="AJ205" s="213"/>
      <c r="AK205" s="208"/>
      <c r="AL205" s="214"/>
      <c r="AM205" s="3"/>
      <c r="AN205" s="3"/>
      <c r="AO205" s="53"/>
      <c r="AP205" s="165"/>
      <c r="AQ205" s="3"/>
      <c r="AR205" s="3"/>
    </row>
    <row r="206" spans="1:45" x14ac:dyDescent="0.25">
      <c r="A206" s="1"/>
      <c r="B206" s="1"/>
      <c r="D206" s="17"/>
      <c r="E206" s="17"/>
      <c r="F206" s="213"/>
      <c r="G206" s="208"/>
      <c r="H206" s="214"/>
      <c r="I206" s="3"/>
      <c r="J206" s="3"/>
      <c r="K206" s="53"/>
      <c r="L206" s="165"/>
      <c r="M206" s="3"/>
      <c r="N206" s="3"/>
      <c r="P206" s="55"/>
      <c r="Q206" s="1"/>
      <c r="S206" s="17"/>
      <c r="T206" s="17"/>
      <c r="U206" s="213"/>
      <c r="V206" s="208"/>
      <c r="W206" s="214"/>
      <c r="X206" s="3"/>
      <c r="Y206" s="3"/>
      <c r="Z206" s="53"/>
      <c r="AA206" s="165"/>
      <c r="AB206" s="3"/>
      <c r="AC206" s="3"/>
      <c r="AE206" s="58"/>
      <c r="AF206" s="1"/>
      <c r="AH206" s="17"/>
      <c r="AI206" s="17"/>
      <c r="AJ206" s="213"/>
      <c r="AK206" s="208"/>
      <c r="AL206" s="214"/>
      <c r="AM206" s="3"/>
      <c r="AN206" s="3"/>
      <c r="AO206" s="53"/>
      <c r="AP206" s="165"/>
      <c r="AQ206" s="3"/>
      <c r="AR206" s="3"/>
    </row>
    <row r="207" spans="1:45" x14ac:dyDescent="0.25">
      <c r="A207" s="1"/>
      <c r="B207" s="1"/>
      <c r="D207" s="17"/>
      <c r="E207" s="17"/>
      <c r="F207" s="213"/>
      <c r="G207" s="208"/>
      <c r="H207" s="214"/>
      <c r="I207" s="3"/>
      <c r="J207" s="3"/>
      <c r="K207" s="53"/>
      <c r="L207" s="165"/>
      <c r="M207" s="3"/>
      <c r="N207" s="3"/>
      <c r="P207" s="55"/>
      <c r="Q207" s="1"/>
      <c r="S207" s="17"/>
      <c r="T207" s="17"/>
      <c r="U207" s="213"/>
      <c r="V207" s="208"/>
      <c r="W207" s="214"/>
      <c r="X207" s="3"/>
      <c r="Y207" s="3"/>
      <c r="Z207" s="53"/>
      <c r="AA207" s="165"/>
      <c r="AB207" s="3"/>
      <c r="AC207" s="3"/>
      <c r="AE207" s="58"/>
      <c r="AF207" s="1"/>
      <c r="AH207" s="17"/>
      <c r="AI207" s="17"/>
      <c r="AJ207" s="213"/>
      <c r="AK207" s="208"/>
      <c r="AL207" s="214"/>
      <c r="AM207" s="3"/>
      <c r="AN207" s="3"/>
      <c r="AO207" s="53"/>
      <c r="AP207" s="165"/>
      <c r="AQ207" s="3"/>
      <c r="AR207" s="3"/>
    </row>
    <row r="208" spans="1:45" x14ac:dyDescent="0.25">
      <c r="A208" s="1"/>
      <c r="B208" s="1"/>
      <c r="D208" s="17"/>
      <c r="E208" s="17"/>
      <c r="F208" s="213"/>
      <c r="G208" s="208"/>
      <c r="H208" s="214"/>
      <c r="I208" s="3"/>
      <c r="J208" s="3"/>
      <c r="K208" s="53"/>
      <c r="L208" s="165"/>
      <c r="M208" s="3"/>
      <c r="N208" s="3"/>
      <c r="P208" s="55"/>
      <c r="Q208" s="1"/>
      <c r="S208" s="17"/>
      <c r="T208" s="17"/>
      <c r="U208" s="213"/>
      <c r="V208" s="208"/>
      <c r="W208" s="214"/>
      <c r="X208" s="3"/>
      <c r="Y208" s="3"/>
      <c r="Z208" s="53"/>
      <c r="AA208" s="165"/>
      <c r="AB208" s="3"/>
      <c r="AC208" s="3"/>
      <c r="AE208" s="58"/>
      <c r="AF208" s="1"/>
      <c r="AH208" s="17"/>
      <c r="AI208" s="17"/>
      <c r="AJ208" s="213"/>
      <c r="AK208" s="208"/>
      <c r="AL208" s="214"/>
      <c r="AM208" s="3"/>
      <c r="AN208" s="3"/>
      <c r="AO208" s="53"/>
      <c r="AP208" s="165"/>
      <c r="AQ208" s="3"/>
      <c r="AR208" s="3"/>
    </row>
    <row r="209" spans="1:45" x14ac:dyDescent="0.25">
      <c r="A209" s="1"/>
      <c r="B209" s="1"/>
      <c r="D209" s="17"/>
      <c r="E209" s="17"/>
      <c r="F209" s="213"/>
      <c r="G209" s="208"/>
      <c r="H209" s="214"/>
      <c r="I209" s="3"/>
      <c r="J209" s="3"/>
      <c r="K209" s="53"/>
      <c r="L209" s="165"/>
      <c r="M209" s="3"/>
      <c r="N209" s="3"/>
      <c r="P209" s="55"/>
      <c r="Q209" s="1"/>
      <c r="S209" s="17"/>
      <c r="T209" s="17"/>
      <c r="U209" s="213"/>
      <c r="V209" s="208"/>
      <c r="W209" s="214"/>
      <c r="X209" s="3"/>
      <c r="Y209" s="3"/>
      <c r="Z209" s="53"/>
      <c r="AA209" s="165"/>
      <c r="AB209" s="3"/>
      <c r="AC209" s="3"/>
      <c r="AE209" s="58"/>
      <c r="AF209" s="1"/>
      <c r="AH209" s="17"/>
      <c r="AI209" s="17"/>
      <c r="AJ209" s="213"/>
      <c r="AK209" s="208"/>
      <c r="AL209" s="214"/>
      <c r="AM209" s="3"/>
      <c r="AN209" s="3"/>
      <c r="AO209" s="53"/>
      <c r="AP209" s="165"/>
      <c r="AQ209" s="3"/>
      <c r="AR209" s="3"/>
    </row>
    <row r="210" spans="1:45" x14ac:dyDescent="0.25">
      <c r="A210" s="1"/>
      <c r="B210" s="1"/>
      <c r="D210" s="17"/>
      <c r="E210" s="17"/>
      <c r="F210" s="213"/>
      <c r="G210" s="208"/>
      <c r="H210" s="214"/>
      <c r="I210" s="3"/>
      <c r="J210" s="3"/>
      <c r="K210" s="53"/>
      <c r="L210" s="165"/>
      <c r="M210" s="3"/>
      <c r="N210" s="3"/>
      <c r="P210" s="55"/>
      <c r="Q210" s="1"/>
      <c r="S210" s="17"/>
      <c r="T210" s="17"/>
      <c r="U210" s="213"/>
      <c r="V210" s="208"/>
      <c r="W210" s="214"/>
      <c r="X210" s="3"/>
      <c r="Y210" s="3"/>
      <c r="Z210" s="53"/>
      <c r="AA210" s="165"/>
      <c r="AB210" s="3"/>
      <c r="AC210" s="3"/>
      <c r="AE210" s="58"/>
      <c r="AF210" s="1"/>
      <c r="AH210" s="17"/>
      <c r="AI210" s="17"/>
      <c r="AJ210" s="213"/>
      <c r="AK210" s="208"/>
      <c r="AL210" s="214"/>
      <c r="AM210" s="3"/>
      <c r="AN210" s="3"/>
      <c r="AO210" s="53"/>
      <c r="AP210" s="165"/>
      <c r="AQ210" s="3"/>
      <c r="AR210" s="3"/>
    </row>
    <row r="211" spans="1:45" x14ac:dyDescent="0.25">
      <c r="A211" s="1"/>
      <c r="B211" s="1"/>
      <c r="D211" s="17"/>
      <c r="E211" s="17"/>
      <c r="F211" s="213"/>
      <c r="G211" s="208"/>
      <c r="H211" s="214"/>
      <c r="I211" s="3"/>
      <c r="J211" s="3"/>
      <c r="K211" s="53"/>
      <c r="L211" s="165"/>
      <c r="M211" s="3"/>
      <c r="N211" s="3"/>
      <c r="P211" s="55"/>
      <c r="Q211" s="1"/>
      <c r="S211" s="17"/>
      <c r="T211" s="17"/>
      <c r="U211" s="213"/>
      <c r="V211" s="208"/>
      <c r="W211" s="214"/>
      <c r="X211" s="3"/>
      <c r="Y211" s="3"/>
      <c r="Z211" s="53"/>
      <c r="AA211" s="165"/>
      <c r="AB211" s="3"/>
      <c r="AC211" s="3"/>
      <c r="AE211" s="58"/>
      <c r="AF211" s="1"/>
      <c r="AH211" s="17"/>
      <c r="AI211" s="17"/>
      <c r="AJ211" s="213"/>
      <c r="AK211" s="208"/>
      <c r="AL211" s="214"/>
      <c r="AM211" s="3"/>
      <c r="AN211" s="3"/>
      <c r="AO211" s="53"/>
      <c r="AP211" s="165"/>
      <c r="AQ211" s="3"/>
      <c r="AR211" s="3"/>
    </row>
    <row r="212" spans="1:45" x14ac:dyDescent="0.25">
      <c r="A212" s="1"/>
      <c r="B212" s="1"/>
      <c r="D212" s="17"/>
      <c r="E212" s="17"/>
      <c r="F212" s="213"/>
      <c r="G212" s="208"/>
      <c r="H212" s="214"/>
      <c r="I212" s="3"/>
      <c r="J212" s="3"/>
      <c r="K212" s="53"/>
      <c r="L212" s="165"/>
      <c r="M212" s="3"/>
      <c r="N212" s="3"/>
      <c r="P212" s="55"/>
      <c r="Q212" s="1"/>
      <c r="S212" s="17"/>
      <c r="T212" s="17"/>
      <c r="U212" s="213"/>
      <c r="V212" s="208"/>
      <c r="W212" s="214"/>
      <c r="X212" s="3"/>
      <c r="Y212" s="3"/>
      <c r="Z212" s="53"/>
      <c r="AA212" s="165"/>
      <c r="AB212" s="3"/>
      <c r="AC212" s="3"/>
      <c r="AE212" s="58"/>
      <c r="AF212" s="1"/>
      <c r="AH212" s="17"/>
      <c r="AI212" s="17"/>
      <c r="AJ212" s="213"/>
      <c r="AK212" s="208"/>
      <c r="AL212" s="214"/>
      <c r="AM212" s="3"/>
      <c r="AN212" s="3"/>
      <c r="AO212" s="53"/>
      <c r="AP212" s="165"/>
      <c r="AQ212" s="3"/>
      <c r="AR212" s="3"/>
    </row>
    <row r="213" spans="1:45" x14ac:dyDescent="0.25">
      <c r="A213" s="1"/>
      <c r="B213" s="1"/>
      <c r="D213" s="17"/>
      <c r="E213" s="17"/>
      <c r="F213" s="213"/>
      <c r="G213" s="208"/>
      <c r="H213" s="214"/>
      <c r="I213" s="3"/>
      <c r="J213" s="3"/>
      <c r="K213" s="53"/>
      <c r="L213" s="165"/>
      <c r="M213" s="3"/>
      <c r="N213" s="3"/>
      <c r="P213" s="55"/>
      <c r="Q213" s="1"/>
      <c r="S213" s="17"/>
      <c r="T213" s="17"/>
      <c r="U213" s="213"/>
      <c r="V213" s="208"/>
      <c r="W213" s="214"/>
      <c r="X213" s="3"/>
      <c r="Y213" s="3"/>
      <c r="Z213" s="53"/>
      <c r="AA213" s="165"/>
      <c r="AB213" s="3"/>
      <c r="AC213" s="3"/>
      <c r="AE213" s="58"/>
      <c r="AF213" s="1"/>
      <c r="AH213" s="17"/>
      <c r="AI213" s="17"/>
      <c r="AJ213" s="213"/>
      <c r="AK213" s="208"/>
      <c r="AL213" s="214"/>
      <c r="AM213" s="3"/>
      <c r="AN213" s="3"/>
      <c r="AO213" s="53"/>
      <c r="AP213" s="165"/>
      <c r="AQ213" s="3"/>
      <c r="AR213" s="3"/>
    </row>
    <row r="214" spans="1:45" x14ac:dyDescent="0.25">
      <c r="A214" s="1"/>
      <c r="B214" s="1"/>
      <c r="D214" s="17"/>
      <c r="E214" s="17"/>
      <c r="F214" s="213"/>
      <c r="G214" s="208"/>
      <c r="H214" s="214"/>
      <c r="I214" s="3"/>
      <c r="J214" s="3"/>
      <c r="K214" s="53"/>
      <c r="L214" s="165"/>
      <c r="M214" s="3"/>
      <c r="N214" s="3"/>
      <c r="P214" s="55"/>
      <c r="Q214" s="1"/>
      <c r="S214" s="17"/>
      <c r="T214" s="17"/>
      <c r="U214" s="213"/>
      <c r="V214" s="208"/>
      <c r="W214" s="214"/>
      <c r="X214" s="3"/>
      <c r="Y214" s="3"/>
      <c r="Z214" s="53"/>
      <c r="AA214" s="165"/>
      <c r="AB214" s="3"/>
      <c r="AC214" s="3"/>
      <c r="AE214" s="58"/>
      <c r="AF214" s="1"/>
      <c r="AH214" s="17"/>
      <c r="AI214" s="17"/>
      <c r="AJ214" s="213"/>
      <c r="AK214" s="208"/>
      <c r="AL214" s="214"/>
      <c r="AM214" s="3"/>
      <c r="AN214" s="3"/>
      <c r="AO214" s="53"/>
      <c r="AP214" s="165"/>
      <c r="AQ214" s="3"/>
      <c r="AR214" s="3"/>
    </row>
    <row r="215" spans="1:45" x14ac:dyDescent="0.25">
      <c r="A215" s="1"/>
      <c r="B215" s="1"/>
      <c r="D215" s="17"/>
      <c r="E215" s="17"/>
      <c r="F215" s="213"/>
      <c r="G215" s="208"/>
      <c r="H215" s="214"/>
      <c r="I215" s="3"/>
      <c r="J215" s="3"/>
      <c r="K215" s="53"/>
      <c r="L215" s="165"/>
      <c r="M215" s="3"/>
      <c r="N215" s="3"/>
      <c r="P215" s="55"/>
      <c r="Q215" s="1"/>
      <c r="S215" s="17"/>
      <c r="T215" s="17"/>
      <c r="U215" s="213"/>
      <c r="V215" s="208"/>
      <c r="W215" s="214"/>
      <c r="X215" s="3"/>
      <c r="Y215" s="3"/>
      <c r="Z215" s="53"/>
      <c r="AA215" s="165"/>
      <c r="AB215" s="3"/>
      <c r="AC215" s="3"/>
      <c r="AE215" s="58"/>
      <c r="AF215" s="1"/>
      <c r="AH215" s="17"/>
      <c r="AI215" s="17"/>
      <c r="AJ215" s="213"/>
      <c r="AK215" s="208"/>
      <c r="AL215" s="214"/>
      <c r="AM215" s="3"/>
      <c r="AN215" s="3"/>
      <c r="AO215" s="53"/>
      <c r="AP215" s="165"/>
      <c r="AQ215" s="3"/>
      <c r="AR215" s="3"/>
    </row>
    <row r="216" spans="1:45" x14ac:dyDescent="0.25">
      <c r="A216" s="1"/>
      <c r="B216" s="1"/>
      <c r="D216" s="17"/>
      <c r="E216" s="17"/>
      <c r="F216" s="213"/>
      <c r="G216" s="208"/>
      <c r="H216" s="214"/>
      <c r="I216" s="3"/>
      <c r="J216" s="3"/>
      <c r="K216" s="53"/>
      <c r="L216" s="165"/>
      <c r="M216" s="3"/>
      <c r="N216" s="3"/>
      <c r="P216" s="55"/>
      <c r="Q216" s="1"/>
      <c r="S216" s="17"/>
      <c r="T216" s="17"/>
      <c r="U216" s="213"/>
      <c r="V216" s="208"/>
      <c r="W216" s="214"/>
      <c r="X216" s="3"/>
      <c r="Y216" s="3"/>
      <c r="Z216" s="53"/>
      <c r="AA216" s="165"/>
      <c r="AB216" s="3"/>
      <c r="AC216" s="3"/>
      <c r="AE216" s="58"/>
      <c r="AF216" s="1"/>
      <c r="AH216" s="17"/>
      <c r="AI216" s="17"/>
      <c r="AJ216" s="213"/>
      <c r="AK216" s="208"/>
      <c r="AL216" s="214"/>
      <c r="AM216" s="3"/>
      <c r="AN216" s="3"/>
      <c r="AO216" s="53"/>
      <c r="AP216" s="165"/>
      <c r="AQ216" s="3"/>
      <c r="AR216" s="3"/>
    </row>
    <row r="217" spans="1:45" x14ac:dyDescent="0.25">
      <c r="A217" s="1"/>
      <c r="B217" s="1"/>
      <c r="D217" s="17"/>
      <c r="E217" s="17"/>
      <c r="F217" s="213"/>
      <c r="G217" s="208"/>
      <c r="H217" s="214"/>
      <c r="I217" s="3"/>
      <c r="J217" s="3"/>
      <c r="K217" s="53"/>
      <c r="L217" s="165"/>
      <c r="M217" s="3"/>
      <c r="N217" s="3"/>
      <c r="P217" s="55"/>
      <c r="Q217" s="1"/>
      <c r="S217" s="17"/>
      <c r="T217" s="17"/>
      <c r="U217" s="213"/>
      <c r="V217" s="208"/>
      <c r="W217" s="214"/>
      <c r="X217" s="3"/>
      <c r="Y217" s="3"/>
      <c r="Z217" s="53"/>
      <c r="AA217" s="165"/>
      <c r="AB217" s="3"/>
      <c r="AC217" s="3"/>
      <c r="AE217" s="58"/>
      <c r="AF217" s="1"/>
      <c r="AH217" s="17"/>
      <c r="AI217" s="17"/>
      <c r="AJ217" s="213"/>
      <c r="AK217" s="208"/>
      <c r="AL217" s="214"/>
      <c r="AM217" s="3"/>
      <c r="AN217" s="3"/>
      <c r="AO217" s="53"/>
      <c r="AP217" s="165"/>
      <c r="AQ217" s="3"/>
      <c r="AR217" s="3"/>
    </row>
    <row r="218" spans="1:45" x14ac:dyDescent="0.25">
      <c r="A218" s="1"/>
      <c r="B218" s="1"/>
      <c r="D218" s="17"/>
      <c r="E218" s="17"/>
      <c r="F218" s="213"/>
      <c r="G218" s="208"/>
      <c r="H218" s="214"/>
      <c r="I218" s="3"/>
      <c r="J218" s="3"/>
      <c r="K218" s="53"/>
      <c r="L218" s="165"/>
      <c r="M218" s="3"/>
      <c r="N218" s="3"/>
      <c r="P218" s="55"/>
      <c r="Q218" s="1"/>
      <c r="S218" s="17"/>
      <c r="T218" s="17"/>
      <c r="U218" s="213"/>
      <c r="V218" s="208"/>
      <c r="W218" s="214"/>
      <c r="X218" s="3"/>
      <c r="Y218" s="3"/>
      <c r="Z218" s="53"/>
      <c r="AA218" s="165"/>
      <c r="AB218" s="3"/>
      <c r="AC218" s="3"/>
      <c r="AE218" s="58"/>
      <c r="AF218" s="1"/>
      <c r="AH218" s="17"/>
      <c r="AI218" s="17"/>
      <c r="AJ218" s="213"/>
      <c r="AK218" s="208"/>
      <c r="AL218" s="214"/>
      <c r="AM218" s="3"/>
      <c r="AN218" s="3"/>
      <c r="AO218" s="53"/>
      <c r="AP218" s="165"/>
      <c r="AQ218" s="3"/>
      <c r="AR218" s="3"/>
    </row>
    <row r="219" spans="1:45" x14ac:dyDescent="0.25">
      <c r="A219" s="1"/>
      <c r="B219" s="1"/>
      <c r="D219" s="17"/>
      <c r="E219" s="17"/>
      <c r="F219" s="213"/>
      <c r="G219" s="208"/>
      <c r="H219" s="214"/>
      <c r="I219" s="3"/>
      <c r="J219" s="3"/>
      <c r="K219" s="53"/>
      <c r="L219" s="165"/>
      <c r="M219" s="3"/>
      <c r="N219" s="3"/>
      <c r="P219" s="55"/>
      <c r="Q219" s="1"/>
      <c r="S219" s="17"/>
      <c r="T219" s="17"/>
      <c r="U219" s="213"/>
      <c r="V219" s="208"/>
      <c r="W219" s="214"/>
      <c r="X219" s="3"/>
      <c r="Y219" s="3"/>
      <c r="Z219" s="53"/>
      <c r="AA219" s="165"/>
      <c r="AB219" s="3"/>
      <c r="AC219" s="3"/>
      <c r="AE219" s="58"/>
      <c r="AF219" s="1"/>
      <c r="AH219" s="17"/>
      <c r="AI219" s="17"/>
      <c r="AJ219" s="213"/>
      <c r="AK219" s="208"/>
      <c r="AL219" s="214"/>
      <c r="AM219" s="3"/>
      <c r="AN219" s="3"/>
      <c r="AO219" s="53"/>
      <c r="AP219" s="165"/>
      <c r="AQ219" s="3"/>
      <c r="AR219" s="3"/>
    </row>
    <row r="220" spans="1:45" x14ac:dyDescent="0.25">
      <c r="A220" s="1"/>
      <c r="B220" s="1"/>
      <c r="D220" s="17"/>
      <c r="E220" s="17"/>
      <c r="F220" s="213"/>
      <c r="G220" s="208"/>
      <c r="H220" s="214"/>
      <c r="I220" s="3"/>
      <c r="J220" s="3"/>
      <c r="K220" s="53"/>
      <c r="L220" s="165"/>
      <c r="M220" s="3"/>
      <c r="N220" s="3"/>
      <c r="P220" s="55"/>
      <c r="Q220" s="1"/>
      <c r="S220" s="17"/>
      <c r="T220" s="17"/>
      <c r="U220" s="213"/>
      <c r="V220" s="208"/>
      <c r="W220" s="214"/>
      <c r="X220" s="3"/>
      <c r="Y220" s="3"/>
      <c r="Z220" s="53"/>
      <c r="AA220" s="165"/>
      <c r="AB220" s="3"/>
      <c r="AC220" s="3"/>
      <c r="AE220" s="58"/>
      <c r="AF220" s="1"/>
      <c r="AH220" s="17"/>
      <c r="AI220" s="17"/>
      <c r="AJ220" s="213"/>
      <c r="AK220" s="208"/>
      <c r="AL220" s="214"/>
      <c r="AM220" s="3"/>
      <c r="AN220" s="3"/>
      <c r="AO220" s="53"/>
      <c r="AP220" s="165"/>
      <c r="AQ220" s="3"/>
      <c r="AR220" s="3"/>
    </row>
    <row r="221" spans="1:45" ht="13.8" thickBot="1" x14ac:dyDescent="0.3">
      <c r="A221" s="146"/>
      <c r="B221" s="146"/>
      <c r="C221" s="434"/>
      <c r="D221" s="147"/>
      <c r="E221" s="147"/>
      <c r="F221" s="219"/>
      <c r="G221" s="425"/>
      <c r="H221" s="220"/>
      <c r="I221" s="149"/>
      <c r="J221" s="149"/>
      <c r="K221" s="150"/>
      <c r="L221" s="186"/>
      <c r="M221" s="149"/>
      <c r="N221" s="149"/>
      <c r="O221" s="241"/>
      <c r="P221" s="154"/>
      <c r="Q221" s="146"/>
      <c r="R221" s="434"/>
      <c r="S221" s="147"/>
      <c r="T221" s="147"/>
      <c r="U221" s="219"/>
      <c r="V221" s="425"/>
      <c r="W221" s="220"/>
      <c r="X221" s="149"/>
      <c r="Y221" s="149"/>
      <c r="Z221" s="150"/>
      <c r="AA221" s="186"/>
      <c r="AB221" s="149"/>
      <c r="AC221" s="149"/>
      <c r="AD221" s="242"/>
      <c r="AE221" s="155"/>
      <c r="AF221" s="146"/>
      <c r="AG221" s="434"/>
      <c r="AH221" s="147"/>
      <c r="AI221" s="147"/>
      <c r="AJ221" s="219"/>
      <c r="AK221" s="425"/>
      <c r="AL221" s="220"/>
      <c r="AM221" s="149"/>
      <c r="AN221" s="149"/>
      <c r="AO221" s="150"/>
      <c r="AP221" s="186"/>
      <c r="AQ221" s="149"/>
      <c r="AR221" s="149"/>
      <c r="AS221" s="417"/>
    </row>
    <row r="222" spans="1:45" x14ac:dyDescent="0.25">
      <c r="A222" s="156"/>
      <c r="B222" s="157"/>
      <c r="C222" s="448"/>
      <c r="D222" s="198"/>
      <c r="E222" s="221"/>
      <c r="F222" s="157"/>
      <c r="G222" s="157"/>
      <c r="H222" s="159"/>
      <c r="I222" s="160"/>
      <c r="J222" s="160"/>
      <c r="K222" s="161"/>
      <c r="L222" s="162"/>
      <c r="M222" s="160"/>
      <c r="N222" s="160"/>
      <c r="O222" s="245"/>
      <c r="P222" s="156"/>
      <c r="Q222" s="157"/>
      <c r="R222" s="448"/>
      <c r="S222" s="198"/>
      <c r="T222" s="221"/>
      <c r="U222" s="157"/>
      <c r="V222" s="157"/>
      <c r="W222" s="159"/>
      <c r="X222" s="160"/>
      <c r="Y222" s="160"/>
      <c r="Z222" s="161"/>
      <c r="AA222" s="162"/>
      <c r="AB222" s="160"/>
      <c r="AC222" s="160"/>
      <c r="AD222" s="246"/>
      <c r="AE222" s="164"/>
      <c r="AF222" s="157"/>
      <c r="AG222" s="448"/>
      <c r="AH222" s="198"/>
      <c r="AI222" s="221"/>
      <c r="AJ222" s="157"/>
      <c r="AK222" s="157"/>
      <c r="AL222" s="159"/>
      <c r="AM222" s="160"/>
      <c r="AN222" s="160"/>
      <c r="AO222" s="161"/>
      <c r="AP222" s="162"/>
      <c r="AQ222" s="160"/>
      <c r="AR222" s="160"/>
      <c r="AS222" s="246"/>
    </row>
    <row r="223" spans="1:45" x14ac:dyDescent="0.25">
      <c r="A223" s="55"/>
      <c r="B223" s="406"/>
      <c r="C223" s="449"/>
      <c r="D223" s="200"/>
      <c r="E223" s="415"/>
      <c r="F223" s="406"/>
      <c r="G223" s="406"/>
      <c r="H223" s="2"/>
      <c r="I223" s="3"/>
      <c r="J223" s="3"/>
      <c r="K223" s="409"/>
      <c r="L223" s="165"/>
      <c r="M223" s="3"/>
      <c r="N223" s="3"/>
      <c r="P223" s="55"/>
      <c r="Q223" s="406"/>
      <c r="R223" s="449"/>
      <c r="S223" s="200"/>
      <c r="T223" s="415"/>
      <c r="U223" s="406"/>
      <c r="V223" s="406"/>
      <c r="W223" s="2"/>
      <c r="X223" s="3"/>
      <c r="Y223" s="3"/>
      <c r="Z223" s="409"/>
      <c r="AA223" s="165"/>
      <c r="AB223" s="3"/>
      <c r="AC223" s="3"/>
      <c r="AE223" s="411"/>
      <c r="AF223" s="406"/>
      <c r="AG223" s="449"/>
      <c r="AH223" s="200"/>
      <c r="AI223" s="415"/>
      <c r="AJ223" s="406"/>
      <c r="AK223" s="406"/>
      <c r="AL223" s="2"/>
      <c r="AM223" s="3"/>
      <c r="AN223" s="3"/>
      <c r="AO223" s="409"/>
      <c r="AP223" s="165"/>
      <c r="AQ223" s="3"/>
      <c r="AR223" s="3"/>
      <c r="AS223" s="91"/>
    </row>
    <row r="224" spans="1:45" x14ac:dyDescent="0.25">
      <c r="A224" s="55"/>
      <c r="B224" s="406"/>
      <c r="C224" s="449"/>
      <c r="D224" s="200"/>
      <c r="E224" s="415"/>
      <c r="F224" s="406"/>
      <c r="G224" s="406"/>
      <c r="H224" s="2"/>
      <c r="I224" s="3"/>
      <c r="J224" s="3"/>
      <c r="K224" s="409"/>
      <c r="L224" s="165"/>
      <c r="M224" s="3"/>
      <c r="N224" s="3"/>
      <c r="P224" s="55"/>
      <c r="Q224" s="406"/>
      <c r="R224" s="449"/>
      <c r="S224" s="200"/>
      <c r="T224" s="415"/>
      <c r="U224" s="406"/>
      <c r="V224" s="406"/>
      <c r="W224" s="2"/>
      <c r="X224" s="3"/>
      <c r="Y224" s="3"/>
      <c r="Z224" s="409"/>
      <c r="AA224" s="165"/>
      <c r="AB224" s="3"/>
      <c r="AC224" s="3"/>
      <c r="AE224" s="411"/>
      <c r="AF224" s="406"/>
      <c r="AG224" s="449"/>
      <c r="AH224" s="200"/>
      <c r="AI224" s="415"/>
      <c r="AJ224" s="406"/>
      <c r="AK224" s="406"/>
      <c r="AL224" s="2"/>
      <c r="AM224" s="3"/>
      <c r="AN224" s="3"/>
      <c r="AO224" s="409"/>
      <c r="AP224" s="165"/>
      <c r="AQ224" s="3"/>
      <c r="AR224" s="3"/>
      <c r="AS224" s="91"/>
    </row>
    <row r="225" spans="1:45" x14ac:dyDescent="0.25">
      <c r="A225" s="55"/>
      <c r="B225" s="406"/>
      <c r="C225" s="449"/>
      <c r="D225" s="200"/>
      <c r="E225" s="415"/>
      <c r="F225" s="406"/>
      <c r="G225" s="406"/>
      <c r="H225" s="2"/>
      <c r="I225" s="3"/>
      <c r="J225" s="3"/>
      <c r="K225" s="409"/>
      <c r="L225" s="165"/>
      <c r="M225" s="3"/>
      <c r="N225" s="3"/>
      <c r="P225" s="55"/>
      <c r="Q225" s="406"/>
      <c r="R225" s="449"/>
      <c r="S225" s="200"/>
      <c r="T225" s="415"/>
      <c r="U225" s="406"/>
      <c r="V225" s="406"/>
      <c r="W225" s="2"/>
      <c r="X225" s="3"/>
      <c r="Y225" s="3"/>
      <c r="Z225" s="409"/>
      <c r="AA225" s="165"/>
      <c r="AB225" s="3"/>
      <c r="AC225" s="3"/>
      <c r="AE225" s="411"/>
      <c r="AF225" s="406"/>
      <c r="AG225" s="449"/>
      <c r="AH225" s="200"/>
      <c r="AI225" s="415"/>
      <c r="AJ225" s="406"/>
      <c r="AK225" s="406"/>
      <c r="AL225" s="2"/>
      <c r="AM225" s="3"/>
      <c r="AN225" s="3"/>
      <c r="AO225" s="409"/>
      <c r="AP225" s="165"/>
      <c r="AQ225" s="3"/>
      <c r="AR225" s="3"/>
      <c r="AS225" s="91"/>
    </row>
    <row r="226" spans="1:45" x14ac:dyDescent="0.25">
      <c r="A226" s="55"/>
      <c r="B226" s="406"/>
      <c r="C226" s="449"/>
      <c r="D226" s="200"/>
      <c r="E226" s="415"/>
      <c r="F226" s="406"/>
      <c r="G226" s="406"/>
      <c r="H226" s="2"/>
      <c r="I226" s="3"/>
      <c r="J226" s="3"/>
      <c r="K226" s="409"/>
      <c r="L226" s="165"/>
      <c r="M226" s="3"/>
      <c r="N226" s="3"/>
      <c r="P226" s="55"/>
      <c r="Q226" s="406"/>
      <c r="R226" s="449"/>
      <c r="S226" s="200"/>
      <c r="T226" s="415"/>
      <c r="U226" s="406"/>
      <c r="V226" s="406"/>
      <c r="W226" s="2"/>
      <c r="X226" s="3"/>
      <c r="Y226" s="3"/>
      <c r="Z226" s="409"/>
      <c r="AA226" s="165"/>
      <c r="AB226" s="3"/>
      <c r="AC226" s="3"/>
      <c r="AE226" s="411"/>
      <c r="AF226" s="406"/>
      <c r="AG226" s="449"/>
      <c r="AH226" s="200"/>
      <c r="AI226" s="415"/>
      <c r="AJ226" s="406"/>
      <c r="AK226" s="406"/>
      <c r="AL226" s="2"/>
      <c r="AM226" s="3"/>
      <c r="AN226" s="3"/>
      <c r="AO226" s="409"/>
      <c r="AP226" s="165"/>
      <c r="AQ226" s="3"/>
      <c r="AR226" s="3"/>
      <c r="AS226" s="91"/>
    </row>
    <row r="227" spans="1:45" x14ac:dyDescent="0.25">
      <c r="A227" s="55"/>
      <c r="B227" s="406"/>
      <c r="C227" s="449"/>
      <c r="D227" s="200"/>
      <c r="E227" s="415"/>
      <c r="F227" s="406"/>
      <c r="G227" s="406"/>
      <c r="H227" s="2"/>
      <c r="I227" s="3"/>
      <c r="J227" s="3"/>
      <c r="K227" s="409"/>
      <c r="L227" s="165"/>
      <c r="M227" s="3"/>
      <c r="N227" s="3"/>
      <c r="P227" s="55"/>
      <c r="Q227" s="406"/>
      <c r="R227" s="449"/>
      <c r="S227" s="200"/>
      <c r="T227" s="415"/>
      <c r="U227" s="406"/>
      <c r="V227" s="406"/>
      <c r="W227" s="2"/>
      <c r="X227" s="3"/>
      <c r="Y227" s="3"/>
      <c r="Z227" s="409"/>
      <c r="AA227" s="165"/>
      <c r="AB227" s="3"/>
      <c r="AC227" s="3"/>
      <c r="AE227" s="411"/>
      <c r="AF227" s="406"/>
      <c r="AG227" s="449"/>
      <c r="AH227" s="200"/>
      <c r="AI227" s="415"/>
      <c r="AJ227" s="406"/>
      <c r="AK227" s="406"/>
      <c r="AL227" s="2"/>
      <c r="AM227" s="3"/>
      <c r="AN227" s="3"/>
      <c r="AO227" s="409"/>
      <c r="AP227" s="165"/>
      <c r="AQ227" s="3"/>
      <c r="AR227" s="3"/>
      <c r="AS227" s="91"/>
    </row>
    <row r="228" spans="1:45" x14ac:dyDescent="0.25">
      <c r="A228" s="55"/>
      <c r="B228" s="406"/>
      <c r="C228" s="449"/>
      <c r="D228" s="200"/>
      <c r="E228" s="415"/>
      <c r="F228" s="406"/>
      <c r="G228" s="406"/>
      <c r="H228" s="2"/>
      <c r="I228" s="3"/>
      <c r="J228" s="3"/>
      <c r="K228" s="409"/>
      <c r="L228" s="165"/>
      <c r="M228" s="3"/>
      <c r="N228" s="3"/>
      <c r="P228" s="55"/>
      <c r="Q228" s="406"/>
      <c r="R228" s="449"/>
      <c r="S228" s="200"/>
      <c r="T228" s="415"/>
      <c r="U228" s="406"/>
      <c r="V228" s="406"/>
      <c r="W228" s="2"/>
      <c r="X228" s="3"/>
      <c r="Y228" s="3"/>
      <c r="Z228" s="409"/>
      <c r="AA228" s="165"/>
      <c r="AB228" s="3"/>
      <c r="AC228" s="3"/>
      <c r="AE228" s="411"/>
      <c r="AF228" s="406"/>
      <c r="AG228" s="449"/>
      <c r="AH228" s="200"/>
      <c r="AI228" s="415"/>
      <c r="AJ228" s="406"/>
      <c r="AK228" s="406"/>
      <c r="AL228" s="2"/>
      <c r="AM228" s="3"/>
      <c r="AN228" s="3"/>
      <c r="AO228" s="409"/>
      <c r="AP228" s="165"/>
      <c r="AQ228" s="3"/>
      <c r="AR228" s="3"/>
      <c r="AS228" s="91"/>
    </row>
    <row r="229" spans="1:45" x14ac:dyDescent="0.25">
      <c r="A229" s="55"/>
      <c r="B229" s="406"/>
      <c r="C229" s="449"/>
      <c r="D229" s="200"/>
      <c r="E229" s="415"/>
      <c r="F229" s="406"/>
      <c r="G229" s="406"/>
      <c r="H229" s="2"/>
      <c r="I229" s="3"/>
      <c r="J229" s="3"/>
      <c r="K229" s="409"/>
      <c r="L229" s="165"/>
      <c r="M229" s="3"/>
      <c r="N229" s="3"/>
      <c r="P229" s="55"/>
      <c r="Q229" s="406"/>
      <c r="R229" s="449"/>
      <c r="S229" s="200"/>
      <c r="T229" s="415"/>
      <c r="U229" s="406"/>
      <c r="V229" s="406"/>
      <c r="W229" s="2"/>
      <c r="X229" s="3"/>
      <c r="Y229" s="3"/>
      <c r="Z229" s="409"/>
      <c r="AA229" s="165"/>
      <c r="AB229" s="3"/>
      <c r="AC229" s="3"/>
      <c r="AE229" s="411"/>
      <c r="AF229" s="406"/>
      <c r="AG229" s="449"/>
      <c r="AH229" s="200"/>
      <c r="AI229" s="415"/>
      <c r="AJ229" s="406"/>
      <c r="AK229" s="406"/>
      <c r="AL229" s="2"/>
      <c r="AM229" s="3"/>
      <c r="AN229" s="3"/>
      <c r="AO229" s="409"/>
      <c r="AP229" s="165"/>
      <c r="AQ229" s="3"/>
      <c r="AR229" s="3"/>
      <c r="AS229" s="91"/>
    </row>
    <row r="230" spans="1:45" x14ac:dyDescent="0.25">
      <c r="A230" s="55"/>
      <c r="B230" s="406"/>
      <c r="C230" s="449"/>
      <c r="D230" s="200"/>
      <c r="E230" s="415"/>
      <c r="F230" s="406"/>
      <c r="G230" s="406"/>
      <c r="H230" s="2"/>
      <c r="I230" s="3"/>
      <c r="J230" s="3"/>
      <c r="K230" s="409"/>
      <c r="L230" s="165"/>
      <c r="M230" s="3"/>
      <c r="N230" s="3"/>
      <c r="P230" s="55"/>
      <c r="Q230" s="406"/>
      <c r="R230" s="449"/>
      <c r="S230" s="200"/>
      <c r="T230" s="415"/>
      <c r="U230" s="406"/>
      <c r="V230" s="406"/>
      <c r="W230" s="2"/>
      <c r="X230" s="3"/>
      <c r="Y230" s="3"/>
      <c r="Z230" s="409"/>
      <c r="AA230" s="165"/>
      <c r="AB230" s="3"/>
      <c r="AC230" s="3"/>
      <c r="AE230" s="411"/>
      <c r="AF230" s="406"/>
      <c r="AG230" s="449"/>
      <c r="AH230" s="200"/>
      <c r="AI230" s="415"/>
      <c r="AJ230" s="406"/>
      <c r="AK230" s="406"/>
      <c r="AL230" s="2"/>
      <c r="AM230" s="3"/>
      <c r="AN230" s="3"/>
      <c r="AO230" s="409"/>
      <c r="AP230" s="165"/>
      <c r="AQ230" s="3"/>
      <c r="AR230" s="3"/>
      <c r="AS230" s="91"/>
    </row>
    <row r="231" spans="1:45" x14ac:dyDescent="0.25">
      <c r="A231" s="55"/>
      <c r="B231" s="406"/>
      <c r="C231" s="449"/>
      <c r="D231" s="200"/>
      <c r="E231" s="415"/>
      <c r="F231" s="406"/>
      <c r="G231" s="406"/>
      <c r="H231" s="2"/>
      <c r="I231" s="3"/>
      <c r="J231" s="3"/>
      <c r="K231" s="409"/>
      <c r="L231" s="165"/>
      <c r="M231" s="3"/>
      <c r="N231" s="3"/>
      <c r="P231" s="55"/>
      <c r="Q231" s="406"/>
      <c r="R231" s="449"/>
      <c r="S231" s="200"/>
      <c r="T231" s="415"/>
      <c r="U231" s="406"/>
      <c r="V231" s="406"/>
      <c r="W231" s="2"/>
      <c r="X231" s="3"/>
      <c r="Y231" s="3"/>
      <c r="Z231" s="409"/>
      <c r="AA231" s="165"/>
      <c r="AB231" s="3"/>
      <c r="AC231" s="3"/>
      <c r="AE231" s="411"/>
      <c r="AF231" s="406"/>
      <c r="AG231" s="449"/>
      <c r="AH231" s="200"/>
      <c r="AI231" s="415"/>
      <c r="AJ231" s="406"/>
      <c r="AK231" s="406"/>
      <c r="AL231" s="2"/>
      <c r="AM231" s="3"/>
      <c r="AN231" s="3"/>
      <c r="AO231" s="409"/>
      <c r="AP231" s="165"/>
      <c r="AQ231" s="3"/>
      <c r="AR231" s="3"/>
      <c r="AS231" s="91"/>
    </row>
    <row r="232" spans="1:45" x14ac:dyDescent="0.25">
      <c r="A232" s="55"/>
      <c r="B232" s="406"/>
      <c r="C232" s="449"/>
      <c r="D232" s="200"/>
      <c r="E232" s="415"/>
      <c r="F232" s="406"/>
      <c r="G232" s="406"/>
      <c r="H232" s="2"/>
      <c r="I232" s="3"/>
      <c r="J232" s="3"/>
      <c r="K232" s="409"/>
      <c r="L232" s="165"/>
      <c r="M232" s="3"/>
      <c r="N232" s="3"/>
      <c r="P232" s="55"/>
      <c r="Q232" s="406"/>
      <c r="R232" s="449"/>
      <c r="S232" s="200"/>
      <c r="T232" s="415"/>
      <c r="U232" s="406"/>
      <c r="V232" s="406"/>
      <c r="W232" s="2"/>
      <c r="X232" s="3"/>
      <c r="Y232" s="3"/>
      <c r="Z232" s="409"/>
      <c r="AA232" s="165"/>
      <c r="AB232" s="3"/>
      <c r="AC232" s="3"/>
      <c r="AE232" s="411"/>
      <c r="AF232" s="406"/>
      <c r="AG232" s="449"/>
      <c r="AH232" s="200"/>
      <c r="AI232" s="415"/>
      <c r="AJ232" s="406"/>
      <c r="AK232" s="406"/>
      <c r="AL232" s="2"/>
      <c r="AM232" s="3"/>
      <c r="AN232" s="3"/>
      <c r="AO232" s="409"/>
      <c r="AP232" s="165"/>
      <c r="AQ232" s="3"/>
      <c r="AR232" s="3"/>
      <c r="AS232" s="91"/>
    </row>
    <row r="233" spans="1:45" x14ac:dyDescent="0.25">
      <c r="A233" s="55"/>
      <c r="B233" s="406"/>
      <c r="C233" s="449"/>
      <c r="D233" s="200"/>
      <c r="E233" s="415"/>
      <c r="F233" s="406"/>
      <c r="G233" s="406"/>
      <c r="H233" s="2"/>
      <c r="I233" s="3"/>
      <c r="J233" s="3"/>
      <c r="K233" s="409"/>
      <c r="L233" s="165"/>
      <c r="M233" s="3"/>
      <c r="N233" s="3"/>
      <c r="P233" s="55"/>
      <c r="Q233" s="406"/>
      <c r="R233" s="449"/>
      <c r="S233" s="200"/>
      <c r="T233" s="415"/>
      <c r="U233" s="406"/>
      <c r="V233" s="406"/>
      <c r="W233" s="2"/>
      <c r="X233" s="3"/>
      <c r="Y233" s="3"/>
      <c r="Z233" s="409"/>
      <c r="AA233" s="165"/>
      <c r="AB233" s="3"/>
      <c r="AC233" s="3"/>
      <c r="AE233" s="411"/>
      <c r="AF233" s="406"/>
      <c r="AG233" s="449"/>
      <c r="AH233" s="200"/>
      <c r="AI233" s="415"/>
      <c r="AJ233" s="406"/>
      <c r="AK233" s="406"/>
      <c r="AL233" s="2"/>
      <c r="AM233" s="3"/>
      <c r="AN233" s="3"/>
      <c r="AO233" s="409"/>
      <c r="AP233" s="165"/>
      <c r="AQ233" s="3"/>
      <c r="AR233" s="3"/>
      <c r="AS233" s="91"/>
    </row>
    <row r="234" spans="1:45" x14ac:dyDescent="0.25">
      <c r="A234" s="55"/>
      <c r="B234" s="406"/>
      <c r="C234" s="449"/>
      <c r="D234" s="200"/>
      <c r="E234" s="415"/>
      <c r="F234" s="406"/>
      <c r="G234" s="406"/>
      <c r="H234" s="2"/>
      <c r="I234" s="3"/>
      <c r="J234" s="3"/>
      <c r="K234" s="409"/>
      <c r="L234" s="165"/>
      <c r="M234" s="3"/>
      <c r="N234" s="3"/>
      <c r="P234" s="55"/>
      <c r="Q234" s="406"/>
      <c r="R234" s="449"/>
      <c r="S234" s="200"/>
      <c r="T234" s="415"/>
      <c r="U234" s="406"/>
      <c r="V234" s="406"/>
      <c r="W234" s="2"/>
      <c r="X234" s="3"/>
      <c r="Y234" s="3"/>
      <c r="Z234" s="409"/>
      <c r="AA234" s="165"/>
      <c r="AB234" s="3"/>
      <c r="AC234" s="3"/>
      <c r="AE234" s="411"/>
      <c r="AF234" s="406"/>
      <c r="AG234" s="449"/>
      <c r="AH234" s="200"/>
      <c r="AI234" s="415"/>
      <c r="AJ234" s="406"/>
      <c r="AK234" s="406"/>
      <c r="AL234" s="2"/>
      <c r="AM234" s="3"/>
      <c r="AN234" s="3"/>
      <c r="AO234" s="409"/>
      <c r="AP234" s="165"/>
      <c r="AQ234" s="3"/>
      <c r="AR234" s="3"/>
      <c r="AS234" s="91"/>
    </row>
    <row r="235" spans="1:45" x14ac:dyDescent="0.25">
      <c r="A235" s="55"/>
      <c r="B235" s="406"/>
      <c r="C235" s="449"/>
      <c r="D235" s="200"/>
      <c r="E235" s="415"/>
      <c r="F235" s="406"/>
      <c r="G235" s="406"/>
      <c r="H235" s="2"/>
      <c r="I235" s="3"/>
      <c r="J235" s="3"/>
      <c r="K235" s="409"/>
      <c r="L235" s="165"/>
      <c r="M235" s="3"/>
      <c r="N235" s="3"/>
      <c r="P235" s="55"/>
      <c r="Q235" s="406"/>
      <c r="R235" s="449"/>
      <c r="S235" s="200"/>
      <c r="T235" s="415"/>
      <c r="U235" s="406"/>
      <c r="V235" s="406"/>
      <c r="W235" s="2"/>
      <c r="X235" s="3"/>
      <c r="Y235" s="3"/>
      <c r="Z235" s="409"/>
      <c r="AA235" s="165"/>
      <c r="AB235" s="3"/>
      <c r="AC235" s="3"/>
      <c r="AE235" s="411"/>
      <c r="AF235" s="406"/>
      <c r="AG235" s="449"/>
      <c r="AH235" s="200"/>
      <c r="AI235" s="415"/>
      <c r="AJ235" s="406"/>
      <c r="AK235" s="406"/>
      <c r="AL235" s="2"/>
      <c r="AM235" s="3"/>
      <c r="AN235" s="3"/>
      <c r="AO235" s="409"/>
      <c r="AP235" s="165"/>
      <c r="AQ235" s="3"/>
      <c r="AR235" s="3"/>
      <c r="AS235" s="91"/>
    </row>
    <row r="236" spans="1:45" x14ac:dyDescent="0.25">
      <c r="A236" s="55"/>
      <c r="B236" s="406"/>
      <c r="C236" s="449"/>
      <c r="D236" s="200"/>
      <c r="E236" s="415"/>
      <c r="F236" s="406"/>
      <c r="G236" s="406"/>
      <c r="H236" s="2"/>
      <c r="I236" s="3"/>
      <c r="J236" s="3"/>
      <c r="K236" s="409"/>
      <c r="L236" s="165"/>
      <c r="M236" s="3"/>
      <c r="N236" s="3"/>
      <c r="P236" s="55"/>
      <c r="Q236" s="406"/>
      <c r="R236" s="449"/>
      <c r="S236" s="200"/>
      <c r="T236" s="415"/>
      <c r="U236" s="406"/>
      <c r="V236" s="406"/>
      <c r="W236" s="2"/>
      <c r="X236" s="3"/>
      <c r="Y236" s="3"/>
      <c r="Z236" s="409"/>
      <c r="AA236" s="165"/>
      <c r="AB236" s="3"/>
      <c r="AC236" s="3"/>
      <c r="AE236" s="411"/>
      <c r="AF236" s="406"/>
      <c r="AG236" s="449"/>
      <c r="AH236" s="200"/>
      <c r="AI236" s="415"/>
      <c r="AJ236" s="406"/>
      <c r="AK236" s="406"/>
      <c r="AL236" s="2"/>
      <c r="AM236" s="3"/>
      <c r="AN236" s="3"/>
      <c r="AO236" s="409"/>
      <c r="AP236" s="165"/>
      <c r="AQ236" s="3"/>
      <c r="AR236" s="3"/>
      <c r="AS236" s="91"/>
    </row>
    <row r="237" spans="1:45" x14ac:dyDescent="0.25">
      <c r="A237" s="55"/>
      <c r="B237" s="406"/>
      <c r="C237" s="449"/>
      <c r="D237" s="200"/>
      <c r="E237" s="415"/>
      <c r="F237" s="406"/>
      <c r="G237" s="406"/>
      <c r="H237" s="2"/>
      <c r="I237" s="3"/>
      <c r="J237" s="3"/>
      <c r="K237" s="409"/>
      <c r="L237" s="165"/>
      <c r="M237" s="3"/>
      <c r="N237" s="3"/>
      <c r="P237" s="55"/>
      <c r="Q237" s="406"/>
      <c r="R237" s="449"/>
      <c r="S237" s="200"/>
      <c r="T237" s="415"/>
      <c r="U237" s="406"/>
      <c r="V237" s="406"/>
      <c r="W237" s="2"/>
      <c r="X237" s="3"/>
      <c r="Y237" s="3"/>
      <c r="Z237" s="409"/>
      <c r="AA237" s="165"/>
      <c r="AB237" s="3"/>
      <c r="AC237" s="3"/>
      <c r="AE237" s="411"/>
      <c r="AF237" s="406"/>
      <c r="AG237" s="449"/>
      <c r="AH237" s="200"/>
      <c r="AI237" s="415"/>
      <c r="AJ237" s="406"/>
      <c r="AK237" s="406"/>
      <c r="AL237" s="2"/>
      <c r="AM237" s="3"/>
      <c r="AN237" s="3"/>
      <c r="AO237" s="409"/>
      <c r="AP237" s="165"/>
      <c r="AQ237" s="3"/>
      <c r="AR237" s="3"/>
      <c r="AS237" s="91"/>
    </row>
    <row r="238" spans="1:45" x14ac:dyDescent="0.25">
      <c r="A238" s="55"/>
      <c r="B238" s="406"/>
      <c r="C238" s="449"/>
      <c r="D238" s="200"/>
      <c r="E238" s="415"/>
      <c r="F238" s="406"/>
      <c r="G238" s="406"/>
      <c r="H238" s="2"/>
      <c r="I238" s="3"/>
      <c r="J238" s="3"/>
      <c r="K238" s="409"/>
      <c r="L238" s="165"/>
      <c r="M238" s="3"/>
      <c r="N238" s="3"/>
      <c r="P238" s="55"/>
      <c r="Q238" s="406"/>
      <c r="R238" s="449"/>
      <c r="S238" s="200"/>
      <c r="T238" s="415"/>
      <c r="U238" s="406"/>
      <c r="V238" s="406"/>
      <c r="W238" s="2"/>
      <c r="X238" s="3"/>
      <c r="Y238" s="3"/>
      <c r="Z238" s="409"/>
      <c r="AA238" s="165"/>
      <c r="AB238" s="3"/>
      <c r="AC238" s="3"/>
      <c r="AE238" s="411"/>
      <c r="AF238" s="406"/>
      <c r="AG238" s="449"/>
      <c r="AH238" s="200"/>
      <c r="AI238" s="415"/>
      <c r="AJ238" s="406"/>
      <c r="AK238" s="406"/>
      <c r="AL238" s="2"/>
      <c r="AM238" s="3"/>
      <c r="AN238" s="3"/>
      <c r="AO238" s="409"/>
      <c r="AP238" s="165"/>
      <c r="AQ238" s="3"/>
      <c r="AR238" s="3"/>
      <c r="AS238" s="91"/>
    </row>
    <row r="239" spans="1:45" x14ac:dyDescent="0.25">
      <c r="A239" s="55"/>
      <c r="B239" s="406"/>
      <c r="C239" s="449"/>
      <c r="D239" s="200"/>
      <c r="E239" s="415"/>
      <c r="F239" s="406"/>
      <c r="G239" s="406"/>
      <c r="H239" s="2"/>
      <c r="I239" s="3"/>
      <c r="J239" s="3"/>
      <c r="K239" s="409"/>
      <c r="L239" s="165"/>
      <c r="M239" s="3"/>
      <c r="N239" s="3"/>
      <c r="P239" s="55"/>
      <c r="Q239" s="406"/>
      <c r="R239" s="449"/>
      <c r="S239" s="200"/>
      <c r="T239" s="415"/>
      <c r="U239" s="406"/>
      <c r="V239" s="406"/>
      <c r="W239" s="2"/>
      <c r="X239" s="3"/>
      <c r="Y239" s="3"/>
      <c r="Z239" s="409"/>
      <c r="AA239" s="165"/>
      <c r="AB239" s="3"/>
      <c r="AC239" s="3"/>
      <c r="AE239" s="411"/>
      <c r="AF239" s="406"/>
      <c r="AG239" s="449"/>
      <c r="AH239" s="200"/>
      <c r="AI239" s="415"/>
      <c r="AJ239" s="406"/>
      <c r="AK239" s="406"/>
      <c r="AL239" s="2"/>
      <c r="AM239" s="3"/>
      <c r="AN239" s="3"/>
      <c r="AO239" s="409"/>
      <c r="AP239" s="165"/>
      <c r="AQ239" s="3"/>
      <c r="AR239" s="3"/>
      <c r="AS239" s="91"/>
    </row>
    <row r="240" spans="1:45" x14ac:dyDescent="0.25">
      <c r="A240" s="55"/>
      <c r="B240" s="406"/>
      <c r="C240" s="449"/>
      <c r="D240" s="200"/>
      <c r="E240" s="415"/>
      <c r="F240" s="406"/>
      <c r="G240" s="406"/>
      <c r="H240" s="2"/>
      <c r="I240" s="3"/>
      <c r="J240" s="3"/>
      <c r="K240" s="409"/>
      <c r="L240" s="165"/>
      <c r="M240" s="3"/>
      <c r="N240" s="3"/>
      <c r="P240" s="55"/>
      <c r="Q240" s="406"/>
      <c r="R240" s="449"/>
      <c r="S240" s="200"/>
      <c r="T240" s="415"/>
      <c r="U240" s="406"/>
      <c r="V240" s="406"/>
      <c r="W240" s="2"/>
      <c r="X240" s="3"/>
      <c r="Y240" s="3"/>
      <c r="Z240" s="409"/>
      <c r="AA240" s="165"/>
      <c r="AB240" s="3"/>
      <c r="AC240" s="3"/>
      <c r="AE240" s="411"/>
      <c r="AF240" s="406"/>
      <c r="AG240" s="449"/>
      <c r="AH240" s="200"/>
      <c r="AI240" s="415"/>
      <c r="AJ240" s="406"/>
      <c r="AK240" s="406"/>
      <c r="AL240" s="2"/>
      <c r="AM240" s="3"/>
      <c r="AN240" s="3"/>
      <c r="AO240" s="409"/>
      <c r="AP240" s="165"/>
      <c r="AQ240" s="3"/>
      <c r="AR240" s="3"/>
      <c r="AS240" s="91"/>
    </row>
    <row r="241" spans="1:45" ht="13.8" thickBot="1" x14ac:dyDescent="0.3">
      <c r="A241" s="66"/>
      <c r="B241" s="167"/>
      <c r="C241" s="450"/>
      <c r="D241" s="202"/>
      <c r="E241" s="223"/>
      <c r="F241" s="167"/>
      <c r="G241" s="167"/>
      <c r="H241" s="169"/>
      <c r="I241" s="170"/>
      <c r="J241" s="170"/>
      <c r="K241" s="171"/>
      <c r="L241" s="172"/>
      <c r="M241" s="170"/>
      <c r="N241" s="170"/>
      <c r="O241" s="249"/>
      <c r="P241" s="66"/>
      <c r="Q241" s="167"/>
      <c r="R241" s="450"/>
      <c r="S241" s="202"/>
      <c r="T241" s="223"/>
      <c r="U241" s="167"/>
      <c r="V241" s="167"/>
      <c r="W241" s="169"/>
      <c r="X241" s="170"/>
      <c r="Y241" s="170"/>
      <c r="Z241" s="171"/>
      <c r="AA241" s="172"/>
      <c r="AB241" s="170"/>
      <c r="AC241" s="170"/>
      <c r="AD241" s="250"/>
      <c r="AE241" s="174"/>
      <c r="AF241" s="167"/>
      <c r="AG241" s="450"/>
      <c r="AH241" s="202"/>
      <c r="AI241" s="223"/>
      <c r="AJ241" s="167"/>
      <c r="AK241" s="167"/>
      <c r="AL241" s="169"/>
      <c r="AM241" s="170"/>
      <c r="AN241" s="170"/>
      <c r="AO241" s="171"/>
      <c r="AP241" s="172"/>
      <c r="AQ241" s="170"/>
      <c r="AR241" s="170"/>
      <c r="AS241" s="250"/>
    </row>
    <row r="242" spans="1:45" x14ac:dyDescent="0.25">
      <c r="A242" s="69"/>
      <c r="B242" s="69"/>
      <c r="C242" s="451"/>
      <c r="D242" s="204"/>
      <c r="E242" s="224"/>
      <c r="F242" s="69"/>
      <c r="G242" s="69"/>
      <c r="H242" s="176"/>
      <c r="I242" s="180"/>
      <c r="J242" s="180"/>
      <c r="K242" s="205"/>
      <c r="L242" s="179"/>
      <c r="M242" s="180"/>
      <c r="N242" s="180"/>
      <c r="O242" s="419"/>
      <c r="P242" s="181"/>
      <c r="Q242" s="69"/>
      <c r="R242" s="451"/>
      <c r="S242" s="204"/>
      <c r="T242" s="224"/>
      <c r="U242" s="69"/>
      <c r="V242" s="69"/>
      <c r="W242" s="176"/>
      <c r="X242" s="180"/>
      <c r="Y242" s="180"/>
      <c r="Z242" s="205"/>
      <c r="AA242" s="179"/>
      <c r="AB242" s="180"/>
      <c r="AC242" s="180"/>
      <c r="AD242" s="420"/>
      <c r="AE242" s="182"/>
      <c r="AF242" s="69"/>
      <c r="AG242" s="451"/>
      <c r="AH242" s="204"/>
      <c r="AI242" s="224"/>
      <c r="AJ242" s="69"/>
      <c r="AK242" s="69"/>
      <c r="AL242" s="176"/>
      <c r="AM242" s="180"/>
      <c r="AN242" s="180"/>
      <c r="AO242" s="205"/>
      <c r="AP242" s="179"/>
      <c r="AQ242" s="180"/>
      <c r="AR242" s="180"/>
      <c r="AS242" s="421"/>
    </row>
    <row r="243" spans="1:45" x14ac:dyDescent="0.25">
      <c r="A243" s="1"/>
      <c r="B243" s="1"/>
      <c r="C243" s="449"/>
      <c r="D243" s="200"/>
      <c r="E243" s="222"/>
      <c r="F243" s="1"/>
      <c r="G243" s="1"/>
      <c r="H243" s="2"/>
      <c r="I243" s="3"/>
      <c r="J243" s="3"/>
      <c r="K243" s="53"/>
      <c r="L243" s="165"/>
      <c r="M243" s="3"/>
      <c r="N243" s="3"/>
      <c r="P243" s="55"/>
      <c r="Q243" s="1"/>
      <c r="R243" s="449"/>
      <c r="S243" s="200"/>
      <c r="T243" s="222"/>
      <c r="U243" s="1"/>
      <c r="V243" s="1"/>
      <c r="W243" s="2"/>
      <c r="X243" s="3"/>
      <c r="Y243" s="3"/>
      <c r="Z243" s="53"/>
      <c r="AA243" s="165"/>
      <c r="AB243" s="3"/>
      <c r="AC243" s="3"/>
      <c r="AE243" s="58"/>
      <c r="AF243" s="1"/>
      <c r="AG243" s="449"/>
      <c r="AH243" s="200"/>
      <c r="AI243" s="222"/>
      <c r="AJ243" s="1"/>
      <c r="AK243" s="1"/>
      <c r="AL243" s="2"/>
      <c r="AM243" s="3"/>
      <c r="AN243" s="3"/>
      <c r="AO243" s="53"/>
      <c r="AP243" s="165"/>
      <c r="AQ243" s="3"/>
      <c r="AR243" s="3"/>
    </row>
    <row r="244" spans="1:45" x14ac:dyDescent="0.25">
      <c r="A244" s="1"/>
      <c r="B244" s="1"/>
      <c r="C244" s="449"/>
      <c r="D244" s="200"/>
      <c r="E244" s="222"/>
      <c r="F244" s="1"/>
      <c r="G244" s="1"/>
      <c r="H244" s="2"/>
      <c r="I244" s="3"/>
      <c r="J244" s="3"/>
      <c r="K244" s="53"/>
      <c r="L244" s="165"/>
      <c r="M244" s="3"/>
      <c r="N244" s="3"/>
      <c r="P244" s="55"/>
      <c r="Q244" s="1"/>
      <c r="R244" s="449"/>
      <c r="S244" s="200"/>
      <c r="T244" s="222"/>
      <c r="U244" s="1"/>
      <c r="V244" s="1"/>
      <c r="W244" s="2"/>
      <c r="X244" s="3"/>
      <c r="Y244" s="3"/>
      <c r="Z244" s="53"/>
      <c r="AA244" s="165"/>
      <c r="AB244" s="3"/>
      <c r="AC244" s="3"/>
      <c r="AE244" s="58"/>
      <c r="AF244" s="1"/>
      <c r="AG244" s="449"/>
      <c r="AH244" s="200"/>
      <c r="AI244" s="222"/>
      <c r="AJ244" s="1"/>
      <c r="AK244" s="1"/>
      <c r="AL244" s="2"/>
      <c r="AM244" s="3"/>
      <c r="AN244" s="3"/>
      <c r="AO244" s="53"/>
      <c r="AP244" s="165"/>
      <c r="AQ244" s="3"/>
      <c r="AR244" s="3"/>
    </row>
    <row r="245" spans="1:45" x14ac:dyDescent="0.25">
      <c r="A245" s="1"/>
      <c r="B245" s="1"/>
      <c r="C245" s="449"/>
      <c r="D245" s="200"/>
      <c r="E245" s="222"/>
      <c r="F245" s="1"/>
      <c r="G245" s="1"/>
      <c r="H245" s="2"/>
      <c r="I245" s="3"/>
      <c r="J245" s="3"/>
      <c r="K245" s="53"/>
      <c r="L245" s="165"/>
      <c r="M245" s="3"/>
      <c r="N245" s="3"/>
      <c r="P245" s="55"/>
      <c r="Q245" s="1"/>
      <c r="R245" s="449"/>
      <c r="S245" s="200"/>
      <c r="T245" s="222"/>
      <c r="U245" s="1"/>
      <c r="V245" s="1"/>
      <c r="W245" s="2"/>
      <c r="X245" s="3"/>
      <c r="Y245" s="3"/>
      <c r="Z245" s="53"/>
      <c r="AA245" s="165"/>
      <c r="AB245" s="3"/>
      <c r="AC245" s="3"/>
      <c r="AE245" s="58"/>
      <c r="AF245" s="1"/>
      <c r="AG245" s="449"/>
      <c r="AH245" s="200"/>
      <c r="AI245" s="222"/>
      <c r="AJ245" s="1"/>
      <c r="AK245" s="1"/>
      <c r="AL245" s="2"/>
      <c r="AM245" s="3"/>
      <c r="AN245" s="3"/>
      <c r="AO245" s="53"/>
      <c r="AP245" s="165"/>
      <c r="AQ245" s="3"/>
      <c r="AR245" s="3"/>
    </row>
    <row r="246" spans="1:45" x14ac:dyDescent="0.25">
      <c r="A246" s="1"/>
      <c r="B246" s="1"/>
      <c r="C246" s="449"/>
      <c r="D246" s="200"/>
      <c r="E246" s="222"/>
      <c r="F246" s="1"/>
      <c r="G246" s="1"/>
      <c r="H246" s="2"/>
      <c r="I246" s="3"/>
      <c r="J246" s="3"/>
      <c r="K246" s="53"/>
      <c r="L246" s="165"/>
      <c r="M246" s="3"/>
      <c r="N246" s="3"/>
      <c r="P246" s="55"/>
      <c r="Q246" s="1"/>
      <c r="R246" s="449"/>
      <c r="S246" s="200"/>
      <c r="T246" s="222"/>
      <c r="U246" s="1"/>
      <c r="V246" s="1"/>
      <c r="W246" s="2"/>
      <c r="X246" s="3"/>
      <c r="Y246" s="3"/>
      <c r="Z246" s="53"/>
      <c r="AA246" s="165"/>
      <c r="AB246" s="3"/>
      <c r="AC246" s="3"/>
      <c r="AE246" s="58"/>
      <c r="AF246" s="1"/>
      <c r="AG246" s="449"/>
      <c r="AH246" s="200"/>
      <c r="AI246" s="222"/>
      <c r="AJ246" s="1"/>
      <c r="AK246" s="1"/>
      <c r="AL246" s="2"/>
      <c r="AM246" s="3"/>
      <c r="AN246" s="3"/>
      <c r="AO246" s="53"/>
      <c r="AP246" s="165"/>
      <c r="AQ246" s="3"/>
      <c r="AR246" s="3"/>
    </row>
    <row r="247" spans="1:45" x14ac:dyDescent="0.25">
      <c r="A247" s="1"/>
      <c r="B247" s="1"/>
      <c r="C247" s="449"/>
      <c r="D247" s="200"/>
      <c r="E247" s="222"/>
      <c r="F247" s="1"/>
      <c r="G247" s="1"/>
      <c r="H247" s="2"/>
      <c r="I247" s="3"/>
      <c r="J247" s="3"/>
      <c r="K247" s="53"/>
      <c r="L247" s="165"/>
      <c r="M247" s="3"/>
      <c r="N247" s="3"/>
      <c r="P247" s="55"/>
      <c r="Q247" s="1"/>
      <c r="R247" s="449"/>
      <c r="S247" s="200"/>
      <c r="T247" s="222"/>
      <c r="U247" s="1"/>
      <c r="V247" s="1"/>
      <c r="W247" s="2"/>
      <c r="X247" s="3"/>
      <c r="Y247" s="3"/>
      <c r="Z247" s="53"/>
      <c r="AA247" s="165"/>
      <c r="AB247" s="3"/>
      <c r="AC247" s="3"/>
      <c r="AE247" s="58"/>
      <c r="AF247" s="1"/>
      <c r="AG247" s="449"/>
      <c r="AH247" s="200"/>
      <c r="AI247" s="222"/>
      <c r="AJ247" s="1"/>
      <c r="AK247" s="1"/>
      <c r="AL247" s="2"/>
      <c r="AM247" s="3"/>
      <c r="AN247" s="3"/>
      <c r="AO247" s="53"/>
      <c r="AP247" s="165"/>
      <c r="AQ247" s="3"/>
      <c r="AR247" s="3"/>
    </row>
    <row r="248" spans="1:45" x14ac:dyDescent="0.25">
      <c r="A248" s="1"/>
      <c r="B248" s="1"/>
      <c r="C248" s="449"/>
      <c r="D248" s="200"/>
      <c r="E248" s="222"/>
      <c r="F248" s="1"/>
      <c r="G248" s="1"/>
      <c r="H248" s="2"/>
      <c r="I248" s="3"/>
      <c r="J248" s="3"/>
      <c r="K248" s="53"/>
      <c r="L248" s="165"/>
      <c r="M248" s="3"/>
      <c r="N248" s="3"/>
      <c r="P248" s="55"/>
      <c r="Q248" s="1"/>
      <c r="R248" s="449"/>
      <c r="S248" s="200"/>
      <c r="T248" s="222"/>
      <c r="U248" s="1"/>
      <c r="V248" s="1"/>
      <c r="W248" s="2"/>
      <c r="X248" s="3"/>
      <c r="Y248" s="3"/>
      <c r="Z248" s="53"/>
      <c r="AA248" s="165"/>
      <c r="AB248" s="3"/>
      <c r="AC248" s="3"/>
      <c r="AE248" s="58"/>
      <c r="AF248" s="1"/>
      <c r="AG248" s="449"/>
      <c r="AH248" s="200"/>
      <c r="AI248" s="222"/>
      <c r="AJ248" s="1"/>
      <c r="AK248" s="1"/>
      <c r="AL248" s="2"/>
      <c r="AM248" s="3"/>
      <c r="AN248" s="3"/>
      <c r="AO248" s="53"/>
      <c r="AP248" s="165"/>
      <c r="AQ248" s="3"/>
      <c r="AR248" s="3"/>
    </row>
    <row r="249" spans="1:45" x14ac:dyDescent="0.25">
      <c r="A249" s="1"/>
      <c r="B249" s="1"/>
      <c r="C249" s="449"/>
      <c r="D249" s="200"/>
      <c r="E249" s="222"/>
      <c r="F249" s="1"/>
      <c r="G249" s="1"/>
      <c r="H249" s="2"/>
      <c r="I249" s="3"/>
      <c r="J249" s="3"/>
      <c r="K249" s="53"/>
      <c r="L249" s="165"/>
      <c r="M249" s="3"/>
      <c r="N249" s="3"/>
      <c r="P249" s="55"/>
      <c r="Q249" s="1"/>
      <c r="R249" s="449"/>
      <c r="S249" s="200"/>
      <c r="T249" s="222"/>
      <c r="U249" s="1"/>
      <c r="V249" s="1"/>
      <c r="W249" s="2"/>
      <c r="X249" s="3"/>
      <c r="Y249" s="3"/>
      <c r="Z249" s="53"/>
      <c r="AA249" s="165"/>
      <c r="AB249" s="3"/>
      <c r="AC249" s="3"/>
      <c r="AE249" s="58"/>
      <c r="AF249" s="1"/>
      <c r="AG249" s="449"/>
      <c r="AH249" s="200"/>
      <c r="AI249" s="222"/>
      <c r="AJ249" s="1"/>
      <c r="AK249" s="1"/>
      <c r="AL249" s="2"/>
      <c r="AM249" s="3"/>
      <c r="AN249" s="3"/>
      <c r="AO249" s="53"/>
      <c r="AP249" s="165"/>
      <c r="AQ249" s="3"/>
      <c r="AR249" s="3"/>
    </row>
    <row r="250" spans="1:45" x14ac:dyDescent="0.25">
      <c r="A250" s="1"/>
      <c r="B250" s="1"/>
      <c r="C250" s="449"/>
      <c r="D250" s="200"/>
      <c r="E250" s="222"/>
      <c r="F250" s="1"/>
      <c r="G250" s="1"/>
      <c r="H250" s="2"/>
      <c r="I250" s="3"/>
      <c r="J250" s="3"/>
      <c r="K250" s="53"/>
      <c r="L250" s="165"/>
      <c r="M250" s="3"/>
      <c r="N250" s="3"/>
      <c r="P250" s="55"/>
      <c r="Q250" s="1"/>
      <c r="R250" s="449"/>
      <c r="S250" s="200"/>
      <c r="T250" s="222"/>
      <c r="U250" s="1"/>
      <c r="V250" s="1"/>
      <c r="W250" s="2"/>
      <c r="X250" s="3"/>
      <c r="Y250" s="3"/>
      <c r="Z250" s="53"/>
      <c r="AA250" s="165"/>
      <c r="AB250" s="3"/>
      <c r="AC250" s="3"/>
      <c r="AE250" s="58"/>
      <c r="AF250" s="1"/>
      <c r="AG250" s="449"/>
      <c r="AH250" s="200"/>
      <c r="AI250" s="222"/>
      <c r="AJ250" s="1"/>
      <c r="AK250" s="1"/>
      <c r="AL250" s="2"/>
      <c r="AM250" s="3"/>
      <c r="AN250" s="3"/>
      <c r="AO250" s="53"/>
      <c r="AP250" s="165"/>
      <c r="AQ250" s="3"/>
      <c r="AR250" s="3"/>
    </row>
    <row r="251" spans="1:45" x14ac:dyDescent="0.25">
      <c r="A251" s="1"/>
      <c r="B251" s="1"/>
      <c r="C251" s="449"/>
      <c r="D251" s="200"/>
      <c r="E251" s="222"/>
      <c r="F251" s="1"/>
      <c r="G251" s="1"/>
      <c r="H251" s="2"/>
      <c r="I251" s="3"/>
      <c r="J251" s="3"/>
      <c r="K251" s="53"/>
      <c r="L251" s="165"/>
      <c r="M251" s="3"/>
      <c r="N251" s="3"/>
      <c r="P251" s="55"/>
      <c r="Q251" s="1"/>
      <c r="R251" s="449"/>
      <c r="S251" s="200"/>
      <c r="T251" s="222"/>
      <c r="U251" s="1"/>
      <c r="V251" s="1"/>
      <c r="W251" s="2"/>
      <c r="X251" s="3"/>
      <c r="Y251" s="3"/>
      <c r="Z251" s="53"/>
      <c r="AA251" s="165"/>
      <c r="AB251" s="3"/>
      <c r="AC251" s="3"/>
      <c r="AE251" s="58"/>
      <c r="AF251" s="1"/>
      <c r="AG251" s="449"/>
      <c r="AH251" s="200"/>
      <c r="AI251" s="222"/>
      <c r="AJ251" s="1"/>
      <c r="AK251" s="1"/>
      <c r="AL251" s="2"/>
      <c r="AM251" s="3"/>
      <c r="AN251" s="3"/>
      <c r="AO251" s="53"/>
      <c r="AP251" s="165"/>
      <c r="AQ251" s="3"/>
      <c r="AR251" s="3"/>
    </row>
    <row r="252" spans="1:45" x14ac:dyDescent="0.25">
      <c r="A252" s="1"/>
      <c r="B252" s="1"/>
      <c r="C252" s="449"/>
      <c r="D252" s="200"/>
      <c r="E252" s="222"/>
      <c r="F252" s="1"/>
      <c r="G252" s="1"/>
      <c r="H252" s="2"/>
      <c r="I252" s="3"/>
      <c r="J252" s="3"/>
      <c r="K252" s="53"/>
      <c r="L252" s="165"/>
      <c r="M252" s="3"/>
      <c r="N252" s="3"/>
      <c r="P252" s="55"/>
      <c r="Q252" s="1"/>
      <c r="R252" s="449"/>
      <c r="S252" s="200"/>
      <c r="T252" s="222"/>
      <c r="U252" s="1"/>
      <c r="V252" s="1"/>
      <c r="W252" s="2"/>
      <c r="X252" s="3"/>
      <c r="Y252" s="3"/>
      <c r="Z252" s="53"/>
      <c r="AA252" s="165"/>
      <c r="AB252" s="3"/>
      <c r="AC252" s="3"/>
      <c r="AE252" s="58"/>
      <c r="AF252" s="1"/>
      <c r="AG252" s="449"/>
      <c r="AH252" s="200"/>
      <c r="AI252" s="222"/>
      <c r="AJ252" s="1"/>
      <c r="AK252" s="1"/>
      <c r="AL252" s="2"/>
      <c r="AM252" s="3"/>
      <c r="AN252" s="3"/>
      <c r="AO252" s="53"/>
      <c r="AP252" s="165"/>
      <c r="AQ252" s="3"/>
      <c r="AR252" s="3"/>
    </row>
    <row r="253" spans="1:45" x14ac:dyDescent="0.25">
      <c r="A253" s="1"/>
      <c r="B253" s="1"/>
      <c r="C253" s="449"/>
      <c r="D253" s="200"/>
      <c r="E253" s="222"/>
      <c r="F253" s="1"/>
      <c r="G253" s="1"/>
      <c r="H253" s="2"/>
      <c r="I253" s="3"/>
      <c r="J253" s="3"/>
      <c r="K253" s="53"/>
      <c r="L253" s="165"/>
      <c r="M253" s="3"/>
      <c r="N253" s="3"/>
      <c r="P253" s="55"/>
      <c r="Q253" s="1"/>
      <c r="R253" s="449"/>
      <c r="S253" s="200"/>
      <c r="T253" s="222"/>
      <c r="U253" s="1"/>
      <c r="V253" s="1"/>
      <c r="W253" s="2"/>
      <c r="X253" s="3"/>
      <c r="Y253" s="3"/>
      <c r="Z253" s="53"/>
      <c r="AA253" s="165"/>
      <c r="AB253" s="3"/>
      <c r="AC253" s="3"/>
      <c r="AE253" s="58"/>
      <c r="AF253" s="1"/>
      <c r="AG253" s="449"/>
      <c r="AH253" s="200"/>
      <c r="AI253" s="222"/>
      <c r="AJ253" s="1"/>
      <c r="AK253" s="1"/>
      <c r="AL253" s="2"/>
      <c r="AM253" s="3"/>
      <c r="AN253" s="3"/>
      <c r="AO253" s="53"/>
      <c r="AP253" s="165"/>
      <c r="AQ253" s="3"/>
      <c r="AR253" s="3"/>
    </row>
    <row r="254" spans="1:45" x14ac:dyDescent="0.25">
      <c r="A254" s="1"/>
      <c r="B254" s="1"/>
      <c r="C254" s="449"/>
      <c r="D254" s="200"/>
      <c r="E254" s="222"/>
      <c r="F254" s="1"/>
      <c r="G254" s="1"/>
      <c r="H254" s="2"/>
      <c r="I254" s="3"/>
      <c r="J254" s="3"/>
      <c r="K254" s="53"/>
      <c r="L254" s="165"/>
      <c r="M254" s="3"/>
      <c r="N254" s="3"/>
      <c r="P254" s="55"/>
      <c r="Q254" s="1"/>
      <c r="R254" s="449"/>
      <c r="S254" s="200"/>
      <c r="T254" s="222"/>
      <c r="U254" s="1"/>
      <c r="V254" s="1"/>
      <c r="W254" s="2"/>
      <c r="X254" s="3"/>
      <c r="Y254" s="3"/>
      <c r="Z254" s="53"/>
      <c r="AA254" s="165"/>
      <c r="AB254" s="3"/>
      <c r="AC254" s="3"/>
      <c r="AE254" s="58"/>
      <c r="AF254" s="1"/>
      <c r="AG254" s="449"/>
      <c r="AH254" s="200"/>
      <c r="AI254" s="222"/>
      <c r="AJ254" s="1"/>
      <c r="AK254" s="1"/>
      <c r="AL254" s="2"/>
      <c r="AM254" s="3"/>
      <c r="AN254" s="3"/>
      <c r="AO254" s="53"/>
      <c r="AP254" s="165"/>
      <c r="AQ254" s="3"/>
      <c r="AR254" s="3"/>
    </row>
    <row r="255" spans="1:45" x14ac:dyDescent="0.25">
      <c r="A255" s="1"/>
      <c r="B255" s="1"/>
      <c r="C255" s="449"/>
      <c r="D255" s="200"/>
      <c r="E255" s="222"/>
      <c r="F255" s="1"/>
      <c r="G255" s="1"/>
      <c r="H255" s="2"/>
      <c r="I255" s="3"/>
      <c r="J255" s="3"/>
      <c r="K255" s="53"/>
      <c r="L255" s="165"/>
      <c r="M255" s="3"/>
      <c r="N255" s="3"/>
      <c r="P255" s="55"/>
      <c r="Q255" s="1"/>
      <c r="R255" s="449"/>
      <c r="S255" s="200"/>
      <c r="T255" s="222"/>
      <c r="U255" s="1"/>
      <c r="V255" s="1"/>
      <c r="W255" s="2"/>
      <c r="X255" s="3"/>
      <c r="Y255" s="3"/>
      <c r="Z255" s="53"/>
      <c r="AA255" s="165"/>
      <c r="AB255" s="3"/>
      <c r="AC255" s="3"/>
      <c r="AE255" s="58"/>
      <c r="AF255" s="1"/>
      <c r="AG255" s="449"/>
      <c r="AH255" s="200"/>
      <c r="AI255" s="222"/>
      <c r="AJ255" s="1"/>
      <c r="AK255" s="1"/>
      <c r="AL255" s="2"/>
      <c r="AM255" s="3"/>
      <c r="AN255" s="3"/>
      <c r="AO255" s="53"/>
      <c r="AP255" s="165"/>
      <c r="AQ255" s="3"/>
      <c r="AR255" s="3"/>
    </row>
    <row r="256" spans="1:45" x14ac:dyDescent="0.25">
      <c r="A256" s="1"/>
      <c r="B256" s="1"/>
      <c r="C256" s="449"/>
      <c r="D256" s="200"/>
      <c r="E256" s="222"/>
      <c r="F256" s="1"/>
      <c r="G256" s="1"/>
      <c r="H256" s="2"/>
      <c r="I256" s="3"/>
      <c r="J256" s="3"/>
      <c r="K256" s="53"/>
      <c r="L256" s="165"/>
      <c r="M256" s="3"/>
      <c r="N256" s="3"/>
      <c r="P256" s="55"/>
      <c r="Q256" s="1"/>
      <c r="R256" s="449"/>
      <c r="S256" s="200"/>
      <c r="T256" s="222"/>
      <c r="U256" s="1"/>
      <c r="V256" s="1"/>
      <c r="W256" s="2"/>
      <c r="X256" s="3"/>
      <c r="Y256" s="3"/>
      <c r="Z256" s="53"/>
      <c r="AA256" s="165"/>
      <c r="AB256" s="3"/>
      <c r="AC256" s="3"/>
      <c r="AE256" s="58"/>
      <c r="AF256" s="1"/>
      <c r="AG256" s="449"/>
      <c r="AH256" s="200"/>
      <c r="AI256" s="222"/>
      <c r="AJ256" s="1"/>
      <c r="AK256" s="1"/>
      <c r="AL256" s="2"/>
      <c r="AM256" s="3"/>
      <c r="AN256" s="3"/>
      <c r="AO256" s="53"/>
      <c r="AP256" s="165"/>
      <c r="AQ256" s="3"/>
      <c r="AR256" s="3"/>
    </row>
    <row r="257" spans="1:45" x14ac:dyDescent="0.25">
      <c r="A257" s="1"/>
      <c r="B257" s="1"/>
      <c r="C257" s="449"/>
      <c r="D257" s="200"/>
      <c r="E257" s="222"/>
      <c r="F257" s="1"/>
      <c r="G257" s="1"/>
      <c r="H257" s="2"/>
      <c r="I257" s="3"/>
      <c r="J257" s="3"/>
      <c r="K257" s="53"/>
      <c r="L257" s="165"/>
      <c r="M257" s="3"/>
      <c r="N257" s="3"/>
      <c r="P257" s="55"/>
      <c r="Q257" s="1"/>
      <c r="R257" s="449"/>
      <c r="S257" s="200"/>
      <c r="T257" s="222"/>
      <c r="U257" s="1"/>
      <c r="V257" s="1"/>
      <c r="W257" s="2"/>
      <c r="X257" s="3"/>
      <c r="Y257" s="3"/>
      <c r="Z257" s="53"/>
      <c r="AA257" s="165"/>
      <c r="AB257" s="3"/>
      <c r="AC257" s="3"/>
      <c r="AE257" s="58"/>
      <c r="AF257" s="1"/>
      <c r="AG257" s="449"/>
      <c r="AH257" s="200"/>
      <c r="AI257" s="222"/>
      <c r="AJ257" s="1"/>
      <c r="AK257" s="1"/>
      <c r="AL257" s="2"/>
      <c r="AM257" s="3"/>
      <c r="AN257" s="3"/>
      <c r="AO257" s="53"/>
      <c r="AP257" s="165"/>
      <c r="AQ257" s="3"/>
      <c r="AR257" s="3"/>
    </row>
    <row r="258" spans="1:45" x14ac:dyDescent="0.25">
      <c r="A258" s="1"/>
      <c r="B258" s="1"/>
      <c r="C258" s="449"/>
      <c r="D258" s="200"/>
      <c r="E258" s="222"/>
      <c r="F258" s="1"/>
      <c r="G258" s="1"/>
      <c r="H258" s="2"/>
      <c r="I258" s="3"/>
      <c r="J258" s="3"/>
      <c r="K258" s="53"/>
      <c r="L258" s="165"/>
      <c r="M258" s="3"/>
      <c r="N258" s="3"/>
      <c r="P258" s="55"/>
      <c r="Q258" s="1"/>
      <c r="R258" s="449"/>
      <c r="S258" s="200"/>
      <c r="T258" s="222"/>
      <c r="U258" s="1"/>
      <c r="V258" s="1"/>
      <c r="W258" s="2"/>
      <c r="X258" s="3"/>
      <c r="Y258" s="3"/>
      <c r="Z258" s="53"/>
      <c r="AA258" s="165"/>
      <c r="AB258" s="3"/>
      <c r="AC258" s="3"/>
      <c r="AE258" s="58"/>
      <c r="AF258" s="1"/>
      <c r="AG258" s="449"/>
      <c r="AH258" s="200"/>
      <c r="AI258" s="222"/>
      <c r="AJ258" s="1"/>
      <c r="AK258" s="1"/>
      <c r="AL258" s="2"/>
      <c r="AM258" s="3"/>
      <c r="AN258" s="3"/>
      <c r="AO258" s="53"/>
      <c r="AP258" s="165"/>
      <c r="AQ258" s="3"/>
      <c r="AR258" s="3"/>
    </row>
    <row r="259" spans="1:45" x14ac:dyDescent="0.25">
      <c r="A259" s="1"/>
      <c r="B259" s="1"/>
      <c r="C259" s="449"/>
      <c r="D259" s="200"/>
      <c r="E259" s="222"/>
      <c r="F259" s="1"/>
      <c r="G259" s="1"/>
      <c r="H259" s="2"/>
      <c r="I259" s="3"/>
      <c r="J259" s="3"/>
      <c r="K259" s="53"/>
      <c r="L259" s="165"/>
      <c r="M259" s="3"/>
      <c r="N259" s="3"/>
      <c r="P259" s="55"/>
      <c r="Q259" s="1"/>
      <c r="R259" s="449"/>
      <c r="S259" s="200"/>
      <c r="T259" s="222"/>
      <c r="U259" s="1"/>
      <c r="V259" s="1"/>
      <c r="W259" s="2"/>
      <c r="X259" s="3"/>
      <c r="Y259" s="3"/>
      <c r="Z259" s="53"/>
      <c r="AA259" s="165"/>
      <c r="AB259" s="3"/>
      <c r="AC259" s="3"/>
      <c r="AE259" s="58"/>
      <c r="AF259" s="1"/>
      <c r="AG259" s="449"/>
      <c r="AH259" s="200"/>
      <c r="AI259" s="222"/>
      <c r="AJ259" s="1"/>
      <c r="AK259" s="1"/>
      <c r="AL259" s="2"/>
      <c r="AM259" s="3"/>
      <c r="AN259" s="3"/>
      <c r="AO259" s="53"/>
      <c r="AP259" s="165"/>
      <c r="AQ259" s="3"/>
      <c r="AR259" s="3"/>
    </row>
    <row r="260" spans="1:45" x14ac:dyDescent="0.25">
      <c r="A260" s="1"/>
      <c r="B260" s="1"/>
      <c r="C260" s="449"/>
      <c r="D260" s="200"/>
      <c r="E260" s="222"/>
      <c r="F260" s="1"/>
      <c r="G260" s="1"/>
      <c r="H260" s="2"/>
      <c r="I260" s="3"/>
      <c r="J260" s="3"/>
      <c r="K260" s="53"/>
      <c r="L260" s="165"/>
      <c r="M260" s="3"/>
      <c r="N260" s="3"/>
      <c r="P260" s="55"/>
      <c r="Q260" s="1"/>
      <c r="R260" s="449"/>
      <c r="S260" s="200"/>
      <c r="T260" s="222"/>
      <c r="U260" s="1"/>
      <c r="V260" s="1"/>
      <c r="W260" s="2"/>
      <c r="X260" s="3"/>
      <c r="Y260" s="3"/>
      <c r="Z260" s="53"/>
      <c r="AA260" s="165"/>
      <c r="AB260" s="3"/>
      <c r="AC260" s="3"/>
      <c r="AE260" s="58"/>
      <c r="AF260" s="1"/>
      <c r="AG260" s="449"/>
      <c r="AH260" s="200"/>
      <c r="AI260" s="222"/>
      <c r="AJ260" s="1"/>
      <c r="AK260" s="1"/>
      <c r="AL260" s="2"/>
      <c r="AM260" s="3"/>
      <c r="AN260" s="3"/>
      <c r="AO260" s="53"/>
      <c r="AP260" s="165"/>
      <c r="AQ260" s="3"/>
      <c r="AR260" s="3"/>
    </row>
    <row r="261" spans="1:45" ht="13.8" thickBot="1" x14ac:dyDescent="0.3">
      <c r="A261" s="146"/>
      <c r="B261" s="146"/>
      <c r="C261" s="452"/>
      <c r="D261" s="424"/>
      <c r="E261" s="225"/>
      <c r="F261" s="146"/>
      <c r="G261" s="146"/>
      <c r="H261" s="148"/>
      <c r="I261" s="149"/>
      <c r="J261" s="149"/>
      <c r="K261" s="150"/>
      <c r="L261" s="186"/>
      <c r="M261" s="149"/>
      <c r="N261" s="149"/>
      <c r="O261" s="241"/>
      <c r="P261" s="154"/>
      <c r="Q261" s="146"/>
      <c r="R261" s="452"/>
      <c r="S261" s="424"/>
      <c r="T261" s="225"/>
      <c r="U261" s="146"/>
      <c r="V261" s="146"/>
      <c r="W261" s="148"/>
      <c r="X261" s="149"/>
      <c r="Y261" s="149"/>
      <c r="Z261" s="150"/>
      <c r="AA261" s="186"/>
      <c r="AB261" s="149"/>
      <c r="AC261" s="149"/>
      <c r="AD261" s="242"/>
      <c r="AE261" s="155"/>
      <c r="AF261" s="146"/>
      <c r="AG261" s="452"/>
      <c r="AH261" s="424"/>
      <c r="AI261" s="225"/>
      <c r="AJ261" s="146"/>
      <c r="AK261" s="146"/>
      <c r="AL261" s="148"/>
      <c r="AM261" s="149"/>
      <c r="AN261" s="149"/>
      <c r="AO261" s="150"/>
      <c r="AP261" s="186"/>
      <c r="AQ261" s="149"/>
      <c r="AR261" s="149"/>
      <c r="AS261" s="417"/>
    </row>
    <row r="262" spans="1:45" x14ac:dyDescent="0.25">
      <c r="A262" s="156"/>
      <c r="B262" s="157"/>
      <c r="C262" s="446"/>
      <c r="D262" s="158"/>
      <c r="E262" s="197"/>
      <c r="F262" s="46"/>
      <c r="G262" s="48"/>
      <c r="H262" s="212"/>
      <c r="I262" s="160"/>
      <c r="J262" s="160"/>
      <c r="K262" s="161"/>
      <c r="L262" s="162"/>
      <c r="M262" s="160"/>
      <c r="N262" s="160"/>
      <c r="O262" s="245"/>
      <c r="P262" s="156"/>
      <c r="Q262" s="157"/>
      <c r="R262" s="446"/>
      <c r="S262" s="158"/>
      <c r="T262" s="197"/>
      <c r="U262" s="46"/>
      <c r="V262" s="48"/>
      <c r="W262" s="212"/>
      <c r="X262" s="160"/>
      <c r="Y262" s="160"/>
      <c r="Z262" s="161"/>
      <c r="AA262" s="162"/>
      <c r="AB262" s="160"/>
      <c r="AC262" s="160"/>
      <c r="AD262" s="246"/>
      <c r="AE262" s="164"/>
      <c r="AF262" s="157"/>
      <c r="AG262" s="446"/>
      <c r="AH262" s="158"/>
      <c r="AI262" s="197"/>
      <c r="AJ262" s="46"/>
      <c r="AK262" s="48"/>
      <c r="AL262" s="212"/>
      <c r="AM262" s="160"/>
      <c r="AN262" s="160"/>
      <c r="AO262" s="161"/>
      <c r="AP262" s="162"/>
      <c r="AQ262" s="160"/>
      <c r="AR262" s="160"/>
      <c r="AS262" s="246"/>
    </row>
    <row r="263" spans="1:45" x14ac:dyDescent="0.25">
      <c r="A263" s="55"/>
      <c r="B263" s="406"/>
      <c r="D263" s="413"/>
      <c r="E263" s="412"/>
      <c r="F263" s="226"/>
      <c r="G263" s="227"/>
      <c r="H263" s="407"/>
      <c r="I263" s="3"/>
      <c r="J263" s="3"/>
      <c r="K263" s="409"/>
      <c r="L263" s="165"/>
      <c r="M263" s="3"/>
      <c r="N263" s="3"/>
      <c r="P263" s="55"/>
      <c r="Q263" s="406"/>
      <c r="S263" s="413"/>
      <c r="T263" s="412"/>
      <c r="U263" s="226"/>
      <c r="V263" s="227"/>
      <c r="W263" s="407"/>
      <c r="X263" s="3"/>
      <c r="Y263" s="3"/>
      <c r="Z263" s="409"/>
      <c r="AA263" s="165"/>
      <c r="AB263" s="3"/>
      <c r="AC263" s="3"/>
      <c r="AE263" s="411"/>
      <c r="AF263" s="406"/>
      <c r="AH263" s="413"/>
      <c r="AI263" s="412"/>
      <c r="AJ263" s="226"/>
      <c r="AK263" s="227"/>
      <c r="AL263" s="407"/>
      <c r="AM263" s="3"/>
      <c r="AN263" s="3"/>
      <c r="AO263" s="409"/>
      <c r="AP263" s="165"/>
      <c r="AQ263" s="3"/>
      <c r="AR263" s="3"/>
      <c r="AS263" s="91"/>
    </row>
    <row r="264" spans="1:45" x14ac:dyDescent="0.25">
      <c r="A264" s="55"/>
      <c r="B264" s="406"/>
      <c r="D264" s="413"/>
      <c r="E264" s="412"/>
      <c r="F264" s="226"/>
      <c r="G264" s="227"/>
      <c r="H264" s="407"/>
      <c r="I264" s="3"/>
      <c r="J264" s="3"/>
      <c r="K264" s="409"/>
      <c r="L264" s="165"/>
      <c r="M264" s="3"/>
      <c r="N264" s="3"/>
      <c r="P264" s="55"/>
      <c r="Q264" s="406"/>
      <c r="S264" s="413"/>
      <c r="T264" s="412"/>
      <c r="U264" s="226"/>
      <c r="V264" s="227"/>
      <c r="W264" s="407"/>
      <c r="X264" s="3"/>
      <c r="Y264" s="3"/>
      <c r="Z264" s="409"/>
      <c r="AA264" s="165"/>
      <c r="AB264" s="3"/>
      <c r="AC264" s="3"/>
      <c r="AE264" s="411"/>
      <c r="AF264" s="406"/>
      <c r="AH264" s="413"/>
      <c r="AI264" s="412"/>
      <c r="AJ264" s="226"/>
      <c r="AK264" s="227"/>
      <c r="AL264" s="407"/>
      <c r="AM264" s="3"/>
      <c r="AN264" s="3"/>
      <c r="AO264" s="409"/>
      <c r="AP264" s="165"/>
      <c r="AQ264" s="3"/>
      <c r="AR264" s="3"/>
      <c r="AS264" s="91"/>
    </row>
    <row r="265" spans="1:45" x14ac:dyDescent="0.25">
      <c r="A265" s="55"/>
      <c r="B265" s="406"/>
      <c r="D265" s="413"/>
      <c r="E265" s="412"/>
      <c r="F265" s="226"/>
      <c r="G265" s="227"/>
      <c r="H265" s="407"/>
      <c r="I265" s="3"/>
      <c r="J265" s="3"/>
      <c r="K265" s="409"/>
      <c r="L265" s="165"/>
      <c r="M265" s="3"/>
      <c r="N265" s="3"/>
      <c r="P265" s="55"/>
      <c r="Q265" s="406"/>
      <c r="S265" s="413"/>
      <c r="T265" s="412"/>
      <c r="U265" s="226"/>
      <c r="V265" s="227"/>
      <c r="W265" s="407"/>
      <c r="X265" s="3"/>
      <c r="Y265" s="3"/>
      <c r="Z265" s="409"/>
      <c r="AA265" s="165"/>
      <c r="AB265" s="3"/>
      <c r="AC265" s="3"/>
      <c r="AE265" s="411"/>
      <c r="AF265" s="406"/>
      <c r="AH265" s="413"/>
      <c r="AI265" s="412"/>
      <c r="AJ265" s="226"/>
      <c r="AK265" s="227"/>
      <c r="AL265" s="407"/>
      <c r="AM265" s="3"/>
      <c r="AN265" s="3"/>
      <c r="AO265" s="409"/>
      <c r="AP265" s="165"/>
      <c r="AQ265" s="3"/>
      <c r="AR265" s="3"/>
      <c r="AS265" s="91"/>
    </row>
    <row r="266" spans="1:45" x14ac:dyDescent="0.25">
      <c r="A266" s="55"/>
      <c r="B266" s="406"/>
      <c r="D266" s="413"/>
      <c r="E266" s="412"/>
      <c r="F266" s="226"/>
      <c r="G266" s="227"/>
      <c r="H266" s="407"/>
      <c r="I266" s="3"/>
      <c r="J266" s="3"/>
      <c r="K266" s="409"/>
      <c r="L266" s="165"/>
      <c r="M266" s="3"/>
      <c r="N266" s="3"/>
      <c r="P266" s="55"/>
      <c r="Q266" s="406"/>
      <c r="S266" s="413"/>
      <c r="T266" s="412"/>
      <c r="U266" s="226"/>
      <c r="V266" s="227"/>
      <c r="W266" s="407"/>
      <c r="X266" s="3"/>
      <c r="Y266" s="3"/>
      <c r="Z266" s="409"/>
      <c r="AA266" s="165"/>
      <c r="AB266" s="3"/>
      <c r="AC266" s="3"/>
      <c r="AE266" s="411"/>
      <c r="AF266" s="406"/>
      <c r="AH266" s="413"/>
      <c r="AI266" s="412"/>
      <c r="AJ266" s="226"/>
      <c r="AK266" s="227"/>
      <c r="AL266" s="407"/>
      <c r="AM266" s="3"/>
      <c r="AN266" s="3"/>
      <c r="AO266" s="409"/>
      <c r="AP266" s="165"/>
      <c r="AQ266" s="3"/>
      <c r="AR266" s="3"/>
      <c r="AS266" s="91"/>
    </row>
    <row r="267" spans="1:45" x14ac:dyDescent="0.25">
      <c r="A267" s="55"/>
      <c r="B267" s="406"/>
      <c r="D267" s="413"/>
      <c r="E267" s="412"/>
      <c r="F267" s="226"/>
      <c r="G267" s="227"/>
      <c r="H267" s="407"/>
      <c r="I267" s="3"/>
      <c r="J267" s="3"/>
      <c r="K267" s="409"/>
      <c r="L267" s="165"/>
      <c r="M267" s="3"/>
      <c r="N267" s="3"/>
      <c r="P267" s="55"/>
      <c r="Q267" s="406"/>
      <c r="S267" s="413"/>
      <c r="T267" s="412"/>
      <c r="U267" s="226"/>
      <c r="V267" s="227"/>
      <c r="W267" s="407"/>
      <c r="X267" s="3"/>
      <c r="Y267" s="3"/>
      <c r="Z267" s="409"/>
      <c r="AA267" s="165"/>
      <c r="AB267" s="3"/>
      <c r="AC267" s="3"/>
      <c r="AE267" s="411"/>
      <c r="AF267" s="406"/>
      <c r="AH267" s="413"/>
      <c r="AI267" s="412"/>
      <c r="AJ267" s="226"/>
      <c r="AK267" s="227"/>
      <c r="AL267" s="407"/>
      <c r="AM267" s="3"/>
      <c r="AN267" s="3"/>
      <c r="AO267" s="409"/>
      <c r="AP267" s="165"/>
      <c r="AQ267" s="3"/>
      <c r="AR267" s="3"/>
      <c r="AS267" s="91"/>
    </row>
    <row r="268" spans="1:45" x14ac:dyDescent="0.25">
      <c r="A268" s="55"/>
      <c r="B268" s="406"/>
      <c r="D268" s="413"/>
      <c r="E268" s="412"/>
      <c r="F268" s="226"/>
      <c r="G268" s="227"/>
      <c r="H268" s="407"/>
      <c r="I268" s="3"/>
      <c r="J268" s="3"/>
      <c r="K268" s="409"/>
      <c r="L268" s="165"/>
      <c r="M268" s="3"/>
      <c r="N268" s="3"/>
      <c r="P268" s="55"/>
      <c r="Q268" s="406"/>
      <c r="S268" s="413"/>
      <c r="T268" s="412"/>
      <c r="U268" s="226"/>
      <c r="V268" s="227"/>
      <c r="W268" s="407"/>
      <c r="X268" s="3"/>
      <c r="Y268" s="3"/>
      <c r="Z268" s="409"/>
      <c r="AA268" s="165"/>
      <c r="AB268" s="3"/>
      <c r="AC268" s="3"/>
      <c r="AE268" s="411"/>
      <c r="AF268" s="406"/>
      <c r="AH268" s="413"/>
      <c r="AI268" s="412"/>
      <c r="AJ268" s="226"/>
      <c r="AK268" s="227"/>
      <c r="AL268" s="407"/>
      <c r="AM268" s="3"/>
      <c r="AN268" s="3"/>
      <c r="AO268" s="409"/>
      <c r="AP268" s="165"/>
      <c r="AQ268" s="3"/>
      <c r="AR268" s="3"/>
      <c r="AS268" s="91"/>
    </row>
    <row r="269" spans="1:45" x14ac:dyDescent="0.25">
      <c r="A269" s="55"/>
      <c r="B269" s="406"/>
      <c r="D269" s="413"/>
      <c r="E269" s="412"/>
      <c r="F269" s="226"/>
      <c r="G269" s="227"/>
      <c r="H269" s="407"/>
      <c r="I269" s="3"/>
      <c r="J269" s="3"/>
      <c r="K269" s="409"/>
      <c r="L269" s="165"/>
      <c r="M269" s="3"/>
      <c r="N269" s="3"/>
      <c r="P269" s="55"/>
      <c r="Q269" s="406"/>
      <c r="S269" s="413"/>
      <c r="T269" s="412"/>
      <c r="U269" s="226"/>
      <c r="V269" s="227"/>
      <c r="W269" s="407"/>
      <c r="X269" s="3"/>
      <c r="Y269" s="3"/>
      <c r="Z269" s="409"/>
      <c r="AA269" s="165"/>
      <c r="AB269" s="3"/>
      <c r="AC269" s="3"/>
      <c r="AE269" s="411"/>
      <c r="AF269" s="406"/>
      <c r="AH269" s="413"/>
      <c r="AI269" s="412"/>
      <c r="AJ269" s="226"/>
      <c r="AK269" s="227"/>
      <c r="AL269" s="407"/>
      <c r="AM269" s="3"/>
      <c r="AN269" s="3"/>
      <c r="AO269" s="409"/>
      <c r="AP269" s="165"/>
      <c r="AQ269" s="3"/>
      <c r="AR269" s="3"/>
      <c r="AS269" s="91"/>
    </row>
    <row r="270" spans="1:45" x14ac:dyDescent="0.25">
      <c r="A270" s="55"/>
      <c r="B270" s="406"/>
      <c r="D270" s="413"/>
      <c r="E270" s="412"/>
      <c r="F270" s="226"/>
      <c r="G270" s="227"/>
      <c r="H270" s="407"/>
      <c r="I270" s="3"/>
      <c r="J270" s="3"/>
      <c r="K270" s="409"/>
      <c r="L270" s="165"/>
      <c r="M270" s="3"/>
      <c r="N270" s="3"/>
      <c r="P270" s="55"/>
      <c r="Q270" s="406"/>
      <c r="S270" s="413"/>
      <c r="T270" s="412"/>
      <c r="U270" s="226"/>
      <c r="V270" s="227"/>
      <c r="W270" s="407"/>
      <c r="X270" s="3"/>
      <c r="Y270" s="3"/>
      <c r="Z270" s="409"/>
      <c r="AA270" s="165"/>
      <c r="AB270" s="3"/>
      <c r="AC270" s="3"/>
      <c r="AE270" s="411"/>
      <c r="AF270" s="406"/>
      <c r="AH270" s="413"/>
      <c r="AI270" s="412"/>
      <c r="AJ270" s="226"/>
      <c r="AK270" s="227"/>
      <c r="AL270" s="407"/>
      <c r="AM270" s="3"/>
      <c r="AN270" s="3"/>
      <c r="AO270" s="409"/>
      <c r="AP270" s="165"/>
      <c r="AQ270" s="3"/>
      <c r="AR270" s="3"/>
      <c r="AS270" s="91"/>
    </row>
    <row r="271" spans="1:45" x14ac:dyDescent="0.25">
      <c r="A271" s="55"/>
      <c r="B271" s="406"/>
      <c r="D271" s="413"/>
      <c r="E271" s="412"/>
      <c r="F271" s="226"/>
      <c r="G271" s="227"/>
      <c r="H271" s="407"/>
      <c r="I271" s="3"/>
      <c r="J271" s="3"/>
      <c r="K271" s="409"/>
      <c r="L271" s="165"/>
      <c r="M271" s="3"/>
      <c r="N271" s="3"/>
      <c r="P271" s="55"/>
      <c r="Q271" s="406"/>
      <c r="S271" s="413"/>
      <c r="T271" s="412"/>
      <c r="U271" s="226"/>
      <c r="V271" s="227"/>
      <c r="W271" s="407"/>
      <c r="X271" s="3"/>
      <c r="Y271" s="3"/>
      <c r="Z271" s="409"/>
      <c r="AA271" s="165"/>
      <c r="AB271" s="3"/>
      <c r="AC271" s="3"/>
      <c r="AE271" s="411"/>
      <c r="AF271" s="406"/>
      <c r="AH271" s="413"/>
      <c r="AI271" s="412"/>
      <c r="AJ271" s="226"/>
      <c r="AK271" s="227"/>
      <c r="AL271" s="407"/>
      <c r="AM271" s="3"/>
      <c r="AN271" s="3"/>
      <c r="AO271" s="409"/>
      <c r="AP271" s="165"/>
      <c r="AQ271" s="3"/>
      <c r="AR271" s="3"/>
      <c r="AS271" s="91"/>
    </row>
    <row r="272" spans="1:45" x14ac:dyDescent="0.25">
      <c r="A272" s="55"/>
      <c r="B272" s="406"/>
      <c r="D272" s="413"/>
      <c r="E272" s="412"/>
      <c r="F272" s="226"/>
      <c r="G272" s="227"/>
      <c r="H272" s="407"/>
      <c r="I272" s="3"/>
      <c r="J272" s="3"/>
      <c r="K272" s="409"/>
      <c r="L272" s="165"/>
      <c r="M272" s="3"/>
      <c r="N272" s="3"/>
      <c r="P272" s="55"/>
      <c r="Q272" s="406"/>
      <c r="S272" s="413"/>
      <c r="T272" s="412"/>
      <c r="U272" s="226"/>
      <c r="V272" s="227"/>
      <c r="W272" s="407"/>
      <c r="X272" s="3"/>
      <c r="Y272" s="3"/>
      <c r="Z272" s="409"/>
      <c r="AA272" s="165"/>
      <c r="AB272" s="3"/>
      <c r="AC272" s="3"/>
      <c r="AE272" s="411"/>
      <c r="AF272" s="406"/>
      <c r="AH272" s="413"/>
      <c r="AI272" s="412"/>
      <c r="AJ272" s="226"/>
      <c r="AK272" s="227"/>
      <c r="AL272" s="407"/>
      <c r="AM272" s="3"/>
      <c r="AN272" s="3"/>
      <c r="AO272" s="409"/>
      <c r="AP272" s="165"/>
      <c r="AQ272" s="3"/>
      <c r="AR272" s="3"/>
      <c r="AS272" s="91"/>
    </row>
    <row r="273" spans="1:45" x14ac:dyDescent="0.25">
      <c r="A273" s="55"/>
      <c r="B273" s="406"/>
      <c r="D273" s="413"/>
      <c r="E273" s="412"/>
      <c r="F273" s="226"/>
      <c r="G273" s="227"/>
      <c r="H273" s="407"/>
      <c r="I273" s="3"/>
      <c r="J273" s="3"/>
      <c r="K273" s="409"/>
      <c r="L273" s="165"/>
      <c r="M273" s="3"/>
      <c r="N273" s="3"/>
      <c r="P273" s="55"/>
      <c r="Q273" s="406"/>
      <c r="S273" s="413"/>
      <c r="T273" s="412"/>
      <c r="U273" s="226"/>
      <c r="V273" s="227"/>
      <c r="W273" s="407"/>
      <c r="X273" s="3"/>
      <c r="Y273" s="3"/>
      <c r="Z273" s="409"/>
      <c r="AA273" s="165"/>
      <c r="AB273" s="3"/>
      <c r="AC273" s="3"/>
      <c r="AE273" s="411"/>
      <c r="AF273" s="406"/>
      <c r="AH273" s="413"/>
      <c r="AI273" s="412"/>
      <c r="AJ273" s="226"/>
      <c r="AK273" s="227"/>
      <c r="AL273" s="407"/>
      <c r="AM273" s="3"/>
      <c r="AN273" s="3"/>
      <c r="AO273" s="409"/>
      <c r="AP273" s="165"/>
      <c r="AQ273" s="3"/>
      <c r="AR273" s="3"/>
      <c r="AS273" s="91"/>
    </row>
    <row r="274" spans="1:45" x14ac:dyDescent="0.25">
      <c r="A274" s="55"/>
      <c r="B274" s="406"/>
      <c r="D274" s="413"/>
      <c r="E274" s="412"/>
      <c r="F274" s="226"/>
      <c r="G274" s="227"/>
      <c r="H274" s="407"/>
      <c r="I274" s="3"/>
      <c r="J274" s="3"/>
      <c r="K274" s="409"/>
      <c r="L274" s="165"/>
      <c r="M274" s="3"/>
      <c r="N274" s="3"/>
      <c r="P274" s="55"/>
      <c r="Q274" s="406"/>
      <c r="S274" s="413"/>
      <c r="T274" s="412"/>
      <c r="U274" s="226"/>
      <c r="V274" s="227"/>
      <c r="W274" s="407"/>
      <c r="X274" s="3"/>
      <c r="Y274" s="3"/>
      <c r="Z274" s="409"/>
      <c r="AA274" s="165"/>
      <c r="AB274" s="3"/>
      <c r="AC274" s="3"/>
      <c r="AE274" s="411"/>
      <c r="AF274" s="406"/>
      <c r="AH274" s="413"/>
      <c r="AI274" s="412"/>
      <c r="AJ274" s="226"/>
      <c r="AK274" s="227"/>
      <c r="AL274" s="407"/>
      <c r="AM274" s="3"/>
      <c r="AN274" s="3"/>
      <c r="AO274" s="409"/>
      <c r="AP274" s="165"/>
      <c r="AQ274" s="3"/>
      <c r="AR274" s="3"/>
      <c r="AS274" s="91"/>
    </row>
    <row r="275" spans="1:45" x14ac:dyDescent="0.25">
      <c r="A275" s="55"/>
      <c r="B275" s="406"/>
      <c r="D275" s="413"/>
      <c r="E275" s="412"/>
      <c r="F275" s="226"/>
      <c r="G275" s="227"/>
      <c r="H275" s="407"/>
      <c r="I275" s="3"/>
      <c r="J275" s="3"/>
      <c r="K275" s="409"/>
      <c r="L275" s="165"/>
      <c r="M275" s="3"/>
      <c r="N275" s="3"/>
      <c r="P275" s="55"/>
      <c r="Q275" s="406"/>
      <c r="S275" s="413"/>
      <c r="T275" s="412"/>
      <c r="U275" s="226"/>
      <c r="V275" s="227"/>
      <c r="W275" s="407"/>
      <c r="X275" s="3"/>
      <c r="Y275" s="3"/>
      <c r="Z275" s="409"/>
      <c r="AA275" s="165"/>
      <c r="AB275" s="3"/>
      <c r="AC275" s="3"/>
      <c r="AE275" s="411"/>
      <c r="AF275" s="406"/>
      <c r="AH275" s="413"/>
      <c r="AI275" s="412"/>
      <c r="AJ275" s="226"/>
      <c r="AK275" s="227"/>
      <c r="AL275" s="407"/>
      <c r="AM275" s="3"/>
      <c r="AN275" s="3"/>
      <c r="AO275" s="409"/>
      <c r="AP275" s="165"/>
      <c r="AQ275" s="3"/>
      <c r="AR275" s="3"/>
      <c r="AS275" s="91"/>
    </row>
    <row r="276" spans="1:45" x14ac:dyDescent="0.25">
      <c r="A276" s="55"/>
      <c r="B276" s="406"/>
      <c r="D276" s="413"/>
      <c r="E276" s="412"/>
      <c r="F276" s="226"/>
      <c r="G276" s="227"/>
      <c r="H276" s="407"/>
      <c r="I276" s="3"/>
      <c r="J276" s="3"/>
      <c r="K276" s="409"/>
      <c r="L276" s="165"/>
      <c r="M276" s="3"/>
      <c r="N276" s="3"/>
      <c r="P276" s="55"/>
      <c r="Q276" s="406"/>
      <c r="S276" s="413"/>
      <c r="T276" s="412"/>
      <c r="U276" s="226"/>
      <c r="V276" s="227"/>
      <c r="W276" s="407"/>
      <c r="X276" s="3"/>
      <c r="Y276" s="3"/>
      <c r="Z276" s="409"/>
      <c r="AA276" s="165"/>
      <c r="AB276" s="3"/>
      <c r="AC276" s="3"/>
      <c r="AE276" s="411"/>
      <c r="AF276" s="406"/>
      <c r="AH276" s="413"/>
      <c r="AI276" s="412"/>
      <c r="AJ276" s="226"/>
      <c r="AK276" s="227"/>
      <c r="AL276" s="407"/>
      <c r="AM276" s="3"/>
      <c r="AN276" s="3"/>
      <c r="AO276" s="409"/>
      <c r="AP276" s="165"/>
      <c r="AQ276" s="3"/>
      <c r="AR276" s="3"/>
      <c r="AS276" s="91"/>
    </row>
    <row r="277" spans="1:45" x14ac:dyDescent="0.25">
      <c r="A277" s="55"/>
      <c r="B277" s="406"/>
      <c r="D277" s="413"/>
      <c r="E277" s="412"/>
      <c r="F277" s="226"/>
      <c r="G277" s="227"/>
      <c r="H277" s="407"/>
      <c r="I277" s="3"/>
      <c r="J277" s="3"/>
      <c r="K277" s="409"/>
      <c r="L277" s="165"/>
      <c r="M277" s="3"/>
      <c r="N277" s="3"/>
      <c r="P277" s="55"/>
      <c r="Q277" s="406"/>
      <c r="S277" s="413"/>
      <c r="T277" s="412"/>
      <c r="U277" s="226"/>
      <c r="V277" s="227"/>
      <c r="W277" s="407"/>
      <c r="X277" s="3"/>
      <c r="Y277" s="3"/>
      <c r="Z277" s="409"/>
      <c r="AA277" s="165"/>
      <c r="AB277" s="3"/>
      <c r="AC277" s="3"/>
      <c r="AE277" s="411"/>
      <c r="AF277" s="406"/>
      <c r="AH277" s="413"/>
      <c r="AI277" s="412"/>
      <c r="AJ277" s="226"/>
      <c r="AK277" s="227"/>
      <c r="AL277" s="407"/>
      <c r="AM277" s="3"/>
      <c r="AN277" s="3"/>
      <c r="AO277" s="409"/>
      <c r="AP277" s="165"/>
      <c r="AQ277" s="3"/>
      <c r="AR277" s="3"/>
      <c r="AS277" s="91"/>
    </row>
    <row r="278" spans="1:45" x14ac:dyDescent="0.25">
      <c r="A278" s="55"/>
      <c r="B278" s="406"/>
      <c r="D278" s="413"/>
      <c r="E278" s="412"/>
      <c r="F278" s="226"/>
      <c r="G278" s="227"/>
      <c r="H278" s="407"/>
      <c r="I278" s="3"/>
      <c r="J278" s="3"/>
      <c r="K278" s="409"/>
      <c r="L278" s="165"/>
      <c r="M278" s="3"/>
      <c r="N278" s="3"/>
      <c r="P278" s="55"/>
      <c r="Q278" s="406"/>
      <c r="S278" s="413"/>
      <c r="T278" s="412"/>
      <c r="U278" s="226"/>
      <c r="V278" s="227"/>
      <c r="W278" s="407"/>
      <c r="X278" s="3"/>
      <c r="Y278" s="3"/>
      <c r="Z278" s="409"/>
      <c r="AA278" s="165"/>
      <c r="AB278" s="3"/>
      <c r="AC278" s="3"/>
      <c r="AE278" s="411"/>
      <c r="AF278" s="406"/>
      <c r="AH278" s="413"/>
      <c r="AI278" s="412"/>
      <c r="AJ278" s="226"/>
      <c r="AK278" s="227"/>
      <c r="AL278" s="407"/>
      <c r="AM278" s="3"/>
      <c r="AN278" s="3"/>
      <c r="AO278" s="409"/>
      <c r="AP278" s="165"/>
      <c r="AQ278" s="3"/>
      <c r="AR278" s="3"/>
      <c r="AS278" s="91"/>
    </row>
    <row r="279" spans="1:45" x14ac:dyDescent="0.25">
      <c r="A279" s="55"/>
      <c r="B279" s="406"/>
      <c r="D279" s="413"/>
      <c r="E279" s="412"/>
      <c r="F279" s="226"/>
      <c r="G279" s="227"/>
      <c r="H279" s="407"/>
      <c r="I279" s="3"/>
      <c r="J279" s="3"/>
      <c r="K279" s="409"/>
      <c r="L279" s="165"/>
      <c r="M279" s="3"/>
      <c r="N279" s="3"/>
      <c r="P279" s="55"/>
      <c r="Q279" s="406"/>
      <c r="S279" s="413"/>
      <c r="T279" s="412"/>
      <c r="U279" s="226"/>
      <c r="V279" s="227"/>
      <c r="W279" s="407"/>
      <c r="X279" s="3"/>
      <c r="Y279" s="3"/>
      <c r="Z279" s="409"/>
      <c r="AA279" s="165"/>
      <c r="AB279" s="3"/>
      <c r="AC279" s="3"/>
      <c r="AE279" s="411"/>
      <c r="AF279" s="406"/>
      <c r="AH279" s="413"/>
      <c r="AI279" s="412"/>
      <c r="AJ279" s="226"/>
      <c r="AK279" s="227"/>
      <c r="AL279" s="407"/>
      <c r="AM279" s="3"/>
      <c r="AN279" s="3"/>
      <c r="AO279" s="409"/>
      <c r="AP279" s="165"/>
      <c r="AQ279" s="3"/>
      <c r="AR279" s="3"/>
      <c r="AS279" s="91"/>
    </row>
    <row r="280" spans="1:45" x14ac:dyDescent="0.25">
      <c r="A280" s="55"/>
      <c r="B280" s="406"/>
      <c r="D280" s="413"/>
      <c r="E280" s="412"/>
      <c r="F280" s="226"/>
      <c r="G280" s="227"/>
      <c r="H280" s="407"/>
      <c r="I280" s="3"/>
      <c r="J280" s="3"/>
      <c r="K280" s="409"/>
      <c r="L280" s="165"/>
      <c r="M280" s="3"/>
      <c r="N280" s="3"/>
      <c r="P280" s="55"/>
      <c r="Q280" s="406"/>
      <c r="S280" s="413"/>
      <c r="T280" s="412"/>
      <c r="U280" s="226"/>
      <c r="V280" s="227"/>
      <c r="W280" s="407"/>
      <c r="X280" s="3"/>
      <c r="Y280" s="3"/>
      <c r="Z280" s="409"/>
      <c r="AA280" s="165"/>
      <c r="AB280" s="3"/>
      <c r="AC280" s="3"/>
      <c r="AE280" s="411"/>
      <c r="AF280" s="406"/>
      <c r="AH280" s="413"/>
      <c r="AI280" s="412"/>
      <c r="AJ280" s="226"/>
      <c r="AK280" s="227"/>
      <c r="AL280" s="407"/>
      <c r="AM280" s="3"/>
      <c r="AN280" s="3"/>
      <c r="AO280" s="409"/>
      <c r="AP280" s="165"/>
      <c r="AQ280" s="3"/>
      <c r="AR280" s="3"/>
      <c r="AS280" s="91"/>
    </row>
    <row r="281" spans="1:45" ht="13.8" thickBot="1" x14ac:dyDescent="0.3">
      <c r="A281" s="66"/>
      <c r="B281" s="167"/>
      <c r="C281" s="447"/>
      <c r="D281" s="168"/>
      <c r="E281" s="201"/>
      <c r="F281" s="228"/>
      <c r="G281" s="229"/>
      <c r="H281" s="216"/>
      <c r="I281" s="170"/>
      <c r="J281" s="170"/>
      <c r="K281" s="171"/>
      <c r="L281" s="172"/>
      <c r="M281" s="170"/>
      <c r="N281" s="170"/>
      <c r="O281" s="249"/>
      <c r="P281" s="66"/>
      <c r="Q281" s="167"/>
      <c r="R281" s="447"/>
      <c r="S281" s="168"/>
      <c r="T281" s="201"/>
      <c r="U281" s="228"/>
      <c r="V281" s="229"/>
      <c r="W281" s="216"/>
      <c r="X281" s="170"/>
      <c r="Y281" s="170"/>
      <c r="Z281" s="171"/>
      <c r="AA281" s="172"/>
      <c r="AB281" s="170"/>
      <c r="AC281" s="170"/>
      <c r="AD281" s="250"/>
      <c r="AE281" s="174"/>
      <c r="AF281" s="167"/>
      <c r="AG281" s="447"/>
      <c r="AH281" s="168"/>
      <c r="AI281" s="201"/>
      <c r="AJ281" s="228"/>
      <c r="AK281" s="229"/>
      <c r="AL281" s="216"/>
      <c r="AM281" s="170"/>
      <c r="AN281" s="170"/>
      <c r="AO281" s="171"/>
      <c r="AP281" s="172"/>
      <c r="AQ281" s="170"/>
      <c r="AR281" s="170"/>
      <c r="AS281" s="250"/>
    </row>
    <row r="282" spans="1:45" x14ac:dyDescent="0.25">
      <c r="A282" s="69"/>
      <c r="B282" s="69"/>
      <c r="C282" s="438"/>
      <c r="D282" s="175"/>
      <c r="E282" s="203"/>
      <c r="F282" s="230"/>
      <c r="G282" s="231"/>
      <c r="H282" s="218"/>
      <c r="I282" s="180"/>
      <c r="J282" s="180"/>
      <c r="K282" s="205"/>
      <c r="L282" s="179"/>
      <c r="M282" s="180"/>
      <c r="N282" s="180"/>
      <c r="O282" s="419"/>
      <c r="P282" s="181"/>
      <c r="Q282" s="69"/>
      <c r="R282" s="438"/>
      <c r="S282" s="175"/>
      <c r="T282" s="203"/>
      <c r="U282" s="230"/>
      <c r="V282" s="231"/>
      <c r="W282" s="218"/>
      <c r="X282" s="180"/>
      <c r="Y282" s="180"/>
      <c r="Z282" s="205"/>
      <c r="AA282" s="179"/>
      <c r="AB282" s="180"/>
      <c r="AC282" s="180"/>
      <c r="AD282" s="420"/>
      <c r="AE282" s="182"/>
      <c r="AF282" s="69"/>
      <c r="AG282" s="438"/>
      <c r="AH282" s="175"/>
      <c r="AI282" s="203"/>
      <c r="AJ282" s="230"/>
      <c r="AK282" s="231"/>
      <c r="AL282" s="218"/>
      <c r="AM282" s="180"/>
      <c r="AN282" s="180"/>
      <c r="AO282" s="205"/>
      <c r="AP282" s="179"/>
      <c r="AQ282" s="180"/>
      <c r="AR282" s="180"/>
      <c r="AS282" s="421"/>
    </row>
    <row r="283" spans="1:45" x14ac:dyDescent="0.25">
      <c r="A283" s="1"/>
      <c r="B283" s="1"/>
      <c r="D283" s="17"/>
      <c r="E283" s="199"/>
      <c r="F283" s="226"/>
      <c r="G283" s="227"/>
      <c r="H283" s="214"/>
      <c r="I283" s="3"/>
      <c r="J283" s="3"/>
      <c r="K283" s="53"/>
      <c r="L283" s="165"/>
      <c r="M283" s="3"/>
      <c r="N283" s="3"/>
      <c r="P283" s="55"/>
      <c r="Q283" s="1"/>
      <c r="S283" s="17"/>
      <c r="T283" s="199"/>
      <c r="U283" s="226"/>
      <c r="V283" s="227"/>
      <c r="W283" s="214"/>
      <c r="X283" s="3"/>
      <c r="Y283" s="3"/>
      <c r="Z283" s="53"/>
      <c r="AA283" s="165"/>
      <c r="AB283" s="3"/>
      <c r="AC283" s="3"/>
      <c r="AE283" s="58"/>
      <c r="AF283" s="1"/>
      <c r="AH283" s="17"/>
      <c r="AI283" s="199"/>
      <c r="AJ283" s="226"/>
      <c r="AK283" s="227"/>
      <c r="AL283" s="214"/>
      <c r="AM283" s="3"/>
      <c r="AN283" s="3"/>
      <c r="AO283" s="53"/>
      <c r="AP283" s="165"/>
      <c r="AQ283" s="3"/>
      <c r="AR283" s="3"/>
    </row>
    <row r="284" spans="1:45" x14ac:dyDescent="0.25">
      <c r="A284" s="1"/>
      <c r="B284" s="1"/>
      <c r="D284" s="17"/>
      <c r="E284" s="199"/>
      <c r="F284" s="226"/>
      <c r="G284" s="227"/>
      <c r="H284" s="214"/>
      <c r="I284" s="3"/>
      <c r="J284" s="3"/>
      <c r="K284" s="53"/>
      <c r="L284" s="165"/>
      <c r="M284" s="3"/>
      <c r="N284" s="3"/>
      <c r="P284" s="55"/>
      <c r="Q284" s="1"/>
      <c r="S284" s="17"/>
      <c r="T284" s="199"/>
      <c r="U284" s="226"/>
      <c r="V284" s="227"/>
      <c r="W284" s="214"/>
      <c r="X284" s="3"/>
      <c r="Y284" s="3"/>
      <c r="Z284" s="53"/>
      <c r="AA284" s="165"/>
      <c r="AB284" s="3"/>
      <c r="AC284" s="3"/>
      <c r="AE284" s="58"/>
      <c r="AF284" s="1"/>
      <c r="AH284" s="17"/>
      <c r="AI284" s="199"/>
      <c r="AJ284" s="226"/>
      <c r="AK284" s="227"/>
      <c r="AL284" s="214"/>
      <c r="AM284" s="3"/>
      <c r="AN284" s="3"/>
      <c r="AO284" s="53"/>
      <c r="AP284" s="165"/>
      <c r="AQ284" s="3"/>
      <c r="AR284" s="3"/>
    </row>
    <row r="285" spans="1:45" x14ac:dyDescent="0.25">
      <c r="A285" s="1"/>
      <c r="B285" s="1"/>
      <c r="D285" s="17"/>
      <c r="E285" s="199"/>
      <c r="F285" s="226"/>
      <c r="G285" s="227"/>
      <c r="H285" s="214"/>
      <c r="I285" s="3"/>
      <c r="J285" s="3"/>
      <c r="K285" s="53"/>
      <c r="L285" s="165"/>
      <c r="M285" s="3"/>
      <c r="N285" s="3"/>
      <c r="P285" s="55"/>
      <c r="Q285" s="1"/>
      <c r="S285" s="17"/>
      <c r="T285" s="199"/>
      <c r="U285" s="226"/>
      <c r="V285" s="227"/>
      <c r="W285" s="214"/>
      <c r="X285" s="3"/>
      <c r="Y285" s="3"/>
      <c r="Z285" s="53"/>
      <c r="AA285" s="165"/>
      <c r="AB285" s="3"/>
      <c r="AC285" s="3"/>
      <c r="AE285" s="58"/>
      <c r="AF285" s="1"/>
      <c r="AH285" s="17"/>
      <c r="AI285" s="199"/>
      <c r="AJ285" s="226"/>
      <c r="AK285" s="227"/>
      <c r="AL285" s="214"/>
      <c r="AM285" s="3"/>
      <c r="AN285" s="3"/>
      <c r="AO285" s="53"/>
      <c r="AP285" s="165"/>
      <c r="AQ285" s="3"/>
      <c r="AR285" s="3"/>
    </row>
    <row r="286" spans="1:45" x14ac:dyDescent="0.25">
      <c r="A286" s="1"/>
      <c r="B286" s="1"/>
      <c r="D286" s="17"/>
      <c r="E286" s="199"/>
      <c r="F286" s="226"/>
      <c r="G286" s="227"/>
      <c r="H286" s="214"/>
      <c r="I286" s="3"/>
      <c r="J286" s="3"/>
      <c r="K286" s="53"/>
      <c r="L286" s="165"/>
      <c r="M286" s="3"/>
      <c r="N286" s="3"/>
      <c r="P286" s="55"/>
      <c r="Q286" s="1"/>
      <c r="S286" s="17"/>
      <c r="T286" s="199"/>
      <c r="U286" s="226"/>
      <c r="V286" s="227"/>
      <c r="W286" s="214"/>
      <c r="X286" s="3"/>
      <c r="Y286" s="3"/>
      <c r="Z286" s="53"/>
      <c r="AA286" s="165"/>
      <c r="AB286" s="3"/>
      <c r="AC286" s="3"/>
      <c r="AE286" s="58"/>
      <c r="AF286" s="1"/>
      <c r="AH286" s="17"/>
      <c r="AI286" s="199"/>
      <c r="AJ286" s="226"/>
      <c r="AK286" s="227"/>
      <c r="AL286" s="214"/>
      <c r="AM286" s="3"/>
      <c r="AN286" s="3"/>
      <c r="AO286" s="53"/>
      <c r="AP286" s="165"/>
      <c r="AQ286" s="3"/>
      <c r="AR286" s="3"/>
    </row>
    <row r="287" spans="1:45" x14ac:dyDescent="0.25">
      <c r="A287" s="1"/>
      <c r="B287" s="1"/>
      <c r="D287" s="17"/>
      <c r="E287" s="199"/>
      <c r="F287" s="226"/>
      <c r="G287" s="227"/>
      <c r="H287" s="214"/>
      <c r="I287" s="3"/>
      <c r="J287" s="3"/>
      <c r="K287" s="53"/>
      <c r="L287" s="165"/>
      <c r="M287" s="3"/>
      <c r="N287" s="3"/>
      <c r="P287" s="55"/>
      <c r="Q287" s="1"/>
      <c r="S287" s="17"/>
      <c r="T287" s="199"/>
      <c r="U287" s="226"/>
      <c r="V287" s="227"/>
      <c r="W287" s="214"/>
      <c r="X287" s="3"/>
      <c r="Y287" s="3"/>
      <c r="Z287" s="53"/>
      <c r="AA287" s="165"/>
      <c r="AB287" s="3"/>
      <c r="AC287" s="3"/>
      <c r="AE287" s="58"/>
      <c r="AF287" s="1"/>
      <c r="AH287" s="17"/>
      <c r="AI287" s="199"/>
      <c r="AJ287" s="226"/>
      <c r="AK287" s="227"/>
      <c r="AL287" s="214"/>
      <c r="AM287" s="3"/>
      <c r="AN287" s="3"/>
      <c r="AO287" s="53"/>
      <c r="AP287" s="165"/>
      <c r="AQ287" s="3"/>
      <c r="AR287" s="3"/>
    </row>
    <row r="288" spans="1:45" x14ac:dyDescent="0.25">
      <c r="A288" s="1"/>
      <c r="B288" s="1"/>
      <c r="D288" s="17"/>
      <c r="E288" s="199"/>
      <c r="F288" s="226"/>
      <c r="G288" s="227"/>
      <c r="H288" s="214"/>
      <c r="I288" s="3"/>
      <c r="J288" s="3"/>
      <c r="K288" s="53"/>
      <c r="L288" s="165"/>
      <c r="M288" s="3"/>
      <c r="N288" s="3"/>
      <c r="P288" s="55"/>
      <c r="Q288" s="1"/>
      <c r="S288" s="17"/>
      <c r="T288" s="199"/>
      <c r="U288" s="226"/>
      <c r="V288" s="227"/>
      <c r="W288" s="214"/>
      <c r="X288" s="3"/>
      <c r="Y288" s="3"/>
      <c r="Z288" s="53"/>
      <c r="AA288" s="165"/>
      <c r="AB288" s="3"/>
      <c r="AC288" s="3"/>
      <c r="AE288" s="58"/>
      <c r="AF288" s="1"/>
      <c r="AH288" s="17"/>
      <c r="AI288" s="199"/>
      <c r="AJ288" s="226"/>
      <c r="AK288" s="227"/>
      <c r="AL288" s="214"/>
      <c r="AM288" s="3"/>
      <c r="AN288" s="3"/>
      <c r="AO288" s="53"/>
      <c r="AP288" s="165"/>
      <c r="AQ288" s="3"/>
      <c r="AR288" s="3"/>
    </row>
    <row r="289" spans="1:44" x14ac:dyDescent="0.25">
      <c r="A289" s="1"/>
      <c r="B289" s="1"/>
      <c r="D289" s="17"/>
      <c r="E289" s="199"/>
      <c r="F289" s="226"/>
      <c r="G289" s="227"/>
      <c r="H289" s="214"/>
      <c r="I289" s="3"/>
      <c r="J289" s="3"/>
      <c r="K289" s="53"/>
      <c r="L289" s="165"/>
      <c r="M289" s="3"/>
      <c r="N289" s="3"/>
      <c r="P289" s="55"/>
      <c r="Q289" s="1"/>
      <c r="S289" s="17"/>
      <c r="T289" s="199"/>
      <c r="U289" s="226"/>
      <c r="V289" s="227"/>
      <c r="W289" s="214"/>
      <c r="X289" s="3"/>
      <c r="Y289" s="3"/>
      <c r="Z289" s="53"/>
      <c r="AA289" s="165"/>
      <c r="AB289" s="3"/>
      <c r="AC289" s="3"/>
      <c r="AE289" s="58"/>
      <c r="AF289" s="1"/>
      <c r="AH289" s="17"/>
      <c r="AI289" s="199"/>
      <c r="AJ289" s="226"/>
      <c r="AK289" s="227"/>
      <c r="AL289" s="214"/>
      <c r="AM289" s="3"/>
      <c r="AN289" s="3"/>
      <c r="AO289" s="53"/>
      <c r="AP289" s="165"/>
      <c r="AQ289" s="3"/>
      <c r="AR289" s="3"/>
    </row>
    <row r="290" spans="1:44" x14ac:dyDescent="0.25">
      <c r="A290" s="1"/>
      <c r="B290" s="1"/>
      <c r="D290" s="17"/>
      <c r="E290" s="199"/>
      <c r="F290" s="226"/>
      <c r="G290" s="227"/>
      <c r="H290" s="214"/>
      <c r="I290" s="3"/>
      <c r="J290" s="3"/>
      <c r="K290" s="53"/>
      <c r="L290" s="165"/>
      <c r="M290" s="3"/>
      <c r="N290" s="3"/>
      <c r="P290" s="55"/>
      <c r="Q290" s="1"/>
      <c r="S290" s="17"/>
      <c r="T290" s="199"/>
      <c r="U290" s="226"/>
      <c r="V290" s="227"/>
      <c r="W290" s="214"/>
      <c r="X290" s="3"/>
      <c r="Y290" s="3"/>
      <c r="Z290" s="53"/>
      <c r="AA290" s="165"/>
      <c r="AB290" s="3"/>
      <c r="AC290" s="3"/>
      <c r="AE290" s="58"/>
      <c r="AF290" s="1"/>
      <c r="AH290" s="17"/>
      <c r="AI290" s="199"/>
      <c r="AJ290" s="226"/>
      <c r="AK290" s="227"/>
      <c r="AL290" s="214"/>
      <c r="AM290" s="3"/>
      <c r="AN290" s="3"/>
      <c r="AO290" s="53"/>
      <c r="AP290" s="165"/>
      <c r="AQ290" s="3"/>
      <c r="AR290" s="3"/>
    </row>
    <row r="291" spans="1:44" x14ac:dyDescent="0.25">
      <c r="A291" s="1"/>
      <c r="B291" s="1"/>
      <c r="D291" s="17"/>
      <c r="E291" s="199"/>
      <c r="F291" s="226"/>
      <c r="G291" s="227"/>
      <c r="H291" s="214"/>
      <c r="I291" s="3"/>
      <c r="J291" s="3"/>
      <c r="K291" s="53"/>
      <c r="L291" s="165"/>
      <c r="M291" s="3"/>
      <c r="N291" s="3"/>
      <c r="P291" s="55"/>
      <c r="Q291" s="1"/>
      <c r="S291" s="17"/>
      <c r="T291" s="199"/>
      <c r="U291" s="226"/>
      <c r="V291" s="227"/>
      <c r="W291" s="214"/>
      <c r="X291" s="3"/>
      <c r="Y291" s="3"/>
      <c r="Z291" s="53"/>
      <c r="AA291" s="165"/>
      <c r="AB291" s="3"/>
      <c r="AC291" s="3"/>
      <c r="AE291" s="58"/>
      <c r="AF291" s="1"/>
      <c r="AH291" s="17"/>
      <c r="AI291" s="199"/>
      <c r="AJ291" s="226"/>
      <c r="AK291" s="227"/>
      <c r="AL291" s="214"/>
      <c r="AM291" s="3"/>
      <c r="AN291" s="3"/>
      <c r="AO291" s="53"/>
      <c r="AP291" s="165"/>
      <c r="AQ291" s="3"/>
      <c r="AR291" s="3"/>
    </row>
    <row r="292" spans="1:44" x14ac:dyDescent="0.25">
      <c r="A292" s="1"/>
      <c r="B292" s="1"/>
      <c r="D292" s="17"/>
      <c r="E292" s="199"/>
      <c r="F292" s="226"/>
      <c r="G292" s="227"/>
      <c r="H292" s="214"/>
      <c r="I292" s="3"/>
      <c r="J292" s="3"/>
      <c r="K292" s="53"/>
      <c r="L292" s="165"/>
      <c r="M292" s="3"/>
      <c r="N292" s="3"/>
      <c r="P292" s="55"/>
      <c r="Q292" s="1"/>
      <c r="S292" s="17"/>
      <c r="T292" s="199"/>
      <c r="U292" s="226"/>
      <c r="V292" s="227"/>
      <c r="W292" s="214"/>
      <c r="X292" s="3"/>
      <c r="Y292" s="3"/>
      <c r="Z292" s="53"/>
      <c r="AA292" s="165"/>
      <c r="AB292" s="3"/>
      <c r="AC292" s="3"/>
      <c r="AE292" s="58"/>
      <c r="AF292" s="1"/>
      <c r="AH292" s="17"/>
      <c r="AI292" s="199"/>
      <c r="AJ292" s="226"/>
      <c r="AK292" s="227"/>
      <c r="AL292" s="214"/>
      <c r="AM292" s="3"/>
      <c r="AN292" s="3"/>
      <c r="AO292" s="53"/>
      <c r="AP292" s="165"/>
      <c r="AQ292" s="3"/>
      <c r="AR292" s="3"/>
    </row>
    <row r="293" spans="1:44" x14ac:dyDescent="0.25">
      <c r="A293" s="1"/>
      <c r="B293" s="1"/>
      <c r="D293" s="17"/>
      <c r="E293" s="199"/>
      <c r="F293" s="226"/>
      <c r="G293" s="227"/>
      <c r="H293" s="214"/>
      <c r="I293" s="3"/>
      <c r="J293" s="3"/>
      <c r="K293" s="53"/>
      <c r="L293" s="165"/>
      <c r="M293" s="3"/>
      <c r="N293" s="3"/>
      <c r="P293" s="55"/>
      <c r="Q293" s="1"/>
      <c r="S293" s="17"/>
      <c r="T293" s="199"/>
      <c r="U293" s="226"/>
      <c r="V293" s="227"/>
      <c r="W293" s="214"/>
      <c r="X293" s="3"/>
      <c r="Y293" s="3"/>
      <c r="Z293" s="53"/>
      <c r="AA293" s="165"/>
      <c r="AB293" s="3"/>
      <c r="AC293" s="3"/>
      <c r="AE293" s="58"/>
      <c r="AF293" s="1"/>
      <c r="AH293" s="17"/>
      <c r="AI293" s="199"/>
      <c r="AJ293" s="226"/>
      <c r="AK293" s="227"/>
      <c r="AL293" s="214"/>
      <c r="AM293" s="3"/>
      <c r="AN293" s="3"/>
      <c r="AO293" s="53"/>
      <c r="AP293" s="165"/>
      <c r="AQ293" s="3"/>
      <c r="AR293" s="3"/>
    </row>
    <row r="294" spans="1:44" x14ac:dyDescent="0.25">
      <c r="A294" s="1"/>
      <c r="B294" s="1"/>
      <c r="D294" s="17"/>
      <c r="E294" s="199"/>
      <c r="F294" s="226"/>
      <c r="G294" s="227"/>
      <c r="H294" s="214"/>
      <c r="I294" s="3"/>
      <c r="J294" s="3"/>
      <c r="K294" s="53"/>
      <c r="L294" s="165"/>
      <c r="M294" s="3"/>
      <c r="N294" s="3"/>
      <c r="P294" s="55"/>
      <c r="Q294" s="1"/>
      <c r="S294" s="17"/>
      <c r="T294" s="199"/>
      <c r="U294" s="226"/>
      <c r="V294" s="227"/>
      <c r="W294" s="214"/>
      <c r="X294" s="3"/>
      <c r="Y294" s="3"/>
      <c r="Z294" s="53"/>
      <c r="AA294" s="165"/>
      <c r="AB294" s="3"/>
      <c r="AC294" s="3"/>
      <c r="AE294" s="58"/>
      <c r="AF294" s="1"/>
      <c r="AH294" s="17"/>
      <c r="AI294" s="199"/>
      <c r="AJ294" s="226"/>
      <c r="AK294" s="227"/>
      <c r="AL294" s="214"/>
      <c r="AM294" s="3"/>
      <c r="AN294" s="3"/>
      <c r="AO294" s="53"/>
      <c r="AP294" s="165"/>
      <c r="AQ294" s="3"/>
      <c r="AR294" s="3"/>
    </row>
    <row r="295" spans="1:44" x14ac:dyDescent="0.25">
      <c r="A295" s="1"/>
      <c r="B295" s="1"/>
      <c r="D295" s="17"/>
      <c r="E295" s="199"/>
      <c r="F295" s="226"/>
      <c r="G295" s="227"/>
      <c r="H295" s="214"/>
      <c r="I295" s="3"/>
      <c r="J295" s="3"/>
      <c r="K295" s="53"/>
      <c r="L295" s="165"/>
      <c r="M295" s="3"/>
      <c r="N295" s="3"/>
      <c r="P295" s="55"/>
      <c r="Q295" s="1"/>
      <c r="S295" s="17"/>
      <c r="T295" s="199"/>
      <c r="U295" s="226"/>
      <c r="V295" s="227"/>
      <c r="W295" s="214"/>
      <c r="X295" s="3"/>
      <c r="Y295" s="3"/>
      <c r="Z295" s="53"/>
      <c r="AA295" s="165"/>
      <c r="AB295" s="3"/>
      <c r="AC295" s="3"/>
      <c r="AE295" s="58"/>
      <c r="AF295" s="1"/>
      <c r="AH295" s="17"/>
      <c r="AI295" s="199"/>
      <c r="AJ295" s="226"/>
      <c r="AK295" s="227"/>
      <c r="AL295" s="214"/>
      <c r="AM295" s="3"/>
      <c r="AN295" s="3"/>
      <c r="AO295" s="53"/>
      <c r="AP295" s="165"/>
      <c r="AQ295" s="3"/>
      <c r="AR295" s="3"/>
    </row>
    <row r="296" spans="1:44" x14ac:dyDescent="0.25">
      <c r="A296" s="1"/>
      <c r="B296" s="1"/>
      <c r="D296" s="17"/>
      <c r="E296" s="199"/>
      <c r="F296" s="226"/>
      <c r="G296" s="227"/>
      <c r="H296" s="214"/>
      <c r="I296" s="3"/>
      <c r="J296" s="3"/>
      <c r="K296" s="53"/>
      <c r="L296" s="165"/>
      <c r="M296" s="3"/>
      <c r="N296" s="3"/>
      <c r="P296" s="55"/>
      <c r="Q296" s="1"/>
      <c r="S296" s="17"/>
      <c r="T296" s="199"/>
      <c r="U296" s="226"/>
      <c r="V296" s="227"/>
      <c r="W296" s="214"/>
      <c r="X296" s="3"/>
      <c r="Y296" s="3"/>
      <c r="Z296" s="53"/>
      <c r="AA296" s="165"/>
      <c r="AB296" s="3"/>
      <c r="AC296" s="3"/>
      <c r="AE296" s="58"/>
      <c r="AF296" s="1"/>
      <c r="AH296" s="17"/>
      <c r="AI296" s="199"/>
      <c r="AJ296" s="226"/>
      <c r="AK296" s="227"/>
      <c r="AL296" s="214"/>
      <c r="AM296" s="3"/>
      <c r="AN296" s="3"/>
      <c r="AO296" s="53"/>
      <c r="AP296" s="165"/>
      <c r="AQ296" s="3"/>
      <c r="AR296" s="3"/>
    </row>
    <row r="297" spans="1:44" x14ac:dyDescent="0.25">
      <c r="A297" s="1"/>
      <c r="B297" s="1"/>
      <c r="D297" s="17"/>
      <c r="E297" s="199"/>
      <c r="F297" s="226"/>
      <c r="G297" s="227"/>
      <c r="H297" s="214"/>
      <c r="I297" s="3"/>
      <c r="J297" s="3"/>
      <c r="K297" s="53"/>
      <c r="L297" s="165"/>
      <c r="M297" s="3"/>
      <c r="N297" s="3"/>
      <c r="P297" s="55"/>
      <c r="Q297" s="1"/>
      <c r="S297" s="17"/>
      <c r="T297" s="199"/>
      <c r="U297" s="226"/>
      <c r="V297" s="227"/>
      <c r="W297" s="214"/>
      <c r="X297" s="3"/>
      <c r="Y297" s="3"/>
      <c r="Z297" s="53"/>
      <c r="AA297" s="165"/>
      <c r="AB297" s="3"/>
      <c r="AC297" s="3"/>
      <c r="AE297" s="58"/>
      <c r="AF297" s="1"/>
      <c r="AH297" s="17"/>
      <c r="AI297" s="199"/>
      <c r="AJ297" s="226"/>
      <c r="AK297" s="227"/>
      <c r="AL297" s="214"/>
      <c r="AM297" s="3"/>
      <c r="AN297" s="3"/>
      <c r="AO297" s="53"/>
      <c r="AP297" s="165"/>
      <c r="AQ297" s="3"/>
      <c r="AR297" s="3"/>
    </row>
    <row r="298" spans="1:44" x14ac:dyDescent="0.25">
      <c r="A298" s="1"/>
      <c r="B298" s="1"/>
      <c r="D298" s="17"/>
      <c r="E298" s="199"/>
      <c r="F298" s="226"/>
      <c r="G298" s="227"/>
      <c r="H298" s="214"/>
      <c r="I298" s="3"/>
      <c r="J298" s="3"/>
      <c r="K298" s="53"/>
      <c r="L298" s="165"/>
      <c r="M298" s="3"/>
      <c r="N298" s="3"/>
      <c r="P298" s="55"/>
      <c r="Q298" s="1"/>
      <c r="S298" s="17"/>
      <c r="T298" s="199"/>
      <c r="U298" s="226"/>
      <c r="V298" s="227"/>
      <c r="W298" s="214"/>
      <c r="X298" s="3"/>
      <c r="Y298" s="3"/>
      <c r="Z298" s="53"/>
      <c r="AA298" s="165"/>
      <c r="AB298" s="3"/>
      <c r="AC298" s="3"/>
      <c r="AE298" s="58"/>
      <c r="AF298" s="1"/>
      <c r="AH298" s="17"/>
      <c r="AI298" s="199"/>
      <c r="AJ298" s="226"/>
      <c r="AK298" s="227"/>
      <c r="AL298" s="214"/>
      <c r="AM298" s="3"/>
      <c r="AN298" s="3"/>
      <c r="AO298" s="53"/>
      <c r="AP298" s="165"/>
      <c r="AQ298" s="3"/>
      <c r="AR298" s="3"/>
    </row>
    <row r="299" spans="1:44" x14ac:dyDescent="0.25">
      <c r="A299" s="1"/>
      <c r="B299" s="1"/>
      <c r="D299" s="17"/>
      <c r="E299" s="199"/>
      <c r="F299" s="226"/>
      <c r="G299" s="227"/>
      <c r="H299" s="214"/>
      <c r="I299" s="3"/>
      <c r="J299" s="3"/>
      <c r="K299" s="53"/>
      <c r="L299" s="165"/>
      <c r="M299" s="3"/>
      <c r="N299" s="3"/>
      <c r="P299" s="55"/>
      <c r="Q299" s="1"/>
      <c r="S299" s="17"/>
      <c r="T299" s="199"/>
      <c r="U299" s="226"/>
      <c r="V299" s="227"/>
      <c r="W299" s="214"/>
      <c r="X299" s="3"/>
      <c r="Y299" s="3"/>
      <c r="Z299" s="53"/>
      <c r="AA299" s="165"/>
      <c r="AB299" s="3"/>
      <c r="AC299" s="3"/>
      <c r="AE299" s="58"/>
      <c r="AF299" s="1"/>
      <c r="AH299" s="17"/>
      <c r="AI299" s="199"/>
      <c r="AJ299" s="226"/>
      <c r="AK299" s="227"/>
      <c r="AL299" s="214"/>
      <c r="AM299" s="3"/>
      <c r="AN299" s="3"/>
      <c r="AO299" s="53"/>
      <c r="AP299" s="165"/>
      <c r="AQ299" s="3"/>
      <c r="AR299" s="3"/>
    </row>
    <row r="300" spans="1:44" x14ac:dyDescent="0.25">
      <c r="A300" s="1"/>
      <c r="B300" s="1"/>
      <c r="D300" s="17"/>
      <c r="E300" s="199"/>
      <c r="F300" s="226"/>
      <c r="G300" s="227"/>
      <c r="H300" s="214"/>
      <c r="I300" s="3"/>
      <c r="J300" s="3"/>
      <c r="K300" s="53"/>
      <c r="L300" s="165"/>
      <c r="M300" s="3"/>
      <c r="N300" s="3"/>
      <c r="P300" s="55"/>
      <c r="Q300" s="1"/>
      <c r="S300" s="17"/>
      <c r="T300" s="199"/>
      <c r="U300" s="226"/>
      <c r="V300" s="227"/>
      <c r="W300" s="214"/>
      <c r="X300" s="3"/>
      <c r="Y300" s="3"/>
      <c r="Z300" s="53"/>
      <c r="AA300" s="165"/>
      <c r="AB300" s="3"/>
      <c r="AC300" s="3"/>
      <c r="AE300" s="58"/>
      <c r="AF300" s="1"/>
      <c r="AH300" s="17"/>
      <c r="AI300" s="199"/>
      <c r="AJ300" s="226"/>
      <c r="AK300" s="227"/>
      <c r="AL300" s="214"/>
      <c r="AM300" s="3"/>
      <c r="AN300" s="3"/>
      <c r="AO300" s="53"/>
      <c r="AP300" s="165"/>
      <c r="AQ300" s="3"/>
      <c r="AR300" s="3"/>
    </row>
    <row r="301" spans="1:44" ht="13.8" thickBot="1" x14ac:dyDescent="0.3">
      <c r="A301" s="1"/>
      <c r="B301" s="1"/>
      <c r="D301" s="17"/>
      <c r="E301" s="199"/>
      <c r="F301" s="228"/>
      <c r="G301" s="229"/>
      <c r="H301" s="214"/>
      <c r="I301" s="3"/>
      <c r="J301" s="3"/>
      <c r="K301" s="53"/>
      <c r="L301" s="165"/>
      <c r="M301" s="3"/>
      <c r="N301" s="3"/>
      <c r="P301" s="66"/>
      <c r="Q301" s="167"/>
      <c r="R301" s="447"/>
      <c r="S301" s="168"/>
      <c r="T301" s="201"/>
      <c r="U301" s="228"/>
      <c r="V301" s="229"/>
      <c r="W301" s="216"/>
      <c r="X301" s="170"/>
      <c r="Y301" s="170"/>
      <c r="Z301" s="171"/>
      <c r="AA301" s="172"/>
      <c r="AB301" s="170"/>
      <c r="AC301" s="170"/>
      <c r="AE301" s="58"/>
      <c r="AF301" s="1"/>
      <c r="AH301" s="17"/>
      <c r="AI301" s="199"/>
      <c r="AJ301" s="228"/>
      <c r="AK301" s="229"/>
      <c r="AL301" s="214"/>
      <c r="AM301" s="3"/>
      <c r="AN301" s="3"/>
      <c r="AO301" s="53"/>
      <c r="AP301" s="165"/>
      <c r="AQ301" s="3"/>
      <c r="AR301" s="3"/>
    </row>
    <row r="302" spans="1:44" x14ac:dyDescent="0.25">
      <c r="F302" s="232"/>
      <c r="G302" s="232"/>
      <c r="P302" s="123"/>
      <c r="Q302" s="70"/>
      <c r="R302" s="438"/>
      <c r="S302" s="232"/>
      <c r="T302" s="232"/>
      <c r="U302" s="232"/>
      <c r="V302" s="232"/>
      <c r="W302" s="119"/>
      <c r="X302" s="70"/>
      <c r="Y302" s="70"/>
      <c r="Z302" s="233"/>
      <c r="AA302" s="234"/>
      <c r="AB302" s="70"/>
      <c r="AC302" s="122"/>
      <c r="AJ302" s="232"/>
      <c r="AK302" s="232"/>
    </row>
  </sheetData>
  <phoneticPr fontId="1" type="noConversion"/>
  <conditionalFormatting sqref="O1:O1048576">
    <cfRule type="expression" dxfId="22" priority="7">
      <formula>YEAR(NOW())-YEAR(O1)=0</formula>
    </cfRule>
    <cfRule type="expression" dxfId="21" priority="8">
      <formula>YEAR(NOW())-YEAR(O1)=1</formula>
    </cfRule>
    <cfRule type="expression" dxfId="20" priority="9">
      <formula>YEAR(NOW())-YEAR(O1)=2</formula>
    </cfRule>
  </conditionalFormatting>
  <conditionalFormatting sqref="AD1:AD1048576">
    <cfRule type="expression" dxfId="19" priority="4">
      <formula>YEAR(NOW())-YEAR(AD1)=0</formula>
    </cfRule>
    <cfRule type="expression" dxfId="18" priority="5">
      <formula>YEAR(NOW())-YEAR(AD1)=1</formula>
    </cfRule>
    <cfRule type="expression" dxfId="17" priority="6">
      <formula>YEAR(NOW())-YEAR(AD1)=2</formula>
    </cfRule>
  </conditionalFormatting>
  <conditionalFormatting sqref="AS1:AS1048576">
    <cfRule type="expression" dxfId="16" priority="1">
      <formula>YEAR(NOW())-YEAR(AS1)=0</formula>
    </cfRule>
    <cfRule type="expression" dxfId="15" priority="2">
      <formula>YEAR(NOW())-YEAR(AS1)=1</formula>
    </cfRule>
    <cfRule type="expression" dxfId="14" priority="3">
      <formula>YEAR(NOW())-YEAR(AS1)=2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00B050"/>
  </sheetPr>
  <dimension ref="A1:CB431"/>
  <sheetViews>
    <sheetView workbookViewId="0">
      <pane ySplit="1" topLeftCell="A5" activePane="bottomLeft" state="frozen"/>
      <selection pane="bottomLeft" activeCell="K6" sqref="K6"/>
    </sheetView>
  </sheetViews>
  <sheetFormatPr defaultColWidth="9" defaultRowHeight="13.2" x14ac:dyDescent="0.25"/>
  <cols>
    <col min="1" max="1" width="4.5546875" style="433" bestFit="1" customWidth="1"/>
    <col min="2" max="2" width="6.44140625" style="1" hidden="1" customWidth="1"/>
    <col min="3" max="3" width="6.77734375" style="52" bestFit="1" customWidth="1"/>
    <col min="4" max="4" width="6.6640625" style="1" bestFit="1" customWidth="1"/>
    <col min="5" max="6" width="6.77734375" style="165" bestFit="1" customWidth="1"/>
    <col min="7" max="7" width="6.77734375" style="51" bestFit="1" customWidth="1"/>
    <col min="8" max="8" width="8.6640625" style="355" bestFit="1" customWidth="1"/>
    <col min="9" max="9" width="4.5546875" style="442" bestFit="1" customWidth="1"/>
    <col min="10" max="10" width="6.44140625" style="1" hidden="1" customWidth="1"/>
    <col min="11" max="11" width="6.77734375" style="52" bestFit="1" customWidth="1"/>
    <col min="12" max="12" width="6.6640625" style="1" bestFit="1" customWidth="1"/>
    <col min="13" max="14" width="6.77734375" style="165" bestFit="1" customWidth="1"/>
    <col min="15" max="15" width="6.77734375" style="51" bestFit="1" customWidth="1"/>
    <col min="16" max="16" width="8.6640625" style="10" bestFit="1" customWidth="1"/>
    <col min="17" max="17" width="4.5546875" style="433" bestFit="1" customWidth="1"/>
    <col min="18" max="18" width="6.44140625" style="1" hidden="1" customWidth="1"/>
    <col min="19" max="19" width="7.77734375" style="52" bestFit="1" customWidth="1"/>
    <col min="20" max="20" width="6.6640625" style="1" bestFit="1" customWidth="1"/>
    <col min="21" max="22" width="6.77734375" style="165" bestFit="1" customWidth="1"/>
    <col min="23" max="23" width="6.21875" style="51" bestFit="1" customWidth="1"/>
    <col min="24" max="24" width="8.6640625" style="10" bestFit="1" customWidth="1"/>
    <col min="25" max="25" width="4.5546875" style="433" bestFit="1" customWidth="1"/>
    <col min="26" max="26" width="6.44140625" style="1" hidden="1" customWidth="1"/>
    <col min="27" max="27" width="6.77734375" style="52" bestFit="1" customWidth="1"/>
    <col min="28" max="28" width="6.6640625" style="1" bestFit="1" customWidth="1"/>
    <col min="29" max="30" width="6.77734375" style="165" bestFit="1" customWidth="1"/>
    <col min="31" max="31" width="6.21875" style="51" bestFit="1" customWidth="1"/>
    <col min="32" max="32" width="8.6640625" style="10" bestFit="1" customWidth="1"/>
    <col min="33" max="33" width="4.5546875" style="433" bestFit="1" customWidth="1"/>
    <col min="34" max="34" width="6.44140625" style="1" hidden="1" customWidth="1"/>
    <col min="35" max="35" width="6.77734375" style="52" bestFit="1" customWidth="1"/>
    <col min="36" max="36" width="6.6640625" style="1" bestFit="1" customWidth="1"/>
    <col min="37" max="38" width="6.77734375" style="165" bestFit="1" customWidth="1"/>
    <col min="39" max="39" width="6.21875" style="51" bestFit="1" customWidth="1"/>
    <col min="40" max="40" width="8.6640625" style="10" bestFit="1" customWidth="1"/>
    <col min="41" max="41" width="4.5546875" style="433" bestFit="1" customWidth="1"/>
    <col min="42" max="42" width="6.44140625" style="1" hidden="1" customWidth="1"/>
    <col min="43" max="43" width="7.77734375" style="52" bestFit="1" customWidth="1"/>
    <col min="44" max="44" width="6.6640625" style="1" bestFit="1" customWidth="1"/>
    <col min="45" max="46" width="6.77734375" style="165" bestFit="1" customWidth="1"/>
    <col min="47" max="47" width="6.21875" style="51" bestFit="1" customWidth="1"/>
    <col min="48" max="48" width="8.6640625" style="10" bestFit="1" customWidth="1"/>
    <col min="49" max="49" width="4.5546875" style="442" bestFit="1" customWidth="1"/>
    <col min="50" max="50" width="6.44140625" style="1" hidden="1" customWidth="1"/>
    <col min="51" max="51" width="7.77734375" style="52" bestFit="1" customWidth="1"/>
    <col min="52" max="52" width="6.6640625" style="1" bestFit="1" customWidth="1"/>
    <col min="53" max="54" width="6.77734375" style="165" bestFit="1" customWidth="1"/>
    <col min="55" max="55" width="6.21875" style="51" bestFit="1" customWidth="1"/>
    <col min="56" max="56" width="8.6640625" style="10" bestFit="1" customWidth="1"/>
    <col min="57" max="57" width="4.5546875" style="433" bestFit="1" customWidth="1"/>
    <col min="58" max="58" width="6.44140625" style="1" hidden="1" customWidth="1"/>
    <col min="59" max="59" width="6.77734375" style="52" bestFit="1" customWidth="1"/>
    <col min="60" max="60" width="6.6640625" style="1" bestFit="1" customWidth="1"/>
    <col min="61" max="62" width="6.77734375" style="165" bestFit="1" customWidth="1"/>
    <col min="63" max="63" width="6.21875" style="51" bestFit="1" customWidth="1"/>
    <col min="64" max="64" width="8.6640625" style="10" bestFit="1" customWidth="1"/>
    <col min="65" max="65" width="4.5546875" style="433" bestFit="1" customWidth="1"/>
    <col min="66" max="66" width="6.44140625" style="1" hidden="1" customWidth="1"/>
    <col min="67" max="67" width="6.77734375" style="52" bestFit="1" customWidth="1"/>
    <col min="68" max="68" width="6.6640625" style="1" bestFit="1" customWidth="1"/>
    <col min="69" max="70" width="6.77734375" style="165" bestFit="1" customWidth="1"/>
    <col min="71" max="71" width="6.21875" style="51" bestFit="1" customWidth="1"/>
    <col min="72" max="72" width="8.6640625" style="10" bestFit="1" customWidth="1"/>
    <col min="73" max="73" width="4.5546875" style="433" bestFit="1" customWidth="1"/>
    <col min="74" max="74" width="6.44140625" style="1" hidden="1" customWidth="1"/>
    <col min="75" max="75" width="6.77734375" style="52" bestFit="1" customWidth="1"/>
    <col min="76" max="76" width="6.6640625" style="1" bestFit="1" customWidth="1"/>
    <col min="77" max="78" width="6.77734375" style="165" bestFit="1" customWidth="1"/>
    <col min="79" max="79" width="6.21875" style="51" bestFit="1" customWidth="1"/>
    <col min="80" max="80" width="8.6640625" style="10" bestFit="1" customWidth="1"/>
    <col min="81" max="16384" width="9" style="19"/>
  </cols>
  <sheetData>
    <row r="1" spans="1:80" x14ac:dyDescent="0.25">
      <c r="A1" s="433" t="s">
        <v>288</v>
      </c>
      <c r="B1" s="24" t="s">
        <v>7</v>
      </c>
      <c r="C1" s="14" t="s">
        <v>101</v>
      </c>
      <c r="D1" s="64" t="s">
        <v>2</v>
      </c>
      <c r="E1" s="16" t="s">
        <v>48</v>
      </c>
      <c r="F1" s="16" t="s">
        <v>33</v>
      </c>
      <c r="G1" s="65" t="s">
        <v>37</v>
      </c>
      <c r="H1" s="73" t="s">
        <v>438</v>
      </c>
      <c r="I1" s="435" t="str">
        <f>A1</f>
        <v>Bv</v>
      </c>
      <c r="J1" s="47" t="s">
        <v>7</v>
      </c>
      <c r="K1" s="235" t="s">
        <v>434</v>
      </c>
      <c r="L1" s="78" t="s">
        <v>2</v>
      </c>
      <c r="M1" s="140" t="s">
        <v>34</v>
      </c>
      <c r="N1" s="140" t="s">
        <v>33</v>
      </c>
      <c r="O1" s="236" t="s">
        <v>37</v>
      </c>
      <c r="P1" s="82" t="s">
        <v>438</v>
      </c>
      <c r="Q1" s="442" t="str">
        <f>I1</f>
        <v>Bv</v>
      </c>
      <c r="R1" s="24" t="s">
        <v>7</v>
      </c>
      <c r="S1" s="14" t="s">
        <v>435</v>
      </c>
      <c r="T1" s="64" t="s">
        <v>2</v>
      </c>
      <c r="U1" s="16" t="s">
        <v>34</v>
      </c>
      <c r="V1" s="16" t="s">
        <v>33</v>
      </c>
      <c r="W1" s="65" t="s">
        <v>37</v>
      </c>
      <c r="X1" s="76" t="s">
        <v>438</v>
      </c>
      <c r="Y1" s="435" t="str">
        <f>Q1</f>
        <v>Bv</v>
      </c>
      <c r="Z1" s="47" t="s">
        <v>7</v>
      </c>
      <c r="AA1" s="235" t="s">
        <v>436</v>
      </c>
      <c r="AB1" s="78" t="s">
        <v>2</v>
      </c>
      <c r="AC1" s="140" t="s">
        <v>34</v>
      </c>
      <c r="AD1" s="140" t="s">
        <v>33</v>
      </c>
      <c r="AE1" s="236" t="s">
        <v>37</v>
      </c>
      <c r="AF1" s="82" t="s">
        <v>438</v>
      </c>
      <c r="AG1" s="442" t="str">
        <f>Y1</f>
        <v>Bv</v>
      </c>
      <c r="AH1" s="24" t="s">
        <v>7</v>
      </c>
      <c r="AI1" s="14" t="s">
        <v>437</v>
      </c>
      <c r="AJ1" s="64" t="s">
        <v>2</v>
      </c>
      <c r="AK1" s="16" t="s">
        <v>34</v>
      </c>
      <c r="AL1" s="16" t="s">
        <v>33</v>
      </c>
      <c r="AM1" s="65" t="s">
        <v>37</v>
      </c>
      <c r="AN1" s="76" t="s">
        <v>438</v>
      </c>
      <c r="AO1" s="435" t="str">
        <f>AG1</f>
        <v>Bv</v>
      </c>
      <c r="AP1" s="47" t="s">
        <v>7</v>
      </c>
      <c r="AQ1" s="235" t="s">
        <v>443</v>
      </c>
      <c r="AR1" s="78" t="s">
        <v>2</v>
      </c>
      <c r="AS1" s="140" t="s">
        <v>34</v>
      </c>
      <c r="AT1" s="140" t="s">
        <v>33</v>
      </c>
      <c r="AU1" s="236" t="s">
        <v>37</v>
      </c>
      <c r="AV1" s="82" t="s">
        <v>438</v>
      </c>
      <c r="AW1" s="442" t="str">
        <f>AO1</f>
        <v>Bv</v>
      </c>
      <c r="AX1" s="24" t="s">
        <v>7</v>
      </c>
      <c r="AY1" s="14" t="s">
        <v>442</v>
      </c>
      <c r="AZ1" s="64" t="s">
        <v>2</v>
      </c>
      <c r="BA1" s="16" t="s">
        <v>34</v>
      </c>
      <c r="BB1" s="16" t="s">
        <v>33</v>
      </c>
      <c r="BC1" s="65" t="s">
        <v>37</v>
      </c>
      <c r="BD1" s="76" t="s">
        <v>438</v>
      </c>
      <c r="BE1" s="435" t="str">
        <f>AW1</f>
        <v>Bv</v>
      </c>
      <c r="BF1" s="47" t="s">
        <v>7</v>
      </c>
      <c r="BG1" s="235" t="s">
        <v>441</v>
      </c>
      <c r="BH1" s="78" t="s">
        <v>2</v>
      </c>
      <c r="BI1" s="140" t="s">
        <v>34</v>
      </c>
      <c r="BJ1" s="140" t="s">
        <v>33</v>
      </c>
      <c r="BK1" s="236" t="s">
        <v>37</v>
      </c>
      <c r="BL1" s="82" t="s">
        <v>438</v>
      </c>
      <c r="BM1" s="442" t="str">
        <f>BE1</f>
        <v>Bv</v>
      </c>
      <c r="BN1" s="24" t="s">
        <v>7</v>
      </c>
      <c r="BO1" s="14" t="s">
        <v>440</v>
      </c>
      <c r="BP1" s="64" t="s">
        <v>2</v>
      </c>
      <c r="BQ1" s="16" t="s">
        <v>34</v>
      </c>
      <c r="BR1" s="16" t="s">
        <v>33</v>
      </c>
      <c r="BS1" s="65" t="s">
        <v>37</v>
      </c>
      <c r="BT1" s="76" t="s">
        <v>438</v>
      </c>
      <c r="BU1" s="435" t="str">
        <f>BM1</f>
        <v>Bv</v>
      </c>
      <c r="BV1" s="47" t="s">
        <v>7</v>
      </c>
      <c r="BW1" s="235" t="s">
        <v>439</v>
      </c>
      <c r="BX1" s="78" t="s">
        <v>2</v>
      </c>
      <c r="BY1" s="140" t="s">
        <v>34</v>
      </c>
      <c r="BZ1" s="140" t="s">
        <v>33</v>
      </c>
      <c r="CA1" s="236" t="s">
        <v>37</v>
      </c>
      <c r="CB1" s="82" t="s">
        <v>438</v>
      </c>
    </row>
    <row r="2" spans="1:80" x14ac:dyDescent="0.25">
      <c r="A2" s="433">
        <v>2</v>
      </c>
      <c r="C2" s="52" t="str">
        <f ca="1">IF(B2="","",INDEX(OFFSET(Arb!$H$2,,,Arb!$AJ$5,),B2))</f>
        <v/>
      </c>
      <c r="D2" s="3" t="str">
        <f ca="1">IFERROR(A2/C2,"")</f>
        <v/>
      </c>
      <c r="E2" s="165" t="str">
        <f ca="1">IF(B2="","",INDEX(OFFSET(Arb!$X$2,,,Arb!$AJ$5,),B2)/C2)</f>
        <v/>
      </c>
      <c r="F2" s="165" t="str">
        <f ca="1">IF(B2="","",(INDEX(OFFSET(Arb!$U$2,,,Arb!$AJ$5,),B2)+INDEX(OFFSET(Arb!$V$2,,,Arb!$AJ$5,),B2))/C2)</f>
        <v/>
      </c>
      <c r="G2" s="51" t="str">
        <f ca="1">IFERROR(47.299/(C2^1.7/A2),"")</f>
        <v/>
      </c>
      <c r="H2" s="355" t="str">
        <f ca="1">IF(B2="","",DATE(INDEX(OFFSET(Arb!$C$2,,,Arb!$AJ$5,),B2),INDEX(OFFSET(Arb!$B$2,,,Arb!$AJ$5,),B2),INDEX(OFFSET(Arb!$A$2,,,Arb!$AJ$5,),B2))+ROW()*0.001)</f>
        <v/>
      </c>
      <c r="I2" s="436">
        <v>2</v>
      </c>
      <c r="K2" s="52" t="str">
        <f ca="1">IF(J2="","",INDEX(OFFSET(Arb!$H$2,,,Arb!$AJ$5,),J2))</f>
        <v/>
      </c>
      <c r="L2" s="3" t="str">
        <f ca="1">IFERROR(I2/K2,"")</f>
        <v/>
      </c>
      <c r="M2" s="165" t="str">
        <f ca="1">IF(J2="","",INDEX(OFFSET(Arb!$X$2,,,Arb!$AJ$5,),J2)/K2)</f>
        <v/>
      </c>
      <c r="N2" s="165" t="str">
        <f ca="1">IF(J2="","",(INDEX(OFFSET(Arb!$U$2,,,Arb!$AJ$5,),J2)+INDEX(OFFSET(Arb!$V$2,,,Arb!$AJ$5,),J2))/K2)</f>
        <v/>
      </c>
      <c r="O2" s="51" t="str">
        <f ca="1">IFERROR(47.299/(K2^1.7/I2),"")</f>
        <v/>
      </c>
      <c r="P2" s="91" t="str">
        <f ca="1">IF(J2="","",DATE(INDEX(OFFSET(Arb!$C$2,,,Arb!$AJ$5,),J2),INDEX(OFFSET(Arb!$B$2,,,Arb!$AJ$5,),J2),INDEX(OFFSET(Arb!$A$2,,,Arb!$AJ$5,),J2))+ROW()*0.001)</f>
        <v/>
      </c>
      <c r="Q2" s="442">
        <v>2</v>
      </c>
      <c r="S2" s="52" t="str">
        <f ca="1">IF(R2="","",INDEX(OFFSET(Arb!$H$2,,,Arb!$AJ$5,),R2))</f>
        <v/>
      </c>
      <c r="T2" s="3" t="str">
        <f ca="1">IFERROR(Q2/S2,"")</f>
        <v/>
      </c>
      <c r="U2" s="165" t="str">
        <f ca="1">IF(R2="","",INDEX(OFFSET(Arb!$X$2,,,Arb!$AJ$5,),R2)/S2)</f>
        <v/>
      </c>
      <c r="V2" s="165" t="str">
        <f ca="1">IF(R2="","",(INDEX(OFFSET(Arb!$U$2,,,Arb!$AJ$5,),R2)+INDEX(OFFSET(Arb!$V$2,,,Arb!$AJ$5,),R2))/S2)</f>
        <v/>
      </c>
      <c r="W2" s="51" t="str">
        <f ca="1">IFERROR(47.299/(S2^1.7/Q2),"")</f>
        <v/>
      </c>
      <c r="X2" s="88" t="str">
        <f ca="1">IF(R2="","",DATE(INDEX(OFFSET(Arb!$C$2,,,Arb!$AJ$5,),R2),INDEX(OFFSET(Arb!$B$2,,,Arb!$AJ$5,),R2),INDEX(OFFSET(Arb!$A$2,,,Arb!$AJ$5,),R2))+ROW()*0.001)</f>
        <v/>
      </c>
      <c r="Y2" s="436">
        <v>2</v>
      </c>
      <c r="AA2" s="52" t="str">
        <f ca="1">IF(Z2="","",INDEX(OFFSET(Arb!$H$2,,,Arb!$AJ$5,),Z2))</f>
        <v/>
      </c>
      <c r="AB2" s="3" t="str">
        <f ca="1">IFERROR(Y2/AA2,"")</f>
        <v/>
      </c>
      <c r="AC2" s="165" t="str">
        <f ca="1">IF(Z2="","",INDEX(OFFSET(Arb!$X$2,,,Arb!$AJ$5,),Z2)/AA2)</f>
        <v/>
      </c>
      <c r="AD2" s="165" t="str">
        <f ca="1">IF(Z2="","",(INDEX(OFFSET(Arb!$U$2,,,Arb!$AJ$5,),Z2)+INDEX(OFFSET(Arb!$V$2,,,Arb!$AJ$5,),Z2))/AA2)</f>
        <v/>
      </c>
      <c r="AE2" s="51" t="str">
        <f ca="1">IFERROR(47.299/(AA2^1.7/Y2),"")</f>
        <v/>
      </c>
      <c r="AF2" s="91" t="str">
        <f ca="1">IF(Z2="","",DATE(INDEX(OFFSET(Arb!$C$2,,,Arb!$AJ$5,),Z2),INDEX(OFFSET(Arb!$B$2,,,Arb!$AJ$5,),Z2),INDEX(OFFSET(Arb!$A$2,,,Arb!$AJ$5,),Z2))+ROW()*0.001)</f>
        <v/>
      </c>
      <c r="AG2" s="442">
        <v>2</v>
      </c>
      <c r="AI2" s="52" t="str">
        <f ca="1">IF(AH2="","",INDEX(OFFSET(Arb!$H$2,,,Arb!$AJ$5,),AH2))</f>
        <v/>
      </c>
      <c r="AJ2" s="3" t="str">
        <f ca="1">IFERROR(AG2/AI2,"")</f>
        <v/>
      </c>
      <c r="AK2" s="165" t="str">
        <f ca="1">IF(AH2="","",INDEX(OFFSET(Arb!$X$2,,,Arb!$AJ$5,),AH2)/AI2)</f>
        <v/>
      </c>
      <c r="AL2" s="165" t="str">
        <f ca="1">IF(AH2="","",(INDEX(OFFSET(Arb!$U$2,,,Arb!$AJ$5,),AH2)+INDEX(OFFSET(Arb!$V$2,,,Arb!$AJ$5,),AH2))/AI2)</f>
        <v/>
      </c>
      <c r="AM2" s="51" t="str">
        <f ca="1">IFERROR(47.299/(AI2^1.7/AG2),"")</f>
        <v/>
      </c>
      <c r="AN2" s="88" t="str">
        <f ca="1">IF(AH2="","",DATE(INDEX(OFFSET(Arb!$C$2,,,Arb!$AJ$5,),AH2),INDEX(OFFSET(Arb!$B$2,,,Arb!$AJ$5,),AH2),INDEX(OFFSET(Arb!$A$2,,,Arb!$AJ$5,),AH2))+ROW()*0.001)</f>
        <v/>
      </c>
      <c r="AO2" s="436">
        <v>2</v>
      </c>
      <c r="AQ2" s="52" t="str">
        <f ca="1">IF(AP2="","",INDEX(OFFSET(Arb!$H$2,,,Arb!$AJ$5,),AP2))</f>
        <v/>
      </c>
      <c r="AR2" s="3" t="str">
        <f ca="1">IFERROR(AO2/AQ2,"")</f>
        <v/>
      </c>
      <c r="AS2" s="165" t="str">
        <f ca="1">IF(AP2="","",INDEX(OFFSET(Arb!$X$2,,,Arb!$AJ$5,),AP2)/AQ2)</f>
        <v/>
      </c>
      <c r="AT2" s="165" t="str">
        <f ca="1">IF(AP2="","",(INDEX(OFFSET(Arb!$U$2,,,Arb!$AJ$5,),AP2)+INDEX(OFFSET(Arb!$V$2,,,Arb!$AJ$5,),AP2))/AQ2)</f>
        <v/>
      </c>
      <c r="AU2" s="51" t="str">
        <f ca="1">IFERROR(47.299/(AQ2^1.7/AO2),"")</f>
        <v/>
      </c>
      <c r="AV2" s="91" t="str">
        <f ca="1">IF(AP2="","",DATE(INDEX(OFFSET(Arb!$C$2,,,Arb!$AJ$5,),AP2),INDEX(OFFSET(Arb!$B$2,,,Arb!$AJ$5,),AP2),INDEX(OFFSET(Arb!$A$2,,,Arb!$AJ$5,),AP2))+ROW()*0.001)</f>
        <v/>
      </c>
      <c r="AW2" s="442">
        <v>2</v>
      </c>
      <c r="AY2" s="52" t="str">
        <f ca="1">IF(AX2="","",INDEX(OFFSET(Arb!$H$2,,,Arb!$AJ$5,),AX2))</f>
        <v/>
      </c>
      <c r="AZ2" s="3" t="str">
        <f ca="1">IFERROR(AW2/AY2,"")</f>
        <v/>
      </c>
      <c r="BA2" s="165" t="str">
        <f ca="1">IF(AX2="","",INDEX(OFFSET(Arb!$X$2,,,Arb!$AJ$5,),AX2)/AY2)</f>
        <v/>
      </c>
      <c r="BB2" s="165" t="str">
        <f ca="1">IF(AX2="","",(INDEX(OFFSET(Arb!$U$2,,,Arb!$AJ$5,),AX2)+INDEX(OFFSET(Arb!$V$2,,,Arb!$AJ$5,),AX2))/AY2)</f>
        <v/>
      </c>
      <c r="BC2" s="51" t="str">
        <f ca="1">IFERROR(47.299/(AY2^1.7/AW2),"")</f>
        <v/>
      </c>
      <c r="BD2" s="88" t="str">
        <f ca="1">IF(AX2="","",DATE(INDEX(OFFSET(Arb!$C$2,,,Arb!$AJ$5,),AX2),INDEX(OFFSET(Arb!$B$2,,,Arb!$AJ$5,),AX2),INDEX(OFFSET(Arb!$A$2,,,Arb!$AJ$5,),AX2))+ROW()*0.001)</f>
        <v/>
      </c>
      <c r="BE2" s="436">
        <v>2</v>
      </c>
      <c r="BG2" s="52" t="str">
        <f ca="1">IF(BF2="","",INDEX(OFFSET(Arb!$H$2,,,Arb!$AJ$5,),BF2))</f>
        <v/>
      </c>
      <c r="BH2" s="3" t="str">
        <f ca="1">IFERROR(BE2/BG2,"")</f>
        <v/>
      </c>
      <c r="BI2" s="165" t="str">
        <f ca="1">IF(BF2="","",INDEX(OFFSET(Arb!$X$2,,,Arb!$AJ$5,),BF2)/BG2)</f>
        <v/>
      </c>
      <c r="BJ2" s="165" t="str">
        <f ca="1">IF(BF2="","",(INDEX(OFFSET(Arb!$U$2,,,Arb!$AJ$5,),BF2)+INDEX(OFFSET(Arb!$V$2,,,Arb!$AJ$5,),BF2))/BG2)</f>
        <v/>
      </c>
      <c r="BK2" s="51" t="str">
        <f ca="1">IFERROR(47.299/(BG2^1.7/BE2),"")</f>
        <v/>
      </c>
      <c r="BL2" s="91" t="str">
        <f ca="1">IF(BF2="","",DATE(INDEX(OFFSET(Arb!$C$2,,,Arb!$AJ$5,),BF2),INDEX(OFFSET(Arb!$B$2,,,Arb!$AJ$5,),BF2),INDEX(OFFSET(Arb!$A$2,,,Arb!$AJ$5,),BF2))+ROW()*0.001)</f>
        <v/>
      </c>
      <c r="BM2" s="442">
        <v>2</v>
      </c>
      <c r="BO2" s="52" t="str">
        <f ca="1">IF(BN2="","",INDEX(OFFSET(Arb!$H$2,,,Arb!$AJ$5,),BN2))</f>
        <v/>
      </c>
      <c r="BP2" s="3" t="str">
        <f ca="1">IFERROR(BM2/BO2,"")</f>
        <v/>
      </c>
      <c r="BQ2" s="165" t="str">
        <f ca="1">IF(BN2="","",INDEX(OFFSET(Arb!$X$2,,,Arb!$AJ$5,),BN2)/BO2)</f>
        <v/>
      </c>
      <c r="BR2" s="165" t="str">
        <f ca="1">IF(BN2="","",(INDEX(OFFSET(Arb!$U$2,,,Arb!$AJ$5,),BN2)+INDEX(OFFSET(Arb!$V$2,,,Arb!$AJ$5,),BN2))/BO2)</f>
        <v/>
      </c>
      <c r="BS2" s="51" t="str">
        <f ca="1">IFERROR(47.299/(BO2^1.7/BM2),"")</f>
        <v/>
      </c>
      <c r="BT2" s="88" t="str">
        <f ca="1">IF(BN2="","",DATE(INDEX(OFFSET(Arb!$C$2,,,Arb!$AJ$5,),BN2),INDEX(OFFSET(Arb!$B$2,,,Arb!$AJ$5,),BN2),INDEX(OFFSET(Arb!$A$2,,,Arb!$AJ$5,),BN2))+ROW()*0.001)</f>
        <v/>
      </c>
      <c r="BU2" s="436">
        <v>2</v>
      </c>
      <c r="BW2" s="52" t="str">
        <f ca="1">IF(BV2="","",INDEX(OFFSET(Arb!$H$2,,,Arb!$AJ$5,),BV2))</f>
        <v/>
      </c>
      <c r="BX2" s="3" t="str">
        <f ca="1">IFERROR(BU2/BW2,"")</f>
        <v/>
      </c>
      <c r="BY2" s="165" t="str">
        <f ca="1">IF(BV2="","",INDEX(OFFSET(Arb!$X$2,,,Arb!$AJ$5,),BV2)/BW2)</f>
        <v/>
      </c>
      <c r="BZ2" s="165" t="str">
        <f ca="1">IF(BV2="","",(INDEX(OFFSET(Arb!$U$2,,,Arb!$AJ$5,),BV2)+INDEX(OFFSET(Arb!$V$2,,,Arb!$AJ$5,),BV2))/BW2)</f>
        <v/>
      </c>
      <c r="CA2" s="51" t="str">
        <f ca="1">IFERROR(47.299/(BW2^1.7/BU2),"")</f>
        <v/>
      </c>
      <c r="CB2" s="91" t="str">
        <f ca="1">IF(BV2="","",DATE(INDEX(OFFSET(Arb!$C$2,,,Arb!$AJ$5,),BV2),INDEX(OFFSET(Arb!$B$2,,,Arb!$AJ$5,),BV2),INDEX(OFFSET(Arb!$A$2,,,Arb!$AJ$5,),BV2))+ROW()*0.001)</f>
        <v/>
      </c>
    </row>
    <row r="3" spans="1:80" x14ac:dyDescent="0.25">
      <c r="A3" s="433">
        <v>3</v>
      </c>
      <c r="B3" s="1">
        <v>439</v>
      </c>
      <c r="C3" s="52">
        <f ca="1">IF(B3="","",INDEX(OFFSET(Arb!$H$2,,,Arb!$AJ$5,),B3))</f>
        <v>1.86</v>
      </c>
      <c r="D3" s="3">
        <f t="shared" ref="D3:D51" ca="1" si="0">IFERROR(A3/C3,"")</f>
        <v>1.6129032258064515</v>
      </c>
      <c r="E3" s="165">
        <f ca="1">IF(B3="","",INDEX(OFFSET(Arb!$X$2,,,Arb!$AJ$5,),B3)/C3)</f>
        <v>1.6129032258064515</v>
      </c>
      <c r="F3" s="165">
        <f ca="1">IF(B3="","",(INDEX(OFFSET(Arb!$U$2,,,Arb!$AJ$5,),B3)+INDEX(OFFSET(Arb!$V$2,,,Arb!$AJ$5,),B3))/C3)</f>
        <v>2.6881720430107525</v>
      </c>
      <c r="G3" s="51">
        <f t="shared" ref="G3:G51" ca="1" si="1">IFERROR(47.299/(C3^1.7/A3),"")</f>
        <v>49.408447577165369</v>
      </c>
      <c r="H3" s="355">
        <f ca="1">IF(B3="","",DATE(INDEX(OFFSET(Arb!$C$2,,,Arb!$AJ$5,),B3),INDEX(OFFSET(Arb!$B$2,,,Arb!$AJ$5,),B3),INDEX(OFFSET(Arb!$A$2,,,Arb!$AJ$5,),B3))+ROW()*0.001)</f>
        <v>43781.002999999997</v>
      </c>
      <c r="I3" s="436">
        <v>3</v>
      </c>
      <c r="J3" s="1">
        <v>1733</v>
      </c>
      <c r="K3" s="52">
        <f ca="1">IF(J3="","",INDEX(OFFSET(Arb!$H$2,,,Arb!$AJ$5,),J3))</f>
        <v>7.73</v>
      </c>
      <c r="L3" s="3">
        <f t="shared" ref="L3:L51" ca="1" si="2">IFERROR(I3/K3,"")</f>
        <v>0.38809831824062091</v>
      </c>
      <c r="M3" s="165">
        <f ca="1">IF(J3="","",INDEX(OFFSET(Arb!$X$2,,,Arb!$AJ$5,),J3)/K3)</f>
        <v>2.1992238033635187</v>
      </c>
      <c r="N3" s="165">
        <f ca="1">IF(J3="","",(INDEX(OFFSET(Arb!$U$2,,,Arb!$AJ$5,),J3)+INDEX(OFFSET(Arb!$V$2,,,Arb!$AJ$5,),J3))/K3)</f>
        <v>2.1992238033635187</v>
      </c>
      <c r="O3" s="51">
        <f t="shared" ref="O3:O51" ca="1" si="3">IFERROR(47.299/(K3^1.7/I3),"")</f>
        <v>4.3859944117084257</v>
      </c>
      <c r="P3" s="91">
        <f ca="1">IF(J3="","",DATE(INDEX(OFFSET(Arb!$C$2,,,Arb!$AJ$5,),J3),INDEX(OFFSET(Arb!$B$2,,,Arb!$AJ$5,),J3),INDEX(OFFSET(Arb!$A$2,,,Arb!$AJ$5,),J3))+ROW()*0.001)</f>
        <v>44113.002999999997</v>
      </c>
      <c r="Q3" s="442">
        <v>3</v>
      </c>
      <c r="S3" s="52" t="str">
        <f ca="1">IF(R3="","",INDEX(OFFSET(Arb!$H$2,,,Arb!$AJ$5,),R3))</f>
        <v/>
      </c>
      <c r="T3" s="3" t="str">
        <f t="shared" ref="T3:T51" ca="1" si="4">IFERROR(Q3/S3,"")</f>
        <v/>
      </c>
      <c r="U3" s="165" t="str">
        <f ca="1">IF(R3="","",INDEX(OFFSET(Arb!$X$2,,,Arb!$AJ$5,),R3)/S3)</f>
        <v/>
      </c>
      <c r="V3" s="165" t="str">
        <f ca="1">IF(R3="","",(INDEX(OFFSET(Arb!$U$2,,,Arb!$AJ$5,),R3)+INDEX(OFFSET(Arb!$V$2,,,Arb!$AJ$5,),R3))/S3)</f>
        <v/>
      </c>
      <c r="W3" s="51" t="str">
        <f t="shared" ref="W3:W51" ca="1" si="5">IFERROR(47.299/(S3^1.7/Q3),"")</f>
        <v/>
      </c>
      <c r="X3" s="88" t="str">
        <f ca="1">IF(R3="","",DATE(INDEX(OFFSET(Arb!$C$2,,,Arb!$AJ$5,),R3),INDEX(OFFSET(Arb!$B$2,,,Arb!$AJ$5,),R3),INDEX(OFFSET(Arb!$A$2,,,Arb!$AJ$5,),R3))+ROW()*0.001)</f>
        <v/>
      </c>
      <c r="Y3" s="436">
        <v>3</v>
      </c>
      <c r="AA3" s="52" t="str">
        <f ca="1">IF(Z3="","",INDEX(OFFSET(Arb!$H$2,,,Arb!$AJ$5,),Z3))</f>
        <v/>
      </c>
      <c r="AB3" s="3" t="str">
        <f t="shared" ref="AB3:AB51" ca="1" si="6">IFERROR(Y3/AA3,"")</f>
        <v/>
      </c>
      <c r="AC3" s="165" t="str">
        <f ca="1">IF(Z3="","",INDEX(OFFSET(Arb!$X$2,,,Arb!$AJ$5,),Z3)/AA3)</f>
        <v/>
      </c>
      <c r="AD3" s="165" t="str">
        <f ca="1">IF(Z3="","",(INDEX(OFFSET(Arb!$U$2,,,Arb!$AJ$5,),Z3)+INDEX(OFFSET(Arb!$V$2,,,Arb!$AJ$5,),Z3))/AA3)</f>
        <v/>
      </c>
      <c r="AE3" s="51" t="str">
        <f t="shared" ref="AE3:AE51" ca="1" si="7">IFERROR(47.299/(AA3^1.7/Y3),"")</f>
        <v/>
      </c>
      <c r="AF3" s="91" t="str">
        <f ca="1">IF(Z3="","",DATE(INDEX(OFFSET(Arb!$C$2,,,Arb!$AJ$5,),Z3),INDEX(OFFSET(Arb!$B$2,,,Arb!$AJ$5,),Z3),INDEX(OFFSET(Arb!$A$2,,,Arb!$AJ$5,),Z3))+ROW()*0.001)</f>
        <v/>
      </c>
      <c r="AG3" s="442">
        <v>3</v>
      </c>
      <c r="AI3" s="52" t="str">
        <f ca="1">IF(AH3="","",INDEX(OFFSET(Arb!$H$2,,,Arb!$AJ$5,),AH3))</f>
        <v/>
      </c>
      <c r="AJ3" s="3" t="str">
        <f t="shared" ref="AJ3:AJ51" ca="1" si="8">IFERROR(AG3/AI3,"")</f>
        <v/>
      </c>
      <c r="AK3" s="165" t="str">
        <f ca="1">IF(AH3="","",INDEX(OFFSET(Arb!$X$2,,,Arb!$AJ$5,),AH3)/AI3)</f>
        <v/>
      </c>
      <c r="AL3" s="165" t="str">
        <f ca="1">IF(AH3="","",(INDEX(OFFSET(Arb!$U$2,,,Arb!$AJ$5,),AH3)+INDEX(OFFSET(Arb!$V$2,,,Arb!$AJ$5,),AH3))/AI3)</f>
        <v/>
      </c>
      <c r="AM3" s="51" t="str">
        <f t="shared" ref="AM3:AM51" ca="1" si="9">IFERROR(47.299/(AI3^1.7/AG3),"")</f>
        <v/>
      </c>
      <c r="AN3" s="88" t="str">
        <f ca="1">IF(AH3="","",DATE(INDEX(OFFSET(Arb!$C$2,,,Arb!$AJ$5,),AH3),INDEX(OFFSET(Arb!$B$2,,,Arb!$AJ$5,),AH3),INDEX(OFFSET(Arb!$A$2,,,Arb!$AJ$5,),AH3))+ROW()*0.001)</f>
        <v/>
      </c>
      <c r="AO3" s="436">
        <v>3</v>
      </c>
      <c r="AQ3" s="52" t="str">
        <f ca="1">IF(AP3="","",INDEX(OFFSET(Arb!$H$2,,,Arb!$AJ$5,),AP3))</f>
        <v/>
      </c>
      <c r="AR3" s="3" t="str">
        <f t="shared" ref="AR3:AR49" ca="1" si="10">IFERROR(AO3/AQ3,"")</f>
        <v/>
      </c>
      <c r="AS3" s="165" t="str">
        <f ca="1">IF(AP3="","",INDEX(OFFSET(Arb!$X$2,,,Arb!$AJ$5,),AP3)/AQ3)</f>
        <v/>
      </c>
      <c r="AT3" s="165" t="str">
        <f ca="1">IF(AP3="","",(INDEX(OFFSET(Arb!$U$2,,,Arb!$AJ$5,),AP3)+INDEX(OFFSET(Arb!$V$2,,,Arb!$AJ$5,),AP3))/AQ3)</f>
        <v/>
      </c>
      <c r="AU3" s="51" t="str">
        <f t="shared" ref="AU3:AU51" ca="1" si="11">IFERROR(47.299/(AQ3^1.7/AO3),"")</f>
        <v/>
      </c>
      <c r="AV3" s="91" t="str">
        <f ca="1">IF(AP3="","",DATE(INDEX(OFFSET(Arb!$C$2,,,Arb!$AJ$5,),AP3),INDEX(OFFSET(Arb!$B$2,,,Arb!$AJ$5,),AP3),INDEX(OFFSET(Arb!$A$2,,,Arb!$AJ$5,),AP3))+ROW()*0.001)</f>
        <v/>
      </c>
      <c r="AW3" s="442">
        <v>3</v>
      </c>
      <c r="AY3" s="52" t="str">
        <f ca="1">IF(AX3="","",INDEX(OFFSET(Arb!$H$2,,,Arb!$AJ$5,),AX3))</f>
        <v/>
      </c>
      <c r="AZ3" s="3" t="str">
        <f t="shared" ref="AZ3:AZ49" ca="1" si="12">IFERROR(AW3/AY3,"")</f>
        <v/>
      </c>
      <c r="BA3" s="165" t="str">
        <f ca="1">IF(AX3="","",INDEX(OFFSET(Arb!$X$2,,,Arb!$AJ$5,),AX3)/AY3)</f>
        <v/>
      </c>
      <c r="BB3" s="165" t="str">
        <f ca="1">IF(AX3="","",(INDEX(OFFSET(Arb!$U$2,,,Arb!$AJ$5,),AX3)+INDEX(OFFSET(Arb!$V$2,,,Arb!$AJ$5,),AX3))/AY3)</f>
        <v/>
      </c>
      <c r="BC3" s="51" t="str">
        <f t="shared" ref="BC3:BC51" ca="1" si="13">IFERROR(47.299/(AY3^1.7/AW3),"")</f>
        <v/>
      </c>
      <c r="BD3" s="88" t="str">
        <f ca="1">IF(AX3="","",DATE(INDEX(OFFSET(Arb!$C$2,,,Arb!$AJ$5,),AX3),INDEX(OFFSET(Arb!$B$2,,,Arb!$AJ$5,),AX3),INDEX(OFFSET(Arb!$A$2,,,Arb!$AJ$5,),AX3))+ROW()*0.001)</f>
        <v/>
      </c>
      <c r="BE3" s="436">
        <v>3</v>
      </c>
      <c r="BG3" s="52" t="str">
        <f ca="1">IF(BF3="","",INDEX(OFFSET(Arb!$H$2,,,Arb!$AJ$5,),BF3))</f>
        <v/>
      </c>
      <c r="BH3" s="3" t="str">
        <f t="shared" ref="BH3:BH49" ca="1" si="14">IFERROR(BE3/BG3,"")</f>
        <v/>
      </c>
      <c r="BI3" s="165" t="str">
        <f ca="1">IF(BF3="","",INDEX(OFFSET(Arb!$X$2,,,Arb!$AJ$5,),BF3)/BG3)</f>
        <v/>
      </c>
      <c r="BJ3" s="165" t="str">
        <f ca="1">IF(BF3="","",(INDEX(OFFSET(Arb!$U$2,,,Arb!$AJ$5,),BF3)+INDEX(OFFSET(Arb!$V$2,,,Arb!$AJ$5,),BF3))/BG3)</f>
        <v/>
      </c>
      <c r="BK3" s="51" t="str">
        <f t="shared" ref="BK3:BK51" ca="1" si="15">IFERROR(47.299/(BG3^1.7/BE3),"")</f>
        <v/>
      </c>
      <c r="BL3" s="91" t="str">
        <f ca="1">IF(BF3="","",DATE(INDEX(OFFSET(Arb!$C$2,,,Arb!$AJ$5,),BF3),INDEX(OFFSET(Arb!$B$2,,,Arb!$AJ$5,),BF3),INDEX(OFFSET(Arb!$A$2,,,Arb!$AJ$5,),BF3))+ROW()*0.001)</f>
        <v/>
      </c>
      <c r="BM3" s="442">
        <v>3</v>
      </c>
      <c r="BO3" s="52" t="str">
        <f ca="1">IF(BN3="","",INDEX(OFFSET(Arb!$H$2,,,Arb!$AJ$5,),BN3))</f>
        <v/>
      </c>
      <c r="BP3" s="3" t="str">
        <f t="shared" ref="BP3:BP49" ca="1" si="16">IFERROR(BM3/BO3,"")</f>
        <v/>
      </c>
      <c r="BQ3" s="165" t="str">
        <f ca="1">IF(BN3="","",INDEX(OFFSET(Arb!$X$2,,,Arb!$AJ$5,),BN3)/BO3)</f>
        <v/>
      </c>
      <c r="BR3" s="165" t="str">
        <f ca="1">IF(BN3="","",(INDEX(OFFSET(Arb!$U$2,,,Arb!$AJ$5,),BN3)+INDEX(OFFSET(Arb!$V$2,,,Arb!$AJ$5,),BN3))/BO3)</f>
        <v/>
      </c>
      <c r="BS3" s="51" t="str">
        <f t="shared" ref="BS3:BS51" ca="1" si="17">IFERROR(47.299/(BO3^1.7/BM3),"")</f>
        <v/>
      </c>
      <c r="BT3" s="88" t="str">
        <f ca="1">IF(BN3="","",DATE(INDEX(OFFSET(Arb!$C$2,,,Arb!$AJ$5,),BN3),INDEX(OFFSET(Arb!$B$2,,,Arb!$AJ$5,),BN3),INDEX(OFFSET(Arb!$A$2,,,Arb!$AJ$5,),BN3))+ROW()*0.001)</f>
        <v/>
      </c>
      <c r="BU3" s="436">
        <v>3</v>
      </c>
      <c r="BW3" s="52" t="str">
        <f ca="1">IF(BV3="","",INDEX(OFFSET(Arb!$H$2,,,Arb!$AJ$5,),BV3))</f>
        <v/>
      </c>
      <c r="BX3" s="3" t="str">
        <f t="shared" ref="BX3:BX49" ca="1" si="18">IFERROR(BU3/BW3,"")</f>
        <v/>
      </c>
      <c r="BY3" s="165" t="str">
        <f ca="1">IF(BV3="","",INDEX(OFFSET(Arb!$X$2,,,Arb!$AJ$5,),BV3)/BW3)</f>
        <v/>
      </c>
      <c r="BZ3" s="165" t="str">
        <f ca="1">IF(BV3="","",(INDEX(OFFSET(Arb!$U$2,,,Arb!$AJ$5,),BV3)+INDEX(OFFSET(Arb!$V$2,,,Arb!$AJ$5,),BV3))/BW3)</f>
        <v/>
      </c>
      <c r="CA3" s="51" t="str">
        <f t="shared" ref="CA3:CA51" ca="1" si="19">IFERROR(47.299/(BW3^1.7/BU3),"")</f>
        <v/>
      </c>
      <c r="CB3" s="91" t="str">
        <f ca="1">IF(BV3="","",DATE(INDEX(OFFSET(Arb!$C$2,,,Arb!$AJ$5,),BV3),INDEX(OFFSET(Arb!$B$2,,,Arb!$AJ$5,),BV3),INDEX(OFFSET(Arb!$A$2,,,Arb!$AJ$5,),BV3))+ROW()*0.001)</f>
        <v/>
      </c>
    </row>
    <row r="4" spans="1:80" x14ac:dyDescent="0.25">
      <c r="A4" s="433">
        <v>4</v>
      </c>
      <c r="B4" s="1">
        <v>552</v>
      </c>
      <c r="C4" s="52">
        <f ca="1">IF(B4="","",INDEX(OFFSET(Arb!$H$2,,,Arb!$AJ$5,),B4))</f>
        <v>2.2599999999999998</v>
      </c>
      <c r="D4" s="3">
        <f t="shared" ca="1" si="0"/>
        <v>1.7699115044247788</v>
      </c>
      <c r="E4" s="165">
        <f ca="1">IF(B4="","",INDEX(OFFSET(Arb!$X$2,,,Arb!$AJ$5,),B4)/C4)</f>
        <v>3.5398230088495577</v>
      </c>
      <c r="F4" s="165">
        <f ca="1">IF(B4="","",(INDEX(OFFSET(Arb!$U$2,,,Arb!$AJ$5,),B4)+INDEX(OFFSET(Arb!$V$2,,,Arb!$AJ$5,),B4))/C4)</f>
        <v>4.4247787610619476</v>
      </c>
      <c r="G4" s="51">
        <f t="shared" ca="1" si="1"/>
        <v>47.307239188134261</v>
      </c>
      <c r="H4" s="355">
        <f ca="1">IF(B4="","",DATE(INDEX(OFFSET(Arb!$C$2,,,Arb!$AJ$5,),B4),INDEX(OFFSET(Arb!$B$2,,,Arb!$AJ$5,),B4),INDEX(OFFSET(Arb!$A$2,,,Arb!$AJ$5,),B4))+ROW()*0.001)</f>
        <v>43797.004000000001</v>
      </c>
      <c r="I4" s="436">
        <v>4</v>
      </c>
      <c r="J4" s="1">
        <v>418</v>
      </c>
      <c r="K4" s="52">
        <f ca="1">IF(J4="","",INDEX(OFFSET(Arb!$H$2,,,Arb!$AJ$5,),J4))</f>
        <v>2.4</v>
      </c>
      <c r="L4" s="3">
        <f t="shared" ca="1" si="2"/>
        <v>1.6666666666666667</v>
      </c>
      <c r="M4" s="165">
        <f ca="1">IF(J4="","",INDEX(OFFSET(Arb!$X$2,,,Arb!$AJ$5,),J4)/K4)</f>
        <v>3.75</v>
      </c>
      <c r="N4" s="165">
        <f ca="1">IF(J4="","",(INDEX(OFFSET(Arb!$U$2,,,Arb!$AJ$5,),J4)+INDEX(OFFSET(Arb!$V$2,,,Arb!$AJ$5,),J4))/K4)</f>
        <v>5.8333333333333339</v>
      </c>
      <c r="O4" s="51">
        <f t="shared" ca="1" si="3"/>
        <v>42.712288308926126</v>
      </c>
      <c r="P4" s="91">
        <f ca="1">IF(J4="","",DATE(INDEX(OFFSET(Arb!$C$2,,,Arb!$AJ$5,),J4),INDEX(OFFSET(Arb!$B$2,,,Arb!$AJ$5,),J4),INDEX(OFFSET(Arb!$A$2,,,Arb!$AJ$5,),J4))+ROW()*0.001)</f>
        <v>43781.004000000001</v>
      </c>
      <c r="Q4" s="442">
        <v>4</v>
      </c>
      <c r="R4" s="1">
        <v>1169</v>
      </c>
      <c r="S4" s="52">
        <f ca="1">IF(R4="","",INDEX(OFFSET(Arb!$H$2,,,Arb!$AJ$5,),R4))</f>
        <v>3.07</v>
      </c>
      <c r="T4" s="3">
        <f t="shared" ca="1" si="4"/>
        <v>1.3029315960912053</v>
      </c>
      <c r="U4" s="165">
        <f ca="1">IF(R4="","",INDEX(OFFSET(Arb!$X$2,,,Arb!$AJ$5,),R4)/S4)</f>
        <v>2.9315960912052117</v>
      </c>
      <c r="V4" s="165">
        <f ca="1">IF(R4="","",(INDEX(OFFSET(Arb!$U$2,,,Arb!$AJ$5,),R4)+INDEX(OFFSET(Arb!$V$2,,,Arb!$AJ$5,),R4))/S4)</f>
        <v>4.234527687296417</v>
      </c>
      <c r="W4" s="51">
        <f t="shared" ca="1" si="5"/>
        <v>28.104554920735637</v>
      </c>
      <c r="X4" s="88">
        <f ca="1">IF(R4="","",DATE(INDEX(OFFSET(Arb!$C$2,,,Arb!$AJ$5,),R4),INDEX(OFFSET(Arb!$B$2,,,Arb!$AJ$5,),R4),INDEX(OFFSET(Arb!$A$2,,,Arb!$AJ$5,),R4))+ROW()*0.001)</f>
        <v>43870.004000000001</v>
      </c>
      <c r="Y4" s="436">
        <v>4</v>
      </c>
      <c r="AA4" s="52" t="str">
        <f ca="1">IF(Z4="","",INDEX(OFFSET(Arb!$H$2,,,Arb!$AJ$5,),Z4))</f>
        <v/>
      </c>
      <c r="AB4" s="3" t="str">
        <f t="shared" ca="1" si="6"/>
        <v/>
      </c>
      <c r="AC4" s="165" t="str">
        <f ca="1">IF(Z4="","",INDEX(OFFSET(Arb!$X$2,,,Arb!$AJ$5,),Z4)/AA4)</f>
        <v/>
      </c>
      <c r="AD4" s="165" t="str">
        <f ca="1">IF(Z4="","",(INDEX(OFFSET(Arb!$U$2,,,Arb!$AJ$5,),Z4)+INDEX(OFFSET(Arb!$V$2,,,Arb!$AJ$5,),Z4))/AA4)</f>
        <v/>
      </c>
      <c r="AE4" s="51" t="str">
        <f t="shared" ca="1" si="7"/>
        <v/>
      </c>
      <c r="AF4" s="91" t="str">
        <f ca="1">IF(Z4="","",DATE(INDEX(OFFSET(Arb!$C$2,,,Arb!$AJ$5,),Z4),INDEX(OFFSET(Arb!$B$2,,,Arb!$AJ$5,),Z4),INDEX(OFFSET(Arb!$A$2,,,Arb!$AJ$5,),Z4))+ROW()*0.001)</f>
        <v/>
      </c>
      <c r="AG4" s="442">
        <v>4</v>
      </c>
      <c r="AI4" s="52" t="str">
        <f ca="1">IF(AH4="","",INDEX(OFFSET(Arb!$H$2,,,Arb!$AJ$5,),AH4))</f>
        <v/>
      </c>
      <c r="AJ4" s="3" t="str">
        <f t="shared" ca="1" si="8"/>
        <v/>
      </c>
      <c r="AK4" s="165" t="str">
        <f ca="1">IF(AH4="","",INDEX(OFFSET(Arb!$X$2,,,Arb!$AJ$5,),AH4)/AI4)</f>
        <v/>
      </c>
      <c r="AL4" s="165" t="str">
        <f ca="1">IF(AH4="","",(INDEX(OFFSET(Arb!$U$2,,,Arb!$AJ$5,),AH4)+INDEX(OFFSET(Arb!$V$2,,,Arb!$AJ$5,),AH4))/AI4)</f>
        <v/>
      </c>
      <c r="AM4" s="51" t="str">
        <f t="shared" ca="1" si="9"/>
        <v/>
      </c>
      <c r="AN4" s="88" t="str">
        <f ca="1">IF(AH4="","",DATE(INDEX(OFFSET(Arb!$C$2,,,Arb!$AJ$5,),AH4),INDEX(OFFSET(Arb!$B$2,,,Arb!$AJ$5,),AH4),INDEX(OFFSET(Arb!$A$2,,,Arb!$AJ$5,),AH4))+ROW()*0.001)</f>
        <v/>
      </c>
      <c r="AO4" s="436">
        <v>4</v>
      </c>
      <c r="AQ4" s="52" t="str">
        <f ca="1">IF(AP4="","",INDEX(OFFSET(Arb!$H$2,,,Arb!$AJ$5,),AP4))</f>
        <v/>
      </c>
      <c r="AR4" s="3" t="str">
        <f t="shared" ca="1" si="10"/>
        <v/>
      </c>
      <c r="AS4" s="165" t="str">
        <f ca="1">IF(AP4="","",INDEX(OFFSET(Arb!$X$2,,,Arb!$AJ$5,),AP4)/AQ4)</f>
        <v/>
      </c>
      <c r="AT4" s="165" t="str">
        <f ca="1">IF(AP4="","",(INDEX(OFFSET(Arb!$U$2,,,Arb!$AJ$5,),AP4)+INDEX(OFFSET(Arb!$V$2,,,Arb!$AJ$5,),AP4))/AQ4)</f>
        <v/>
      </c>
      <c r="AU4" s="51" t="str">
        <f t="shared" ca="1" si="11"/>
        <v/>
      </c>
      <c r="AV4" s="91" t="str">
        <f ca="1">IF(AP4="","",DATE(INDEX(OFFSET(Arb!$C$2,,,Arb!$AJ$5,),AP4),INDEX(OFFSET(Arb!$B$2,,,Arb!$AJ$5,),AP4),INDEX(OFFSET(Arb!$A$2,,,Arb!$AJ$5,),AP4))+ROW()*0.001)</f>
        <v/>
      </c>
      <c r="AW4" s="442">
        <v>4</v>
      </c>
      <c r="AY4" s="52" t="str">
        <f ca="1">IF(AX4="","",INDEX(OFFSET(Arb!$H$2,,,Arb!$AJ$5,),AX4))</f>
        <v/>
      </c>
      <c r="AZ4" s="3" t="str">
        <f t="shared" ca="1" si="12"/>
        <v/>
      </c>
      <c r="BA4" s="165" t="str">
        <f ca="1">IF(AX4="","",INDEX(OFFSET(Arb!$X$2,,,Arb!$AJ$5,),AX4)/AY4)</f>
        <v/>
      </c>
      <c r="BB4" s="165" t="str">
        <f ca="1">IF(AX4="","",(INDEX(OFFSET(Arb!$U$2,,,Arb!$AJ$5,),AX4)+INDEX(OFFSET(Arb!$V$2,,,Arb!$AJ$5,),AX4))/AY4)</f>
        <v/>
      </c>
      <c r="BC4" s="51" t="str">
        <f t="shared" ca="1" si="13"/>
        <v/>
      </c>
      <c r="BD4" s="88" t="str">
        <f ca="1">IF(AX4="","",DATE(INDEX(OFFSET(Arb!$C$2,,,Arb!$AJ$5,),AX4),INDEX(OFFSET(Arb!$B$2,,,Arb!$AJ$5,),AX4),INDEX(OFFSET(Arb!$A$2,,,Arb!$AJ$5,),AX4))+ROW()*0.001)</f>
        <v/>
      </c>
      <c r="BE4" s="436">
        <v>4</v>
      </c>
      <c r="BG4" s="52" t="str">
        <f ca="1">IF(BF4="","",INDEX(OFFSET(Arb!$H$2,,,Arb!$AJ$5,),BF4))</f>
        <v/>
      </c>
      <c r="BH4" s="3" t="str">
        <f t="shared" ca="1" si="14"/>
        <v/>
      </c>
      <c r="BI4" s="165" t="str">
        <f ca="1">IF(BF4="","",INDEX(OFFSET(Arb!$X$2,,,Arb!$AJ$5,),BF4)/BG4)</f>
        <v/>
      </c>
      <c r="BJ4" s="165" t="str">
        <f ca="1">IF(BF4="","",(INDEX(OFFSET(Arb!$U$2,,,Arb!$AJ$5,),BF4)+INDEX(OFFSET(Arb!$V$2,,,Arb!$AJ$5,),BF4))/BG4)</f>
        <v/>
      </c>
      <c r="BK4" s="51" t="str">
        <f t="shared" ca="1" si="15"/>
        <v/>
      </c>
      <c r="BL4" s="91" t="str">
        <f ca="1">IF(BF4="","",DATE(INDEX(OFFSET(Arb!$C$2,,,Arb!$AJ$5,),BF4),INDEX(OFFSET(Arb!$B$2,,,Arb!$AJ$5,),BF4),INDEX(OFFSET(Arb!$A$2,,,Arb!$AJ$5,),BF4))+ROW()*0.001)</f>
        <v/>
      </c>
      <c r="BM4" s="442">
        <v>4</v>
      </c>
      <c r="BO4" s="52" t="str">
        <f ca="1">IF(BN4="","",INDEX(OFFSET(Arb!$H$2,,,Arb!$AJ$5,),BN4))</f>
        <v/>
      </c>
      <c r="BP4" s="3" t="str">
        <f t="shared" ca="1" si="16"/>
        <v/>
      </c>
      <c r="BQ4" s="165" t="str">
        <f ca="1">IF(BN4="","",INDEX(OFFSET(Arb!$X$2,,,Arb!$AJ$5,),BN4)/BO4)</f>
        <v/>
      </c>
      <c r="BR4" s="165" t="str">
        <f ca="1">IF(BN4="","",(INDEX(OFFSET(Arb!$U$2,,,Arb!$AJ$5,),BN4)+INDEX(OFFSET(Arb!$V$2,,,Arb!$AJ$5,),BN4))/BO4)</f>
        <v/>
      </c>
      <c r="BS4" s="51" t="str">
        <f t="shared" ca="1" si="17"/>
        <v/>
      </c>
      <c r="BT4" s="88" t="str">
        <f ca="1">IF(BN4="","",DATE(INDEX(OFFSET(Arb!$C$2,,,Arb!$AJ$5,),BN4),INDEX(OFFSET(Arb!$B$2,,,Arb!$AJ$5,),BN4),INDEX(OFFSET(Arb!$A$2,,,Arb!$AJ$5,),BN4))+ROW()*0.001)</f>
        <v/>
      </c>
      <c r="BU4" s="436">
        <v>4</v>
      </c>
      <c r="BW4" s="52" t="str">
        <f ca="1">IF(BV4="","",INDEX(OFFSET(Arb!$H$2,,,Arb!$AJ$5,),BV4))</f>
        <v/>
      </c>
      <c r="BX4" s="3" t="str">
        <f t="shared" ca="1" si="18"/>
        <v/>
      </c>
      <c r="BY4" s="165" t="str">
        <f ca="1">IF(BV4="","",INDEX(OFFSET(Arb!$X$2,,,Arb!$AJ$5,),BV4)/BW4)</f>
        <v/>
      </c>
      <c r="BZ4" s="165" t="str">
        <f ca="1">IF(BV4="","",(INDEX(OFFSET(Arb!$U$2,,,Arb!$AJ$5,),BV4)+INDEX(OFFSET(Arb!$V$2,,,Arb!$AJ$5,),BV4))/BW4)</f>
        <v/>
      </c>
      <c r="CA4" s="51" t="str">
        <f t="shared" ca="1" si="19"/>
        <v/>
      </c>
      <c r="CB4" s="91" t="str">
        <f ca="1">IF(BV4="","",DATE(INDEX(OFFSET(Arb!$C$2,,,Arb!$AJ$5,),BV4),INDEX(OFFSET(Arb!$B$2,,,Arb!$AJ$5,),BV4),INDEX(OFFSET(Arb!$A$2,,,Arb!$AJ$5,),BV4))+ROW()*0.001)</f>
        <v/>
      </c>
    </row>
    <row r="5" spans="1:80" x14ac:dyDescent="0.25">
      <c r="A5" s="433">
        <v>5</v>
      </c>
      <c r="B5" s="1">
        <v>1671</v>
      </c>
      <c r="C5" s="52">
        <f ca="1">IF(B5="","",INDEX(OFFSET(Arb!$H$2,,,Arb!$AJ$5,),B5))</f>
        <v>1.89</v>
      </c>
      <c r="D5" s="3">
        <f t="shared" ca="1" si="0"/>
        <v>2.6455026455026456</v>
      </c>
      <c r="E5" s="165">
        <f ca="1">IF(B5="","",INDEX(OFFSET(Arb!$X$2,,,Arb!$AJ$5,),B5)/C5)</f>
        <v>2.6455026455026456</v>
      </c>
      <c r="F5" s="165">
        <f ca="1">IF(B5="","",(INDEX(OFFSET(Arb!$U$2,,,Arb!$AJ$5,),B5)+INDEX(OFFSET(Arb!$V$2,,,Arb!$AJ$5,),B5))/C5)</f>
        <v>3.1746031746031749</v>
      </c>
      <c r="G5" s="51">
        <f t="shared" ca="1" si="1"/>
        <v>80.137704136472223</v>
      </c>
      <c r="H5" s="355">
        <f ca="1">IF(B5="","",DATE(INDEX(OFFSET(Arb!$C$2,,,Arb!$AJ$5,),B5),INDEX(OFFSET(Arb!$B$2,,,Arb!$AJ$5,),B5),INDEX(OFFSET(Arb!$A$2,,,Arb!$AJ$5,),B5))+ROW()*0.001)</f>
        <v>44100.004999999997</v>
      </c>
      <c r="I5" s="436">
        <v>5</v>
      </c>
      <c r="J5" s="1">
        <v>972</v>
      </c>
      <c r="K5" s="52">
        <f ca="1">IF(J5="","",INDEX(OFFSET(Arb!$H$2,,,Arb!$AJ$5,),J5))</f>
        <v>2.19</v>
      </c>
      <c r="L5" s="3">
        <f t="shared" ca="1" si="2"/>
        <v>2.2831050228310503</v>
      </c>
      <c r="M5" s="165">
        <f ca="1">IF(J5="","",INDEX(OFFSET(Arb!$X$2,,,Arb!$AJ$5,),J5)/K5)</f>
        <v>2.7397260273972601</v>
      </c>
      <c r="N5" s="165">
        <f ca="1">IF(J5="","",(INDEX(OFFSET(Arb!$U$2,,,Arb!$AJ$5,),J5)+INDEX(OFFSET(Arb!$V$2,,,Arb!$AJ$5,),J5))/K5)</f>
        <v>4.1095890410958908</v>
      </c>
      <c r="O5" s="51">
        <f t="shared" ca="1" si="3"/>
        <v>62.383102257711627</v>
      </c>
      <c r="P5" s="91">
        <f ca="1">IF(J5="","",DATE(INDEX(OFFSET(Arb!$C$2,,,Arb!$AJ$5,),J5),INDEX(OFFSET(Arb!$B$2,,,Arb!$AJ$5,),J5),INDEX(OFFSET(Arb!$A$2,,,Arb!$AJ$5,),J5))+ROW()*0.001)</f>
        <v>43822.004999999997</v>
      </c>
      <c r="Q5" s="442">
        <v>5</v>
      </c>
      <c r="R5" s="1">
        <v>883</v>
      </c>
      <c r="S5" s="52">
        <f ca="1">IF(R5="","",INDEX(OFFSET(Arb!$H$2,,,Arb!$AJ$5,),R5))</f>
        <v>2.52</v>
      </c>
      <c r="T5" s="3">
        <f t="shared" ca="1" si="4"/>
        <v>1.9841269841269842</v>
      </c>
      <c r="U5" s="165">
        <f ca="1">IF(R5="","",INDEX(OFFSET(Arb!$X$2,,,Arb!$AJ$5,),R5)/S5)</f>
        <v>2.3809523809523809</v>
      </c>
      <c r="V5" s="165">
        <f ca="1">IF(R5="","",(INDEX(OFFSET(Arb!$U$2,,,Arb!$AJ$5,),R5)+INDEX(OFFSET(Arb!$V$2,,,Arb!$AJ$5,),R5))/S5)</f>
        <v>2.7777777777777777</v>
      </c>
      <c r="W5" s="51">
        <f t="shared" ca="1" si="5"/>
        <v>49.140666656275734</v>
      </c>
      <c r="X5" s="88">
        <f ca="1">IF(R5="","",DATE(INDEX(OFFSET(Arb!$C$2,,,Arb!$AJ$5,),R5),INDEX(OFFSET(Arb!$B$2,,,Arb!$AJ$5,),R5),INDEX(OFFSET(Arb!$A$2,,,Arb!$AJ$5,),R5))+ROW()*0.001)</f>
        <v>43818.004999999997</v>
      </c>
      <c r="Y5" s="436">
        <v>5</v>
      </c>
      <c r="Z5" s="1">
        <v>628</v>
      </c>
      <c r="AA5" s="52">
        <f ca="1">IF(Z5="","",INDEX(OFFSET(Arb!$H$2,,,Arb!$AJ$5,),Z5))</f>
        <v>2.59</v>
      </c>
      <c r="AB5" s="3">
        <f t="shared" ca="1" si="6"/>
        <v>1.9305019305019306</v>
      </c>
      <c r="AC5" s="165">
        <f ca="1">IF(Z5="","",INDEX(OFFSET(Arb!$X$2,,,Arb!$AJ$5,),Z5)/AA5)</f>
        <v>2.7027027027027026</v>
      </c>
      <c r="AD5" s="165">
        <f ca="1">IF(Z5="","",(INDEX(OFFSET(Arb!$U$2,,,Arb!$AJ$5,),Z5)+INDEX(OFFSET(Arb!$V$2,,,Arb!$AJ$5,),Z5))/AA5)</f>
        <v>3.4749034749034751</v>
      </c>
      <c r="AE5" s="51">
        <f t="shared" ca="1" si="7"/>
        <v>46.90426818320833</v>
      </c>
      <c r="AF5" s="91">
        <f ca="1">IF(Z5="","",DATE(INDEX(OFFSET(Arb!$C$2,,,Arb!$AJ$5,),Z5),INDEX(OFFSET(Arb!$B$2,,,Arb!$AJ$5,),Z5),INDEX(OFFSET(Arb!$A$2,,,Arb!$AJ$5,),Z5))+ROW()*0.001)</f>
        <v>43799.004999999997</v>
      </c>
      <c r="AG5" s="442">
        <v>5</v>
      </c>
      <c r="AH5" s="1">
        <v>1349</v>
      </c>
      <c r="AI5" s="52">
        <f ca="1">IF(AH5="","",INDEX(OFFSET(Arb!$H$2,,,Arb!$AJ$5,),AH5))</f>
        <v>2.62</v>
      </c>
      <c r="AJ5" s="3">
        <f t="shared" ca="1" si="8"/>
        <v>1.9083969465648853</v>
      </c>
      <c r="AK5" s="165">
        <f ca="1">IF(AH5="","",INDEX(OFFSET(Arb!$X$2,,,Arb!$AJ$5,),AH5)/AI5)</f>
        <v>2.6717557251908395</v>
      </c>
      <c r="AL5" s="165">
        <f ca="1">IF(AH5="","",(INDEX(OFFSET(Arb!$U$2,,,Arb!$AJ$5,),AH5)+INDEX(OFFSET(Arb!$V$2,,,Arb!$AJ$5,),AH5))/AI5)</f>
        <v>4.1984732824427482</v>
      </c>
      <c r="AM5" s="51">
        <f t="shared" ca="1" si="9"/>
        <v>45.994909432080767</v>
      </c>
      <c r="AN5" s="88">
        <f ca="1">IF(AH5="","",DATE(INDEX(OFFSET(Arb!$C$2,,,Arb!$AJ$5,),AH5),INDEX(OFFSET(Arb!$B$2,,,Arb!$AJ$5,),AH5),INDEX(OFFSET(Arb!$A$2,,,Arb!$AJ$5,),AH5))+ROW()*0.001)</f>
        <v>43935.004999999997</v>
      </c>
      <c r="AO5" s="436">
        <v>5</v>
      </c>
      <c r="AP5" s="1">
        <v>530</v>
      </c>
      <c r="AQ5" s="52">
        <f ca="1">IF(AP5="","",INDEX(OFFSET(Arb!$H$2,,,Arb!$AJ$5,),AP5))</f>
        <v>3.15</v>
      </c>
      <c r="AR5" s="3">
        <f t="shared" ca="1" si="10"/>
        <v>1.5873015873015874</v>
      </c>
      <c r="AS5" s="165">
        <f ca="1">IF(AP5="","",INDEX(OFFSET(Arb!$X$2,,,Arb!$AJ$5,),AP5)/AQ5)</f>
        <v>3.4920634920634921</v>
      </c>
      <c r="AT5" s="165">
        <f ca="1">IF(AP5="","",(INDEX(OFFSET(Arb!$U$2,,,Arb!$AJ$5,),AP5)+INDEX(OFFSET(Arb!$V$2,,,Arb!$AJ$5,),AP5))/AQ5)</f>
        <v>4.4444444444444446</v>
      </c>
      <c r="AU5" s="51">
        <f t="shared" ca="1" si="11"/>
        <v>33.627456675534908</v>
      </c>
      <c r="AV5" s="91">
        <f ca="1">IF(AP5="","",DATE(INDEX(OFFSET(Arb!$C$2,,,Arb!$AJ$5,),AP5),INDEX(OFFSET(Arb!$B$2,,,Arb!$AJ$5,),AP5),INDEX(OFFSET(Arb!$A$2,,,Arb!$AJ$5,),AP5))+ROW()*0.001)</f>
        <v>43795.004999999997</v>
      </c>
      <c r="AW5" s="442">
        <v>5</v>
      </c>
      <c r="AX5" s="1">
        <v>1121</v>
      </c>
      <c r="AY5" s="52">
        <f ca="1">IF(AX5="","",INDEX(OFFSET(Arb!$H$2,,,Arb!$AJ$5,),AX5))</f>
        <v>20.22</v>
      </c>
      <c r="AZ5" s="3">
        <f t="shared" ca="1" si="12"/>
        <v>0.24727992087042533</v>
      </c>
      <c r="BA5" s="165">
        <f ca="1">IF(AX5="","",INDEX(OFFSET(Arb!$X$2,,,Arb!$AJ$5,),AX5)/AY5)</f>
        <v>0.93966369930761628</v>
      </c>
      <c r="BB5" s="165">
        <f ca="1">IF(AX5="","",(INDEX(OFFSET(Arb!$U$2,,,Arb!$AJ$5,),AX5)+INDEX(OFFSET(Arb!$V$2,,,Arb!$AJ$5,),AX5))/AY5)</f>
        <v>0.93966369930761628</v>
      </c>
      <c r="BC5" s="51">
        <f t="shared" ca="1" si="13"/>
        <v>1.4255879184021052</v>
      </c>
      <c r="BD5" s="88">
        <f ca="1">IF(AX5="","",DATE(INDEX(OFFSET(Arb!$C$2,,,Arb!$AJ$5,),AX5),INDEX(OFFSET(Arb!$B$2,,,Arb!$AJ$5,),AX5),INDEX(OFFSET(Arb!$A$2,,,Arb!$AJ$5,),AX5))+ROW()*0.001)</f>
        <v>43848.004999999997</v>
      </c>
      <c r="BE5" s="436">
        <v>5</v>
      </c>
      <c r="BG5" s="52" t="str">
        <f ca="1">IF(BF5="","",INDEX(OFFSET(Arb!$H$2,,,Arb!$AJ$5,),BF5))</f>
        <v/>
      </c>
      <c r="BH5" s="3" t="str">
        <f t="shared" ca="1" si="14"/>
        <v/>
      </c>
      <c r="BI5" s="165" t="str">
        <f ca="1">IF(BF5="","",INDEX(OFFSET(Arb!$X$2,,,Arb!$AJ$5,),BF5)/BG5)</f>
        <v/>
      </c>
      <c r="BJ5" s="165" t="str">
        <f ca="1">IF(BF5="","",(INDEX(OFFSET(Arb!$U$2,,,Arb!$AJ$5,),BF5)+INDEX(OFFSET(Arb!$V$2,,,Arb!$AJ$5,),BF5))/BG5)</f>
        <v/>
      </c>
      <c r="BK5" s="51" t="str">
        <f t="shared" ca="1" si="15"/>
        <v/>
      </c>
      <c r="BL5" s="91" t="str">
        <f ca="1">IF(BF5="","",DATE(INDEX(OFFSET(Arb!$C$2,,,Arb!$AJ$5,),BF5),INDEX(OFFSET(Arb!$B$2,,,Arb!$AJ$5,),BF5),INDEX(OFFSET(Arb!$A$2,,,Arb!$AJ$5,),BF5))+ROW()*0.001)</f>
        <v/>
      </c>
      <c r="BM5" s="442">
        <v>5</v>
      </c>
      <c r="BO5" s="52" t="str">
        <f ca="1">IF(BN5="","",INDEX(OFFSET(Arb!$H$2,,,Arb!$AJ$5,),BN5))</f>
        <v/>
      </c>
      <c r="BP5" s="3" t="str">
        <f t="shared" ca="1" si="16"/>
        <v/>
      </c>
      <c r="BQ5" s="165" t="str">
        <f ca="1">IF(BN5="","",INDEX(OFFSET(Arb!$X$2,,,Arb!$AJ$5,),BN5)/BO5)</f>
        <v/>
      </c>
      <c r="BR5" s="165" t="str">
        <f ca="1">IF(BN5="","",(INDEX(OFFSET(Arb!$U$2,,,Arb!$AJ$5,),BN5)+INDEX(OFFSET(Arb!$V$2,,,Arb!$AJ$5,),BN5))/BO5)</f>
        <v/>
      </c>
      <c r="BS5" s="51" t="str">
        <f t="shared" ca="1" si="17"/>
        <v/>
      </c>
      <c r="BT5" s="88" t="str">
        <f ca="1">IF(BN5="","",DATE(INDEX(OFFSET(Arb!$C$2,,,Arb!$AJ$5,),BN5),INDEX(OFFSET(Arb!$B$2,,,Arb!$AJ$5,),BN5),INDEX(OFFSET(Arb!$A$2,,,Arb!$AJ$5,),BN5))+ROW()*0.001)</f>
        <v/>
      </c>
      <c r="BU5" s="436">
        <v>5</v>
      </c>
      <c r="BW5" s="52" t="str">
        <f ca="1">IF(BV5="","",INDEX(OFFSET(Arb!$H$2,,,Arb!$AJ$5,),BV5))</f>
        <v/>
      </c>
      <c r="BX5" s="3" t="str">
        <f t="shared" ca="1" si="18"/>
        <v/>
      </c>
      <c r="BY5" s="165" t="str">
        <f ca="1">IF(BV5="","",INDEX(OFFSET(Arb!$X$2,,,Arb!$AJ$5,),BV5)/BW5)</f>
        <v/>
      </c>
      <c r="BZ5" s="165" t="str">
        <f ca="1">IF(BV5="","",(INDEX(OFFSET(Arb!$U$2,,,Arb!$AJ$5,),BV5)+INDEX(OFFSET(Arb!$V$2,,,Arb!$AJ$5,),BV5))/BW5)</f>
        <v/>
      </c>
      <c r="CA5" s="51" t="str">
        <f t="shared" ca="1" si="19"/>
        <v/>
      </c>
      <c r="CB5" s="91" t="str">
        <f ca="1">IF(BV5="","",DATE(INDEX(OFFSET(Arb!$C$2,,,Arb!$AJ$5,),BV5),INDEX(OFFSET(Arb!$B$2,,,Arb!$AJ$5,),BV5),INDEX(OFFSET(Arb!$A$2,,,Arb!$AJ$5,),BV5))+ROW()*0.001)</f>
        <v/>
      </c>
    </row>
    <row r="6" spans="1:80" x14ac:dyDescent="0.25">
      <c r="A6" s="433">
        <v>6</v>
      </c>
      <c r="B6" s="1">
        <v>1289</v>
      </c>
      <c r="C6" s="52">
        <f ca="1">IF(B6="","",INDEX(OFFSET(Arb!$H$2,,,Arb!$AJ$5,),B6))</f>
        <v>2.41</v>
      </c>
      <c r="D6" s="3">
        <f t="shared" ca="1" si="0"/>
        <v>2.4896265560165975</v>
      </c>
      <c r="E6" s="165">
        <f ca="1">IF(B6="","",INDEX(OFFSET(Arb!$X$2,,,Arb!$AJ$5,),B6)/C6)</f>
        <v>4.5643153526970952</v>
      </c>
      <c r="F6" s="165">
        <f ca="1">IF(B6="","",(INDEX(OFFSET(Arb!$U$2,,,Arb!$AJ$5,),B6)+INDEX(OFFSET(Arb!$V$2,,,Arb!$AJ$5,),B6))/C6)</f>
        <v>5.3941908713692941</v>
      </c>
      <c r="G6" s="51">
        <f t="shared" ca="1" si="1"/>
        <v>63.617154072455172</v>
      </c>
      <c r="H6" s="355">
        <f ca="1">IF(B6="","",DATE(INDEX(OFFSET(Arb!$C$2,,,Arb!$AJ$5,),B6),INDEX(OFFSET(Arb!$B$2,,,Arb!$AJ$5,),B6),INDEX(OFFSET(Arb!$A$2,,,Arb!$AJ$5,),B6))+ROW()*0.001)</f>
        <v>43906.006000000001</v>
      </c>
      <c r="I6" s="436">
        <v>6</v>
      </c>
      <c r="J6" s="1">
        <v>1704</v>
      </c>
      <c r="K6" s="52">
        <f ca="1">IF(J6="","",INDEX(OFFSET(Arb!$H$2,,,Arb!$AJ$5,),J6))</f>
        <v>2.48</v>
      </c>
      <c r="L6" s="3">
        <f t="shared" ca="1" si="2"/>
        <v>2.4193548387096775</v>
      </c>
      <c r="M6" s="165">
        <f ca="1">IF(J6="","",INDEX(OFFSET(Arb!$X$2,,,Arb!$AJ$5,),J6)/K6)</f>
        <v>3.2258064516129035</v>
      </c>
      <c r="N6" s="165">
        <f ca="1">IF(J6="","",(INDEX(OFFSET(Arb!$U$2,,,Arb!$AJ$5,),J6)+INDEX(OFFSET(Arb!$V$2,,,Arb!$AJ$5,),J6))/K6)</f>
        <v>4.032258064516129</v>
      </c>
      <c r="O6" s="51">
        <f t="shared" ca="1" si="3"/>
        <v>60.594799378300259</v>
      </c>
      <c r="P6" s="91">
        <f ca="1">IF(J6="","",DATE(INDEX(OFFSET(Arb!$C$2,,,Arb!$AJ$5,),J6),INDEX(OFFSET(Arb!$B$2,,,Arb!$AJ$5,),J6),INDEX(OFFSET(Arb!$A$2,,,Arb!$AJ$5,),J6))+ROW()*0.001)</f>
        <v>44107.006000000001</v>
      </c>
      <c r="Q6" s="442">
        <v>6</v>
      </c>
      <c r="R6" s="1">
        <v>1027</v>
      </c>
      <c r="S6" s="52">
        <f ca="1">IF(R6="","",INDEX(OFFSET(Arb!$H$2,,,Arb!$AJ$5,),R6))</f>
        <v>2.48</v>
      </c>
      <c r="T6" s="3">
        <f t="shared" ca="1" si="4"/>
        <v>2.4193548387096775</v>
      </c>
      <c r="U6" s="165">
        <f ca="1">IF(R6="","",INDEX(OFFSET(Arb!$X$2,,,Arb!$AJ$5,),R6)/S6)</f>
        <v>2.4193548387096775</v>
      </c>
      <c r="V6" s="165">
        <f ca="1">IF(R6="","",(INDEX(OFFSET(Arb!$U$2,,,Arb!$AJ$5,),R6)+INDEX(OFFSET(Arb!$V$2,,,Arb!$AJ$5,),R6))/S6)</f>
        <v>3.2258064516129035</v>
      </c>
      <c r="W6" s="51">
        <f t="shared" ca="1" si="5"/>
        <v>60.594799378300259</v>
      </c>
      <c r="X6" s="88">
        <f ca="1">IF(R6="","",DATE(INDEX(OFFSET(Arb!$C$2,,,Arb!$AJ$5,),R6),INDEX(OFFSET(Arb!$B$2,,,Arb!$AJ$5,),R6),INDEX(OFFSET(Arb!$A$2,,,Arb!$AJ$5,),R6))+ROW()*0.001)</f>
        <v>43839.006000000001</v>
      </c>
      <c r="Y6" s="436">
        <v>6</v>
      </c>
      <c r="Z6" s="1">
        <v>590</v>
      </c>
      <c r="AA6" s="52">
        <f ca="1">IF(Z6="","",INDEX(OFFSET(Arb!$H$2,,,Arb!$AJ$5,),Z6))</f>
        <v>2.93</v>
      </c>
      <c r="AB6" s="3">
        <f t="shared" ca="1" si="6"/>
        <v>2.0477815699658701</v>
      </c>
      <c r="AC6" s="165">
        <f ca="1">IF(Z6="","",INDEX(OFFSET(Arb!$X$2,,,Arb!$AJ$5,),Z6)/AA6)</f>
        <v>2.7303754266211602</v>
      </c>
      <c r="AD6" s="165">
        <f ca="1">IF(Z6="","",(INDEX(OFFSET(Arb!$U$2,,,Arb!$AJ$5,),Z6)+INDEX(OFFSET(Arb!$V$2,,,Arb!$AJ$5,),Z6))/AA6)</f>
        <v>3.4129692832764502</v>
      </c>
      <c r="AE6" s="51">
        <f t="shared" ca="1" si="7"/>
        <v>45.638173464887181</v>
      </c>
      <c r="AF6" s="91">
        <f ca="1">IF(Z6="","",DATE(INDEX(OFFSET(Arb!$C$2,,,Arb!$AJ$5,),Z6),INDEX(OFFSET(Arb!$B$2,,,Arb!$AJ$5,),Z6),INDEX(OFFSET(Arb!$A$2,,,Arb!$AJ$5,),Z6))+ROW()*0.001)</f>
        <v>43797.006000000001</v>
      </c>
      <c r="AG6" s="442">
        <v>6</v>
      </c>
      <c r="AH6" s="1">
        <v>1168</v>
      </c>
      <c r="AI6" s="52">
        <f ca="1">IF(AH6="","",INDEX(OFFSET(Arb!$H$2,,,Arb!$AJ$5,),AH6))</f>
        <v>2.99</v>
      </c>
      <c r="AJ6" s="3">
        <f t="shared" ca="1" si="8"/>
        <v>2.0066889632107023</v>
      </c>
      <c r="AK6" s="165">
        <f ca="1">IF(AH6="","",INDEX(OFFSET(Arb!$X$2,,,Arb!$AJ$5,),AH6)/AI6)</f>
        <v>3.0100334448160533</v>
      </c>
      <c r="AL6" s="165">
        <f ca="1">IF(AH6="","",(INDEX(OFFSET(Arb!$U$2,,,Arb!$AJ$5,),AH6)+INDEX(OFFSET(Arb!$V$2,,,Arb!$AJ$5,),AH6))/AI6)</f>
        <v>4.0133779264214047</v>
      </c>
      <c r="AM6" s="51">
        <f t="shared" ca="1" si="9"/>
        <v>44.092242690440067</v>
      </c>
      <c r="AN6" s="88">
        <f ca="1">IF(AH6="","",DATE(INDEX(OFFSET(Arb!$C$2,,,Arb!$AJ$5,),AH6),INDEX(OFFSET(Arb!$B$2,,,Arb!$AJ$5,),AH6),INDEX(OFFSET(Arb!$A$2,,,Arb!$AJ$5,),AH6))+ROW()*0.001)</f>
        <v>43870.006000000001</v>
      </c>
      <c r="AO6" s="436">
        <v>6</v>
      </c>
      <c r="AP6" s="1">
        <v>1172</v>
      </c>
      <c r="AQ6" s="52">
        <f ca="1">IF(AP6="","",INDEX(OFFSET(Arb!$H$2,,,Arb!$AJ$5,),AP6))</f>
        <v>3.03</v>
      </c>
      <c r="AR6" s="3">
        <f t="shared" ca="1" si="10"/>
        <v>1.9801980198019804</v>
      </c>
      <c r="AS6" s="165">
        <f ca="1">IF(AP6="","",INDEX(OFFSET(Arb!$X$2,,,Arb!$AJ$5,),AP6)/AQ6)</f>
        <v>3.6303630363036308</v>
      </c>
      <c r="AT6" s="165">
        <f ca="1">IF(AP6="","",(INDEX(OFFSET(Arb!$U$2,,,Arb!$AJ$5,),AP6)+INDEX(OFFSET(Arb!$V$2,,,Arb!$AJ$5,),AP6))/AQ6)</f>
        <v>4.6204620462046204</v>
      </c>
      <c r="AU6" s="51">
        <f t="shared" ca="1" si="11"/>
        <v>43.10729195401148</v>
      </c>
      <c r="AV6" s="91">
        <f ca="1">IF(AP6="","",DATE(INDEX(OFFSET(Arb!$C$2,,,Arb!$AJ$5,),AP6),INDEX(OFFSET(Arb!$B$2,,,Arb!$AJ$5,),AP6),INDEX(OFFSET(Arb!$A$2,,,Arb!$AJ$5,),AP6))+ROW()*0.001)</f>
        <v>43870.006000000001</v>
      </c>
      <c r="AW6" s="442">
        <v>6</v>
      </c>
      <c r="AX6" s="1">
        <v>496</v>
      </c>
      <c r="AY6" s="52">
        <f ca="1">IF(AX6="","",INDEX(OFFSET(Arb!$H$2,,,Arb!$AJ$5,),AX6))</f>
        <v>3.09</v>
      </c>
      <c r="AZ6" s="3">
        <f t="shared" ca="1" si="12"/>
        <v>1.941747572815534</v>
      </c>
      <c r="BA6" s="165">
        <f ca="1">IF(AX6="","",INDEX(OFFSET(Arb!$X$2,,,Arb!$AJ$5,),AX6)/AY6)</f>
        <v>2.5889967637540456</v>
      </c>
      <c r="BB6" s="165">
        <f ca="1">IF(AX6="","",(INDEX(OFFSET(Arb!$U$2,,,Arb!$AJ$5,),AX6)+INDEX(OFFSET(Arb!$V$2,,,Arb!$AJ$5,),AX6))/AY6)</f>
        <v>3.883495145631068</v>
      </c>
      <c r="BC6" s="51">
        <f t="shared" ca="1" si="13"/>
        <v>41.694022295736893</v>
      </c>
      <c r="BD6" s="88">
        <f ca="1">IF(AX6="","",DATE(INDEX(OFFSET(Arb!$C$2,,,Arb!$AJ$5,),AX6),INDEX(OFFSET(Arb!$B$2,,,Arb!$AJ$5,),AX6),INDEX(OFFSET(Arb!$A$2,,,Arb!$AJ$5,),AX6))+ROW()*0.001)</f>
        <v>43788.006000000001</v>
      </c>
      <c r="BE6" s="436">
        <v>6</v>
      </c>
      <c r="BF6" s="1">
        <v>1230</v>
      </c>
      <c r="BG6" s="52">
        <f ca="1">IF(BF6="","",INDEX(OFFSET(Arb!$H$2,,,Arb!$AJ$5,),BF6))</f>
        <v>3.24</v>
      </c>
      <c r="BH6" s="3">
        <f t="shared" ca="1" si="14"/>
        <v>1.8518518518518516</v>
      </c>
      <c r="BI6" s="165">
        <f ca="1">IF(BF6="","",INDEX(OFFSET(Arb!$X$2,,,Arb!$AJ$5,),BF6)/BG6)</f>
        <v>1.8518518518518516</v>
      </c>
      <c r="BJ6" s="165">
        <f ca="1">IF(BF6="","",(INDEX(OFFSET(Arb!$U$2,,,Arb!$AJ$5,),BF6)+INDEX(OFFSET(Arb!$V$2,,,Arb!$AJ$5,),BF6))/BG6)</f>
        <v>2.1604938271604937</v>
      </c>
      <c r="BK6" s="51">
        <f t="shared" ca="1" si="15"/>
        <v>38.465970302452554</v>
      </c>
      <c r="BL6" s="91">
        <f ca="1">IF(BF6="","",DATE(INDEX(OFFSET(Arb!$C$2,,,Arb!$AJ$5,),BF6),INDEX(OFFSET(Arb!$B$2,,,Arb!$AJ$5,),BF6),INDEX(OFFSET(Arb!$A$2,,,Arb!$AJ$5,),BF6))+ROW()*0.001)</f>
        <v>43898.006000000001</v>
      </c>
      <c r="BM6" s="442">
        <v>6</v>
      </c>
      <c r="BN6" s="1">
        <v>1443</v>
      </c>
      <c r="BO6" s="52">
        <f ca="1">IF(BN6="","",INDEX(OFFSET(Arb!$H$2,,,Arb!$AJ$5,),BN6))</f>
        <v>13.06</v>
      </c>
      <c r="BP6" s="3">
        <f t="shared" ca="1" si="16"/>
        <v>0.4594180704441041</v>
      </c>
      <c r="BQ6" s="165">
        <f ca="1">IF(BN6="","",INDEX(OFFSET(Arb!$X$2,,,Arb!$AJ$5,),BN6)/BO6)</f>
        <v>0.76569678407350683</v>
      </c>
      <c r="BR6" s="165">
        <f ca="1">IF(BN6="","",(INDEX(OFFSET(Arb!$U$2,,,Arb!$AJ$5,),BN6)+INDEX(OFFSET(Arb!$V$2,,,Arb!$AJ$5,),BN6))/BO6)</f>
        <v>0.76569678407350683</v>
      </c>
      <c r="BS6" s="51">
        <f t="shared" ca="1" si="17"/>
        <v>3.5966635077494833</v>
      </c>
      <c r="BT6" s="88">
        <f ca="1">IF(BN6="","",DATE(INDEX(OFFSET(Arb!$C$2,,,Arb!$AJ$5,),BN6),INDEX(OFFSET(Arb!$B$2,,,Arb!$AJ$5,),BN6),INDEX(OFFSET(Arb!$A$2,,,Arb!$AJ$5,),BN6))+ROW()*0.001)</f>
        <v>43949.006000000001</v>
      </c>
      <c r="BU6" s="436">
        <v>6</v>
      </c>
      <c r="BW6" s="52" t="str">
        <f ca="1">IF(BV6="","",INDEX(OFFSET(Arb!$H$2,,,Arb!$AJ$5,),BV6))</f>
        <v/>
      </c>
      <c r="BX6" s="3" t="str">
        <f t="shared" ca="1" si="18"/>
        <v/>
      </c>
      <c r="BY6" s="165" t="str">
        <f ca="1">IF(BV6="","",INDEX(OFFSET(Arb!$X$2,,,Arb!$AJ$5,),BV6)/BW6)</f>
        <v/>
      </c>
      <c r="BZ6" s="165" t="str">
        <f ca="1">IF(BV6="","",(INDEX(OFFSET(Arb!$U$2,,,Arb!$AJ$5,),BV6)+INDEX(OFFSET(Arb!$V$2,,,Arb!$AJ$5,),BV6))/BW6)</f>
        <v/>
      </c>
      <c r="CA6" s="51" t="str">
        <f t="shared" ca="1" si="19"/>
        <v/>
      </c>
      <c r="CB6" s="91" t="str">
        <f ca="1">IF(BV6="","",DATE(INDEX(OFFSET(Arb!$C$2,,,Arb!$AJ$5,),BV6),INDEX(OFFSET(Arb!$B$2,,,Arb!$AJ$5,),BV6),INDEX(OFFSET(Arb!$A$2,,,Arb!$AJ$5,),BV6))+ROW()*0.001)</f>
        <v/>
      </c>
    </row>
    <row r="7" spans="1:80" x14ac:dyDescent="0.25">
      <c r="A7" s="433">
        <v>7</v>
      </c>
      <c r="B7" s="1">
        <v>658</v>
      </c>
      <c r="C7" s="52">
        <f ca="1">IF(B7="","",INDEX(OFFSET(Arb!$H$2,,,Arb!$AJ$5,),B7))</f>
        <v>2.0499999999999998</v>
      </c>
      <c r="D7" s="3">
        <f t="shared" ca="1" si="0"/>
        <v>3.4146341463414638</v>
      </c>
      <c r="E7" s="165">
        <f ca="1">IF(B7="","",INDEX(OFFSET(Arb!$X$2,,,Arb!$AJ$5,),B7)/C7)</f>
        <v>3.4146341463414638</v>
      </c>
      <c r="F7" s="165">
        <f ca="1">IF(B7="","",(INDEX(OFFSET(Arb!$U$2,,,Arb!$AJ$5,),B7)+INDEX(OFFSET(Arb!$V$2,,,Arb!$AJ$5,),B7))/C7)</f>
        <v>3.9024390243902443</v>
      </c>
      <c r="G7" s="51">
        <f t="shared" ca="1" si="1"/>
        <v>97.716619721931181</v>
      </c>
      <c r="H7" s="355">
        <f ca="1">IF(B7="","",DATE(INDEX(OFFSET(Arb!$C$2,,,Arb!$AJ$5,),B7),INDEX(OFFSET(Arb!$B$2,,,Arb!$AJ$5,),B7),INDEX(OFFSET(Arb!$A$2,,,Arb!$AJ$5,),B7))+ROW()*0.001)</f>
        <v>43800.006999999998</v>
      </c>
      <c r="I7" s="436">
        <v>7</v>
      </c>
      <c r="J7" s="1">
        <v>520</v>
      </c>
      <c r="K7" s="52">
        <f ca="1">IF(J7="","",INDEX(OFFSET(Arb!$H$2,,,Arb!$AJ$5,),J7))</f>
        <v>2.0699999999999998</v>
      </c>
      <c r="L7" s="3">
        <f t="shared" ca="1" si="2"/>
        <v>3.381642512077295</v>
      </c>
      <c r="M7" s="165">
        <f ca="1">IF(J7="","",INDEX(OFFSET(Arb!$X$2,,,Arb!$AJ$5,),J7)/K7)</f>
        <v>3.8647342995169085</v>
      </c>
      <c r="N7" s="165">
        <f ca="1">IF(J7="","",(INDEX(OFFSET(Arb!$U$2,,,Arb!$AJ$5,),J7)+INDEX(OFFSET(Arb!$V$2,,,Arb!$AJ$5,),J7))/K7)</f>
        <v>4.8309178743961354</v>
      </c>
      <c r="O7" s="51">
        <f t="shared" ca="1" si="3"/>
        <v>96.117045262886577</v>
      </c>
      <c r="P7" s="91">
        <f ca="1">IF(J7="","",DATE(INDEX(OFFSET(Arb!$C$2,,,Arb!$AJ$5,),J7),INDEX(OFFSET(Arb!$B$2,,,Arb!$AJ$5,),J7),INDEX(OFFSET(Arb!$A$2,,,Arb!$AJ$5,),J7))+ROW()*0.001)</f>
        <v>43790.006999999998</v>
      </c>
      <c r="Q7" s="442">
        <v>7</v>
      </c>
      <c r="R7" s="1">
        <v>124</v>
      </c>
      <c r="S7" s="52">
        <f ca="1">IF(R7="","",INDEX(OFFSET(Arb!$H$2,,,Arb!$AJ$5,),R7))</f>
        <v>2.2000000000000002</v>
      </c>
      <c r="T7" s="3">
        <f t="shared" ca="1" si="4"/>
        <v>3.1818181818181817</v>
      </c>
      <c r="U7" s="165">
        <f ca="1">IF(R7="","",INDEX(OFFSET(Arb!$X$2,,,Arb!$AJ$5,),R7)/S7)</f>
        <v>3.6363636363636362</v>
      </c>
      <c r="V7" s="165">
        <f ca="1">IF(R7="","",(INDEX(OFFSET(Arb!$U$2,,,Arb!$AJ$5,),R7)+INDEX(OFFSET(Arb!$V$2,,,Arb!$AJ$5,),R7))/S7)</f>
        <v>4.545454545454545</v>
      </c>
      <c r="W7" s="51">
        <f t="shared" ca="1" si="5"/>
        <v>86.662545566530142</v>
      </c>
      <c r="X7" s="88">
        <f ca="1">IF(R7="","",DATE(INDEX(OFFSET(Arb!$C$2,,,Arb!$AJ$5,),R7),INDEX(OFFSET(Arb!$B$2,,,Arb!$AJ$5,),R7),INDEX(OFFSET(Arb!$A$2,,,Arb!$AJ$5,),R7))+ROW()*0.001)</f>
        <v>43770.006999999998</v>
      </c>
      <c r="Y7" s="436">
        <v>7</v>
      </c>
      <c r="Z7" s="1">
        <v>1321</v>
      </c>
      <c r="AA7" s="52">
        <f ca="1">IF(Z7="","",INDEX(OFFSET(Arb!$H$2,,,Arb!$AJ$5,),Z7))</f>
        <v>2.7</v>
      </c>
      <c r="AB7" s="3">
        <f t="shared" ca="1" si="6"/>
        <v>2.5925925925925926</v>
      </c>
      <c r="AC7" s="165">
        <f ca="1">IF(Z7="","",INDEX(OFFSET(Arb!$X$2,,,Arb!$AJ$5,),Z7)/AA7)</f>
        <v>3.333333333333333</v>
      </c>
      <c r="AD7" s="165">
        <f ca="1">IF(Z7="","",(INDEX(OFFSET(Arb!$U$2,,,Arb!$AJ$5,),Z7)+INDEX(OFFSET(Arb!$V$2,,,Arb!$AJ$5,),Z7))/AA7)</f>
        <v>4.4444444444444438</v>
      </c>
      <c r="AE7" s="51">
        <f t="shared" ca="1" si="7"/>
        <v>61.183117190646698</v>
      </c>
      <c r="AF7" s="91">
        <f ca="1">IF(Z7="","",DATE(INDEX(OFFSET(Arb!$C$2,,,Arb!$AJ$5,),Z7),INDEX(OFFSET(Arb!$B$2,,,Arb!$AJ$5,),Z7),INDEX(OFFSET(Arb!$A$2,,,Arb!$AJ$5,),Z7))+ROW()*0.001)</f>
        <v>43912.006999999998</v>
      </c>
      <c r="AG7" s="442">
        <v>7</v>
      </c>
      <c r="AH7" s="1">
        <v>1412</v>
      </c>
      <c r="AI7" s="52">
        <f ca="1">IF(AH7="","",INDEX(OFFSET(Arb!$H$2,,,Arb!$AJ$5,),AH7))</f>
        <v>2.84</v>
      </c>
      <c r="AJ7" s="3">
        <f t="shared" ca="1" si="8"/>
        <v>2.4647887323943665</v>
      </c>
      <c r="AK7" s="165">
        <f ca="1">IF(AH7="","",INDEX(OFFSET(Arb!$X$2,,,Arb!$AJ$5,),AH7)/AI7)</f>
        <v>3.1690140845070425</v>
      </c>
      <c r="AL7" s="165">
        <f ca="1">IF(AH7="","",(INDEX(OFFSET(Arb!$U$2,,,Arb!$AJ$5,),AH7)+INDEX(OFFSET(Arb!$V$2,,,Arb!$AJ$5,),AH7))/AI7)</f>
        <v>4.2253521126760569</v>
      </c>
      <c r="AM7" s="51">
        <f t="shared" ca="1" si="9"/>
        <v>56.144707146302807</v>
      </c>
      <c r="AN7" s="88">
        <f ca="1">IF(AH7="","",DATE(INDEX(OFFSET(Arb!$C$2,,,Arb!$AJ$5,),AH7),INDEX(OFFSET(Arb!$B$2,,,Arb!$AJ$5,),AH7),INDEX(OFFSET(Arb!$A$2,,,Arb!$AJ$5,),AH7))+ROW()*0.001)</f>
        <v>43940.006999999998</v>
      </c>
      <c r="AO7" s="436">
        <v>7</v>
      </c>
      <c r="AP7" s="1">
        <v>1294</v>
      </c>
      <c r="AQ7" s="52">
        <f ca="1">IF(AP7="","",INDEX(OFFSET(Arb!$H$2,,,Arb!$AJ$5,),AP7))</f>
        <v>2.85</v>
      </c>
      <c r="AR7" s="3">
        <f t="shared" ca="1" si="10"/>
        <v>2.4561403508771931</v>
      </c>
      <c r="AS7" s="165">
        <f ca="1">IF(AP7="","",INDEX(OFFSET(Arb!$X$2,,,Arb!$AJ$5,),AP7)/AQ7)</f>
        <v>2.807017543859649</v>
      </c>
      <c r="AT7" s="165">
        <f ca="1">IF(AP7="","",(INDEX(OFFSET(Arb!$U$2,,,Arb!$AJ$5,),AP7)+INDEX(OFFSET(Arb!$V$2,,,Arb!$AJ$5,),AP7))/AQ7)</f>
        <v>3.5087719298245612</v>
      </c>
      <c r="AU7" s="51">
        <f t="shared" ca="1" si="11"/>
        <v>55.81022031617902</v>
      </c>
      <c r="AV7" s="91">
        <f ca="1">IF(AP7="","",DATE(INDEX(OFFSET(Arb!$C$2,,,Arb!$AJ$5,),AP7),INDEX(OFFSET(Arb!$B$2,,,Arb!$AJ$5,),AP7),INDEX(OFFSET(Arb!$A$2,,,Arb!$AJ$5,),AP7))+ROW()*0.001)</f>
        <v>43906.006999999998</v>
      </c>
      <c r="AW7" s="442">
        <v>7</v>
      </c>
      <c r="AX7" s="1">
        <v>1859</v>
      </c>
      <c r="AY7" s="52">
        <f ca="1">IF(AX7="","",INDEX(OFFSET(Arb!$H$2,,,Arb!$AJ$5,),AX7))</f>
        <v>2.92</v>
      </c>
      <c r="AZ7" s="3">
        <f t="shared" ca="1" si="12"/>
        <v>2.397260273972603</v>
      </c>
      <c r="BA7" s="165">
        <f ca="1">IF(AX7="","",INDEX(OFFSET(Arb!$X$2,,,Arb!$AJ$5,),AX7)/AY7)</f>
        <v>3.0821917808219177</v>
      </c>
      <c r="BB7" s="165">
        <f ca="1">IF(AX7="","",(INDEX(OFFSET(Arb!$U$2,,,Arb!$AJ$5,),AX7)+INDEX(OFFSET(Arb!$V$2,,,Arb!$AJ$5,),AX7))/AY7)</f>
        <v>3.7671232876712328</v>
      </c>
      <c r="BC7" s="51">
        <f t="shared" ca="1" si="13"/>
        <v>53.554892450300805</v>
      </c>
      <c r="BD7" s="88">
        <f ca="1">IF(AX7="","",DATE(INDEX(OFFSET(Arb!$C$2,,,Arb!$AJ$5,),AX7),INDEX(OFFSET(Arb!$B$2,,,Arb!$AJ$5,),AX7),INDEX(OFFSET(Arb!$A$2,,,Arb!$AJ$5,),AX7))+ROW()*0.001)</f>
        <v>44168.006999999998</v>
      </c>
      <c r="BE7" s="436">
        <v>7</v>
      </c>
      <c r="BF7" s="1">
        <v>1663</v>
      </c>
      <c r="BG7" s="52">
        <f ca="1">IF(BF7="","",INDEX(OFFSET(Arb!$H$2,,,Arb!$AJ$5,),BF7))</f>
        <v>2.92</v>
      </c>
      <c r="BH7" s="3">
        <f t="shared" ca="1" si="14"/>
        <v>2.397260273972603</v>
      </c>
      <c r="BI7" s="165">
        <f ca="1">IF(BF7="","",INDEX(OFFSET(Arb!$X$2,,,Arb!$AJ$5,),BF7)/BG7)</f>
        <v>3.7671232876712328</v>
      </c>
      <c r="BJ7" s="165">
        <f ca="1">IF(BF7="","",(INDEX(OFFSET(Arb!$U$2,,,Arb!$AJ$5,),BF7)+INDEX(OFFSET(Arb!$V$2,,,Arb!$AJ$5,),BF7))/BG7)</f>
        <v>4.794520547945206</v>
      </c>
      <c r="BK7" s="51">
        <f t="shared" ca="1" si="15"/>
        <v>53.554892450300805</v>
      </c>
      <c r="BL7" s="91">
        <f ca="1">IF(BF7="","",DATE(INDEX(OFFSET(Arb!$C$2,,,Arb!$AJ$5,),BF7),INDEX(OFFSET(Arb!$B$2,,,Arb!$AJ$5,),BF7),INDEX(OFFSET(Arb!$A$2,,,Arb!$AJ$5,),BF7))+ROW()*0.001)</f>
        <v>44096.006999999998</v>
      </c>
      <c r="BM7" s="442">
        <v>7</v>
      </c>
      <c r="BN7" s="1">
        <v>270</v>
      </c>
      <c r="BO7" s="52">
        <f ca="1">IF(BN7="","",INDEX(OFFSET(Arb!$H$2,,,Arb!$AJ$5,),BN7))</f>
        <v>3</v>
      </c>
      <c r="BP7" s="3">
        <f t="shared" ca="1" si="16"/>
        <v>2.3333333333333335</v>
      </c>
      <c r="BQ7" s="165">
        <f ca="1">IF(BN7="","",INDEX(OFFSET(Arb!$X$2,,,Arb!$AJ$5,),BN7)/BO7)</f>
        <v>4</v>
      </c>
      <c r="BR7" s="165">
        <f ca="1">IF(BN7="","",(INDEX(OFFSET(Arb!$U$2,,,Arb!$AJ$5,),BN7)+INDEX(OFFSET(Arb!$V$2,,,Arb!$AJ$5,),BN7))/BO7)</f>
        <v>6</v>
      </c>
      <c r="BS7" s="51">
        <f t="shared" ca="1" si="17"/>
        <v>51.149791285267256</v>
      </c>
      <c r="BT7" s="88">
        <f ca="1">IF(BN7="","",DATE(INDEX(OFFSET(Arb!$C$2,,,Arb!$AJ$5,),BN7),INDEX(OFFSET(Arb!$B$2,,,Arb!$AJ$5,),BN7),INDEX(OFFSET(Arb!$A$2,,,Arb!$AJ$5,),BN7))+ROW()*0.001)</f>
        <v>43777.006999999998</v>
      </c>
      <c r="BU7" s="436">
        <v>7</v>
      </c>
      <c r="BV7" s="1">
        <v>465</v>
      </c>
      <c r="BW7" s="52">
        <f ca="1">IF(BV7="","",INDEX(OFFSET(Arb!$H$2,,,Arb!$AJ$5,),BV7))</f>
        <v>3.1</v>
      </c>
      <c r="BX7" s="3">
        <f t="shared" ca="1" si="18"/>
        <v>2.258064516129032</v>
      </c>
      <c r="BY7" s="165">
        <f ca="1">IF(BV7="","",INDEX(OFFSET(Arb!$X$2,,,Arb!$AJ$5,),BV7)/BW7)</f>
        <v>3.225806451612903</v>
      </c>
      <c r="BZ7" s="165">
        <f ca="1">IF(BV7="","",(INDEX(OFFSET(Arb!$U$2,,,Arb!$AJ$5,),BV7)+INDEX(OFFSET(Arb!$V$2,,,Arb!$AJ$5,),BV7))/BW7)</f>
        <v>4.5161290322580641</v>
      </c>
      <c r="CA7" s="51">
        <f t="shared" ca="1" si="19"/>
        <v>48.376575202519682</v>
      </c>
      <c r="CB7" s="91">
        <f ca="1">IF(BV7="","",DATE(INDEX(OFFSET(Arb!$C$2,,,Arb!$AJ$5,),BV7),INDEX(OFFSET(Arb!$B$2,,,Arb!$AJ$5,),BV7),INDEX(OFFSET(Arb!$A$2,,,Arb!$AJ$5,),BV7))+ROW()*0.001)</f>
        <v>43786.006999999998</v>
      </c>
    </row>
    <row r="8" spans="1:80" x14ac:dyDescent="0.25">
      <c r="A8" s="433">
        <v>8</v>
      </c>
      <c r="B8" s="1">
        <v>886</v>
      </c>
      <c r="C8" s="52">
        <f ca="1">IF(B8="","",INDEX(OFFSET(Arb!$H$2,,,Arb!$AJ$5,),B8))</f>
        <v>2.63</v>
      </c>
      <c r="D8" s="3">
        <f t="shared" ca="1" si="0"/>
        <v>3.0418250950570345</v>
      </c>
      <c r="E8" s="165">
        <f ca="1">IF(B8="","",INDEX(OFFSET(Arb!$X$2,,,Arb!$AJ$5,),B8)/C8)</f>
        <v>3.0418250950570345</v>
      </c>
      <c r="F8" s="165">
        <f ca="1">IF(B8="","",(INDEX(OFFSET(Arb!$U$2,,,Arb!$AJ$5,),B8)+INDEX(OFFSET(Arb!$V$2,,,Arb!$AJ$5,),B8))/C8)</f>
        <v>3.8022813688212929</v>
      </c>
      <c r="G8" s="51">
        <f t="shared" ca="1" si="1"/>
        <v>73.116799581088571</v>
      </c>
      <c r="H8" s="355">
        <f ca="1">IF(B8="","",DATE(INDEX(OFFSET(Arb!$C$2,,,Arb!$AJ$5,),B8),INDEX(OFFSET(Arb!$B$2,,,Arb!$AJ$5,),B8),INDEX(OFFSET(Arb!$A$2,,,Arb!$AJ$5,),B8))+ROW()*0.001)</f>
        <v>43818.008000000002</v>
      </c>
      <c r="I8" s="436">
        <v>8</v>
      </c>
      <c r="J8" s="1">
        <v>1785</v>
      </c>
      <c r="K8" s="52">
        <f ca="1">IF(J8="","",INDEX(OFFSET(Arb!$H$2,,,Arb!$AJ$5,),J8))</f>
        <v>2.71</v>
      </c>
      <c r="L8" s="3">
        <f t="shared" ca="1" si="2"/>
        <v>2.9520295202952029</v>
      </c>
      <c r="M8" s="165">
        <f ca="1">IF(J8="","",INDEX(OFFSET(Arb!$X$2,,,Arb!$AJ$5,),J8)/K8)</f>
        <v>3.6900369003690039</v>
      </c>
      <c r="N8" s="165">
        <f ca="1">IF(J8="","",(INDEX(OFFSET(Arb!$U$2,,,Arb!$AJ$5,),J8)+INDEX(OFFSET(Arb!$V$2,,,Arb!$AJ$5,),J8))/K8)</f>
        <v>3.6900369003690039</v>
      </c>
      <c r="O8" s="51">
        <f t="shared" ca="1" si="3"/>
        <v>69.485494321585463</v>
      </c>
      <c r="P8" s="91">
        <f ca="1">IF(J8="","",DATE(INDEX(OFFSET(Arb!$C$2,,,Arb!$AJ$5,),J8),INDEX(OFFSET(Arb!$B$2,,,Arb!$AJ$5,),J8),INDEX(OFFSET(Arb!$A$2,,,Arb!$AJ$5,),J8))+ROW()*0.001)</f>
        <v>44168.008000000002</v>
      </c>
      <c r="Q8" s="442">
        <v>8</v>
      </c>
      <c r="R8" s="1">
        <v>780</v>
      </c>
      <c r="S8" s="52">
        <f ca="1">IF(R8="","",INDEX(OFFSET(Arb!$H$2,,,Arb!$AJ$5,),R8))</f>
        <v>2.87</v>
      </c>
      <c r="T8" s="3">
        <f t="shared" ca="1" si="4"/>
        <v>2.7874564459930311</v>
      </c>
      <c r="U8" s="165">
        <f ca="1">IF(R8="","",INDEX(OFFSET(Arb!$X$2,,,Arb!$AJ$5,),R8)/S8)</f>
        <v>2.7874564459930311</v>
      </c>
      <c r="V8" s="165">
        <f ca="1">IF(R8="","",(INDEX(OFFSET(Arb!$U$2,,,Arb!$AJ$5,),R8)+INDEX(OFFSET(Arb!$V$2,,,Arb!$AJ$5,),R8))/S8)</f>
        <v>3.484320557491289</v>
      </c>
      <c r="W8" s="51">
        <f t="shared" ca="1" si="5"/>
        <v>63.029334480368362</v>
      </c>
      <c r="X8" s="88">
        <f ca="1">IF(R8="","",DATE(INDEX(OFFSET(Arb!$C$2,,,Arb!$AJ$5,),R8),INDEX(OFFSET(Arb!$B$2,,,Arb!$AJ$5,),R8),INDEX(OFFSET(Arb!$A$2,,,Arb!$AJ$5,),R8))+ROW()*0.001)</f>
        <v>43810.008000000002</v>
      </c>
      <c r="Y8" s="436">
        <v>8</v>
      </c>
      <c r="Z8" s="1">
        <v>414</v>
      </c>
      <c r="AA8" s="52">
        <f ca="1">IF(Z8="","",INDEX(OFFSET(Arb!$H$2,,,Arb!$AJ$5,),Z8))</f>
        <v>2.87</v>
      </c>
      <c r="AB8" s="3">
        <f t="shared" ca="1" si="6"/>
        <v>2.7874564459930311</v>
      </c>
      <c r="AC8" s="165">
        <f ca="1">IF(Z8="","",INDEX(OFFSET(Arb!$X$2,,,Arb!$AJ$5,),Z8)/AA8)</f>
        <v>3.1358885017421603</v>
      </c>
      <c r="AD8" s="165">
        <f ca="1">IF(Z8="","",(INDEX(OFFSET(Arb!$U$2,,,Arb!$AJ$5,),Z8)+INDEX(OFFSET(Arb!$V$2,,,Arb!$AJ$5,),Z8))/AA8)</f>
        <v>4.1811846689895473</v>
      </c>
      <c r="AE8" s="51">
        <f t="shared" ca="1" si="7"/>
        <v>63.029334480368362</v>
      </c>
      <c r="AF8" s="91">
        <f ca="1">IF(Z8="","",DATE(INDEX(OFFSET(Arb!$C$2,,,Arb!$AJ$5,),Z8),INDEX(OFFSET(Arb!$B$2,,,Arb!$AJ$5,),Z8),INDEX(OFFSET(Arb!$A$2,,,Arb!$AJ$5,),Z8))+ROW()*0.001)</f>
        <v>43781.008000000002</v>
      </c>
      <c r="AG8" s="442">
        <v>8</v>
      </c>
      <c r="AH8" s="1">
        <v>1647</v>
      </c>
      <c r="AI8" s="52">
        <f ca="1">IF(AH8="","",INDEX(OFFSET(Arb!$H$2,,,Arb!$AJ$5,),AH8))</f>
        <v>2.92</v>
      </c>
      <c r="AJ8" s="3">
        <f t="shared" ca="1" si="8"/>
        <v>2.7397260273972601</v>
      </c>
      <c r="AK8" s="165">
        <f ca="1">IF(AH8="","",INDEX(OFFSET(Arb!$X$2,,,Arb!$AJ$5,),AH8)/AI8)</f>
        <v>3.4246575342465753</v>
      </c>
      <c r="AL8" s="165">
        <f ca="1">IF(AH8="","",(INDEX(OFFSET(Arb!$U$2,,,Arb!$AJ$5,),AH8)+INDEX(OFFSET(Arb!$V$2,,,Arb!$AJ$5,),AH8))/AI8)</f>
        <v>4.1095890410958908</v>
      </c>
      <c r="AM8" s="51">
        <f t="shared" ca="1" si="9"/>
        <v>61.20559137177235</v>
      </c>
      <c r="AN8" s="88">
        <f ca="1">IF(AH8="","",DATE(INDEX(OFFSET(Arb!$C$2,,,Arb!$AJ$5,),AH8),INDEX(OFFSET(Arb!$B$2,,,Arb!$AJ$5,),AH8),INDEX(OFFSET(Arb!$A$2,,,Arb!$AJ$5,),AH8))+ROW()*0.001)</f>
        <v>44093.008000000002</v>
      </c>
      <c r="AO8" s="436">
        <v>8</v>
      </c>
      <c r="AP8" s="1">
        <v>1426</v>
      </c>
      <c r="AQ8" s="52">
        <f ca="1">IF(AP8="","",INDEX(OFFSET(Arb!$H$2,,,Arb!$AJ$5,),AP8))</f>
        <v>2.93</v>
      </c>
      <c r="AR8" s="3">
        <f t="shared" ca="1" si="10"/>
        <v>2.7303754266211602</v>
      </c>
      <c r="AS8" s="165">
        <f ca="1">IF(AP8="","",INDEX(OFFSET(Arb!$X$2,,,Arb!$AJ$5,),AP8)/AQ8)</f>
        <v>2.7303754266211602</v>
      </c>
      <c r="AT8" s="165">
        <f ca="1">IF(AP8="","",(INDEX(OFFSET(Arb!$U$2,,,Arb!$AJ$5,),AP8)+INDEX(OFFSET(Arb!$V$2,,,Arb!$AJ$5,),AP8))/AQ8)</f>
        <v>3.4129692832764502</v>
      </c>
      <c r="AU8" s="51">
        <f t="shared" ca="1" si="11"/>
        <v>60.850897953182916</v>
      </c>
      <c r="AV8" s="91">
        <f ca="1">IF(AP8="","",DATE(INDEX(OFFSET(Arb!$C$2,,,Arb!$AJ$5,),AP8),INDEX(OFFSET(Arb!$B$2,,,Arb!$AJ$5,),AP8),INDEX(OFFSET(Arb!$A$2,,,Arb!$AJ$5,),AP8))+ROW()*0.001)</f>
        <v>43940.008000000002</v>
      </c>
      <c r="AW8" s="442">
        <v>8</v>
      </c>
      <c r="AX8" s="1">
        <v>1822</v>
      </c>
      <c r="AY8" s="52">
        <f ca="1">IF(AX8="","",INDEX(OFFSET(Arb!$H$2,,,Arb!$AJ$5,),AX8))</f>
        <v>3.06</v>
      </c>
      <c r="AZ8" s="3">
        <f t="shared" ca="1" si="12"/>
        <v>2.6143790849673203</v>
      </c>
      <c r="BA8" s="165">
        <f ca="1">IF(AX8="","",INDEX(OFFSET(Arb!$X$2,,,Arb!$AJ$5,),AX8)/AY8)</f>
        <v>2.6143790849673203</v>
      </c>
      <c r="BB8" s="165">
        <f ca="1">IF(AX8="","",(INDEX(OFFSET(Arb!$U$2,,,Arb!$AJ$5,),AX8)+INDEX(OFFSET(Arb!$V$2,,,Arb!$AJ$5,),AX8))/AY8)</f>
        <v>3.5947712418300655</v>
      </c>
      <c r="BC8" s="51">
        <f t="shared" ca="1" si="13"/>
        <v>56.521739732132247</v>
      </c>
      <c r="BD8" s="88">
        <f ca="1">IF(AX8="","",DATE(INDEX(OFFSET(Arb!$C$2,,,Arb!$AJ$5,),AX8),INDEX(OFFSET(Arb!$B$2,,,Arb!$AJ$5,),AX8),INDEX(OFFSET(Arb!$A$2,,,Arb!$AJ$5,),AX8))+ROW()*0.001)</f>
        <v>44168.008000000002</v>
      </c>
      <c r="BE8" s="436">
        <v>8</v>
      </c>
      <c r="BF8" s="1">
        <v>1272</v>
      </c>
      <c r="BG8" s="52">
        <f ca="1">IF(BF8="","",INDEX(OFFSET(Arb!$H$2,,,Arb!$AJ$5,),BF8))</f>
        <v>3.09</v>
      </c>
      <c r="BH8" s="3">
        <f t="shared" ca="1" si="14"/>
        <v>2.5889967637540456</v>
      </c>
      <c r="BI8" s="165">
        <f ca="1">IF(BF8="","",INDEX(OFFSET(Arb!$X$2,,,Arb!$AJ$5,),BF8)/BG8)</f>
        <v>3.5598705501618126</v>
      </c>
      <c r="BJ8" s="165">
        <f ca="1">IF(BF8="","",(INDEX(OFFSET(Arb!$U$2,,,Arb!$AJ$5,),BF8)+INDEX(OFFSET(Arb!$V$2,,,Arb!$AJ$5,),BF8))/BG8)</f>
        <v>4.2071197411003238</v>
      </c>
      <c r="BK8" s="51">
        <f t="shared" ca="1" si="15"/>
        <v>55.592029727649198</v>
      </c>
      <c r="BL8" s="91">
        <f ca="1">IF(BF8="","",DATE(INDEX(OFFSET(Arb!$C$2,,,Arb!$AJ$5,),BF8),INDEX(OFFSET(Arb!$B$2,,,Arb!$AJ$5,),BF8),INDEX(OFFSET(Arb!$A$2,,,Arb!$AJ$5,),BF8))+ROW()*0.001)</f>
        <v>43906.008000000002</v>
      </c>
      <c r="BM8" s="442">
        <v>8</v>
      </c>
      <c r="BN8" s="1">
        <v>1308</v>
      </c>
      <c r="BO8" s="52">
        <f ca="1">IF(BN8="","",INDEX(OFFSET(Arb!$H$2,,,Arb!$AJ$5,),BN8))</f>
        <v>3.11</v>
      </c>
      <c r="BP8" s="3">
        <f t="shared" ca="1" si="16"/>
        <v>2.572347266881029</v>
      </c>
      <c r="BQ8" s="165">
        <f ca="1">IF(BN8="","",INDEX(OFFSET(Arb!$X$2,,,Arb!$AJ$5,),BN8)/BO8)</f>
        <v>4.501607717041801</v>
      </c>
      <c r="BR8" s="165">
        <f ca="1">IF(BN8="","",(INDEX(OFFSET(Arb!$U$2,,,Arb!$AJ$5,),BN8)+INDEX(OFFSET(Arb!$V$2,,,Arb!$AJ$5,),BN8))/BO8)</f>
        <v>5.4662379421221869</v>
      </c>
      <c r="BS8" s="51">
        <f t="shared" ca="1" si="17"/>
        <v>54.985640030078756</v>
      </c>
      <c r="BT8" s="88">
        <f ca="1">IF(BN8="","",DATE(INDEX(OFFSET(Arb!$C$2,,,Arb!$AJ$5,),BN8),INDEX(OFFSET(Arb!$B$2,,,Arb!$AJ$5,),BN8),INDEX(OFFSET(Arb!$A$2,,,Arb!$AJ$5,),BN8))+ROW()*0.001)</f>
        <v>43912.008000000002</v>
      </c>
      <c r="BU8" s="436">
        <v>8</v>
      </c>
      <c r="BV8" s="1">
        <v>1609</v>
      </c>
      <c r="BW8" s="52">
        <f ca="1">IF(BV8="","",INDEX(OFFSET(Arb!$H$2,,,Arb!$AJ$5,),BV8))</f>
        <v>3.21</v>
      </c>
      <c r="BX8" s="3">
        <f t="shared" ca="1" si="18"/>
        <v>2.4922118380062304</v>
      </c>
      <c r="BY8" s="165">
        <f ca="1">IF(BV8="","",INDEX(OFFSET(Arb!$X$2,,,Arb!$AJ$5,),BV8)/BW8)</f>
        <v>3.1152647975077881</v>
      </c>
      <c r="BZ8" s="165">
        <f ca="1">IF(BV8="","",(INDEX(OFFSET(Arb!$U$2,,,Arb!$AJ$5,),BV8)+INDEX(OFFSET(Arb!$V$2,,,Arb!$AJ$5,),BV8))/BW8)</f>
        <v>4.3613707165109039</v>
      </c>
      <c r="CA8" s="51">
        <f t="shared" ca="1" si="19"/>
        <v>52.105478780430509</v>
      </c>
      <c r="CB8" s="91">
        <f ca="1">IF(BV8="","",DATE(INDEX(OFFSET(Arb!$C$2,,,Arb!$AJ$5,),BV8),INDEX(OFFSET(Arb!$B$2,,,Arb!$AJ$5,),BV8),INDEX(OFFSET(Arb!$A$2,,,Arb!$AJ$5,),BV8))+ROW()*0.001)</f>
        <v>44062.008000000002</v>
      </c>
    </row>
    <row r="9" spans="1:80" x14ac:dyDescent="0.25">
      <c r="A9" s="433">
        <v>9</v>
      </c>
      <c r="B9" s="1">
        <v>1858</v>
      </c>
      <c r="C9" s="52">
        <f ca="1">IF(B9="","",INDEX(OFFSET(Arb!$H$2,,,Arb!$AJ$5,),B9))</f>
        <v>2.29</v>
      </c>
      <c r="D9" s="3">
        <f t="shared" ca="1" si="0"/>
        <v>3.9301310043668121</v>
      </c>
      <c r="E9" s="165">
        <f ca="1">IF(B9="","",INDEX(OFFSET(Arb!$X$2,,,Arb!$AJ$5,),B9)/C9)</f>
        <v>3.9301310043668121</v>
      </c>
      <c r="F9" s="165">
        <f ca="1">IF(B9="","",(INDEX(OFFSET(Arb!$U$2,,,Arb!$AJ$5,),B9)+INDEX(OFFSET(Arb!$V$2,,,Arb!$AJ$5,),B9))/C9)</f>
        <v>4.3668122270742353</v>
      </c>
      <c r="G9" s="51">
        <f t="shared" ca="1" si="1"/>
        <v>104.08164519462058</v>
      </c>
      <c r="H9" s="355">
        <f ca="1">IF(B9="","",DATE(INDEX(OFFSET(Arb!$C$2,,,Arb!$AJ$5,),B9),INDEX(OFFSET(Arb!$B$2,,,Arb!$AJ$5,),B9),INDEX(OFFSET(Arb!$A$2,,,Arb!$AJ$5,),B9))+ROW()*0.001)</f>
        <v>44168.008999999998</v>
      </c>
      <c r="I9" s="436">
        <v>9</v>
      </c>
      <c r="J9" s="1">
        <v>626</v>
      </c>
      <c r="K9" s="52">
        <f ca="1">IF(J9="","",INDEX(OFFSET(Arb!$H$2,,,Arb!$AJ$5,),J9))</f>
        <v>2.34</v>
      </c>
      <c r="L9" s="3">
        <f t="shared" ca="1" si="2"/>
        <v>3.8461538461538463</v>
      </c>
      <c r="M9" s="165">
        <f ca="1">IF(J9="","",INDEX(OFFSET(Arb!$X$2,,,Arb!$AJ$5,),J9)/K9)</f>
        <v>3.8461538461538463</v>
      </c>
      <c r="N9" s="165">
        <f ca="1">IF(J9="","",(INDEX(OFFSET(Arb!$U$2,,,Arb!$AJ$5,),J9)+INDEX(OFFSET(Arb!$V$2,,,Arb!$AJ$5,),J9))/K9)</f>
        <v>3.8461538461538463</v>
      </c>
      <c r="O9" s="51">
        <f t="shared" ca="1" si="3"/>
        <v>100.32923730384175</v>
      </c>
      <c r="P9" s="91">
        <f ca="1">IF(J9="","",DATE(INDEX(OFFSET(Arb!$C$2,,,Arb!$AJ$5,),J9),INDEX(OFFSET(Arb!$B$2,,,Arb!$AJ$5,),J9),INDEX(OFFSET(Arb!$A$2,,,Arb!$AJ$5,),J9))+ROW()*0.001)</f>
        <v>43799.008999999998</v>
      </c>
      <c r="Q9" s="442">
        <v>9</v>
      </c>
      <c r="R9" s="1">
        <v>1820</v>
      </c>
      <c r="S9" s="52">
        <f ca="1">IF(R9="","",INDEX(OFFSET(Arb!$H$2,,,Arb!$AJ$5,),R9))</f>
        <v>2.85</v>
      </c>
      <c r="T9" s="3">
        <f t="shared" ca="1" si="4"/>
        <v>3.1578947368421053</v>
      </c>
      <c r="U9" s="165">
        <f ca="1">IF(R9="","",INDEX(OFFSET(Arb!$X$2,,,Arb!$AJ$5,),R9)/S9)</f>
        <v>3.1578947368421053</v>
      </c>
      <c r="V9" s="165">
        <f ca="1">IF(R9="","",(INDEX(OFFSET(Arb!$U$2,,,Arb!$AJ$5,),R9)+INDEX(OFFSET(Arb!$V$2,,,Arb!$AJ$5,),R9))/S9)</f>
        <v>3.5087719298245612</v>
      </c>
      <c r="W9" s="51">
        <f t="shared" ca="1" si="5"/>
        <v>71.755997549373021</v>
      </c>
      <c r="X9" s="88">
        <f ca="1">IF(R9="","",DATE(INDEX(OFFSET(Arb!$C$2,,,Arb!$AJ$5,),R9),INDEX(OFFSET(Arb!$B$2,,,Arb!$AJ$5,),R9),INDEX(OFFSET(Arb!$A$2,,,Arb!$AJ$5,),R9))+ROW()*0.001)</f>
        <v>44168.008999999998</v>
      </c>
      <c r="Y9" s="436">
        <v>9</v>
      </c>
      <c r="Z9" s="1">
        <v>1585</v>
      </c>
      <c r="AA9" s="52">
        <f ca="1">IF(Z9="","",INDEX(OFFSET(Arb!$H$2,,,Arb!$AJ$5,),Z9))</f>
        <v>2.89</v>
      </c>
      <c r="AB9" s="3">
        <f t="shared" ca="1" si="6"/>
        <v>3.1141868512110724</v>
      </c>
      <c r="AC9" s="165">
        <f ca="1">IF(Z9="","",INDEX(OFFSET(Arb!$X$2,,,Arb!$AJ$5,),Z9)/AA9)</f>
        <v>3.1141868512110724</v>
      </c>
      <c r="AD9" s="165">
        <f ca="1">IF(Z9="","",(INDEX(OFFSET(Arb!$U$2,,,Arb!$AJ$5,),Z9)+INDEX(OFFSET(Arb!$V$2,,,Arb!$AJ$5,),Z9))/AA9)</f>
        <v>3.4602076124567471</v>
      </c>
      <c r="AE9" s="51">
        <f t="shared" ca="1" si="7"/>
        <v>70.075811494174843</v>
      </c>
      <c r="AF9" s="91">
        <f ca="1">IF(Z9="","",DATE(INDEX(OFFSET(Arb!$C$2,,,Arb!$AJ$5,),Z9),INDEX(OFFSET(Arb!$B$2,,,Arb!$AJ$5,),Z9),INDEX(OFFSET(Arb!$A$2,,,Arb!$AJ$5,),Z9))+ROW()*0.001)</f>
        <v>44026.008999999998</v>
      </c>
      <c r="AG9" s="442">
        <v>9</v>
      </c>
      <c r="AH9" s="1">
        <v>518</v>
      </c>
      <c r="AI9" s="52">
        <f ca="1">IF(AH9="","",INDEX(OFFSET(Arb!$H$2,,,Arb!$AJ$5,),AH9))</f>
        <v>2.95</v>
      </c>
      <c r="AJ9" s="3">
        <f t="shared" ca="1" si="8"/>
        <v>3.0508474576271185</v>
      </c>
      <c r="AK9" s="165">
        <f ca="1">IF(AH9="","",INDEX(OFFSET(Arb!$X$2,,,Arb!$AJ$5,),AH9)/AI9)</f>
        <v>4.0677966101694913</v>
      </c>
      <c r="AL9" s="165">
        <f ca="1">IF(AH9="","",(INDEX(OFFSET(Arb!$U$2,,,Arb!$AJ$5,),AH9)+INDEX(OFFSET(Arb!$V$2,,,Arb!$AJ$5,),AH9))/AI9)</f>
        <v>5.0847457627118642</v>
      </c>
      <c r="AM9" s="51">
        <f t="shared" ca="1" si="9"/>
        <v>67.670134739190544</v>
      </c>
      <c r="AN9" s="88">
        <f ca="1">IF(AH9="","",DATE(INDEX(OFFSET(Arb!$C$2,,,Arb!$AJ$5,),AH9),INDEX(OFFSET(Arb!$B$2,,,Arb!$AJ$5,),AH9),INDEX(OFFSET(Arb!$A$2,,,Arb!$AJ$5,),AH9))+ROW()*0.001)</f>
        <v>43790.008999999998</v>
      </c>
      <c r="AO9" s="436">
        <v>9</v>
      </c>
      <c r="AP9" s="1">
        <v>1164</v>
      </c>
      <c r="AQ9" s="52">
        <f ca="1">IF(AP9="","",INDEX(OFFSET(Arb!$H$2,,,Arb!$AJ$5,),AP9))</f>
        <v>2.96</v>
      </c>
      <c r="AR9" s="3">
        <f t="shared" ca="1" si="10"/>
        <v>3.0405405405405408</v>
      </c>
      <c r="AS9" s="165">
        <f ca="1">IF(AP9="","",INDEX(OFFSET(Arb!$X$2,,,Arb!$AJ$5,),AP9)/AQ9)</f>
        <v>3.0405405405405408</v>
      </c>
      <c r="AT9" s="165">
        <f ca="1">IF(AP9="","",(INDEX(OFFSET(Arb!$U$2,,,Arb!$AJ$5,),AP9)+INDEX(OFFSET(Arb!$V$2,,,Arb!$AJ$5,),AP9))/AQ9)</f>
        <v>4.0540540540540544</v>
      </c>
      <c r="AU9" s="51">
        <f t="shared" ca="1" si="11"/>
        <v>67.281948398190963</v>
      </c>
      <c r="AV9" s="91">
        <f ca="1">IF(AP9="","",DATE(INDEX(OFFSET(Arb!$C$2,,,Arb!$AJ$5,),AP9),INDEX(OFFSET(Arb!$B$2,,,Arb!$AJ$5,),AP9),INDEX(OFFSET(Arb!$A$2,,,Arb!$AJ$5,),AP9))+ROW()*0.001)</f>
        <v>43870.008999999998</v>
      </c>
      <c r="AW9" s="442">
        <v>9</v>
      </c>
      <c r="AX9" s="1">
        <v>202</v>
      </c>
      <c r="AY9" s="52">
        <f ca="1">IF(AX9="","",INDEX(OFFSET(Arb!$H$2,,,Arb!$AJ$5,),AX9))</f>
        <v>3.05</v>
      </c>
      <c r="AZ9" s="3">
        <f t="shared" ca="1" si="12"/>
        <v>2.9508196721311477</v>
      </c>
      <c r="BA9" s="165">
        <f ca="1">IF(AX9="","",INDEX(OFFSET(Arb!$X$2,,,Arb!$AJ$5,),AX9)/AY9)</f>
        <v>2.9508196721311477</v>
      </c>
      <c r="BB9" s="165">
        <f ca="1">IF(AX9="","",(INDEX(OFFSET(Arb!$U$2,,,Arb!$AJ$5,),AX9)+INDEX(OFFSET(Arb!$V$2,,,Arb!$AJ$5,),AX9))/AY9)</f>
        <v>3.6065573770491803</v>
      </c>
      <c r="BC9" s="51">
        <f t="shared" ca="1" si="13"/>
        <v>63.941782881589496</v>
      </c>
      <c r="BD9" s="88">
        <f ca="1">IF(AX9="","",DATE(INDEX(OFFSET(Arb!$C$2,,,Arb!$AJ$5,),AX9),INDEX(OFFSET(Arb!$B$2,,,Arb!$AJ$5,),AX9),INDEX(OFFSET(Arb!$A$2,,,Arb!$AJ$5,),AX9))+ROW()*0.001)</f>
        <v>43774.008999999998</v>
      </c>
      <c r="BE9" s="436">
        <v>9</v>
      </c>
      <c r="BF9" s="1">
        <v>600</v>
      </c>
      <c r="BG9" s="52">
        <f ca="1">IF(BF9="","",INDEX(OFFSET(Arb!$H$2,,,Arb!$AJ$5,),BF9))</f>
        <v>3.16</v>
      </c>
      <c r="BH9" s="3">
        <f t="shared" ca="1" si="14"/>
        <v>2.8481012658227849</v>
      </c>
      <c r="BI9" s="165">
        <f ca="1">IF(BF9="","",INDEX(OFFSET(Arb!$X$2,,,Arb!$AJ$5,),BF9)/BG9)</f>
        <v>4.1139240506329111</v>
      </c>
      <c r="BJ9" s="165">
        <f ca="1">IF(BF9="","",(INDEX(OFFSET(Arb!$U$2,,,Arb!$AJ$5,),BF9)+INDEX(OFFSET(Arb!$V$2,,,Arb!$AJ$5,),BF9))/BG9)</f>
        <v>5.0632911392405058</v>
      </c>
      <c r="BK9" s="51">
        <f t="shared" ca="1" si="15"/>
        <v>60.204149833099692</v>
      </c>
      <c r="BL9" s="91">
        <f ca="1">IF(BF9="","",DATE(INDEX(OFFSET(Arb!$C$2,,,Arb!$AJ$5,),BF9),INDEX(OFFSET(Arb!$B$2,,,Arb!$AJ$5,),BF9),INDEX(OFFSET(Arb!$A$2,,,Arb!$AJ$5,),BF9))+ROW()*0.001)</f>
        <v>43798.008999999998</v>
      </c>
      <c r="BM9" s="442">
        <v>9</v>
      </c>
      <c r="BN9" s="1">
        <v>1792</v>
      </c>
      <c r="BO9" s="52">
        <f ca="1">IF(BN9="","",INDEX(OFFSET(Arb!$H$2,,,Arb!$AJ$5,),BN9))</f>
        <v>3.19</v>
      </c>
      <c r="BP9" s="3">
        <f t="shared" ca="1" si="16"/>
        <v>2.8213166144200628</v>
      </c>
      <c r="BQ9" s="165">
        <f ca="1">IF(BN9="","",INDEX(OFFSET(Arb!$X$2,,,Arb!$AJ$5,),BN9)/BO9)</f>
        <v>3.4482758620689657</v>
      </c>
      <c r="BR9" s="165">
        <f ca="1">IF(BN9="","",(INDEX(OFFSET(Arb!$U$2,,,Arb!$AJ$5,),BN9)+INDEX(OFFSET(Arb!$V$2,,,Arb!$AJ$5,),BN9))/BO9)</f>
        <v>4.0752351097178687</v>
      </c>
      <c r="BS9" s="51">
        <f t="shared" ca="1" si="17"/>
        <v>59.244809476585061</v>
      </c>
      <c r="BT9" s="88">
        <f ca="1">IF(BN9="","",DATE(INDEX(OFFSET(Arb!$C$2,,,Arb!$AJ$5,),BN9),INDEX(OFFSET(Arb!$B$2,,,Arb!$AJ$5,),BN9),INDEX(OFFSET(Arb!$A$2,,,Arb!$AJ$5,),BN9))+ROW()*0.001)</f>
        <v>44168.008999999998</v>
      </c>
      <c r="BU9" s="436">
        <v>9</v>
      </c>
      <c r="BV9" s="1">
        <v>252</v>
      </c>
      <c r="BW9" s="52">
        <f ca="1">IF(BV9="","",INDEX(OFFSET(Arb!$H$2,,,Arb!$AJ$5,),BV9))</f>
        <v>3.2</v>
      </c>
      <c r="BX9" s="3">
        <f t="shared" ca="1" si="18"/>
        <v>2.8125</v>
      </c>
      <c r="BY9" s="165">
        <f ca="1">IF(BV9="","",INDEX(OFFSET(Arb!$X$2,,,Arb!$AJ$5,),BV9)/BW9)</f>
        <v>4.0625</v>
      </c>
      <c r="BZ9" s="165">
        <f ca="1">IF(BV9="","",(INDEX(OFFSET(Arb!$U$2,,,Arb!$AJ$5,),BV9)+INDEX(OFFSET(Arb!$V$2,,,Arb!$AJ$5,),BV9))/BW9)</f>
        <v>5</v>
      </c>
      <c r="CA9" s="51">
        <f t="shared" ca="1" si="19"/>
        <v>58.930415778669165</v>
      </c>
      <c r="CB9" s="91">
        <f ca="1">IF(BV9="","",DATE(INDEX(OFFSET(Arb!$C$2,,,Arb!$AJ$5,),BV9),INDEX(OFFSET(Arb!$B$2,,,Arb!$AJ$5,),BV9),INDEX(OFFSET(Arb!$A$2,,,Arb!$AJ$5,),BV9))+ROW()*0.001)</f>
        <v>43776.008999999998</v>
      </c>
    </row>
    <row r="10" spans="1:80" x14ac:dyDescent="0.25">
      <c r="A10" s="433">
        <v>10</v>
      </c>
      <c r="B10" s="1">
        <v>1278</v>
      </c>
      <c r="C10" s="52">
        <f ca="1">IF(B10="","",INDEX(OFFSET(Arb!$H$2,,,Arb!$AJ$5,),B10))</f>
        <v>3</v>
      </c>
      <c r="D10" s="3">
        <f t="shared" ca="1" si="0"/>
        <v>3.3333333333333335</v>
      </c>
      <c r="E10" s="165">
        <f ca="1">IF(B10="","",INDEX(OFFSET(Arb!$X$2,,,Arb!$AJ$5,),B10)/C10)</f>
        <v>4</v>
      </c>
      <c r="F10" s="165">
        <f ca="1">IF(B10="","",(INDEX(OFFSET(Arb!$U$2,,,Arb!$AJ$5,),B10)+INDEX(OFFSET(Arb!$V$2,,,Arb!$AJ$5,),B10))/C10)</f>
        <v>4.666666666666667</v>
      </c>
      <c r="G10" s="51">
        <f t="shared" ca="1" si="1"/>
        <v>73.071130407524649</v>
      </c>
      <c r="H10" s="355">
        <f ca="1">IF(B10="","",DATE(INDEX(OFFSET(Arb!$C$2,,,Arb!$AJ$5,),B10),INDEX(OFFSET(Arb!$B$2,,,Arb!$AJ$5,),B10),INDEX(OFFSET(Arb!$A$2,,,Arb!$AJ$5,),B10))+ROW()*0.001)</f>
        <v>43906.01</v>
      </c>
      <c r="I10" s="436">
        <v>10</v>
      </c>
      <c r="J10" s="1">
        <v>1391</v>
      </c>
      <c r="K10" s="52">
        <f ca="1">IF(J10="","",INDEX(OFFSET(Arb!$H$2,,,Arb!$AJ$5,),J10))</f>
        <v>3.16</v>
      </c>
      <c r="L10" s="3">
        <f t="shared" ca="1" si="2"/>
        <v>3.1645569620253164</v>
      </c>
      <c r="M10" s="165">
        <f ca="1">IF(J10="","",INDEX(OFFSET(Arb!$X$2,,,Arb!$AJ$5,),J10)/K10)</f>
        <v>4.4303797468354427</v>
      </c>
      <c r="N10" s="165">
        <f ca="1">IF(J10="","",(INDEX(OFFSET(Arb!$U$2,,,Arb!$AJ$5,),J10)+INDEX(OFFSET(Arb!$V$2,,,Arb!$AJ$5,),J10))/K10)</f>
        <v>5.0632911392405058</v>
      </c>
      <c r="O10" s="51">
        <f t="shared" ca="1" si="3"/>
        <v>66.893499814555213</v>
      </c>
      <c r="P10" s="91">
        <f ca="1">IF(J10="","",DATE(INDEX(OFFSET(Arb!$C$2,,,Arb!$AJ$5,),J10),INDEX(OFFSET(Arb!$B$2,,,Arb!$AJ$5,),J10),INDEX(OFFSET(Arb!$A$2,,,Arb!$AJ$5,),J10))+ROW()*0.001)</f>
        <v>43940.01</v>
      </c>
      <c r="Q10" s="442">
        <v>10</v>
      </c>
      <c r="R10" s="1">
        <v>424</v>
      </c>
      <c r="S10" s="52">
        <f ca="1">IF(R10="","",INDEX(OFFSET(Arb!$H$2,,,Arb!$AJ$5,),R10))</f>
        <v>3.19</v>
      </c>
      <c r="T10" s="3">
        <f t="shared" ca="1" si="4"/>
        <v>3.134796238244514</v>
      </c>
      <c r="U10" s="165">
        <f ca="1">IF(R10="","",INDEX(OFFSET(Arb!$X$2,,,Arb!$AJ$5,),R10)/S10)</f>
        <v>3.4482758620689657</v>
      </c>
      <c r="V10" s="165">
        <f ca="1">IF(R10="","",(INDEX(OFFSET(Arb!$U$2,,,Arb!$AJ$5,),R10)+INDEX(OFFSET(Arb!$V$2,,,Arb!$AJ$5,),R10))/S10)</f>
        <v>4.0752351097178687</v>
      </c>
      <c r="W10" s="51">
        <f t="shared" ca="1" si="5"/>
        <v>65.827566085094503</v>
      </c>
      <c r="X10" s="88">
        <f ca="1">IF(R10="","",DATE(INDEX(OFFSET(Arb!$C$2,,,Arb!$AJ$5,),R10),INDEX(OFFSET(Arb!$B$2,,,Arb!$AJ$5,),R10),INDEX(OFFSET(Arb!$A$2,,,Arb!$AJ$5,),R10))+ROW()*0.001)</f>
        <v>43781.01</v>
      </c>
      <c r="Y10" s="436">
        <v>10</v>
      </c>
      <c r="Z10" s="1">
        <v>1224</v>
      </c>
      <c r="AA10" s="52">
        <f ca="1">IF(Z10="","",INDEX(OFFSET(Arb!$H$2,,,Arb!$AJ$5,),Z10))</f>
        <v>3.21</v>
      </c>
      <c r="AB10" s="3">
        <f t="shared" ca="1" si="6"/>
        <v>3.1152647975077881</v>
      </c>
      <c r="AC10" s="165">
        <f ca="1">IF(Z10="","",INDEX(OFFSET(Arb!$X$2,,,Arb!$AJ$5,),Z10)/AA10)</f>
        <v>4.0498442367601246</v>
      </c>
      <c r="AD10" s="165">
        <f ca="1">IF(Z10="","",(INDEX(OFFSET(Arb!$U$2,,,Arb!$AJ$5,),Z10)+INDEX(OFFSET(Arb!$V$2,,,Arb!$AJ$5,),Z10))/AA10)</f>
        <v>4.3613707165109039</v>
      </c>
      <c r="AE10" s="51">
        <f t="shared" ca="1" si="7"/>
        <v>65.131848475538135</v>
      </c>
      <c r="AF10" s="91">
        <f ca="1">IF(Z10="","",DATE(INDEX(OFFSET(Arb!$C$2,,,Arb!$AJ$5,),Z10),INDEX(OFFSET(Arb!$B$2,,,Arb!$AJ$5,),Z10),INDEX(OFFSET(Arb!$A$2,,,Arb!$AJ$5,),Z10))+ROW()*0.001)</f>
        <v>43898.01</v>
      </c>
      <c r="AG10" s="442">
        <v>10</v>
      </c>
      <c r="AH10" s="1">
        <v>541</v>
      </c>
      <c r="AI10" s="52">
        <f ca="1">IF(AH10="","",INDEX(OFFSET(Arb!$H$2,,,Arb!$AJ$5,),AH10))</f>
        <v>3.21</v>
      </c>
      <c r="AJ10" s="3">
        <f t="shared" ca="1" si="8"/>
        <v>3.1152647975077881</v>
      </c>
      <c r="AK10" s="165">
        <f ca="1">IF(AH10="","",INDEX(OFFSET(Arb!$X$2,,,Arb!$AJ$5,),AH10)/AI10)</f>
        <v>3.7383177570093458</v>
      </c>
      <c r="AL10" s="165">
        <f ca="1">IF(AH10="","",(INDEX(OFFSET(Arb!$U$2,,,Arb!$AJ$5,),AH10)+INDEX(OFFSET(Arb!$V$2,,,Arb!$AJ$5,),AH10))/AI10)</f>
        <v>4.0498442367601246</v>
      </c>
      <c r="AM10" s="51">
        <f t="shared" ca="1" si="9"/>
        <v>65.131848475538135</v>
      </c>
      <c r="AN10" s="88">
        <f ca="1">IF(AH10="","",DATE(INDEX(OFFSET(Arb!$C$2,,,Arb!$AJ$5,),AH10),INDEX(OFFSET(Arb!$B$2,,,Arb!$AJ$5,),AH10),INDEX(OFFSET(Arb!$A$2,,,Arb!$AJ$5,),AH10))+ROW()*0.001)</f>
        <v>43797.01</v>
      </c>
      <c r="AO10" s="436">
        <v>10</v>
      </c>
      <c r="AP10" s="1">
        <v>782</v>
      </c>
      <c r="AQ10" s="52">
        <f ca="1">IF(AP10="","",INDEX(OFFSET(Arb!$H$2,,,Arb!$AJ$5,),AP10))</f>
        <v>3.3</v>
      </c>
      <c r="AR10" s="3">
        <f t="shared" ca="1" si="10"/>
        <v>3.0303030303030303</v>
      </c>
      <c r="AS10" s="165">
        <f ca="1">IF(AP10="","",INDEX(OFFSET(Arb!$X$2,,,Arb!$AJ$5,),AP10)/AQ10)</f>
        <v>3.3333333333333335</v>
      </c>
      <c r="AT10" s="165">
        <f ca="1">IF(AP10="","",(INDEX(OFFSET(Arb!$U$2,,,Arb!$AJ$5,),AP10)+INDEX(OFFSET(Arb!$V$2,,,Arb!$AJ$5,),AP10))/AQ10)</f>
        <v>3.6363636363636367</v>
      </c>
      <c r="AU10" s="51">
        <f t="shared" ca="1" si="11"/>
        <v>62.141003336159329</v>
      </c>
      <c r="AV10" s="91">
        <f ca="1">IF(AP10="","",DATE(INDEX(OFFSET(Arb!$C$2,,,Arb!$AJ$5,),AP10),INDEX(OFFSET(Arb!$B$2,,,Arb!$AJ$5,),AP10),INDEX(OFFSET(Arb!$A$2,,,Arb!$AJ$5,),AP10))+ROW()*0.001)</f>
        <v>43810.01</v>
      </c>
      <c r="AW10" s="442">
        <v>10</v>
      </c>
      <c r="AX10" s="1">
        <v>1565</v>
      </c>
      <c r="AY10" s="52">
        <f ca="1">IF(AX10="","",INDEX(OFFSET(Arb!$H$2,,,Arb!$AJ$5,),AX10))</f>
        <v>3.31</v>
      </c>
      <c r="AZ10" s="3">
        <f t="shared" ca="1" si="12"/>
        <v>3.0211480362537766</v>
      </c>
      <c r="BA10" s="165">
        <f ca="1">IF(AX10="","",INDEX(OFFSET(Arb!$X$2,,,Arb!$AJ$5,),AX10)/AY10)</f>
        <v>3.3232628398791539</v>
      </c>
      <c r="BB10" s="165">
        <f ca="1">IF(AX10="","",(INDEX(OFFSET(Arb!$U$2,,,Arb!$AJ$5,),AX10)+INDEX(OFFSET(Arb!$V$2,,,Arb!$AJ$5,),AX10))/AY10)</f>
        <v>3.3232628398791539</v>
      </c>
      <c r="BC10" s="51">
        <f t="shared" ca="1" si="13"/>
        <v>61.822187722036354</v>
      </c>
      <c r="BD10" s="88">
        <f ca="1">IF(AX10="","",DATE(INDEX(OFFSET(Arb!$C$2,,,Arb!$AJ$5,),AX10),INDEX(OFFSET(Arb!$B$2,,,Arb!$AJ$5,),AX10),INDEX(OFFSET(Arb!$A$2,,,Arb!$AJ$5,),AX10))+ROW()*0.001)</f>
        <v>43989.01</v>
      </c>
      <c r="BE10" s="436">
        <v>10</v>
      </c>
      <c r="BF10" s="1">
        <v>268</v>
      </c>
      <c r="BG10" s="52">
        <f ca="1">IF(BF10="","",INDEX(OFFSET(Arb!$H$2,,,Arb!$AJ$5,),BF10))</f>
        <v>3.31</v>
      </c>
      <c r="BH10" s="3">
        <f t="shared" ca="1" si="14"/>
        <v>3.0211480362537766</v>
      </c>
      <c r="BI10" s="165">
        <f ca="1">IF(BF10="","",INDEX(OFFSET(Arb!$X$2,,,Arb!$AJ$5,),BF10)/BG10)</f>
        <v>4.5317220543806647</v>
      </c>
      <c r="BJ10" s="165">
        <f ca="1">IF(BF10="","",(INDEX(OFFSET(Arb!$U$2,,,Arb!$AJ$5,),BF10)+INDEX(OFFSET(Arb!$V$2,,,Arb!$AJ$5,),BF10))/BG10)</f>
        <v>4.5317220543806647</v>
      </c>
      <c r="BK10" s="51">
        <f t="shared" ca="1" si="15"/>
        <v>61.822187722036354</v>
      </c>
      <c r="BL10" s="91">
        <f ca="1">IF(BF10="","",DATE(INDEX(OFFSET(Arb!$C$2,,,Arb!$AJ$5,),BF10),INDEX(OFFSET(Arb!$B$2,,,Arb!$AJ$5,),BF10),INDEX(OFFSET(Arb!$A$2,,,Arb!$AJ$5,),BF10))+ROW()*0.001)</f>
        <v>43777.01</v>
      </c>
      <c r="BM10" s="442">
        <v>10</v>
      </c>
      <c r="BN10" s="1">
        <v>188</v>
      </c>
      <c r="BO10" s="52">
        <f ca="1">IF(BN10="","",INDEX(OFFSET(Arb!$H$2,,,Arb!$AJ$5,),BN10))</f>
        <v>3.33</v>
      </c>
      <c r="BP10" s="3">
        <f t="shared" ca="1" si="16"/>
        <v>3.0030030030030028</v>
      </c>
      <c r="BQ10" s="165">
        <f ca="1">IF(BN10="","",INDEX(OFFSET(Arb!$X$2,,,Arb!$AJ$5,),BN10)/BO10)</f>
        <v>3.303303303303303</v>
      </c>
      <c r="BR10" s="165">
        <f ca="1">IF(BN10="","",(INDEX(OFFSET(Arb!$U$2,,,Arb!$AJ$5,),BN10)+INDEX(OFFSET(Arb!$V$2,,,Arb!$AJ$5,),BN10))/BO10)</f>
        <v>3.9039039039039038</v>
      </c>
      <c r="BS10" s="51">
        <f t="shared" ca="1" si="17"/>
        <v>61.192297871927828</v>
      </c>
      <c r="BT10" s="88">
        <f ca="1">IF(BN10="","",DATE(INDEX(OFFSET(Arb!$C$2,,,Arb!$AJ$5,),BN10),INDEX(OFFSET(Arb!$B$2,,,Arb!$AJ$5,),BN10),INDEX(OFFSET(Arb!$A$2,,,Arb!$AJ$5,),BN10))+ROW()*0.001)</f>
        <v>43774.01</v>
      </c>
      <c r="BU10" s="436">
        <v>10</v>
      </c>
      <c r="BV10" s="1">
        <v>1745</v>
      </c>
      <c r="BW10" s="52">
        <f ca="1">IF(BV10="","",INDEX(OFFSET(Arb!$H$2,,,Arb!$AJ$5,),BV10))</f>
        <v>3.44</v>
      </c>
      <c r="BX10" s="3">
        <f t="shared" ca="1" si="18"/>
        <v>2.9069767441860463</v>
      </c>
      <c r="BY10" s="165">
        <f ca="1">IF(BV10="","",INDEX(OFFSET(Arb!$X$2,,,Arb!$AJ$5,),BV10)/BW10)</f>
        <v>3.1976744186046511</v>
      </c>
      <c r="BZ10" s="165">
        <f ca="1">IF(BV10="","",(INDEX(OFFSET(Arb!$U$2,,,Arb!$AJ$5,),BV10)+INDEX(OFFSET(Arb!$V$2,,,Arb!$AJ$5,),BV10))/BW10)</f>
        <v>4.6511627906976747</v>
      </c>
      <c r="CA10" s="51">
        <f t="shared" ca="1" si="19"/>
        <v>57.903205472413866</v>
      </c>
      <c r="CB10" s="91">
        <f ca="1">IF(BV10="","",DATE(INDEX(OFFSET(Arb!$C$2,,,Arb!$AJ$5,),BV10),INDEX(OFFSET(Arb!$B$2,,,Arb!$AJ$5,),BV10),INDEX(OFFSET(Arb!$A$2,,,Arb!$AJ$5,),BV10))+ROW()*0.001)</f>
        <v>44114.01</v>
      </c>
    </row>
    <row r="11" spans="1:80" x14ac:dyDescent="0.25">
      <c r="A11" s="433">
        <v>11</v>
      </c>
      <c r="B11" s="1">
        <v>1465</v>
      </c>
      <c r="C11" s="52">
        <f ca="1">IF(B11="","",INDEX(OFFSET(Arb!$H$2,,,Arb!$AJ$5,),B11))</f>
        <v>3.13</v>
      </c>
      <c r="D11" s="3">
        <f t="shared" ca="1" si="0"/>
        <v>3.5143769968051117</v>
      </c>
      <c r="E11" s="165">
        <f ca="1">IF(B11="","",INDEX(OFFSET(Arb!$X$2,,,Arb!$AJ$5,),B11)/C11)</f>
        <v>3.8338658146964857</v>
      </c>
      <c r="F11" s="165">
        <f ca="1">IF(B11="","",(INDEX(OFFSET(Arb!$U$2,,,Arb!$AJ$5,),B11)+INDEX(OFFSET(Arb!$V$2,,,Arb!$AJ$5,),B11))/C11)</f>
        <v>4.4728434504792336</v>
      </c>
      <c r="G11" s="51">
        <f t="shared" ca="1" si="1"/>
        <v>74.785821785016196</v>
      </c>
      <c r="H11" s="355">
        <f ca="1">IF(B11="","",DATE(INDEX(OFFSET(Arb!$C$2,,,Arb!$AJ$5,),B11),INDEX(OFFSET(Arb!$B$2,,,Arb!$AJ$5,),B11),INDEX(OFFSET(Arb!$A$2,,,Arb!$AJ$5,),B11))+ROW()*0.001)</f>
        <v>43952.010999999999</v>
      </c>
      <c r="I11" s="436">
        <v>11</v>
      </c>
      <c r="J11" s="1">
        <v>936</v>
      </c>
      <c r="K11" s="52">
        <f ca="1">IF(J11="","",INDEX(OFFSET(Arb!$H$2,,,Arb!$AJ$5,),J11))</f>
        <v>3.14</v>
      </c>
      <c r="L11" s="3">
        <f t="shared" ca="1" si="2"/>
        <v>3.5031847133757958</v>
      </c>
      <c r="M11" s="165">
        <f ca="1">IF(J11="","",INDEX(OFFSET(Arb!$X$2,,,Arb!$AJ$5,),J11)/K11)</f>
        <v>3.8216560509554141</v>
      </c>
      <c r="N11" s="165">
        <f ca="1">IF(J11="","",(INDEX(OFFSET(Arb!$U$2,,,Arb!$AJ$5,),J11)+INDEX(OFFSET(Arb!$V$2,,,Arb!$AJ$5,),J11))/K11)</f>
        <v>4.1401273885350314</v>
      </c>
      <c r="O11" s="51">
        <f t="shared" ca="1" si="3"/>
        <v>74.381381849126385</v>
      </c>
      <c r="P11" s="91">
        <f ca="1">IF(J11="","",DATE(INDEX(OFFSET(Arb!$C$2,,,Arb!$AJ$5,),J11),INDEX(OFFSET(Arb!$B$2,,,Arb!$AJ$5,),J11),INDEX(OFFSET(Arb!$A$2,,,Arb!$AJ$5,),J11))+ROW()*0.001)</f>
        <v>43822.010999999999</v>
      </c>
      <c r="Q11" s="442">
        <v>11</v>
      </c>
      <c r="R11" s="1">
        <v>1307</v>
      </c>
      <c r="S11" s="52">
        <f ca="1">IF(R11="","",INDEX(OFFSET(Arb!$H$2,,,Arb!$AJ$5,),R11))</f>
        <v>3.26</v>
      </c>
      <c r="T11" s="3">
        <f t="shared" ca="1" si="4"/>
        <v>3.3742331288343559</v>
      </c>
      <c r="U11" s="165">
        <f ca="1">IF(R11="","",INDEX(OFFSET(Arb!$X$2,,,Arb!$AJ$5,),R11)/S11)</f>
        <v>5.8282208588957056</v>
      </c>
      <c r="V11" s="165">
        <f ca="1">IF(R11="","",(INDEX(OFFSET(Arb!$U$2,,,Arb!$AJ$5,),R11)+INDEX(OFFSET(Arb!$V$2,,,Arb!$AJ$5,),R11))/S11)</f>
        <v>6.1349693251533743</v>
      </c>
      <c r="W11" s="51">
        <f t="shared" ca="1" si="5"/>
        <v>69.787031283851448</v>
      </c>
      <c r="X11" s="88">
        <f ca="1">IF(R11="","",DATE(INDEX(OFFSET(Arb!$C$2,,,Arb!$AJ$5,),R11),INDEX(OFFSET(Arb!$B$2,,,Arb!$AJ$5,),R11),INDEX(OFFSET(Arb!$A$2,,,Arb!$AJ$5,),R11))+ROW()*0.001)</f>
        <v>43912.010999999999</v>
      </c>
      <c r="Y11" s="436">
        <v>11</v>
      </c>
      <c r="Z11" s="1">
        <v>1405</v>
      </c>
      <c r="AA11" s="52">
        <f ca="1">IF(Z11="","",INDEX(OFFSET(Arb!$H$2,,,Arb!$AJ$5,),Z11))</f>
        <v>3.3</v>
      </c>
      <c r="AB11" s="3">
        <f t="shared" ca="1" si="6"/>
        <v>3.3333333333333335</v>
      </c>
      <c r="AC11" s="165">
        <f ca="1">IF(Z11="","",INDEX(OFFSET(Arb!$X$2,,,Arb!$AJ$5,),Z11)/AA11)</f>
        <v>4.2424242424242422</v>
      </c>
      <c r="AD11" s="165">
        <f ca="1">IF(Z11="","",(INDEX(OFFSET(Arb!$U$2,,,Arb!$AJ$5,),Z11)+INDEX(OFFSET(Arb!$V$2,,,Arb!$AJ$5,),Z11))/AA11)</f>
        <v>5.1515151515151514</v>
      </c>
      <c r="AE11" s="51">
        <f t="shared" ca="1" si="7"/>
        <v>68.355103669775261</v>
      </c>
      <c r="AF11" s="91">
        <f ca="1">IF(Z11="","",DATE(INDEX(OFFSET(Arb!$C$2,,,Arb!$AJ$5,),Z11),INDEX(OFFSET(Arb!$B$2,,,Arb!$AJ$5,),Z11),INDEX(OFFSET(Arb!$A$2,,,Arb!$AJ$5,),Z11))+ROW()*0.001)</f>
        <v>43940.010999999999</v>
      </c>
      <c r="AG11" s="442">
        <v>11</v>
      </c>
      <c r="AH11" s="1">
        <v>1029</v>
      </c>
      <c r="AI11" s="52">
        <f ca="1">IF(AH11="","",INDEX(OFFSET(Arb!$H$2,,,Arb!$AJ$5,),AH11))</f>
        <v>3.37</v>
      </c>
      <c r="AJ11" s="3">
        <f t="shared" ca="1" si="8"/>
        <v>3.2640949554896141</v>
      </c>
      <c r="AK11" s="165">
        <f ca="1">IF(AH11="","",INDEX(OFFSET(Arb!$X$2,,,Arb!$AJ$5,),AH11)/AI11)</f>
        <v>3.857566765578635</v>
      </c>
      <c r="AL11" s="165">
        <f ca="1">IF(AH11="","",(INDEX(OFFSET(Arb!$U$2,,,Arb!$AJ$5,),AH11)+INDEX(OFFSET(Arb!$V$2,,,Arb!$AJ$5,),AH11))/AI11)</f>
        <v>5.0445103857566762</v>
      </c>
      <c r="AM11" s="51">
        <f t="shared" ca="1" si="9"/>
        <v>65.958962016296894</v>
      </c>
      <c r="AN11" s="88">
        <f ca="1">IF(AH11="","",DATE(INDEX(OFFSET(Arb!$C$2,,,Arb!$AJ$5,),AH11),INDEX(OFFSET(Arb!$B$2,,,Arb!$AJ$5,),AH11),INDEX(OFFSET(Arb!$A$2,,,Arb!$AJ$5,),AH11))+ROW()*0.001)</f>
        <v>43841.010999999999</v>
      </c>
      <c r="AO11" s="436">
        <v>11</v>
      </c>
      <c r="AP11" s="1">
        <v>991</v>
      </c>
      <c r="AQ11" s="52">
        <f ca="1">IF(AP11="","",INDEX(OFFSET(Arb!$H$2,,,Arb!$AJ$5,),AP11))</f>
        <v>3.44</v>
      </c>
      <c r="AR11" s="3">
        <f t="shared" ca="1" si="10"/>
        <v>3.1976744186046511</v>
      </c>
      <c r="AS11" s="165">
        <f ca="1">IF(AP11="","",INDEX(OFFSET(Arb!$X$2,,,Arb!$AJ$5,),AP11)/AQ11)</f>
        <v>4.0697674418604652</v>
      </c>
      <c r="AT11" s="165">
        <f ca="1">IF(AP11="","",(INDEX(OFFSET(Arb!$U$2,,,Arb!$AJ$5,),AP11)+INDEX(OFFSET(Arb!$V$2,,,Arb!$AJ$5,),AP11))/AQ11)</f>
        <v>4.6511627906976747</v>
      </c>
      <c r="AU11" s="51">
        <f t="shared" ca="1" si="11"/>
        <v>63.693526019655259</v>
      </c>
      <c r="AV11" s="91">
        <f ca="1">IF(AP11="","",DATE(INDEX(OFFSET(Arb!$C$2,,,Arb!$AJ$5,),AP11),INDEX(OFFSET(Arb!$B$2,,,Arb!$AJ$5,),AP11),INDEX(OFFSET(Arb!$A$2,,,Arb!$AJ$5,),AP11))+ROW()*0.001)</f>
        <v>43822.010999999999</v>
      </c>
      <c r="AW11" s="442">
        <v>11</v>
      </c>
      <c r="AX11" s="1">
        <v>819</v>
      </c>
      <c r="AY11" s="52">
        <f ca="1">IF(AX11="","",INDEX(OFFSET(Arb!$H$2,,,Arb!$AJ$5,),AX11))</f>
        <v>3.5</v>
      </c>
      <c r="AZ11" s="3">
        <f t="shared" ca="1" si="12"/>
        <v>3.1428571428571428</v>
      </c>
      <c r="BA11" s="165">
        <f ca="1">IF(AX11="","",INDEX(OFFSET(Arb!$X$2,,,Arb!$AJ$5,),AX11)/AY11)</f>
        <v>3.1428571428571428</v>
      </c>
      <c r="BB11" s="165">
        <f ca="1">IF(AX11="","",(INDEX(OFFSET(Arb!$U$2,,,Arb!$AJ$5,),AX11)+INDEX(OFFSET(Arb!$V$2,,,Arb!$AJ$5,),AX11))/AY11)</f>
        <v>3.7142857142857144</v>
      </c>
      <c r="BC11" s="51">
        <f t="shared" ca="1" si="13"/>
        <v>61.848471157596379</v>
      </c>
      <c r="BD11" s="88">
        <f ca="1">IF(AX11="","",DATE(INDEX(OFFSET(Arb!$C$2,,,Arb!$AJ$5,),AX11),INDEX(OFFSET(Arb!$B$2,,,Arb!$AJ$5,),AX11),INDEX(OFFSET(Arb!$A$2,,,Arb!$AJ$5,),AX11))+ROW()*0.001)</f>
        <v>43811.010999999999</v>
      </c>
      <c r="BE11" s="436">
        <v>11</v>
      </c>
      <c r="BF11" s="1">
        <v>110</v>
      </c>
      <c r="BG11" s="52">
        <f ca="1">IF(BF11="","",INDEX(OFFSET(Arb!$H$2,,,Arb!$AJ$5,),BF11))</f>
        <v>3.5</v>
      </c>
      <c r="BH11" s="3">
        <f t="shared" ca="1" si="14"/>
        <v>3.1428571428571428</v>
      </c>
      <c r="BI11" s="165">
        <f ca="1">IF(BF11="","",INDEX(OFFSET(Arb!$X$2,,,Arb!$AJ$5,),BF11)/BG11)</f>
        <v>3.4285714285714284</v>
      </c>
      <c r="BJ11" s="165">
        <f ca="1">IF(BF11="","",(INDEX(OFFSET(Arb!$U$2,,,Arb!$AJ$5,),BF11)+INDEX(OFFSET(Arb!$V$2,,,Arb!$AJ$5,),BF11))/BG11)</f>
        <v>3.7142857142857144</v>
      </c>
      <c r="BK11" s="51">
        <f t="shared" ca="1" si="15"/>
        <v>61.848471157596379</v>
      </c>
      <c r="BL11" s="91">
        <f ca="1">IF(BF11="","",DATE(INDEX(OFFSET(Arb!$C$2,,,Arb!$AJ$5,),BF11),INDEX(OFFSET(Arb!$B$2,,,Arb!$AJ$5,),BF11),INDEX(OFFSET(Arb!$A$2,,,Arb!$AJ$5,),BF11))+ROW()*0.001)</f>
        <v>43770.010999999999</v>
      </c>
      <c r="BM11" s="442">
        <v>11</v>
      </c>
      <c r="BN11" s="1">
        <v>618</v>
      </c>
      <c r="BO11" s="52">
        <f ca="1">IF(BN11="","",INDEX(OFFSET(Arb!$H$2,,,Arb!$AJ$5,),BN11))</f>
        <v>3.52</v>
      </c>
      <c r="BP11" s="3">
        <f t="shared" ca="1" si="16"/>
        <v>3.125</v>
      </c>
      <c r="BQ11" s="165">
        <f ca="1">IF(BN11="","",INDEX(OFFSET(Arb!$X$2,,,Arb!$AJ$5,),BN11)/BO11)</f>
        <v>3.9772727272727271</v>
      </c>
      <c r="BR11" s="165">
        <f ca="1">IF(BN11="","",(INDEX(OFFSET(Arb!$U$2,,,Arb!$AJ$5,),BN11)+INDEX(OFFSET(Arb!$V$2,,,Arb!$AJ$5,),BN11))/BO11)</f>
        <v>4.2613636363636367</v>
      </c>
      <c r="BS11" s="51">
        <f t="shared" ca="1" si="17"/>
        <v>61.252259839727614</v>
      </c>
      <c r="BT11" s="88">
        <f ca="1">IF(BN11="","",DATE(INDEX(OFFSET(Arb!$C$2,,,Arb!$AJ$5,),BN11),INDEX(OFFSET(Arb!$B$2,,,Arb!$AJ$5,),BN11),INDEX(OFFSET(Arb!$A$2,,,Arb!$AJ$5,),BN11))+ROW()*0.001)</f>
        <v>43799.010999999999</v>
      </c>
      <c r="BU11" s="436">
        <v>11</v>
      </c>
      <c r="BV11" s="1">
        <v>413</v>
      </c>
      <c r="BW11" s="52">
        <f ca="1">IF(BV11="","",INDEX(OFFSET(Arb!$H$2,,,Arb!$AJ$5,),BV11))</f>
        <v>3.52</v>
      </c>
      <c r="BX11" s="3">
        <f t="shared" ca="1" si="18"/>
        <v>3.125</v>
      </c>
      <c r="BY11" s="165">
        <f ca="1">IF(BV11="","",INDEX(OFFSET(Arb!$X$2,,,Arb!$AJ$5,),BV11)/BW11)</f>
        <v>4.2613636363636367</v>
      </c>
      <c r="BZ11" s="165">
        <f ca="1">IF(BV11="","",(INDEX(OFFSET(Arb!$U$2,,,Arb!$AJ$5,),BV11)+INDEX(OFFSET(Arb!$V$2,,,Arb!$AJ$5,),BV11))/BW11)</f>
        <v>5.1136363636363633</v>
      </c>
      <c r="CA11" s="51">
        <f t="shared" ca="1" si="19"/>
        <v>61.252259839727614</v>
      </c>
      <c r="CB11" s="91">
        <f ca="1">IF(BV11="","",DATE(INDEX(OFFSET(Arb!$C$2,,,Arb!$AJ$5,),BV11),INDEX(OFFSET(Arb!$B$2,,,Arb!$AJ$5,),BV11),INDEX(OFFSET(Arb!$A$2,,,Arb!$AJ$5,),BV11))+ROW()*0.001)</f>
        <v>43781.010999999999</v>
      </c>
    </row>
    <row r="12" spans="1:80" x14ac:dyDescent="0.25">
      <c r="A12" s="433">
        <v>12</v>
      </c>
      <c r="B12" s="1">
        <v>1215</v>
      </c>
      <c r="C12" s="52">
        <f ca="1">IF(B12="","",INDEX(OFFSET(Arb!$H$2,,,Arb!$AJ$5,),B12))</f>
        <v>3.13</v>
      </c>
      <c r="D12" s="3">
        <f t="shared" ca="1" si="0"/>
        <v>3.8338658146964857</v>
      </c>
      <c r="E12" s="165">
        <f ca="1">IF(B12="","",INDEX(OFFSET(Arb!$X$2,,,Arb!$AJ$5,),B12)/C12)</f>
        <v>4.1533546325878596</v>
      </c>
      <c r="F12" s="165">
        <f ca="1">IF(B12="","",(INDEX(OFFSET(Arb!$U$2,,,Arb!$AJ$5,),B12)+INDEX(OFFSET(Arb!$V$2,,,Arb!$AJ$5,),B12))/C12)</f>
        <v>4.1533546325878596</v>
      </c>
      <c r="G12" s="51">
        <f t="shared" ca="1" si="1"/>
        <v>81.584532856381315</v>
      </c>
      <c r="H12" s="355">
        <f ca="1">IF(B12="","",DATE(INDEX(OFFSET(Arb!$C$2,,,Arb!$AJ$5,),B12),INDEX(OFFSET(Arb!$B$2,,,Arb!$AJ$5,),B12),INDEX(OFFSET(Arb!$A$2,,,Arb!$AJ$5,),B12))+ROW()*0.001)</f>
        <v>43896.012000000002</v>
      </c>
      <c r="I12" s="436">
        <v>12</v>
      </c>
      <c r="J12" s="1">
        <v>1661</v>
      </c>
      <c r="K12" s="52">
        <f ca="1">IF(J12="","",INDEX(OFFSET(Arb!$H$2,,,Arb!$AJ$5,),J12))</f>
        <v>3.19</v>
      </c>
      <c r="L12" s="3">
        <f t="shared" ca="1" si="2"/>
        <v>3.761755485893417</v>
      </c>
      <c r="M12" s="165">
        <f ca="1">IF(J12="","",INDEX(OFFSET(Arb!$X$2,,,Arb!$AJ$5,),J12)/K12)</f>
        <v>4.0752351097178687</v>
      </c>
      <c r="N12" s="165">
        <f ca="1">IF(J12="","",(INDEX(OFFSET(Arb!$U$2,,,Arb!$AJ$5,),J12)+INDEX(OFFSET(Arb!$V$2,,,Arb!$AJ$5,),J12))/K12)</f>
        <v>4.3887147335423196</v>
      </c>
      <c r="O12" s="51">
        <f t="shared" ca="1" si="3"/>
        <v>78.993079302113401</v>
      </c>
      <c r="P12" s="91">
        <f ca="1">IF(J12="","",DATE(INDEX(OFFSET(Arb!$C$2,,,Arb!$AJ$5,),J12),INDEX(OFFSET(Arb!$B$2,,,Arb!$AJ$5,),J12),INDEX(OFFSET(Arb!$A$2,,,Arb!$AJ$5,),J12))+ROW()*0.001)</f>
        <v>44096.012000000002</v>
      </c>
      <c r="Q12" s="442">
        <v>12</v>
      </c>
      <c r="R12" s="1">
        <v>1540</v>
      </c>
      <c r="S12" s="52">
        <f ca="1">IF(R12="","",INDEX(OFFSET(Arb!$H$2,,,Arb!$AJ$5,),R12))</f>
        <v>3.26</v>
      </c>
      <c r="T12" s="3">
        <f t="shared" ca="1" si="4"/>
        <v>3.6809815950920246</v>
      </c>
      <c r="U12" s="165">
        <f ca="1">IF(R12="","",INDEX(OFFSET(Arb!$X$2,,,Arb!$AJ$5,),R12)/S12)</f>
        <v>3.6809815950920246</v>
      </c>
      <c r="V12" s="165">
        <f ca="1">IF(R12="","",(INDEX(OFFSET(Arb!$U$2,,,Arb!$AJ$5,),R12)+INDEX(OFFSET(Arb!$V$2,,,Arb!$AJ$5,),R12))/S12)</f>
        <v>4.294478527607362</v>
      </c>
      <c r="W12" s="51">
        <f t="shared" ca="1" si="5"/>
        <v>76.131306855110651</v>
      </c>
      <c r="X12" s="88">
        <f ca="1">IF(R12="","",DATE(INDEX(OFFSET(Arb!$C$2,,,Arb!$AJ$5,),R12),INDEX(OFFSET(Arb!$B$2,,,Arb!$AJ$5,),R12),INDEX(OFFSET(Arb!$A$2,,,Arb!$AJ$5,),R12))+ROW()*0.001)</f>
        <v>43984.012000000002</v>
      </c>
      <c r="Y12" s="436">
        <v>12</v>
      </c>
      <c r="Z12" s="1">
        <v>1400</v>
      </c>
      <c r="AA12" s="52">
        <f ca="1">IF(Z12="","",INDEX(OFFSET(Arb!$H$2,,,Arb!$AJ$5,),Z12))</f>
        <v>3.35</v>
      </c>
      <c r="AB12" s="3">
        <f t="shared" ca="1" si="6"/>
        <v>3.5820895522388061</v>
      </c>
      <c r="AC12" s="165">
        <f ca="1">IF(Z12="","",INDEX(OFFSET(Arb!$X$2,,,Arb!$AJ$5,),Z12)/AA12)</f>
        <v>4.1791044776119399</v>
      </c>
      <c r="AD12" s="165">
        <f ca="1">IF(Z12="","",(INDEX(OFFSET(Arb!$U$2,,,Arb!$AJ$5,),Z12)+INDEX(OFFSET(Arb!$V$2,,,Arb!$AJ$5,),Z12))/AA12)</f>
        <v>5.0746268656716413</v>
      </c>
      <c r="AE12" s="51">
        <f t="shared" ca="1" si="7"/>
        <v>72.687048263972642</v>
      </c>
      <c r="AF12" s="91">
        <f ca="1">IF(Z12="","",DATE(INDEX(OFFSET(Arb!$C$2,,,Arb!$AJ$5,),Z12),INDEX(OFFSET(Arb!$B$2,,,Arb!$AJ$5,),Z12),INDEX(OFFSET(Arb!$A$2,,,Arb!$AJ$5,),Z12))+ROW()*0.001)</f>
        <v>43940.012000000002</v>
      </c>
      <c r="AG12" s="442">
        <v>12</v>
      </c>
      <c r="AH12" s="1">
        <v>1619</v>
      </c>
      <c r="AI12" s="52">
        <f ca="1">IF(AH12="","",INDEX(OFFSET(Arb!$H$2,,,Arb!$AJ$5,),AH12))</f>
        <v>3.4</v>
      </c>
      <c r="AJ12" s="3">
        <f t="shared" ca="1" si="8"/>
        <v>3.5294117647058822</v>
      </c>
      <c r="AK12" s="165">
        <f ca="1">IF(AH12="","",INDEX(OFFSET(Arb!$X$2,,,Arb!$AJ$5,),AH12)/AI12)</f>
        <v>4.1176470588235299</v>
      </c>
      <c r="AL12" s="165">
        <f ca="1">IF(AH12="","",(INDEX(OFFSET(Arb!$U$2,,,Arb!$AJ$5,),AH12)+INDEX(OFFSET(Arb!$V$2,,,Arb!$AJ$5,),AH12))/AI12)</f>
        <v>5</v>
      </c>
      <c r="AM12" s="51">
        <f t="shared" ca="1" si="9"/>
        <v>70.879238990966229</v>
      </c>
      <c r="AN12" s="88">
        <f ca="1">IF(AH12="","",DATE(INDEX(OFFSET(Arb!$C$2,,,Arb!$AJ$5,),AH12),INDEX(OFFSET(Arb!$B$2,,,Arb!$AJ$5,),AH12),INDEX(OFFSET(Arb!$A$2,,,Arb!$AJ$5,),AH12))+ROW()*0.001)</f>
        <v>44093.012000000002</v>
      </c>
      <c r="AO12" s="436">
        <v>12</v>
      </c>
      <c r="AP12" s="1">
        <v>887</v>
      </c>
      <c r="AQ12" s="52">
        <f ca="1">IF(AP12="","",INDEX(OFFSET(Arb!$H$2,,,Arb!$AJ$5,),AP12))</f>
        <v>3.45</v>
      </c>
      <c r="AR12" s="3">
        <f t="shared" ca="1" si="10"/>
        <v>3.4782608695652173</v>
      </c>
      <c r="AS12" s="165">
        <f ca="1">IF(AP12="","",INDEX(OFFSET(Arb!$X$2,,,Arb!$AJ$5,),AP12)/AQ12)</f>
        <v>3.4782608695652173</v>
      </c>
      <c r="AT12" s="165">
        <f ca="1">IF(AP12="","",(INDEX(OFFSET(Arb!$U$2,,,Arb!$AJ$5,),AP12)+INDEX(OFFSET(Arb!$V$2,,,Arb!$AJ$5,),AP12))/AQ12)</f>
        <v>4.057971014492753</v>
      </c>
      <c r="AU12" s="51">
        <f t="shared" ca="1" si="11"/>
        <v>69.141809842443564</v>
      </c>
      <c r="AV12" s="91">
        <f ca="1">IF(AP12="","",DATE(INDEX(OFFSET(Arb!$C$2,,,Arb!$AJ$5,),AP12),INDEX(OFFSET(Arb!$B$2,,,Arb!$AJ$5,),AP12),INDEX(OFFSET(Arb!$A$2,,,Arb!$AJ$5,),AP12))+ROW()*0.001)</f>
        <v>43818.012000000002</v>
      </c>
      <c r="AW12" s="442">
        <v>12</v>
      </c>
      <c r="AX12" s="1">
        <v>1560</v>
      </c>
      <c r="AY12" s="52">
        <f ca="1">IF(AX12="","",INDEX(OFFSET(Arb!$H$2,,,Arb!$AJ$5,),AX12))</f>
        <v>3.5</v>
      </c>
      <c r="AZ12" s="3">
        <f t="shared" ca="1" si="12"/>
        <v>3.4285714285714284</v>
      </c>
      <c r="BA12" s="165">
        <f ca="1">IF(AX12="","",INDEX(OFFSET(Arb!$X$2,,,Arb!$AJ$5,),AX12)/AY12)</f>
        <v>3.4285714285714284</v>
      </c>
      <c r="BB12" s="165">
        <f ca="1">IF(AX12="","",(INDEX(OFFSET(Arb!$U$2,,,Arb!$AJ$5,),AX12)+INDEX(OFFSET(Arb!$V$2,,,Arb!$AJ$5,),AX12))/AY12)</f>
        <v>3.7142857142857144</v>
      </c>
      <c r="BC12" s="51">
        <f t="shared" ca="1" si="13"/>
        <v>67.471059444650592</v>
      </c>
      <c r="BD12" s="88">
        <f ca="1">IF(AX12="","",DATE(INDEX(OFFSET(Arb!$C$2,,,Arb!$AJ$5,),AX12),INDEX(OFFSET(Arb!$B$2,,,Arb!$AJ$5,),AX12),INDEX(OFFSET(Arb!$A$2,,,Arb!$AJ$5,),AX12))+ROW()*0.001)</f>
        <v>43989.012000000002</v>
      </c>
      <c r="BE12" s="436">
        <v>12</v>
      </c>
      <c r="BF12" s="1">
        <v>9</v>
      </c>
      <c r="BG12" s="52">
        <f ca="1">IF(BF12="","",INDEX(OFFSET(Arb!$H$2,,,Arb!$AJ$5,),BF12))</f>
        <v>3.57</v>
      </c>
      <c r="BH12" s="3">
        <f t="shared" ca="1" si="14"/>
        <v>3.3613445378151261</v>
      </c>
      <c r="BI12" s="165">
        <f ca="1">IF(BF12="","",INDEX(OFFSET(Arb!$X$2,,,Arb!$AJ$5,),BF12)/BG12)</f>
        <v>3.3613445378151261</v>
      </c>
      <c r="BJ12" s="165">
        <f ca="1">IF(BF12="","",(INDEX(OFFSET(Arb!$U$2,,,Arb!$AJ$5,),BF12)+INDEX(OFFSET(Arb!$V$2,,,Arb!$AJ$5,),BF12))/BG12)</f>
        <v>3.9215686274509807</v>
      </c>
      <c r="BK12" s="51">
        <f t="shared" ca="1" si="15"/>
        <v>65.237489144362726</v>
      </c>
      <c r="BL12" s="91">
        <f ca="1">IF(BF12="","",DATE(INDEX(OFFSET(Arb!$C$2,,,Arb!$AJ$5,),BF12),INDEX(OFFSET(Arb!$B$2,,,Arb!$AJ$5,),BF12),INDEX(OFFSET(Arb!$A$2,,,Arb!$AJ$5,),BF12))+ROW()*0.001)</f>
        <v>43765.012000000002</v>
      </c>
      <c r="BM12" s="442">
        <v>12</v>
      </c>
      <c r="BN12" s="1">
        <v>1057</v>
      </c>
      <c r="BO12" s="52">
        <f ca="1">IF(BN12="","",INDEX(OFFSET(Arb!$H$2,,,Arb!$AJ$5,),BN12))</f>
        <v>3.68</v>
      </c>
      <c r="BP12" s="3">
        <f t="shared" ca="1" si="16"/>
        <v>3.2608695652173911</v>
      </c>
      <c r="BQ12" s="165">
        <f ca="1">IF(BN12="","",INDEX(OFFSET(Arb!$X$2,,,Arb!$AJ$5,),BN12)/BO12)</f>
        <v>3.8043478260869565</v>
      </c>
      <c r="BR12" s="165">
        <f ca="1">IF(BN12="","",(INDEX(OFFSET(Arb!$U$2,,,Arb!$AJ$5,),BN12)+INDEX(OFFSET(Arb!$V$2,,,Arb!$AJ$5,),BN12))/BO12)</f>
        <v>4.6195652173913038</v>
      </c>
      <c r="BS12" s="51">
        <f t="shared" ca="1" si="17"/>
        <v>61.957218625813169</v>
      </c>
      <c r="BT12" s="88">
        <f ca="1">IF(BN12="","",DATE(INDEX(OFFSET(Arb!$C$2,,,Arb!$AJ$5,),BN12),INDEX(OFFSET(Arb!$B$2,,,Arb!$AJ$5,),BN12),INDEX(OFFSET(Arb!$A$2,,,Arb!$AJ$5,),BN12))+ROW()*0.001)</f>
        <v>43841.012000000002</v>
      </c>
      <c r="BU12" s="436">
        <v>12</v>
      </c>
      <c r="BV12" s="1">
        <v>570</v>
      </c>
      <c r="BW12" s="52">
        <f ca="1">IF(BV12="","",INDEX(OFFSET(Arb!$H$2,,,Arb!$AJ$5,),BV12))</f>
        <v>3.78</v>
      </c>
      <c r="BX12" s="3">
        <f t="shared" ca="1" si="18"/>
        <v>3.1746031746031749</v>
      </c>
      <c r="BY12" s="165">
        <f ca="1">IF(BV12="","",INDEX(OFFSET(Arb!$X$2,,,Arb!$AJ$5,),BV12)/BW12)</f>
        <v>3.7037037037037037</v>
      </c>
      <c r="BZ12" s="165">
        <f ca="1">IF(BV12="","",(INDEX(OFFSET(Arb!$U$2,,,Arb!$AJ$5,),BV12)+INDEX(OFFSET(Arb!$V$2,,,Arb!$AJ$5,),BV12))/BW12)</f>
        <v>5.026455026455027</v>
      </c>
      <c r="CA12" s="51">
        <f t="shared" ca="1" si="19"/>
        <v>59.196652047543338</v>
      </c>
      <c r="CB12" s="91">
        <f ca="1">IF(BV12="","",DATE(INDEX(OFFSET(Arb!$C$2,,,Arb!$AJ$5,),BV12),INDEX(OFFSET(Arb!$B$2,,,Arb!$AJ$5,),BV12),INDEX(OFFSET(Arb!$A$2,,,Arb!$AJ$5,),BV12))+ROW()*0.001)</f>
        <v>43797.012000000002</v>
      </c>
    </row>
    <row r="13" spans="1:80" x14ac:dyDescent="0.25">
      <c r="A13" s="433">
        <v>13</v>
      </c>
      <c r="B13" s="1">
        <v>1631</v>
      </c>
      <c r="C13" s="52">
        <f ca="1">IF(B13="","",INDEX(OFFSET(Arb!$H$2,,,Arb!$AJ$5,),B13))</f>
        <v>3.6</v>
      </c>
      <c r="D13" s="3">
        <f t="shared" ca="1" si="0"/>
        <v>3.6111111111111112</v>
      </c>
      <c r="E13" s="165">
        <f ca="1">IF(B13="","",INDEX(OFFSET(Arb!$X$2,,,Arb!$AJ$5,),B13)/C13)</f>
        <v>3.8888888888888888</v>
      </c>
      <c r="F13" s="165">
        <f ca="1">IF(B13="","",(INDEX(OFFSET(Arb!$U$2,,,Arb!$AJ$5,),B13)+INDEX(OFFSET(Arb!$V$2,,,Arb!$AJ$5,),B13))/C13)</f>
        <v>5.5555555555555554</v>
      </c>
      <c r="G13" s="51">
        <f t="shared" ca="1" si="1"/>
        <v>69.675654978273329</v>
      </c>
      <c r="H13" s="355">
        <f ca="1">IF(B13="","",DATE(INDEX(OFFSET(Arb!$C$2,,,Arb!$AJ$5,),B13),INDEX(OFFSET(Arb!$B$2,,,Arb!$AJ$5,),B13),INDEX(OFFSET(Arb!$A$2,,,Arb!$AJ$5,),B13))+ROW()*0.001)</f>
        <v>44093.012999999999</v>
      </c>
      <c r="I13" s="436">
        <v>13</v>
      </c>
      <c r="J13" s="1">
        <v>16</v>
      </c>
      <c r="K13" s="52">
        <f ca="1">IF(J13="","",INDEX(OFFSET(Arb!$H$2,,,Arb!$AJ$5,),J13))</f>
        <v>3.81</v>
      </c>
      <c r="L13" s="3">
        <f t="shared" ca="1" si="2"/>
        <v>3.4120734908136483</v>
      </c>
      <c r="M13" s="165">
        <f ca="1">IF(J13="","",INDEX(OFFSET(Arb!$X$2,,,Arb!$AJ$5,),J13)/K13)</f>
        <v>3.4120734908136483</v>
      </c>
      <c r="N13" s="165">
        <f ca="1">IF(J13="","",(INDEX(OFFSET(Arb!$U$2,,,Arb!$AJ$5,),J13)+INDEX(OFFSET(Arb!$V$2,,,Arb!$AJ$5,),J13))/K13)</f>
        <v>3.9370078740157481</v>
      </c>
      <c r="O13" s="51">
        <f t="shared" ca="1" si="3"/>
        <v>63.273644861433475</v>
      </c>
      <c r="P13" s="91">
        <f ca="1">IF(J13="","",DATE(INDEX(OFFSET(Arb!$C$2,,,Arb!$AJ$5,),J13),INDEX(OFFSET(Arb!$B$2,,,Arb!$AJ$5,),J13),INDEX(OFFSET(Arb!$A$2,,,Arb!$AJ$5,),J13))+ROW()*0.001)</f>
        <v>43765.012999999999</v>
      </c>
      <c r="Q13" s="442">
        <v>13</v>
      </c>
      <c r="R13" s="1">
        <v>1707</v>
      </c>
      <c r="S13" s="52">
        <f ca="1">IF(R13="","",INDEX(OFFSET(Arb!$H$2,,,Arb!$AJ$5,),R13))</f>
        <v>3.83</v>
      </c>
      <c r="T13" s="3">
        <f t="shared" ca="1" si="4"/>
        <v>3.3942558746736293</v>
      </c>
      <c r="U13" s="165">
        <f ca="1">IF(R13="","",INDEX(OFFSET(Arb!$X$2,,,Arb!$AJ$5,),R13)/S13)</f>
        <v>4.1775456919060048</v>
      </c>
      <c r="V13" s="165">
        <f ca="1">IF(R13="","",(INDEX(OFFSET(Arb!$U$2,,,Arb!$AJ$5,),R13)+INDEX(OFFSET(Arb!$V$2,,,Arb!$AJ$5,),R13))/S13)</f>
        <v>4.9608355091383807</v>
      </c>
      <c r="W13" s="51">
        <f t="shared" ca="1" si="5"/>
        <v>62.712973847981438</v>
      </c>
      <c r="X13" s="88">
        <f ca="1">IF(R13="","",DATE(INDEX(OFFSET(Arb!$C$2,,,Arb!$AJ$5,),R13),INDEX(OFFSET(Arb!$B$2,,,Arb!$AJ$5,),R13),INDEX(OFFSET(Arb!$A$2,,,Arb!$AJ$5,),R13))+ROW()*0.001)</f>
        <v>44107.012999999999</v>
      </c>
      <c r="Y13" s="436">
        <v>13</v>
      </c>
      <c r="Z13" s="1">
        <v>269</v>
      </c>
      <c r="AA13" s="52">
        <f ca="1">IF(Z13="","",INDEX(OFFSET(Arb!$H$2,,,Arb!$AJ$5,),Z13))</f>
        <v>3.84</v>
      </c>
      <c r="AB13" s="3">
        <f t="shared" ca="1" si="6"/>
        <v>3.385416666666667</v>
      </c>
      <c r="AC13" s="165">
        <f ca="1">IF(Z13="","",INDEX(OFFSET(Arb!$X$2,,,Arb!$AJ$5,),Z13)/AA13)</f>
        <v>4.166666666666667</v>
      </c>
      <c r="AD13" s="165">
        <f ca="1">IF(Z13="","",(INDEX(OFFSET(Arb!$U$2,,,Arb!$AJ$5,),Z13)+INDEX(OFFSET(Arb!$V$2,,,Arb!$AJ$5,),Z13))/AA13)</f>
        <v>4.4270833333333339</v>
      </c>
      <c r="AE13" s="51">
        <f t="shared" ca="1" si="7"/>
        <v>62.435591405876387</v>
      </c>
      <c r="AF13" s="91">
        <f ca="1">IF(Z13="","",DATE(INDEX(OFFSET(Arb!$C$2,,,Arb!$AJ$5,),Z13),INDEX(OFFSET(Arb!$B$2,,,Arb!$AJ$5,),Z13),INDEX(OFFSET(Arb!$A$2,,,Arb!$AJ$5,),Z13))+ROW()*0.001)</f>
        <v>43777.012999999999</v>
      </c>
      <c r="AG13" s="442">
        <v>13</v>
      </c>
      <c r="AH13" s="1">
        <v>1624</v>
      </c>
      <c r="AI13" s="52">
        <f ca="1">IF(AH13="","",INDEX(OFFSET(Arb!$H$2,,,Arb!$AJ$5,),AH13))</f>
        <v>4.0599999999999996</v>
      </c>
      <c r="AJ13" s="3">
        <f t="shared" ca="1" si="8"/>
        <v>3.201970443349754</v>
      </c>
      <c r="AK13" s="165">
        <f ca="1">IF(AH13="","",INDEX(OFFSET(Arb!$X$2,,,Arb!$AJ$5,),AH13)/AI13)</f>
        <v>3.9408866995073897</v>
      </c>
      <c r="AL13" s="165">
        <f ca="1">IF(AH13="","",(INDEX(OFFSET(Arb!$U$2,,,Arb!$AJ$5,),AH13)+INDEX(OFFSET(Arb!$V$2,,,Arb!$AJ$5,),AH13))/AI13)</f>
        <v>4.4334975369458132</v>
      </c>
      <c r="AM13" s="51">
        <f t="shared" ca="1" si="9"/>
        <v>56.793816532904899</v>
      </c>
      <c r="AN13" s="88">
        <f ca="1">IF(AH13="","",DATE(INDEX(OFFSET(Arb!$C$2,,,Arb!$AJ$5,),AH13),INDEX(OFFSET(Arb!$B$2,,,Arb!$AJ$5,),AH13),INDEX(OFFSET(Arb!$A$2,,,Arb!$AJ$5,),AH13))+ROW()*0.001)</f>
        <v>44093.012999999999</v>
      </c>
      <c r="AO13" s="436">
        <v>13</v>
      </c>
      <c r="AP13" s="1">
        <v>554</v>
      </c>
      <c r="AQ13" s="52">
        <f ca="1">IF(AP13="","",INDEX(OFFSET(Arb!$H$2,,,Arb!$AJ$5,),AP13))</f>
        <v>4.0599999999999996</v>
      </c>
      <c r="AR13" s="3">
        <f t="shared" ca="1" si="10"/>
        <v>3.201970443349754</v>
      </c>
      <c r="AS13" s="165">
        <f ca="1">IF(AP13="","",INDEX(OFFSET(Arb!$X$2,,,Arb!$AJ$5,),AP13)/AQ13)</f>
        <v>4.1871921182266014</v>
      </c>
      <c r="AT13" s="165">
        <f ca="1">IF(AP13="","",(INDEX(OFFSET(Arb!$U$2,,,Arb!$AJ$5,),AP13)+INDEX(OFFSET(Arb!$V$2,,,Arb!$AJ$5,),AP13))/AQ13)</f>
        <v>4.6798029556650249</v>
      </c>
      <c r="AU13" s="51">
        <f t="shared" ca="1" si="11"/>
        <v>56.793816532904899</v>
      </c>
      <c r="AV13" s="91">
        <f ca="1">IF(AP13="","",DATE(INDEX(OFFSET(Arb!$C$2,,,Arb!$AJ$5,),AP13),INDEX(OFFSET(Arb!$B$2,,,Arb!$AJ$5,),AP13),INDEX(OFFSET(Arb!$A$2,,,Arb!$AJ$5,),AP13))+ROW()*0.001)</f>
        <v>43797.012999999999</v>
      </c>
      <c r="AW13" s="442">
        <v>13</v>
      </c>
      <c r="AX13" s="1">
        <v>1574</v>
      </c>
      <c r="AY13" s="52">
        <f ca="1">IF(AX13="","",INDEX(OFFSET(Arb!$H$2,,,Arb!$AJ$5,),AX13))</f>
        <v>4.09</v>
      </c>
      <c r="AZ13" s="3">
        <f t="shared" ca="1" si="12"/>
        <v>3.1784841075794623</v>
      </c>
      <c r="BA13" s="165">
        <f ca="1">IF(AX13="","",INDEX(OFFSET(Arb!$X$2,,,Arb!$AJ$5,),AX13)/AY13)</f>
        <v>3.6674816625916873</v>
      </c>
      <c r="BB13" s="165">
        <f ca="1">IF(AX13="","",(INDEX(OFFSET(Arb!$U$2,,,Arb!$AJ$5,),AX13)+INDEX(OFFSET(Arb!$V$2,,,Arb!$AJ$5,),AX13))/AY13)</f>
        <v>4.1564792176039118</v>
      </c>
      <c r="BC13" s="51">
        <f t="shared" ca="1" si="13"/>
        <v>56.087448999198301</v>
      </c>
      <c r="BD13" s="88">
        <f ca="1">IF(AX13="","",DATE(INDEX(OFFSET(Arb!$C$2,,,Arb!$AJ$5,),AX13),INDEX(OFFSET(Arb!$B$2,,,Arb!$AJ$5,),AX13),INDEX(OFFSET(Arb!$A$2,,,Arb!$AJ$5,),AX13))+ROW()*0.001)</f>
        <v>44006.012999999999</v>
      </c>
      <c r="BE13" s="436">
        <v>13</v>
      </c>
      <c r="BF13" s="1">
        <v>1291</v>
      </c>
      <c r="BG13" s="52">
        <f ca="1">IF(BF13="","",INDEX(OFFSET(Arb!$H$2,,,Arb!$AJ$5,),BF13))</f>
        <v>4.09</v>
      </c>
      <c r="BH13" s="3">
        <f t="shared" ca="1" si="14"/>
        <v>3.1784841075794623</v>
      </c>
      <c r="BI13" s="165">
        <f ca="1">IF(BF13="","",INDEX(OFFSET(Arb!$X$2,,,Arb!$AJ$5,),BF13)/BG13)</f>
        <v>3.9119804400977998</v>
      </c>
      <c r="BJ13" s="165">
        <f ca="1">IF(BF13="","",(INDEX(OFFSET(Arb!$U$2,,,Arb!$AJ$5,),BF13)+INDEX(OFFSET(Arb!$V$2,,,Arb!$AJ$5,),BF13))/BG13)</f>
        <v>4.6454767726161368</v>
      </c>
      <c r="BK13" s="51">
        <f t="shared" ca="1" si="15"/>
        <v>56.087448999198301</v>
      </c>
      <c r="BL13" s="91">
        <f ca="1">IF(BF13="","",DATE(INDEX(OFFSET(Arb!$C$2,,,Arb!$AJ$5,),BF13),INDEX(OFFSET(Arb!$B$2,,,Arb!$AJ$5,),BF13),INDEX(OFFSET(Arb!$A$2,,,Arb!$AJ$5,),BF13))+ROW()*0.001)</f>
        <v>43906.012999999999</v>
      </c>
      <c r="BM13" s="442">
        <v>13</v>
      </c>
      <c r="BN13" s="1">
        <v>409</v>
      </c>
      <c r="BO13" s="52">
        <f ca="1">IF(BN13="","",INDEX(OFFSET(Arb!$H$2,,,Arb!$AJ$5,),BN13))</f>
        <v>4.1100000000000003</v>
      </c>
      <c r="BP13" s="3">
        <f t="shared" ca="1" si="16"/>
        <v>3.16301703163017</v>
      </c>
      <c r="BQ13" s="165">
        <f ca="1">IF(BN13="","",INDEX(OFFSET(Arb!$X$2,,,Arb!$AJ$5,),BN13)/BO13)</f>
        <v>3.16301703163017</v>
      </c>
      <c r="BR13" s="165">
        <f ca="1">IF(BN13="","",(INDEX(OFFSET(Arb!$U$2,,,Arb!$AJ$5,),BN13)+INDEX(OFFSET(Arb!$V$2,,,Arb!$AJ$5,),BN13))/BO13)</f>
        <v>3.4063260340632602</v>
      </c>
      <c r="BS13" s="51">
        <f t="shared" ca="1" si="17"/>
        <v>55.624255861328095</v>
      </c>
      <c r="BT13" s="88">
        <f ca="1">IF(BN13="","",DATE(INDEX(OFFSET(Arb!$C$2,,,Arb!$AJ$5,),BN13),INDEX(OFFSET(Arb!$B$2,,,Arb!$AJ$5,),BN13),INDEX(OFFSET(Arb!$A$2,,,Arb!$AJ$5,),BN13))+ROW()*0.001)</f>
        <v>43781.012999999999</v>
      </c>
      <c r="BU13" s="436">
        <v>13</v>
      </c>
      <c r="BV13" s="1">
        <v>1058</v>
      </c>
      <c r="BW13" s="52">
        <f ca="1">IF(BV13="","",INDEX(OFFSET(Arb!$H$2,,,Arb!$AJ$5,),BV13))</f>
        <v>4.22</v>
      </c>
      <c r="BX13" s="3">
        <f t="shared" ca="1" si="18"/>
        <v>3.080568720379147</v>
      </c>
      <c r="BY13" s="165">
        <f ca="1">IF(BV13="","",INDEX(OFFSET(Arb!$X$2,,,Arb!$AJ$5,),BV13)/BW13)</f>
        <v>3.7914691943127963</v>
      </c>
      <c r="BZ13" s="165">
        <f ca="1">IF(BV13="","",(INDEX(OFFSET(Arb!$U$2,,,Arb!$AJ$5,),BV13)+INDEX(OFFSET(Arb!$V$2,,,Arb!$AJ$5,),BV13))/BW13)</f>
        <v>4.2654028436018958</v>
      </c>
      <c r="CA13" s="51">
        <f t="shared" ca="1" si="19"/>
        <v>53.181936190911209</v>
      </c>
      <c r="CB13" s="91">
        <f ca="1">IF(BV13="","",DATE(INDEX(OFFSET(Arb!$C$2,,,Arb!$AJ$5,),BV13),INDEX(OFFSET(Arb!$B$2,,,Arb!$AJ$5,),BV13),INDEX(OFFSET(Arb!$A$2,,,Arb!$AJ$5,),BV13))+ROW()*0.001)</f>
        <v>43841.012999999999</v>
      </c>
    </row>
    <row r="14" spans="1:80" x14ac:dyDescent="0.25">
      <c r="A14" s="433">
        <v>14</v>
      </c>
      <c r="B14" s="1">
        <v>1776</v>
      </c>
      <c r="C14" s="52">
        <f ca="1">IF(B14="","",INDEX(OFFSET(Arb!$H$2,,,Arb!$AJ$5,),B14))</f>
        <v>3.23</v>
      </c>
      <c r="D14" s="3">
        <f t="shared" ca="1" si="0"/>
        <v>4.3343653250773997</v>
      </c>
      <c r="E14" s="165">
        <f ca="1">IF(B14="","",INDEX(OFFSET(Arb!$X$2,,,Arb!$AJ$5,),B14)/C14)</f>
        <v>4.3343653250773997</v>
      </c>
      <c r="F14" s="165">
        <f ca="1">IF(B14="","",(INDEX(OFFSET(Arb!$U$2,,,Arb!$AJ$5,),B14)+INDEX(OFFSET(Arb!$V$2,,,Arb!$AJ$5,),B14))/C14)</f>
        <v>4.9535603715170282</v>
      </c>
      <c r="G14" s="51">
        <f t="shared" ca="1" si="1"/>
        <v>90.226831533127083</v>
      </c>
      <c r="H14" s="355">
        <f ca="1">IF(B14="","",DATE(INDEX(OFFSET(Arb!$C$2,,,Arb!$AJ$5,),B14),INDEX(OFFSET(Arb!$B$2,,,Arb!$AJ$5,),B14),INDEX(OFFSET(Arb!$A$2,,,Arb!$AJ$5,),B14))+ROW()*0.001)</f>
        <v>44167.014000000003</v>
      </c>
      <c r="I14" s="436">
        <v>14</v>
      </c>
      <c r="J14" s="1">
        <v>1860</v>
      </c>
      <c r="K14" s="52">
        <f ca="1">IF(J14="","",INDEX(OFFSET(Arb!$H$2,,,Arb!$AJ$5,),J14))</f>
        <v>3.38</v>
      </c>
      <c r="L14" s="3">
        <f t="shared" ca="1" si="2"/>
        <v>4.1420118343195265</v>
      </c>
      <c r="M14" s="165">
        <f ca="1">IF(J14="","",INDEX(OFFSET(Arb!$X$2,,,Arb!$AJ$5,),J14)/K14)</f>
        <v>4.4378698224852071</v>
      </c>
      <c r="N14" s="165">
        <f ca="1">IF(J14="","",(INDEX(OFFSET(Arb!$U$2,,,Arb!$AJ$5,),J14)+INDEX(OFFSET(Arb!$V$2,,,Arb!$AJ$5,),J14))/K14)</f>
        <v>5.0295857988165684</v>
      </c>
      <c r="O14" s="51">
        <f t="shared" ca="1" si="3"/>
        <v>83.525984670035939</v>
      </c>
      <c r="P14" s="91">
        <f ca="1">IF(J14="","",DATE(INDEX(OFFSET(Arb!$C$2,,,Arb!$AJ$5,),J14),INDEX(OFFSET(Arb!$B$2,,,Arb!$AJ$5,),J14),INDEX(OFFSET(Arb!$A$2,,,Arb!$AJ$5,),J14))+ROW()*0.001)</f>
        <v>44168.014000000003</v>
      </c>
      <c r="Q14" s="442">
        <v>14</v>
      </c>
      <c r="R14" s="1">
        <v>656</v>
      </c>
      <c r="S14" s="52">
        <f ca="1">IF(R14="","",INDEX(OFFSET(Arb!$H$2,,,Arb!$AJ$5,),R14))</f>
        <v>3.75</v>
      </c>
      <c r="T14" s="3">
        <f t="shared" ca="1" si="4"/>
        <v>3.7333333333333334</v>
      </c>
      <c r="U14" s="165">
        <f ca="1">IF(R14="","",INDEX(OFFSET(Arb!$X$2,,,Arb!$AJ$5,),R14)/S14)</f>
        <v>3.7333333333333334</v>
      </c>
      <c r="V14" s="165">
        <f ca="1">IF(R14="","",(INDEX(OFFSET(Arb!$U$2,,,Arb!$AJ$5,),R14)+INDEX(OFFSET(Arb!$V$2,,,Arb!$AJ$5,),R14))/S14)</f>
        <v>4.2666666666666666</v>
      </c>
      <c r="W14" s="51">
        <f t="shared" ca="1" si="5"/>
        <v>70.004642079405428</v>
      </c>
      <c r="X14" s="88">
        <f ca="1">IF(R14="","",DATE(INDEX(OFFSET(Arb!$C$2,,,Arb!$AJ$5,),R14),INDEX(OFFSET(Arb!$B$2,,,Arb!$AJ$5,),R14),INDEX(OFFSET(Arb!$A$2,,,Arb!$AJ$5,),R14))+ROW()*0.001)</f>
        <v>43800.014000000003</v>
      </c>
      <c r="Y14" s="436">
        <v>14</v>
      </c>
      <c r="Z14" s="1">
        <v>798</v>
      </c>
      <c r="AA14" s="52">
        <f ca="1">IF(Z14="","",INDEX(OFFSET(Arb!$H$2,,,Arb!$AJ$5,),Z14))</f>
        <v>3.8</v>
      </c>
      <c r="AB14" s="3">
        <f t="shared" ca="1" si="6"/>
        <v>3.6842105263157898</v>
      </c>
      <c r="AC14" s="165">
        <f ca="1">IF(Z14="","",INDEX(OFFSET(Arb!$X$2,,,Arb!$AJ$5,),Z14)/AA14)</f>
        <v>3.6842105263157898</v>
      </c>
      <c r="AD14" s="165">
        <f ca="1">IF(Z14="","",(INDEX(OFFSET(Arb!$U$2,,,Arb!$AJ$5,),Z14)+INDEX(OFFSET(Arb!$V$2,,,Arb!$AJ$5,),Z14))/AA14)</f>
        <v>4.7368421052631584</v>
      </c>
      <c r="AE14" s="51">
        <f t="shared" ca="1" si="7"/>
        <v>68.445969649945908</v>
      </c>
      <c r="AF14" s="91">
        <f ca="1">IF(Z14="","",DATE(INDEX(OFFSET(Arb!$C$2,,,Arb!$AJ$5,),Z14),INDEX(OFFSET(Arb!$B$2,,,Arb!$AJ$5,),Z14),INDEX(OFFSET(Arb!$A$2,,,Arb!$AJ$5,),Z14))+ROW()*0.001)</f>
        <v>43811.014000000003</v>
      </c>
      <c r="AG14" s="442">
        <v>14</v>
      </c>
      <c r="AH14" s="1">
        <v>1608</v>
      </c>
      <c r="AI14" s="52">
        <f ca="1">IF(AH14="","",INDEX(OFFSET(Arb!$H$2,,,Arb!$AJ$5,),AH14))</f>
        <v>3.85</v>
      </c>
      <c r="AJ14" s="3">
        <f t="shared" ca="1" si="8"/>
        <v>3.6363636363636362</v>
      </c>
      <c r="AK14" s="165">
        <f ca="1">IF(AH14="","",INDEX(OFFSET(Arb!$X$2,,,Arb!$AJ$5,),AH14)/AI14)</f>
        <v>4.6753246753246751</v>
      </c>
      <c r="AL14" s="165">
        <f ca="1">IF(AH14="","",(INDEX(OFFSET(Arb!$U$2,,,Arb!$AJ$5,),AH14)+INDEX(OFFSET(Arb!$V$2,,,Arb!$AJ$5,),AH14))/AI14)</f>
        <v>5.1948051948051948</v>
      </c>
      <c r="AM14" s="51">
        <f t="shared" ca="1" si="9"/>
        <v>66.941702663845675</v>
      </c>
      <c r="AN14" s="88">
        <f ca="1">IF(AH14="","",DATE(INDEX(OFFSET(Arb!$C$2,,,Arb!$AJ$5,),AH14),INDEX(OFFSET(Arb!$B$2,,,Arb!$AJ$5,),AH14),INDEX(OFFSET(Arb!$A$2,,,Arb!$AJ$5,),AH14))+ROW()*0.001)</f>
        <v>44062.014000000003</v>
      </c>
      <c r="AO14" s="436">
        <v>14</v>
      </c>
      <c r="AP14" s="1">
        <v>256</v>
      </c>
      <c r="AQ14" s="52">
        <f ca="1">IF(AP14="","",INDEX(OFFSET(Arb!$H$2,,,Arb!$AJ$5,),AP14))</f>
        <v>4.01</v>
      </c>
      <c r="AR14" s="3">
        <f t="shared" ca="1" si="10"/>
        <v>3.491271820448878</v>
      </c>
      <c r="AS14" s="165">
        <f ca="1">IF(AP14="","",INDEX(OFFSET(Arb!$X$2,,,Arb!$AJ$5,),AP14)/AQ14)</f>
        <v>3.9900249376558605</v>
      </c>
      <c r="AT14" s="165">
        <f ca="1">IF(AP14="","",(INDEX(OFFSET(Arb!$U$2,,,Arb!$AJ$5,),AP14)+INDEX(OFFSET(Arb!$V$2,,,Arb!$AJ$5,),AP14))/AQ14)</f>
        <v>4.2394014962593518</v>
      </c>
      <c r="AU14" s="51">
        <f t="shared" ca="1" si="11"/>
        <v>62.464685996442995</v>
      </c>
      <c r="AV14" s="91">
        <f ca="1">IF(AP14="","",DATE(INDEX(OFFSET(Arb!$C$2,,,Arb!$AJ$5,),AP14),INDEX(OFFSET(Arb!$B$2,,,Arb!$AJ$5,),AP14),INDEX(OFFSET(Arb!$A$2,,,Arb!$AJ$5,),AP14))+ROW()*0.001)</f>
        <v>43776.014000000003</v>
      </c>
      <c r="AW14" s="442">
        <v>14</v>
      </c>
      <c r="AX14" s="1">
        <v>797</v>
      </c>
      <c r="AY14" s="52">
        <f ca="1">IF(AX14="","",INDEX(OFFSET(Arb!$H$2,,,Arb!$AJ$5,),AX14))</f>
        <v>4.03</v>
      </c>
      <c r="AZ14" s="3">
        <f t="shared" ca="1" si="12"/>
        <v>3.4739454094292803</v>
      </c>
      <c r="BA14" s="165">
        <f ca="1">IF(AX14="","",INDEX(OFFSET(Arb!$X$2,,,Arb!$AJ$5,),AX14)/AY14)</f>
        <v>3.4739454094292803</v>
      </c>
      <c r="BB14" s="165">
        <f ca="1">IF(AX14="","",(INDEX(OFFSET(Arb!$U$2,,,Arb!$AJ$5,),AX14)+INDEX(OFFSET(Arb!$V$2,,,Arb!$AJ$5,),AX14))/AY14)</f>
        <v>4.2183622828784113</v>
      </c>
      <c r="BC14" s="51">
        <f t="shared" ca="1" si="13"/>
        <v>61.938604480635632</v>
      </c>
      <c r="BD14" s="88">
        <f ca="1">IF(AX14="","",DATE(INDEX(OFFSET(Arb!$C$2,,,Arb!$AJ$5,),AX14),INDEX(OFFSET(Arb!$B$2,,,Arb!$AJ$5,),AX14),INDEX(OFFSET(Arb!$A$2,,,Arb!$AJ$5,),AX14))+ROW()*0.001)</f>
        <v>43811.014000000003</v>
      </c>
      <c r="BE14" s="436">
        <v>14</v>
      </c>
      <c r="BF14" s="1">
        <v>1519</v>
      </c>
      <c r="BG14" s="52">
        <f ca="1">IF(BF14="","",INDEX(OFFSET(Arb!$H$2,,,Arb!$AJ$5,),BF14))</f>
        <v>4.1100000000000003</v>
      </c>
      <c r="BH14" s="3">
        <f t="shared" ca="1" si="14"/>
        <v>3.4063260340632602</v>
      </c>
      <c r="BI14" s="165">
        <f ca="1">IF(BF14="","",INDEX(OFFSET(Arb!$X$2,,,Arb!$AJ$5,),BF14)/BG14)</f>
        <v>3.6496350364963499</v>
      </c>
      <c r="BJ14" s="165">
        <f ca="1">IF(BF14="","",(INDEX(OFFSET(Arb!$U$2,,,Arb!$AJ$5,),BF14)+INDEX(OFFSET(Arb!$V$2,,,Arb!$AJ$5,),BF14))/BG14)</f>
        <v>4.1362530413625302</v>
      </c>
      <c r="BK14" s="51">
        <f t="shared" ca="1" si="15"/>
        <v>59.903044773737953</v>
      </c>
      <c r="BL14" s="91">
        <f ca="1">IF(BF14="","",DATE(INDEX(OFFSET(Arb!$C$2,,,Arb!$AJ$5,),BF14),INDEX(OFFSET(Arb!$B$2,,,Arb!$AJ$5,),BF14),INDEX(OFFSET(Arb!$A$2,,,Arb!$AJ$5,),BF14))+ROW()*0.001)</f>
        <v>43984.014000000003</v>
      </c>
      <c r="BM14" s="442">
        <v>14</v>
      </c>
      <c r="BN14" s="1">
        <v>1596</v>
      </c>
      <c r="BO14" s="52">
        <f ca="1">IF(BN14="","",INDEX(OFFSET(Arb!$H$2,,,Arb!$AJ$5,),BN14))</f>
        <v>4.13</v>
      </c>
      <c r="BP14" s="3">
        <f t="shared" ca="1" si="16"/>
        <v>3.3898305084745766</v>
      </c>
      <c r="BQ14" s="165">
        <f ca="1">IF(BN14="","",INDEX(OFFSET(Arb!$X$2,,,Arb!$AJ$5,),BN14)/BO14)</f>
        <v>4.1162227602905572</v>
      </c>
      <c r="BR14" s="165">
        <f ca="1">IF(BN14="","",(INDEX(OFFSET(Arb!$U$2,,,Arb!$AJ$5,),BN14)+INDEX(OFFSET(Arb!$V$2,,,Arb!$AJ$5,),BN14))/BO14)</f>
        <v>4.8426150121065374</v>
      </c>
      <c r="BS14" s="51">
        <f t="shared" ca="1" si="17"/>
        <v>59.410732471531681</v>
      </c>
      <c r="BT14" s="88">
        <f ca="1">IF(BN14="","",DATE(INDEX(OFFSET(Arb!$C$2,,,Arb!$AJ$5,),BN14),INDEX(OFFSET(Arb!$B$2,,,Arb!$AJ$5,),BN14),INDEX(OFFSET(Arb!$A$2,,,Arb!$AJ$5,),BN14))+ROW()*0.001)</f>
        <v>44054.014000000003</v>
      </c>
      <c r="BU14" s="436">
        <v>14</v>
      </c>
      <c r="BV14" s="1">
        <v>1662</v>
      </c>
      <c r="BW14" s="52">
        <f ca="1">IF(BV14="","",INDEX(OFFSET(Arb!$H$2,,,Arb!$AJ$5,),BV14))</f>
        <v>4.17</v>
      </c>
      <c r="BX14" s="3">
        <f t="shared" ca="1" si="18"/>
        <v>3.3573141486810552</v>
      </c>
      <c r="BY14" s="165">
        <f ca="1">IF(BV14="","",INDEX(OFFSET(Arb!$X$2,,,Arb!$AJ$5,),BV14)/BW14)</f>
        <v>3.5971223021582732</v>
      </c>
      <c r="BZ14" s="165">
        <f ca="1">IF(BV14="","",(INDEX(OFFSET(Arb!$U$2,,,Arb!$AJ$5,),BV14)+INDEX(OFFSET(Arb!$V$2,,,Arb!$AJ$5,),BV14))/BW14)</f>
        <v>3.8369304556354917</v>
      </c>
      <c r="CA14" s="51">
        <f t="shared" ca="1" si="19"/>
        <v>58.445180087011934</v>
      </c>
      <c r="CB14" s="91">
        <f ca="1">IF(BV14="","",DATE(INDEX(OFFSET(Arb!$C$2,,,Arb!$AJ$5,),BV14),INDEX(OFFSET(Arb!$B$2,,,Arb!$AJ$5,),BV14),INDEX(OFFSET(Arb!$A$2,,,Arb!$AJ$5,),BV14))+ROW()*0.001)</f>
        <v>44096.014000000003</v>
      </c>
    </row>
    <row r="15" spans="1:80" x14ac:dyDescent="0.25">
      <c r="A15" s="433">
        <v>15</v>
      </c>
      <c r="B15" s="1">
        <v>1642</v>
      </c>
      <c r="C15" s="52">
        <f ca="1">IF(B15="","",INDEX(OFFSET(Arb!$H$2,,,Arb!$AJ$5,),B15))</f>
        <v>3.61</v>
      </c>
      <c r="D15" s="3">
        <f t="shared" ca="1" si="0"/>
        <v>4.1551246537396125</v>
      </c>
      <c r="E15" s="165">
        <f ca="1">IF(B15="","",INDEX(OFFSET(Arb!$X$2,,,Arb!$AJ$5,),B15)/C15)</f>
        <v>4.1551246537396125</v>
      </c>
      <c r="F15" s="165">
        <f ca="1">IF(B15="","",(INDEX(OFFSET(Arb!$U$2,,,Arb!$AJ$5,),B15)+INDEX(OFFSET(Arb!$V$2,,,Arb!$AJ$5,),B15))/C15)</f>
        <v>5.2631578947368425</v>
      </c>
      <c r="G15" s="51">
        <f t="shared" ca="1" si="1"/>
        <v>80.016762321254035</v>
      </c>
      <c r="H15" s="355">
        <f ca="1">IF(B15="","",DATE(INDEX(OFFSET(Arb!$C$2,,,Arb!$AJ$5,),B15),INDEX(OFFSET(Arb!$B$2,,,Arb!$AJ$5,),B15),INDEX(OFFSET(Arb!$A$2,,,Arb!$AJ$5,),B15))+ROW()*0.001)</f>
        <v>44093.014999999999</v>
      </c>
      <c r="I15" s="436">
        <v>15</v>
      </c>
      <c r="J15" s="1">
        <v>1684</v>
      </c>
      <c r="K15" s="52">
        <f ca="1">IF(J15="","",INDEX(OFFSET(Arb!$H$2,,,Arb!$AJ$5,),J15))</f>
        <v>3.72</v>
      </c>
      <c r="L15" s="3">
        <f t="shared" ca="1" si="2"/>
        <v>4.032258064516129</v>
      </c>
      <c r="M15" s="165">
        <f ca="1">IF(J15="","",INDEX(OFFSET(Arb!$X$2,,,Arb!$AJ$5,),J15)/K15)</f>
        <v>4.032258064516129</v>
      </c>
      <c r="N15" s="165">
        <f ca="1">IF(J15="","",(INDEX(OFFSET(Arb!$U$2,,,Arb!$AJ$5,),J15)+INDEX(OFFSET(Arb!$V$2,,,Arb!$AJ$5,),J15))/K15)</f>
        <v>4.301075268817204</v>
      </c>
      <c r="O15" s="51">
        <f t="shared" ca="1" si="3"/>
        <v>76.036167758340412</v>
      </c>
      <c r="P15" s="91">
        <f ca="1">IF(J15="","",DATE(INDEX(OFFSET(Arb!$C$2,,,Arb!$AJ$5,),J15),INDEX(OFFSET(Arb!$B$2,,,Arb!$AJ$5,),J15),INDEX(OFFSET(Arb!$A$2,,,Arb!$AJ$5,),J15))+ROW()*0.001)</f>
        <v>44106.014999999999</v>
      </c>
      <c r="Q15" s="442">
        <v>15</v>
      </c>
      <c r="R15" s="1">
        <v>1193</v>
      </c>
      <c r="S15" s="52">
        <f ca="1">IF(R15="","",INDEX(OFFSET(Arb!$H$2,,,Arb!$AJ$5,),R15))</f>
        <v>3.95</v>
      </c>
      <c r="T15" s="3">
        <f t="shared" ca="1" si="4"/>
        <v>3.7974683544303796</v>
      </c>
      <c r="U15" s="165">
        <f ca="1">IF(R15="","",INDEX(OFFSET(Arb!$X$2,,,Arb!$AJ$5,),R15)/S15)</f>
        <v>3.7974683544303796</v>
      </c>
      <c r="V15" s="165">
        <f ca="1">IF(R15="","",(INDEX(OFFSET(Arb!$U$2,,,Arb!$AJ$5,),R15)+INDEX(OFFSET(Arb!$V$2,,,Arb!$AJ$5,),R15))/S15)</f>
        <v>4.0506329113924044</v>
      </c>
      <c r="W15" s="51">
        <f t="shared" ca="1" si="5"/>
        <v>68.663850735577483</v>
      </c>
      <c r="X15" s="88">
        <f ca="1">IF(R15="","",DATE(INDEX(OFFSET(Arb!$C$2,,,Arb!$AJ$5,),R15),INDEX(OFFSET(Arb!$B$2,,,Arb!$AJ$5,),R15),INDEX(OFFSET(Arb!$A$2,,,Arb!$AJ$5,),R15))+ROW()*0.001)</f>
        <v>43893.014999999999</v>
      </c>
      <c r="Y15" s="436">
        <v>15</v>
      </c>
      <c r="Z15" s="1">
        <v>1784</v>
      </c>
      <c r="AA15" s="52">
        <f ca="1">IF(Z15="","",INDEX(OFFSET(Arb!$H$2,,,Arb!$AJ$5,),Z15))</f>
        <v>4.03</v>
      </c>
      <c r="AB15" s="3">
        <f t="shared" ca="1" si="6"/>
        <v>3.7220843672456572</v>
      </c>
      <c r="AC15" s="165">
        <f ca="1">IF(Z15="","",INDEX(OFFSET(Arb!$X$2,,,Arb!$AJ$5,),Z15)/AA15)</f>
        <v>3.7220843672456572</v>
      </c>
      <c r="AD15" s="165">
        <f ca="1">IF(Z15="","",(INDEX(OFFSET(Arb!$U$2,,,Arb!$AJ$5,),Z15)+INDEX(OFFSET(Arb!$V$2,,,Arb!$AJ$5,),Z15))/AA15)</f>
        <v>4.4665012406947886</v>
      </c>
      <c r="AE15" s="51">
        <f t="shared" ca="1" si="7"/>
        <v>66.362790514966761</v>
      </c>
      <c r="AF15" s="91">
        <f ca="1">IF(Z15="","",DATE(INDEX(OFFSET(Arb!$C$2,,,Arb!$AJ$5,),Z15),INDEX(OFFSET(Arb!$B$2,,,Arb!$AJ$5,),Z15),INDEX(OFFSET(Arb!$A$2,,,Arb!$AJ$5,),Z15))+ROW()*0.001)</f>
        <v>44168.014999999999</v>
      </c>
      <c r="AG15" s="442">
        <v>15</v>
      </c>
      <c r="AH15" s="1">
        <v>216</v>
      </c>
      <c r="AI15" s="52">
        <f ca="1">IF(AH15="","",INDEX(OFFSET(Arb!$H$2,,,Arb!$AJ$5,),AH15))</f>
        <v>4.09</v>
      </c>
      <c r="AJ15" s="3">
        <f t="shared" ca="1" si="8"/>
        <v>3.6674816625916873</v>
      </c>
      <c r="AK15" s="165">
        <f ca="1">IF(AH15="","",INDEX(OFFSET(Arb!$X$2,,,Arb!$AJ$5,),AH15)/AI15)</f>
        <v>4.4009779951100247</v>
      </c>
      <c r="AL15" s="165">
        <f ca="1">IF(AH15="","",(INDEX(OFFSET(Arb!$U$2,,,Arb!$AJ$5,),AH15)+INDEX(OFFSET(Arb!$V$2,,,Arb!$AJ$5,),AH15))/AI15)</f>
        <v>5.1344743276283618</v>
      </c>
      <c r="AM15" s="51">
        <f t="shared" ca="1" si="9"/>
        <v>64.716287306767271</v>
      </c>
      <c r="AN15" s="88">
        <f ca="1">IF(AH15="","",DATE(INDEX(OFFSET(Arb!$C$2,,,Arb!$AJ$5,),AH15),INDEX(OFFSET(Arb!$B$2,,,Arb!$AJ$5,),AH15),INDEX(OFFSET(Arb!$A$2,,,Arb!$AJ$5,),AH15))+ROW()*0.001)</f>
        <v>43774.014999999999</v>
      </c>
      <c r="AO15" s="436">
        <v>15</v>
      </c>
      <c r="AP15" s="1">
        <v>680</v>
      </c>
      <c r="AQ15" s="52">
        <f ca="1">IF(AP15="","",INDEX(OFFSET(Arb!$H$2,,,Arb!$AJ$5,),AP15))</f>
        <v>4.12</v>
      </c>
      <c r="AR15" s="3">
        <f t="shared" ca="1" si="10"/>
        <v>3.6407766990291259</v>
      </c>
      <c r="AS15" s="165">
        <f ca="1">IF(AP15="","",INDEX(OFFSET(Arb!$X$2,,,Arb!$AJ$5,),AP15)/AQ15)</f>
        <v>3.6407766990291259</v>
      </c>
      <c r="AT15" s="165">
        <f ca="1">IF(AP15="","",(INDEX(OFFSET(Arb!$U$2,,,Arb!$AJ$5,),AP15)+INDEX(OFFSET(Arb!$V$2,,,Arb!$AJ$5,),AP15))/AQ15)</f>
        <v>4.1262135922330092</v>
      </c>
      <c r="AU15" s="51">
        <f t="shared" ca="1" si="11"/>
        <v>63.917230761470428</v>
      </c>
      <c r="AV15" s="91">
        <f ca="1">IF(AP15="","",DATE(INDEX(OFFSET(Arb!$C$2,,,Arb!$AJ$5,),AP15),INDEX(OFFSET(Arb!$B$2,,,Arb!$AJ$5,),AP15),INDEX(OFFSET(Arb!$A$2,,,Arb!$AJ$5,),AP15))+ROW()*0.001)</f>
        <v>43801.014999999999</v>
      </c>
      <c r="AW15" s="442">
        <v>15</v>
      </c>
      <c r="AX15" s="1">
        <v>1727</v>
      </c>
      <c r="AY15" s="52">
        <f ca="1">IF(AX15="","",INDEX(OFFSET(Arb!$H$2,,,Arb!$AJ$5,),AX15))</f>
        <v>4.2</v>
      </c>
      <c r="AZ15" s="3">
        <f t="shared" ca="1" si="12"/>
        <v>3.5714285714285712</v>
      </c>
      <c r="BA15" s="165">
        <f ca="1">IF(AX15="","",INDEX(OFFSET(Arb!$X$2,,,Arb!$AJ$5,),AX15)/AY15)</f>
        <v>4.0476190476190474</v>
      </c>
      <c r="BB15" s="165">
        <f ca="1">IF(AX15="","",(INDEX(OFFSET(Arb!$U$2,,,Arb!$AJ$5,),AX15)+INDEX(OFFSET(Arb!$V$2,,,Arb!$AJ$5,),AX15))/AY15)</f>
        <v>4.2857142857142856</v>
      </c>
      <c r="BC15" s="51">
        <f t="shared" ca="1" si="13"/>
        <v>61.861354407284843</v>
      </c>
      <c r="BD15" s="88">
        <f ca="1">IF(AX15="","",DATE(INDEX(OFFSET(Arb!$C$2,,,Arb!$AJ$5,),AX15),INDEX(OFFSET(Arb!$B$2,,,Arb!$AJ$5,),AX15),INDEX(OFFSET(Arb!$A$2,,,Arb!$AJ$5,),AX15))+ROW()*0.001)</f>
        <v>44107.014999999999</v>
      </c>
      <c r="BE15" s="436">
        <v>15</v>
      </c>
      <c r="BF15" s="1">
        <v>119</v>
      </c>
      <c r="BG15" s="52">
        <f ca="1">IF(BF15="","",INDEX(OFFSET(Arb!$H$2,,,Arb!$AJ$5,),BF15))</f>
        <v>4.22</v>
      </c>
      <c r="BH15" s="3">
        <f t="shared" ca="1" si="14"/>
        <v>3.5545023696682465</v>
      </c>
      <c r="BI15" s="165">
        <f ca="1">IF(BF15="","",INDEX(OFFSET(Arb!$X$2,,,Arb!$AJ$5,),BF15)/BG15)</f>
        <v>3.7914691943127963</v>
      </c>
      <c r="BJ15" s="165">
        <f ca="1">IF(BF15="","",(INDEX(OFFSET(Arb!$U$2,,,Arb!$AJ$5,),BF15)+INDEX(OFFSET(Arb!$V$2,,,Arb!$AJ$5,),BF15))/BG15)</f>
        <v>4.2654028436018958</v>
      </c>
      <c r="BK15" s="51">
        <f t="shared" ca="1" si="15"/>
        <v>61.363772527974476</v>
      </c>
      <c r="BL15" s="91">
        <f ca="1">IF(BF15="","",DATE(INDEX(OFFSET(Arb!$C$2,,,Arb!$AJ$5,),BF15),INDEX(OFFSET(Arb!$B$2,,,Arb!$AJ$5,),BF15),INDEX(OFFSET(Arb!$A$2,,,Arb!$AJ$5,),BF15))+ROW()*0.001)</f>
        <v>43770.014999999999</v>
      </c>
      <c r="BM15" s="442">
        <v>15</v>
      </c>
      <c r="BN15" s="1">
        <v>84</v>
      </c>
      <c r="BO15" s="52">
        <f ca="1">IF(BN15="","",INDEX(OFFSET(Arb!$H$2,,,Arb!$AJ$5,),BN15))</f>
        <v>4.24</v>
      </c>
      <c r="BP15" s="3">
        <f t="shared" ca="1" si="16"/>
        <v>3.5377358490566038</v>
      </c>
      <c r="BQ15" s="165">
        <f ca="1">IF(BN15="","",INDEX(OFFSET(Arb!$X$2,,,Arb!$AJ$5,),BN15)/BO15)</f>
        <v>4.2452830188679247</v>
      </c>
      <c r="BR15" s="165">
        <f ca="1">IF(BN15="","",(INDEX(OFFSET(Arb!$U$2,,,Arb!$AJ$5,),BN15)+INDEX(OFFSET(Arb!$V$2,,,Arb!$AJ$5,),BN15))/BO15)</f>
        <v>4.9528301886792452</v>
      </c>
      <c r="BS15" s="51">
        <f t="shared" ca="1" si="17"/>
        <v>60.872517300901031</v>
      </c>
      <c r="BT15" s="88">
        <f ca="1">IF(BN15="","",DATE(INDEX(OFFSET(Arb!$C$2,,,Arb!$AJ$5,),BN15),INDEX(OFFSET(Arb!$B$2,,,Arb!$AJ$5,),BN15),INDEX(OFFSET(Arb!$A$2,,,Arb!$AJ$5,),BN15))+ROW()*0.001)</f>
        <v>43767.014999999999</v>
      </c>
      <c r="BU15" s="436">
        <v>15</v>
      </c>
      <c r="BV15" s="1">
        <v>1808</v>
      </c>
      <c r="BW15" s="52">
        <f ca="1">IF(BV15="","",INDEX(OFFSET(Arb!$H$2,,,Arb!$AJ$5,),BV15))</f>
        <v>4.3</v>
      </c>
      <c r="BX15" s="3">
        <f t="shared" ca="1" si="18"/>
        <v>3.4883720930232558</v>
      </c>
      <c r="BY15" s="165">
        <f ca="1">IF(BV15="","",INDEX(OFFSET(Arb!$X$2,,,Arb!$AJ$5,),BV15)/BW15)</f>
        <v>3.4883720930232558</v>
      </c>
      <c r="BZ15" s="165">
        <f ca="1">IF(BV15="","",(INDEX(OFFSET(Arb!$U$2,,,Arb!$AJ$5,),BV15)+INDEX(OFFSET(Arb!$V$2,,,Arb!$AJ$5,),BV15))/BW15)</f>
        <v>3.7209302325581395</v>
      </c>
      <c r="CA15" s="51">
        <f t="shared" ca="1" si="19"/>
        <v>59.435626311843862</v>
      </c>
      <c r="CB15" s="91">
        <f ca="1">IF(BV15="","",DATE(INDEX(OFFSET(Arb!$C$2,,,Arb!$AJ$5,),BV15),INDEX(OFFSET(Arb!$B$2,,,Arb!$AJ$5,),BV15),INDEX(OFFSET(Arb!$A$2,,,Arb!$AJ$5,),BV15))+ROW()*0.001)</f>
        <v>44168.014999999999</v>
      </c>
    </row>
    <row r="16" spans="1:80" x14ac:dyDescent="0.25">
      <c r="A16" s="433">
        <v>16</v>
      </c>
      <c r="B16" s="1">
        <v>1380</v>
      </c>
      <c r="C16" s="52">
        <f ca="1">IF(B16="","",INDEX(OFFSET(Arb!$H$2,,,Arb!$AJ$5,),B16))</f>
        <v>3.72</v>
      </c>
      <c r="D16" s="3">
        <f t="shared" ca="1" si="0"/>
        <v>4.301075268817204</v>
      </c>
      <c r="E16" s="165">
        <f ca="1">IF(B16="","",INDEX(OFFSET(Arb!$X$2,,,Arb!$AJ$5,),B16)/C16)</f>
        <v>4.301075268817204</v>
      </c>
      <c r="F16" s="165">
        <f ca="1">IF(B16="","",(INDEX(OFFSET(Arb!$U$2,,,Arb!$AJ$5,),B16)+INDEX(OFFSET(Arb!$V$2,,,Arb!$AJ$5,),B16))/C16)</f>
        <v>4.5698924731182791</v>
      </c>
      <c r="G16" s="51">
        <f t="shared" ca="1" si="1"/>
        <v>81.105245608896439</v>
      </c>
      <c r="H16" s="355">
        <f ca="1">IF(B16="","",DATE(INDEX(OFFSET(Arb!$C$2,,,Arb!$AJ$5,),B16),INDEX(OFFSET(Arb!$B$2,,,Arb!$AJ$5,),B16),INDEX(OFFSET(Arb!$A$2,,,Arb!$AJ$5,),B16))+ROW()*0.001)</f>
        <v>43937.016000000003</v>
      </c>
      <c r="I16" s="436">
        <v>16</v>
      </c>
      <c r="J16" s="1">
        <v>1557</v>
      </c>
      <c r="K16" s="52">
        <f ca="1">IF(J16="","",INDEX(OFFSET(Arb!$H$2,,,Arb!$AJ$5,),J16))</f>
        <v>3.93</v>
      </c>
      <c r="L16" s="3">
        <f t="shared" ca="1" si="2"/>
        <v>4.0712468193384224</v>
      </c>
      <c r="M16" s="165">
        <f ca="1">IF(J16="","",INDEX(OFFSET(Arb!$X$2,,,Arb!$AJ$5,),J16)/K16)</f>
        <v>4.325699745547074</v>
      </c>
      <c r="N16" s="165">
        <f ca="1">IF(J16="","",(INDEX(OFFSET(Arb!$U$2,,,Arb!$AJ$5,),J16)+INDEX(OFFSET(Arb!$V$2,,,Arb!$AJ$5,),J16))/K16)</f>
        <v>4.5801526717557248</v>
      </c>
      <c r="O16" s="51">
        <f t="shared" ca="1" si="3"/>
        <v>73.876209797313479</v>
      </c>
      <c r="P16" s="91">
        <f ca="1">IF(J16="","",DATE(INDEX(OFFSET(Arb!$C$2,,,Arb!$AJ$5,),J16),INDEX(OFFSET(Arb!$B$2,,,Arb!$AJ$5,),J16),INDEX(OFFSET(Arb!$A$2,,,Arb!$AJ$5,),J16))+ROW()*0.001)</f>
        <v>43989.016000000003</v>
      </c>
      <c r="Q16" s="442">
        <v>16</v>
      </c>
      <c r="R16" s="1">
        <v>1636</v>
      </c>
      <c r="S16" s="52">
        <f ca="1">IF(R16="","",INDEX(OFFSET(Arb!$H$2,,,Arb!$AJ$5,),R16))</f>
        <v>3.95</v>
      </c>
      <c r="T16" s="3">
        <f t="shared" ca="1" si="4"/>
        <v>4.0506329113924044</v>
      </c>
      <c r="U16" s="165">
        <f ca="1">IF(R16="","",INDEX(OFFSET(Arb!$X$2,,,Arb!$AJ$5,),R16)/S16)</f>
        <v>5.0632911392405058</v>
      </c>
      <c r="V16" s="165">
        <f ca="1">IF(R16="","",(INDEX(OFFSET(Arb!$U$2,,,Arb!$AJ$5,),R16)+INDEX(OFFSET(Arb!$V$2,,,Arb!$AJ$5,),R16))/S16)</f>
        <v>5.0632911392405058</v>
      </c>
      <c r="W16" s="51">
        <f t="shared" ca="1" si="5"/>
        <v>73.241440784615975</v>
      </c>
      <c r="X16" s="88">
        <f ca="1">IF(R16="","",DATE(INDEX(OFFSET(Arb!$C$2,,,Arb!$AJ$5,),R16),INDEX(OFFSET(Arb!$B$2,,,Arb!$AJ$5,),R16),INDEX(OFFSET(Arb!$A$2,,,Arb!$AJ$5,),R16))+ROW()*0.001)</f>
        <v>44093.016000000003</v>
      </c>
      <c r="Y16" s="436">
        <v>16</v>
      </c>
      <c r="Z16" s="1">
        <v>213</v>
      </c>
      <c r="AA16" s="52">
        <f ca="1">IF(Z16="","",INDEX(OFFSET(Arb!$H$2,,,Arb!$AJ$5,),Z16))</f>
        <v>4.03</v>
      </c>
      <c r="AB16" s="3">
        <f t="shared" ca="1" si="6"/>
        <v>3.9702233250620345</v>
      </c>
      <c r="AC16" s="165">
        <f ca="1">IF(Z16="","",INDEX(OFFSET(Arb!$X$2,,,Arb!$AJ$5,),Z16)/AA16)</f>
        <v>3.9702233250620345</v>
      </c>
      <c r="AD16" s="165">
        <f ca="1">IF(Z16="","",(INDEX(OFFSET(Arb!$U$2,,,Arb!$AJ$5,),Z16)+INDEX(OFFSET(Arb!$V$2,,,Arb!$AJ$5,),Z16))/AA16)</f>
        <v>4.2183622828784113</v>
      </c>
      <c r="AE16" s="51">
        <f t="shared" ca="1" si="7"/>
        <v>70.786976549297862</v>
      </c>
      <c r="AF16" s="91">
        <f ca="1">IF(Z16="","",DATE(INDEX(OFFSET(Arb!$C$2,,,Arb!$AJ$5,),Z16),INDEX(OFFSET(Arb!$B$2,,,Arb!$AJ$5,),Z16),INDEX(OFFSET(Arb!$A$2,,,Arb!$AJ$5,),Z16))+ROW()*0.001)</f>
        <v>43774.016000000003</v>
      </c>
      <c r="AG16" s="442">
        <v>16</v>
      </c>
      <c r="AH16" s="1">
        <v>15</v>
      </c>
      <c r="AI16" s="52">
        <f ca="1">IF(AH16="","",INDEX(OFFSET(Arb!$H$2,,,Arb!$AJ$5,),AH16))</f>
        <v>4.16</v>
      </c>
      <c r="AJ16" s="3">
        <f t="shared" ca="1" si="8"/>
        <v>3.8461538461538458</v>
      </c>
      <c r="AK16" s="165">
        <f ca="1">IF(AH16="","",INDEX(OFFSET(Arb!$X$2,,,Arb!$AJ$5,),AH16)/AI16)</f>
        <v>4.5673076923076925</v>
      </c>
      <c r="AL16" s="165">
        <f ca="1">IF(AH16="","",(INDEX(OFFSET(Arb!$U$2,,,Arb!$AJ$5,),AH16)+INDEX(OFFSET(Arb!$V$2,,,Arb!$AJ$5,),AH16))/AI16)</f>
        <v>5.2884615384615383</v>
      </c>
      <c r="AM16" s="51">
        <f t="shared" ca="1" si="9"/>
        <v>67.067679383881</v>
      </c>
      <c r="AN16" s="88">
        <f ca="1">IF(AH16="","",DATE(INDEX(OFFSET(Arb!$C$2,,,Arb!$AJ$5,),AH16),INDEX(OFFSET(Arb!$B$2,,,Arb!$AJ$5,),AH16),INDEX(OFFSET(Arb!$A$2,,,Arb!$AJ$5,),AH16))+ROW()*0.001)</f>
        <v>43765.016000000003</v>
      </c>
      <c r="AO16" s="436">
        <v>16</v>
      </c>
      <c r="AP16" s="1">
        <v>377</v>
      </c>
      <c r="AQ16" s="52">
        <f ca="1">IF(AP16="","",INDEX(OFFSET(Arb!$H$2,,,Arb!$AJ$5,),AP16))</f>
        <v>4.38</v>
      </c>
      <c r="AR16" s="3">
        <f t="shared" ca="1" si="10"/>
        <v>3.6529680365296806</v>
      </c>
      <c r="AS16" s="165">
        <f ca="1">IF(AP16="","",INDEX(OFFSET(Arb!$X$2,,,Arb!$AJ$5,),AP16)/AQ16)</f>
        <v>3.6529680365296806</v>
      </c>
      <c r="AT16" s="165">
        <f ca="1">IF(AP16="","",(INDEX(OFFSET(Arb!$U$2,,,Arb!$AJ$5,),AP16)+INDEX(OFFSET(Arb!$V$2,,,Arb!$AJ$5,),AP16))/AQ16)</f>
        <v>4.3378995433789953</v>
      </c>
      <c r="AU16" s="51">
        <f t="shared" ca="1" si="11"/>
        <v>61.44208626536502</v>
      </c>
      <c r="AV16" s="91">
        <f ca="1">IF(AP16="","",DATE(INDEX(OFFSET(Arb!$C$2,,,Arb!$AJ$5,),AP16),INDEX(OFFSET(Arb!$B$2,,,Arb!$AJ$5,),AP16),INDEX(OFFSET(Arb!$A$2,,,Arb!$AJ$5,),AP16))+ROW()*0.001)</f>
        <v>43781.016000000003</v>
      </c>
      <c r="AW16" s="442">
        <v>16</v>
      </c>
      <c r="AX16" s="1">
        <v>1835</v>
      </c>
      <c r="AY16" s="52">
        <f ca="1">IF(AX16="","",INDEX(OFFSET(Arb!$H$2,,,Arb!$AJ$5,),AX16))</f>
        <v>4.51</v>
      </c>
      <c r="AZ16" s="3">
        <f t="shared" ca="1" si="12"/>
        <v>3.5476718403547673</v>
      </c>
      <c r="BA16" s="165">
        <f ca="1">IF(AX16="","",INDEX(OFFSET(Arb!$X$2,,,Arb!$AJ$5,),AX16)/AY16)</f>
        <v>3.9911308203991132</v>
      </c>
      <c r="BB16" s="165">
        <f ca="1">IF(AX16="","",(INDEX(OFFSET(Arb!$U$2,,,Arb!$AJ$5,),AX16)+INDEX(OFFSET(Arb!$V$2,,,Arb!$AJ$5,),AX16))/AY16)</f>
        <v>4.6563192904656319</v>
      </c>
      <c r="BC16" s="51">
        <f t="shared" ca="1" si="13"/>
        <v>58.46175120764368</v>
      </c>
      <c r="BD16" s="88">
        <f ca="1">IF(AX16="","",DATE(INDEX(OFFSET(Arb!$C$2,,,Arb!$AJ$5,),AX16),INDEX(OFFSET(Arb!$B$2,,,Arb!$AJ$5,),AX16),INDEX(OFFSET(Arb!$A$2,,,Arb!$AJ$5,),AX16))+ROW()*0.001)</f>
        <v>44168.016000000003</v>
      </c>
      <c r="BE16" s="436">
        <v>16</v>
      </c>
      <c r="BF16" s="1">
        <v>543</v>
      </c>
      <c r="BG16" s="52">
        <f ca="1">IF(BF16="","",INDEX(OFFSET(Arb!$H$2,,,Arb!$AJ$5,),BF16))</f>
        <v>4.51</v>
      </c>
      <c r="BH16" s="3">
        <f t="shared" ca="1" si="14"/>
        <v>3.5476718403547673</v>
      </c>
      <c r="BI16" s="165">
        <f ca="1">IF(BF16="","",INDEX(OFFSET(Arb!$X$2,,,Arb!$AJ$5,),BF16)/BG16)</f>
        <v>3.9911308203991132</v>
      </c>
      <c r="BJ16" s="165">
        <f ca="1">IF(BF16="","",(INDEX(OFFSET(Arb!$U$2,,,Arb!$AJ$5,),BF16)+INDEX(OFFSET(Arb!$V$2,,,Arb!$AJ$5,),BF16))/BG16)</f>
        <v>4.8780487804878048</v>
      </c>
      <c r="BK16" s="51">
        <f t="shared" ca="1" si="15"/>
        <v>58.46175120764368</v>
      </c>
      <c r="BL16" s="91">
        <f ca="1">IF(BF16="","",DATE(INDEX(OFFSET(Arb!$C$2,,,Arb!$AJ$5,),BF16),INDEX(OFFSET(Arb!$B$2,,,Arb!$AJ$5,),BF16),INDEX(OFFSET(Arb!$A$2,,,Arb!$AJ$5,),BF16))+ROW()*0.001)</f>
        <v>43797.016000000003</v>
      </c>
      <c r="BM16" s="442">
        <v>16</v>
      </c>
      <c r="BN16" s="1">
        <v>483</v>
      </c>
      <c r="BO16" s="52">
        <f ca="1">IF(BN16="","",INDEX(OFFSET(Arb!$H$2,,,Arb!$AJ$5,),BN16))</f>
        <v>4.5199999999999996</v>
      </c>
      <c r="BP16" s="3">
        <f t="shared" ca="1" si="16"/>
        <v>3.5398230088495577</v>
      </c>
      <c r="BQ16" s="165">
        <f ca="1">IF(BN16="","",INDEX(OFFSET(Arb!$X$2,,,Arb!$AJ$5,),BN16)/BO16)</f>
        <v>3.5398230088495577</v>
      </c>
      <c r="BR16" s="165">
        <f ca="1">IF(BN16="","",(INDEX(OFFSET(Arb!$U$2,,,Arb!$AJ$5,),BN16)+INDEX(OFFSET(Arb!$V$2,,,Arb!$AJ$5,),BN16))/BO16)</f>
        <v>4.4247787610619476</v>
      </c>
      <c r="BS16" s="51">
        <f t="shared" ca="1" si="17"/>
        <v>58.242043237243173</v>
      </c>
      <c r="BT16" s="88">
        <f ca="1">IF(BN16="","",DATE(INDEX(OFFSET(Arb!$C$2,,,Arb!$AJ$5,),BN16),INDEX(OFFSET(Arb!$B$2,,,Arb!$AJ$5,),BN16),INDEX(OFFSET(Arb!$A$2,,,Arb!$AJ$5,),BN16))+ROW()*0.001)</f>
        <v>43786.016000000003</v>
      </c>
      <c r="BU16" s="436">
        <v>16</v>
      </c>
      <c r="BV16" s="1">
        <v>1509</v>
      </c>
      <c r="BW16" s="52">
        <f ca="1">IF(BV16="","",INDEX(OFFSET(Arb!$H$2,,,Arb!$AJ$5,),BV16))</f>
        <v>4.53</v>
      </c>
      <c r="BX16" s="3">
        <f t="shared" ca="1" si="18"/>
        <v>3.5320088300220749</v>
      </c>
      <c r="BY16" s="165">
        <f ca="1">IF(BV16="","",INDEX(OFFSET(Arb!$X$2,,,Arb!$AJ$5,),BV16)/BW16)</f>
        <v>3.5320088300220749</v>
      </c>
      <c r="BZ16" s="165">
        <f ca="1">IF(BV16="","",(INDEX(OFFSET(Arb!$U$2,,,Arb!$AJ$5,),BV16)+INDEX(OFFSET(Arb!$V$2,,,Arb!$AJ$5,),BV16))/BW16)</f>
        <v>4.6357615894039732</v>
      </c>
      <c r="CA16" s="51">
        <f t="shared" ca="1" si="19"/>
        <v>58.023643772181273</v>
      </c>
      <c r="CB16" s="91">
        <f ca="1">IF(BV16="","",DATE(INDEX(OFFSET(Arb!$C$2,,,Arb!$AJ$5,),BV16),INDEX(OFFSET(Arb!$B$2,,,Arb!$AJ$5,),BV16),INDEX(OFFSET(Arb!$A$2,,,Arb!$AJ$5,),BV16))+ROW()*0.001)</f>
        <v>43984.016000000003</v>
      </c>
    </row>
    <row r="17" spans="1:80" x14ac:dyDescent="0.25">
      <c r="A17" s="433">
        <v>17</v>
      </c>
      <c r="B17" s="1">
        <v>1049</v>
      </c>
      <c r="C17" s="52">
        <f ca="1">IF(B17="","",INDEX(OFFSET(Arb!$H$2,,,Arb!$AJ$5,),B17))</f>
        <v>3.84</v>
      </c>
      <c r="D17" s="3">
        <f t="shared" ca="1" si="0"/>
        <v>4.4270833333333339</v>
      </c>
      <c r="E17" s="165">
        <f ca="1">IF(B17="","",INDEX(OFFSET(Arb!$X$2,,,Arb!$AJ$5,),B17)/C17)</f>
        <v>4.4270833333333339</v>
      </c>
      <c r="F17" s="165">
        <f ca="1">IF(B17="","",(INDEX(OFFSET(Arb!$U$2,,,Arb!$AJ$5,),B17)+INDEX(OFFSET(Arb!$V$2,,,Arb!$AJ$5,),B17))/C17)</f>
        <v>4.6875</v>
      </c>
      <c r="G17" s="51">
        <f t="shared" ca="1" si="1"/>
        <v>81.646542607684495</v>
      </c>
      <c r="H17" s="355">
        <f ca="1">IF(B17="","",DATE(INDEX(OFFSET(Arb!$C$2,,,Arb!$AJ$5,),B17),INDEX(OFFSET(Arb!$B$2,,,Arb!$AJ$5,),B17),INDEX(OFFSET(Arb!$A$2,,,Arb!$AJ$5,),B17))+ROW()*0.001)</f>
        <v>43841.017</v>
      </c>
      <c r="I17" s="436">
        <v>17</v>
      </c>
      <c r="J17" s="1">
        <v>676</v>
      </c>
      <c r="K17" s="52">
        <f ca="1">IF(J17="","",INDEX(OFFSET(Arb!$H$2,,,Arb!$AJ$5,),J17))</f>
        <v>4.32</v>
      </c>
      <c r="L17" s="3">
        <f t="shared" ca="1" si="2"/>
        <v>3.9351851851851851</v>
      </c>
      <c r="M17" s="165">
        <f ca="1">IF(J17="","",INDEX(OFFSET(Arb!$X$2,,,Arb!$AJ$5,),J17)/K17)</f>
        <v>3.9351851851851851</v>
      </c>
      <c r="N17" s="165">
        <f ca="1">IF(J17="","",(INDEX(OFFSET(Arb!$U$2,,,Arb!$AJ$5,),J17)+INDEX(OFFSET(Arb!$V$2,,,Arb!$AJ$5,),J17))/K17)</f>
        <v>4.3981481481481479</v>
      </c>
      <c r="O17" s="51">
        <f t="shared" ca="1" si="3"/>
        <v>66.831084814974389</v>
      </c>
      <c r="P17" s="91">
        <f ca="1">IF(J17="","",DATE(INDEX(OFFSET(Arb!$C$2,,,Arb!$AJ$5,),J17),INDEX(OFFSET(Arb!$B$2,,,Arb!$AJ$5,),J17),INDEX(OFFSET(Arb!$A$2,,,Arb!$AJ$5,),J17))+ROW()*0.001)</f>
        <v>43801.017</v>
      </c>
      <c r="Q17" s="442">
        <v>17</v>
      </c>
      <c r="R17" s="1">
        <v>1188</v>
      </c>
      <c r="S17" s="52">
        <f ca="1">IF(R17="","",INDEX(OFFSET(Arb!$H$2,,,Arb!$AJ$5,),R17))</f>
        <v>4.42</v>
      </c>
      <c r="T17" s="3">
        <f t="shared" ca="1" si="4"/>
        <v>3.8461538461538463</v>
      </c>
      <c r="U17" s="165">
        <f ca="1">IF(R17="","",INDEX(OFFSET(Arb!$X$2,,,Arb!$AJ$5,),R17)/S17)</f>
        <v>4.751131221719457</v>
      </c>
      <c r="V17" s="165">
        <f ca="1">IF(R17="","",(INDEX(OFFSET(Arb!$U$2,,,Arb!$AJ$5,),R17)+INDEX(OFFSET(Arb!$V$2,,,Arb!$AJ$5,),R17))/S17)</f>
        <v>4.9773755656108598</v>
      </c>
      <c r="W17" s="51">
        <f t="shared" ca="1" si="5"/>
        <v>64.281058922725933</v>
      </c>
      <c r="X17" s="88">
        <f ca="1">IF(R17="","",DATE(INDEX(OFFSET(Arb!$C$2,,,Arb!$AJ$5,),R17),INDEX(OFFSET(Arb!$B$2,,,Arb!$AJ$5,),R17),INDEX(OFFSET(Arb!$A$2,,,Arb!$AJ$5,),R17))+ROW()*0.001)</f>
        <v>43893.017</v>
      </c>
      <c r="Y17" s="436">
        <v>17</v>
      </c>
      <c r="Z17" s="1">
        <v>1201</v>
      </c>
      <c r="AA17" s="52">
        <f ca="1">IF(Z17="","",INDEX(OFFSET(Arb!$H$2,,,Arb!$AJ$5,),Z17))</f>
        <v>4.5999999999999996</v>
      </c>
      <c r="AB17" s="3">
        <f t="shared" ca="1" si="6"/>
        <v>3.6956521739130439</v>
      </c>
      <c r="AC17" s="165">
        <f ca="1">IF(Z17="","",INDEX(OFFSET(Arb!$X$2,,,Arb!$AJ$5,),Z17)/AA17)</f>
        <v>3.6956521739130439</v>
      </c>
      <c r="AD17" s="165">
        <f ca="1">IF(Z17="","",(INDEX(OFFSET(Arb!$U$2,,,Arb!$AJ$5,),Z17)+INDEX(OFFSET(Arb!$V$2,,,Arb!$AJ$5,),Z17))/AA17)</f>
        <v>3.9130434782608701</v>
      </c>
      <c r="AE17" s="51">
        <f t="shared" ca="1" si="7"/>
        <v>60.063767032370393</v>
      </c>
      <c r="AF17" s="91">
        <f ca="1">IF(Z17="","",DATE(INDEX(OFFSET(Arb!$C$2,,,Arb!$AJ$5,),Z17),INDEX(OFFSET(Arb!$B$2,,,Arb!$AJ$5,),Z17),INDEX(OFFSET(Arb!$A$2,,,Arb!$AJ$5,),Z17))+ROW()*0.001)</f>
        <v>43894.017</v>
      </c>
      <c r="AG17" s="442">
        <v>17</v>
      </c>
      <c r="AH17" s="1">
        <v>1549</v>
      </c>
      <c r="AI17" s="52">
        <f ca="1">IF(AH17="","",INDEX(OFFSET(Arb!$H$2,,,Arb!$AJ$5,),AH17))</f>
        <v>4.63</v>
      </c>
      <c r="AJ17" s="3">
        <f t="shared" ca="1" si="8"/>
        <v>3.6717062634989204</v>
      </c>
      <c r="AK17" s="165">
        <f ca="1">IF(AH17="","",INDEX(OFFSET(Arb!$X$2,,,Arb!$AJ$5,),AH17)/AI17)</f>
        <v>3.8876889848812097</v>
      </c>
      <c r="AL17" s="165">
        <f ca="1">IF(AH17="","",(INDEX(OFFSET(Arb!$U$2,,,Arb!$AJ$5,),AH17)+INDEX(OFFSET(Arb!$V$2,,,Arb!$AJ$5,),AH17))/AI17)</f>
        <v>4.5356371490280782</v>
      </c>
      <c r="AM17" s="51">
        <f t="shared" ca="1" si="9"/>
        <v>59.403658888124291</v>
      </c>
      <c r="AN17" s="88">
        <f ca="1">IF(AH17="","",DATE(INDEX(OFFSET(Arb!$C$2,,,Arb!$AJ$5,),AH17),INDEX(OFFSET(Arb!$B$2,,,Arb!$AJ$5,),AH17),INDEX(OFFSET(Arb!$A$2,,,Arb!$AJ$5,),AH17))+ROW()*0.001)</f>
        <v>43984.017</v>
      </c>
      <c r="AO17" s="436">
        <v>17</v>
      </c>
      <c r="AP17" s="1">
        <v>1523</v>
      </c>
      <c r="AQ17" s="52">
        <f ca="1">IF(AP17="","",INDEX(OFFSET(Arb!$H$2,,,Arb!$AJ$5,),AP17))</f>
        <v>4.6500000000000004</v>
      </c>
      <c r="AR17" s="3">
        <f t="shared" ca="1" si="10"/>
        <v>3.6559139784946235</v>
      </c>
      <c r="AS17" s="165">
        <f ca="1">IF(AP17="","",INDEX(OFFSET(Arb!$X$2,,,Arb!$AJ$5,),AP17)/AQ17)</f>
        <v>3.440860215053763</v>
      </c>
      <c r="AT17" s="165">
        <f ca="1">IF(AP17="","",(INDEX(OFFSET(Arb!$U$2,,,Arb!$AJ$5,),AP17)+INDEX(OFFSET(Arb!$V$2,,,Arb!$AJ$5,),AP17))/AQ17)</f>
        <v>4.7311827956989241</v>
      </c>
      <c r="AU17" s="51">
        <f t="shared" ca="1" si="11"/>
        <v>58.969963695154483</v>
      </c>
      <c r="AV17" s="91">
        <f ca="1">IF(AP17="","",DATE(INDEX(OFFSET(Arb!$C$2,,,Arb!$AJ$5,),AP17),INDEX(OFFSET(Arb!$B$2,,,Arb!$AJ$5,),AP17),INDEX(OFFSET(Arb!$A$2,,,Arb!$AJ$5,),AP17))+ROW()*0.001)</f>
        <v>43984.017</v>
      </c>
      <c r="AW17" s="442">
        <v>17</v>
      </c>
      <c r="AX17" s="1">
        <v>1306</v>
      </c>
      <c r="AY17" s="52">
        <f ca="1">IF(AX17="","",INDEX(OFFSET(Arb!$H$2,,,Arb!$AJ$5,),AX17))</f>
        <v>4.71</v>
      </c>
      <c r="AZ17" s="3">
        <f t="shared" ca="1" si="12"/>
        <v>3.6093418259023355</v>
      </c>
      <c r="BA17" s="165">
        <f ca="1">IF(AX17="","",INDEX(OFFSET(Arb!$X$2,,,Arb!$AJ$5,),AX17)/AY17)</f>
        <v>4.4585987261146496</v>
      </c>
      <c r="BB17" s="165">
        <f ca="1">IF(AX17="","",(INDEX(OFFSET(Arb!$U$2,,,Arb!$AJ$5,),AX17)+INDEX(OFFSET(Arb!$V$2,,,Arb!$AJ$5,),AX17))/AY17)</f>
        <v>4.6709129511677281</v>
      </c>
      <c r="BC17" s="51">
        <f t="shared" ca="1" si="13"/>
        <v>57.69860832275031</v>
      </c>
      <c r="BD17" s="88">
        <f ca="1">IF(AX17="","",DATE(INDEX(OFFSET(Arb!$C$2,,,Arb!$AJ$5,),AX17),INDEX(OFFSET(Arb!$B$2,,,Arb!$AJ$5,),AX17),INDEX(OFFSET(Arb!$A$2,,,Arb!$AJ$5,),AX17))+ROW()*0.001)</f>
        <v>43912.017</v>
      </c>
      <c r="BE17" s="436">
        <v>17</v>
      </c>
      <c r="BF17" s="1">
        <v>859</v>
      </c>
      <c r="BG17" s="52">
        <f ca="1">IF(BF17="","",INDEX(OFFSET(Arb!$H$2,,,Arb!$AJ$5,),BF17))</f>
        <v>4.76</v>
      </c>
      <c r="BH17" s="3">
        <f t="shared" ca="1" si="14"/>
        <v>3.5714285714285716</v>
      </c>
      <c r="BI17" s="165">
        <f ca="1">IF(BF17="","",INDEX(OFFSET(Arb!$X$2,,,Arb!$AJ$5,),BF17)/BG17)</f>
        <v>4.2016806722689077</v>
      </c>
      <c r="BJ17" s="165">
        <f ca="1">IF(BF17="","",(INDEX(OFFSET(Arb!$U$2,,,Arb!$AJ$5,),BF17)+INDEX(OFFSET(Arb!$V$2,,,Arb!$AJ$5,),BF17))/BG17)</f>
        <v>4.8319327731092443</v>
      </c>
      <c r="BK17" s="51">
        <f t="shared" ca="1" si="15"/>
        <v>56.672068010265328</v>
      </c>
      <c r="BL17" s="91">
        <f ca="1">IF(BF17="","",DATE(INDEX(OFFSET(Arb!$C$2,,,Arb!$AJ$5,),BF17),INDEX(OFFSET(Arb!$B$2,,,Arb!$AJ$5,),BF17),INDEX(OFFSET(Arb!$A$2,,,Arb!$AJ$5,),BF17))+ROW()*0.001)</f>
        <v>43817.017</v>
      </c>
      <c r="BM17" s="442">
        <v>17</v>
      </c>
      <c r="BN17" s="1">
        <v>791</v>
      </c>
      <c r="BO17" s="52">
        <f ca="1">IF(BN17="","",INDEX(OFFSET(Arb!$H$2,,,Arb!$AJ$5,),BN17))</f>
        <v>4.78</v>
      </c>
      <c r="BP17" s="3">
        <f t="shared" ca="1" si="16"/>
        <v>3.5564853556485354</v>
      </c>
      <c r="BQ17" s="165">
        <f ca="1">IF(BN17="","",INDEX(OFFSET(Arb!$X$2,,,Arb!$AJ$5,),BN17)/BO17)</f>
        <v>3.5564853556485354</v>
      </c>
      <c r="BR17" s="165">
        <f ca="1">IF(BN17="","",(INDEX(OFFSET(Arb!$U$2,,,Arb!$AJ$5,),BN17)+INDEX(OFFSET(Arb!$V$2,,,Arb!$AJ$5,),BN17))/BO17)</f>
        <v>4.1841004184100417</v>
      </c>
      <c r="BS17" s="51">
        <f t="shared" ca="1" si="17"/>
        <v>56.269551821400533</v>
      </c>
      <c r="BT17" s="88">
        <f ca="1">IF(BN17="","",DATE(INDEX(OFFSET(Arb!$C$2,,,Arb!$AJ$5,),BN17),INDEX(OFFSET(Arb!$B$2,,,Arb!$AJ$5,),BN17),INDEX(OFFSET(Arb!$A$2,,,Arb!$AJ$5,),BN17))+ROW()*0.001)</f>
        <v>43811.017</v>
      </c>
      <c r="BU17" s="436">
        <v>17</v>
      </c>
      <c r="BV17" s="1">
        <v>1639</v>
      </c>
      <c r="BW17" s="52">
        <f ca="1">IF(BV17="","",INDEX(OFFSET(Arb!$H$2,,,Arb!$AJ$5,),BV17))</f>
        <v>4.79</v>
      </c>
      <c r="BX17" s="3">
        <f t="shared" ca="1" si="18"/>
        <v>3.5490605427974948</v>
      </c>
      <c r="BY17" s="165">
        <f ca="1">IF(BV17="","",INDEX(OFFSET(Arb!$X$2,,,Arb!$AJ$5,),BV17)/BW17)</f>
        <v>4.1753653444676413</v>
      </c>
      <c r="BZ17" s="165">
        <f ca="1">IF(BV17="","",(INDEX(OFFSET(Arb!$U$2,,,Arb!$AJ$5,),BV17)+INDEX(OFFSET(Arb!$V$2,,,Arb!$AJ$5,),BV17))/BW17)</f>
        <v>4.5929018789144047</v>
      </c>
      <c r="CA17" s="51">
        <f t="shared" ca="1" si="19"/>
        <v>56.069993727291632</v>
      </c>
      <c r="CB17" s="91">
        <f ca="1">IF(BV17="","",DATE(INDEX(OFFSET(Arb!$C$2,,,Arb!$AJ$5,),BV17),INDEX(OFFSET(Arb!$B$2,,,Arb!$AJ$5,),BV17),INDEX(OFFSET(Arb!$A$2,,,Arb!$AJ$5,),BV17))+ROW()*0.001)</f>
        <v>44093.017</v>
      </c>
    </row>
    <row r="18" spans="1:80" x14ac:dyDescent="0.25">
      <c r="A18" s="433">
        <v>18</v>
      </c>
      <c r="B18" s="1">
        <v>1626</v>
      </c>
      <c r="C18" s="52">
        <f ca="1">IF(B18="","",INDEX(OFFSET(Arb!$H$2,,,Arb!$AJ$5,),B18))</f>
        <v>3.69</v>
      </c>
      <c r="D18" s="3">
        <f t="shared" ca="1" si="0"/>
        <v>4.8780487804878048</v>
      </c>
      <c r="E18" s="165">
        <f ca="1">IF(B18="","",INDEX(OFFSET(Arb!$X$2,,,Arb!$AJ$5,),B18)/C18)</f>
        <v>4.8780487804878048</v>
      </c>
      <c r="F18" s="165">
        <f ca="1">IF(B18="","",(INDEX(OFFSET(Arb!$U$2,,,Arb!$AJ$5,),B18)+INDEX(OFFSET(Arb!$V$2,,,Arb!$AJ$5,),B18))/C18)</f>
        <v>5.1490514905149052</v>
      </c>
      <c r="G18" s="51">
        <f t="shared" ca="1" si="1"/>
        <v>92.508074521445138</v>
      </c>
      <c r="H18" s="355">
        <f ca="1">IF(B18="","",DATE(INDEX(OFFSET(Arb!$C$2,,,Arb!$AJ$5,),B18),INDEX(OFFSET(Arb!$B$2,,,Arb!$AJ$5,),B18),INDEX(OFFSET(Arb!$A$2,,,Arb!$AJ$5,),B18))+ROW()*0.001)</f>
        <v>44093.017999999996</v>
      </c>
      <c r="I18" s="436">
        <v>18</v>
      </c>
      <c r="J18" s="1">
        <v>446</v>
      </c>
      <c r="K18" s="52">
        <f ca="1">IF(J18="","",INDEX(OFFSET(Arb!$H$2,,,Arb!$AJ$5,),J18))</f>
        <v>4.41</v>
      </c>
      <c r="L18" s="3">
        <f t="shared" ca="1" si="2"/>
        <v>4.0816326530612246</v>
      </c>
      <c r="M18" s="165">
        <f ca="1">IF(J18="","",INDEX(OFFSET(Arb!$X$2,,,Arb!$AJ$5,),J18)/K18)</f>
        <v>4.0816326530612246</v>
      </c>
      <c r="N18" s="165">
        <f ca="1">IF(J18="","",(INDEX(OFFSET(Arb!$U$2,,,Arb!$AJ$5,),J18)+INDEX(OFFSET(Arb!$V$2,,,Arb!$AJ$5,),J18))/K18)</f>
        <v>4.5351473922902494</v>
      </c>
      <c r="O18" s="51">
        <f t="shared" ca="1" si="3"/>
        <v>68.324877536258754</v>
      </c>
      <c r="P18" s="91">
        <f ca="1">IF(J18="","",DATE(INDEX(OFFSET(Arb!$C$2,,,Arb!$AJ$5,),J18),INDEX(OFFSET(Arb!$B$2,,,Arb!$AJ$5,),J18),INDEX(OFFSET(Arb!$A$2,,,Arb!$AJ$5,),J18))+ROW()*0.001)</f>
        <v>43782.017999999996</v>
      </c>
      <c r="Q18" s="442">
        <v>18</v>
      </c>
      <c r="R18" s="1">
        <v>1402</v>
      </c>
      <c r="S18" s="52">
        <f ca="1">IF(R18="","",INDEX(OFFSET(Arb!$H$2,,,Arb!$AJ$5,),R18))</f>
        <v>4.6399999999999997</v>
      </c>
      <c r="T18" s="3">
        <f t="shared" ca="1" si="4"/>
        <v>3.8793103448275863</v>
      </c>
      <c r="U18" s="165">
        <f ca="1">IF(R18="","",INDEX(OFFSET(Arb!$X$2,,,Arb!$AJ$5,),R18)/S18)</f>
        <v>4.0948275862068968</v>
      </c>
      <c r="V18" s="165">
        <f ca="1">IF(R18="","",(INDEX(OFFSET(Arb!$U$2,,,Arb!$AJ$5,),R18)+INDEX(OFFSET(Arb!$V$2,,,Arb!$AJ$5,),R18))/S18)</f>
        <v>4.9568965517241379</v>
      </c>
      <c r="W18" s="51">
        <f t="shared" ca="1" si="5"/>
        <v>62.667720400159737</v>
      </c>
      <c r="X18" s="88">
        <f ca="1">IF(R18="","",DATE(INDEX(OFFSET(Arb!$C$2,,,Arb!$AJ$5,),R18),INDEX(OFFSET(Arb!$B$2,,,Arb!$AJ$5,),R18),INDEX(OFFSET(Arb!$A$2,,,Arb!$AJ$5,),R18))+ROW()*0.001)</f>
        <v>43940.017999999996</v>
      </c>
      <c r="Y18" s="436">
        <v>18</v>
      </c>
      <c r="Z18" s="1">
        <v>507</v>
      </c>
      <c r="AA18" s="52">
        <f ca="1">IF(Z18="","",INDEX(OFFSET(Arb!$H$2,,,Arb!$AJ$5,),Z18))</f>
        <v>4.7</v>
      </c>
      <c r="AB18" s="3">
        <f t="shared" ca="1" si="6"/>
        <v>3.8297872340425529</v>
      </c>
      <c r="AC18" s="165">
        <f ca="1">IF(Z18="","",INDEX(OFFSET(Arb!$X$2,,,Arb!$AJ$5,),Z18)/AA18)</f>
        <v>3.8297872340425529</v>
      </c>
      <c r="AD18" s="165">
        <f ca="1">IF(Z18="","",(INDEX(OFFSET(Arb!$U$2,,,Arb!$AJ$5,),Z18)+INDEX(OFFSET(Arb!$V$2,,,Arb!$AJ$5,),Z18))/AA18)</f>
        <v>4.4680851063829783</v>
      </c>
      <c r="AE18" s="51">
        <f t="shared" ca="1" si="7"/>
        <v>61.313782019685327</v>
      </c>
      <c r="AF18" s="91">
        <f ca="1">IF(Z18="","",DATE(INDEX(OFFSET(Arb!$C$2,,,Arb!$AJ$5,),Z18),INDEX(OFFSET(Arb!$B$2,,,Arb!$AJ$5,),Z18),INDEX(OFFSET(Arb!$A$2,,,Arb!$AJ$5,),Z18))+ROW()*0.001)</f>
        <v>43788.017999999996</v>
      </c>
      <c r="AG18" s="442">
        <v>18</v>
      </c>
      <c r="AH18" s="1">
        <v>1796</v>
      </c>
      <c r="AI18" s="52">
        <f ca="1">IF(AH18="","",INDEX(OFFSET(Arb!$H$2,,,Arb!$AJ$5,),AH18))</f>
        <v>4.71</v>
      </c>
      <c r="AJ18" s="3">
        <f t="shared" ca="1" si="8"/>
        <v>3.8216560509554141</v>
      </c>
      <c r="AK18" s="165">
        <f ca="1">IF(AH18="","",INDEX(OFFSET(Arb!$X$2,,,Arb!$AJ$5,),AH18)/AI18)</f>
        <v>3.397027600849257</v>
      </c>
      <c r="AL18" s="165">
        <f ca="1">IF(AH18="","",(INDEX(OFFSET(Arb!$U$2,,,Arb!$AJ$5,),AH18)+INDEX(OFFSET(Arb!$V$2,,,Arb!$AJ$5,),AH18))/AI18)</f>
        <v>3.397027600849257</v>
      </c>
      <c r="AM18" s="51">
        <f t="shared" ca="1" si="9"/>
        <v>61.092644106441497</v>
      </c>
      <c r="AN18" s="88">
        <f ca="1">IF(AH18="","",DATE(INDEX(OFFSET(Arb!$C$2,,,Arb!$AJ$5,),AH18),INDEX(OFFSET(Arb!$B$2,,,Arb!$AJ$5,),AH18),INDEX(OFFSET(Arb!$A$2,,,Arb!$AJ$5,),AH18))+ROW()*0.001)</f>
        <v>44168.017999999996</v>
      </c>
      <c r="AO18" s="436">
        <v>18</v>
      </c>
      <c r="AP18" s="1">
        <v>249</v>
      </c>
      <c r="AQ18" s="52">
        <f ca="1">IF(AP18="","",INDEX(OFFSET(Arb!$H$2,,,Arb!$AJ$5,),AP18))</f>
        <v>4.7699999999999996</v>
      </c>
      <c r="AR18" s="3">
        <f t="shared" ca="1" si="10"/>
        <v>3.7735849056603779</v>
      </c>
      <c r="AS18" s="165">
        <f ca="1">IF(AP18="","",INDEX(OFFSET(Arb!$X$2,,,Arb!$AJ$5,),AP18)/AQ18)</f>
        <v>3.7735849056603779</v>
      </c>
      <c r="AT18" s="165">
        <f ca="1">IF(AP18="","",(INDEX(OFFSET(Arb!$U$2,,,Arb!$AJ$5,),AP18)+INDEX(OFFSET(Arb!$V$2,,,Arb!$AJ$5,),AP18))/AQ18)</f>
        <v>4.4025157232704411</v>
      </c>
      <c r="AU18" s="51">
        <f t="shared" ca="1" si="11"/>
        <v>59.792019160227682</v>
      </c>
      <c r="AV18" s="91">
        <f ca="1">IF(AP18="","",DATE(INDEX(OFFSET(Arb!$C$2,,,Arb!$AJ$5,),AP18),INDEX(OFFSET(Arb!$B$2,,,Arb!$AJ$5,),AP18),INDEX(OFFSET(Arb!$A$2,,,Arb!$AJ$5,),AP18))+ROW()*0.001)</f>
        <v>43776.017999999996</v>
      </c>
      <c r="AW18" s="442">
        <v>18</v>
      </c>
      <c r="AX18" s="1">
        <v>341</v>
      </c>
      <c r="AY18" s="52">
        <f ca="1">IF(AX18="","",INDEX(OFFSET(Arb!$H$2,,,Arb!$AJ$5,),AX18))</f>
        <v>4.79</v>
      </c>
      <c r="AZ18" s="3">
        <f t="shared" ca="1" si="12"/>
        <v>3.757828810020877</v>
      </c>
      <c r="BA18" s="165">
        <f ca="1">IF(AX18="","",INDEX(OFFSET(Arb!$X$2,,,Arb!$AJ$5,),AX18)/AY18)</f>
        <v>4.1753653444676413</v>
      </c>
      <c r="BB18" s="165">
        <f ca="1">IF(AX18="","",(INDEX(OFFSET(Arb!$U$2,,,Arb!$AJ$5,),AX18)+INDEX(OFFSET(Arb!$V$2,,,Arb!$AJ$5,),AX18))/AY18)</f>
        <v>4.5929018789144047</v>
      </c>
      <c r="BC18" s="51">
        <f t="shared" ca="1" si="13"/>
        <v>59.368228652426438</v>
      </c>
      <c r="BD18" s="88">
        <f ca="1">IF(AX18="","",DATE(INDEX(OFFSET(Arb!$C$2,,,Arb!$AJ$5,),AX18),INDEX(OFFSET(Arb!$B$2,,,Arb!$AJ$5,),AX18),INDEX(OFFSET(Arb!$A$2,,,Arb!$AJ$5,),AX18))+ROW()*0.001)</f>
        <v>43781.017999999996</v>
      </c>
      <c r="BE18" s="436">
        <v>18</v>
      </c>
      <c r="BF18" s="1">
        <v>962</v>
      </c>
      <c r="BG18" s="52">
        <f ca="1">IF(BF18="","",INDEX(OFFSET(Arb!$H$2,,,Arb!$AJ$5,),BF18))</f>
        <v>4.91</v>
      </c>
      <c r="BH18" s="3">
        <f t="shared" ca="1" si="14"/>
        <v>3.6659877800407332</v>
      </c>
      <c r="BI18" s="165">
        <f ca="1">IF(BF18="","",INDEX(OFFSET(Arb!$X$2,,,Arb!$AJ$5,),BF18)/BG18)</f>
        <v>3.6659877800407332</v>
      </c>
      <c r="BJ18" s="165">
        <f ca="1">IF(BF18="","",(INDEX(OFFSET(Arb!$U$2,,,Arb!$AJ$5,),BF18)+INDEX(OFFSET(Arb!$V$2,,,Arb!$AJ$5,),BF18))/BG18)</f>
        <v>4.4806517311608962</v>
      </c>
      <c r="BK18" s="51">
        <f t="shared" ca="1" si="15"/>
        <v>56.922757113843872</v>
      </c>
      <c r="BL18" s="91">
        <f ca="1">IF(BF18="","",DATE(INDEX(OFFSET(Arb!$C$2,,,Arb!$AJ$5,),BF18),INDEX(OFFSET(Arb!$B$2,,,Arb!$AJ$5,),BF18),INDEX(OFFSET(Arb!$A$2,,,Arb!$AJ$5,),BF18))+ROW()*0.001)</f>
        <v>43822.017999999996</v>
      </c>
      <c r="BM18" s="442">
        <v>18</v>
      </c>
      <c r="BN18" s="1">
        <v>1411</v>
      </c>
      <c r="BO18" s="52">
        <f ca="1">IF(BN18="","",INDEX(OFFSET(Arb!$H$2,,,Arb!$AJ$5,),BN18))</f>
        <v>4.9800000000000004</v>
      </c>
      <c r="BP18" s="3">
        <f t="shared" ca="1" si="16"/>
        <v>3.6144578313253009</v>
      </c>
      <c r="BQ18" s="165">
        <f ca="1">IF(BN18="","",INDEX(OFFSET(Arb!$X$2,,,Arb!$AJ$5,),BN18)/BO18)</f>
        <v>4.2168674698795181</v>
      </c>
      <c r="BR18" s="165">
        <f ca="1">IF(BN18="","",(INDEX(OFFSET(Arb!$U$2,,,Arb!$AJ$5,),BN18)+INDEX(OFFSET(Arb!$V$2,,,Arb!$AJ$5,),BN18))/BO18)</f>
        <v>5.2208835341365454</v>
      </c>
      <c r="BS18" s="51">
        <f t="shared" ca="1" si="17"/>
        <v>55.569255893092688</v>
      </c>
      <c r="BT18" s="88">
        <f ca="1">IF(BN18="","",DATE(INDEX(OFFSET(Arb!$C$2,,,Arb!$AJ$5,),BN18),INDEX(OFFSET(Arb!$B$2,,,Arb!$AJ$5,),BN18),INDEX(OFFSET(Arb!$A$2,,,Arb!$AJ$5,),BN18))+ROW()*0.001)</f>
        <v>43940.017999999996</v>
      </c>
      <c r="BU18" s="436">
        <v>18</v>
      </c>
      <c r="BV18" s="1">
        <v>293</v>
      </c>
      <c r="BW18" s="52">
        <f ca="1">IF(BV18="","",INDEX(OFFSET(Arb!$H$2,,,Arb!$AJ$5,),BV18))</f>
        <v>5.01</v>
      </c>
      <c r="BX18" s="3">
        <f t="shared" ca="1" si="18"/>
        <v>3.5928143712574854</v>
      </c>
      <c r="BY18" s="165">
        <f ca="1">IF(BV18="","",INDEX(OFFSET(Arb!$X$2,,,Arb!$AJ$5,),BV18)/BW18)</f>
        <v>3.7924151696606789</v>
      </c>
      <c r="BZ18" s="165">
        <f ca="1">IF(BV18="","",(INDEX(OFFSET(Arb!$U$2,,,Arb!$AJ$5,),BV18)+INDEX(OFFSET(Arb!$V$2,,,Arb!$AJ$5,),BV18))/BW18)</f>
        <v>4.1916167664670656</v>
      </c>
      <c r="CA18" s="51">
        <f t="shared" ca="1" si="19"/>
        <v>55.004767090929541</v>
      </c>
      <c r="CB18" s="91">
        <f ca="1">IF(BV18="","",DATE(INDEX(OFFSET(Arb!$C$2,,,Arb!$AJ$5,),BV18),INDEX(OFFSET(Arb!$B$2,,,Arb!$AJ$5,),BV18),INDEX(OFFSET(Arb!$A$2,,,Arb!$AJ$5,),BV18))+ROW()*0.001)</f>
        <v>43777.017999999996</v>
      </c>
    </row>
    <row r="19" spans="1:80" x14ac:dyDescent="0.25">
      <c r="A19" s="433">
        <v>19</v>
      </c>
      <c r="B19" s="1">
        <v>1880</v>
      </c>
      <c r="C19" s="52">
        <f ca="1">IF(B19="","",INDEX(OFFSET(Arb!$H$2,,,Arb!$AJ$5,),B19))</f>
        <v>4.82</v>
      </c>
      <c r="D19" s="3">
        <f t="shared" ca="1" si="0"/>
        <v>3.9419087136929458</v>
      </c>
      <c r="E19" s="165">
        <f ca="1">IF(B19="","",INDEX(OFFSET(Arb!$X$2,,,Arb!$AJ$5,),B19)/C19)</f>
        <v>3.9419087136929458</v>
      </c>
      <c r="F19" s="165">
        <f ca="1">IF(B19="","",(INDEX(OFFSET(Arb!$U$2,,,Arb!$AJ$5,),B19)+INDEX(OFFSET(Arb!$V$2,,,Arb!$AJ$5,),B19))/C19)</f>
        <v>4.3568464730290453</v>
      </c>
      <c r="G19" s="51">
        <f t="shared" ca="1" si="1"/>
        <v>62.004840531454711</v>
      </c>
      <c r="H19" s="355">
        <f ca="1">IF(B19="","",DATE(INDEX(OFFSET(Arb!$C$2,,,Arb!$AJ$5,),B19),INDEX(OFFSET(Arb!$B$2,,,Arb!$AJ$5,),B19),INDEX(OFFSET(Arb!$A$2,,,Arb!$AJ$5,),B19))+ROW()*0.001)</f>
        <v>44168.019</v>
      </c>
      <c r="I19" s="436">
        <v>19</v>
      </c>
      <c r="J19" s="1">
        <v>1004</v>
      </c>
      <c r="K19" s="52">
        <f ca="1">IF(J19="","",INDEX(OFFSET(Arb!$H$2,,,Arb!$AJ$5,),J19))</f>
        <v>4.88</v>
      </c>
      <c r="L19" s="3">
        <f t="shared" ca="1" si="2"/>
        <v>3.8934426229508197</v>
      </c>
      <c r="M19" s="165">
        <f ca="1">IF(J19="","",INDEX(OFFSET(Arb!$X$2,,,Arb!$AJ$5,),J19)/K19)</f>
        <v>4.5081967213114753</v>
      </c>
      <c r="N19" s="165">
        <f ca="1">IF(J19="","",(INDEX(OFFSET(Arb!$U$2,,,Arb!$AJ$5,),J19)+INDEX(OFFSET(Arb!$V$2,,,Arb!$AJ$5,),J19))/K19)</f>
        <v>4.5081967213114753</v>
      </c>
      <c r="O19" s="51">
        <f t="shared" ca="1" si="3"/>
        <v>60.714421662957847</v>
      </c>
      <c r="P19" s="91">
        <f ca="1">IF(J19="","",DATE(INDEX(OFFSET(Arb!$C$2,,,Arb!$AJ$5,),J19),INDEX(OFFSET(Arb!$B$2,,,Arb!$AJ$5,),J19),INDEX(OFFSET(Arb!$A$2,,,Arb!$AJ$5,),J19))+ROW()*0.001)</f>
        <v>43838.019</v>
      </c>
      <c r="Q19" s="442">
        <v>19</v>
      </c>
      <c r="R19" s="1">
        <v>1533</v>
      </c>
      <c r="S19" s="52">
        <f ca="1">IF(R19="","",INDEX(OFFSET(Arb!$H$2,,,Arb!$AJ$5,),R19))</f>
        <v>4.8899999999999997</v>
      </c>
      <c r="T19" s="3">
        <f t="shared" ca="1" si="4"/>
        <v>3.8854805725971371</v>
      </c>
      <c r="U19" s="165">
        <f ca="1">IF(R19="","",INDEX(OFFSET(Arb!$X$2,,,Arb!$AJ$5,),R19)/S19)</f>
        <v>3.8854805725971371</v>
      </c>
      <c r="V19" s="165">
        <f ca="1">IF(R19="","",(INDEX(OFFSET(Arb!$U$2,,,Arb!$AJ$5,),R19)+INDEX(OFFSET(Arb!$V$2,,,Arb!$AJ$5,),R19))/S19)</f>
        <v>4.294478527607362</v>
      </c>
      <c r="W19" s="51">
        <f t="shared" ca="1" si="5"/>
        <v>60.503500136805542</v>
      </c>
      <c r="X19" s="88">
        <f ca="1">IF(R19="","",DATE(INDEX(OFFSET(Arb!$C$2,,,Arb!$AJ$5,),R19),INDEX(OFFSET(Arb!$B$2,,,Arb!$AJ$5,),R19),INDEX(OFFSET(Arb!$A$2,,,Arb!$AJ$5,),R19))+ROW()*0.001)</f>
        <v>43984.019</v>
      </c>
      <c r="Y19" s="436">
        <v>19</v>
      </c>
      <c r="Z19" s="1">
        <v>1399</v>
      </c>
      <c r="AA19" s="52">
        <f ca="1">IF(Z19="","",INDEX(OFFSET(Arb!$H$2,,,Arb!$AJ$5,),Z19))</f>
        <v>4.9800000000000004</v>
      </c>
      <c r="AB19" s="3">
        <f t="shared" ca="1" si="6"/>
        <v>3.8152610441767063</v>
      </c>
      <c r="AC19" s="165">
        <f ca="1">IF(Z19="","",INDEX(OFFSET(Arb!$X$2,,,Arb!$AJ$5,),Z19)/AA19)</f>
        <v>4.8192771084337345</v>
      </c>
      <c r="AD19" s="165">
        <f ca="1">IF(Z19="","",(INDEX(OFFSET(Arb!$U$2,,,Arb!$AJ$5,),Z19)+INDEX(OFFSET(Arb!$V$2,,,Arb!$AJ$5,),Z19))/AA19)</f>
        <v>5.4216867469879517</v>
      </c>
      <c r="AE19" s="51">
        <f t="shared" ca="1" si="7"/>
        <v>58.656436776042284</v>
      </c>
      <c r="AF19" s="91">
        <f ca="1">IF(Z19="","",DATE(INDEX(OFFSET(Arb!$C$2,,,Arb!$AJ$5,),Z19),INDEX(OFFSET(Arb!$B$2,,,Arb!$AJ$5,),Z19),INDEX(OFFSET(Arb!$A$2,,,Arb!$AJ$5,),Z19))+ROW()*0.001)</f>
        <v>43940.019</v>
      </c>
      <c r="AG19" s="442">
        <v>19</v>
      </c>
      <c r="AH19" s="1">
        <v>399</v>
      </c>
      <c r="AI19" s="52">
        <f ca="1">IF(AH19="","",INDEX(OFFSET(Arb!$H$2,,,Arb!$AJ$5,),AH19))</f>
        <v>5.12</v>
      </c>
      <c r="AJ19" s="3">
        <f t="shared" ca="1" si="8"/>
        <v>3.7109375</v>
      </c>
      <c r="AK19" s="165">
        <f ca="1">IF(AH19="","",INDEX(OFFSET(Arb!$X$2,,,Arb!$AJ$5,),AH19)/AI19)</f>
        <v>3.90625</v>
      </c>
      <c r="AL19" s="165">
        <f ca="1">IF(AH19="","",(INDEX(OFFSET(Arb!$U$2,,,Arb!$AJ$5,),AH19)+INDEX(OFFSET(Arb!$V$2,,,Arb!$AJ$5,),AH19))/AI19)</f>
        <v>4.296875</v>
      </c>
      <c r="AM19" s="51">
        <f t="shared" ca="1" si="9"/>
        <v>55.955995455824599</v>
      </c>
      <c r="AN19" s="88">
        <f ca="1">IF(AH19="","",DATE(INDEX(OFFSET(Arb!$C$2,,,Arb!$AJ$5,),AH19),INDEX(OFFSET(Arb!$B$2,,,Arb!$AJ$5,),AH19),INDEX(OFFSET(Arb!$A$2,,,Arb!$AJ$5,),AH19))+ROW()*0.001)</f>
        <v>43781.019</v>
      </c>
      <c r="AO19" s="436">
        <v>19</v>
      </c>
      <c r="AP19" s="1">
        <v>569</v>
      </c>
      <c r="AQ19" s="52">
        <f ca="1">IF(AP19="","",INDEX(OFFSET(Arb!$H$2,,,Arb!$AJ$5,),AP19))</f>
        <v>5.13</v>
      </c>
      <c r="AR19" s="3">
        <f t="shared" ca="1" si="10"/>
        <v>3.7037037037037037</v>
      </c>
      <c r="AS19" s="165">
        <f ca="1">IF(AP19="","",INDEX(OFFSET(Arb!$X$2,,,Arb!$AJ$5,),AP19)/AQ19)</f>
        <v>4.0935672514619883</v>
      </c>
      <c r="AT19" s="165">
        <f ca="1">IF(AP19="","",(INDEX(OFFSET(Arb!$U$2,,,Arb!$AJ$5,),AP19)+INDEX(OFFSET(Arb!$V$2,,,Arb!$AJ$5,),AP19))/AQ19)</f>
        <v>4.6783625730994149</v>
      </c>
      <c r="AU19" s="51">
        <f t="shared" ca="1" si="11"/>
        <v>55.770692766960792</v>
      </c>
      <c r="AV19" s="91">
        <f ca="1">IF(AP19="","",DATE(INDEX(OFFSET(Arb!$C$2,,,Arb!$AJ$5,),AP19),INDEX(OFFSET(Arb!$B$2,,,Arb!$AJ$5,),AP19),INDEX(OFFSET(Arb!$A$2,,,Arb!$AJ$5,),AP19))+ROW()*0.001)</f>
        <v>43797.019</v>
      </c>
      <c r="AW19" s="442">
        <v>19</v>
      </c>
      <c r="AX19" s="1">
        <v>670</v>
      </c>
      <c r="AY19" s="52">
        <f ca="1">IF(AX19="","",INDEX(OFFSET(Arb!$H$2,,,Arb!$AJ$5,),AX19))</f>
        <v>5.17</v>
      </c>
      <c r="AZ19" s="3">
        <f t="shared" ca="1" si="12"/>
        <v>3.6750483558994196</v>
      </c>
      <c r="BA19" s="165">
        <f ca="1">IF(AX19="","",INDEX(OFFSET(Arb!$X$2,,,Arb!$AJ$5,),AX19)/AY19)</f>
        <v>4.2553191489361701</v>
      </c>
      <c r="BB19" s="165">
        <f ca="1">IF(AX19="","",(INDEX(OFFSET(Arb!$U$2,,,Arb!$AJ$5,),AX19)+INDEX(OFFSET(Arb!$V$2,,,Arb!$AJ$5,),AX19))/AY19)</f>
        <v>4.8355899419729207</v>
      </c>
      <c r="BC19" s="51">
        <f t="shared" ca="1" si="13"/>
        <v>55.039139658988525</v>
      </c>
      <c r="BD19" s="88">
        <f ca="1">IF(AX19="","",DATE(INDEX(OFFSET(Arb!$C$2,,,Arb!$AJ$5,),AX19),INDEX(OFFSET(Arb!$B$2,,,Arb!$AJ$5,),AX19),INDEX(OFFSET(Arb!$A$2,,,Arb!$AJ$5,),AX19))+ROW()*0.001)</f>
        <v>43801.019</v>
      </c>
      <c r="BE19" s="436">
        <v>19</v>
      </c>
      <c r="BF19" s="1">
        <v>1207</v>
      </c>
      <c r="BG19" s="52">
        <f ca="1">IF(BF19="","",INDEX(OFFSET(Arb!$H$2,,,Arb!$AJ$5,),BF19))</f>
        <v>5.2</v>
      </c>
      <c r="BH19" s="3">
        <f t="shared" ca="1" si="14"/>
        <v>3.6538461538461537</v>
      </c>
      <c r="BI19" s="165">
        <f ca="1">IF(BF19="","",INDEX(OFFSET(Arb!$X$2,,,Arb!$AJ$5,),BF19)/BG19)</f>
        <v>3.8461538461538458</v>
      </c>
      <c r="BJ19" s="165">
        <f ca="1">IF(BF19="","",(INDEX(OFFSET(Arb!$U$2,,,Arb!$AJ$5,),BF19)+INDEX(OFFSET(Arb!$V$2,,,Arb!$AJ$5,),BF19))/BG19)</f>
        <v>4.615384615384615</v>
      </c>
      <c r="BK19" s="51">
        <f t="shared" ca="1" si="15"/>
        <v>54.500423337154565</v>
      </c>
      <c r="BL19" s="91">
        <f ca="1">IF(BF19="","",DATE(INDEX(OFFSET(Arb!$C$2,,,Arb!$AJ$5,),BF19),INDEX(OFFSET(Arb!$B$2,,,Arb!$AJ$5,),BF19),INDEX(OFFSET(Arb!$A$2,,,Arb!$AJ$5,),BF19))+ROW()*0.001)</f>
        <v>43896.019</v>
      </c>
      <c r="BM19" s="442">
        <v>19</v>
      </c>
      <c r="BN19" s="1">
        <v>1283</v>
      </c>
      <c r="BO19" s="52">
        <f ca="1">IF(BN19="","",INDEX(OFFSET(Arb!$H$2,,,Arb!$AJ$5,),BN19))</f>
        <v>5.22</v>
      </c>
      <c r="BP19" s="3">
        <f t="shared" ca="1" si="16"/>
        <v>3.6398467432950192</v>
      </c>
      <c r="BQ19" s="165">
        <f ca="1">IF(BN19="","",INDEX(OFFSET(Arb!$X$2,,,Arb!$AJ$5,),BN19)/BO19)</f>
        <v>4.7892720306513414</v>
      </c>
      <c r="BR19" s="165">
        <f ca="1">IF(BN19="","",(INDEX(OFFSET(Arb!$U$2,,,Arb!$AJ$5,),BN19)+INDEX(OFFSET(Arb!$V$2,,,Arb!$AJ$5,),BN19))/BO19)</f>
        <v>5.7471264367816097</v>
      </c>
      <c r="BS19" s="51">
        <f t="shared" ca="1" si="17"/>
        <v>54.145915951137262</v>
      </c>
      <c r="BT19" s="88">
        <f ca="1">IF(BN19="","",DATE(INDEX(OFFSET(Arb!$C$2,,,Arb!$AJ$5,),BN19),INDEX(OFFSET(Arb!$B$2,,,Arb!$AJ$5,),BN19),INDEX(OFFSET(Arb!$A$2,,,Arb!$AJ$5,),BN19))+ROW()*0.001)</f>
        <v>43906.019</v>
      </c>
      <c r="BU19" s="436">
        <v>19</v>
      </c>
      <c r="BV19" s="1">
        <v>1537</v>
      </c>
      <c r="BW19" s="52">
        <f ca="1">IF(BV19="","",INDEX(OFFSET(Arb!$H$2,,,Arb!$AJ$5,),BV19))</f>
        <v>5.23</v>
      </c>
      <c r="BX19" s="3">
        <f t="shared" ca="1" si="18"/>
        <v>3.6328871892925427</v>
      </c>
      <c r="BY19" s="165">
        <f ca="1">IF(BV19="","",INDEX(OFFSET(Arb!$X$2,,,Arb!$AJ$5,),BV19)/BW19)</f>
        <v>4.2065009560229445</v>
      </c>
      <c r="BZ19" s="165">
        <f ca="1">IF(BV19="","",(INDEX(OFFSET(Arb!$U$2,,,Arb!$AJ$5,),BV19)+INDEX(OFFSET(Arb!$V$2,,,Arb!$AJ$5,),BV19))/BW19)</f>
        <v>4.5889101338432114</v>
      </c>
      <c r="CA19" s="51">
        <f t="shared" ca="1" si="19"/>
        <v>53.970033646561376</v>
      </c>
      <c r="CB19" s="91">
        <f ca="1">IF(BV19="","",DATE(INDEX(OFFSET(Arb!$C$2,,,Arb!$AJ$5,),BV19),INDEX(OFFSET(Arb!$B$2,,,Arb!$AJ$5,),BV19),INDEX(OFFSET(Arb!$A$2,,,Arb!$AJ$5,),BV19))+ROW()*0.001)</f>
        <v>43984.019</v>
      </c>
    </row>
    <row r="20" spans="1:80" x14ac:dyDescent="0.25">
      <c r="A20" s="433">
        <v>20</v>
      </c>
      <c r="B20" s="1">
        <v>1238</v>
      </c>
      <c r="C20" s="52">
        <f ca="1">IF(B20="","",INDEX(OFFSET(Arb!$H$2,,,Arb!$AJ$5,),B20))</f>
        <v>4.4800000000000004</v>
      </c>
      <c r="D20" s="3">
        <f t="shared" ca="1" si="0"/>
        <v>4.4642857142857135</v>
      </c>
      <c r="E20" s="165">
        <f ca="1">IF(B20="","",INDEX(OFFSET(Arb!$X$2,,,Arb!$AJ$5,),B20)/C20)</f>
        <v>4.4642857142857135</v>
      </c>
      <c r="F20" s="165">
        <f ca="1">IF(B20="","",(INDEX(OFFSET(Arb!$U$2,,,Arb!$AJ$5,),B20)+INDEX(OFFSET(Arb!$V$2,,,Arb!$AJ$5,),B20))/C20)</f>
        <v>4.9107142857142856</v>
      </c>
      <c r="G20" s="51">
        <f t="shared" ca="1" si="1"/>
        <v>73.911042985133079</v>
      </c>
      <c r="H20" s="355">
        <f ca="1">IF(B20="","",DATE(INDEX(OFFSET(Arb!$C$2,,,Arb!$AJ$5,),B20),INDEX(OFFSET(Arb!$B$2,,,Arb!$AJ$5,),B20),INDEX(OFFSET(Arb!$A$2,,,Arb!$AJ$5,),B20))+ROW()*0.001)</f>
        <v>43901.02</v>
      </c>
      <c r="I20" s="436">
        <v>20</v>
      </c>
      <c r="J20" s="1">
        <v>1712</v>
      </c>
      <c r="K20" s="52">
        <f ca="1">IF(J20="","",INDEX(OFFSET(Arb!$H$2,,,Arb!$AJ$5,),J20))</f>
        <v>4.51</v>
      </c>
      <c r="L20" s="3">
        <f t="shared" ca="1" si="2"/>
        <v>4.434589800443459</v>
      </c>
      <c r="M20" s="165">
        <f ca="1">IF(J20="","",INDEX(OFFSET(Arb!$X$2,,,Arb!$AJ$5,),J20)/K20)</f>
        <v>3.9911308203991132</v>
      </c>
      <c r="N20" s="165">
        <f ca="1">IF(J20="","",(INDEX(OFFSET(Arb!$U$2,,,Arb!$AJ$5,),J20)+INDEX(OFFSET(Arb!$V$2,,,Arb!$AJ$5,),J20))/K20)</f>
        <v>4.6563192904656319</v>
      </c>
      <c r="O20" s="51">
        <f t="shared" ca="1" si="3"/>
        <v>73.077189009554601</v>
      </c>
      <c r="P20" s="91">
        <f ca="1">IF(J20="","",DATE(INDEX(OFFSET(Arb!$C$2,,,Arb!$AJ$5,),J20),INDEX(OFFSET(Arb!$B$2,,,Arb!$AJ$5,),J20),INDEX(OFFSET(Arb!$A$2,,,Arb!$AJ$5,),J20))+ROW()*0.001)</f>
        <v>44107.02</v>
      </c>
      <c r="Q20" s="442">
        <v>20</v>
      </c>
      <c r="R20" s="1">
        <v>1503</v>
      </c>
      <c r="S20" s="52">
        <f ca="1">IF(R20="","",INDEX(OFFSET(Arb!$H$2,,,Arb!$AJ$5,),R20))</f>
        <v>5.07</v>
      </c>
      <c r="T20" s="3">
        <f t="shared" ca="1" si="4"/>
        <v>3.944773175542406</v>
      </c>
      <c r="U20" s="165">
        <f ca="1">IF(R20="","",INDEX(OFFSET(Arb!$X$2,,,Arb!$AJ$5,),R20)/S20)</f>
        <v>3.944773175542406</v>
      </c>
      <c r="V20" s="165">
        <f ca="1">IF(R20="","",(INDEX(OFFSET(Arb!$U$2,,,Arb!$AJ$5,),R20)+INDEX(OFFSET(Arb!$V$2,,,Arb!$AJ$5,),R20))/S20)</f>
        <v>4.3392504930966469</v>
      </c>
      <c r="W20" s="51">
        <f t="shared" ca="1" si="5"/>
        <v>59.89194591626751</v>
      </c>
      <c r="X20" s="88">
        <f ca="1">IF(R20="","",DATE(INDEX(OFFSET(Arb!$C$2,,,Arb!$AJ$5,),R20),INDEX(OFFSET(Arb!$B$2,,,Arb!$AJ$5,),R20),INDEX(OFFSET(Arb!$A$2,,,Arb!$AJ$5,),R20))+ROW()*0.001)</f>
        <v>43984.02</v>
      </c>
      <c r="Y20" s="436">
        <v>20</v>
      </c>
      <c r="Z20" s="1">
        <v>1656</v>
      </c>
      <c r="AA20" s="52">
        <f ca="1">IF(Z20="","",INDEX(OFFSET(Arb!$H$2,,,Arb!$AJ$5,),Z20))</f>
        <v>5.0999999999999996</v>
      </c>
      <c r="AB20" s="3">
        <f t="shared" ca="1" si="6"/>
        <v>3.9215686274509807</v>
      </c>
      <c r="AC20" s="165">
        <f ca="1">IF(Z20="","",INDEX(OFFSET(Arb!$X$2,,,Arb!$AJ$5,),Z20)/AA20)</f>
        <v>4.7058823529411766</v>
      </c>
      <c r="AD20" s="165">
        <f ca="1">IF(Z20="","",(INDEX(OFFSET(Arb!$U$2,,,Arb!$AJ$5,),Z20)+INDEX(OFFSET(Arb!$V$2,,,Arb!$AJ$5,),Z20))/AA20)</f>
        <v>4.9019607843137258</v>
      </c>
      <c r="AE20" s="51">
        <f t="shared" ca="1" si="7"/>
        <v>59.294260253305019</v>
      </c>
      <c r="AF20" s="91">
        <f ca="1">IF(Z20="","",DATE(INDEX(OFFSET(Arb!$C$2,,,Arb!$AJ$5,),Z20),INDEX(OFFSET(Arb!$B$2,,,Arb!$AJ$5,),Z20),INDEX(OFFSET(Arb!$A$2,,,Arb!$AJ$5,),Z20))+ROW()*0.001)</f>
        <v>44096.02</v>
      </c>
      <c r="AG20" s="442">
        <v>20</v>
      </c>
      <c r="AH20" s="1">
        <v>1262</v>
      </c>
      <c r="AI20" s="52">
        <f ca="1">IF(AH20="","",INDEX(OFFSET(Arb!$H$2,,,Arb!$AJ$5,),AH20))</f>
        <v>5.25</v>
      </c>
      <c r="AJ20" s="3">
        <f t="shared" ca="1" si="8"/>
        <v>3.8095238095238093</v>
      </c>
      <c r="AK20" s="165">
        <f ca="1">IF(AH20="","",INDEX(OFFSET(Arb!$X$2,,,Arb!$AJ$5,),AH20)/AI20)</f>
        <v>4</v>
      </c>
      <c r="AL20" s="165">
        <f ca="1">IF(AH20="","",(INDEX(OFFSET(Arb!$U$2,,,Arb!$AJ$5,),AH20)+INDEX(OFFSET(Arb!$V$2,,,Arb!$AJ$5,),AH20))/AI20)</f>
        <v>4.1904761904761907</v>
      </c>
      <c r="AM20" s="51">
        <f t="shared" ca="1" si="9"/>
        <v>56.443136456180341</v>
      </c>
      <c r="AN20" s="88">
        <f ca="1">IF(AH20="","",DATE(INDEX(OFFSET(Arb!$C$2,,,Arb!$AJ$5,),AH20),INDEX(OFFSET(Arb!$B$2,,,Arb!$AJ$5,),AH20),INDEX(OFFSET(Arb!$A$2,,,Arb!$AJ$5,),AH20))+ROW()*0.001)</f>
        <v>43901.02</v>
      </c>
      <c r="AO20" s="436">
        <v>20</v>
      </c>
      <c r="AP20" s="1">
        <v>68</v>
      </c>
      <c r="AQ20" s="52">
        <f ca="1">IF(AP20="","",INDEX(OFFSET(Arb!$H$2,,,Arb!$AJ$5,),AP20))</f>
        <v>5.29</v>
      </c>
      <c r="AR20" s="3">
        <f t="shared" ca="1" si="10"/>
        <v>3.7807183364839321</v>
      </c>
      <c r="AS20" s="165">
        <f ca="1">IF(AP20="","",INDEX(OFFSET(Arb!$X$2,,,Arb!$AJ$5,),AP20)/AQ20)</f>
        <v>3.7807183364839321</v>
      </c>
      <c r="AT20" s="165">
        <f ca="1">IF(AP20="","",(INDEX(OFFSET(Arb!$U$2,,,Arb!$AJ$5,),AP20)+INDEX(OFFSET(Arb!$V$2,,,Arb!$AJ$5,),AP20))/AQ20)</f>
        <v>4.5368620037807181</v>
      </c>
      <c r="AU20" s="51">
        <f t="shared" ca="1" si="11"/>
        <v>55.719513025396722</v>
      </c>
      <c r="AV20" s="91">
        <f ca="1">IF(AP20="","",DATE(INDEX(OFFSET(Arb!$C$2,,,Arb!$AJ$5,),AP20),INDEX(OFFSET(Arb!$B$2,,,Arb!$AJ$5,),AP20),INDEX(OFFSET(Arb!$A$2,,,Arb!$AJ$5,),AP20))+ROW()*0.001)</f>
        <v>43766.02</v>
      </c>
      <c r="AW20" s="442">
        <v>20</v>
      </c>
      <c r="AX20" s="1">
        <v>1355</v>
      </c>
      <c r="AY20" s="52">
        <f ca="1">IF(AX20="","",INDEX(OFFSET(Arb!$H$2,,,Arb!$AJ$5,),AX20))</f>
        <v>5.33</v>
      </c>
      <c r="AZ20" s="3">
        <f t="shared" ca="1" si="12"/>
        <v>3.75234521575985</v>
      </c>
      <c r="BA20" s="165">
        <f ca="1">IF(AX20="","",INDEX(OFFSET(Arb!$X$2,,,Arb!$AJ$5,),AX20)/AY20)</f>
        <v>4.3151969981238274</v>
      </c>
      <c r="BB20" s="165">
        <f ca="1">IF(AX20="","",(INDEX(OFFSET(Arb!$U$2,,,Arb!$AJ$5,),AX20)+INDEX(OFFSET(Arb!$V$2,,,Arb!$AJ$5,),AX20))/AY20)</f>
        <v>5.2532833020637897</v>
      </c>
      <c r="BC20" s="51">
        <f t="shared" ca="1" si="13"/>
        <v>55.010513542189663</v>
      </c>
      <c r="BD20" s="88">
        <f ca="1">IF(AX20="","",DATE(INDEX(OFFSET(Arb!$C$2,,,Arb!$AJ$5,),AX20),INDEX(OFFSET(Arb!$B$2,,,Arb!$AJ$5,),AX20),INDEX(OFFSET(Arb!$A$2,,,Arb!$AJ$5,),AX20))+ROW()*0.001)</f>
        <v>43935.02</v>
      </c>
      <c r="BE20" s="436">
        <v>20</v>
      </c>
      <c r="BF20" s="1">
        <v>1339</v>
      </c>
      <c r="BG20" s="52">
        <f ca="1">IF(BF20="","",INDEX(OFFSET(Arb!$H$2,,,Arb!$AJ$5,),BF20))</f>
        <v>5.34</v>
      </c>
      <c r="BH20" s="3">
        <f t="shared" ca="1" si="14"/>
        <v>3.7453183520599254</v>
      </c>
      <c r="BI20" s="165">
        <f ca="1">IF(BF20="","",INDEX(OFFSET(Arb!$X$2,,,Arb!$AJ$5,),BF20)/BG20)</f>
        <v>4.4943820224719104</v>
      </c>
      <c r="BJ20" s="165">
        <f ca="1">IF(BF20="","",(INDEX(OFFSET(Arb!$U$2,,,Arb!$AJ$5,),BF20)+INDEX(OFFSET(Arb!$V$2,,,Arb!$AJ$5,),BF20))/BG20)</f>
        <v>5.0561797752808992</v>
      </c>
      <c r="BK20" s="51">
        <f t="shared" ca="1" si="15"/>
        <v>54.835501244342652</v>
      </c>
      <c r="BL20" s="91">
        <f ca="1">IF(BF20="","",DATE(INDEX(OFFSET(Arb!$C$2,,,Arb!$AJ$5,),BF20),INDEX(OFFSET(Arb!$B$2,,,Arb!$AJ$5,),BF20),INDEX(OFFSET(Arb!$A$2,,,Arb!$AJ$5,),BF20))+ROW()*0.001)</f>
        <v>43935.02</v>
      </c>
      <c r="BM20" s="442">
        <v>20</v>
      </c>
      <c r="BN20" s="1">
        <v>1548</v>
      </c>
      <c r="BO20" s="52">
        <f ca="1">IF(BN20="","",INDEX(OFFSET(Arb!$H$2,,,Arb!$AJ$5,),BN20))</f>
        <v>5.45</v>
      </c>
      <c r="BP20" s="3">
        <f t="shared" ca="1" si="16"/>
        <v>3.6697247706422016</v>
      </c>
      <c r="BQ20" s="165">
        <f ca="1">IF(BN20="","",INDEX(OFFSET(Arb!$X$2,,,Arb!$AJ$5,),BN20)/BO20)</f>
        <v>3.8532110091743119</v>
      </c>
      <c r="BR20" s="165">
        <f ca="1">IF(BN20="","",(INDEX(OFFSET(Arb!$U$2,,,Arb!$AJ$5,),BN20)+INDEX(OFFSET(Arb!$V$2,,,Arb!$AJ$5,),BN20))/BO20)</f>
        <v>4.5871559633027523</v>
      </c>
      <c r="BS20" s="51">
        <f t="shared" ca="1" si="17"/>
        <v>52.967307967485844</v>
      </c>
      <c r="BT20" s="88">
        <f ca="1">IF(BN20="","",DATE(INDEX(OFFSET(Arb!$C$2,,,Arb!$AJ$5,),BN20),INDEX(OFFSET(Arb!$B$2,,,Arb!$AJ$5,),BN20),INDEX(OFFSET(Arb!$A$2,,,Arb!$AJ$5,),BN20))+ROW()*0.001)</f>
        <v>43984.02</v>
      </c>
      <c r="BU20" s="436">
        <v>20</v>
      </c>
      <c r="BV20" s="1">
        <v>259</v>
      </c>
      <c r="BW20" s="52">
        <f ca="1">IF(BV20="","",INDEX(OFFSET(Arb!$H$2,,,Arb!$AJ$5,),BV20))</f>
        <v>5.45</v>
      </c>
      <c r="BX20" s="3">
        <f t="shared" ca="1" si="18"/>
        <v>3.6697247706422016</v>
      </c>
      <c r="BY20" s="165">
        <f ca="1">IF(BV20="","",INDEX(OFFSET(Arb!$X$2,,,Arb!$AJ$5,),BV20)/BW20)</f>
        <v>3.8532110091743119</v>
      </c>
      <c r="BZ20" s="165">
        <f ca="1">IF(BV20="","",(INDEX(OFFSET(Arb!$U$2,,,Arb!$AJ$5,),BV20)+INDEX(OFFSET(Arb!$V$2,,,Arb!$AJ$5,),BV20))/BW20)</f>
        <v>4.4036697247706424</v>
      </c>
      <c r="CA20" s="51">
        <f t="shared" ca="1" si="19"/>
        <v>52.967307967485844</v>
      </c>
      <c r="CB20" s="91">
        <f ca="1">IF(BV20="","",DATE(INDEX(OFFSET(Arb!$C$2,,,Arb!$AJ$5,),BV20),INDEX(OFFSET(Arb!$B$2,,,Arb!$AJ$5,),BV20),INDEX(OFFSET(Arb!$A$2,,,Arb!$AJ$5,),BV20))+ROW()*0.001)</f>
        <v>43776.02</v>
      </c>
    </row>
    <row r="21" spans="1:80" x14ac:dyDescent="0.25">
      <c r="A21" s="433">
        <v>21</v>
      </c>
      <c r="B21" s="1">
        <v>267</v>
      </c>
      <c r="C21" s="52">
        <f ca="1">IF(B21="","",INDEX(OFFSET(Arb!$H$2,,,Arb!$AJ$5,),B21))</f>
        <v>4.99</v>
      </c>
      <c r="D21" s="3">
        <f t="shared" ca="1" si="0"/>
        <v>4.2084168336673349</v>
      </c>
      <c r="E21" s="165">
        <f ca="1">IF(B21="","",INDEX(OFFSET(Arb!$X$2,,,Arb!$AJ$5,),B21)/C21)</f>
        <v>4.2084168336673349</v>
      </c>
      <c r="F21" s="165">
        <f ca="1">IF(B21="","",(INDEX(OFFSET(Arb!$U$2,,,Arb!$AJ$5,),B21)+INDEX(OFFSET(Arb!$V$2,,,Arb!$AJ$5,),B21))/C21)</f>
        <v>4.408817635270541</v>
      </c>
      <c r="G21" s="51">
        <f t="shared" ca="1" si="1"/>
        <v>64.610087041414843</v>
      </c>
      <c r="H21" s="355">
        <f ca="1">IF(B21="","",DATE(INDEX(OFFSET(Arb!$C$2,,,Arb!$AJ$5,),B21),INDEX(OFFSET(Arb!$B$2,,,Arb!$AJ$5,),B21),INDEX(OFFSET(Arb!$A$2,,,Arb!$AJ$5,),B21))+ROW()*0.001)</f>
        <v>43777.021000000001</v>
      </c>
      <c r="I21" s="436">
        <v>21</v>
      </c>
      <c r="J21" s="1">
        <v>1227</v>
      </c>
      <c r="K21" s="52">
        <f ca="1">IF(J21="","",INDEX(OFFSET(Arb!$H$2,,,Arb!$AJ$5,),J21))</f>
        <v>5.3</v>
      </c>
      <c r="L21" s="3">
        <f t="shared" ca="1" si="2"/>
        <v>3.9622641509433962</v>
      </c>
      <c r="M21" s="165">
        <f ca="1">IF(J21="","",INDEX(OFFSET(Arb!$X$2,,,Arb!$AJ$5,),J21)/K21)</f>
        <v>4.3396226415094343</v>
      </c>
      <c r="N21" s="165">
        <f ca="1">IF(J21="","",(INDEX(OFFSET(Arb!$U$2,,,Arb!$AJ$5,),J21)+INDEX(OFFSET(Arb!$V$2,,,Arb!$AJ$5,),J21))/K21)</f>
        <v>4.9056603773584904</v>
      </c>
      <c r="O21" s="51">
        <f t="shared" ca="1" si="3"/>
        <v>58.317953511270304</v>
      </c>
      <c r="P21" s="91">
        <f ca="1">IF(J21="","",DATE(INDEX(OFFSET(Arb!$C$2,,,Arb!$AJ$5,),J21),INDEX(OFFSET(Arb!$B$2,,,Arb!$AJ$5,),J21),INDEX(OFFSET(Arb!$A$2,,,Arb!$AJ$5,),J21))+ROW()*0.001)</f>
        <v>43898.021000000001</v>
      </c>
      <c r="Q21" s="442">
        <v>21</v>
      </c>
      <c r="R21" s="1">
        <v>1269</v>
      </c>
      <c r="S21" s="52">
        <f ca="1">IF(R21="","",INDEX(OFFSET(Arb!$H$2,,,Arb!$AJ$5,),R21))</f>
        <v>5.4</v>
      </c>
      <c r="T21" s="3">
        <f t="shared" ca="1" si="4"/>
        <v>3.8888888888888888</v>
      </c>
      <c r="U21" s="165">
        <f ca="1">IF(R21="","",INDEX(OFFSET(Arb!$X$2,,,Arb!$AJ$5,),R21)/S21)</f>
        <v>4.6296296296296298</v>
      </c>
      <c r="V21" s="165">
        <f ca="1">IF(R21="","",(INDEX(OFFSET(Arb!$U$2,,,Arb!$AJ$5,),R21)+INDEX(OFFSET(Arb!$V$2,,,Arb!$AJ$5,),R21))/S21)</f>
        <v>5</v>
      </c>
      <c r="W21" s="51">
        <f t="shared" ca="1" si="5"/>
        <v>56.493939690219001</v>
      </c>
      <c r="X21" s="88">
        <f ca="1">IF(R21="","",DATE(INDEX(OFFSET(Arb!$C$2,,,Arb!$AJ$5,),R21),INDEX(OFFSET(Arb!$B$2,,,Arb!$AJ$5,),R21),INDEX(OFFSET(Arb!$A$2,,,Arb!$AJ$5,),R21))+ROW()*0.001)</f>
        <v>43906.021000000001</v>
      </c>
      <c r="Y21" s="436">
        <v>21</v>
      </c>
      <c r="Z21" s="1">
        <v>1358</v>
      </c>
      <c r="AA21" s="52">
        <f ca="1">IF(Z21="","",INDEX(OFFSET(Arb!$H$2,,,Arb!$AJ$5,),Z21))</f>
        <v>5.54</v>
      </c>
      <c r="AB21" s="3">
        <f t="shared" ca="1" si="6"/>
        <v>3.7906137184115525</v>
      </c>
      <c r="AC21" s="165">
        <f ca="1">IF(Z21="","",INDEX(OFFSET(Arb!$X$2,,,Arb!$AJ$5,),Z21)/AA21)</f>
        <v>4.512635379061372</v>
      </c>
      <c r="AD21" s="165">
        <f ca="1">IF(Z21="","",(INDEX(OFFSET(Arb!$U$2,,,Arb!$AJ$5,),Z21)+INDEX(OFFSET(Arb!$V$2,,,Arb!$AJ$5,),Z21))/AA21)</f>
        <v>5.2346570397111911</v>
      </c>
      <c r="AE21" s="51">
        <f t="shared" ca="1" si="7"/>
        <v>54.088464632506991</v>
      </c>
      <c r="AF21" s="91">
        <f ca="1">IF(Z21="","",DATE(INDEX(OFFSET(Arb!$C$2,,,Arb!$AJ$5,),Z21),INDEX(OFFSET(Arb!$B$2,,,Arb!$AJ$5,),Z21),INDEX(OFFSET(Arb!$A$2,,,Arb!$AJ$5,),Z21))+ROW()*0.001)</f>
        <v>43935.021000000001</v>
      </c>
      <c r="AG21" s="442">
        <v>21</v>
      </c>
      <c r="AH21" s="1">
        <v>624</v>
      </c>
      <c r="AI21" s="52">
        <f ca="1">IF(AH21="","",INDEX(OFFSET(Arb!$H$2,,,Arb!$AJ$5,),AH21))</f>
        <v>5.54</v>
      </c>
      <c r="AJ21" s="3">
        <f t="shared" ca="1" si="8"/>
        <v>3.7906137184115525</v>
      </c>
      <c r="AK21" s="165">
        <f ca="1">IF(AH21="","",INDEX(OFFSET(Arb!$X$2,,,Arb!$AJ$5,),AH21)/AI21)</f>
        <v>4.3321299638989172</v>
      </c>
      <c r="AL21" s="165">
        <f ca="1">IF(AH21="","",(INDEX(OFFSET(Arb!$U$2,,,Arb!$AJ$5,),AH21)+INDEX(OFFSET(Arb!$V$2,,,Arb!$AJ$5,),AH21))/AI21)</f>
        <v>5.0541516245487363</v>
      </c>
      <c r="AM21" s="51">
        <f t="shared" ca="1" si="9"/>
        <v>54.088464632506991</v>
      </c>
      <c r="AN21" s="88">
        <f ca="1">IF(AH21="","",DATE(INDEX(OFFSET(Arb!$C$2,,,Arb!$AJ$5,),AH21),INDEX(OFFSET(Arb!$B$2,,,Arb!$AJ$5,),AH21),INDEX(OFFSET(Arb!$A$2,,,Arb!$AJ$5,),AH21))+ROW()*0.001)</f>
        <v>43799.021000000001</v>
      </c>
      <c r="AO21" s="436">
        <v>21</v>
      </c>
      <c r="AP21" s="1">
        <v>1749</v>
      </c>
      <c r="AQ21" s="52">
        <f ca="1">IF(AP21="","",INDEX(OFFSET(Arb!$H$2,,,Arb!$AJ$5,),AP21))</f>
        <v>5.58</v>
      </c>
      <c r="AR21" s="3">
        <f t="shared" ca="1" si="10"/>
        <v>3.7634408602150535</v>
      </c>
      <c r="AS21" s="165">
        <f ca="1">IF(AP21="","",INDEX(OFFSET(Arb!$X$2,,,Arb!$AJ$5,),AP21)/AQ21)</f>
        <v>3.9426523297491038</v>
      </c>
      <c r="AT21" s="165">
        <f ca="1">IF(AP21="","",(INDEX(OFFSET(Arb!$U$2,,,Arb!$AJ$5,),AP21)+INDEX(OFFSET(Arb!$V$2,,,Arb!$AJ$5,),AP21))/AQ21)</f>
        <v>5.0179211469534053</v>
      </c>
      <c r="AU21" s="51">
        <f t="shared" ca="1" si="11"/>
        <v>53.430977003764944</v>
      </c>
      <c r="AV21" s="91">
        <f ca="1">IF(AP21="","",DATE(INDEX(OFFSET(Arb!$C$2,,,Arb!$AJ$5,),AP21),INDEX(OFFSET(Arb!$B$2,,,Arb!$AJ$5,),AP21),INDEX(OFFSET(Arb!$A$2,,,Arb!$AJ$5,),AP21))+ROW()*0.001)</f>
        <v>44114.021000000001</v>
      </c>
      <c r="AW21" s="442">
        <v>21</v>
      </c>
      <c r="AX21" s="1">
        <v>102</v>
      </c>
      <c r="AY21" s="52">
        <f ca="1">IF(AX21="","",INDEX(OFFSET(Arb!$H$2,,,Arb!$AJ$5,),AX21))</f>
        <v>5.59</v>
      </c>
      <c r="AZ21" s="3">
        <f t="shared" ca="1" si="12"/>
        <v>3.7567084078711988</v>
      </c>
      <c r="BA21" s="165">
        <f ca="1">IF(AX21="","",INDEX(OFFSET(Arb!$X$2,,,Arb!$AJ$5,),AX21)/AY21)</f>
        <v>4.6511627906976747</v>
      </c>
      <c r="BB21" s="165">
        <f ca="1">IF(AX21="","",(INDEX(OFFSET(Arb!$U$2,,,Arb!$AJ$5,),AX21)+INDEX(OFFSET(Arb!$V$2,,,Arb!$AJ$5,),AX21))/AY21)</f>
        <v>5.0089445438282647</v>
      </c>
      <c r="BC21" s="51">
        <f t="shared" ca="1" si="13"/>
        <v>53.268587417438567</v>
      </c>
      <c r="BD21" s="88">
        <f ca="1">IF(AX21="","",DATE(INDEX(OFFSET(Arb!$C$2,,,Arb!$AJ$5,),AX21),INDEX(OFFSET(Arb!$B$2,,,Arb!$AJ$5,),AX21),INDEX(OFFSET(Arb!$A$2,,,Arb!$AJ$5,),AX21))+ROW()*0.001)</f>
        <v>43769.021000000001</v>
      </c>
      <c r="BE21" s="436">
        <v>21</v>
      </c>
      <c r="BF21" s="1">
        <v>462</v>
      </c>
      <c r="BG21" s="52">
        <f ca="1">IF(BF21="","",INDEX(OFFSET(Arb!$H$2,,,Arb!$AJ$5,),BF21))</f>
        <v>5.61</v>
      </c>
      <c r="BH21" s="3">
        <f t="shared" ca="1" si="14"/>
        <v>3.7433155080213902</v>
      </c>
      <c r="BI21" s="165">
        <f ca="1">IF(BF21="","",INDEX(OFFSET(Arb!$X$2,,,Arb!$AJ$5,),BF21)/BG21)</f>
        <v>3.5650623885918002</v>
      </c>
      <c r="BJ21" s="165">
        <f ca="1">IF(BF21="","",(INDEX(OFFSET(Arb!$U$2,,,Arb!$AJ$5,),BF21)+INDEX(OFFSET(Arb!$V$2,,,Arb!$AJ$5,),BF21))/BG21)</f>
        <v>4.8128342245989302</v>
      </c>
      <c r="BK21" s="51">
        <f t="shared" ca="1" si="15"/>
        <v>52.94615046803915</v>
      </c>
      <c r="BL21" s="91">
        <f ca="1">IF(BF21="","",DATE(INDEX(OFFSET(Arb!$C$2,,,Arb!$AJ$5,),BF21),INDEX(OFFSET(Arb!$B$2,,,Arb!$AJ$5,),BF21),INDEX(OFFSET(Arb!$A$2,,,Arb!$AJ$5,),BF21))+ROW()*0.001)</f>
        <v>43786.021000000001</v>
      </c>
      <c r="BM21" s="442">
        <v>21</v>
      </c>
      <c r="BN21" s="1">
        <v>1568</v>
      </c>
      <c r="BO21" s="52">
        <f ca="1">IF(BN21="","",INDEX(OFFSET(Arb!$H$2,,,Arb!$AJ$5,),BN21))</f>
        <v>5.67</v>
      </c>
      <c r="BP21" s="3">
        <f t="shared" ca="1" si="16"/>
        <v>3.7037037037037037</v>
      </c>
      <c r="BQ21" s="165">
        <f ca="1">IF(BN21="","",INDEX(OFFSET(Arb!$X$2,,,Arb!$AJ$5,),BN21)/BO21)</f>
        <v>4.7619047619047619</v>
      </c>
      <c r="BR21" s="165">
        <f ca="1">IF(BN21="","",(INDEX(OFFSET(Arb!$U$2,,,Arb!$AJ$5,),BN21)+INDEX(OFFSET(Arb!$V$2,,,Arb!$AJ$5,),BN21))/BO21)</f>
        <v>5.2910052910052912</v>
      </c>
      <c r="BS21" s="51">
        <f t="shared" ca="1" si="17"/>
        <v>51.997211450487995</v>
      </c>
      <c r="BT21" s="88">
        <f ca="1">IF(BN21="","",DATE(INDEX(OFFSET(Arb!$C$2,,,Arb!$AJ$5,),BN21),INDEX(OFFSET(Arb!$B$2,,,Arb!$AJ$5,),BN21),INDEX(OFFSET(Arb!$A$2,,,Arb!$AJ$5,),BN21))+ROW()*0.001)</f>
        <v>43989.021000000001</v>
      </c>
      <c r="BU21" s="436">
        <v>21</v>
      </c>
      <c r="BV21" s="1">
        <v>1807</v>
      </c>
      <c r="BW21" s="52">
        <f ca="1">IF(BV21="","",INDEX(OFFSET(Arb!$H$2,,,Arb!$AJ$5,),BV21))</f>
        <v>5.73</v>
      </c>
      <c r="BX21" s="3">
        <f t="shared" ca="1" si="18"/>
        <v>3.664921465968586</v>
      </c>
      <c r="BY21" s="165">
        <f ca="1">IF(BV21="","",INDEX(OFFSET(Arb!$X$2,,,Arb!$AJ$5,),BV21)/BW21)</f>
        <v>4.3630017452006982</v>
      </c>
      <c r="BZ21" s="165">
        <f ca="1">IF(BV21="","",(INDEX(OFFSET(Arb!$U$2,,,Arb!$AJ$5,),BV21)+INDEX(OFFSET(Arb!$V$2,,,Arb!$AJ$5,),BV21))/BW21)</f>
        <v>4.8865619546247814</v>
      </c>
      <c r="CA21" s="51">
        <f t="shared" ca="1" si="19"/>
        <v>51.075002472529874</v>
      </c>
      <c r="CB21" s="91">
        <f ca="1">IF(BV21="","",DATE(INDEX(OFFSET(Arb!$C$2,,,Arb!$AJ$5,),BV21),INDEX(OFFSET(Arb!$B$2,,,Arb!$AJ$5,),BV21),INDEX(OFFSET(Arb!$A$2,,,Arb!$AJ$5,),BV21))+ROW()*0.001)</f>
        <v>44168.021000000001</v>
      </c>
    </row>
    <row r="22" spans="1:80" x14ac:dyDescent="0.25">
      <c r="A22" s="433">
        <v>22</v>
      </c>
      <c r="B22" s="1">
        <v>1646</v>
      </c>
      <c r="C22" s="52">
        <f ca="1">IF(B22="","",INDEX(OFFSET(Arb!$H$2,,,Arb!$AJ$5,),B22))</f>
        <v>5.78</v>
      </c>
      <c r="D22" s="3">
        <f t="shared" ca="1" si="0"/>
        <v>3.8062283737024218</v>
      </c>
      <c r="E22" s="165">
        <f ca="1">IF(B22="","",INDEX(OFFSET(Arb!$X$2,,,Arb!$AJ$5,),B22)/C22)</f>
        <v>3.9792387543252592</v>
      </c>
      <c r="F22" s="165">
        <f ca="1">IF(B22="","",(INDEX(OFFSET(Arb!$U$2,,,Arb!$AJ$5,),B22)+INDEX(OFFSET(Arb!$V$2,,,Arb!$AJ$5,),B22))/C22)</f>
        <v>4.3252595155709344</v>
      </c>
      <c r="G22" s="51">
        <f t="shared" ca="1" si="1"/>
        <v>52.722660119350728</v>
      </c>
      <c r="H22" s="355">
        <f ca="1">IF(B22="","",DATE(INDEX(OFFSET(Arb!$C$2,,,Arb!$AJ$5,),B22),INDEX(OFFSET(Arb!$B$2,,,Arb!$AJ$5,),B22),INDEX(OFFSET(Arb!$A$2,,,Arb!$AJ$5,),B22))+ROW()*0.001)</f>
        <v>44093.021999999997</v>
      </c>
      <c r="I22" s="436">
        <v>22</v>
      </c>
      <c r="J22" s="1">
        <v>1420</v>
      </c>
      <c r="K22" s="52">
        <f ca="1">IF(J22="","",INDEX(OFFSET(Arb!$H$2,,,Arb!$AJ$5,),J22))</f>
        <v>5.97</v>
      </c>
      <c r="L22" s="3">
        <f t="shared" ca="1" si="2"/>
        <v>3.6850921273031827</v>
      </c>
      <c r="M22" s="165">
        <f ca="1">IF(J22="","",INDEX(OFFSET(Arb!$X$2,,,Arb!$AJ$5,),J22)/K22)</f>
        <v>4.3551088777219435</v>
      </c>
      <c r="N22" s="165">
        <f ca="1">IF(J22="","",(INDEX(OFFSET(Arb!$U$2,,,Arb!$AJ$5,),J22)+INDEX(OFFSET(Arb!$V$2,,,Arb!$AJ$5,),J22))/K22)</f>
        <v>4.6901172529313238</v>
      </c>
      <c r="O22" s="51">
        <f t="shared" ca="1" si="3"/>
        <v>49.902037340752052</v>
      </c>
      <c r="P22" s="91">
        <f ca="1">IF(J22="","",DATE(INDEX(OFFSET(Arb!$C$2,,,Arb!$AJ$5,),J22),INDEX(OFFSET(Arb!$B$2,,,Arb!$AJ$5,),J22),INDEX(OFFSET(Arb!$A$2,,,Arb!$AJ$5,),J22))+ROW()*0.001)</f>
        <v>43940.021999999997</v>
      </c>
      <c r="Q22" s="442">
        <v>22</v>
      </c>
      <c r="R22" s="1">
        <v>1514</v>
      </c>
      <c r="S22" s="52">
        <f ca="1">IF(R22="","",INDEX(OFFSET(Arb!$H$2,,,Arb!$AJ$5,),R22))</f>
        <v>5.99</v>
      </c>
      <c r="T22" s="3">
        <f t="shared" ca="1" si="4"/>
        <v>3.672787979966611</v>
      </c>
      <c r="U22" s="165">
        <f ca="1">IF(R22="","",INDEX(OFFSET(Arb!$X$2,,,Arb!$AJ$5,),R22)/S22)</f>
        <v>4.5075125208681133</v>
      </c>
      <c r="V22" s="165">
        <f ca="1">IF(R22="","",(INDEX(OFFSET(Arb!$U$2,,,Arb!$AJ$5,),R22)+INDEX(OFFSET(Arb!$V$2,,,Arb!$AJ$5,),R22))/S22)</f>
        <v>4.8414023372287147</v>
      </c>
      <c r="W22" s="51">
        <f t="shared" ca="1" si="5"/>
        <v>49.619118166331759</v>
      </c>
      <c r="X22" s="88">
        <f ca="1">IF(R22="","",DATE(INDEX(OFFSET(Arb!$C$2,,,Arb!$AJ$5,),R22),INDEX(OFFSET(Arb!$B$2,,,Arb!$AJ$5,),R22),INDEX(OFFSET(Arb!$A$2,,,Arb!$AJ$5,),R22))+ROW()*0.001)</f>
        <v>43984.021999999997</v>
      </c>
      <c r="Y22" s="436">
        <v>22</v>
      </c>
      <c r="Z22" s="1">
        <v>1292</v>
      </c>
      <c r="AA22" s="52">
        <f ca="1">IF(Z22="","",INDEX(OFFSET(Arb!$H$2,,,Arb!$AJ$5,),Z22))</f>
        <v>6.02</v>
      </c>
      <c r="AB22" s="3">
        <f t="shared" ca="1" si="6"/>
        <v>3.6544850498338874</v>
      </c>
      <c r="AC22" s="165">
        <f ca="1">IF(Z22="","",INDEX(OFFSET(Arb!$X$2,,,Arb!$AJ$5,),Z22)/AA22)</f>
        <v>4.8172757475083063</v>
      </c>
      <c r="AD22" s="165">
        <f ca="1">IF(Z22="","",(INDEX(OFFSET(Arb!$U$2,,,Arb!$AJ$5,),Z22)+INDEX(OFFSET(Arb!$V$2,,,Arb!$AJ$5,),Z22))/AA22)</f>
        <v>5.8139534883720936</v>
      </c>
      <c r="AE22" s="51">
        <f t="shared" ca="1" si="7"/>
        <v>49.199490420535021</v>
      </c>
      <c r="AF22" s="91">
        <f ca="1">IF(Z22="","",DATE(INDEX(OFFSET(Arb!$C$2,,,Arb!$AJ$5,),Z22),INDEX(OFFSET(Arb!$B$2,,,Arb!$AJ$5,),Z22),INDEX(OFFSET(Arb!$A$2,,,Arb!$AJ$5,),Z22))+ROW()*0.001)</f>
        <v>43906.021999999997</v>
      </c>
      <c r="AG22" s="442">
        <v>22</v>
      </c>
      <c r="AH22" s="1">
        <v>1389</v>
      </c>
      <c r="AI22" s="52">
        <f ca="1">IF(AH22="","",INDEX(OFFSET(Arb!$H$2,,,Arb!$AJ$5,),AH22))</f>
        <v>6.2</v>
      </c>
      <c r="AJ22" s="3">
        <f t="shared" ca="1" si="8"/>
        <v>3.5483870967741935</v>
      </c>
      <c r="AK22" s="165">
        <f ca="1">IF(AH22="","",INDEX(OFFSET(Arb!$X$2,,,Arb!$AJ$5,),AH22)/AI22)</f>
        <v>3.8709677419354835</v>
      </c>
      <c r="AL22" s="165">
        <f ca="1">IF(AH22="","",(INDEX(OFFSET(Arb!$U$2,,,Arb!$AJ$5,),AH22)+INDEX(OFFSET(Arb!$V$2,,,Arb!$AJ$5,),AH22))/AI22)</f>
        <v>4.67741935483871</v>
      </c>
      <c r="AM22" s="51">
        <f t="shared" ca="1" si="9"/>
        <v>46.796003805054674</v>
      </c>
      <c r="AN22" s="88">
        <f ca="1">IF(AH22="","",DATE(INDEX(OFFSET(Arb!$C$2,,,Arb!$AJ$5,),AH22),INDEX(OFFSET(Arb!$B$2,,,Arb!$AJ$5,),AH22),INDEX(OFFSET(Arb!$A$2,,,Arb!$AJ$5,),AH22))+ROW()*0.001)</f>
        <v>43940.021999999997</v>
      </c>
      <c r="AO22" s="436">
        <v>22</v>
      </c>
      <c r="AP22" s="1">
        <v>1345</v>
      </c>
      <c r="AQ22" s="52">
        <f ca="1">IF(AP22="","",INDEX(OFFSET(Arb!$H$2,,,Arb!$AJ$5,),AP22))</f>
        <v>6.3</v>
      </c>
      <c r="AR22" s="3">
        <f t="shared" ca="1" si="10"/>
        <v>3.4920634920634921</v>
      </c>
      <c r="AS22" s="165">
        <f ca="1">IF(AP22="","",INDEX(OFFSET(Arb!$X$2,,,Arb!$AJ$5,),AP22)/AQ22)</f>
        <v>4.1269841269841274</v>
      </c>
      <c r="AT22" s="165">
        <f ca="1">IF(AP22="","",(INDEX(OFFSET(Arb!$U$2,,,Arb!$AJ$5,),AP22)+INDEX(OFFSET(Arb!$V$2,,,Arb!$AJ$5,),AP22))/AQ22)</f>
        <v>4.7619047619047619</v>
      </c>
      <c r="AU22" s="51">
        <f t="shared" ca="1" si="11"/>
        <v>45.540280963191329</v>
      </c>
      <c r="AV22" s="91">
        <f ca="1">IF(AP22="","",DATE(INDEX(OFFSET(Arb!$C$2,,,Arb!$AJ$5,),AP22),INDEX(OFFSET(Arb!$B$2,,,Arb!$AJ$5,),AP22),INDEX(OFFSET(Arb!$A$2,,,Arb!$AJ$5,),AP22))+ROW()*0.001)</f>
        <v>43935.021999999997</v>
      </c>
      <c r="AW22" s="442">
        <v>22</v>
      </c>
      <c r="AX22" s="1">
        <v>1023</v>
      </c>
      <c r="AY22" s="52">
        <f ca="1">IF(AX22="","",INDEX(OFFSET(Arb!$H$2,,,Arb!$AJ$5,),AX22))</f>
        <v>6.38</v>
      </c>
      <c r="AZ22" s="3">
        <f t="shared" ca="1" si="12"/>
        <v>3.4482758620689657</v>
      </c>
      <c r="BA22" s="165">
        <f ca="1">IF(AX22="","",INDEX(OFFSET(Arb!$X$2,,,Arb!$AJ$5,),AX22)/AY22)</f>
        <v>4.0752351097178687</v>
      </c>
      <c r="BB22" s="165">
        <f ca="1">IF(AX22="","",(INDEX(OFFSET(Arb!$U$2,,,Arb!$AJ$5,),AX22)+INDEX(OFFSET(Arb!$V$2,,,Arb!$AJ$5,),AX22))/AY22)</f>
        <v>4.5454545454545459</v>
      </c>
      <c r="BC22" s="51">
        <f t="shared" ca="1" si="13"/>
        <v>44.573782126366581</v>
      </c>
      <c r="BD22" s="88">
        <f ca="1">IF(AX22="","",DATE(INDEX(OFFSET(Arb!$C$2,,,Arb!$AJ$5,),AX22),INDEX(OFFSET(Arb!$B$2,,,Arb!$AJ$5,),AX22),INDEX(OFFSET(Arb!$A$2,,,Arb!$AJ$5,),AX22))+ROW()*0.001)</f>
        <v>43839.021999999997</v>
      </c>
      <c r="BE22" s="436">
        <v>22</v>
      </c>
      <c r="BF22" s="1">
        <v>1607</v>
      </c>
      <c r="BG22" s="52">
        <f ca="1">IF(BF22="","",INDEX(OFFSET(Arb!$H$2,,,Arb!$AJ$5,),BF22))</f>
        <v>6.44</v>
      </c>
      <c r="BH22" s="3">
        <f t="shared" ca="1" si="14"/>
        <v>3.4161490683229814</v>
      </c>
      <c r="BI22" s="165">
        <f ca="1">IF(BF22="","",INDEX(OFFSET(Arb!$X$2,,,Arb!$AJ$5,),BF22)/BG22)</f>
        <v>4.5031055900621118</v>
      </c>
      <c r="BJ22" s="165">
        <f ca="1">IF(BF22="","",(INDEX(OFFSET(Arb!$U$2,,,Arb!$AJ$5,),BF22)+INDEX(OFFSET(Arb!$V$2,,,Arb!$AJ$5,),BF22))/BG22)</f>
        <v>5.1242236024844718</v>
      </c>
      <c r="BK22" s="51">
        <f t="shared" ca="1" si="15"/>
        <v>43.870104130302074</v>
      </c>
      <c r="BL22" s="91">
        <f ca="1">IF(BF22="","",DATE(INDEX(OFFSET(Arb!$C$2,,,Arb!$AJ$5,),BF22),INDEX(OFFSET(Arb!$B$2,,,Arb!$AJ$5,),BF22),INDEX(OFFSET(Arb!$A$2,,,Arb!$AJ$5,),BF22))+ROW()*0.001)</f>
        <v>44062.021999999997</v>
      </c>
      <c r="BM22" s="442">
        <v>22</v>
      </c>
      <c r="BN22" s="1">
        <v>111</v>
      </c>
      <c r="BO22" s="52">
        <f ca="1">IF(BN22="","",INDEX(OFFSET(Arb!$H$2,,,Arb!$AJ$5,),BN22))</f>
        <v>6.52</v>
      </c>
      <c r="BP22" s="3">
        <f t="shared" ca="1" si="16"/>
        <v>3.3742331288343559</v>
      </c>
      <c r="BQ22" s="165">
        <f ca="1">IF(BN22="","",INDEX(OFFSET(Arb!$X$2,,,Arb!$AJ$5,),BN22)/BO22)</f>
        <v>4.294478527607362</v>
      </c>
      <c r="BR22" s="165">
        <f ca="1">IF(BN22="","",(INDEX(OFFSET(Arb!$U$2,,,Arb!$AJ$5,),BN22)+INDEX(OFFSET(Arb!$V$2,,,Arb!$AJ$5,),BN22))/BO22)</f>
        <v>5.0613496932515343</v>
      </c>
      <c r="BS22" s="51">
        <f t="shared" ca="1" si="17"/>
        <v>42.958956844520287</v>
      </c>
      <c r="BT22" s="88">
        <f ca="1">IF(BN22="","",DATE(INDEX(OFFSET(Arb!$C$2,,,Arb!$AJ$5,),BN22),INDEX(OFFSET(Arb!$B$2,,,Arb!$AJ$5,),BN22),INDEX(OFFSET(Arb!$A$2,,,Arb!$AJ$5,),BN22))+ROW()*0.001)</f>
        <v>43770.021999999997</v>
      </c>
      <c r="BU22" s="436">
        <v>22</v>
      </c>
      <c r="BV22" s="1">
        <v>457</v>
      </c>
      <c r="BW22" s="52">
        <f ca="1">IF(BV22="","",INDEX(OFFSET(Arb!$H$2,,,Arb!$AJ$5,),BV22))</f>
        <v>6.62</v>
      </c>
      <c r="BX22" s="3">
        <f t="shared" ca="1" si="18"/>
        <v>3.3232628398791539</v>
      </c>
      <c r="BY22" s="165">
        <f ca="1">IF(BV22="","",INDEX(OFFSET(Arb!$X$2,,,Arb!$AJ$5,),BV22)/BW22)</f>
        <v>3.7764350453172204</v>
      </c>
      <c r="BZ22" s="165">
        <f ca="1">IF(BV22="","",(INDEX(OFFSET(Arb!$U$2,,,Arb!$AJ$5,),BV22)+INDEX(OFFSET(Arb!$V$2,,,Arb!$AJ$5,),BV22))/BW22)</f>
        <v>4.2296072507552873</v>
      </c>
      <c r="CA22" s="51">
        <f t="shared" ca="1" si="19"/>
        <v>41.861622569110139</v>
      </c>
      <c r="CB22" s="91">
        <f ca="1">IF(BV22="","",DATE(INDEX(OFFSET(Arb!$C$2,,,Arb!$AJ$5,),BV22),INDEX(OFFSET(Arb!$B$2,,,Arb!$AJ$5,),BV22),INDEX(OFFSET(Arb!$A$2,,,Arb!$AJ$5,),BV22))+ROW()*0.001)</f>
        <v>43784.021999999997</v>
      </c>
    </row>
    <row r="23" spans="1:80" x14ac:dyDescent="0.25">
      <c r="A23" s="433">
        <v>23</v>
      </c>
      <c r="B23" s="1">
        <v>689</v>
      </c>
      <c r="C23" s="52">
        <f ca="1">IF(B23="","",INDEX(OFFSET(Arb!$H$2,,,Arb!$AJ$5,),B23))</f>
        <v>5.25</v>
      </c>
      <c r="D23" s="3">
        <f t="shared" ca="1" si="0"/>
        <v>4.3809523809523814</v>
      </c>
      <c r="E23" s="165">
        <f ca="1">IF(B23="","",INDEX(OFFSET(Arb!$X$2,,,Arb!$AJ$5,),B23)/C23)</f>
        <v>4.5714285714285712</v>
      </c>
      <c r="F23" s="165">
        <f ca="1">IF(B23="","",(INDEX(OFFSET(Arb!$U$2,,,Arb!$AJ$5,),B23)+INDEX(OFFSET(Arb!$V$2,,,Arb!$AJ$5,),B23))/C23)</f>
        <v>5.1428571428571432</v>
      </c>
      <c r="G23" s="51">
        <f t="shared" ca="1" si="1"/>
        <v>64.909606924607402</v>
      </c>
      <c r="H23" s="355">
        <f ca="1">IF(B23="","",DATE(INDEX(OFFSET(Arb!$C$2,,,Arb!$AJ$5,),B23),INDEX(OFFSET(Arb!$B$2,,,Arb!$AJ$5,),B23),INDEX(OFFSET(Arb!$A$2,,,Arb!$AJ$5,),B23))+ROW()*0.001)</f>
        <v>43801.023000000001</v>
      </c>
      <c r="I23" s="436">
        <v>23</v>
      </c>
      <c r="J23" s="1">
        <v>1696</v>
      </c>
      <c r="K23" s="52">
        <f ca="1">IF(J23="","",INDEX(OFFSET(Arb!$H$2,,,Arb!$AJ$5,),J23))</f>
        <v>5.28</v>
      </c>
      <c r="L23" s="3">
        <f t="shared" ca="1" si="2"/>
        <v>4.3560606060606055</v>
      </c>
      <c r="M23" s="165">
        <f ca="1">IF(J23="","",INDEX(OFFSET(Arb!$X$2,,,Arb!$AJ$5,),J23)/K23)</f>
        <v>4.3560606060606055</v>
      </c>
      <c r="N23" s="165">
        <f ca="1">IF(J23="","",(INDEX(OFFSET(Arb!$U$2,,,Arb!$AJ$5,),J23)+INDEX(OFFSET(Arb!$V$2,,,Arb!$AJ$5,),J23))/K23)</f>
        <v>4.7348484848484844</v>
      </c>
      <c r="O23" s="51">
        <f t="shared" ca="1" si="3"/>
        <v>64.283886651130416</v>
      </c>
      <c r="P23" s="91">
        <f ca="1">IF(J23="","",DATE(INDEX(OFFSET(Arb!$C$2,,,Arb!$AJ$5,),J23),INDEX(OFFSET(Arb!$B$2,,,Arb!$AJ$5,),J23),INDEX(OFFSET(Arb!$A$2,,,Arb!$AJ$5,),J23))+ROW()*0.001)</f>
        <v>44106.023000000001</v>
      </c>
      <c r="Q23" s="442">
        <v>23</v>
      </c>
      <c r="R23" s="1">
        <v>1589</v>
      </c>
      <c r="S23" s="52">
        <f ca="1">IF(R23="","",INDEX(OFFSET(Arb!$H$2,,,Arb!$AJ$5,),R23))</f>
        <v>5.86</v>
      </c>
      <c r="T23" s="3">
        <f t="shared" ca="1" si="4"/>
        <v>3.9249146757679179</v>
      </c>
      <c r="U23" s="165">
        <f ca="1">IF(R23="","",INDEX(OFFSET(Arb!$X$2,,,Arb!$AJ$5,),R23)/S23)</f>
        <v>4.7781569965870307</v>
      </c>
      <c r="V23" s="165">
        <f ca="1">IF(R23="","",(INDEX(OFFSET(Arb!$U$2,,,Arb!$AJ$5,),R23)+INDEX(OFFSET(Arb!$V$2,,,Arb!$AJ$5,),R23))/S23)</f>
        <v>5.6313993174061432</v>
      </c>
      <c r="W23" s="51">
        <f t="shared" ca="1" si="5"/>
        <v>53.846049700871994</v>
      </c>
      <c r="X23" s="88">
        <f ca="1">IF(R23="","",DATE(INDEX(OFFSET(Arb!$C$2,,,Arb!$AJ$5,),R23),INDEX(OFFSET(Arb!$B$2,,,Arb!$AJ$5,),R23),INDEX(OFFSET(Arb!$A$2,,,Arb!$AJ$5,),R23))+ROW()*0.001)</f>
        <v>44054.023000000001</v>
      </c>
      <c r="Y23" s="436">
        <v>23</v>
      </c>
      <c r="Z23" s="1">
        <v>1260</v>
      </c>
      <c r="AA23" s="52">
        <f ca="1">IF(Z23="","",INDEX(OFFSET(Arb!$H$2,,,Arb!$AJ$5,),Z23))</f>
        <v>6.21</v>
      </c>
      <c r="AB23" s="3">
        <f t="shared" ca="1" si="6"/>
        <v>3.7037037037037037</v>
      </c>
      <c r="AC23" s="165">
        <f ca="1">IF(Z23="","",INDEX(OFFSET(Arb!$X$2,,,Arb!$AJ$5,),Z23)/AA23)</f>
        <v>4.1867954911433172</v>
      </c>
      <c r="AD23" s="165">
        <f ca="1">IF(Z23="","",(INDEX(OFFSET(Arb!$U$2,,,Arb!$AJ$5,),Z23)+INDEX(OFFSET(Arb!$V$2,,,Arb!$AJ$5,),Z23))/AA23)</f>
        <v>4.8309178743961354</v>
      </c>
      <c r="AE23" s="51">
        <f t="shared" ca="1" si="7"/>
        <v>48.789242424991691</v>
      </c>
      <c r="AF23" s="91">
        <f ca="1">IF(Z23="","",DATE(INDEX(OFFSET(Arb!$C$2,,,Arb!$AJ$5,),Z23),INDEX(OFFSET(Arb!$B$2,,,Arb!$AJ$5,),Z23),INDEX(OFFSET(Arb!$A$2,,,Arb!$AJ$5,),Z23))+ROW()*0.001)</f>
        <v>43901.023000000001</v>
      </c>
      <c r="AG23" s="442">
        <v>23</v>
      </c>
      <c r="AH23" s="1">
        <v>1614</v>
      </c>
      <c r="AI23" s="52">
        <f ca="1">IF(AH23="","",INDEX(OFFSET(Arb!$H$2,,,Arb!$AJ$5,),AH23))</f>
        <v>6.23</v>
      </c>
      <c r="AJ23" s="3">
        <f t="shared" ca="1" si="8"/>
        <v>3.6918138041733544</v>
      </c>
      <c r="AK23" s="165">
        <f ca="1">IF(AH23="","",INDEX(OFFSET(Arb!$X$2,,,Arb!$AJ$5,),AH23)/AI23)</f>
        <v>4.815409309791332</v>
      </c>
      <c r="AL23" s="165">
        <f ca="1">IF(AH23="","",(INDEX(OFFSET(Arb!$U$2,,,Arb!$AJ$5,),AH23)+INDEX(OFFSET(Arb!$V$2,,,Arb!$AJ$5,),AH23))/AI23)</f>
        <v>5.6179775280898872</v>
      </c>
      <c r="AM23" s="51">
        <f t="shared" ca="1" si="9"/>
        <v>48.523276167403317</v>
      </c>
      <c r="AN23" s="88">
        <f ca="1">IF(AH23="","",DATE(INDEX(OFFSET(Arb!$C$2,,,Arb!$AJ$5,),AH23),INDEX(OFFSET(Arb!$B$2,,,Arb!$AJ$5,),AH23),INDEX(OFFSET(Arb!$A$2,,,Arb!$AJ$5,),AH23))+ROW()*0.001)</f>
        <v>44070.023000000001</v>
      </c>
      <c r="AO23" s="436">
        <v>23</v>
      </c>
      <c r="AP23" s="1">
        <v>613</v>
      </c>
      <c r="AQ23" s="52">
        <f ca="1">IF(AP23="","",INDEX(OFFSET(Arb!$H$2,,,Arb!$AJ$5,),AP23))</f>
        <v>6.37</v>
      </c>
      <c r="AR23" s="3">
        <f t="shared" ca="1" si="10"/>
        <v>3.6106750392464679</v>
      </c>
      <c r="AS23" s="165">
        <f ca="1">IF(AP23="","",INDEX(OFFSET(Arb!$X$2,,,Arb!$AJ$5,),AP23)/AQ23)</f>
        <v>3.6106750392464679</v>
      </c>
      <c r="AT23" s="165">
        <f ca="1">IF(AP23="","",(INDEX(OFFSET(Arb!$U$2,,,Arb!$AJ$5,),AP23)+INDEX(OFFSET(Arb!$V$2,,,Arb!$AJ$5,),AP23))/AQ23)</f>
        <v>3.9246467817896389</v>
      </c>
      <c r="AU23" s="51">
        <f t="shared" ca="1" si="11"/>
        <v>46.724295295123952</v>
      </c>
      <c r="AV23" s="91">
        <f ca="1">IF(AP23="","",DATE(INDEX(OFFSET(Arb!$C$2,,,Arb!$AJ$5,),AP23),INDEX(OFFSET(Arb!$B$2,,,Arb!$AJ$5,),AP23),INDEX(OFFSET(Arb!$A$2,,,Arb!$AJ$5,),AP23))+ROW()*0.001)</f>
        <v>43799.023000000001</v>
      </c>
      <c r="AW23" s="442">
        <v>23</v>
      </c>
      <c r="AX23" s="1">
        <v>212</v>
      </c>
      <c r="AY23" s="52">
        <f ca="1">IF(AX23="","",INDEX(OFFSET(Arb!$H$2,,,Arb!$AJ$5,),AX23))</f>
        <v>6.41</v>
      </c>
      <c r="AZ23" s="3">
        <f t="shared" ca="1" si="12"/>
        <v>3.5881435257410295</v>
      </c>
      <c r="BA23" s="165">
        <f ca="1">IF(AX23="","",INDEX(OFFSET(Arb!$X$2,,,Arb!$AJ$5,),AX23)/AY23)</f>
        <v>4.0561622464898592</v>
      </c>
      <c r="BB23" s="165">
        <f ca="1">IF(AX23="","",(INDEX(OFFSET(Arb!$U$2,,,Arb!$AJ$5,),AX23)+INDEX(OFFSET(Arb!$V$2,,,Arb!$AJ$5,),AX23))/AY23)</f>
        <v>4.6801872074882995</v>
      </c>
      <c r="BC23" s="51">
        <f t="shared" ca="1" si="13"/>
        <v>46.229707409821977</v>
      </c>
      <c r="BD23" s="88">
        <f ca="1">IF(AX23="","",DATE(INDEX(OFFSET(Arb!$C$2,,,Arb!$AJ$5,),AX23),INDEX(OFFSET(Arb!$B$2,,,Arb!$AJ$5,),AX23),INDEX(OFFSET(Arb!$A$2,,,Arb!$AJ$5,),AX23))+ROW()*0.001)</f>
        <v>43774.023000000001</v>
      </c>
      <c r="BE23" s="436">
        <v>23</v>
      </c>
      <c r="BF23" s="1">
        <v>1868</v>
      </c>
      <c r="BG23" s="52">
        <f ca="1">IF(BF23="","",INDEX(OFFSET(Arb!$H$2,,,Arb!$AJ$5,),BF23))</f>
        <v>6.48</v>
      </c>
      <c r="BH23" s="3">
        <f t="shared" ca="1" si="14"/>
        <v>3.5493827160493825</v>
      </c>
      <c r="BI23" s="165">
        <f ca="1">IF(BF23="","",INDEX(OFFSET(Arb!$X$2,,,Arb!$AJ$5,),BF23)/BG23)</f>
        <v>3.7037037037037033</v>
      </c>
      <c r="BJ23" s="165">
        <f ca="1">IF(BF23="","",(INDEX(OFFSET(Arb!$U$2,,,Arb!$AJ$5,),BF23)+INDEX(OFFSET(Arb!$V$2,,,Arb!$AJ$5,),BF23))/BG23)</f>
        <v>4.0123456790123457</v>
      </c>
      <c r="BK23" s="51">
        <f t="shared" ca="1" si="15"/>
        <v>45.383949256682769</v>
      </c>
      <c r="BL23" s="91">
        <f ca="1">IF(BF23="","",DATE(INDEX(OFFSET(Arb!$C$2,,,Arb!$AJ$5,),BF23),INDEX(OFFSET(Arb!$B$2,,,Arb!$AJ$5,),BF23),INDEX(OFFSET(Arb!$A$2,,,Arb!$AJ$5,),BF23))+ROW()*0.001)</f>
        <v>44168.023000000001</v>
      </c>
      <c r="BM23" s="442">
        <v>23</v>
      </c>
      <c r="BN23" s="1">
        <v>1682</v>
      </c>
      <c r="BO23" s="52">
        <f ca="1">IF(BN23="","",INDEX(OFFSET(Arb!$H$2,,,Arb!$AJ$5,),BN23))</f>
        <v>6.64</v>
      </c>
      <c r="BP23" s="3">
        <f t="shared" ca="1" si="16"/>
        <v>3.463855421686747</v>
      </c>
      <c r="BQ23" s="165">
        <f ca="1">IF(BN23="","",INDEX(OFFSET(Arb!$X$2,,,Arb!$AJ$5,),BN23)/BO23)</f>
        <v>3.463855421686747</v>
      </c>
      <c r="BR23" s="165">
        <f ca="1">IF(BN23="","",(INDEX(OFFSET(Arb!$U$2,,,Arb!$AJ$5,),BN23)+INDEX(OFFSET(Arb!$V$2,,,Arb!$AJ$5,),BN23))/BO23)</f>
        <v>3.9156626506024099</v>
      </c>
      <c r="BS23" s="51">
        <f t="shared" ca="1" si="17"/>
        <v>43.540564970777574</v>
      </c>
      <c r="BT23" s="88">
        <f ca="1">IF(BN23="","",DATE(INDEX(OFFSET(Arb!$C$2,,,Arb!$AJ$5,),BN23),INDEX(OFFSET(Arb!$B$2,,,Arb!$AJ$5,),BN23),INDEX(OFFSET(Arb!$A$2,,,Arb!$AJ$5,),BN23))+ROW()*0.001)</f>
        <v>44100.023000000001</v>
      </c>
      <c r="BU23" s="436">
        <v>23</v>
      </c>
      <c r="BV23" s="1">
        <v>1720</v>
      </c>
      <c r="BW23" s="52">
        <f ca="1">IF(BV23="","",INDEX(OFFSET(Arb!$H$2,,,Arb!$AJ$5,),BV23))</f>
        <v>6.65</v>
      </c>
      <c r="BX23" s="3">
        <f t="shared" ca="1" si="18"/>
        <v>3.4586466165413534</v>
      </c>
      <c r="BY23" s="165">
        <f ca="1">IF(BV23="","",INDEX(OFFSET(Arb!$X$2,,,Arb!$AJ$5,),BV23)/BW23)</f>
        <v>3.6090225563909772</v>
      </c>
      <c r="BZ23" s="165">
        <f ca="1">IF(BV23="","",(INDEX(OFFSET(Arb!$U$2,,,Arb!$AJ$5,),BV23)+INDEX(OFFSET(Arb!$V$2,,,Arb!$AJ$5,),BV23))/BW23)</f>
        <v>4.511278195488722</v>
      </c>
      <c r="CA23" s="51">
        <f t="shared" ca="1" si="19"/>
        <v>43.429316854624787</v>
      </c>
      <c r="CB23" s="91">
        <f ca="1">IF(BV23="","",DATE(INDEX(OFFSET(Arb!$C$2,,,Arb!$AJ$5,),BV23),INDEX(OFFSET(Arb!$B$2,,,Arb!$AJ$5,),BV23),INDEX(OFFSET(Arb!$A$2,,,Arb!$AJ$5,),BV23))+ROW()*0.001)</f>
        <v>44107.023000000001</v>
      </c>
    </row>
    <row r="24" spans="1:80" x14ac:dyDescent="0.25">
      <c r="A24" s="433">
        <v>24</v>
      </c>
      <c r="B24" s="1">
        <v>1595</v>
      </c>
      <c r="C24" s="52">
        <f ca="1">IF(B24="","",INDEX(OFFSET(Arb!$H$2,,,Arb!$AJ$5,),B24))</f>
        <v>5.28</v>
      </c>
      <c r="D24" s="3">
        <f t="shared" ca="1" si="0"/>
        <v>4.545454545454545</v>
      </c>
      <c r="E24" s="165">
        <f ca="1">IF(B24="","",INDEX(OFFSET(Arb!$X$2,,,Arb!$AJ$5,),B24)/C24)</f>
        <v>4.7348484848484844</v>
      </c>
      <c r="F24" s="165">
        <f ca="1">IF(B24="","",(INDEX(OFFSET(Arb!$U$2,,,Arb!$AJ$5,),B24)+INDEX(OFFSET(Arb!$V$2,,,Arb!$AJ$5,),B24))/C24)</f>
        <v>5.1136363636363633</v>
      </c>
      <c r="G24" s="51">
        <f t="shared" ca="1" si="1"/>
        <v>67.078838244657831</v>
      </c>
      <c r="H24" s="355">
        <f ca="1">IF(B24="","",DATE(INDEX(OFFSET(Arb!$C$2,,,Arb!$AJ$5,),B24),INDEX(OFFSET(Arb!$B$2,,,Arb!$AJ$5,),B24),INDEX(OFFSET(Arb!$A$2,,,Arb!$AJ$5,),B24))+ROW()*0.001)</f>
        <v>44054.023999999998</v>
      </c>
      <c r="I24" s="436">
        <v>24</v>
      </c>
      <c r="J24" s="1">
        <v>1538</v>
      </c>
      <c r="K24" s="52">
        <f ca="1">IF(J24="","",INDEX(OFFSET(Arb!$H$2,,,Arb!$AJ$5,),J24))</f>
        <v>6.01</v>
      </c>
      <c r="L24" s="3">
        <f t="shared" ca="1" si="2"/>
        <v>3.9933444259567388</v>
      </c>
      <c r="M24" s="165">
        <f ca="1">IF(J24="","",INDEX(OFFSET(Arb!$X$2,,,Arb!$AJ$5,),J24)/K24)</f>
        <v>4.3261231281198</v>
      </c>
      <c r="N24" s="165">
        <f ca="1">IF(J24="","",(INDEX(OFFSET(Arb!$U$2,,,Arb!$AJ$5,),J24)+INDEX(OFFSET(Arb!$V$2,,,Arb!$AJ$5,),J24))/K24)</f>
        <v>4.9916805324459235</v>
      </c>
      <c r="O24" s="51">
        <f t="shared" ca="1" si="3"/>
        <v>53.824077888374703</v>
      </c>
      <c r="P24" s="91">
        <f ca="1">IF(J24="","",DATE(INDEX(OFFSET(Arb!$C$2,,,Arb!$AJ$5,),J24),INDEX(OFFSET(Arb!$B$2,,,Arb!$AJ$5,),J24),INDEX(OFFSET(Arb!$A$2,,,Arb!$AJ$5,),J24))+ROW()*0.001)</f>
        <v>43984.023999999998</v>
      </c>
      <c r="Q24" s="442">
        <v>24</v>
      </c>
      <c r="R24" s="1">
        <v>1592</v>
      </c>
      <c r="S24" s="52">
        <f ca="1">IF(R24="","",INDEX(OFFSET(Arb!$H$2,,,Arb!$AJ$5,),R24))</f>
        <v>6.13</v>
      </c>
      <c r="T24" s="3">
        <f t="shared" ca="1" si="4"/>
        <v>3.9151712887438825</v>
      </c>
      <c r="U24" s="165">
        <f ca="1">IF(R24="","",INDEX(OFFSET(Arb!$X$2,,,Arb!$AJ$5,),R24)/S24)</f>
        <v>4.0783034257748776</v>
      </c>
      <c r="V24" s="165">
        <f ca="1">IF(R24="","",(INDEX(OFFSET(Arb!$U$2,,,Arb!$AJ$5,),R24)+INDEX(OFFSET(Arb!$V$2,,,Arb!$AJ$5,),R24))/S24)</f>
        <v>4.4045676998368677</v>
      </c>
      <c r="W24" s="51">
        <f t="shared" ca="1" si="5"/>
        <v>52.045165508258556</v>
      </c>
      <c r="X24" s="88">
        <f ca="1">IF(R24="","",DATE(INDEX(OFFSET(Arb!$C$2,,,Arb!$AJ$5,),R24),INDEX(OFFSET(Arb!$B$2,,,Arb!$AJ$5,),R24),INDEX(OFFSET(Arb!$A$2,,,Arb!$AJ$5,),R24))+ROW()*0.001)</f>
        <v>44054.023999999998</v>
      </c>
      <c r="Y24" s="436">
        <v>24</v>
      </c>
      <c r="Z24" s="1">
        <v>1187</v>
      </c>
      <c r="AA24" s="52">
        <f ca="1">IF(Z24="","",INDEX(OFFSET(Arb!$H$2,,,Arb!$AJ$5,),Z24))</f>
        <v>6.15</v>
      </c>
      <c r="AB24" s="3">
        <f t="shared" ca="1" si="6"/>
        <v>3.9024390243902438</v>
      </c>
      <c r="AC24" s="165">
        <f ca="1">IF(Z24="","",INDEX(OFFSET(Arb!$X$2,,,Arb!$AJ$5,),Z24)/AA24)</f>
        <v>3.9024390243902438</v>
      </c>
      <c r="AD24" s="165">
        <f ca="1">IF(Z24="","",(INDEX(OFFSET(Arb!$U$2,,,Arb!$AJ$5,),Z24)+INDEX(OFFSET(Arb!$V$2,,,Arb!$AJ$5,),Z24))/AA24)</f>
        <v>4.3902439024390238</v>
      </c>
      <c r="AE24" s="51">
        <f t="shared" ca="1" si="7"/>
        <v>51.757763741428974</v>
      </c>
      <c r="AF24" s="91">
        <f ca="1">IF(Z24="","",DATE(INDEX(OFFSET(Arb!$C$2,,,Arb!$AJ$5,),Z24),INDEX(OFFSET(Arb!$B$2,,,Arb!$AJ$5,),Z24),INDEX(OFFSET(Arb!$A$2,,,Arb!$AJ$5,),Z24))+ROW()*0.001)</f>
        <v>43893.023999999998</v>
      </c>
      <c r="AG24" s="442">
        <v>24</v>
      </c>
      <c r="AH24" s="1">
        <v>1258</v>
      </c>
      <c r="AI24" s="52">
        <f ca="1">IF(AH24="","",INDEX(OFFSET(Arb!$H$2,,,Arb!$AJ$5,),AH24))</f>
        <v>6.18</v>
      </c>
      <c r="AJ24" s="3">
        <f t="shared" ca="1" si="8"/>
        <v>3.883495145631068</v>
      </c>
      <c r="AK24" s="165">
        <f ca="1">IF(AH24="","",INDEX(OFFSET(Arb!$X$2,,,Arb!$AJ$5,),AH24)/AI24)</f>
        <v>3.883495145631068</v>
      </c>
      <c r="AL24" s="165">
        <f ca="1">IF(AH24="","",(INDEX(OFFSET(Arb!$U$2,,,Arb!$AJ$5,),AH24)+INDEX(OFFSET(Arb!$V$2,,,Arb!$AJ$5,),AH24))/AI24)</f>
        <v>4.6925566343042071</v>
      </c>
      <c r="AM24" s="51">
        <f t="shared" ca="1" si="9"/>
        <v>51.33136261927487</v>
      </c>
      <c r="AN24" s="88">
        <f ca="1">IF(AH24="","",DATE(INDEX(OFFSET(Arb!$C$2,,,Arb!$AJ$5,),AH24),INDEX(OFFSET(Arb!$B$2,,,Arb!$AJ$5,),AH24),INDEX(OFFSET(Arb!$A$2,,,Arb!$AJ$5,),AH24))+ROW()*0.001)</f>
        <v>43901.023999999998</v>
      </c>
      <c r="AO24" s="436">
        <v>24</v>
      </c>
      <c r="AP24" s="1">
        <v>1370</v>
      </c>
      <c r="AQ24" s="52">
        <f ca="1">IF(AP24="","",INDEX(OFFSET(Arb!$H$2,,,Arb!$AJ$5,),AP24))</f>
        <v>6.19</v>
      </c>
      <c r="AR24" s="3">
        <f t="shared" ca="1" si="10"/>
        <v>3.8772213247172855</v>
      </c>
      <c r="AS24" s="165">
        <f ca="1">IF(AP24="","",INDEX(OFFSET(Arb!$X$2,,,Arb!$AJ$5,),AP24)/AQ24)</f>
        <v>4.8465266558966071</v>
      </c>
      <c r="AT24" s="165">
        <f ca="1">IF(AP24="","",(INDEX(OFFSET(Arb!$U$2,,,Arb!$AJ$5,),AP24)+INDEX(OFFSET(Arb!$V$2,,,Arb!$AJ$5,),AP24))/AQ24)</f>
        <v>5.4927302100161546</v>
      </c>
      <c r="AU24" s="51">
        <f t="shared" ca="1" si="11"/>
        <v>51.190467680106195</v>
      </c>
      <c r="AV24" s="91">
        <f ca="1">IF(AP24="","",DATE(INDEX(OFFSET(Arb!$C$2,,,Arb!$AJ$5,),AP24),INDEX(OFFSET(Arb!$B$2,,,Arb!$AJ$5,),AP24),INDEX(OFFSET(Arb!$A$2,,,Arb!$AJ$5,),AP24))+ROW()*0.001)</f>
        <v>43935.023999999998</v>
      </c>
      <c r="AW24" s="442">
        <v>24</v>
      </c>
      <c r="AX24" s="1">
        <v>610</v>
      </c>
      <c r="AY24" s="52">
        <f ca="1">IF(AX24="","",INDEX(OFFSET(Arb!$H$2,,,Arb!$AJ$5,),AX24))</f>
        <v>6.46</v>
      </c>
      <c r="AZ24" s="3">
        <f t="shared" ca="1" si="12"/>
        <v>3.7151702786377707</v>
      </c>
      <c r="BA24" s="165">
        <f ca="1">IF(AX24="","",INDEX(OFFSET(Arb!$X$2,,,Arb!$AJ$5,),AX24)/AY24)</f>
        <v>3.7151702786377707</v>
      </c>
      <c r="BB24" s="165">
        <f ca="1">IF(AX24="","",(INDEX(OFFSET(Arb!$U$2,,,Arb!$AJ$5,),AX24)+INDEX(OFFSET(Arb!$V$2,,,Arb!$AJ$5,),AX24))/AY24)</f>
        <v>4.1795665634674926</v>
      </c>
      <c r="BC24" s="51">
        <f t="shared" ca="1" si="13"/>
        <v>47.606682675352431</v>
      </c>
      <c r="BD24" s="88">
        <f ca="1">IF(AX24="","",DATE(INDEX(OFFSET(Arb!$C$2,,,Arb!$AJ$5,),AX24),INDEX(OFFSET(Arb!$B$2,,,Arb!$AJ$5,),AX24),INDEX(OFFSET(Arb!$A$2,,,Arb!$AJ$5,),AX24))+ROW()*0.001)</f>
        <v>43799.023999999998</v>
      </c>
      <c r="BE24" s="436">
        <v>24</v>
      </c>
      <c r="BF24" s="1">
        <v>1231</v>
      </c>
      <c r="BG24" s="52">
        <f ca="1">IF(BF24="","",INDEX(OFFSET(Arb!$H$2,,,Arb!$AJ$5,),BF24))</f>
        <v>6.47</v>
      </c>
      <c r="BH24" s="3">
        <f t="shared" ca="1" si="14"/>
        <v>3.7094281298299845</v>
      </c>
      <c r="BI24" s="165">
        <f ca="1">IF(BF24="","",INDEX(OFFSET(Arb!$X$2,,,Arb!$AJ$5,),BF24)/BG24)</f>
        <v>3.8639876352395675</v>
      </c>
      <c r="BJ24" s="165">
        <f ca="1">IF(BF24="","",(INDEX(OFFSET(Arb!$U$2,,,Arb!$AJ$5,),BF24)+INDEX(OFFSET(Arb!$V$2,,,Arb!$AJ$5,),BF24))/BG24)</f>
        <v>4.1731066460587325</v>
      </c>
      <c r="BK24" s="51">
        <f t="shared" ca="1" si="15"/>
        <v>47.481663242138666</v>
      </c>
      <c r="BL24" s="91">
        <f ca="1">IF(BF24="","",DATE(INDEX(OFFSET(Arb!$C$2,,,Arb!$AJ$5,),BF24),INDEX(OFFSET(Arb!$B$2,,,Arb!$AJ$5,),BF24),INDEX(OFFSET(Arb!$A$2,,,Arb!$AJ$5,),BF24))+ROW()*0.001)</f>
        <v>43898.023999999998</v>
      </c>
      <c r="BM24" s="442">
        <v>24</v>
      </c>
      <c r="BN24" s="1">
        <v>1396</v>
      </c>
      <c r="BO24" s="52">
        <f ca="1">IF(BN24="","",INDEX(OFFSET(Arb!$H$2,,,Arb!$AJ$5,),BN24))</f>
        <v>6.5</v>
      </c>
      <c r="BP24" s="3">
        <f t="shared" ca="1" si="16"/>
        <v>3.6923076923076925</v>
      </c>
      <c r="BQ24" s="165">
        <f ca="1">IF(BN24="","",INDEX(OFFSET(Arb!$X$2,,,Arb!$AJ$5,),BN24)/BO24)</f>
        <v>3.8461538461538463</v>
      </c>
      <c r="BR24" s="165">
        <f ca="1">IF(BN24="","",(INDEX(OFFSET(Arb!$U$2,,,Arb!$AJ$5,),BN24)+INDEX(OFFSET(Arb!$V$2,,,Arb!$AJ$5,),BN24))/BO24)</f>
        <v>4.4615384615384617</v>
      </c>
      <c r="BS24" s="51">
        <f t="shared" ca="1" si="17"/>
        <v>47.109716894654966</v>
      </c>
      <c r="BT24" s="88">
        <f ca="1">IF(BN24="","",DATE(INDEX(OFFSET(Arb!$C$2,,,Arb!$AJ$5,),BN24),INDEX(OFFSET(Arb!$B$2,,,Arb!$AJ$5,),BN24),INDEX(OFFSET(Arb!$A$2,,,Arb!$AJ$5,),BN24))+ROW()*0.001)</f>
        <v>43940.023999999998</v>
      </c>
      <c r="BU24" s="436">
        <v>24</v>
      </c>
      <c r="BV24" s="1">
        <v>416</v>
      </c>
      <c r="BW24" s="52">
        <f ca="1">IF(BV24="","",INDEX(OFFSET(Arb!$H$2,,,Arb!$AJ$5,),BV24))</f>
        <v>6.51</v>
      </c>
      <c r="BX24" s="3">
        <f t="shared" ca="1" si="18"/>
        <v>3.6866359447004609</v>
      </c>
      <c r="BY24" s="165">
        <f ca="1">IF(BV24="","",INDEX(OFFSET(Arb!$X$2,,,Arb!$AJ$5,),BV24)/BW24)</f>
        <v>4.1474654377880187</v>
      </c>
      <c r="BZ24" s="165">
        <f ca="1">IF(BV24="","",(INDEX(OFFSET(Arb!$U$2,,,Arb!$AJ$5,),BV24)+INDEX(OFFSET(Arb!$V$2,,,Arb!$AJ$5,),BV24))/BW24)</f>
        <v>5.2227342549923197</v>
      </c>
      <c r="CA24" s="51">
        <f t="shared" ca="1" si="19"/>
        <v>46.986762278932275</v>
      </c>
      <c r="CB24" s="91">
        <f ca="1">IF(BV24="","",DATE(INDEX(OFFSET(Arb!$C$2,,,Arb!$AJ$5,),BV24),INDEX(OFFSET(Arb!$B$2,,,Arb!$AJ$5,),BV24),INDEX(OFFSET(Arb!$A$2,,,Arb!$AJ$5,),BV24))+ROW()*0.001)</f>
        <v>43781.023999999998</v>
      </c>
    </row>
    <row r="25" spans="1:80" x14ac:dyDescent="0.25">
      <c r="A25" s="433">
        <v>25</v>
      </c>
      <c r="B25" s="1">
        <v>807</v>
      </c>
      <c r="C25" s="52">
        <f ca="1">IF(B25="","",INDEX(OFFSET(Arb!$H$2,,,Arb!$AJ$5,),B25))</f>
        <v>5.9</v>
      </c>
      <c r="D25" s="3">
        <f t="shared" ca="1" si="0"/>
        <v>4.2372881355932197</v>
      </c>
      <c r="E25" s="165">
        <f ca="1">IF(B25="","",INDEX(OFFSET(Arb!$X$2,,,Arb!$AJ$5,),B25)/C25)</f>
        <v>3.2203389830508473</v>
      </c>
      <c r="F25" s="165">
        <f ca="1">IF(B25="","",(INDEX(OFFSET(Arb!$U$2,,,Arb!$AJ$5,),B25)+INDEX(OFFSET(Arb!$V$2,,,Arb!$AJ$5,),B25))/C25)</f>
        <v>4.0677966101694913</v>
      </c>
      <c r="G25" s="51">
        <f t="shared" ca="1" si="1"/>
        <v>57.855353010036239</v>
      </c>
      <c r="H25" s="355">
        <f ca="1">IF(B25="","",DATE(INDEX(OFFSET(Arb!$C$2,,,Arb!$AJ$5,),B25),INDEX(OFFSET(Arb!$B$2,,,Arb!$AJ$5,),B25),INDEX(OFFSET(Arb!$A$2,,,Arb!$AJ$5,),B25))+ROW()*0.001)</f>
        <v>43811.025000000001</v>
      </c>
      <c r="I25" s="436">
        <v>25</v>
      </c>
      <c r="J25" s="1">
        <v>1599</v>
      </c>
      <c r="K25" s="52">
        <f ca="1">IF(J25="","",INDEX(OFFSET(Arb!$H$2,,,Arb!$AJ$5,),J25))</f>
        <v>6.38</v>
      </c>
      <c r="L25" s="3">
        <f t="shared" ca="1" si="2"/>
        <v>3.9184952978056429</v>
      </c>
      <c r="M25" s="165">
        <f ca="1">IF(J25="","",INDEX(OFFSET(Arb!$X$2,,,Arb!$AJ$5,),J25)/K25)</f>
        <v>5.1724137931034484</v>
      </c>
      <c r="N25" s="165">
        <f ca="1">IF(J25="","",(INDEX(OFFSET(Arb!$U$2,,,Arb!$AJ$5,),J25)+INDEX(OFFSET(Arb!$V$2,,,Arb!$AJ$5,),J25))/K25)</f>
        <v>5.6426332288401255</v>
      </c>
      <c r="O25" s="51">
        <f t="shared" ca="1" si="3"/>
        <v>50.652025143598379</v>
      </c>
      <c r="P25" s="91">
        <f ca="1">IF(J25="","",DATE(INDEX(OFFSET(Arb!$C$2,,,Arb!$AJ$5,),J25),INDEX(OFFSET(Arb!$B$2,,,Arb!$AJ$5,),J25),INDEX(OFFSET(Arb!$A$2,,,Arb!$AJ$5,),J25))+ROW()*0.001)</f>
        <v>44054.025000000001</v>
      </c>
      <c r="Q25" s="442">
        <v>25</v>
      </c>
      <c r="R25" s="1">
        <v>1334</v>
      </c>
      <c r="S25" s="52">
        <f ca="1">IF(R25="","",INDEX(OFFSET(Arb!$H$2,,,Arb!$AJ$5,),R25))</f>
        <v>6.57</v>
      </c>
      <c r="T25" s="3">
        <f t="shared" ca="1" si="4"/>
        <v>3.8051750380517504</v>
      </c>
      <c r="U25" s="165">
        <f ca="1">IF(R25="","",INDEX(OFFSET(Arb!$X$2,,,Arb!$AJ$5,),R25)/S25)</f>
        <v>4.4140030441400304</v>
      </c>
      <c r="V25" s="165">
        <f ca="1">IF(R25="","",(INDEX(OFFSET(Arb!$U$2,,,Arb!$AJ$5,),R25)+INDEX(OFFSET(Arb!$V$2,,,Arb!$AJ$5,),R25))/S25)</f>
        <v>5.0228310502283104</v>
      </c>
      <c r="W25" s="51">
        <f t="shared" ca="1" si="5"/>
        <v>48.187105438795655</v>
      </c>
      <c r="X25" s="88">
        <f ca="1">IF(R25="","",DATE(INDEX(OFFSET(Arb!$C$2,,,Arb!$AJ$5,),R25),INDEX(OFFSET(Arb!$B$2,,,Arb!$AJ$5,),R25),INDEX(OFFSET(Arb!$A$2,,,Arb!$AJ$5,),R25))+ROW()*0.001)</f>
        <v>43935.025000000001</v>
      </c>
      <c r="Y25" s="436">
        <v>25</v>
      </c>
      <c r="Z25" s="1">
        <v>584</v>
      </c>
      <c r="AA25" s="52">
        <f ca="1">IF(Z25="","",INDEX(OFFSET(Arb!$H$2,,,Arb!$AJ$5,),Z25))</f>
        <v>6.58</v>
      </c>
      <c r="AB25" s="3">
        <f t="shared" ca="1" si="6"/>
        <v>3.7993920972644375</v>
      </c>
      <c r="AC25" s="165">
        <f ca="1">IF(Z25="","",INDEX(OFFSET(Arb!$X$2,,,Arb!$AJ$5,),Z25)/AA25)</f>
        <v>4.1033434650455929</v>
      </c>
      <c r="AD25" s="165">
        <f ca="1">IF(Z25="","",(INDEX(OFFSET(Arb!$U$2,,,Arb!$AJ$5,),Z25)+INDEX(OFFSET(Arb!$V$2,,,Arb!$AJ$5,),Z25))/AA25)</f>
        <v>4.4072948328267474</v>
      </c>
      <c r="AE25" s="51">
        <f t="shared" ca="1" si="7"/>
        <v>48.06267610874373</v>
      </c>
      <c r="AF25" s="91">
        <f ca="1">IF(Z25="","",DATE(INDEX(OFFSET(Arb!$C$2,,,Arb!$AJ$5,),Z25),INDEX(OFFSET(Arb!$B$2,,,Arb!$AJ$5,),Z25),INDEX(OFFSET(Arb!$A$2,,,Arb!$AJ$5,),Z25))+ROW()*0.001)</f>
        <v>43797.025000000001</v>
      </c>
      <c r="AG25" s="442">
        <v>25</v>
      </c>
      <c r="AH25" s="1">
        <v>1664</v>
      </c>
      <c r="AI25" s="52">
        <f ca="1">IF(AH25="","",INDEX(OFFSET(Arb!$H$2,,,Arb!$AJ$5,),AH25))</f>
        <v>6.81</v>
      </c>
      <c r="AJ25" s="3">
        <f t="shared" ca="1" si="8"/>
        <v>3.6710719530102791</v>
      </c>
      <c r="AK25" s="165">
        <f ca="1">IF(AH25="","",INDEX(OFFSET(Arb!$X$2,,,Arb!$AJ$5,),AH25)/AI25)</f>
        <v>3.9647577092511015</v>
      </c>
      <c r="AL25" s="165">
        <f ca="1">IF(AH25="","",(INDEX(OFFSET(Arb!$U$2,,,Arb!$AJ$5,),AH25)+INDEX(OFFSET(Arb!$V$2,,,Arb!$AJ$5,),AH25))/AI25)</f>
        <v>4.6989720998531572</v>
      </c>
      <c r="AM25" s="51">
        <f t="shared" ca="1" si="9"/>
        <v>45.335861968040156</v>
      </c>
      <c r="AN25" s="88">
        <f ca="1">IF(AH25="","",DATE(INDEX(OFFSET(Arb!$C$2,,,Arb!$AJ$5,),AH25),INDEX(OFFSET(Arb!$B$2,,,Arb!$AJ$5,),AH25),INDEX(OFFSET(Arb!$A$2,,,Arb!$AJ$5,),AH25))+ROW()*0.001)</f>
        <v>44096.025000000001</v>
      </c>
      <c r="AO25" s="436">
        <v>25</v>
      </c>
      <c r="AP25" s="1">
        <v>1839</v>
      </c>
      <c r="AQ25" s="52">
        <f ca="1">IF(AP25="","",INDEX(OFFSET(Arb!$H$2,,,Arb!$AJ$5,),AP25))</f>
        <v>6.87</v>
      </c>
      <c r="AR25" s="3">
        <f t="shared" ca="1" si="10"/>
        <v>3.6390101892285296</v>
      </c>
      <c r="AS25" s="165">
        <f ca="1">IF(AP25="","",INDEX(OFFSET(Arb!$X$2,,,Arb!$AJ$5,),AP25)/AQ25)</f>
        <v>4.0756914119359537</v>
      </c>
      <c r="AT25" s="165">
        <f ca="1">IF(AP25="","",(INDEX(OFFSET(Arb!$U$2,,,Arb!$AJ$5,),AP25)+INDEX(OFFSET(Arb!$V$2,,,Arb!$AJ$5,),AP25))/AQ25)</f>
        <v>4.6579330422125178</v>
      </c>
      <c r="AU25" s="51">
        <f t="shared" ca="1" si="11"/>
        <v>44.66481244051338</v>
      </c>
      <c r="AV25" s="91">
        <f ca="1">IF(AP25="","",DATE(INDEX(OFFSET(Arb!$C$2,,,Arb!$AJ$5,),AP25),INDEX(OFFSET(Arb!$B$2,,,Arb!$AJ$5,),AP25),INDEX(OFFSET(Arb!$A$2,,,Arb!$AJ$5,),AP25))+ROW()*0.001)</f>
        <v>44168.025000000001</v>
      </c>
      <c r="AW25" s="442">
        <v>25</v>
      </c>
      <c r="AX25" s="1">
        <v>489</v>
      </c>
      <c r="AY25" s="52">
        <f ca="1">IF(AX25="","",INDEX(OFFSET(Arb!$H$2,,,Arb!$AJ$5,),AX25))</f>
        <v>6.9</v>
      </c>
      <c r="AZ25" s="3">
        <f t="shared" ca="1" si="12"/>
        <v>3.6231884057971011</v>
      </c>
      <c r="BA25" s="165">
        <f ca="1">IF(AX25="","",INDEX(OFFSET(Arb!$X$2,,,Arb!$AJ$5,),AX25)/AY25)</f>
        <v>3.9130434782608692</v>
      </c>
      <c r="BB25" s="165">
        <f ca="1">IF(AX25="","",(INDEX(OFFSET(Arb!$U$2,,,Arb!$AJ$5,),AX25)+INDEX(OFFSET(Arb!$V$2,,,Arb!$AJ$5,),AX25))/AY25)</f>
        <v>4.7826086956521738</v>
      </c>
      <c r="BC25" s="51">
        <f t="shared" ca="1" si="13"/>
        <v>44.335183810458815</v>
      </c>
      <c r="BD25" s="88">
        <f ca="1">IF(AX25="","",DATE(INDEX(OFFSET(Arb!$C$2,,,Arb!$AJ$5,),AX25),INDEX(OFFSET(Arb!$B$2,,,Arb!$AJ$5,),AX25),INDEX(OFFSET(Arb!$A$2,,,Arb!$AJ$5,),AX25))+ROW()*0.001)</f>
        <v>43786.025000000001</v>
      </c>
      <c r="BE25" s="436">
        <v>25</v>
      </c>
      <c r="BF25" s="1">
        <v>1318</v>
      </c>
      <c r="BG25" s="52">
        <f ca="1">IF(BF25="","",INDEX(OFFSET(Arb!$H$2,,,Arb!$AJ$5,),BF25))</f>
        <v>6.94</v>
      </c>
      <c r="BH25" s="3">
        <f t="shared" ca="1" si="14"/>
        <v>3.6023054755043225</v>
      </c>
      <c r="BI25" s="165">
        <f ca="1">IF(BF25="","",INDEX(OFFSET(Arb!$X$2,,,Arb!$AJ$5,),BF25)/BG25)</f>
        <v>4.7550432276657055</v>
      </c>
      <c r="BJ25" s="165">
        <f ca="1">IF(BF25="","",(INDEX(OFFSET(Arb!$U$2,,,Arb!$AJ$5,),BF25)+INDEX(OFFSET(Arb!$V$2,,,Arb!$AJ$5,),BF25))/BG25)</f>
        <v>5.7636887608069163</v>
      </c>
      <c r="BK25" s="51">
        <f t="shared" ca="1" si="15"/>
        <v>43.90165250307529</v>
      </c>
      <c r="BL25" s="91">
        <f ca="1">IF(BF25="","",DATE(INDEX(OFFSET(Arb!$C$2,,,Arb!$AJ$5,),BF25),INDEX(OFFSET(Arb!$B$2,,,Arb!$AJ$5,),BF25),INDEX(OFFSET(Arb!$A$2,,,Arb!$AJ$5,),BF25))+ROW()*0.001)</f>
        <v>43912.025000000001</v>
      </c>
      <c r="BM25" s="442">
        <v>25</v>
      </c>
      <c r="BN25" s="1">
        <v>1610</v>
      </c>
      <c r="BO25" s="52">
        <f ca="1">IF(BN25="","",INDEX(OFFSET(Arb!$H$2,,,Arb!$AJ$5,),BN25))</f>
        <v>7.02</v>
      </c>
      <c r="BP25" s="3">
        <f t="shared" ca="1" si="16"/>
        <v>3.5612535612535616</v>
      </c>
      <c r="BQ25" s="165">
        <f ca="1">IF(BN25="","",INDEX(OFFSET(Arb!$X$2,,,Arb!$AJ$5,),BN25)/BO25)</f>
        <v>4.2735042735042734</v>
      </c>
      <c r="BR25" s="165">
        <f ca="1">IF(BN25="","",(INDEX(OFFSET(Arb!$U$2,,,Arb!$AJ$5,),BN25)+INDEX(OFFSET(Arb!$V$2,,,Arb!$AJ$5,),BN25))/BO25)</f>
        <v>4.700854700854701</v>
      </c>
      <c r="BS25" s="51">
        <f t="shared" ca="1" si="17"/>
        <v>43.054532411517449</v>
      </c>
      <c r="BT25" s="88">
        <f ca="1">IF(BN25="","",DATE(INDEX(OFFSET(Arb!$C$2,,,Arb!$AJ$5,),BN25),INDEX(OFFSET(Arb!$B$2,,,Arb!$AJ$5,),BN25),INDEX(OFFSET(Arb!$A$2,,,Arb!$AJ$5,),BN25))+ROW()*0.001)</f>
        <v>44062.025000000001</v>
      </c>
      <c r="BU25" s="436">
        <v>25</v>
      </c>
      <c r="BV25" s="1">
        <v>1073</v>
      </c>
      <c r="BW25" s="52">
        <f ca="1">IF(BV25="","",INDEX(OFFSET(Arb!$H$2,,,Arb!$AJ$5,),BV25))</f>
        <v>7.1</v>
      </c>
      <c r="BX25" s="3">
        <f t="shared" ca="1" si="18"/>
        <v>3.5211267605633805</v>
      </c>
      <c r="BY25" s="165">
        <f ca="1">IF(BV25="","",INDEX(OFFSET(Arb!$X$2,,,Arb!$AJ$5,),BV25)/BW25)</f>
        <v>4.647887323943662</v>
      </c>
      <c r="BZ25" s="165">
        <f ca="1">IF(BV25="","",(INDEX(OFFSET(Arb!$U$2,,,Arb!$AJ$5,),BV25)+INDEX(OFFSET(Arb!$V$2,,,Arb!$AJ$5,),BV25))/BW25)</f>
        <v>5.352112676056338</v>
      </c>
      <c r="CA25" s="51">
        <f t="shared" ca="1" si="19"/>
        <v>42.233081917114461</v>
      </c>
      <c r="CB25" s="91">
        <f ca="1">IF(BV25="","",DATE(INDEX(OFFSET(Arb!$C$2,,,Arb!$AJ$5,),BV25),INDEX(OFFSET(Arb!$B$2,,,Arb!$AJ$5,),BV25),INDEX(OFFSET(Arb!$A$2,,,Arb!$AJ$5,),BV25))+ROW()*0.001)</f>
        <v>43841.025000000001</v>
      </c>
    </row>
    <row r="26" spans="1:80" x14ac:dyDescent="0.25">
      <c r="A26" s="433">
        <v>26</v>
      </c>
      <c r="B26" s="1">
        <v>764</v>
      </c>
      <c r="C26" s="52">
        <f ca="1">IF(B26="","",INDEX(OFFSET(Arb!$H$2,,,Arb!$AJ$5,),B26))</f>
        <v>6.11</v>
      </c>
      <c r="D26" s="3">
        <f t="shared" ca="1" si="0"/>
        <v>4.2553191489361701</v>
      </c>
      <c r="E26" s="165">
        <f ca="1">IF(B26="","",INDEX(OFFSET(Arb!$X$2,,,Arb!$AJ$5,),B26)/C26)</f>
        <v>4.7463175122749588</v>
      </c>
      <c r="F26" s="165">
        <f ca="1">IF(B26="","",(INDEX(OFFSET(Arb!$U$2,,,Arb!$AJ$5,),B26)+INDEX(OFFSET(Arb!$V$2,,,Arb!$AJ$5,),B26))/C26)</f>
        <v>5.0736497545008179</v>
      </c>
      <c r="G26" s="51">
        <f t="shared" ca="1" si="1"/>
        <v>56.696369416857031</v>
      </c>
      <c r="H26" s="355">
        <f ca="1">IF(B26="","",DATE(INDEX(OFFSET(Arb!$C$2,,,Arb!$AJ$5,),B26),INDEX(OFFSET(Arb!$B$2,,,Arb!$AJ$5,),B26),INDEX(OFFSET(Arb!$A$2,,,Arb!$AJ$5,),B26))+ROW()*0.001)</f>
        <v>43809.025999999998</v>
      </c>
      <c r="I26" s="436">
        <v>26</v>
      </c>
      <c r="J26" s="1">
        <v>21</v>
      </c>
      <c r="K26" s="52">
        <f ca="1">IF(J26="","",INDEX(OFFSET(Arb!$H$2,,,Arb!$AJ$5,),J26))</f>
        <v>6.12</v>
      </c>
      <c r="L26" s="3">
        <f t="shared" ca="1" si="2"/>
        <v>4.2483660130718954</v>
      </c>
      <c r="M26" s="165">
        <f ca="1">IF(J26="","",INDEX(OFFSET(Arb!$X$2,,,Arb!$AJ$5,),J26)/K26)</f>
        <v>4.5751633986928102</v>
      </c>
      <c r="N26" s="165">
        <f ca="1">IF(J26="","",(INDEX(OFFSET(Arb!$U$2,,,Arb!$AJ$5,),J26)+INDEX(OFFSET(Arb!$V$2,,,Arb!$AJ$5,),J26))/K26)</f>
        <v>5.3921568627450975</v>
      </c>
      <c r="O26" s="51">
        <f t="shared" ca="1" si="3"/>
        <v>56.538969584296865</v>
      </c>
      <c r="P26" s="91">
        <f ca="1">IF(J26="","",DATE(INDEX(OFFSET(Arb!$C$2,,,Arb!$AJ$5,),J26),INDEX(OFFSET(Arb!$B$2,,,Arb!$AJ$5,),J26),INDEX(OFFSET(Arb!$A$2,,,Arb!$AJ$5,),J26))+ROW()*0.001)</f>
        <v>43765.025999999998</v>
      </c>
      <c r="Q26" s="442">
        <v>26</v>
      </c>
      <c r="R26" s="1">
        <v>443</v>
      </c>
      <c r="S26" s="52">
        <f ca="1">IF(R26="","",INDEX(OFFSET(Arb!$H$2,,,Arb!$AJ$5,),R26))</f>
        <v>6.44</v>
      </c>
      <c r="T26" s="3">
        <f t="shared" ca="1" si="4"/>
        <v>4.037267080745341</v>
      </c>
      <c r="U26" s="165">
        <f ca="1">IF(R26="","",INDEX(OFFSET(Arb!$X$2,,,Arb!$AJ$5,),R26)/S26)</f>
        <v>4.3478260869565215</v>
      </c>
      <c r="V26" s="165">
        <f ca="1">IF(R26="","",(INDEX(OFFSET(Arb!$U$2,,,Arb!$AJ$5,),R26)+INDEX(OFFSET(Arb!$V$2,,,Arb!$AJ$5,),R26))/S26)</f>
        <v>5.4347826086956514</v>
      </c>
      <c r="W26" s="51">
        <f t="shared" ca="1" si="5"/>
        <v>51.846486699447901</v>
      </c>
      <c r="X26" s="88">
        <f ca="1">IF(R26="","",DATE(INDEX(OFFSET(Arb!$C$2,,,Arb!$AJ$5,),R26),INDEX(OFFSET(Arb!$B$2,,,Arb!$AJ$5,),R26),INDEX(OFFSET(Arb!$A$2,,,Arb!$AJ$5,),R26))+ROW()*0.001)</f>
        <v>43782.025999999998</v>
      </c>
      <c r="Y26" s="436">
        <v>26</v>
      </c>
      <c r="Z26" s="1">
        <v>933</v>
      </c>
      <c r="AA26" s="52">
        <f ca="1">IF(Z26="","",INDEX(OFFSET(Arb!$H$2,,,Arb!$AJ$5,),Z26))</f>
        <v>6.7</v>
      </c>
      <c r="AB26" s="3">
        <f t="shared" ca="1" si="6"/>
        <v>3.8805970149253732</v>
      </c>
      <c r="AC26" s="165">
        <f ca="1">IF(Z26="","",INDEX(OFFSET(Arb!$X$2,,,Arb!$AJ$5,),Z26)/AA26)</f>
        <v>3.8805970149253732</v>
      </c>
      <c r="AD26" s="165">
        <f ca="1">IF(Z26="","",(INDEX(OFFSET(Arb!$U$2,,,Arb!$AJ$5,),Z26)+INDEX(OFFSET(Arb!$V$2,,,Arb!$AJ$5,),Z26))/AA26)</f>
        <v>4.3283582089552235</v>
      </c>
      <c r="AE26" s="51">
        <f t="shared" ca="1" si="7"/>
        <v>48.47280392105786</v>
      </c>
      <c r="AF26" s="91">
        <f ca="1">IF(Z26="","",DATE(INDEX(OFFSET(Arb!$C$2,,,Arb!$AJ$5,),Z26),INDEX(OFFSET(Arb!$B$2,,,Arb!$AJ$5,),Z26),INDEX(OFFSET(Arb!$A$2,,,Arb!$AJ$5,),Z26))+ROW()*0.001)</f>
        <v>43822.025999999998</v>
      </c>
      <c r="AG26" s="442">
        <v>26</v>
      </c>
      <c r="AH26" s="1">
        <v>95</v>
      </c>
      <c r="AI26" s="52">
        <f ca="1">IF(AH26="","",INDEX(OFFSET(Arb!$H$2,,,Arb!$AJ$5,),AH26))</f>
        <v>6.92</v>
      </c>
      <c r="AJ26" s="3">
        <f t="shared" ca="1" si="8"/>
        <v>3.7572254335260116</v>
      </c>
      <c r="AK26" s="165">
        <f ca="1">IF(AH26="","",INDEX(OFFSET(Arb!$X$2,,,Arb!$AJ$5,),AH26)/AI26)</f>
        <v>3.901734104046243</v>
      </c>
      <c r="AL26" s="165">
        <f ca="1">IF(AH26="","",(INDEX(OFFSET(Arb!$U$2,,,Arb!$AJ$5,),AH26)+INDEX(OFFSET(Arb!$V$2,,,Arb!$AJ$5,),AH26))/AI26)</f>
        <v>4.4797687861271678</v>
      </c>
      <c r="AM26" s="51">
        <f t="shared" ca="1" si="9"/>
        <v>45.882275292202188</v>
      </c>
      <c r="AN26" s="88">
        <f ca="1">IF(AH26="","",DATE(INDEX(OFFSET(Arb!$C$2,,,Arb!$AJ$5,),AH26),INDEX(OFFSET(Arb!$B$2,,,Arb!$AJ$5,),AH26),INDEX(OFFSET(Arb!$A$2,,,Arb!$AJ$5,),AH26))+ROW()*0.001)</f>
        <v>43767.025999999998</v>
      </c>
      <c r="AO26" s="436">
        <v>26</v>
      </c>
      <c r="AP26" s="1">
        <v>1558</v>
      </c>
      <c r="AQ26" s="52">
        <f ca="1">IF(AP26="","",INDEX(OFFSET(Arb!$H$2,,,Arb!$AJ$5,),AP26))</f>
        <v>6.94</v>
      </c>
      <c r="AR26" s="3">
        <f t="shared" ca="1" si="10"/>
        <v>3.7463976945244957</v>
      </c>
      <c r="AS26" s="165">
        <f ca="1">IF(AP26="","",INDEX(OFFSET(Arb!$X$2,,,Arb!$AJ$5,),AP26)/AQ26)</f>
        <v>4.3227665706051868</v>
      </c>
      <c r="AT26" s="165">
        <f ca="1">IF(AP26="","",(INDEX(OFFSET(Arb!$U$2,,,Arb!$AJ$5,),AP26)+INDEX(OFFSET(Arb!$V$2,,,Arb!$AJ$5,),AP26))/AQ26)</f>
        <v>5.9077809798270886</v>
      </c>
      <c r="AU26" s="51">
        <f t="shared" ca="1" si="11"/>
        <v>45.657718603198298</v>
      </c>
      <c r="AV26" s="91">
        <f ca="1">IF(AP26="","",DATE(INDEX(OFFSET(Arb!$C$2,,,Arb!$AJ$5,),AP26),INDEX(OFFSET(Arb!$B$2,,,Arb!$AJ$5,),AP26),INDEX(OFFSET(Arb!$A$2,,,Arb!$AJ$5,),AP26))+ROW()*0.001)</f>
        <v>43989.025999999998</v>
      </c>
      <c r="AW26" s="442">
        <v>26</v>
      </c>
      <c r="AX26" s="1">
        <v>322</v>
      </c>
      <c r="AY26" s="52">
        <f ca="1">IF(AX26="","",INDEX(OFFSET(Arb!$H$2,,,Arb!$AJ$5,),AX26))</f>
        <v>7.07</v>
      </c>
      <c r="AZ26" s="3">
        <f t="shared" ca="1" si="12"/>
        <v>3.6775106082036775</v>
      </c>
      <c r="BA26" s="165">
        <f ca="1">IF(AX26="","",INDEX(OFFSET(Arb!$X$2,,,Arb!$AJ$5,),AX26)/AY26)</f>
        <v>3.9603960396039604</v>
      </c>
      <c r="BB26" s="165">
        <f ca="1">IF(AX26="","",(INDEX(OFFSET(Arb!$U$2,,,Arb!$AJ$5,),AX26)+INDEX(OFFSET(Arb!$V$2,,,Arb!$AJ$5,),AX26))/AY26)</f>
        <v>4.809052333804809</v>
      </c>
      <c r="BC26" s="51">
        <f t="shared" ca="1" si="13"/>
        <v>44.239713263277196</v>
      </c>
      <c r="BD26" s="88">
        <f ca="1">IF(AX26="","",DATE(INDEX(OFFSET(Arb!$C$2,,,Arb!$AJ$5,),AX26),INDEX(OFFSET(Arb!$B$2,,,Arb!$AJ$5,),AX26),INDEX(OFFSET(Arb!$A$2,,,Arb!$AJ$5,),AX26))+ROW()*0.001)</f>
        <v>43779.025999999998</v>
      </c>
      <c r="BE26" s="436">
        <v>26</v>
      </c>
      <c r="BF26" s="1">
        <v>1071</v>
      </c>
      <c r="BG26" s="52">
        <f ca="1">IF(BF26="","",INDEX(OFFSET(Arb!$H$2,,,Arb!$AJ$5,),BF26))</f>
        <v>7.2</v>
      </c>
      <c r="BH26" s="3">
        <f t="shared" ca="1" si="14"/>
        <v>3.6111111111111112</v>
      </c>
      <c r="BI26" s="165">
        <f ca="1">IF(BF26="","",INDEX(OFFSET(Arb!$X$2,,,Arb!$AJ$5,),BF26)/BG26)</f>
        <v>4.0277777777777777</v>
      </c>
      <c r="BJ26" s="165">
        <f ca="1">IF(BF26="","",(INDEX(OFFSET(Arb!$U$2,,,Arb!$AJ$5,),BF26)+INDEX(OFFSET(Arb!$V$2,,,Arb!$AJ$5,),BF26))/BG26)</f>
        <v>4.4444444444444446</v>
      </c>
      <c r="BK26" s="51">
        <f t="shared" ca="1" si="15"/>
        <v>42.890396686324571</v>
      </c>
      <c r="BL26" s="91">
        <f ca="1">IF(BF26="","",DATE(INDEX(OFFSET(Arb!$C$2,,,Arb!$AJ$5,),BF26),INDEX(OFFSET(Arb!$B$2,,,Arb!$AJ$5,),BF26),INDEX(OFFSET(Arb!$A$2,,,Arb!$AJ$5,),BF26))+ROW()*0.001)</f>
        <v>43841.025999999998</v>
      </c>
      <c r="BM26" s="442">
        <v>26</v>
      </c>
      <c r="BN26" s="1">
        <v>1371</v>
      </c>
      <c r="BO26" s="52">
        <f ca="1">IF(BN26="","",INDEX(OFFSET(Arb!$H$2,,,Arb!$AJ$5,),BN26))</f>
        <v>7.3</v>
      </c>
      <c r="BP26" s="3">
        <f t="shared" ca="1" si="16"/>
        <v>3.5616438356164384</v>
      </c>
      <c r="BQ26" s="165">
        <f ca="1">IF(BN26="","",INDEX(OFFSET(Arb!$X$2,,,Arb!$AJ$5,),BN26)/BO26)</f>
        <v>4.3835616438356162</v>
      </c>
      <c r="BR26" s="165">
        <f ca="1">IF(BN26="","",(INDEX(OFFSET(Arb!$U$2,,,Arb!$AJ$5,),BN26)+INDEX(OFFSET(Arb!$V$2,,,Arb!$AJ$5,),BN26))/BO26)</f>
        <v>4.794520547945206</v>
      </c>
      <c r="BS26" s="51">
        <f t="shared" ca="1" si="17"/>
        <v>41.896374669528228</v>
      </c>
      <c r="BT26" s="88">
        <f ca="1">IF(BN26="","",DATE(INDEX(OFFSET(Arb!$C$2,,,Arb!$AJ$5,),BN26),INDEX(OFFSET(Arb!$B$2,,,Arb!$AJ$5,),BN26),INDEX(OFFSET(Arb!$A$2,,,Arb!$AJ$5,),BN26))+ROW()*0.001)</f>
        <v>43935.025999999998</v>
      </c>
      <c r="BU26" s="436">
        <v>26</v>
      </c>
      <c r="BV26" s="1">
        <v>1110</v>
      </c>
      <c r="BW26" s="52">
        <f ca="1">IF(BV26="","",INDEX(OFFSET(Arb!$H$2,,,Arb!$AJ$5,),BV26))</f>
        <v>7.5</v>
      </c>
      <c r="BX26" s="3">
        <f t="shared" ca="1" si="18"/>
        <v>3.4666666666666668</v>
      </c>
      <c r="BY26" s="165">
        <f ca="1">IF(BV26="","",INDEX(OFFSET(Arb!$X$2,,,Arb!$AJ$5,),BV26)/BW26)</f>
        <v>4.1333333333333337</v>
      </c>
      <c r="BZ26" s="165">
        <f ca="1">IF(BV26="","",(INDEX(OFFSET(Arb!$U$2,,,Arb!$AJ$5,),BV26)+INDEX(OFFSET(Arb!$V$2,,,Arb!$AJ$5,),BV26))/BW26)</f>
        <v>4.4000000000000004</v>
      </c>
      <c r="CA26" s="51">
        <f t="shared" ca="1" si="19"/>
        <v>40.014846859125576</v>
      </c>
      <c r="CB26" s="91">
        <f ca="1">IF(BV26="","",DATE(INDEX(OFFSET(Arb!$C$2,,,Arb!$AJ$5,),BV26),INDEX(OFFSET(Arb!$B$2,,,Arb!$AJ$5,),BV26),INDEX(OFFSET(Arb!$A$2,,,Arb!$AJ$5,),BV26))+ROW()*0.001)</f>
        <v>43846.025999999998</v>
      </c>
    </row>
    <row r="27" spans="1:80" x14ac:dyDescent="0.25">
      <c r="A27" s="433">
        <v>27</v>
      </c>
      <c r="B27" s="1">
        <v>1274</v>
      </c>
      <c r="C27" s="52">
        <f ca="1">IF(B27="","",INDEX(OFFSET(Arb!$H$2,,,Arb!$AJ$5,),B27))</f>
        <v>6.04</v>
      </c>
      <c r="D27" s="3">
        <f t="shared" ca="1" si="0"/>
        <v>4.4701986754966887</v>
      </c>
      <c r="E27" s="165">
        <f ca="1">IF(B27="","",INDEX(OFFSET(Arb!$X$2,,,Arb!$AJ$5,),B27)/C27)</f>
        <v>4.4701986754966887</v>
      </c>
      <c r="F27" s="165">
        <f ca="1">IF(B27="","",(INDEX(OFFSET(Arb!$U$2,,,Arb!$AJ$5,),B27)+INDEX(OFFSET(Arb!$V$2,,,Arb!$AJ$5,),B27))/C27)</f>
        <v>4.9668874172185431</v>
      </c>
      <c r="G27" s="51">
        <f t="shared" ca="1" si="1"/>
        <v>60.041692704862264</v>
      </c>
      <c r="H27" s="355">
        <f ca="1">IF(B27="","",DATE(INDEX(OFFSET(Arb!$C$2,,,Arb!$AJ$5,),B27),INDEX(OFFSET(Arb!$B$2,,,Arb!$AJ$5,),B27),INDEX(OFFSET(Arb!$A$2,,,Arb!$AJ$5,),B27))+ROW()*0.001)</f>
        <v>43906.027000000002</v>
      </c>
      <c r="I27" s="436">
        <v>27</v>
      </c>
      <c r="J27" s="1">
        <v>1213</v>
      </c>
      <c r="K27" s="52">
        <f ca="1">IF(J27="","",INDEX(OFFSET(Arb!$H$2,,,Arb!$AJ$5,),J27))</f>
        <v>6.43</v>
      </c>
      <c r="L27" s="3">
        <f t="shared" ca="1" si="2"/>
        <v>4.1990668740279942</v>
      </c>
      <c r="M27" s="165">
        <f ca="1">IF(J27="","",INDEX(OFFSET(Arb!$X$2,,,Arb!$AJ$5,),J27)/K27)</f>
        <v>4.5101088646967344</v>
      </c>
      <c r="N27" s="165">
        <f ca="1">IF(J27="","",(INDEX(OFFSET(Arb!$U$2,,,Arb!$AJ$5,),J27)+INDEX(OFFSET(Arb!$V$2,,,Arb!$AJ$5,),J27))/K27)</f>
        <v>4.5101088646967344</v>
      </c>
      <c r="O27" s="51">
        <f t="shared" ca="1" si="3"/>
        <v>53.983006608632145</v>
      </c>
      <c r="P27" s="91">
        <f ca="1">IF(J27="","",DATE(INDEX(OFFSET(Arb!$C$2,,,Arb!$AJ$5,),J27),INDEX(OFFSET(Arb!$B$2,,,Arb!$AJ$5,),J27),INDEX(OFFSET(Arb!$A$2,,,Arb!$AJ$5,),J27))+ROW()*0.001)</f>
        <v>43896.027000000002</v>
      </c>
      <c r="Q27" s="442">
        <v>27</v>
      </c>
      <c r="R27" s="1">
        <v>453</v>
      </c>
      <c r="S27" s="52">
        <f ca="1">IF(R27="","",INDEX(OFFSET(Arb!$H$2,,,Arb!$AJ$5,),R27))</f>
        <v>6.94</v>
      </c>
      <c r="T27" s="3">
        <f t="shared" ca="1" si="4"/>
        <v>3.8904899135446684</v>
      </c>
      <c r="U27" s="165">
        <f ca="1">IF(R27="","",INDEX(OFFSET(Arb!$X$2,,,Arb!$AJ$5,),R27)/S27)</f>
        <v>4.6109510086455332</v>
      </c>
      <c r="V27" s="165">
        <f ca="1">IF(R27="","",(INDEX(OFFSET(Arb!$U$2,,,Arb!$AJ$5,),R27)+INDEX(OFFSET(Arb!$V$2,,,Arb!$AJ$5,),R27))/S27)</f>
        <v>5.3314121037463975</v>
      </c>
      <c r="W27" s="51">
        <f t="shared" ca="1" si="5"/>
        <v>47.413784703321312</v>
      </c>
      <c r="X27" s="88">
        <f ca="1">IF(R27="","",DATE(INDEX(OFFSET(Arb!$C$2,,,Arb!$AJ$5,),R27),INDEX(OFFSET(Arb!$B$2,,,Arb!$AJ$5,),R27),INDEX(OFFSET(Arb!$A$2,,,Arb!$AJ$5,),R27))+ROW()*0.001)</f>
        <v>43784.027000000002</v>
      </c>
      <c r="Y27" s="436">
        <v>27</v>
      </c>
      <c r="Z27" s="1">
        <v>1453</v>
      </c>
      <c r="AA27" s="52">
        <f ca="1">IF(Z27="","",INDEX(OFFSET(Arb!$H$2,,,Arb!$AJ$5,),Z27))</f>
        <v>7.03</v>
      </c>
      <c r="AB27" s="3">
        <f t="shared" ca="1" si="6"/>
        <v>3.8406827880512089</v>
      </c>
      <c r="AC27" s="165">
        <f ca="1">IF(Z27="","",INDEX(OFFSET(Arb!$X$2,,,Arb!$AJ$5,),Z27)/AA27)</f>
        <v>4.551920341394025</v>
      </c>
      <c r="AD27" s="165">
        <f ca="1">IF(Z27="","",(INDEX(OFFSET(Arb!$U$2,,,Arb!$AJ$5,),Z27)+INDEX(OFFSET(Arb!$V$2,,,Arb!$AJ$5,),Z27))/AA27)</f>
        <v>5.1209103840682788</v>
      </c>
      <c r="AE27" s="51">
        <f t="shared" ca="1" si="7"/>
        <v>46.386507009400475</v>
      </c>
      <c r="AF27" s="91">
        <f ca="1">IF(Z27="","",DATE(INDEX(OFFSET(Arb!$C$2,,,Arb!$AJ$5,),Z27),INDEX(OFFSET(Arb!$B$2,,,Arb!$AJ$5,),Z27),INDEX(OFFSET(Arb!$A$2,,,Arb!$AJ$5,),Z27))+ROW()*0.001)</f>
        <v>43950.027000000002</v>
      </c>
      <c r="AG27" s="442">
        <v>27</v>
      </c>
      <c r="AH27" s="1">
        <v>1846</v>
      </c>
      <c r="AI27" s="52">
        <f ca="1">IF(AH27="","",INDEX(OFFSET(Arb!$H$2,,,Arb!$AJ$5,),AH27))</f>
        <v>7.13</v>
      </c>
      <c r="AJ27" s="3">
        <f t="shared" ca="1" si="8"/>
        <v>3.7868162692847127</v>
      </c>
      <c r="AK27" s="165">
        <f ca="1">IF(AH27="","",INDEX(OFFSET(Arb!$X$2,,,Arb!$AJ$5,),AH27)/AI27)</f>
        <v>3.085553997194951</v>
      </c>
      <c r="AL27" s="165">
        <f ca="1">IF(AH27="","",(INDEX(OFFSET(Arb!$U$2,,,Arb!$AJ$5,),AH27)+INDEX(OFFSET(Arb!$V$2,,,Arb!$AJ$5,),AH27))/AI27)</f>
        <v>3.5063113604488079</v>
      </c>
      <c r="AM27" s="51">
        <f t="shared" ca="1" si="9"/>
        <v>45.285954132315617</v>
      </c>
      <c r="AN27" s="88">
        <f ca="1">IF(AH27="","",DATE(INDEX(OFFSET(Arb!$C$2,,,Arb!$AJ$5,),AH27),INDEX(OFFSET(Arb!$B$2,,,Arb!$AJ$5,),AH27),INDEX(OFFSET(Arb!$A$2,,,Arb!$AJ$5,),AH27))+ROW()*0.001)</f>
        <v>44168.027000000002</v>
      </c>
      <c r="AO27" s="436">
        <v>27</v>
      </c>
      <c r="AP27" s="1">
        <v>1649</v>
      </c>
      <c r="AQ27" s="52">
        <f ca="1">IF(AP27="","",INDEX(OFFSET(Arb!$H$2,,,Arb!$AJ$5,),AP27))</f>
        <v>7.21</v>
      </c>
      <c r="AR27" s="3">
        <f t="shared" ca="1" si="10"/>
        <v>3.7447988904299585</v>
      </c>
      <c r="AS27" s="165">
        <f ca="1">IF(AP27="","",INDEX(OFFSET(Arb!$X$2,,,Arb!$AJ$5,),AP27)/AQ27)</f>
        <v>4.7156726768377251</v>
      </c>
      <c r="AT27" s="165">
        <f ca="1">IF(AP27="","",(INDEX(OFFSET(Arb!$U$2,,,Arb!$AJ$5,),AP27)+INDEX(OFFSET(Arb!$V$2,,,Arb!$AJ$5,),AP27))/AQ27)</f>
        <v>5.547850208044383</v>
      </c>
      <c r="AU27" s="51">
        <f t="shared" ca="1" si="11"/>
        <v>44.435060219889507</v>
      </c>
      <c r="AV27" s="91">
        <f ca="1">IF(AP27="","",DATE(INDEX(OFFSET(Arb!$C$2,,,Arb!$AJ$5,),AP27),INDEX(OFFSET(Arb!$B$2,,,Arb!$AJ$5,),AP27),INDEX(OFFSET(Arb!$A$2,,,Arb!$AJ$5,),AP27))+ROW()*0.001)</f>
        <v>44093.027000000002</v>
      </c>
      <c r="AW27" s="442">
        <v>27</v>
      </c>
      <c r="AX27" s="1">
        <v>88</v>
      </c>
      <c r="AY27" s="52">
        <f ca="1">IF(AX27="","",INDEX(OFFSET(Arb!$H$2,,,Arb!$AJ$5,),AX27))</f>
        <v>7.37</v>
      </c>
      <c r="AZ27" s="3">
        <f t="shared" ca="1" si="12"/>
        <v>3.6635006784260513</v>
      </c>
      <c r="BA27" s="165">
        <f ca="1">IF(AX27="","",INDEX(OFFSET(Arb!$X$2,,,Arb!$AJ$5,),AX27)/AY27)</f>
        <v>4.3419267299864313</v>
      </c>
      <c r="BB27" s="165">
        <f ca="1">IF(AX27="","",(INDEX(OFFSET(Arb!$U$2,,,Arb!$AJ$5,),AX27)+INDEX(OFFSET(Arb!$V$2,,,Arb!$AJ$5,),AX27))/AY27)</f>
        <v>5.0203527815468112</v>
      </c>
      <c r="BC27" s="51">
        <f t="shared" ca="1" si="13"/>
        <v>42.807611222872396</v>
      </c>
      <c r="BD27" s="88">
        <f ca="1">IF(AX27="","",DATE(INDEX(OFFSET(Arb!$C$2,,,Arb!$AJ$5,),AX27),INDEX(OFFSET(Arb!$B$2,,,Arb!$AJ$5,),AX27),INDEX(OFFSET(Arb!$A$2,,,Arb!$AJ$5,),AX27))+ROW()*0.001)</f>
        <v>43767.027000000002</v>
      </c>
      <c r="BE27" s="436">
        <v>27</v>
      </c>
      <c r="BF27" s="1">
        <v>931</v>
      </c>
      <c r="BG27" s="52">
        <f ca="1">IF(BF27="","",INDEX(OFFSET(Arb!$H$2,,,Arb!$AJ$5,),BF27))</f>
        <v>7.52</v>
      </c>
      <c r="BH27" s="3">
        <f t="shared" ca="1" si="14"/>
        <v>3.5904255319148937</v>
      </c>
      <c r="BI27" s="165">
        <f ca="1">IF(BF27="","",INDEX(OFFSET(Arb!$X$2,,,Arb!$AJ$5,),BF27)/BG27)</f>
        <v>3.5904255319148937</v>
      </c>
      <c r="BJ27" s="165">
        <f ca="1">IF(BF27="","",(INDEX(OFFSET(Arb!$U$2,,,Arb!$AJ$5,),BF27)+INDEX(OFFSET(Arb!$V$2,,,Arb!$AJ$5,),BF27))/BG27)</f>
        <v>4.2553191489361701</v>
      </c>
      <c r="BK27" s="51">
        <f t="shared" ca="1" si="15"/>
        <v>41.36617777976727</v>
      </c>
      <c r="BL27" s="91">
        <f ca="1">IF(BF27="","",DATE(INDEX(OFFSET(Arb!$C$2,,,Arb!$AJ$5,),BF27),INDEX(OFFSET(Arb!$B$2,,,Arb!$AJ$5,),BF27),INDEX(OFFSET(Arb!$A$2,,,Arb!$AJ$5,),BF27))+ROW()*0.001)</f>
        <v>43822.027000000002</v>
      </c>
      <c r="BM27" s="442">
        <v>27</v>
      </c>
      <c r="BN27" s="1">
        <v>568</v>
      </c>
      <c r="BO27" s="52">
        <f ca="1">IF(BN27="","",INDEX(OFFSET(Arb!$H$2,,,Arb!$AJ$5,),BN27))</f>
        <v>7.6</v>
      </c>
      <c r="BP27" s="3">
        <f t="shared" ca="1" si="16"/>
        <v>3.5526315789473686</v>
      </c>
      <c r="BQ27" s="165">
        <f ca="1">IF(BN27="","",INDEX(OFFSET(Arb!$X$2,,,Arb!$AJ$5,),BN27)/BO27)</f>
        <v>4.0789473684210531</v>
      </c>
      <c r="BR27" s="165">
        <f ca="1">IF(BN27="","",(INDEX(OFFSET(Arb!$U$2,,,Arb!$AJ$5,),BN27)+INDEX(OFFSET(Arb!$V$2,,,Arb!$AJ$5,),BN27))/BO27)</f>
        <v>4.4736842105263159</v>
      </c>
      <c r="BS27" s="51">
        <f t="shared" ca="1" si="17"/>
        <v>40.628670983279974</v>
      </c>
      <c r="BT27" s="88">
        <f ca="1">IF(BN27="","",DATE(INDEX(OFFSET(Arb!$C$2,,,Arb!$AJ$5,),BN27),INDEX(OFFSET(Arb!$B$2,,,Arb!$AJ$5,),BN27),INDEX(OFFSET(Arb!$A$2,,,Arb!$AJ$5,),BN27))+ROW()*0.001)</f>
        <v>43797.027000000002</v>
      </c>
      <c r="BU27" s="436">
        <v>27</v>
      </c>
      <c r="BV27" s="1">
        <v>992</v>
      </c>
      <c r="BW27" s="52">
        <f ca="1">IF(BV27="","",INDEX(OFFSET(Arb!$H$2,,,Arb!$AJ$5,),BV27))</f>
        <v>7.66</v>
      </c>
      <c r="BX27" s="3">
        <f t="shared" ca="1" si="18"/>
        <v>3.524804177545692</v>
      </c>
      <c r="BY27" s="165">
        <f ca="1">IF(BV27="","",INDEX(OFFSET(Arb!$X$2,,,Arb!$AJ$5,),BV27)/BW27)</f>
        <v>4.5691906005221927</v>
      </c>
      <c r="BZ27" s="165">
        <f ca="1">IF(BV27="","",(INDEX(OFFSET(Arb!$U$2,,,Arb!$AJ$5,),BV27)+INDEX(OFFSET(Arb!$V$2,,,Arb!$AJ$5,),BV27))/BW27)</f>
        <v>5.0913838120104442</v>
      </c>
      <c r="CA27" s="51">
        <f t="shared" ca="1" si="19"/>
        <v>40.089146917770783</v>
      </c>
      <c r="CB27" s="91">
        <f ca="1">IF(BV27="","",DATE(INDEX(OFFSET(Arb!$C$2,,,Arb!$AJ$5,),BV27),INDEX(OFFSET(Arb!$B$2,,,Arb!$AJ$5,),BV27),INDEX(OFFSET(Arb!$A$2,,,Arb!$AJ$5,),BV27))+ROW()*0.001)</f>
        <v>43822.027000000002</v>
      </c>
    </row>
    <row r="28" spans="1:80" x14ac:dyDescent="0.25">
      <c r="A28" s="433">
        <v>28</v>
      </c>
      <c r="B28" s="1">
        <v>1397</v>
      </c>
      <c r="C28" s="52">
        <f ca="1">IF(B28="","",INDEX(OFFSET(Arb!$H$2,,,Arb!$AJ$5,),B28))</f>
        <v>6.58</v>
      </c>
      <c r="D28" s="3">
        <f t="shared" ca="1" si="0"/>
        <v>4.2553191489361701</v>
      </c>
      <c r="E28" s="165">
        <f ca="1">IF(B28="","",INDEX(OFFSET(Arb!$X$2,,,Arb!$AJ$5,),B28)/C28)</f>
        <v>4.86322188449848</v>
      </c>
      <c r="F28" s="165">
        <f ca="1">IF(B28="","",(INDEX(OFFSET(Arb!$U$2,,,Arb!$AJ$5,),B28)+INDEX(OFFSET(Arb!$V$2,,,Arb!$AJ$5,),B28))/C28)</f>
        <v>5.1671732522796354</v>
      </c>
      <c r="G28" s="51">
        <f t="shared" ca="1" si="1"/>
        <v>53.83019724179298</v>
      </c>
      <c r="H28" s="355">
        <f ca="1">IF(B28="","",DATE(INDEX(OFFSET(Arb!$C$2,,,Arb!$AJ$5,),B28),INDEX(OFFSET(Arb!$B$2,,,Arb!$AJ$5,),B28),INDEX(OFFSET(Arb!$A$2,,,Arb!$AJ$5,),B28))+ROW()*0.001)</f>
        <v>43940.027999999998</v>
      </c>
      <c r="I28" s="436">
        <v>28</v>
      </c>
      <c r="J28" s="1">
        <v>1818</v>
      </c>
      <c r="K28" s="52">
        <f ca="1">IF(J28="","",INDEX(OFFSET(Arb!$H$2,,,Arb!$AJ$5,),J28))</f>
        <v>7.34</v>
      </c>
      <c r="L28" s="3">
        <f t="shared" ca="1" si="2"/>
        <v>3.8147138964577656</v>
      </c>
      <c r="M28" s="165">
        <f ca="1">IF(J28="","",INDEX(OFFSET(Arb!$X$2,,,Arb!$AJ$5,),J28)/K28)</f>
        <v>3.2697547683923704</v>
      </c>
      <c r="N28" s="165">
        <f ca="1">IF(J28="","",(INDEX(OFFSET(Arb!$U$2,,,Arb!$AJ$5,),J28)+INDEX(OFFSET(Arb!$V$2,,,Arb!$AJ$5,),J28))/K28)</f>
        <v>3.542234332425068</v>
      </c>
      <c r="O28" s="51">
        <f t="shared" ca="1" si="3"/>
        <v>44.70197264183588</v>
      </c>
      <c r="P28" s="91">
        <f ca="1">IF(J28="","",DATE(INDEX(OFFSET(Arb!$C$2,,,Arb!$AJ$5,),J28),INDEX(OFFSET(Arb!$B$2,,,Arb!$AJ$5,),J28),INDEX(OFFSET(Arb!$A$2,,,Arb!$AJ$5,),J28))+ROW()*0.001)</f>
        <v>44168.027999999998</v>
      </c>
      <c r="Q28" s="442">
        <v>28</v>
      </c>
      <c r="R28" s="1">
        <v>1047</v>
      </c>
      <c r="S28" s="52">
        <f ca="1">IF(R28="","",INDEX(OFFSET(Arb!$H$2,,,Arb!$AJ$5,),R28))</f>
        <v>7.44</v>
      </c>
      <c r="T28" s="3">
        <f t="shared" ca="1" si="4"/>
        <v>3.7634408602150535</v>
      </c>
      <c r="U28" s="165">
        <f ca="1">IF(R28="","",INDEX(OFFSET(Arb!$X$2,,,Arb!$AJ$5,),R28)/S28)</f>
        <v>4.435483870967742</v>
      </c>
      <c r="V28" s="165">
        <f ca="1">IF(R28="","",(INDEX(OFFSET(Arb!$U$2,,,Arb!$AJ$5,),R28)+INDEX(OFFSET(Arb!$V$2,,,Arb!$AJ$5,),R28))/S28)</f>
        <v>5.376344086021505</v>
      </c>
      <c r="W28" s="51">
        <f t="shared" ca="1" si="5"/>
        <v>43.685368135657555</v>
      </c>
      <c r="X28" s="88">
        <f ca="1">IF(R28="","",DATE(INDEX(OFFSET(Arb!$C$2,,,Arb!$AJ$5,),R28),INDEX(OFFSET(Arb!$B$2,,,Arb!$AJ$5,),R28),INDEX(OFFSET(Arb!$A$2,,,Arb!$AJ$5,),R28))+ROW()*0.001)</f>
        <v>43841.027999999998</v>
      </c>
      <c r="Y28" s="436">
        <v>28</v>
      </c>
      <c r="Z28" s="1">
        <v>1484</v>
      </c>
      <c r="AA28" s="52">
        <f ca="1">IF(Z28="","",INDEX(OFFSET(Arb!$H$2,,,Arb!$AJ$5,),Z28))</f>
        <v>7.5</v>
      </c>
      <c r="AB28" s="3">
        <f t="shared" ca="1" si="6"/>
        <v>3.7333333333333334</v>
      </c>
      <c r="AC28" s="165">
        <f ca="1">IF(Z28="","",INDEX(OFFSET(Arb!$X$2,,,Arb!$AJ$5,),Z28)/AA28)</f>
        <v>4.5333333333333332</v>
      </c>
      <c r="AD28" s="165">
        <f ca="1">IF(Z28="","",(INDEX(OFFSET(Arb!$U$2,,,Arb!$AJ$5,),Z28)+INDEX(OFFSET(Arb!$V$2,,,Arb!$AJ$5,),Z28))/AA28)</f>
        <v>5.333333333333333</v>
      </c>
      <c r="AE28" s="51">
        <f t="shared" ca="1" si="7"/>
        <v>43.092912002135236</v>
      </c>
      <c r="AF28" s="91">
        <f ca="1">IF(Z28="","",DATE(INDEX(OFFSET(Arb!$C$2,,,Arb!$AJ$5,),Z28),INDEX(OFFSET(Arb!$B$2,,,Arb!$AJ$5,),Z28),INDEX(OFFSET(Arb!$A$2,,,Arb!$AJ$5,),Z28))+ROW()*0.001)</f>
        <v>43953.027999999998</v>
      </c>
      <c r="AG28" s="442">
        <v>28</v>
      </c>
      <c r="AH28" s="1">
        <v>62</v>
      </c>
      <c r="AI28" s="52">
        <f ca="1">IF(AH28="","",INDEX(OFFSET(Arb!$H$2,,,Arb!$AJ$5,),AH28))</f>
        <v>7.96</v>
      </c>
      <c r="AJ28" s="3">
        <f t="shared" ca="1" si="8"/>
        <v>3.5175879396984926</v>
      </c>
      <c r="AK28" s="165">
        <f ca="1">IF(AH28="","",INDEX(OFFSET(Arb!$X$2,,,Arb!$AJ$5,),AH28)/AI28)</f>
        <v>4.0201005025125625</v>
      </c>
      <c r="AL28" s="165">
        <f ca="1">IF(AH28="","",(INDEX(OFFSET(Arb!$U$2,,,Arb!$AJ$5,),AH28)+INDEX(OFFSET(Arb!$V$2,,,Arb!$AJ$5,),AH28))/AI28)</f>
        <v>4.5226130653266328</v>
      </c>
      <c r="AM28" s="51">
        <f t="shared" ca="1" si="9"/>
        <v>38.945544052713039</v>
      </c>
      <c r="AN28" s="88">
        <f ca="1">IF(AH28="","",DATE(INDEX(OFFSET(Arb!$C$2,,,Arb!$AJ$5,),AH28),INDEX(OFFSET(Arb!$B$2,,,Arb!$AJ$5,),AH28),INDEX(OFFSET(Arb!$A$2,,,Arb!$AJ$5,),AH28))+ROW()*0.001)</f>
        <v>43766.027999999998</v>
      </c>
      <c r="AO28" s="436">
        <v>28</v>
      </c>
      <c r="AP28" s="1">
        <v>524</v>
      </c>
      <c r="AQ28" s="52">
        <f ca="1">IF(AP28="","",INDEX(OFFSET(Arb!$H$2,,,Arb!$AJ$5,),AP28))</f>
        <v>8.1</v>
      </c>
      <c r="AR28" s="3">
        <f t="shared" ca="1" si="10"/>
        <v>3.4567901234567904</v>
      </c>
      <c r="AS28" s="165">
        <f ca="1">IF(AP28="","",INDEX(OFFSET(Arb!$X$2,,,Arb!$AJ$5,),AP28)/AQ28)</f>
        <v>4.3209876543209882</v>
      </c>
      <c r="AT28" s="165">
        <f ca="1">IF(AP28="","",(INDEX(OFFSET(Arb!$U$2,,,Arb!$AJ$5,),AP28)+INDEX(OFFSET(Arb!$V$2,,,Arb!$AJ$5,),AP28))/AQ28)</f>
        <v>5.0617283950617287</v>
      </c>
      <c r="AU28" s="51">
        <f t="shared" ca="1" si="11"/>
        <v>37.808152688019703</v>
      </c>
      <c r="AV28" s="91">
        <f ca="1">IF(AP28="","",DATE(INDEX(OFFSET(Arb!$C$2,,,Arb!$AJ$5,),AP28),INDEX(OFFSET(Arb!$B$2,,,Arb!$AJ$5,),AP28),INDEX(OFFSET(Arb!$A$2,,,Arb!$AJ$5,),AP28))+ROW()*0.001)</f>
        <v>43795.027999999998</v>
      </c>
      <c r="AW28" s="442">
        <v>28</v>
      </c>
      <c r="AX28" s="1">
        <v>922</v>
      </c>
      <c r="AY28" s="52">
        <f ca="1">IF(AX28="","",INDEX(OFFSET(Arb!$H$2,,,Arb!$AJ$5,),AX28))</f>
        <v>8.49</v>
      </c>
      <c r="AZ28" s="3">
        <f t="shared" ca="1" si="12"/>
        <v>3.2979976442873968</v>
      </c>
      <c r="BA28" s="165">
        <f ca="1">IF(AX28="","",INDEX(OFFSET(Arb!$X$2,,,Arb!$AJ$5,),AX28)/AY28)</f>
        <v>2.8268551236749118</v>
      </c>
      <c r="BB28" s="165">
        <f ca="1">IF(AX28="","",(INDEX(OFFSET(Arb!$U$2,,,Arb!$AJ$5,),AX28)+INDEX(OFFSET(Arb!$V$2,,,Arb!$AJ$5,),AX28))/AY28)</f>
        <v>3.4157832744405181</v>
      </c>
      <c r="BC28" s="51">
        <f t="shared" ca="1" si="13"/>
        <v>34.903334297354988</v>
      </c>
      <c r="BD28" s="88">
        <f ca="1">IF(AX28="","",DATE(INDEX(OFFSET(Arb!$C$2,,,Arb!$AJ$5,),AX28),INDEX(OFFSET(Arb!$B$2,,,Arb!$AJ$5,),AX28),INDEX(OFFSET(Arb!$A$2,,,Arb!$AJ$5,),AX28))+ROW()*0.001)</f>
        <v>43822.027999999998</v>
      </c>
      <c r="BE28" s="436">
        <v>28</v>
      </c>
      <c r="BF28" s="1">
        <v>1520</v>
      </c>
      <c r="BG28" s="52">
        <f ca="1">IF(BF28="","",INDEX(OFFSET(Arb!$H$2,,,Arb!$AJ$5,),BF28))</f>
        <v>8.5</v>
      </c>
      <c r="BH28" s="3">
        <f t="shared" ca="1" si="14"/>
        <v>3.2941176470588234</v>
      </c>
      <c r="BI28" s="165">
        <f ca="1">IF(BF28="","",INDEX(OFFSET(Arb!$X$2,,,Arb!$AJ$5,),BF28)/BG28)</f>
        <v>3.8823529411764706</v>
      </c>
      <c r="BJ28" s="165">
        <f ca="1">IF(BF28="","",(INDEX(OFFSET(Arb!$U$2,,,Arb!$AJ$5,),BF28)+INDEX(OFFSET(Arb!$V$2,,,Arb!$AJ$5,),BF28))/BG28)</f>
        <v>4.7058823529411766</v>
      </c>
      <c r="BK28" s="51">
        <f t="shared" ca="1" si="15"/>
        <v>34.833556376065573</v>
      </c>
      <c r="BL28" s="91">
        <f ca="1">IF(BF28="","",DATE(INDEX(OFFSET(Arb!$C$2,,,Arb!$AJ$5,),BF28),INDEX(OFFSET(Arb!$B$2,,,Arb!$AJ$5,),BF28),INDEX(OFFSET(Arb!$A$2,,,Arb!$AJ$5,),BF28))+ROW()*0.001)</f>
        <v>43984.027999999998</v>
      </c>
      <c r="BM28" s="442">
        <v>28</v>
      </c>
      <c r="BN28" s="1">
        <v>586</v>
      </c>
      <c r="BO28" s="52">
        <f ca="1">IF(BN28="","",INDEX(OFFSET(Arb!$H$2,,,Arb!$AJ$5,),BN28))</f>
        <v>8.52</v>
      </c>
      <c r="BP28" s="3">
        <f t="shared" ca="1" si="16"/>
        <v>3.286384976525822</v>
      </c>
      <c r="BQ28" s="165">
        <f ca="1">IF(BN28="","",INDEX(OFFSET(Arb!$X$2,,,Arb!$AJ$5,),BN28)/BO28)</f>
        <v>4.2253521126760569</v>
      </c>
      <c r="BR28" s="165">
        <f ca="1">IF(BN28="","",(INDEX(OFFSET(Arb!$U$2,,,Arb!$AJ$5,),BN28)+INDEX(OFFSET(Arb!$V$2,,,Arb!$AJ$5,),BN28))/BO28)</f>
        <v>4.694835680751174</v>
      </c>
      <c r="BS28" s="51">
        <f t="shared" ca="1" si="17"/>
        <v>34.694663460790061</v>
      </c>
      <c r="BT28" s="88">
        <f ca="1">IF(BN28="","",DATE(INDEX(OFFSET(Arb!$C$2,,,Arb!$AJ$5,),BN28),INDEX(OFFSET(Arb!$B$2,,,Arb!$AJ$5,),BN28),INDEX(OFFSET(Arb!$A$2,,,Arb!$AJ$5,),BN28))+ROW()*0.001)</f>
        <v>43797.027999999998</v>
      </c>
      <c r="BU28" s="436">
        <v>28</v>
      </c>
      <c r="BV28" s="1">
        <v>1685</v>
      </c>
      <c r="BW28" s="52">
        <f ca="1">IF(BV28="","",INDEX(OFFSET(Arb!$H$2,,,Arb!$AJ$5,),BV28))</f>
        <v>9</v>
      </c>
      <c r="BX28" s="3">
        <f t="shared" ca="1" si="18"/>
        <v>3.1111111111111112</v>
      </c>
      <c r="BY28" s="165">
        <f ca="1">IF(BV28="","",INDEX(OFFSET(Arb!$X$2,,,Arb!$AJ$5,),BV28)/BW28)</f>
        <v>3.5555555555555554</v>
      </c>
      <c r="BZ28" s="165">
        <f ca="1">IF(BV28="","",(INDEX(OFFSET(Arb!$U$2,,,Arb!$AJ$5,),BV28)+INDEX(OFFSET(Arb!$V$2,,,Arb!$AJ$5,),BV28))/BW28)</f>
        <v>4.2222222222222223</v>
      </c>
      <c r="CA28" s="51">
        <f t="shared" ca="1" si="19"/>
        <v>31.608051496424292</v>
      </c>
      <c r="CB28" s="91">
        <f ca="1">IF(BV28="","",DATE(INDEX(OFFSET(Arb!$C$2,,,Arb!$AJ$5,),BV28),INDEX(OFFSET(Arb!$B$2,,,Arb!$AJ$5,),BV28),INDEX(OFFSET(Arb!$A$2,,,Arb!$AJ$5,),BV28))+ROW()*0.001)</f>
        <v>44106.027999999998</v>
      </c>
    </row>
    <row r="29" spans="1:80" x14ac:dyDescent="0.25">
      <c r="A29" s="433">
        <v>29</v>
      </c>
      <c r="B29" s="1">
        <v>1620</v>
      </c>
      <c r="C29" s="52">
        <f ca="1">IF(B29="","",INDEX(OFFSET(Arb!$H$2,,,Arb!$AJ$5,),B29))</f>
        <v>6.04</v>
      </c>
      <c r="D29" s="3">
        <f t="shared" ca="1" si="0"/>
        <v>4.8013245033112586</v>
      </c>
      <c r="E29" s="165">
        <f ca="1">IF(B29="","",INDEX(OFFSET(Arb!$X$2,,,Arb!$AJ$5,),B29)/C29)</f>
        <v>5.1324503311258276</v>
      </c>
      <c r="F29" s="165">
        <f ca="1">IF(B29="","",(INDEX(OFFSET(Arb!$U$2,,,Arb!$AJ$5,),B29)+INDEX(OFFSET(Arb!$V$2,,,Arb!$AJ$5,),B29))/C29)</f>
        <v>5.9602649006622519</v>
      </c>
      <c r="G29" s="51">
        <f t="shared" ca="1" si="1"/>
        <v>64.489225497815028</v>
      </c>
      <c r="H29" s="355">
        <f ca="1">IF(B29="","",DATE(INDEX(OFFSET(Arb!$C$2,,,Arb!$AJ$5,),B29),INDEX(OFFSET(Arb!$B$2,,,Arb!$AJ$5,),B29),INDEX(OFFSET(Arb!$A$2,,,Arb!$AJ$5,),B29))+ROW()*0.001)</f>
        <v>44093.029000000002</v>
      </c>
      <c r="I29" s="436">
        <v>29</v>
      </c>
      <c r="J29" s="1">
        <v>877</v>
      </c>
      <c r="K29" s="52">
        <f ca="1">IF(J29="","",INDEX(OFFSET(Arb!$H$2,,,Arb!$AJ$5,),J29))</f>
        <v>7.52</v>
      </c>
      <c r="L29" s="3">
        <f t="shared" ca="1" si="2"/>
        <v>3.8563829787234045</v>
      </c>
      <c r="M29" s="165">
        <f ca="1">IF(J29="","",INDEX(OFFSET(Arb!$X$2,,,Arb!$AJ$5,),J29)/K29)</f>
        <v>4.2553191489361701</v>
      </c>
      <c r="N29" s="165">
        <f ca="1">IF(J29="","",(INDEX(OFFSET(Arb!$U$2,,,Arb!$AJ$5,),J29)+INDEX(OFFSET(Arb!$V$2,,,Arb!$AJ$5,),J29))/K29)</f>
        <v>4.6542553191489366</v>
      </c>
      <c r="O29" s="51">
        <f t="shared" ca="1" si="3"/>
        <v>44.430339096787066</v>
      </c>
      <c r="P29" s="91">
        <f ca="1">IF(J29="","",DATE(INDEX(OFFSET(Arb!$C$2,,,Arb!$AJ$5,),J29),INDEX(OFFSET(Arb!$B$2,,,Arb!$AJ$5,),J29),INDEX(OFFSET(Arb!$A$2,,,Arb!$AJ$5,),J29))+ROW()*0.001)</f>
        <v>43818.029000000002</v>
      </c>
      <c r="Q29" s="442">
        <v>29</v>
      </c>
      <c r="R29" s="1">
        <v>1521</v>
      </c>
      <c r="S29" s="52">
        <f ca="1">IF(R29="","",INDEX(OFFSET(Arb!$H$2,,,Arb!$AJ$5,),R29))</f>
        <v>7.7</v>
      </c>
      <c r="T29" s="3">
        <f t="shared" ca="1" si="4"/>
        <v>3.7662337662337659</v>
      </c>
      <c r="U29" s="165">
        <f ca="1">IF(R29="","",INDEX(OFFSET(Arb!$X$2,,,Arb!$AJ$5,),R29)/S29)</f>
        <v>4.545454545454545</v>
      </c>
      <c r="V29" s="165">
        <f ca="1">IF(R29="","",(INDEX(OFFSET(Arb!$U$2,,,Arb!$AJ$5,),R29)+INDEX(OFFSET(Arb!$V$2,,,Arb!$AJ$5,),R29))/S29)</f>
        <v>5.1948051948051948</v>
      </c>
      <c r="W29" s="51">
        <f t="shared" ca="1" si="5"/>
        <v>42.679146328166304</v>
      </c>
      <c r="X29" s="88">
        <f ca="1">IF(R29="","",DATE(INDEX(OFFSET(Arb!$C$2,,,Arb!$AJ$5,),R29),INDEX(OFFSET(Arb!$B$2,,,Arb!$AJ$5,),R29),INDEX(OFFSET(Arb!$A$2,,,Arb!$AJ$5,),R29))+ROW()*0.001)</f>
        <v>43984.029000000002</v>
      </c>
      <c r="Y29" s="436">
        <v>29</v>
      </c>
      <c r="Z29" s="1">
        <v>1229</v>
      </c>
      <c r="AA29" s="52">
        <f ca="1">IF(Z29="","",INDEX(OFFSET(Arb!$H$2,,,Arb!$AJ$5,),Z29))</f>
        <v>7.7</v>
      </c>
      <c r="AB29" s="3">
        <f t="shared" ca="1" si="6"/>
        <v>3.7662337662337659</v>
      </c>
      <c r="AC29" s="165">
        <f ca="1">IF(Z29="","",INDEX(OFFSET(Arb!$X$2,,,Arb!$AJ$5,),Z29)/AA29)</f>
        <v>4.1558441558441555</v>
      </c>
      <c r="AD29" s="165">
        <f ca="1">IF(Z29="","",(INDEX(OFFSET(Arb!$U$2,,,Arb!$AJ$5,),Z29)+INDEX(OFFSET(Arb!$V$2,,,Arb!$AJ$5,),Z29))/AA29)</f>
        <v>4.6753246753246751</v>
      </c>
      <c r="AE29" s="51">
        <f t="shared" ca="1" si="7"/>
        <v>42.679146328166304</v>
      </c>
      <c r="AF29" s="91">
        <f ca="1">IF(Z29="","",DATE(INDEX(OFFSET(Arb!$C$2,,,Arb!$AJ$5,),Z29),INDEX(OFFSET(Arb!$B$2,,,Arb!$AJ$5,),Z29),INDEX(OFFSET(Arb!$A$2,,,Arb!$AJ$5,),Z29))+ROW()*0.001)</f>
        <v>43898.029000000002</v>
      </c>
      <c r="AG29" s="442">
        <v>29</v>
      </c>
      <c r="AH29" s="1">
        <v>561</v>
      </c>
      <c r="AI29" s="52">
        <f ca="1">IF(AH29="","",INDEX(OFFSET(Arb!$H$2,,,Arb!$AJ$5,),AH29))</f>
        <v>7.83</v>
      </c>
      <c r="AJ29" s="3">
        <f t="shared" ca="1" si="8"/>
        <v>3.7037037037037037</v>
      </c>
      <c r="AK29" s="165">
        <f ca="1">IF(AH29="","",INDEX(OFFSET(Arb!$X$2,,,Arb!$AJ$5,),AH29)/AI29)</f>
        <v>4.7254150702426561</v>
      </c>
      <c r="AL29" s="165">
        <f ca="1">IF(AH29="","",(INDEX(OFFSET(Arb!$U$2,,,Arb!$AJ$5,),AH29)+INDEX(OFFSET(Arb!$V$2,,,Arb!$AJ$5,),AH29))/AI29)</f>
        <v>5.3639846743295019</v>
      </c>
      <c r="AM29" s="51">
        <f t="shared" ca="1" si="9"/>
        <v>41.481548611946621</v>
      </c>
      <c r="AN29" s="88">
        <f ca="1">IF(AH29="","",DATE(INDEX(OFFSET(Arb!$C$2,,,Arb!$AJ$5,),AH29),INDEX(OFFSET(Arb!$B$2,,,Arb!$AJ$5,),AH29),INDEX(OFFSET(Arb!$A$2,,,Arb!$AJ$5,),AH29))+ROW()*0.001)</f>
        <v>43797.029000000002</v>
      </c>
      <c r="AO29" s="436">
        <v>29</v>
      </c>
      <c r="AP29" s="1">
        <v>1559</v>
      </c>
      <c r="AQ29" s="52">
        <f ca="1">IF(AP29="","",INDEX(OFFSET(Arb!$H$2,,,Arb!$AJ$5,),AP29))</f>
        <v>7.92</v>
      </c>
      <c r="AR29" s="3">
        <f t="shared" ca="1" si="10"/>
        <v>3.6616161616161618</v>
      </c>
      <c r="AS29" s="165">
        <f ca="1">IF(AP29="","",INDEX(OFFSET(Arb!$X$2,,,Arb!$AJ$5,),AP29)/AQ29)</f>
        <v>4.5454545454545459</v>
      </c>
      <c r="AT29" s="165">
        <f ca="1">IF(AP29="","",(INDEX(OFFSET(Arb!$U$2,,,Arb!$AJ$5,),AP29)+INDEX(OFFSET(Arb!$V$2,,,Arb!$AJ$5,),AP29))/AQ29)</f>
        <v>5.1767676767676765</v>
      </c>
      <c r="AU29" s="51">
        <f t="shared" ca="1" si="11"/>
        <v>40.683391328938946</v>
      </c>
      <c r="AV29" s="91">
        <f ca="1">IF(AP29="","",DATE(INDEX(OFFSET(Arb!$C$2,,,Arb!$AJ$5,),AP29),INDEX(OFFSET(Arb!$B$2,,,Arb!$AJ$5,),AP29),INDEX(OFFSET(Arb!$A$2,,,Arb!$AJ$5,),AP29))+ROW()*0.001)</f>
        <v>43989.029000000002</v>
      </c>
      <c r="AW29" s="442">
        <v>29</v>
      </c>
      <c r="AX29" s="1">
        <v>955</v>
      </c>
      <c r="AY29" s="52">
        <f ca="1">IF(AX29="","",INDEX(OFFSET(Arb!$H$2,,,Arb!$AJ$5,),AX29))</f>
        <v>8.36</v>
      </c>
      <c r="AZ29" s="3">
        <f t="shared" ca="1" si="12"/>
        <v>3.4688995215311009</v>
      </c>
      <c r="BA29" s="165">
        <f ca="1">IF(AX29="","",INDEX(OFFSET(Arb!$X$2,,,Arb!$AJ$5,),AX29)/AY29)</f>
        <v>4.3062200956937806</v>
      </c>
      <c r="BB29" s="165">
        <f ca="1">IF(AX29="","",(INDEX(OFFSET(Arb!$U$2,,,Arb!$AJ$5,),AX29)+INDEX(OFFSET(Arb!$V$2,,,Arb!$AJ$5,),AX29))/AY29)</f>
        <v>4.6650717703349285</v>
      </c>
      <c r="BC29" s="51">
        <f t="shared" ca="1" si="13"/>
        <v>37.110711868477942</v>
      </c>
      <c r="BD29" s="88">
        <f ca="1">IF(AX29="","",DATE(INDEX(OFFSET(Arb!$C$2,,,Arb!$AJ$5,),AX29),INDEX(OFFSET(Arb!$B$2,,,Arb!$AJ$5,),AX29),INDEX(OFFSET(Arb!$A$2,,,Arb!$AJ$5,),AX29))+ROW()*0.001)</f>
        <v>43822.029000000002</v>
      </c>
      <c r="BE29" s="436">
        <v>29</v>
      </c>
      <c r="BF29" s="1">
        <v>363</v>
      </c>
      <c r="BG29" s="52">
        <f ca="1">IF(BF29="","",INDEX(OFFSET(Arb!$H$2,,,Arb!$AJ$5,),BF29))</f>
        <v>8.36</v>
      </c>
      <c r="BH29" s="3">
        <f t="shared" ca="1" si="14"/>
        <v>3.4688995215311009</v>
      </c>
      <c r="BI29" s="165">
        <f ca="1">IF(BF29="","",INDEX(OFFSET(Arb!$X$2,,,Arb!$AJ$5,),BF29)/BG29)</f>
        <v>3.9473684210526319</v>
      </c>
      <c r="BJ29" s="165">
        <f ca="1">IF(BF29="","",(INDEX(OFFSET(Arb!$U$2,,,Arb!$AJ$5,),BF29)+INDEX(OFFSET(Arb!$V$2,,,Arb!$AJ$5,),BF29))/BG29)</f>
        <v>4.6650717703349285</v>
      </c>
      <c r="BK29" s="51">
        <f t="shared" ca="1" si="15"/>
        <v>37.110711868477942</v>
      </c>
      <c r="BL29" s="91">
        <f ca="1">IF(BF29="","",DATE(INDEX(OFFSET(Arb!$C$2,,,Arb!$AJ$5,),BF29),INDEX(OFFSET(Arb!$B$2,,,Arb!$AJ$5,),BF29),INDEX(OFFSET(Arb!$A$2,,,Arb!$AJ$5,),BF29))+ROW()*0.001)</f>
        <v>43781.029000000002</v>
      </c>
      <c r="BM29" s="442">
        <v>29</v>
      </c>
      <c r="BN29" s="1">
        <v>611</v>
      </c>
      <c r="BO29" s="52">
        <f ca="1">IF(BN29="","",INDEX(OFFSET(Arb!$H$2,,,Arb!$AJ$5,),BN29))</f>
        <v>9.2899999999999991</v>
      </c>
      <c r="BP29" s="3">
        <f t="shared" ca="1" si="16"/>
        <v>3.1216361679224978</v>
      </c>
      <c r="BQ29" s="165">
        <f ca="1">IF(BN29="","",INDEX(OFFSET(Arb!$X$2,,,Arb!$AJ$5,),BN29)/BO29)</f>
        <v>3.6598493003229282</v>
      </c>
      <c r="BR29" s="165">
        <f ca="1">IF(BN29="","",(INDEX(OFFSET(Arb!$U$2,,,Arb!$AJ$5,),BN29)+INDEX(OFFSET(Arb!$V$2,,,Arb!$AJ$5,),BN29))/BO29)</f>
        <v>4.7362755651237896</v>
      </c>
      <c r="BS29" s="51">
        <f t="shared" ca="1" si="17"/>
        <v>31.018675041868001</v>
      </c>
      <c r="BT29" s="88">
        <f ca="1">IF(BN29="","",DATE(INDEX(OFFSET(Arb!$C$2,,,Arb!$AJ$5,),BN29),INDEX(OFFSET(Arb!$B$2,,,Arb!$AJ$5,),BN29),INDEX(OFFSET(Arb!$A$2,,,Arb!$AJ$5,),BN29))+ROW()*0.001)</f>
        <v>43799.029000000002</v>
      </c>
      <c r="BU29" s="436">
        <v>29</v>
      </c>
      <c r="BV29" s="1">
        <v>1709</v>
      </c>
      <c r="BW29" s="52">
        <f ca="1">IF(BV29="","",INDEX(OFFSET(Arb!$H$2,,,Arb!$AJ$5,),BV29))</f>
        <v>9.56</v>
      </c>
      <c r="BX29" s="3">
        <f t="shared" ca="1" si="18"/>
        <v>3.03347280334728</v>
      </c>
      <c r="BY29" s="165">
        <f ca="1">IF(BV29="","",INDEX(OFFSET(Arb!$X$2,,,Arb!$AJ$5,),BV29)/BW29)</f>
        <v>3.1380753138075312</v>
      </c>
      <c r="BZ29" s="165">
        <f ca="1">IF(BV29="","",(INDEX(OFFSET(Arb!$U$2,,,Arb!$AJ$5,),BV29)+INDEX(OFFSET(Arb!$V$2,,,Arb!$AJ$5,),BV29))/BW29)</f>
        <v>4.1841004184100417</v>
      </c>
      <c r="CA29" s="51">
        <f t="shared" ca="1" si="19"/>
        <v>29.544152744468324</v>
      </c>
      <c r="CB29" s="91">
        <f ca="1">IF(BV29="","",DATE(INDEX(OFFSET(Arb!$C$2,,,Arb!$AJ$5,),BV29),INDEX(OFFSET(Arb!$B$2,,,Arb!$AJ$5,),BV29),INDEX(OFFSET(Arb!$A$2,,,Arb!$AJ$5,),BV29))+ROW()*0.001)</f>
        <v>44107.029000000002</v>
      </c>
    </row>
    <row r="30" spans="1:80" x14ac:dyDescent="0.25">
      <c r="A30" s="433">
        <v>30</v>
      </c>
      <c r="B30" s="1">
        <v>870</v>
      </c>
      <c r="C30" s="52">
        <f ca="1">IF(B30="","",INDEX(OFFSET(Arb!$H$2,,,Arb!$AJ$5,),B30))</f>
        <v>7.18</v>
      </c>
      <c r="D30" s="3">
        <f t="shared" ca="1" si="0"/>
        <v>4.1782729805013927</v>
      </c>
      <c r="E30" s="165">
        <f ca="1">IF(B30="","",INDEX(OFFSET(Arb!$X$2,,,Arb!$AJ$5,),B30)/C30)</f>
        <v>4.1782729805013927</v>
      </c>
      <c r="F30" s="165">
        <f ca="1">IF(B30="","",(INDEX(OFFSET(Arb!$U$2,,,Arb!$AJ$5,),B30)+INDEX(OFFSET(Arb!$V$2,,,Arb!$AJ$5,),B30))/C30)</f>
        <v>4.4568245125348191</v>
      </c>
      <c r="G30" s="51">
        <f t="shared" ca="1" si="1"/>
        <v>49.723496306178752</v>
      </c>
      <c r="H30" s="355">
        <f ca="1">IF(B30="","",DATE(INDEX(OFFSET(Arb!$C$2,,,Arb!$AJ$5,),B30),INDEX(OFFSET(Arb!$B$2,,,Arb!$AJ$5,),B30),INDEX(OFFSET(Arb!$A$2,,,Arb!$AJ$5,),B30))+ROW()*0.001)</f>
        <v>43818.03</v>
      </c>
      <c r="I30" s="436">
        <v>30</v>
      </c>
      <c r="J30" s="1">
        <v>332</v>
      </c>
      <c r="K30" s="52">
        <f ca="1">IF(J30="","",INDEX(OFFSET(Arb!$H$2,,,Arb!$AJ$5,),J30))</f>
        <v>7.81</v>
      </c>
      <c r="L30" s="3">
        <f t="shared" ca="1" si="2"/>
        <v>3.8412291933418694</v>
      </c>
      <c r="M30" s="165">
        <f ca="1">IF(J30="","",INDEX(OFFSET(Arb!$X$2,,,Arb!$AJ$5,),J30)/K30)</f>
        <v>4.2253521126760569</v>
      </c>
      <c r="N30" s="165">
        <f ca="1">IF(J30="","",(INDEX(OFFSET(Arb!$U$2,,,Arb!$AJ$5,),J30)+INDEX(OFFSET(Arb!$V$2,,,Arb!$AJ$5,),J30))/K30)</f>
        <v>4.8655569782330348</v>
      </c>
      <c r="O30" s="51">
        <f t="shared" ca="1" si="3"/>
        <v>43.098926807418522</v>
      </c>
      <c r="P30" s="91">
        <f ca="1">IF(J30="","",DATE(INDEX(OFFSET(Arb!$C$2,,,Arb!$AJ$5,),J30),INDEX(OFFSET(Arb!$B$2,,,Arb!$AJ$5,),J30),INDEX(OFFSET(Arb!$A$2,,,Arb!$AJ$5,),J30))+ROW()*0.001)</f>
        <v>43779.03</v>
      </c>
      <c r="Q30" s="442">
        <v>30</v>
      </c>
      <c r="R30" s="1">
        <v>612</v>
      </c>
      <c r="S30" s="52">
        <f ca="1">IF(R30="","",INDEX(OFFSET(Arb!$H$2,,,Arb!$AJ$5,),R30))</f>
        <v>8.14</v>
      </c>
      <c r="T30" s="3">
        <f t="shared" ca="1" si="4"/>
        <v>3.6855036855036851</v>
      </c>
      <c r="U30" s="165">
        <f ca="1">IF(R30="","",INDEX(OFFSET(Arb!$X$2,,,Arb!$AJ$5,),R30)/S30)</f>
        <v>4.9140049140049138</v>
      </c>
      <c r="V30" s="165">
        <f ca="1">IF(R30="","",(INDEX(OFFSET(Arb!$U$2,,,Arb!$AJ$5,),R30)+INDEX(OFFSET(Arb!$V$2,,,Arb!$AJ$5,),R30))/S30)</f>
        <v>5.2825552825552826</v>
      </c>
      <c r="W30" s="51">
        <f t="shared" ca="1" si="5"/>
        <v>40.170915118845244</v>
      </c>
      <c r="X30" s="88">
        <f ca="1">IF(R30="","",DATE(INDEX(OFFSET(Arb!$C$2,,,Arb!$AJ$5,),R30),INDEX(OFFSET(Arb!$B$2,,,Arb!$AJ$5,),R30),INDEX(OFFSET(Arb!$A$2,,,Arb!$AJ$5,),R30))+ROW()*0.001)</f>
        <v>43799.03</v>
      </c>
      <c r="Y30" s="436">
        <v>30</v>
      </c>
      <c r="Z30" s="1">
        <v>774</v>
      </c>
      <c r="AA30" s="52">
        <f ca="1">IF(Z30="","",INDEX(OFFSET(Arb!$H$2,,,Arb!$AJ$5,),Z30))</f>
        <v>8.5500000000000007</v>
      </c>
      <c r="AB30" s="3">
        <f t="shared" ca="1" si="6"/>
        <v>3.5087719298245612</v>
      </c>
      <c r="AC30" s="165">
        <f ca="1">IF(Z30="","",INDEX(OFFSET(Arb!$X$2,,,Arb!$AJ$5,),Z30)/AA30)</f>
        <v>3.8596491228070171</v>
      </c>
      <c r="AD30" s="165">
        <f ca="1">IF(Z30="","",(INDEX(OFFSET(Arb!$U$2,,,Arb!$AJ$5,),Z30)+INDEX(OFFSET(Arb!$V$2,,,Arb!$AJ$5,),Z30))/AA30)</f>
        <v>4.4444444444444438</v>
      </c>
      <c r="AE30" s="51">
        <f t="shared" ca="1" si="7"/>
        <v>36.951393295504886</v>
      </c>
      <c r="AF30" s="91">
        <f ca="1">IF(Z30="","",DATE(INDEX(OFFSET(Arb!$C$2,,,Arb!$AJ$5,),Z30),INDEX(OFFSET(Arb!$B$2,,,Arb!$AJ$5,),Z30),INDEX(OFFSET(Arb!$A$2,,,Arb!$AJ$5,),Z30))+ROW()*0.001)</f>
        <v>43809.03</v>
      </c>
      <c r="AG30" s="442">
        <v>30</v>
      </c>
      <c r="AH30" s="1">
        <v>928</v>
      </c>
      <c r="AI30" s="52">
        <f ca="1">IF(AH30="","",INDEX(OFFSET(Arb!$H$2,,,Arb!$AJ$5,),AH30))</f>
        <v>8.94</v>
      </c>
      <c r="AJ30" s="3">
        <f t="shared" ca="1" si="8"/>
        <v>3.3557046979865772</v>
      </c>
      <c r="AK30" s="165">
        <f ca="1">IF(AH30="","",INDEX(OFFSET(Arb!$X$2,,,Arb!$AJ$5,),AH30)/AI30)</f>
        <v>3.1319910514541389</v>
      </c>
      <c r="AL30" s="165">
        <f ca="1">IF(AH30="","",(INDEX(OFFSET(Arb!$U$2,,,Arb!$AJ$5,),AH30)+INDEX(OFFSET(Arb!$V$2,,,Arb!$AJ$5,),AH30))/AI30)</f>
        <v>4.3624161073825505</v>
      </c>
      <c r="AM30" s="51">
        <f t="shared" ca="1" si="9"/>
        <v>34.25306444910332</v>
      </c>
      <c r="AN30" s="88">
        <f ca="1">IF(AH30="","",DATE(INDEX(OFFSET(Arb!$C$2,,,Arb!$AJ$5,),AH30),INDEX(OFFSET(Arb!$B$2,,,Arb!$AJ$5,),AH30),INDEX(OFFSET(Arb!$A$2,,,Arb!$AJ$5,),AH30))+ROW()*0.001)</f>
        <v>43822.03</v>
      </c>
      <c r="AO30" s="436">
        <v>30</v>
      </c>
      <c r="AP30" s="1">
        <v>1177</v>
      </c>
      <c r="AQ30" s="52">
        <f ca="1">IF(AP30="","",INDEX(OFFSET(Arb!$H$2,,,Arb!$AJ$5,),AP30))</f>
        <v>9.16</v>
      </c>
      <c r="AR30" s="3">
        <f t="shared" ca="1" si="10"/>
        <v>3.2751091703056767</v>
      </c>
      <c r="AS30" s="165">
        <f ca="1">IF(AP30="","",INDEX(OFFSET(Arb!$X$2,,,Arb!$AJ$5,),AP30)/AQ30)</f>
        <v>3.9301310043668121</v>
      </c>
      <c r="AT30" s="165">
        <f ca="1">IF(AP30="","",(INDEX(OFFSET(Arb!$U$2,,,Arb!$AJ$5,),AP30)+INDEX(OFFSET(Arb!$V$2,,,Arb!$AJ$5,),AP30))/AQ30)</f>
        <v>4.3668122270742353</v>
      </c>
      <c r="AU30" s="51">
        <f t="shared" ca="1" si="11"/>
        <v>32.866307060654954</v>
      </c>
      <c r="AV30" s="91">
        <f ca="1">IF(AP30="","",DATE(INDEX(OFFSET(Arb!$C$2,,,Arb!$AJ$5,),AP30),INDEX(OFFSET(Arb!$B$2,,,Arb!$AJ$5,),AP30),INDEX(OFFSET(Arb!$A$2,,,Arb!$AJ$5,),AP30))+ROW()*0.001)</f>
        <v>43871.03</v>
      </c>
      <c r="AW30" s="442">
        <v>30</v>
      </c>
      <c r="AX30" s="1">
        <v>1692</v>
      </c>
      <c r="AY30" s="52">
        <f ca="1">IF(AX30="","",INDEX(OFFSET(Arb!$H$2,,,Arb!$AJ$5,),AX30))</f>
        <v>9.33</v>
      </c>
      <c r="AZ30" s="3">
        <f t="shared" ca="1" si="12"/>
        <v>3.215434083601286</v>
      </c>
      <c r="BA30" s="165">
        <f ca="1">IF(AX30="","",INDEX(OFFSET(Arb!$X$2,,,Arb!$AJ$5,),AX30)/AY30)</f>
        <v>4.072883172561629</v>
      </c>
      <c r="BB30" s="165">
        <f ca="1">IF(AX30="","",(INDEX(OFFSET(Arb!$U$2,,,Arb!$AJ$5,),AX30)+INDEX(OFFSET(Arb!$V$2,,,Arb!$AJ$5,),AX30))/AY30)</f>
        <v>4.501607717041801</v>
      </c>
      <c r="BC30" s="51">
        <f t="shared" ca="1" si="13"/>
        <v>31.854766008629351</v>
      </c>
      <c r="BD30" s="88">
        <f ca="1">IF(AX30="","",DATE(INDEX(OFFSET(Arb!$C$2,,,Arb!$AJ$5,),AX30),INDEX(OFFSET(Arb!$B$2,,,Arb!$AJ$5,),AX30),INDEX(OFFSET(Arb!$A$2,,,Arb!$AJ$5,),AX30))+ROW()*0.001)</f>
        <v>44106.03</v>
      </c>
      <c r="BE30" s="436">
        <v>30</v>
      </c>
      <c r="BF30" s="1">
        <v>1572</v>
      </c>
      <c r="BG30" s="52">
        <f ca="1">IF(BF30="","",INDEX(OFFSET(Arb!$H$2,,,Arb!$AJ$5,),BF30))</f>
        <v>9.43</v>
      </c>
      <c r="BH30" s="3">
        <f t="shared" ca="1" si="14"/>
        <v>3.1813361611876991</v>
      </c>
      <c r="BI30" s="165">
        <f ca="1">IF(BF30="","",INDEX(OFFSET(Arb!$X$2,,,Arb!$AJ$5,),BF30)/BG30)</f>
        <v>3.9236479321314954</v>
      </c>
      <c r="BJ30" s="165">
        <f ca="1">IF(BF30="","",(INDEX(OFFSET(Arb!$U$2,,,Arb!$AJ$5,),BF30)+INDEX(OFFSET(Arb!$V$2,,,Arb!$AJ$5,),BF30))/BG30)</f>
        <v>4.559915164369035</v>
      </c>
      <c r="BK30" s="51">
        <f t="shared" ca="1" si="15"/>
        <v>31.282635617230014</v>
      </c>
      <c r="BL30" s="91">
        <f ca="1">IF(BF30="","",DATE(INDEX(OFFSET(Arb!$C$2,,,Arb!$AJ$5,),BF30),INDEX(OFFSET(Arb!$B$2,,,Arb!$AJ$5,),BF30),INDEX(OFFSET(Arb!$A$2,,,Arb!$AJ$5,),BF30))+ROW()*0.001)</f>
        <v>44006.03</v>
      </c>
      <c r="BM30" s="442">
        <v>30</v>
      </c>
      <c r="BN30" s="1">
        <v>504</v>
      </c>
      <c r="BO30" s="52">
        <f ca="1">IF(BN30="","",INDEX(OFFSET(Arb!$H$2,,,Arb!$AJ$5,),BN30))</f>
        <v>9.51</v>
      </c>
      <c r="BP30" s="3">
        <f t="shared" ca="1" si="16"/>
        <v>3.1545741324921135</v>
      </c>
      <c r="BQ30" s="165">
        <f ca="1">IF(BN30="","",INDEX(OFFSET(Arb!$X$2,,,Arb!$AJ$5,),BN30)/BO30)</f>
        <v>3.7854889589905363</v>
      </c>
      <c r="BR30" s="165">
        <f ca="1">IF(BN30="","",(INDEX(OFFSET(Arb!$U$2,,,Arb!$AJ$5,),BN30)+INDEX(OFFSET(Arb!$V$2,,,Arb!$AJ$5,),BN30))/BO30)</f>
        <v>4.4164037854889591</v>
      </c>
      <c r="BS30" s="51">
        <f t="shared" ca="1" si="17"/>
        <v>30.836589174991023</v>
      </c>
      <c r="BT30" s="88">
        <f ca="1">IF(BN30="","",DATE(INDEX(OFFSET(Arb!$C$2,,,Arb!$AJ$5,),BN30),INDEX(OFFSET(Arb!$B$2,,,Arb!$AJ$5,),BN30),INDEX(OFFSET(Arb!$A$2,,,Arb!$AJ$5,),BN30))+ROW()*0.001)</f>
        <v>43788.03</v>
      </c>
      <c r="BU30" s="436">
        <v>30</v>
      </c>
      <c r="BV30" s="1">
        <v>664</v>
      </c>
      <c r="BW30" s="52">
        <f ca="1">IF(BV30="","",INDEX(OFFSET(Arb!$H$2,,,Arb!$AJ$5,),BV30))</f>
        <v>9.89</v>
      </c>
      <c r="BX30" s="3">
        <f t="shared" ca="1" si="18"/>
        <v>3.0333670374115265</v>
      </c>
      <c r="BY30" s="165">
        <f ca="1">IF(BV30="","",INDEX(OFFSET(Arb!$X$2,,,Arb!$AJ$5,),BV30)/BW30)</f>
        <v>3.0333670374115265</v>
      </c>
      <c r="BZ30" s="165">
        <f ca="1">IF(BV30="","",(INDEX(OFFSET(Arb!$U$2,,,Arb!$AJ$5,),BV30)+INDEX(OFFSET(Arb!$V$2,,,Arb!$AJ$5,),BV30))/BW30)</f>
        <v>3.741152679474216</v>
      </c>
      <c r="CA30" s="51">
        <f t="shared" ca="1" si="19"/>
        <v>28.849581526703592</v>
      </c>
      <c r="CB30" s="91">
        <f ca="1">IF(BV30="","",DATE(INDEX(OFFSET(Arb!$C$2,,,Arb!$AJ$5,),BV30),INDEX(OFFSET(Arb!$B$2,,,Arb!$AJ$5,),BV30),INDEX(OFFSET(Arb!$A$2,,,Arb!$AJ$5,),BV30))+ROW()*0.001)</f>
        <v>43801.03</v>
      </c>
    </row>
    <row r="31" spans="1:80" x14ac:dyDescent="0.25">
      <c r="A31" s="433">
        <v>31</v>
      </c>
      <c r="B31" s="1">
        <v>831</v>
      </c>
      <c r="C31" s="52">
        <f ca="1">IF(B31="","",INDEX(OFFSET(Arb!$H$2,,,Arb!$AJ$5,),B31))</f>
        <v>8.6</v>
      </c>
      <c r="D31" s="3">
        <f t="shared" ca="1" si="0"/>
        <v>3.6046511627906979</v>
      </c>
      <c r="E31" s="165">
        <f ca="1">IF(B31="","",INDEX(OFFSET(Arb!$X$2,,,Arb!$AJ$5,),B31)/C31)</f>
        <v>3.3720930232558142</v>
      </c>
      <c r="F31" s="165">
        <f ca="1">IF(B31="","",(INDEX(OFFSET(Arb!$U$2,,,Arb!$AJ$5,),B31)+INDEX(OFFSET(Arb!$V$2,,,Arb!$AJ$5,),B31))/C31)</f>
        <v>4.5348837209302326</v>
      </c>
      <c r="G31" s="51">
        <f t="shared" ca="1" si="1"/>
        <v>37.806483631866065</v>
      </c>
      <c r="H31" s="355">
        <f ca="1">IF(B31="","",DATE(INDEX(OFFSET(Arb!$C$2,,,Arb!$AJ$5,),B31),INDEX(OFFSET(Arb!$B$2,,,Arb!$AJ$5,),B31),INDEX(OFFSET(Arb!$A$2,,,Arb!$AJ$5,),B31))+ROW()*0.001)</f>
        <v>43813.031000000003</v>
      </c>
      <c r="I31" s="436">
        <v>31</v>
      </c>
      <c r="J31" s="1">
        <v>850</v>
      </c>
      <c r="K31" s="52">
        <f ca="1">IF(J31="","",INDEX(OFFSET(Arb!$H$2,,,Arb!$AJ$5,),J31))</f>
        <v>8.73</v>
      </c>
      <c r="L31" s="3">
        <f t="shared" ca="1" si="2"/>
        <v>3.5509736540664374</v>
      </c>
      <c r="M31" s="165">
        <f ca="1">IF(J31="","",INDEX(OFFSET(Arb!$X$2,,,Arb!$AJ$5,),J31)/K31)</f>
        <v>4.1237113402061851</v>
      </c>
      <c r="N31" s="165">
        <f ca="1">IF(J31="","",(INDEX(OFFSET(Arb!$U$2,,,Arb!$AJ$5,),J31)+INDEX(OFFSET(Arb!$V$2,,,Arb!$AJ$5,),J31))/K31)</f>
        <v>4.4673539518900345</v>
      </c>
      <c r="O31" s="51">
        <f t="shared" ca="1" si="3"/>
        <v>36.854407918923357</v>
      </c>
      <c r="P31" s="91">
        <f ca="1">IF(J31="","",DATE(INDEX(OFFSET(Arb!$C$2,,,Arb!$AJ$5,),J31),INDEX(OFFSET(Arb!$B$2,,,Arb!$AJ$5,),J31),INDEX(OFFSET(Arb!$A$2,,,Arb!$AJ$5,),J31))+ROW()*0.001)</f>
        <v>43815.031000000003</v>
      </c>
      <c r="Q31" s="442">
        <v>31</v>
      </c>
      <c r="R31" s="1">
        <v>1331</v>
      </c>
      <c r="S31" s="52">
        <f ca="1">IF(R31="","",INDEX(OFFSET(Arb!$H$2,,,Arb!$AJ$5,),R31))</f>
        <v>8.84</v>
      </c>
      <c r="T31" s="3">
        <f t="shared" ca="1" si="4"/>
        <v>3.5067873303167421</v>
      </c>
      <c r="U31" s="165">
        <f ca="1">IF(R31="","",INDEX(OFFSET(Arb!$X$2,,,Arb!$AJ$5,),R31)/S31)</f>
        <v>3.5067873303167421</v>
      </c>
      <c r="V31" s="165">
        <f ca="1">IF(R31="","",(INDEX(OFFSET(Arb!$U$2,,,Arb!$AJ$5,),R31)+INDEX(OFFSET(Arb!$V$2,,,Arb!$AJ$5,),R31))/S31)</f>
        <v>3.8461538461538463</v>
      </c>
      <c r="W31" s="51">
        <f t="shared" ca="1" si="5"/>
        <v>36.078195056983709</v>
      </c>
      <c r="X31" s="88">
        <f ca="1">IF(R31="","",DATE(INDEX(OFFSET(Arb!$C$2,,,Arb!$AJ$5,),R31),INDEX(OFFSET(Arb!$B$2,,,Arb!$AJ$5,),R31),INDEX(OFFSET(Arb!$A$2,,,Arb!$AJ$5,),R31))+ROW()*0.001)</f>
        <v>43935.031000000003</v>
      </c>
      <c r="Y31" s="436">
        <v>31</v>
      </c>
      <c r="Z31" s="1">
        <v>1875</v>
      </c>
      <c r="AA31" s="52">
        <f ca="1">IF(Z31="","",INDEX(OFFSET(Arb!$H$2,,,Arb!$AJ$5,),Z31))</f>
        <v>8.99</v>
      </c>
      <c r="AB31" s="3">
        <f t="shared" ca="1" si="6"/>
        <v>3.4482758620689653</v>
      </c>
      <c r="AC31" s="165">
        <f ca="1">IF(Z31="","",INDEX(OFFSET(Arb!$X$2,,,Arb!$AJ$5,),Z31)/AA31)</f>
        <v>3.225806451612903</v>
      </c>
      <c r="AD31" s="165">
        <f ca="1">IF(Z31="","",(INDEX(OFFSET(Arb!$U$2,,,Arb!$AJ$5,),Z31)+INDEX(OFFSET(Arb!$V$2,,,Arb!$AJ$5,),Z31))/AA31)</f>
        <v>3.5595105672969964</v>
      </c>
      <c r="AE31" s="51">
        <f t="shared" ca="1" si="7"/>
        <v>35.060828694804599</v>
      </c>
      <c r="AF31" s="91">
        <f ca="1">IF(Z31="","",DATE(INDEX(OFFSET(Arb!$C$2,,,Arb!$AJ$5,),Z31),INDEX(OFFSET(Arb!$B$2,,,Arb!$AJ$5,),Z31),INDEX(OFFSET(Arb!$A$2,,,Arb!$AJ$5,),Z31))+ROW()*0.001)</f>
        <v>44168.031000000003</v>
      </c>
      <c r="AG31" s="442">
        <v>31</v>
      </c>
      <c r="AH31" s="1">
        <v>303</v>
      </c>
      <c r="AI31" s="52">
        <f ca="1">IF(AH31="","",INDEX(OFFSET(Arb!$H$2,,,Arb!$AJ$5,),AH31))</f>
        <v>9.16</v>
      </c>
      <c r="AJ31" s="3">
        <f t="shared" ca="1" si="8"/>
        <v>3.3842794759825328</v>
      </c>
      <c r="AK31" s="165">
        <f ca="1">IF(AH31="","",INDEX(OFFSET(Arb!$X$2,,,Arb!$AJ$5,),AH31)/AI31)</f>
        <v>4.0393013100436681</v>
      </c>
      <c r="AL31" s="165">
        <f ca="1">IF(AH31="","",(INDEX(OFFSET(Arb!$U$2,,,Arb!$AJ$5,),AH31)+INDEX(OFFSET(Arb!$V$2,,,Arb!$AJ$5,),AH31))/AI31)</f>
        <v>4.3668122270742353</v>
      </c>
      <c r="AM31" s="51">
        <f t="shared" ca="1" si="9"/>
        <v>33.961850629343445</v>
      </c>
      <c r="AN31" s="88">
        <f ca="1">IF(AH31="","",DATE(INDEX(OFFSET(Arb!$C$2,,,Arb!$AJ$5,),AH31),INDEX(OFFSET(Arb!$B$2,,,Arb!$AJ$5,),AH31),INDEX(OFFSET(Arb!$A$2,,,Arb!$AJ$5,),AH31))+ROW()*0.001)</f>
        <v>43778.031000000003</v>
      </c>
      <c r="AO31" s="436">
        <v>31</v>
      </c>
      <c r="AP31" s="1">
        <v>122</v>
      </c>
      <c r="AQ31" s="52">
        <f ca="1">IF(AP31="","",INDEX(OFFSET(Arb!$H$2,,,Arb!$AJ$5,),AP31))</f>
        <v>9.4600000000000009</v>
      </c>
      <c r="AR31" s="3">
        <f t="shared" ca="1" si="10"/>
        <v>3.2769556025369977</v>
      </c>
      <c r="AS31" s="165">
        <f ca="1">IF(AP31="","",INDEX(OFFSET(Arb!$X$2,,,Arb!$AJ$5,),AP31)/AQ31)</f>
        <v>3.9112050739957711</v>
      </c>
      <c r="AT31" s="165">
        <f ca="1">IF(AP31="","",(INDEX(OFFSET(Arb!$U$2,,,Arb!$AJ$5,),AP31)+INDEX(OFFSET(Arb!$V$2,,,Arb!$AJ$5,),AP31))/AQ31)</f>
        <v>4.8625792811839323</v>
      </c>
      <c r="AU31" s="51">
        <f t="shared" ca="1" si="11"/>
        <v>32.151313554255793</v>
      </c>
      <c r="AV31" s="91">
        <f ca="1">IF(AP31="","",DATE(INDEX(OFFSET(Arb!$C$2,,,Arb!$AJ$5,),AP31),INDEX(OFFSET(Arb!$B$2,,,Arb!$AJ$5,),AP31),INDEX(OFFSET(Arb!$A$2,,,Arb!$AJ$5,),AP31))+ROW()*0.001)</f>
        <v>43770.031000000003</v>
      </c>
      <c r="AW31" s="442">
        <v>31</v>
      </c>
      <c r="AX31" s="1">
        <v>1542</v>
      </c>
      <c r="AY31" s="52">
        <f ca="1">IF(AX31="","",INDEX(OFFSET(Arb!$H$2,,,Arb!$AJ$5,),AX31))</f>
        <v>10.33</v>
      </c>
      <c r="AZ31" s="3">
        <f t="shared" ca="1" si="12"/>
        <v>3.000968054211036</v>
      </c>
      <c r="BA31" s="165">
        <f ca="1">IF(AX31="","",INDEX(OFFSET(Arb!$X$2,,,Arb!$AJ$5,),AX31)/AY31)</f>
        <v>3.6786060019361084</v>
      </c>
      <c r="BB31" s="165">
        <f ca="1">IF(AX31="","",(INDEX(OFFSET(Arb!$U$2,,,Arb!$AJ$5,),AX31)+INDEX(OFFSET(Arb!$V$2,,,Arb!$AJ$5,),AX31))/AY31)</f>
        <v>4.3562439496611809</v>
      </c>
      <c r="BC31" s="51">
        <f t="shared" ca="1" si="13"/>
        <v>27.684909373631296</v>
      </c>
      <c r="BD31" s="88">
        <f ca="1">IF(AX31="","",DATE(INDEX(OFFSET(Arb!$C$2,,,Arb!$AJ$5,),AX31),INDEX(OFFSET(Arb!$B$2,,,Arb!$AJ$5,),AX31),INDEX(OFFSET(Arb!$A$2,,,Arb!$AJ$5,),AX31))+ROW()*0.001)</f>
        <v>43984.031000000003</v>
      </c>
      <c r="BE31" s="436">
        <v>31</v>
      </c>
      <c r="BG31" s="52" t="str">
        <f ca="1">IF(BF31="","",INDEX(OFFSET(Arb!$H$2,,,Arb!$AJ$5,),BF31))</f>
        <v/>
      </c>
      <c r="BH31" s="3" t="str">
        <f t="shared" ca="1" si="14"/>
        <v/>
      </c>
      <c r="BI31" s="165" t="str">
        <f ca="1">IF(BF31="","",INDEX(OFFSET(Arb!$X$2,,,Arb!$AJ$5,),BF31)/BG31)</f>
        <v/>
      </c>
      <c r="BJ31" s="165" t="str">
        <f ca="1">IF(BF31="","",(INDEX(OFFSET(Arb!$U$2,,,Arb!$AJ$5,),BF31)+INDEX(OFFSET(Arb!$V$2,,,Arb!$AJ$5,),BF31))/BG31)</f>
        <v/>
      </c>
      <c r="BK31" s="51" t="str">
        <f t="shared" ca="1" si="15"/>
        <v/>
      </c>
      <c r="BL31" s="91" t="str">
        <f ca="1">IF(BF31="","",DATE(INDEX(OFFSET(Arb!$C$2,,,Arb!$AJ$5,),BF31),INDEX(OFFSET(Arb!$B$2,,,Arb!$AJ$5,),BF31),INDEX(OFFSET(Arb!$A$2,,,Arb!$AJ$5,),BF31))+ROW()*0.001)</f>
        <v/>
      </c>
      <c r="BM31" s="442">
        <v>31</v>
      </c>
      <c r="BO31" s="52" t="str">
        <f ca="1">IF(BN31="","",INDEX(OFFSET(Arb!$H$2,,,Arb!$AJ$5,),BN31))</f>
        <v/>
      </c>
      <c r="BP31" s="3" t="str">
        <f t="shared" ca="1" si="16"/>
        <v/>
      </c>
      <c r="BQ31" s="165" t="str">
        <f ca="1">IF(BN31="","",INDEX(OFFSET(Arb!$X$2,,,Arb!$AJ$5,),BN31)/BO31)</f>
        <v/>
      </c>
      <c r="BR31" s="165" t="str">
        <f ca="1">IF(BN31="","",(INDEX(OFFSET(Arb!$U$2,,,Arb!$AJ$5,),BN31)+INDEX(OFFSET(Arb!$V$2,,,Arb!$AJ$5,),BN31))/BO31)</f>
        <v/>
      </c>
      <c r="BS31" s="51" t="str">
        <f t="shared" ca="1" si="17"/>
        <v/>
      </c>
      <c r="BT31" s="88" t="str">
        <f ca="1">IF(BN31="","",DATE(INDEX(OFFSET(Arb!$C$2,,,Arb!$AJ$5,),BN31),INDEX(OFFSET(Arb!$B$2,,,Arb!$AJ$5,),BN31),INDEX(OFFSET(Arb!$A$2,,,Arb!$AJ$5,),BN31))+ROW()*0.001)</f>
        <v/>
      </c>
      <c r="BU31" s="436">
        <v>31</v>
      </c>
      <c r="BW31" s="52" t="str">
        <f ca="1">IF(BV31="","",INDEX(OFFSET(Arb!$H$2,,,Arb!$AJ$5,),BV31))</f>
        <v/>
      </c>
      <c r="BX31" s="3" t="str">
        <f t="shared" ca="1" si="18"/>
        <v/>
      </c>
      <c r="BY31" s="165" t="str">
        <f ca="1">IF(BV31="","",INDEX(OFFSET(Arb!$X$2,,,Arb!$AJ$5,),BV31)/BW31)</f>
        <v/>
      </c>
      <c r="BZ31" s="165" t="str">
        <f ca="1">IF(BV31="","",(INDEX(OFFSET(Arb!$U$2,,,Arb!$AJ$5,),BV31)+INDEX(OFFSET(Arb!$V$2,,,Arb!$AJ$5,),BV31))/BW31)</f>
        <v/>
      </c>
      <c r="CA31" s="51" t="str">
        <f t="shared" ca="1" si="19"/>
        <v/>
      </c>
      <c r="CB31" s="91" t="str">
        <f ca="1">IF(BV31="","",DATE(INDEX(OFFSET(Arb!$C$2,,,Arb!$AJ$5,),BV31),INDEX(OFFSET(Arb!$B$2,,,Arb!$AJ$5,),BV31),INDEX(OFFSET(Arb!$A$2,,,Arb!$AJ$5,),BV31))+ROW()*0.001)</f>
        <v/>
      </c>
    </row>
    <row r="32" spans="1:80" x14ac:dyDescent="0.25">
      <c r="A32" s="433">
        <v>32</v>
      </c>
      <c r="B32" s="1">
        <v>472</v>
      </c>
      <c r="C32" s="52">
        <f ca="1">IF(B32="","",INDEX(OFFSET(Arb!$H$2,,,Arb!$AJ$5,),B32))</f>
        <v>7.87</v>
      </c>
      <c r="D32" s="3">
        <f t="shared" ca="1" si="0"/>
        <v>4.066073697585769</v>
      </c>
      <c r="E32" s="165">
        <f ca="1">IF(B32="","",INDEX(OFFSET(Arb!$X$2,,,Arb!$AJ$5,),B32)/C32)</f>
        <v>3.4307496823379924</v>
      </c>
      <c r="F32" s="165">
        <f ca="1">IF(B32="","",(INDEX(OFFSET(Arb!$U$2,,,Arb!$AJ$5,),B32)+INDEX(OFFSET(Arb!$V$2,,,Arb!$AJ$5,),B32))/C32)</f>
        <v>4.4472681067344348</v>
      </c>
      <c r="G32" s="51">
        <f t="shared" ca="1" si="1"/>
        <v>45.377952089628856</v>
      </c>
      <c r="H32" s="355">
        <f ca="1">IF(B32="","",DATE(INDEX(OFFSET(Arb!$C$2,,,Arb!$AJ$5,),B32),INDEX(OFFSET(Arb!$B$2,,,Arb!$AJ$5,),B32),INDEX(OFFSET(Arb!$A$2,,,Arb!$AJ$5,),B32))+ROW()*0.001)</f>
        <v>43786.031999999999</v>
      </c>
      <c r="I32" s="436">
        <v>32</v>
      </c>
      <c r="J32" s="1">
        <v>768</v>
      </c>
      <c r="K32" s="52">
        <f ca="1">IF(J32="","",INDEX(OFFSET(Arb!$H$2,,,Arb!$AJ$5,),J32))</f>
        <v>8.52</v>
      </c>
      <c r="L32" s="3">
        <f t="shared" ca="1" si="2"/>
        <v>3.755868544600939</v>
      </c>
      <c r="M32" s="165">
        <f ca="1">IF(J32="","",INDEX(OFFSET(Arb!$X$2,,,Arb!$AJ$5,),J32)/K32)</f>
        <v>4.2253521126760569</v>
      </c>
      <c r="N32" s="165">
        <f ca="1">IF(J32="","",(INDEX(OFFSET(Arb!$U$2,,,Arb!$AJ$5,),J32)+INDEX(OFFSET(Arb!$V$2,,,Arb!$AJ$5,),J32))/K32)</f>
        <v>5.046948356807512</v>
      </c>
      <c r="O32" s="51">
        <f t="shared" ca="1" si="3"/>
        <v>39.651043955188648</v>
      </c>
      <c r="P32" s="91">
        <f ca="1">IF(J32="","",DATE(INDEX(OFFSET(Arb!$C$2,,,Arb!$AJ$5,),J32),INDEX(OFFSET(Arb!$B$2,,,Arb!$AJ$5,),J32),INDEX(OFFSET(Arb!$A$2,,,Arb!$AJ$5,),J32))+ROW()*0.001)</f>
        <v>43809.031999999999</v>
      </c>
      <c r="Q32" s="442">
        <v>32</v>
      </c>
      <c r="R32" s="1">
        <v>385</v>
      </c>
      <c r="S32" s="52">
        <f ca="1">IF(R32="","",INDEX(OFFSET(Arb!$H$2,,,Arb!$AJ$5,),R32))</f>
        <v>8.99</v>
      </c>
      <c r="T32" s="3">
        <f t="shared" ca="1" si="4"/>
        <v>3.5595105672969964</v>
      </c>
      <c r="U32" s="165">
        <f ca="1">IF(R32="","",INDEX(OFFSET(Arb!$X$2,,,Arb!$AJ$5,),R32)/S32)</f>
        <v>4.1156840934371521</v>
      </c>
      <c r="V32" s="165">
        <f ca="1">IF(R32="","",(INDEX(OFFSET(Arb!$U$2,,,Arb!$AJ$5,),R32)+INDEX(OFFSET(Arb!$V$2,,,Arb!$AJ$5,),R32))/S32)</f>
        <v>4.6718576195773078</v>
      </c>
      <c r="W32" s="51">
        <f t="shared" ca="1" si="5"/>
        <v>36.19182316883056</v>
      </c>
      <c r="X32" s="88">
        <f ca="1">IF(R32="","",DATE(INDEX(OFFSET(Arb!$C$2,,,Arb!$AJ$5,),R32),INDEX(OFFSET(Arb!$B$2,,,Arb!$AJ$5,),R32),INDEX(OFFSET(Arb!$A$2,,,Arb!$AJ$5,),R32))+ROW()*0.001)</f>
        <v>43781.031999999999</v>
      </c>
      <c r="Y32" s="436">
        <v>32</v>
      </c>
      <c r="Z32" s="1">
        <v>1744</v>
      </c>
      <c r="AA32" s="52">
        <f ca="1">IF(Z32="","",INDEX(OFFSET(Arb!$H$2,,,Arb!$AJ$5,),Z32))</f>
        <v>9.51</v>
      </c>
      <c r="AB32" s="3">
        <f t="shared" ca="1" si="6"/>
        <v>3.3648790746582544</v>
      </c>
      <c r="AC32" s="165">
        <f ca="1">IF(Z32="","",INDEX(OFFSET(Arb!$X$2,,,Arb!$AJ$5,),Z32)/AA32)</f>
        <v>3.5751840168243953</v>
      </c>
      <c r="AD32" s="165">
        <f ca="1">IF(Z32="","",(INDEX(OFFSET(Arb!$U$2,,,Arb!$AJ$5,),Z32)+INDEX(OFFSET(Arb!$V$2,,,Arb!$AJ$5,),Z32))/AA32)</f>
        <v>4.1009463722397479</v>
      </c>
      <c r="AE32" s="51">
        <f t="shared" ca="1" si="7"/>
        <v>32.892361786657091</v>
      </c>
      <c r="AF32" s="91">
        <f ca="1">IF(Z32="","",DATE(INDEX(OFFSET(Arb!$C$2,,,Arb!$AJ$5,),Z32),INDEX(OFFSET(Arb!$B$2,,,Arb!$AJ$5,),Z32),INDEX(OFFSET(Arb!$A$2,,,Arb!$AJ$5,),Z32))+ROW()*0.001)</f>
        <v>44114.031999999999</v>
      </c>
      <c r="AG32" s="442">
        <v>32</v>
      </c>
      <c r="AH32" s="1">
        <v>434</v>
      </c>
      <c r="AI32" s="52">
        <f ca="1">IF(AH32="","",INDEX(OFFSET(Arb!$H$2,,,Arb!$AJ$5,),AH32))</f>
        <v>27.8</v>
      </c>
      <c r="AJ32" s="3">
        <f t="shared" ca="1" si="8"/>
        <v>1.1510791366906474</v>
      </c>
      <c r="AK32" s="165">
        <f ca="1">IF(AH32="","",INDEX(OFFSET(Arb!$X$2,,,Arb!$AJ$5,),AH32)/AI32)</f>
        <v>0.93525179856115104</v>
      </c>
      <c r="AL32" s="165">
        <f ca="1">IF(AH32="","",(INDEX(OFFSET(Arb!$U$2,,,Arb!$AJ$5,),AH32)+INDEX(OFFSET(Arb!$V$2,,,Arb!$AJ$5,),AH32))/AI32)</f>
        <v>0.93525179856115104</v>
      </c>
      <c r="AM32" s="51">
        <f t="shared" ca="1" si="9"/>
        <v>5.3103822593495957</v>
      </c>
      <c r="AN32" s="88">
        <f ca="1">IF(AH32="","",DATE(INDEX(OFFSET(Arb!$C$2,,,Arb!$AJ$5,),AH32),INDEX(OFFSET(Arb!$B$2,,,Arb!$AJ$5,),AH32),INDEX(OFFSET(Arb!$A$2,,,Arb!$AJ$5,),AH32))+ROW()*0.001)</f>
        <v>43781.031999999999</v>
      </c>
      <c r="AO32" s="436">
        <v>32</v>
      </c>
      <c r="AQ32" s="52" t="str">
        <f ca="1">IF(AP32="","",INDEX(OFFSET(Arb!$H$2,,,Arb!$AJ$5,),AP32))</f>
        <v/>
      </c>
      <c r="AR32" s="3" t="str">
        <f t="shared" ca="1" si="10"/>
        <v/>
      </c>
      <c r="AS32" s="165" t="str">
        <f ca="1">IF(AP32="","",INDEX(OFFSET(Arb!$X$2,,,Arb!$AJ$5,),AP32)/AQ32)</f>
        <v/>
      </c>
      <c r="AT32" s="165" t="str">
        <f ca="1">IF(AP32="","",(INDEX(OFFSET(Arb!$U$2,,,Arb!$AJ$5,),AP32)+INDEX(OFFSET(Arb!$V$2,,,Arb!$AJ$5,),AP32))/AQ32)</f>
        <v/>
      </c>
      <c r="AU32" s="51" t="str">
        <f t="shared" ca="1" si="11"/>
        <v/>
      </c>
      <c r="AV32" s="91" t="str">
        <f ca="1">IF(AP32="","",DATE(INDEX(OFFSET(Arb!$C$2,,,Arb!$AJ$5,),AP32),INDEX(OFFSET(Arb!$B$2,,,Arb!$AJ$5,),AP32),INDEX(OFFSET(Arb!$A$2,,,Arb!$AJ$5,),AP32))+ROW()*0.001)</f>
        <v/>
      </c>
      <c r="AW32" s="442">
        <v>32</v>
      </c>
      <c r="AY32" s="52" t="str">
        <f ca="1">IF(AX32="","",INDEX(OFFSET(Arb!$H$2,,,Arb!$AJ$5,),AX32))</f>
        <v/>
      </c>
      <c r="AZ32" s="3" t="str">
        <f t="shared" ca="1" si="12"/>
        <v/>
      </c>
      <c r="BA32" s="165" t="str">
        <f ca="1">IF(AX32="","",INDEX(OFFSET(Arb!$X$2,,,Arb!$AJ$5,),AX32)/AY32)</f>
        <v/>
      </c>
      <c r="BB32" s="165" t="str">
        <f ca="1">IF(AX32="","",(INDEX(OFFSET(Arb!$U$2,,,Arb!$AJ$5,),AX32)+INDEX(OFFSET(Arb!$V$2,,,Arb!$AJ$5,),AX32))/AY32)</f>
        <v/>
      </c>
      <c r="BC32" s="51" t="str">
        <f t="shared" ca="1" si="13"/>
        <v/>
      </c>
      <c r="BD32" s="88" t="str">
        <f ca="1">IF(AX32="","",DATE(INDEX(OFFSET(Arb!$C$2,,,Arb!$AJ$5,),AX32),INDEX(OFFSET(Arb!$B$2,,,Arb!$AJ$5,),AX32),INDEX(OFFSET(Arb!$A$2,,,Arb!$AJ$5,),AX32))+ROW()*0.001)</f>
        <v/>
      </c>
      <c r="BE32" s="436">
        <v>32</v>
      </c>
      <c r="BG32" s="52" t="str">
        <f ca="1">IF(BF32="","",INDEX(OFFSET(Arb!$H$2,,,Arb!$AJ$5,),BF32))</f>
        <v/>
      </c>
      <c r="BH32" s="3" t="str">
        <f t="shared" ca="1" si="14"/>
        <v/>
      </c>
      <c r="BI32" s="165" t="str">
        <f ca="1">IF(BF32="","",INDEX(OFFSET(Arb!$X$2,,,Arb!$AJ$5,),BF32)/BG32)</f>
        <v/>
      </c>
      <c r="BJ32" s="165" t="str">
        <f ca="1">IF(BF32="","",(INDEX(OFFSET(Arb!$U$2,,,Arb!$AJ$5,),BF32)+INDEX(OFFSET(Arb!$V$2,,,Arb!$AJ$5,),BF32))/BG32)</f>
        <v/>
      </c>
      <c r="BK32" s="51" t="str">
        <f t="shared" ca="1" si="15"/>
        <v/>
      </c>
      <c r="BL32" s="91" t="str">
        <f ca="1">IF(BF32="","",DATE(INDEX(OFFSET(Arb!$C$2,,,Arb!$AJ$5,),BF32),INDEX(OFFSET(Arb!$B$2,,,Arb!$AJ$5,),BF32),INDEX(OFFSET(Arb!$A$2,,,Arb!$AJ$5,),BF32))+ROW()*0.001)</f>
        <v/>
      </c>
      <c r="BM32" s="442">
        <v>32</v>
      </c>
      <c r="BO32" s="52" t="str">
        <f ca="1">IF(BN32="","",INDEX(OFFSET(Arb!$H$2,,,Arb!$AJ$5,),BN32))</f>
        <v/>
      </c>
      <c r="BP32" s="3" t="str">
        <f t="shared" ca="1" si="16"/>
        <v/>
      </c>
      <c r="BQ32" s="165" t="str">
        <f ca="1">IF(BN32="","",INDEX(OFFSET(Arb!$X$2,,,Arb!$AJ$5,),BN32)/BO32)</f>
        <v/>
      </c>
      <c r="BR32" s="165" t="str">
        <f ca="1">IF(BN32="","",(INDEX(OFFSET(Arb!$U$2,,,Arb!$AJ$5,),BN32)+INDEX(OFFSET(Arb!$V$2,,,Arb!$AJ$5,),BN32))/BO32)</f>
        <v/>
      </c>
      <c r="BS32" s="51" t="str">
        <f t="shared" ca="1" si="17"/>
        <v/>
      </c>
      <c r="BT32" s="88" t="str">
        <f ca="1">IF(BN32="","",DATE(INDEX(OFFSET(Arb!$C$2,,,Arb!$AJ$5,),BN32),INDEX(OFFSET(Arb!$B$2,,,Arb!$AJ$5,),BN32),INDEX(OFFSET(Arb!$A$2,,,Arb!$AJ$5,),BN32))+ROW()*0.001)</f>
        <v/>
      </c>
      <c r="BU32" s="436">
        <v>32</v>
      </c>
      <c r="BW32" s="52" t="str">
        <f ca="1">IF(BV32="","",INDEX(OFFSET(Arb!$H$2,,,Arb!$AJ$5,),BV32))</f>
        <v/>
      </c>
      <c r="BX32" s="3" t="str">
        <f t="shared" ca="1" si="18"/>
        <v/>
      </c>
      <c r="BY32" s="165" t="str">
        <f ca="1">IF(BV32="","",INDEX(OFFSET(Arb!$X$2,,,Arb!$AJ$5,),BV32)/BW32)</f>
        <v/>
      </c>
      <c r="BZ32" s="165" t="str">
        <f ca="1">IF(BV32="","",(INDEX(OFFSET(Arb!$U$2,,,Arb!$AJ$5,),BV32)+INDEX(OFFSET(Arb!$V$2,,,Arb!$AJ$5,),BV32))/BW32)</f>
        <v/>
      </c>
      <c r="CA32" s="51" t="str">
        <f t="shared" ca="1" si="19"/>
        <v/>
      </c>
      <c r="CB32" s="91" t="str">
        <f ca="1">IF(BV32="","",DATE(INDEX(OFFSET(Arb!$C$2,,,Arb!$AJ$5,),BV32),INDEX(OFFSET(Arb!$B$2,,,Arb!$AJ$5,),BV32),INDEX(OFFSET(Arb!$A$2,,,Arb!$AJ$5,),BV32))+ROW()*0.001)</f>
        <v/>
      </c>
    </row>
    <row r="33" spans="1:80" x14ac:dyDescent="0.25">
      <c r="A33" s="433">
        <v>33</v>
      </c>
      <c r="B33" s="1">
        <v>596</v>
      </c>
      <c r="C33" s="52">
        <f ca="1">IF(B33="","",INDEX(OFFSET(Arb!$H$2,,,Arb!$AJ$5,),B33))</f>
        <v>9.14</v>
      </c>
      <c r="D33" s="3">
        <f t="shared" ca="1" si="0"/>
        <v>3.6105032822757108</v>
      </c>
      <c r="E33" s="165">
        <f ca="1">IF(B33="","",INDEX(OFFSET(Arb!$X$2,,,Arb!$AJ$5,),B33)/C33)</f>
        <v>4.0481400437636763</v>
      </c>
      <c r="F33" s="165">
        <f ca="1">IF(B33="","",(INDEX(OFFSET(Arb!$U$2,,,Arb!$AJ$5,),B33)+INDEX(OFFSET(Arb!$V$2,,,Arb!$AJ$5,),B33))/C33)</f>
        <v>4.7045951859956237</v>
      </c>
      <c r="G33" s="51">
        <f t="shared" ca="1" si="1"/>
        <v>36.287526506169897</v>
      </c>
      <c r="H33" s="355">
        <f ca="1">IF(B33="","",DATE(INDEX(OFFSET(Arb!$C$2,,,Arb!$AJ$5,),B33),INDEX(OFFSET(Arb!$B$2,,,Arb!$AJ$5,),B33),INDEX(OFFSET(Arb!$A$2,,,Arb!$AJ$5,),B33))+ROW()*0.001)</f>
        <v>43798.033000000003</v>
      </c>
      <c r="I33" s="436">
        <v>33</v>
      </c>
      <c r="J33" s="1">
        <v>1717</v>
      </c>
      <c r="K33" s="52">
        <f ca="1">IF(J33="","",INDEX(OFFSET(Arb!$H$2,,,Arb!$AJ$5,),J33))</f>
        <v>9.19</v>
      </c>
      <c r="L33" s="3">
        <f t="shared" ca="1" si="2"/>
        <v>3.5908596300326443</v>
      </c>
      <c r="M33" s="165">
        <f ca="1">IF(J33="","",INDEX(OFFSET(Arb!$X$2,,,Arb!$AJ$5,),J33)/K33)</f>
        <v>3.4820457018498367</v>
      </c>
      <c r="N33" s="165">
        <f ca="1">IF(J33="","",(INDEX(OFFSET(Arb!$U$2,,,Arb!$AJ$5,),J33)+INDEX(OFFSET(Arb!$V$2,,,Arb!$AJ$5,),J33))/K33)</f>
        <v>4.2437431991294892</v>
      </c>
      <c r="O33" s="51">
        <f t="shared" ca="1" si="3"/>
        <v>35.952535970081556</v>
      </c>
      <c r="P33" s="91">
        <f ca="1">IF(J33="","",DATE(INDEX(OFFSET(Arb!$C$2,,,Arb!$AJ$5,),J33),INDEX(OFFSET(Arb!$B$2,,,Arb!$AJ$5,),J33),INDEX(OFFSET(Arb!$A$2,,,Arb!$AJ$5,),J33))+ROW()*0.001)</f>
        <v>44107.033000000003</v>
      </c>
      <c r="Q33" s="442">
        <v>33</v>
      </c>
      <c r="R33" s="1">
        <v>321</v>
      </c>
      <c r="S33" s="52">
        <f ca="1">IF(R33="","",INDEX(OFFSET(Arb!$H$2,,,Arb!$AJ$5,),R33))</f>
        <v>9.82</v>
      </c>
      <c r="T33" s="3">
        <f t="shared" ca="1" si="4"/>
        <v>3.3604887983706719</v>
      </c>
      <c r="U33" s="165">
        <f ca="1">IF(R33="","",INDEX(OFFSET(Arb!$X$2,,,Arb!$AJ$5,),R33)/S33)</f>
        <v>3.0549898167006111</v>
      </c>
      <c r="V33" s="165">
        <f ca="1">IF(R33="","",(INDEX(OFFSET(Arb!$U$2,,,Arb!$AJ$5,),R33)+INDEX(OFFSET(Arb!$V$2,,,Arb!$AJ$5,),R33))/S33)</f>
        <v>4.1751527494908345</v>
      </c>
      <c r="W33" s="51">
        <f t="shared" ca="1" si="5"/>
        <v>32.120061605911808</v>
      </c>
      <c r="X33" s="88">
        <f ca="1">IF(R33="","",DATE(INDEX(OFFSET(Arb!$C$2,,,Arb!$AJ$5,),R33),INDEX(OFFSET(Arb!$B$2,,,Arb!$AJ$5,),R33),INDEX(OFFSET(Arb!$A$2,,,Arb!$AJ$5,),R33))+ROW()*0.001)</f>
        <v>43779.033000000003</v>
      </c>
      <c r="Y33" s="436">
        <v>33</v>
      </c>
      <c r="Z33" s="1">
        <v>1</v>
      </c>
      <c r="AA33" s="52">
        <f ca="1">IF(Z33="","",INDEX(OFFSET(Arb!$H$2,,,Arb!$AJ$5,),Z33))</f>
        <v>12.98</v>
      </c>
      <c r="AB33" s="3">
        <f t="shared" ca="1" si="6"/>
        <v>2.5423728813559321</v>
      </c>
      <c r="AC33" s="165">
        <f ca="1">IF(Z33="","",INDEX(OFFSET(Arb!$X$2,,,Arb!$AJ$5,),Z33)/AA33)</f>
        <v>3.0816640986132509</v>
      </c>
      <c r="AD33" s="165">
        <f ca="1">IF(Z33="","",(INDEX(OFFSET(Arb!$U$2,,,Arb!$AJ$5,),Z33)+INDEX(OFFSET(Arb!$V$2,,,Arb!$AJ$5,),Z33))/AA33)</f>
        <v>3.3127889060092448</v>
      </c>
      <c r="AE33" s="51">
        <f t="shared" ca="1" si="7"/>
        <v>19.989361477832329</v>
      </c>
      <c r="AF33" s="91">
        <f ca="1">IF(Z33="","",DATE(INDEX(OFFSET(Arb!$C$2,,,Arb!$AJ$5,),Z33),INDEX(OFFSET(Arb!$B$2,,,Arb!$AJ$5,),Z33),INDEX(OFFSET(Arb!$A$2,,,Arb!$AJ$5,),Z33))+ROW()*0.001)</f>
        <v>43765.033000000003</v>
      </c>
      <c r="AG33" s="442">
        <v>33</v>
      </c>
      <c r="AI33" s="52" t="str">
        <f ca="1">IF(AH33="","",INDEX(OFFSET(Arb!$H$2,,,Arb!$AJ$5,),AH33))</f>
        <v/>
      </c>
      <c r="AJ33" s="3" t="str">
        <f t="shared" ca="1" si="8"/>
        <v/>
      </c>
      <c r="AK33" s="165" t="str">
        <f ca="1">IF(AH33="","",INDEX(OFFSET(Arb!$X$2,,,Arb!$AJ$5,),AH33)/AI33)</f>
        <v/>
      </c>
      <c r="AL33" s="165" t="str">
        <f ca="1">IF(AH33="","",(INDEX(OFFSET(Arb!$U$2,,,Arb!$AJ$5,),AH33)+INDEX(OFFSET(Arb!$V$2,,,Arb!$AJ$5,),AH33))/AI33)</f>
        <v/>
      </c>
      <c r="AM33" s="51" t="str">
        <f t="shared" ca="1" si="9"/>
        <v/>
      </c>
      <c r="AN33" s="88" t="str">
        <f ca="1">IF(AH33="","",DATE(INDEX(OFFSET(Arb!$C$2,,,Arb!$AJ$5,),AH33),INDEX(OFFSET(Arb!$B$2,,,Arb!$AJ$5,),AH33),INDEX(OFFSET(Arb!$A$2,,,Arb!$AJ$5,),AH33))+ROW()*0.001)</f>
        <v/>
      </c>
      <c r="AO33" s="436">
        <v>33</v>
      </c>
      <c r="AQ33" s="52" t="str">
        <f ca="1">IF(AP33="","",INDEX(OFFSET(Arb!$H$2,,,Arb!$AJ$5,),AP33))</f>
        <v/>
      </c>
      <c r="AR33" s="3" t="str">
        <f t="shared" ca="1" si="10"/>
        <v/>
      </c>
      <c r="AS33" s="165" t="str">
        <f ca="1">IF(AP33="","",INDEX(OFFSET(Arb!$X$2,,,Arb!$AJ$5,),AP33)/AQ33)</f>
        <v/>
      </c>
      <c r="AT33" s="165" t="str">
        <f ca="1">IF(AP33="","",(INDEX(OFFSET(Arb!$U$2,,,Arb!$AJ$5,),AP33)+INDEX(OFFSET(Arb!$V$2,,,Arb!$AJ$5,),AP33))/AQ33)</f>
        <v/>
      </c>
      <c r="AU33" s="51" t="str">
        <f t="shared" ca="1" si="11"/>
        <v/>
      </c>
      <c r="AV33" s="91" t="str">
        <f ca="1">IF(AP33="","",DATE(INDEX(OFFSET(Arb!$C$2,,,Arb!$AJ$5,),AP33),INDEX(OFFSET(Arb!$B$2,,,Arb!$AJ$5,),AP33),INDEX(OFFSET(Arb!$A$2,,,Arb!$AJ$5,),AP33))+ROW()*0.001)</f>
        <v/>
      </c>
      <c r="AW33" s="442">
        <v>33</v>
      </c>
      <c r="AY33" s="52" t="str">
        <f ca="1">IF(AX33="","",INDEX(OFFSET(Arb!$H$2,,,Arb!$AJ$5,),AX33))</f>
        <v/>
      </c>
      <c r="AZ33" s="3" t="str">
        <f t="shared" ca="1" si="12"/>
        <v/>
      </c>
      <c r="BA33" s="165" t="str">
        <f ca="1">IF(AX33="","",INDEX(OFFSET(Arb!$X$2,,,Arb!$AJ$5,),AX33)/AY33)</f>
        <v/>
      </c>
      <c r="BB33" s="165" t="str">
        <f ca="1">IF(AX33="","",(INDEX(OFFSET(Arb!$U$2,,,Arb!$AJ$5,),AX33)+INDEX(OFFSET(Arb!$V$2,,,Arb!$AJ$5,),AX33))/AY33)</f>
        <v/>
      </c>
      <c r="BC33" s="51" t="str">
        <f t="shared" ca="1" si="13"/>
        <v/>
      </c>
      <c r="BD33" s="88" t="str">
        <f ca="1">IF(AX33="","",DATE(INDEX(OFFSET(Arb!$C$2,,,Arb!$AJ$5,),AX33),INDEX(OFFSET(Arb!$B$2,,,Arb!$AJ$5,),AX33),INDEX(OFFSET(Arb!$A$2,,,Arb!$AJ$5,),AX33))+ROW()*0.001)</f>
        <v/>
      </c>
      <c r="BE33" s="436">
        <v>33</v>
      </c>
      <c r="BG33" s="52" t="str">
        <f ca="1">IF(BF33="","",INDEX(OFFSET(Arb!$H$2,,,Arb!$AJ$5,),BF33))</f>
        <v/>
      </c>
      <c r="BH33" s="3" t="str">
        <f t="shared" ca="1" si="14"/>
        <v/>
      </c>
      <c r="BI33" s="165" t="str">
        <f ca="1">IF(BF33="","",INDEX(OFFSET(Arb!$X$2,,,Arb!$AJ$5,),BF33)/BG33)</f>
        <v/>
      </c>
      <c r="BJ33" s="165" t="str">
        <f ca="1">IF(BF33="","",(INDEX(OFFSET(Arb!$U$2,,,Arb!$AJ$5,),BF33)+INDEX(OFFSET(Arb!$V$2,,,Arb!$AJ$5,),BF33))/BG33)</f>
        <v/>
      </c>
      <c r="BK33" s="51" t="str">
        <f t="shared" ca="1" si="15"/>
        <v/>
      </c>
      <c r="BL33" s="91" t="str">
        <f ca="1">IF(BF33="","",DATE(INDEX(OFFSET(Arb!$C$2,,,Arb!$AJ$5,),BF33),INDEX(OFFSET(Arb!$B$2,,,Arb!$AJ$5,),BF33),INDEX(OFFSET(Arb!$A$2,,,Arb!$AJ$5,),BF33))+ROW()*0.001)</f>
        <v/>
      </c>
      <c r="BM33" s="442">
        <v>33</v>
      </c>
      <c r="BO33" s="52" t="str">
        <f ca="1">IF(BN33="","",INDEX(OFFSET(Arb!$H$2,,,Arb!$AJ$5,),BN33))</f>
        <v/>
      </c>
      <c r="BP33" s="3" t="str">
        <f t="shared" ca="1" si="16"/>
        <v/>
      </c>
      <c r="BQ33" s="165" t="str">
        <f ca="1">IF(BN33="","",INDEX(OFFSET(Arb!$X$2,,,Arb!$AJ$5,),BN33)/BO33)</f>
        <v/>
      </c>
      <c r="BR33" s="165" t="str">
        <f ca="1">IF(BN33="","",(INDEX(OFFSET(Arb!$U$2,,,Arb!$AJ$5,),BN33)+INDEX(OFFSET(Arb!$V$2,,,Arb!$AJ$5,),BN33))/BO33)</f>
        <v/>
      </c>
      <c r="BS33" s="51" t="str">
        <f t="shared" ca="1" si="17"/>
        <v/>
      </c>
      <c r="BT33" s="88" t="str">
        <f ca="1">IF(BN33="","",DATE(INDEX(OFFSET(Arb!$C$2,,,Arb!$AJ$5,),BN33),INDEX(OFFSET(Arb!$B$2,,,Arb!$AJ$5,),BN33),INDEX(OFFSET(Arb!$A$2,,,Arb!$AJ$5,),BN33))+ROW()*0.001)</f>
        <v/>
      </c>
      <c r="BU33" s="436">
        <v>33</v>
      </c>
      <c r="BW33" s="52" t="str">
        <f ca="1">IF(BV33="","",INDEX(OFFSET(Arb!$H$2,,,Arb!$AJ$5,),BV33))</f>
        <v/>
      </c>
      <c r="BX33" s="3" t="str">
        <f t="shared" ca="1" si="18"/>
        <v/>
      </c>
      <c r="BY33" s="165" t="str">
        <f ca="1">IF(BV33="","",INDEX(OFFSET(Arb!$X$2,,,Arb!$AJ$5,),BV33)/BW33)</f>
        <v/>
      </c>
      <c r="BZ33" s="165" t="str">
        <f ca="1">IF(BV33="","",(INDEX(OFFSET(Arb!$U$2,,,Arb!$AJ$5,),BV33)+INDEX(OFFSET(Arb!$V$2,,,Arb!$AJ$5,),BV33))/BW33)</f>
        <v/>
      </c>
      <c r="CA33" s="51" t="str">
        <f t="shared" ca="1" si="19"/>
        <v/>
      </c>
      <c r="CB33" s="91" t="str">
        <f ca="1">IF(BV33="","",DATE(INDEX(OFFSET(Arb!$C$2,,,Arb!$AJ$5,),BV33),INDEX(OFFSET(Arb!$B$2,,,Arb!$AJ$5,),BV33),INDEX(OFFSET(Arb!$A$2,,,Arb!$AJ$5,),BV33))+ROW()*0.001)</f>
        <v/>
      </c>
    </row>
    <row r="34" spans="1:80" x14ac:dyDescent="0.25">
      <c r="A34" s="433">
        <v>34</v>
      </c>
      <c r="B34" s="1">
        <v>1790</v>
      </c>
      <c r="C34" s="52">
        <f ca="1">IF(B34="","",INDEX(OFFSET(Arb!$H$2,,,Arb!$AJ$5,),B34))</f>
        <v>8.77</v>
      </c>
      <c r="D34" s="3">
        <f t="shared" ca="1" si="0"/>
        <v>3.8768529076396807</v>
      </c>
      <c r="E34" s="165">
        <f ca="1">IF(B34="","",INDEX(OFFSET(Arb!$X$2,,,Arb!$AJ$5,),B34)/C34)</f>
        <v>3.5347776510832385</v>
      </c>
      <c r="F34" s="165">
        <f ca="1">IF(B34="","",(INDEX(OFFSET(Arb!$U$2,,,Arb!$AJ$5,),B34)+INDEX(OFFSET(Arb!$V$2,,,Arb!$AJ$5,),B34))/C34)</f>
        <v>4.1049030786773093</v>
      </c>
      <c r="G34" s="51">
        <f t="shared" ca="1" si="1"/>
        <v>40.108051808615073</v>
      </c>
      <c r="H34" s="355">
        <f ca="1">IF(B34="","",DATE(INDEX(OFFSET(Arb!$C$2,,,Arb!$AJ$5,),B34),INDEX(OFFSET(Arb!$B$2,,,Arb!$AJ$5,),B34),INDEX(OFFSET(Arb!$A$2,,,Arb!$AJ$5,),B34))+ROW()*0.001)</f>
        <v>44168.034</v>
      </c>
      <c r="I34" s="436">
        <v>34</v>
      </c>
      <c r="J34" s="1">
        <v>1718</v>
      </c>
      <c r="K34" s="52">
        <f ca="1">IF(J34="","",INDEX(OFFSET(Arb!$H$2,,,Arb!$AJ$5,),J34))</f>
        <v>9.75</v>
      </c>
      <c r="L34" s="3">
        <f t="shared" ca="1" si="2"/>
        <v>3.4871794871794872</v>
      </c>
      <c r="M34" s="165">
        <f ca="1">IF(J34="","",INDEX(OFFSET(Arb!$X$2,,,Arb!$AJ$5,),J34)/K34)</f>
        <v>3.6923076923076925</v>
      </c>
      <c r="N34" s="165">
        <f ca="1">IF(J34="","",(INDEX(OFFSET(Arb!$U$2,,,Arb!$AJ$5,),J34)+INDEX(OFFSET(Arb!$V$2,,,Arb!$AJ$5,),J34))/K34)</f>
        <v>4.3076923076923075</v>
      </c>
      <c r="O34" s="51">
        <f t="shared" ca="1" si="3"/>
        <v>33.498320181063569</v>
      </c>
      <c r="P34" s="91">
        <f ca="1">IF(J34="","",DATE(INDEX(OFFSET(Arb!$C$2,,,Arb!$AJ$5,),J34),INDEX(OFFSET(Arb!$B$2,,,Arb!$AJ$5,),J34),INDEX(OFFSET(Arb!$A$2,,,Arb!$AJ$5,),J34))+ROW()*0.001)</f>
        <v>44107.034</v>
      </c>
      <c r="Q34" s="442">
        <v>34</v>
      </c>
      <c r="S34" s="52" t="str">
        <f ca="1">IF(R34="","",INDEX(OFFSET(Arb!$H$2,,,Arb!$AJ$5,),R34))</f>
        <v/>
      </c>
      <c r="T34" s="3" t="str">
        <f t="shared" ca="1" si="4"/>
        <v/>
      </c>
      <c r="U34" s="165" t="str">
        <f ca="1">IF(R34="","",INDEX(OFFSET(Arb!$X$2,,,Arb!$AJ$5,),R34)/S34)</f>
        <v/>
      </c>
      <c r="V34" s="165" t="str">
        <f ca="1">IF(R34="","",(INDEX(OFFSET(Arb!$U$2,,,Arb!$AJ$5,),R34)+INDEX(OFFSET(Arb!$V$2,,,Arb!$AJ$5,),R34))/S34)</f>
        <v/>
      </c>
      <c r="W34" s="51" t="str">
        <f t="shared" ca="1" si="5"/>
        <v/>
      </c>
      <c r="X34" s="88" t="str">
        <f ca="1">IF(R34="","",DATE(INDEX(OFFSET(Arb!$C$2,,,Arb!$AJ$5,),R34),INDEX(OFFSET(Arb!$B$2,,,Arb!$AJ$5,),R34),INDEX(OFFSET(Arb!$A$2,,,Arb!$AJ$5,),R34))+ROW()*0.001)</f>
        <v/>
      </c>
      <c r="Y34" s="436">
        <v>34</v>
      </c>
      <c r="AA34" s="52" t="str">
        <f ca="1">IF(Z34="","",INDEX(OFFSET(Arb!$H$2,,,Arb!$AJ$5,),Z34))</f>
        <v/>
      </c>
      <c r="AB34" s="3" t="str">
        <f t="shared" ca="1" si="6"/>
        <v/>
      </c>
      <c r="AC34" s="165" t="str">
        <f ca="1">IF(Z34="","",INDEX(OFFSET(Arb!$X$2,,,Arb!$AJ$5,),Z34)/AA34)</f>
        <v/>
      </c>
      <c r="AD34" s="165" t="str">
        <f ca="1">IF(Z34="","",(INDEX(OFFSET(Arb!$U$2,,,Arb!$AJ$5,),Z34)+INDEX(OFFSET(Arb!$V$2,,,Arb!$AJ$5,),Z34))/AA34)</f>
        <v/>
      </c>
      <c r="AE34" s="51" t="str">
        <f t="shared" ca="1" si="7"/>
        <v/>
      </c>
      <c r="AF34" s="91" t="str">
        <f ca="1">IF(Z34="","",DATE(INDEX(OFFSET(Arb!$C$2,,,Arb!$AJ$5,),Z34),INDEX(OFFSET(Arb!$B$2,,,Arb!$AJ$5,),Z34),INDEX(OFFSET(Arb!$A$2,,,Arb!$AJ$5,),Z34))+ROW()*0.001)</f>
        <v/>
      </c>
      <c r="AG34" s="442">
        <v>34</v>
      </c>
      <c r="AI34" s="52" t="str">
        <f ca="1">IF(AH34="","",INDEX(OFFSET(Arb!$H$2,,,Arb!$AJ$5,),AH34))</f>
        <v/>
      </c>
      <c r="AJ34" s="3" t="str">
        <f t="shared" ca="1" si="8"/>
        <v/>
      </c>
      <c r="AK34" s="165" t="str">
        <f ca="1">IF(AH34="","",INDEX(OFFSET(Arb!$X$2,,,Arb!$AJ$5,),AH34)/AI34)</f>
        <v/>
      </c>
      <c r="AL34" s="165" t="str">
        <f ca="1">IF(AH34="","",(INDEX(OFFSET(Arb!$U$2,,,Arb!$AJ$5,),AH34)+INDEX(OFFSET(Arb!$V$2,,,Arb!$AJ$5,),AH34))/AI34)</f>
        <v/>
      </c>
      <c r="AM34" s="51" t="str">
        <f t="shared" ca="1" si="9"/>
        <v/>
      </c>
      <c r="AN34" s="88" t="str">
        <f ca="1">IF(AH34="","",DATE(INDEX(OFFSET(Arb!$C$2,,,Arb!$AJ$5,),AH34),INDEX(OFFSET(Arb!$B$2,,,Arb!$AJ$5,),AH34),INDEX(OFFSET(Arb!$A$2,,,Arb!$AJ$5,),AH34))+ROW()*0.001)</f>
        <v/>
      </c>
      <c r="AO34" s="436">
        <v>34</v>
      </c>
      <c r="AQ34" s="52" t="str">
        <f ca="1">IF(AP34="","",INDEX(OFFSET(Arb!$H$2,,,Arb!$AJ$5,),AP34))</f>
        <v/>
      </c>
      <c r="AR34" s="3" t="str">
        <f t="shared" ca="1" si="10"/>
        <v/>
      </c>
      <c r="AS34" s="165" t="str">
        <f ca="1">IF(AP34="","",INDEX(OFFSET(Arb!$X$2,,,Arb!$AJ$5,),AP34)/AQ34)</f>
        <v/>
      </c>
      <c r="AT34" s="165" t="str">
        <f ca="1">IF(AP34="","",(INDEX(OFFSET(Arb!$U$2,,,Arb!$AJ$5,),AP34)+INDEX(OFFSET(Arb!$V$2,,,Arb!$AJ$5,),AP34))/AQ34)</f>
        <v/>
      </c>
      <c r="AU34" s="51" t="str">
        <f t="shared" ca="1" si="11"/>
        <v/>
      </c>
      <c r="AV34" s="91" t="str">
        <f ca="1">IF(AP34="","",DATE(INDEX(OFFSET(Arb!$C$2,,,Arb!$AJ$5,),AP34),INDEX(OFFSET(Arb!$B$2,,,Arb!$AJ$5,),AP34),INDEX(OFFSET(Arb!$A$2,,,Arb!$AJ$5,),AP34))+ROW()*0.001)</f>
        <v/>
      </c>
      <c r="AW34" s="442">
        <v>34</v>
      </c>
      <c r="AY34" s="52" t="str">
        <f ca="1">IF(AX34="","",INDEX(OFFSET(Arb!$H$2,,,Arb!$AJ$5,),AX34))</f>
        <v/>
      </c>
      <c r="AZ34" s="3" t="str">
        <f t="shared" ca="1" si="12"/>
        <v/>
      </c>
      <c r="BA34" s="165" t="str">
        <f ca="1">IF(AX34="","",INDEX(OFFSET(Arb!$X$2,,,Arb!$AJ$5,),AX34)/AY34)</f>
        <v/>
      </c>
      <c r="BB34" s="165" t="str">
        <f ca="1">IF(AX34="","",(INDEX(OFFSET(Arb!$U$2,,,Arb!$AJ$5,),AX34)+INDEX(OFFSET(Arb!$V$2,,,Arb!$AJ$5,),AX34))/AY34)</f>
        <v/>
      </c>
      <c r="BC34" s="51" t="str">
        <f t="shared" ca="1" si="13"/>
        <v/>
      </c>
      <c r="BD34" s="88" t="str">
        <f ca="1">IF(AX34="","",DATE(INDEX(OFFSET(Arb!$C$2,,,Arb!$AJ$5,),AX34),INDEX(OFFSET(Arb!$B$2,,,Arb!$AJ$5,),AX34),INDEX(OFFSET(Arb!$A$2,,,Arb!$AJ$5,),AX34))+ROW()*0.001)</f>
        <v/>
      </c>
      <c r="BE34" s="436">
        <v>34</v>
      </c>
      <c r="BG34" s="52" t="str">
        <f ca="1">IF(BF34="","",INDEX(OFFSET(Arb!$H$2,,,Arb!$AJ$5,),BF34))</f>
        <v/>
      </c>
      <c r="BH34" s="3" t="str">
        <f t="shared" ca="1" si="14"/>
        <v/>
      </c>
      <c r="BI34" s="165" t="str">
        <f ca="1">IF(BF34="","",INDEX(OFFSET(Arb!$X$2,,,Arb!$AJ$5,),BF34)/BG34)</f>
        <v/>
      </c>
      <c r="BJ34" s="165" t="str">
        <f ca="1">IF(BF34="","",(INDEX(OFFSET(Arb!$U$2,,,Arb!$AJ$5,),BF34)+INDEX(OFFSET(Arb!$V$2,,,Arb!$AJ$5,),BF34))/BG34)</f>
        <v/>
      </c>
      <c r="BK34" s="51" t="str">
        <f t="shared" ca="1" si="15"/>
        <v/>
      </c>
      <c r="BL34" s="91" t="str">
        <f ca="1">IF(BF34="","",DATE(INDEX(OFFSET(Arb!$C$2,,,Arb!$AJ$5,),BF34),INDEX(OFFSET(Arb!$B$2,,,Arb!$AJ$5,),BF34),INDEX(OFFSET(Arb!$A$2,,,Arb!$AJ$5,),BF34))+ROW()*0.001)</f>
        <v/>
      </c>
      <c r="BM34" s="442">
        <v>34</v>
      </c>
      <c r="BO34" s="52" t="str">
        <f ca="1">IF(BN34="","",INDEX(OFFSET(Arb!$H$2,,,Arb!$AJ$5,),BN34))</f>
        <v/>
      </c>
      <c r="BP34" s="3" t="str">
        <f t="shared" ca="1" si="16"/>
        <v/>
      </c>
      <c r="BQ34" s="165" t="str">
        <f ca="1">IF(BN34="","",INDEX(OFFSET(Arb!$X$2,,,Arb!$AJ$5,),BN34)/BO34)</f>
        <v/>
      </c>
      <c r="BR34" s="165" t="str">
        <f ca="1">IF(BN34="","",(INDEX(OFFSET(Arb!$U$2,,,Arb!$AJ$5,),BN34)+INDEX(OFFSET(Arb!$V$2,,,Arb!$AJ$5,),BN34))/BO34)</f>
        <v/>
      </c>
      <c r="BS34" s="51" t="str">
        <f t="shared" ca="1" si="17"/>
        <v/>
      </c>
      <c r="BT34" s="88" t="str">
        <f ca="1">IF(BN34="","",DATE(INDEX(OFFSET(Arb!$C$2,,,Arb!$AJ$5,),BN34),INDEX(OFFSET(Arb!$B$2,,,Arb!$AJ$5,),BN34),INDEX(OFFSET(Arb!$A$2,,,Arb!$AJ$5,),BN34))+ROW()*0.001)</f>
        <v/>
      </c>
      <c r="BU34" s="436">
        <v>34</v>
      </c>
      <c r="BW34" s="52" t="str">
        <f ca="1">IF(BV34="","",INDEX(OFFSET(Arb!$H$2,,,Arb!$AJ$5,),BV34))</f>
        <v/>
      </c>
      <c r="BX34" s="3" t="str">
        <f t="shared" ca="1" si="18"/>
        <v/>
      </c>
      <c r="BY34" s="165" t="str">
        <f ca="1">IF(BV34="","",INDEX(OFFSET(Arb!$X$2,,,Arb!$AJ$5,),BV34)/BW34)</f>
        <v/>
      </c>
      <c r="BZ34" s="165" t="str">
        <f ca="1">IF(BV34="","",(INDEX(OFFSET(Arb!$U$2,,,Arb!$AJ$5,),BV34)+INDEX(OFFSET(Arb!$V$2,,,Arb!$AJ$5,),BV34))/BW34)</f>
        <v/>
      </c>
      <c r="CA34" s="51" t="str">
        <f t="shared" ca="1" si="19"/>
        <v/>
      </c>
      <c r="CB34" s="91" t="str">
        <f ca="1">IF(BV34="","",DATE(INDEX(OFFSET(Arb!$C$2,,,Arb!$AJ$5,),BV34),INDEX(OFFSET(Arb!$B$2,,,Arb!$AJ$5,),BV34),INDEX(OFFSET(Arb!$A$2,,,Arb!$AJ$5,),BV34))+ROW()*0.001)</f>
        <v/>
      </c>
    </row>
    <row r="35" spans="1:80" x14ac:dyDescent="0.25">
      <c r="A35" s="433">
        <v>35</v>
      </c>
      <c r="B35" s="1">
        <v>630</v>
      </c>
      <c r="C35" s="52">
        <f ca="1">IF(B35="","",INDEX(OFFSET(Arb!$H$2,,,Arb!$AJ$5,),B35))</f>
        <v>8.9700000000000006</v>
      </c>
      <c r="D35" s="3">
        <f t="shared" ca="1" si="0"/>
        <v>3.9018952062430321</v>
      </c>
      <c r="E35" s="165">
        <f ca="1">IF(B35="","",INDEX(OFFSET(Arb!$X$2,,,Arb!$AJ$5,),B35)/C35)</f>
        <v>4.2363433667781489</v>
      </c>
      <c r="F35" s="165">
        <f ca="1">IF(B35="","",(INDEX(OFFSET(Arb!$U$2,,,Arb!$AJ$5,),B35)+INDEX(OFFSET(Arb!$V$2,,,Arb!$AJ$5,),B35))/C35)</f>
        <v>4.9052396878483835</v>
      </c>
      <c r="G35" s="51">
        <f t="shared" ca="1" si="1"/>
        <v>39.734966400194516</v>
      </c>
      <c r="H35" s="355">
        <f ca="1">IF(B35="","",DATE(INDEX(OFFSET(Arb!$C$2,,,Arb!$AJ$5,),B35),INDEX(OFFSET(Arb!$B$2,,,Arb!$AJ$5,),B35),INDEX(OFFSET(Arb!$A$2,,,Arb!$AJ$5,),B35))+ROW()*0.001)</f>
        <v>43799.035000000003</v>
      </c>
      <c r="I35" s="436">
        <v>35</v>
      </c>
      <c r="K35" s="52" t="str">
        <f ca="1">IF(J35="","",INDEX(OFFSET(Arb!$H$2,,,Arb!$AJ$5,),J35))</f>
        <v/>
      </c>
      <c r="L35" s="3" t="str">
        <f t="shared" ca="1" si="2"/>
        <v/>
      </c>
      <c r="M35" s="165" t="str">
        <f ca="1">IF(J35="","",INDEX(OFFSET(Arb!$X$2,,,Arb!$AJ$5,),J35)/K35)</f>
        <v/>
      </c>
      <c r="N35" s="165" t="str">
        <f ca="1">IF(J35="","",(INDEX(OFFSET(Arb!$U$2,,,Arb!$AJ$5,),J35)+INDEX(OFFSET(Arb!$V$2,,,Arb!$AJ$5,),J35))/K35)</f>
        <v/>
      </c>
      <c r="O35" s="51" t="str">
        <f t="shared" ca="1" si="3"/>
        <v/>
      </c>
      <c r="P35" s="91" t="str">
        <f ca="1">IF(J35="","",DATE(INDEX(OFFSET(Arb!$C$2,,,Arb!$AJ$5,),J35),INDEX(OFFSET(Arb!$B$2,,,Arb!$AJ$5,),J35),INDEX(OFFSET(Arb!$A$2,,,Arb!$AJ$5,),J35))+ROW()*0.001)</f>
        <v/>
      </c>
      <c r="Q35" s="442">
        <v>35</v>
      </c>
      <c r="S35" s="52" t="str">
        <f ca="1">IF(R35="","",INDEX(OFFSET(Arb!$H$2,,,Arb!$AJ$5,),R35))</f>
        <v/>
      </c>
      <c r="T35" s="3" t="str">
        <f t="shared" ca="1" si="4"/>
        <v/>
      </c>
      <c r="U35" s="165" t="str">
        <f ca="1">IF(R35="","",INDEX(OFFSET(Arb!$X$2,,,Arb!$AJ$5,),R35)/S35)</f>
        <v/>
      </c>
      <c r="V35" s="165" t="str">
        <f ca="1">IF(R35="","",(INDEX(OFFSET(Arb!$U$2,,,Arb!$AJ$5,),R35)+INDEX(OFFSET(Arb!$V$2,,,Arb!$AJ$5,),R35))/S35)</f>
        <v/>
      </c>
      <c r="W35" s="51" t="str">
        <f t="shared" ca="1" si="5"/>
        <v/>
      </c>
      <c r="X35" s="88" t="str">
        <f ca="1">IF(R35="","",DATE(INDEX(OFFSET(Arb!$C$2,,,Arb!$AJ$5,),R35),INDEX(OFFSET(Arb!$B$2,,,Arb!$AJ$5,),R35),INDEX(OFFSET(Arb!$A$2,,,Arb!$AJ$5,),R35))+ROW()*0.001)</f>
        <v/>
      </c>
      <c r="Y35" s="436">
        <v>35</v>
      </c>
      <c r="AA35" s="52" t="str">
        <f ca="1">IF(Z35="","",INDEX(OFFSET(Arb!$H$2,,,Arb!$AJ$5,),Z35))</f>
        <v/>
      </c>
      <c r="AB35" s="3" t="str">
        <f t="shared" ca="1" si="6"/>
        <v/>
      </c>
      <c r="AC35" s="165" t="str">
        <f ca="1">IF(Z35="","",INDEX(OFFSET(Arb!$X$2,,,Arb!$AJ$5,),Z35)/AA35)</f>
        <v/>
      </c>
      <c r="AD35" s="165" t="str">
        <f ca="1">IF(Z35="","",(INDEX(OFFSET(Arb!$U$2,,,Arb!$AJ$5,),Z35)+INDEX(OFFSET(Arb!$V$2,,,Arb!$AJ$5,),Z35))/AA35)</f>
        <v/>
      </c>
      <c r="AE35" s="51" t="str">
        <f t="shared" ca="1" si="7"/>
        <v/>
      </c>
      <c r="AF35" s="91" t="str">
        <f ca="1">IF(Z35="","",DATE(INDEX(OFFSET(Arb!$C$2,,,Arb!$AJ$5,),Z35),INDEX(OFFSET(Arb!$B$2,,,Arb!$AJ$5,),Z35),INDEX(OFFSET(Arb!$A$2,,,Arb!$AJ$5,),Z35))+ROW()*0.001)</f>
        <v/>
      </c>
      <c r="AG35" s="442">
        <v>35</v>
      </c>
      <c r="AI35" s="52" t="str">
        <f ca="1">IF(AH35="","",INDEX(OFFSET(Arb!$H$2,,,Arb!$AJ$5,),AH35))</f>
        <v/>
      </c>
      <c r="AJ35" s="3" t="str">
        <f t="shared" ca="1" si="8"/>
        <v/>
      </c>
      <c r="AK35" s="165" t="str">
        <f ca="1">IF(AH35="","",INDEX(OFFSET(Arb!$X$2,,,Arb!$AJ$5,),AH35)/AI35)</f>
        <v/>
      </c>
      <c r="AL35" s="165" t="str">
        <f ca="1">IF(AH35="","",(INDEX(OFFSET(Arb!$U$2,,,Arb!$AJ$5,),AH35)+INDEX(OFFSET(Arb!$V$2,,,Arb!$AJ$5,),AH35))/AI35)</f>
        <v/>
      </c>
      <c r="AM35" s="51" t="str">
        <f t="shared" ca="1" si="9"/>
        <v/>
      </c>
      <c r="AN35" s="88" t="str">
        <f ca="1">IF(AH35="","",DATE(INDEX(OFFSET(Arb!$C$2,,,Arb!$AJ$5,),AH35),INDEX(OFFSET(Arb!$B$2,,,Arb!$AJ$5,),AH35),INDEX(OFFSET(Arb!$A$2,,,Arb!$AJ$5,),AH35))+ROW()*0.001)</f>
        <v/>
      </c>
      <c r="AO35" s="436">
        <v>35</v>
      </c>
      <c r="AQ35" s="52" t="str">
        <f ca="1">IF(AP35="","",INDEX(OFFSET(Arb!$H$2,,,Arb!$AJ$5,),AP35))</f>
        <v/>
      </c>
      <c r="AR35" s="3" t="str">
        <f t="shared" ca="1" si="10"/>
        <v/>
      </c>
      <c r="AS35" s="165" t="str">
        <f ca="1">IF(AP35="","",INDEX(OFFSET(Arb!$X$2,,,Arb!$AJ$5,),AP35)/AQ35)</f>
        <v/>
      </c>
      <c r="AT35" s="165" t="str">
        <f ca="1">IF(AP35="","",(INDEX(OFFSET(Arb!$U$2,,,Arb!$AJ$5,),AP35)+INDEX(OFFSET(Arb!$V$2,,,Arb!$AJ$5,),AP35))/AQ35)</f>
        <v/>
      </c>
      <c r="AU35" s="51" t="str">
        <f t="shared" ca="1" si="11"/>
        <v/>
      </c>
      <c r="AV35" s="91" t="str">
        <f ca="1">IF(AP35="","",DATE(INDEX(OFFSET(Arb!$C$2,,,Arb!$AJ$5,),AP35),INDEX(OFFSET(Arb!$B$2,,,Arb!$AJ$5,),AP35),INDEX(OFFSET(Arb!$A$2,,,Arb!$AJ$5,),AP35))+ROW()*0.001)</f>
        <v/>
      </c>
      <c r="AW35" s="442">
        <v>35</v>
      </c>
      <c r="AY35" s="52" t="str">
        <f ca="1">IF(AX35="","",INDEX(OFFSET(Arb!$H$2,,,Arb!$AJ$5,),AX35))</f>
        <v/>
      </c>
      <c r="AZ35" s="3" t="str">
        <f t="shared" ca="1" si="12"/>
        <v/>
      </c>
      <c r="BA35" s="165" t="str">
        <f ca="1">IF(AX35="","",INDEX(OFFSET(Arb!$X$2,,,Arb!$AJ$5,),AX35)/AY35)</f>
        <v/>
      </c>
      <c r="BB35" s="165" t="str">
        <f ca="1">IF(AX35="","",(INDEX(OFFSET(Arb!$U$2,,,Arb!$AJ$5,),AX35)+INDEX(OFFSET(Arb!$V$2,,,Arb!$AJ$5,),AX35))/AY35)</f>
        <v/>
      </c>
      <c r="BC35" s="51" t="str">
        <f t="shared" ca="1" si="13"/>
        <v/>
      </c>
      <c r="BD35" s="88" t="str">
        <f ca="1">IF(AX35="","",DATE(INDEX(OFFSET(Arb!$C$2,,,Arb!$AJ$5,),AX35),INDEX(OFFSET(Arb!$B$2,,,Arb!$AJ$5,),AX35),INDEX(OFFSET(Arb!$A$2,,,Arb!$AJ$5,),AX35))+ROW()*0.001)</f>
        <v/>
      </c>
      <c r="BE35" s="436">
        <v>35</v>
      </c>
      <c r="BG35" s="52" t="str">
        <f ca="1">IF(BF35="","",INDEX(OFFSET(Arb!$H$2,,,Arb!$AJ$5,),BF35))</f>
        <v/>
      </c>
      <c r="BH35" s="3" t="str">
        <f t="shared" ca="1" si="14"/>
        <v/>
      </c>
      <c r="BI35" s="165" t="str">
        <f ca="1">IF(BF35="","",INDEX(OFFSET(Arb!$X$2,,,Arb!$AJ$5,),BF35)/BG35)</f>
        <v/>
      </c>
      <c r="BJ35" s="165" t="str">
        <f ca="1">IF(BF35="","",(INDEX(OFFSET(Arb!$U$2,,,Arb!$AJ$5,),BF35)+INDEX(OFFSET(Arb!$V$2,,,Arb!$AJ$5,),BF35))/BG35)</f>
        <v/>
      </c>
      <c r="BK35" s="51" t="str">
        <f t="shared" ca="1" si="15"/>
        <v/>
      </c>
      <c r="BL35" s="91" t="str">
        <f ca="1">IF(BF35="","",DATE(INDEX(OFFSET(Arb!$C$2,,,Arb!$AJ$5,),BF35),INDEX(OFFSET(Arb!$B$2,,,Arb!$AJ$5,),BF35),INDEX(OFFSET(Arb!$A$2,,,Arb!$AJ$5,),BF35))+ROW()*0.001)</f>
        <v/>
      </c>
      <c r="BM35" s="442">
        <v>35</v>
      </c>
      <c r="BO35" s="52" t="str">
        <f ca="1">IF(BN35="","",INDEX(OFFSET(Arb!$H$2,,,Arb!$AJ$5,),BN35))</f>
        <v/>
      </c>
      <c r="BP35" s="3" t="str">
        <f t="shared" ca="1" si="16"/>
        <v/>
      </c>
      <c r="BQ35" s="165" t="str">
        <f ca="1">IF(BN35="","",INDEX(OFFSET(Arb!$X$2,,,Arb!$AJ$5,),BN35)/BO35)</f>
        <v/>
      </c>
      <c r="BR35" s="165" t="str">
        <f ca="1">IF(BN35="","",(INDEX(OFFSET(Arb!$U$2,,,Arb!$AJ$5,),BN35)+INDEX(OFFSET(Arb!$V$2,,,Arb!$AJ$5,),BN35))/BO35)</f>
        <v/>
      </c>
      <c r="BS35" s="51" t="str">
        <f t="shared" ca="1" si="17"/>
        <v/>
      </c>
      <c r="BT35" s="88" t="str">
        <f ca="1">IF(BN35="","",DATE(INDEX(OFFSET(Arb!$C$2,,,Arb!$AJ$5,),BN35),INDEX(OFFSET(Arb!$B$2,,,Arb!$AJ$5,),BN35),INDEX(OFFSET(Arb!$A$2,,,Arb!$AJ$5,),BN35))+ROW()*0.001)</f>
        <v/>
      </c>
      <c r="BU35" s="436">
        <v>35</v>
      </c>
      <c r="BW35" s="52" t="str">
        <f ca="1">IF(BV35="","",INDEX(OFFSET(Arb!$H$2,,,Arb!$AJ$5,),BV35))</f>
        <v/>
      </c>
      <c r="BX35" s="3" t="str">
        <f t="shared" ca="1" si="18"/>
        <v/>
      </c>
      <c r="BY35" s="165" t="str">
        <f ca="1">IF(BV35="","",INDEX(OFFSET(Arb!$X$2,,,Arb!$AJ$5,),BV35)/BW35)</f>
        <v/>
      </c>
      <c r="BZ35" s="165" t="str">
        <f ca="1">IF(BV35="","",(INDEX(OFFSET(Arb!$U$2,,,Arb!$AJ$5,),BV35)+INDEX(OFFSET(Arb!$V$2,,,Arb!$AJ$5,),BV35))/BW35)</f>
        <v/>
      </c>
      <c r="CA35" s="51" t="str">
        <f t="shared" ca="1" si="19"/>
        <v/>
      </c>
      <c r="CB35" s="91" t="str">
        <f ca="1">IF(BV35="","",DATE(INDEX(OFFSET(Arb!$C$2,,,Arb!$AJ$5,),BV35),INDEX(OFFSET(Arb!$B$2,,,Arb!$AJ$5,),BV35),INDEX(OFFSET(Arb!$A$2,,,Arb!$AJ$5,),BV35))+ROW()*0.001)</f>
        <v/>
      </c>
    </row>
    <row r="36" spans="1:80" x14ac:dyDescent="0.25">
      <c r="A36" s="433">
        <v>36</v>
      </c>
      <c r="B36" s="1">
        <v>977</v>
      </c>
      <c r="C36" s="52">
        <f ca="1">IF(B36="","",INDEX(OFFSET(Arb!$H$2,,,Arb!$AJ$5,),B36))</f>
        <v>9.1199999999999992</v>
      </c>
      <c r="D36" s="3">
        <f t="shared" ca="1" si="0"/>
        <v>3.9473684210526319</v>
      </c>
      <c r="E36" s="165">
        <f ca="1">IF(B36="","",INDEX(OFFSET(Arb!$X$2,,,Arb!$AJ$5,),B36)/C36)</f>
        <v>4.276315789473685</v>
      </c>
      <c r="F36" s="165">
        <f ca="1">IF(B36="","",(INDEX(OFFSET(Arb!$U$2,,,Arb!$AJ$5,),B36)+INDEX(OFFSET(Arb!$V$2,,,Arb!$AJ$5,),B36))/C36)</f>
        <v>4.9342105263157903</v>
      </c>
      <c r="G36" s="51">
        <f t="shared" ca="1" si="1"/>
        <v>39.734086651563857</v>
      </c>
      <c r="H36" s="355">
        <f ca="1">IF(B36="","",DATE(INDEX(OFFSET(Arb!$C$2,,,Arb!$AJ$5,),B36),INDEX(OFFSET(Arb!$B$2,,,Arb!$AJ$5,),B36),INDEX(OFFSET(Arb!$A$2,,,Arb!$AJ$5,),B36))+ROW()*0.001)</f>
        <v>43822.036</v>
      </c>
      <c r="I36" s="436">
        <v>36</v>
      </c>
      <c r="J36" s="1">
        <v>1252</v>
      </c>
      <c r="K36" s="52">
        <f ca="1">IF(J36="","",INDEX(OFFSET(Arb!$H$2,,,Arb!$AJ$5,),J36))</f>
        <v>9.66</v>
      </c>
      <c r="L36" s="3">
        <f t="shared" ca="1" si="2"/>
        <v>3.7267080745341614</v>
      </c>
      <c r="M36" s="165">
        <f ca="1">IF(J36="","",INDEX(OFFSET(Arb!$X$2,,,Arb!$AJ$5,),J36)/K36)</f>
        <v>3.9337474120082816</v>
      </c>
      <c r="N36" s="165">
        <f ca="1">IF(J36="","",(INDEX(OFFSET(Arb!$U$2,,,Arb!$AJ$5,),J36)+INDEX(OFFSET(Arb!$V$2,,,Arb!$AJ$5,),J36))/K36)</f>
        <v>4.658385093167702</v>
      </c>
      <c r="O36" s="51">
        <f t="shared" ca="1" si="3"/>
        <v>36.032412841985291</v>
      </c>
      <c r="P36" s="91">
        <f ca="1">IF(J36="","",DATE(INDEX(OFFSET(Arb!$C$2,,,Arb!$AJ$5,),J36),INDEX(OFFSET(Arb!$B$2,,,Arb!$AJ$5,),J36),INDEX(OFFSET(Arb!$A$2,,,Arb!$AJ$5,),J36))+ROW()*0.001)</f>
        <v>43901.036</v>
      </c>
      <c r="Q36" s="442">
        <v>36</v>
      </c>
      <c r="S36" s="52" t="str">
        <f ca="1">IF(R36="","",INDEX(OFFSET(Arb!$H$2,,,Arb!$AJ$5,),R36))</f>
        <v/>
      </c>
      <c r="T36" s="3" t="str">
        <f t="shared" ca="1" si="4"/>
        <v/>
      </c>
      <c r="U36" s="165" t="str">
        <f ca="1">IF(R36="","",INDEX(OFFSET(Arb!$X$2,,,Arb!$AJ$5,),R36)/S36)</f>
        <v/>
      </c>
      <c r="V36" s="165" t="str">
        <f ca="1">IF(R36="","",(INDEX(OFFSET(Arb!$U$2,,,Arb!$AJ$5,),R36)+INDEX(OFFSET(Arb!$V$2,,,Arb!$AJ$5,),R36))/S36)</f>
        <v/>
      </c>
      <c r="W36" s="51" t="str">
        <f t="shared" ca="1" si="5"/>
        <v/>
      </c>
      <c r="X36" s="88" t="str">
        <f ca="1">IF(R36="","",DATE(INDEX(OFFSET(Arb!$C$2,,,Arb!$AJ$5,),R36),INDEX(OFFSET(Arb!$B$2,,,Arb!$AJ$5,),R36),INDEX(OFFSET(Arb!$A$2,,,Arb!$AJ$5,),R36))+ROW()*0.001)</f>
        <v/>
      </c>
      <c r="Y36" s="436">
        <v>36</v>
      </c>
      <c r="AA36" s="52" t="str">
        <f ca="1">IF(Z36="","",INDEX(OFFSET(Arb!$H$2,,,Arb!$AJ$5,),Z36))</f>
        <v/>
      </c>
      <c r="AB36" s="3" t="str">
        <f t="shared" ca="1" si="6"/>
        <v/>
      </c>
      <c r="AC36" s="165" t="str">
        <f ca="1">IF(Z36="","",INDEX(OFFSET(Arb!$X$2,,,Arb!$AJ$5,),Z36)/AA36)</f>
        <v/>
      </c>
      <c r="AD36" s="165" t="str">
        <f ca="1">IF(Z36="","",(INDEX(OFFSET(Arb!$U$2,,,Arb!$AJ$5,),Z36)+INDEX(OFFSET(Arb!$V$2,,,Arb!$AJ$5,),Z36))/AA36)</f>
        <v/>
      </c>
      <c r="AE36" s="51" t="str">
        <f t="shared" ca="1" si="7"/>
        <v/>
      </c>
      <c r="AF36" s="91" t="str">
        <f ca="1">IF(Z36="","",DATE(INDEX(OFFSET(Arb!$C$2,,,Arb!$AJ$5,),Z36),INDEX(OFFSET(Arb!$B$2,,,Arb!$AJ$5,),Z36),INDEX(OFFSET(Arb!$A$2,,,Arb!$AJ$5,),Z36))+ROW()*0.001)</f>
        <v/>
      </c>
      <c r="AG36" s="442">
        <v>36</v>
      </c>
      <c r="AI36" s="52" t="str">
        <f ca="1">IF(AH36="","",INDEX(OFFSET(Arb!$H$2,,,Arb!$AJ$5,),AH36))</f>
        <v/>
      </c>
      <c r="AJ36" s="3" t="str">
        <f t="shared" ca="1" si="8"/>
        <v/>
      </c>
      <c r="AK36" s="165" t="str">
        <f ca="1">IF(AH36="","",INDEX(OFFSET(Arb!$X$2,,,Arb!$AJ$5,),AH36)/AI36)</f>
        <v/>
      </c>
      <c r="AL36" s="165" t="str">
        <f ca="1">IF(AH36="","",(INDEX(OFFSET(Arb!$U$2,,,Arb!$AJ$5,),AH36)+INDEX(OFFSET(Arb!$V$2,,,Arb!$AJ$5,),AH36))/AI36)</f>
        <v/>
      </c>
      <c r="AM36" s="51" t="str">
        <f t="shared" ca="1" si="9"/>
        <v/>
      </c>
      <c r="AN36" s="88" t="str">
        <f ca="1">IF(AH36="","",DATE(INDEX(OFFSET(Arb!$C$2,,,Arb!$AJ$5,),AH36),INDEX(OFFSET(Arb!$B$2,,,Arb!$AJ$5,),AH36),INDEX(OFFSET(Arb!$A$2,,,Arb!$AJ$5,),AH36))+ROW()*0.001)</f>
        <v/>
      </c>
      <c r="AO36" s="436">
        <v>36</v>
      </c>
      <c r="AQ36" s="52" t="str">
        <f ca="1">IF(AP36="","",INDEX(OFFSET(Arb!$H$2,,,Arb!$AJ$5,),AP36))</f>
        <v/>
      </c>
      <c r="AR36" s="3" t="str">
        <f t="shared" ca="1" si="10"/>
        <v/>
      </c>
      <c r="AS36" s="165" t="str">
        <f ca="1">IF(AP36="","",INDEX(OFFSET(Arb!$X$2,,,Arb!$AJ$5,),AP36)/AQ36)</f>
        <v/>
      </c>
      <c r="AT36" s="165" t="str">
        <f ca="1">IF(AP36="","",(INDEX(OFFSET(Arb!$U$2,,,Arb!$AJ$5,),AP36)+INDEX(OFFSET(Arb!$V$2,,,Arb!$AJ$5,),AP36))/AQ36)</f>
        <v/>
      </c>
      <c r="AU36" s="51" t="str">
        <f t="shared" ca="1" si="11"/>
        <v/>
      </c>
      <c r="AV36" s="91" t="str">
        <f ca="1">IF(AP36="","",DATE(INDEX(OFFSET(Arb!$C$2,,,Arb!$AJ$5,),AP36),INDEX(OFFSET(Arb!$B$2,,,Arb!$AJ$5,),AP36),INDEX(OFFSET(Arb!$A$2,,,Arb!$AJ$5,),AP36))+ROW()*0.001)</f>
        <v/>
      </c>
      <c r="AW36" s="442">
        <v>36</v>
      </c>
      <c r="AY36" s="52" t="str">
        <f ca="1">IF(AX36="","",INDEX(OFFSET(Arb!$H$2,,,Arb!$AJ$5,),AX36))</f>
        <v/>
      </c>
      <c r="AZ36" s="3" t="str">
        <f t="shared" ca="1" si="12"/>
        <v/>
      </c>
      <c r="BA36" s="165" t="str">
        <f ca="1">IF(AX36="","",INDEX(OFFSET(Arb!$X$2,,,Arb!$AJ$5,),AX36)/AY36)</f>
        <v/>
      </c>
      <c r="BB36" s="165" t="str">
        <f ca="1">IF(AX36="","",(INDEX(OFFSET(Arb!$U$2,,,Arb!$AJ$5,),AX36)+INDEX(OFFSET(Arb!$V$2,,,Arb!$AJ$5,),AX36))/AY36)</f>
        <v/>
      </c>
      <c r="BC36" s="51" t="str">
        <f t="shared" ca="1" si="13"/>
        <v/>
      </c>
      <c r="BD36" s="88" t="str">
        <f ca="1">IF(AX36="","",DATE(INDEX(OFFSET(Arb!$C$2,,,Arb!$AJ$5,),AX36),INDEX(OFFSET(Arb!$B$2,,,Arb!$AJ$5,),AX36),INDEX(OFFSET(Arb!$A$2,,,Arb!$AJ$5,),AX36))+ROW()*0.001)</f>
        <v/>
      </c>
      <c r="BE36" s="436">
        <v>36</v>
      </c>
      <c r="BG36" s="52" t="str">
        <f ca="1">IF(BF36="","",INDEX(OFFSET(Arb!$H$2,,,Arb!$AJ$5,),BF36))</f>
        <v/>
      </c>
      <c r="BH36" s="3" t="str">
        <f t="shared" ca="1" si="14"/>
        <v/>
      </c>
      <c r="BI36" s="165" t="str">
        <f ca="1">IF(BF36="","",INDEX(OFFSET(Arb!$X$2,,,Arb!$AJ$5,),BF36)/BG36)</f>
        <v/>
      </c>
      <c r="BJ36" s="165" t="str">
        <f ca="1">IF(BF36="","",(INDEX(OFFSET(Arb!$U$2,,,Arb!$AJ$5,),BF36)+INDEX(OFFSET(Arb!$V$2,,,Arb!$AJ$5,),BF36))/BG36)</f>
        <v/>
      </c>
      <c r="BK36" s="51" t="str">
        <f t="shared" ca="1" si="15"/>
        <v/>
      </c>
      <c r="BL36" s="91" t="str">
        <f ca="1">IF(BF36="","",DATE(INDEX(OFFSET(Arb!$C$2,,,Arb!$AJ$5,),BF36),INDEX(OFFSET(Arb!$B$2,,,Arb!$AJ$5,),BF36),INDEX(OFFSET(Arb!$A$2,,,Arb!$AJ$5,),BF36))+ROW()*0.001)</f>
        <v/>
      </c>
      <c r="BM36" s="442">
        <v>36</v>
      </c>
      <c r="BO36" s="52" t="str">
        <f ca="1">IF(BN36="","",INDEX(OFFSET(Arb!$H$2,,,Arb!$AJ$5,),BN36))</f>
        <v/>
      </c>
      <c r="BP36" s="3" t="str">
        <f t="shared" ca="1" si="16"/>
        <v/>
      </c>
      <c r="BQ36" s="165" t="str">
        <f ca="1">IF(BN36="","",INDEX(OFFSET(Arb!$X$2,,,Arb!$AJ$5,),BN36)/BO36)</f>
        <v/>
      </c>
      <c r="BR36" s="165" t="str">
        <f ca="1">IF(BN36="","",(INDEX(OFFSET(Arb!$U$2,,,Arb!$AJ$5,),BN36)+INDEX(OFFSET(Arb!$V$2,,,Arb!$AJ$5,),BN36))/BO36)</f>
        <v/>
      </c>
      <c r="BS36" s="51" t="str">
        <f t="shared" ca="1" si="17"/>
        <v/>
      </c>
      <c r="BT36" s="88" t="str">
        <f ca="1">IF(BN36="","",DATE(INDEX(OFFSET(Arb!$C$2,,,Arb!$AJ$5,),BN36),INDEX(OFFSET(Arb!$B$2,,,Arb!$AJ$5,),BN36),INDEX(OFFSET(Arb!$A$2,,,Arb!$AJ$5,),BN36))+ROW()*0.001)</f>
        <v/>
      </c>
      <c r="BU36" s="436">
        <v>36</v>
      </c>
      <c r="BW36" s="52" t="str">
        <f ca="1">IF(BV36="","",INDEX(OFFSET(Arb!$H$2,,,Arb!$AJ$5,),BV36))</f>
        <v/>
      </c>
      <c r="BX36" s="3" t="str">
        <f t="shared" ca="1" si="18"/>
        <v/>
      </c>
      <c r="BY36" s="165" t="str">
        <f ca="1">IF(BV36="","",INDEX(OFFSET(Arb!$X$2,,,Arb!$AJ$5,),BV36)/BW36)</f>
        <v/>
      </c>
      <c r="BZ36" s="165" t="str">
        <f ca="1">IF(BV36="","",(INDEX(OFFSET(Arb!$U$2,,,Arb!$AJ$5,),BV36)+INDEX(OFFSET(Arb!$V$2,,,Arb!$AJ$5,),BV36))/BW36)</f>
        <v/>
      </c>
      <c r="CA36" s="51" t="str">
        <f t="shared" ca="1" si="19"/>
        <v/>
      </c>
      <c r="CB36" s="91" t="str">
        <f ca="1">IF(BV36="","",DATE(INDEX(OFFSET(Arb!$C$2,,,Arb!$AJ$5,),BV36),INDEX(OFFSET(Arb!$B$2,,,Arb!$AJ$5,),BV36),INDEX(OFFSET(Arb!$A$2,,,Arb!$AJ$5,),BV36))+ROW()*0.001)</f>
        <v/>
      </c>
    </row>
    <row r="37" spans="1:80" x14ac:dyDescent="0.25">
      <c r="A37" s="433">
        <v>37</v>
      </c>
      <c r="B37" s="1">
        <v>1388</v>
      </c>
      <c r="C37" s="52">
        <f ca="1">IF(B37="","",INDEX(OFFSET(Arb!$H$2,,,Arb!$AJ$5,),B37))</f>
        <v>8.98</v>
      </c>
      <c r="D37" s="3">
        <f t="shared" ca="1" si="0"/>
        <v>4.1202672605790642</v>
      </c>
      <c r="E37" s="165">
        <f ca="1">IF(B37="","",INDEX(OFFSET(Arb!$X$2,,,Arb!$AJ$5,),B37)/C37)</f>
        <v>4.7884187082405347</v>
      </c>
      <c r="F37" s="165">
        <f ca="1">IF(B37="","",(INDEX(OFFSET(Arb!$U$2,,,Arb!$AJ$5,),B37)+INDEX(OFFSET(Arb!$V$2,,,Arb!$AJ$5,),B37))/C37)</f>
        <v>5.1224944320712691</v>
      </c>
      <c r="G37" s="51">
        <f t="shared" ca="1" si="1"/>
        <v>41.926046403466763</v>
      </c>
      <c r="H37" s="355">
        <f ca="1">IF(B37="","",DATE(INDEX(OFFSET(Arb!$C$2,,,Arb!$AJ$5,),B37),INDEX(OFFSET(Arb!$B$2,,,Arb!$AJ$5,),B37),INDEX(OFFSET(Arb!$A$2,,,Arb!$AJ$5,),B37))+ROW()*0.001)</f>
        <v>43940.036999999997</v>
      </c>
      <c r="I37" s="436">
        <v>37</v>
      </c>
      <c r="J37" s="1">
        <v>979</v>
      </c>
      <c r="K37" s="52">
        <f ca="1">IF(J37="","",INDEX(OFFSET(Arb!$H$2,,,Arb!$AJ$5,),J37))</f>
        <v>9.7899999999999991</v>
      </c>
      <c r="L37" s="3">
        <f t="shared" ca="1" si="2"/>
        <v>3.7793667007150158</v>
      </c>
      <c r="M37" s="165">
        <f ca="1">IF(J37="","",INDEX(OFFSET(Arb!$X$2,,,Arb!$AJ$5,),J37)/K37)</f>
        <v>4.2900919305413687</v>
      </c>
      <c r="N37" s="165">
        <f ca="1">IF(J37="","",(INDEX(OFFSET(Arb!$U$2,,,Arb!$AJ$5,),J37)+INDEX(OFFSET(Arb!$V$2,,,Arb!$AJ$5,),J37))/K37)</f>
        <v>4.6986721144024521</v>
      </c>
      <c r="O37" s="51">
        <f t="shared" ca="1" si="3"/>
        <v>36.201211681907893</v>
      </c>
      <c r="P37" s="91">
        <f ca="1">IF(J37="","",DATE(INDEX(OFFSET(Arb!$C$2,,,Arb!$AJ$5,),J37),INDEX(OFFSET(Arb!$B$2,,,Arb!$AJ$5,),J37),INDEX(OFFSET(Arb!$A$2,,,Arb!$AJ$5,),J37))+ROW()*0.001)</f>
        <v>43822.036999999997</v>
      </c>
      <c r="Q37" s="442">
        <v>37</v>
      </c>
      <c r="S37" s="52" t="str">
        <f ca="1">IF(R37="","",INDEX(OFFSET(Arb!$H$2,,,Arb!$AJ$5,),R37))</f>
        <v/>
      </c>
      <c r="T37" s="3" t="str">
        <f t="shared" ca="1" si="4"/>
        <v/>
      </c>
      <c r="U37" s="165" t="str">
        <f ca="1">IF(R37="","",INDEX(OFFSET(Arb!$X$2,,,Arb!$AJ$5,),R37)/S37)</f>
        <v/>
      </c>
      <c r="V37" s="165" t="str">
        <f ca="1">IF(R37="","",(INDEX(OFFSET(Arb!$U$2,,,Arb!$AJ$5,),R37)+INDEX(OFFSET(Arb!$V$2,,,Arb!$AJ$5,),R37))/S37)</f>
        <v/>
      </c>
      <c r="W37" s="51" t="str">
        <f t="shared" ca="1" si="5"/>
        <v/>
      </c>
      <c r="X37" s="88" t="str">
        <f ca="1">IF(R37="","",DATE(INDEX(OFFSET(Arb!$C$2,,,Arb!$AJ$5,),R37),INDEX(OFFSET(Arb!$B$2,,,Arb!$AJ$5,),R37),INDEX(OFFSET(Arb!$A$2,,,Arb!$AJ$5,),R37))+ROW()*0.001)</f>
        <v/>
      </c>
      <c r="Y37" s="436">
        <v>37</v>
      </c>
      <c r="AA37" s="52" t="str">
        <f ca="1">IF(Z37="","",INDEX(OFFSET(Arb!$H$2,,,Arb!$AJ$5,),Z37))</f>
        <v/>
      </c>
      <c r="AB37" s="3" t="str">
        <f t="shared" ca="1" si="6"/>
        <v/>
      </c>
      <c r="AC37" s="165" t="str">
        <f ca="1">IF(Z37="","",INDEX(OFFSET(Arb!$X$2,,,Arb!$AJ$5,),Z37)/AA37)</f>
        <v/>
      </c>
      <c r="AD37" s="165" t="str">
        <f ca="1">IF(Z37="","",(INDEX(OFFSET(Arb!$U$2,,,Arb!$AJ$5,),Z37)+INDEX(OFFSET(Arb!$V$2,,,Arb!$AJ$5,),Z37))/AA37)</f>
        <v/>
      </c>
      <c r="AE37" s="51" t="str">
        <f t="shared" ca="1" si="7"/>
        <v/>
      </c>
      <c r="AF37" s="91" t="str">
        <f ca="1">IF(Z37="","",DATE(INDEX(OFFSET(Arb!$C$2,,,Arb!$AJ$5,),Z37),INDEX(OFFSET(Arb!$B$2,,,Arb!$AJ$5,),Z37),INDEX(OFFSET(Arb!$A$2,,,Arb!$AJ$5,),Z37))+ROW()*0.001)</f>
        <v/>
      </c>
      <c r="AG37" s="442">
        <v>37</v>
      </c>
      <c r="AI37" s="52" t="str">
        <f ca="1">IF(AH37="","",INDEX(OFFSET(Arb!$H$2,,,Arb!$AJ$5,),AH37))</f>
        <v/>
      </c>
      <c r="AJ37" s="3" t="str">
        <f t="shared" ca="1" si="8"/>
        <v/>
      </c>
      <c r="AK37" s="165" t="str">
        <f ca="1">IF(AH37="","",INDEX(OFFSET(Arb!$X$2,,,Arb!$AJ$5,),AH37)/AI37)</f>
        <v/>
      </c>
      <c r="AL37" s="165" t="str">
        <f ca="1">IF(AH37="","",(INDEX(OFFSET(Arb!$U$2,,,Arb!$AJ$5,),AH37)+INDEX(OFFSET(Arb!$V$2,,,Arb!$AJ$5,),AH37))/AI37)</f>
        <v/>
      </c>
      <c r="AM37" s="51" t="str">
        <f t="shared" ca="1" si="9"/>
        <v/>
      </c>
      <c r="AN37" s="88" t="str">
        <f ca="1">IF(AH37="","",DATE(INDEX(OFFSET(Arb!$C$2,,,Arb!$AJ$5,),AH37),INDEX(OFFSET(Arb!$B$2,,,Arb!$AJ$5,),AH37),INDEX(OFFSET(Arb!$A$2,,,Arb!$AJ$5,),AH37))+ROW()*0.001)</f>
        <v/>
      </c>
      <c r="AO37" s="436">
        <v>37</v>
      </c>
      <c r="AQ37" s="52" t="str">
        <f ca="1">IF(AP37="","",INDEX(OFFSET(Arb!$H$2,,,Arb!$AJ$5,),AP37))</f>
        <v/>
      </c>
      <c r="AR37" s="3" t="str">
        <f t="shared" ca="1" si="10"/>
        <v/>
      </c>
      <c r="AS37" s="165" t="str">
        <f ca="1">IF(AP37="","",INDEX(OFFSET(Arb!$X$2,,,Arb!$AJ$5,),AP37)/AQ37)</f>
        <v/>
      </c>
      <c r="AT37" s="165" t="str">
        <f ca="1">IF(AP37="","",(INDEX(OFFSET(Arb!$U$2,,,Arb!$AJ$5,),AP37)+INDEX(OFFSET(Arb!$V$2,,,Arb!$AJ$5,),AP37))/AQ37)</f>
        <v/>
      </c>
      <c r="AU37" s="51" t="str">
        <f t="shared" ca="1" si="11"/>
        <v/>
      </c>
      <c r="AV37" s="91" t="str">
        <f ca="1">IF(AP37="","",DATE(INDEX(OFFSET(Arb!$C$2,,,Arb!$AJ$5,),AP37),INDEX(OFFSET(Arb!$B$2,,,Arb!$AJ$5,),AP37),INDEX(OFFSET(Arb!$A$2,,,Arb!$AJ$5,),AP37))+ROW()*0.001)</f>
        <v/>
      </c>
      <c r="AW37" s="442">
        <v>37</v>
      </c>
      <c r="AY37" s="52" t="str">
        <f ca="1">IF(AX37="","",INDEX(OFFSET(Arb!$H$2,,,Arb!$AJ$5,),AX37))</f>
        <v/>
      </c>
      <c r="AZ37" s="3" t="str">
        <f t="shared" ca="1" si="12"/>
        <v/>
      </c>
      <c r="BA37" s="165" t="str">
        <f ca="1">IF(AX37="","",INDEX(OFFSET(Arb!$X$2,,,Arb!$AJ$5,),AX37)/AY37)</f>
        <v/>
      </c>
      <c r="BB37" s="165" t="str">
        <f ca="1">IF(AX37="","",(INDEX(OFFSET(Arb!$U$2,,,Arb!$AJ$5,),AX37)+INDEX(OFFSET(Arb!$V$2,,,Arb!$AJ$5,),AX37))/AY37)</f>
        <v/>
      </c>
      <c r="BC37" s="51" t="str">
        <f t="shared" ca="1" si="13"/>
        <v/>
      </c>
      <c r="BD37" s="88" t="str">
        <f ca="1">IF(AX37="","",DATE(INDEX(OFFSET(Arb!$C$2,,,Arb!$AJ$5,),AX37),INDEX(OFFSET(Arb!$B$2,,,Arb!$AJ$5,),AX37),INDEX(OFFSET(Arb!$A$2,,,Arb!$AJ$5,),AX37))+ROW()*0.001)</f>
        <v/>
      </c>
      <c r="BE37" s="436">
        <v>37</v>
      </c>
      <c r="BG37" s="52" t="str">
        <f ca="1">IF(BF37="","",INDEX(OFFSET(Arb!$H$2,,,Arb!$AJ$5,),BF37))</f>
        <v/>
      </c>
      <c r="BH37" s="3" t="str">
        <f t="shared" ca="1" si="14"/>
        <v/>
      </c>
      <c r="BI37" s="165" t="str">
        <f ca="1">IF(BF37="","",INDEX(OFFSET(Arb!$X$2,,,Arb!$AJ$5,),BF37)/BG37)</f>
        <v/>
      </c>
      <c r="BJ37" s="165" t="str">
        <f ca="1">IF(BF37="","",(INDEX(OFFSET(Arb!$U$2,,,Arb!$AJ$5,),BF37)+INDEX(OFFSET(Arb!$V$2,,,Arb!$AJ$5,),BF37))/BG37)</f>
        <v/>
      </c>
      <c r="BK37" s="51" t="str">
        <f t="shared" ca="1" si="15"/>
        <v/>
      </c>
      <c r="BL37" s="91" t="str">
        <f ca="1">IF(BF37="","",DATE(INDEX(OFFSET(Arb!$C$2,,,Arb!$AJ$5,),BF37),INDEX(OFFSET(Arb!$B$2,,,Arb!$AJ$5,),BF37),INDEX(OFFSET(Arb!$A$2,,,Arb!$AJ$5,),BF37))+ROW()*0.001)</f>
        <v/>
      </c>
      <c r="BM37" s="442">
        <v>37</v>
      </c>
      <c r="BO37" s="52" t="str">
        <f ca="1">IF(BN37="","",INDEX(OFFSET(Arb!$H$2,,,Arb!$AJ$5,),BN37))</f>
        <v/>
      </c>
      <c r="BP37" s="3" t="str">
        <f t="shared" ca="1" si="16"/>
        <v/>
      </c>
      <c r="BQ37" s="165" t="str">
        <f ca="1">IF(BN37="","",INDEX(OFFSET(Arb!$X$2,,,Arb!$AJ$5,),BN37)/BO37)</f>
        <v/>
      </c>
      <c r="BR37" s="165" t="str">
        <f ca="1">IF(BN37="","",(INDEX(OFFSET(Arb!$U$2,,,Arb!$AJ$5,),BN37)+INDEX(OFFSET(Arb!$V$2,,,Arb!$AJ$5,),BN37))/BO37)</f>
        <v/>
      </c>
      <c r="BS37" s="51" t="str">
        <f t="shared" ca="1" si="17"/>
        <v/>
      </c>
      <c r="BT37" s="88" t="str">
        <f ca="1">IF(BN37="","",DATE(INDEX(OFFSET(Arb!$C$2,,,Arb!$AJ$5,),BN37),INDEX(OFFSET(Arb!$B$2,,,Arb!$AJ$5,),BN37),INDEX(OFFSET(Arb!$A$2,,,Arb!$AJ$5,),BN37))+ROW()*0.001)</f>
        <v/>
      </c>
      <c r="BU37" s="436">
        <v>37</v>
      </c>
      <c r="BW37" s="52" t="str">
        <f ca="1">IF(BV37="","",INDEX(OFFSET(Arb!$H$2,,,Arb!$AJ$5,),BV37))</f>
        <v/>
      </c>
      <c r="BX37" s="3" t="str">
        <f t="shared" ca="1" si="18"/>
        <v/>
      </c>
      <c r="BY37" s="165" t="str">
        <f ca="1">IF(BV37="","",INDEX(OFFSET(Arb!$X$2,,,Arb!$AJ$5,),BV37)/BW37)</f>
        <v/>
      </c>
      <c r="BZ37" s="165" t="str">
        <f ca="1">IF(BV37="","",(INDEX(OFFSET(Arb!$U$2,,,Arb!$AJ$5,),BV37)+INDEX(OFFSET(Arb!$V$2,,,Arb!$AJ$5,),BV37))/BW37)</f>
        <v/>
      </c>
      <c r="CA37" s="51" t="str">
        <f t="shared" ca="1" si="19"/>
        <v/>
      </c>
      <c r="CB37" s="91" t="str">
        <f ca="1">IF(BV37="","",DATE(INDEX(OFFSET(Arb!$C$2,,,Arb!$AJ$5,),BV37),INDEX(OFFSET(Arb!$B$2,,,Arb!$AJ$5,),BV37),INDEX(OFFSET(Arb!$A$2,,,Arb!$AJ$5,),BV37))+ROW()*0.001)</f>
        <v/>
      </c>
    </row>
    <row r="38" spans="1:80" x14ac:dyDescent="0.25">
      <c r="A38" s="433">
        <v>38</v>
      </c>
      <c r="B38" s="1">
        <v>1375</v>
      </c>
      <c r="C38" s="52">
        <f ca="1">IF(B38="","",INDEX(OFFSET(Arb!$H$2,,,Arb!$AJ$5,),B38))</f>
        <v>9.5399999999999991</v>
      </c>
      <c r="D38" s="3">
        <f t="shared" ca="1" si="0"/>
        <v>3.9832285115303985</v>
      </c>
      <c r="E38" s="165">
        <f ca="1">IF(B38="","",INDEX(OFFSET(Arb!$X$2,,,Arb!$AJ$5,),B38)/C38)</f>
        <v>3.9832285115303985</v>
      </c>
      <c r="F38" s="165">
        <f ca="1">IF(B38="","",(INDEX(OFFSET(Arb!$U$2,,,Arb!$AJ$5,),B38)+INDEX(OFFSET(Arb!$V$2,,,Arb!$AJ$5,),B38))/C38)</f>
        <v>4.716981132075472</v>
      </c>
      <c r="G38" s="51">
        <f t="shared" ca="1" si="1"/>
        <v>38.851099907855648</v>
      </c>
      <c r="H38" s="355">
        <f ca="1">IF(B38="","",DATE(INDEX(OFFSET(Arb!$C$2,,,Arb!$AJ$5,),B38),INDEX(OFFSET(Arb!$B$2,,,Arb!$AJ$5,),B38),INDEX(OFFSET(Arb!$A$2,,,Arb!$AJ$5,),B38))+ROW()*0.001)</f>
        <v>43937.038</v>
      </c>
      <c r="I38" s="436">
        <v>38</v>
      </c>
      <c r="J38" s="1">
        <v>841</v>
      </c>
      <c r="K38" s="52">
        <f ca="1">IF(J38="","",INDEX(OFFSET(Arb!$H$2,,,Arb!$AJ$5,),J38))</f>
        <v>9.65</v>
      </c>
      <c r="L38" s="3">
        <f t="shared" ca="1" si="2"/>
        <v>3.937823834196891</v>
      </c>
      <c r="M38" s="165">
        <f ca="1">IF(J38="","",INDEX(OFFSET(Arb!$X$2,,,Arb!$AJ$5,),J38)/K38)</f>
        <v>4.3523316062176161</v>
      </c>
      <c r="N38" s="165">
        <f ca="1">IF(J38="","",(INDEX(OFFSET(Arb!$U$2,,,Arb!$AJ$5,),J38)+INDEX(OFFSET(Arb!$V$2,,,Arb!$AJ$5,),J38))/K38)</f>
        <v>4.766839378238342</v>
      </c>
      <c r="O38" s="51">
        <f t="shared" ca="1" si="3"/>
        <v>38.101241132384452</v>
      </c>
      <c r="P38" s="91">
        <f ca="1">IF(J38="","",DATE(INDEX(OFFSET(Arb!$C$2,,,Arb!$AJ$5,),J38),INDEX(OFFSET(Arb!$B$2,,,Arb!$AJ$5,),J38),INDEX(OFFSET(Arb!$A$2,,,Arb!$AJ$5,),J38))+ROW()*0.001)</f>
        <v>43815.038</v>
      </c>
      <c r="Q38" s="442">
        <v>38</v>
      </c>
      <c r="R38" s="1">
        <v>1762</v>
      </c>
      <c r="S38" s="52">
        <f ca="1">IF(R38="","",INDEX(OFFSET(Arb!$H$2,,,Arb!$AJ$5,),R38))</f>
        <v>9.9499999999999993</v>
      </c>
      <c r="T38" s="3">
        <f t="shared" ca="1" si="4"/>
        <v>3.8190954773869348</v>
      </c>
      <c r="U38" s="165">
        <f ca="1">IF(R38="","",INDEX(OFFSET(Arb!$X$2,,,Arb!$AJ$5,),R38)/S38)</f>
        <v>3.3165829145728645</v>
      </c>
      <c r="V38" s="165">
        <f ca="1">IF(R38="","",(INDEX(OFFSET(Arb!$U$2,,,Arb!$AJ$5,),R38)+INDEX(OFFSET(Arb!$V$2,,,Arb!$AJ$5,),R38))/S38)</f>
        <v>4.4221105527638196</v>
      </c>
      <c r="W38" s="51">
        <f t="shared" ca="1" si="5"/>
        <v>36.16898473674032</v>
      </c>
      <c r="X38" s="88">
        <f ca="1">IF(R38="","",DATE(INDEX(OFFSET(Arb!$C$2,,,Arb!$AJ$5,),R38),INDEX(OFFSET(Arb!$B$2,,,Arb!$AJ$5,),R38),INDEX(OFFSET(Arb!$A$2,,,Arb!$AJ$5,),R38))+ROW()*0.001)</f>
        <v>44133.038</v>
      </c>
      <c r="Y38" s="436">
        <v>38</v>
      </c>
      <c r="AA38" s="52" t="str">
        <f ca="1">IF(Z38="","",INDEX(OFFSET(Arb!$H$2,,,Arb!$AJ$5,),Z38))</f>
        <v/>
      </c>
      <c r="AB38" s="3" t="str">
        <f t="shared" ca="1" si="6"/>
        <v/>
      </c>
      <c r="AC38" s="165" t="str">
        <f ca="1">IF(Z38="","",INDEX(OFFSET(Arb!$X$2,,,Arb!$AJ$5,),Z38)/AA38)</f>
        <v/>
      </c>
      <c r="AD38" s="165" t="str">
        <f ca="1">IF(Z38="","",(INDEX(OFFSET(Arb!$U$2,,,Arb!$AJ$5,),Z38)+INDEX(OFFSET(Arb!$V$2,,,Arb!$AJ$5,),Z38))/AA38)</f>
        <v/>
      </c>
      <c r="AE38" s="51" t="str">
        <f t="shared" ca="1" si="7"/>
        <v/>
      </c>
      <c r="AF38" s="91" t="str">
        <f ca="1">IF(Z38="","",DATE(INDEX(OFFSET(Arb!$C$2,,,Arb!$AJ$5,),Z38),INDEX(OFFSET(Arb!$B$2,,,Arb!$AJ$5,),Z38),INDEX(OFFSET(Arb!$A$2,,,Arb!$AJ$5,),Z38))+ROW()*0.001)</f>
        <v/>
      </c>
      <c r="AG38" s="442">
        <v>38</v>
      </c>
      <c r="AI38" s="52" t="str">
        <f ca="1">IF(AH38="","",INDEX(OFFSET(Arb!$H$2,,,Arb!$AJ$5,),AH38))</f>
        <v/>
      </c>
      <c r="AJ38" s="3" t="str">
        <f t="shared" ca="1" si="8"/>
        <v/>
      </c>
      <c r="AK38" s="165" t="str">
        <f ca="1">IF(AH38="","",INDEX(OFFSET(Arb!$X$2,,,Arb!$AJ$5,),AH38)/AI38)</f>
        <v/>
      </c>
      <c r="AL38" s="165" t="str">
        <f ca="1">IF(AH38="","",(INDEX(OFFSET(Arb!$U$2,,,Arb!$AJ$5,),AH38)+INDEX(OFFSET(Arb!$V$2,,,Arb!$AJ$5,),AH38))/AI38)</f>
        <v/>
      </c>
      <c r="AM38" s="51" t="str">
        <f t="shared" ca="1" si="9"/>
        <v/>
      </c>
      <c r="AN38" s="88" t="str">
        <f ca="1">IF(AH38="","",DATE(INDEX(OFFSET(Arb!$C$2,,,Arb!$AJ$5,),AH38),INDEX(OFFSET(Arb!$B$2,,,Arb!$AJ$5,),AH38),INDEX(OFFSET(Arb!$A$2,,,Arb!$AJ$5,),AH38))+ROW()*0.001)</f>
        <v/>
      </c>
      <c r="AO38" s="436">
        <v>38</v>
      </c>
      <c r="AQ38" s="52" t="str">
        <f ca="1">IF(AP38="","",INDEX(OFFSET(Arb!$H$2,,,Arb!$AJ$5,),AP38))</f>
        <v/>
      </c>
      <c r="AR38" s="3" t="str">
        <f t="shared" ca="1" si="10"/>
        <v/>
      </c>
      <c r="AS38" s="165" t="str">
        <f ca="1">IF(AP38="","",INDEX(OFFSET(Arb!$X$2,,,Arb!$AJ$5,),AP38)/AQ38)</f>
        <v/>
      </c>
      <c r="AT38" s="165" t="str">
        <f ca="1">IF(AP38="","",(INDEX(OFFSET(Arb!$U$2,,,Arb!$AJ$5,),AP38)+INDEX(OFFSET(Arb!$V$2,,,Arb!$AJ$5,),AP38))/AQ38)</f>
        <v/>
      </c>
      <c r="AU38" s="51" t="str">
        <f t="shared" ca="1" si="11"/>
        <v/>
      </c>
      <c r="AV38" s="91" t="str">
        <f ca="1">IF(AP38="","",DATE(INDEX(OFFSET(Arb!$C$2,,,Arb!$AJ$5,),AP38),INDEX(OFFSET(Arb!$B$2,,,Arb!$AJ$5,),AP38),INDEX(OFFSET(Arb!$A$2,,,Arb!$AJ$5,),AP38))+ROW()*0.001)</f>
        <v/>
      </c>
      <c r="AW38" s="442">
        <v>38</v>
      </c>
      <c r="AY38" s="52" t="str">
        <f ca="1">IF(AX38="","",INDEX(OFFSET(Arb!$H$2,,,Arb!$AJ$5,),AX38))</f>
        <v/>
      </c>
      <c r="AZ38" s="3" t="str">
        <f t="shared" ca="1" si="12"/>
        <v/>
      </c>
      <c r="BA38" s="165" t="str">
        <f ca="1">IF(AX38="","",INDEX(OFFSET(Arb!$X$2,,,Arb!$AJ$5,),AX38)/AY38)</f>
        <v/>
      </c>
      <c r="BB38" s="165" t="str">
        <f ca="1">IF(AX38="","",(INDEX(OFFSET(Arb!$U$2,,,Arb!$AJ$5,),AX38)+INDEX(OFFSET(Arb!$V$2,,,Arb!$AJ$5,),AX38))/AY38)</f>
        <v/>
      </c>
      <c r="BC38" s="51" t="str">
        <f t="shared" ca="1" si="13"/>
        <v/>
      </c>
      <c r="BD38" s="88" t="str">
        <f ca="1">IF(AX38="","",DATE(INDEX(OFFSET(Arb!$C$2,,,Arb!$AJ$5,),AX38),INDEX(OFFSET(Arb!$B$2,,,Arb!$AJ$5,),AX38),INDEX(OFFSET(Arb!$A$2,,,Arb!$AJ$5,),AX38))+ROW()*0.001)</f>
        <v/>
      </c>
      <c r="BE38" s="436">
        <v>38</v>
      </c>
      <c r="BG38" s="52" t="str">
        <f ca="1">IF(BF38="","",INDEX(OFFSET(Arb!$H$2,,,Arb!$AJ$5,),BF38))</f>
        <v/>
      </c>
      <c r="BH38" s="3" t="str">
        <f t="shared" ca="1" si="14"/>
        <v/>
      </c>
      <c r="BI38" s="165" t="str">
        <f ca="1">IF(BF38="","",INDEX(OFFSET(Arb!$X$2,,,Arb!$AJ$5,),BF38)/BG38)</f>
        <v/>
      </c>
      <c r="BJ38" s="165" t="str">
        <f ca="1">IF(BF38="","",(INDEX(OFFSET(Arb!$U$2,,,Arb!$AJ$5,),BF38)+INDEX(OFFSET(Arb!$V$2,,,Arb!$AJ$5,),BF38))/BG38)</f>
        <v/>
      </c>
      <c r="BK38" s="51" t="str">
        <f t="shared" ca="1" si="15"/>
        <v/>
      </c>
      <c r="BL38" s="91" t="str">
        <f ca="1">IF(BF38="","",DATE(INDEX(OFFSET(Arb!$C$2,,,Arb!$AJ$5,),BF38),INDEX(OFFSET(Arb!$B$2,,,Arb!$AJ$5,),BF38),INDEX(OFFSET(Arb!$A$2,,,Arb!$AJ$5,),BF38))+ROW()*0.001)</f>
        <v/>
      </c>
      <c r="BM38" s="442">
        <v>38</v>
      </c>
      <c r="BO38" s="52" t="str">
        <f ca="1">IF(BN38="","",INDEX(OFFSET(Arb!$H$2,,,Arb!$AJ$5,),BN38))</f>
        <v/>
      </c>
      <c r="BP38" s="3" t="str">
        <f t="shared" ca="1" si="16"/>
        <v/>
      </c>
      <c r="BQ38" s="165" t="str">
        <f ca="1">IF(BN38="","",INDEX(OFFSET(Arb!$X$2,,,Arb!$AJ$5,),BN38)/BO38)</f>
        <v/>
      </c>
      <c r="BR38" s="165" t="str">
        <f ca="1">IF(BN38="","",(INDEX(OFFSET(Arb!$U$2,,,Arb!$AJ$5,),BN38)+INDEX(OFFSET(Arb!$V$2,,,Arb!$AJ$5,),BN38))/BO38)</f>
        <v/>
      </c>
      <c r="BS38" s="51" t="str">
        <f t="shared" ca="1" si="17"/>
        <v/>
      </c>
      <c r="BT38" s="88" t="str">
        <f ca="1">IF(BN38="","",DATE(INDEX(OFFSET(Arb!$C$2,,,Arb!$AJ$5,),BN38),INDEX(OFFSET(Arb!$B$2,,,Arb!$AJ$5,),BN38),INDEX(OFFSET(Arb!$A$2,,,Arb!$AJ$5,),BN38))+ROW()*0.001)</f>
        <v/>
      </c>
      <c r="BU38" s="436">
        <v>38</v>
      </c>
      <c r="BW38" s="52" t="str">
        <f ca="1">IF(BV38="","",INDEX(OFFSET(Arb!$H$2,,,Arb!$AJ$5,),BV38))</f>
        <v/>
      </c>
      <c r="BX38" s="3" t="str">
        <f t="shared" ca="1" si="18"/>
        <v/>
      </c>
      <c r="BY38" s="165" t="str">
        <f ca="1">IF(BV38="","",INDEX(OFFSET(Arb!$X$2,,,Arb!$AJ$5,),BV38)/BW38)</f>
        <v/>
      </c>
      <c r="BZ38" s="165" t="str">
        <f ca="1">IF(BV38="","",(INDEX(OFFSET(Arb!$U$2,,,Arb!$AJ$5,),BV38)+INDEX(OFFSET(Arb!$V$2,,,Arb!$AJ$5,),BV38))/BW38)</f>
        <v/>
      </c>
      <c r="CA38" s="51" t="str">
        <f t="shared" ca="1" si="19"/>
        <v/>
      </c>
      <c r="CB38" s="91" t="str">
        <f ca="1">IF(BV38="","",DATE(INDEX(OFFSET(Arb!$C$2,,,Arb!$AJ$5,),BV38),INDEX(OFFSET(Arb!$B$2,,,Arb!$AJ$5,),BV38),INDEX(OFFSET(Arb!$A$2,,,Arb!$AJ$5,),BV38))+ROW()*0.001)</f>
        <v/>
      </c>
    </row>
    <row r="39" spans="1:80" x14ac:dyDescent="0.25">
      <c r="A39" s="433">
        <v>39</v>
      </c>
      <c r="C39" s="52" t="str">
        <f ca="1">IF(B39="","",INDEX(OFFSET(Arb!$H$2,,,Arb!$AJ$5,),B39))</f>
        <v/>
      </c>
      <c r="D39" s="3" t="str">
        <f t="shared" ca="1" si="0"/>
        <v/>
      </c>
      <c r="E39" s="165" t="str">
        <f ca="1">IF(B39="","",INDEX(OFFSET(Arb!$X$2,,,Arb!$AJ$5,),B39)/C39)</f>
        <v/>
      </c>
      <c r="F39" s="165" t="str">
        <f ca="1">IF(B39="","",(INDEX(OFFSET(Arb!$U$2,,,Arb!$AJ$5,),B39)+INDEX(OFFSET(Arb!$V$2,,,Arb!$AJ$5,),B39))/C39)</f>
        <v/>
      </c>
      <c r="G39" s="51" t="str">
        <f t="shared" ca="1" si="1"/>
        <v/>
      </c>
      <c r="H39" s="355" t="str">
        <f ca="1">IF(B39="","",DATE(INDEX(OFFSET(Arb!$C$2,,,Arb!$AJ$5,),B39),INDEX(OFFSET(Arb!$B$2,,,Arb!$AJ$5,),B39),INDEX(OFFSET(Arb!$A$2,,,Arb!$AJ$5,),B39))+ROW()*0.001)</f>
        <v/>
      </c>
      <c r="I39" s="436">
        <v>39</v>
      </c>
      <c r="K39" s="52" t="str">
        <f ca="1">IF(J39="","",INDEX(OFFSET(Arb!$H$2,,,Arb!$AJ$5,),J39))</f>
        <v/>
      </c>
      <c r="L39" s="3" t="str">
        <f t="shared" ca="1" si="2"/>
        <v/>
      </c>
      <c r="M39" s="165" t="str">
        <f ca="1">IF(J39="","",INDEX(OFFSET(Arb!$X$2,,,Arb!$AJ$5,),J39)/K39)</f>
        <v/>
      </c>
      <c r="N39" s="165" t="str">
        <f ca="1">IF(J39="","",(INDEX(OFFSET(Arb!$U$2,,,Arb!$AJ$5,),J39)+INDEX(OFFSET(Arb!$V$2,,,Arb!$AJ$5,),J39))/K39)</f>
        <v/>
      </c>
      <c r="O39" s="51" t="str">
        <f t="shared" ca="1" si="3"/>
        <v/>
      </c>
      <c r="P39" s="91" t="str">
        <f ca="1">IF(J39="","",DATE(INDEX(OFFSET(Arb!$C$2,,,Arb!$AJ$5,),J39),INDEX(OFFSET(Arb!$B$2,,,Arb!$AJ$5,),J39),INDEX(OFFSET(Arb!$A$2,,,Arb!$AJ$5,),J39))+ROW()*0.001)</f>
        <v/>
      </c>
      <c r="Q39" s="442">
        <v>39</v>
      </c>
      <c r="S39" s="52" t="str">
        <f ca="1">IF(R39="","",INDEX(OFFSET(Arb!$H$2,,,Arb!$AJ$5,),R39))</f>
        <v/>
      </c>
      <c r="T39" s="3" t="str">
        <f t="shared" ca="1" si="4"/>
        <v/>
      </c>
      <c r="U39" s="165" t="str">
        <f ca="1">IF(R39="","",INDEX(OFFSET(Arb!$X$2,,,Arb!$AJ$5,),R39)/S39)</f>
        <v/>
      </c>
      <c r="V39" s="165" t="str">
        <f ca="1">IF(R39="","",(INDEX(OFFSET(Arb!$U$2,,,Arb!$AJ$5,),R39)+INDEX(OFFSET(Arb!$V$2,,,Arb!$AJ$5,),R39))/S39)</f>
        <v/>
      </c>
      <c r="W39" s="51" t="str">
        <f t="shared" ca="1" si="5"/>
        <v/>
      </c>
      <c r="X39" s="88" t="str">
        <f ca="1">IF(R39="","",DATE(INDEX(OFFSET(Arb!$C$2,,,Arb!$AJ$5,),R39),INDEX(OFFSET(Arb!$B$2,,,Arb!$AJ$5,),R39),INDEX(OFFSET(Arb!$A$2,,,Arb!$AJ$5,),R39))+ROW()*0.001)</f>
        <v/>
      </c>
      <c r="Y39" s="436">
        <v>39</v>
      </c>
      <c r="AA39" s="52" t="str">
        <f ca="1">IF(Z39="","",INDEX(OFFSET(Arb!$H$2,,,Arb!$AJ$5,),Z39))</f>
        <v/>
      </c>
      <c r="AB39" s="3" t="str">
        <f t="shared" ca="1" si="6"/>
        <v/>
      </c>
      <c r="AC39" s="165" t="str">
        <f ca="1">IF(Z39="","",INDEX(OFFSET(Arb!$X$2,,,Arb!$AJ$5,),Z39)/AA39)</f>
        <v/>
      </c>
      <c r="AD39" s="165" t="str">
        <f ca="1">IF(Z39="","",(INDEX(OFFSET(Arb!$U$2,,,Arb!$AJ$5,),Z39)+INDEX(OFFSET(Arb!$V$2,,,Arb!$AJ$5,),Z39))/AA39)</f>
        <v/>
      </c>
      <c r="AE39" s="51" t="str">
        <f t="shared" ca="1" si="7"/>
        <v/>
      </c>
      <c r="AF39" s="91" t="str">
        <f ca="1">IF(Z39="","",DATE(INDEX(OFFSET(Arb!$C$2,,,Arb!$AJ$5,),Z39),INDEX(OFFSET(Arb!$B$2,,,Arb!$AJ$5,),Z39),INDEX(OFFSET(Arb!$A$2,,,Arb!$AJ$5,),Z39))+ROW()*0.001)</f>
        <v/>
      </c>
      <c r="AG39" s="442">
        <v>39</v>
      </c>
      <c r="AI39" s="52" t="str">
        <f ca="1">IF(AH39="","",INDEX(OFFSET(Arb!$H$2,,,Arb!$AJ$5,),AH39))</f>
        <v/>
      </c>
      <c r="AJ39" s="3" t="str">
        <f t="shared" ca="1" si="8"/>
        <v/>
      </c>
      <c r="AK39" s="165" t="str">
        <f ca="1">IF(AH39="","",INDEX(OFFSET(Arb!$X$2,,,Arb!$AJ$5,),AH39)/AI39)</f>
        <v/>
      </c>
      <c r="AL39" s="165" t="str">
        <f ca="1">IF(AH39="","",(INDEX(OFFSET(Arb!$U$2,,,Arb!$AJ$5,),AH39)+INDEX(OFFSET(Arb!$V$2,,,Arb!$AJ$5,),AH39))/AI39)</f>
        <v/>
      </c>
      <c r="AM39" s="51" t="str">
        <f t="shared" ca="1" si="9"/>
        <v/>
      </c>
      <c r="AN39" s="88" t="str">
        <f ca="1">IF(AH39="","",DATE(INDEX(OFFSET(Arb!$C$2,,,Arb!$AJ$5,),AH39),INDEX(OFFSET(Arb!$B$2,,,Arb!$AJ$5,),AH39),INDEX(OFFSET(Arb!$A$2,,,Arb!$AJ$5,),AH39))+ROW()*0.001)</f>
        <v/>
      </c>
      <c r="AO39" s="436">
        <v>39</v>
      </c>
      <c r="AQ39" s="52" t="str">
        <f ca="1">IF(AP39="","",INDEX(OFFSET(Arb!$H$2,,,Arb!$AJ$5,),AP39))</f>
        <v/>
      </c>
      <c r="AR39" s="3" t="str">
        <f t="shared" ca="1" si="10"/>
        <v/>
      </c>
      <c r="AS39" s="165" t="str">
        <f ca="1">IF(AP39="","",INDEX(OFFSET(Arb!$X$2,,,Arb!$AJ$5,),AP39)/AQ39)</f>
        <v/>
      </c>
      <c r="AT39" s="165" t="str">
        <f ca="1">IF(AP39="","",(INDEX(OFFSET(Arb!$U$2,,,Arb!$AJ$5,),AP39)+INDEX(OFFSET(Arb!$V$2,,,Arb!$AJ$5,),AP39))/AQ39)</f>
        <v/>
      </c>
      <c r="AU39" s="51" t="str">
        <f t="shared" ca="1" si="11"/>
        <v/>
      </c>
      <c r="AV39" s="91" t="str">
        <f ca="1">IF(AP39="","",DATE(INDEX(OFFSET(Arb!$C$2,,,Arb!$AJ$5,),AP39),INDEX(OFFSET(Arb!$B$2,,,Arb!$AJ$5,),AP39),INDEX(OFFSET(Arb!$A$2,,,Arb!$AJ$5,),AP39))+ROW()*0.001)</f>
        <v/>
      </c>
      <c r="AW39" s="442">
        <v>39</v>
      </c>
      <c r="AY39" s="52" t="str">
        <f ca="1">IF(AX39="","",INDEX(OFFSET(Arb!$H$2,,,Arb!$AJ$5,),AX39))</f>
        <v/>
      </c>
      <c r="AZ39" s="3" t="str">
        <f t="shared" ca="1" si="12"/>
        <v/>
      </c>
      <c r="BA39" s="165" t="str">
        <f ca="1">IF(AX39="","",INDEX(OFFSET(Arb!$X$2,,,Arb!$AJ$5,),AX39)/AY39)</f>
        <v/>
      </c>
      <c r="BB39" s="165" t="str">
        <f ca="1">IF(AX39="","",(INDEX(OFFSET(Arb!$U$2,,,Arb!$AJ$5,),AX39)+INDEX(OFFSET(Arb!$V$2,,,Arb!$AJ$5,),AX39))/AY39)</f>
        <v/>
      </c>
      <c r="BC39" s="51" t="str">
        <f t="shared" ca="1" si="13"/>
        <v/>
      </c>
      <c r="BD39" s="88" t="str">
        <f ca="1">IF(AX39="","",DATE(INDEX(OFFSET(Arb!$C$2,,,Arb!$AJ$5,),AX39),INDEX(OFFSET(Arb!$B$2,,,Arb!$AJ$5,),AX39),INDEX(OFFSET(Arb!$A$2,,,Arb!$AJ$5,),AX39))+ROW()*0.001)</f>
        <v/>
      </c>
      <c r="BE39" s="436">
        <v>39</v>
      </c>
      <c r="BG39" s="52" t="str">
        <f ca="1">IF(BF39="","",INDEX(OFFSET(Arb!$H$2,,,Arb!$AJ$5,),BF39))</f>
        <v/>
      </c>
      <c r="BH39" s="3" t="str">
        <f t="shared" ca="1" si="14"/>
        <v/>
      </c>
      <c r="BI39" s="165" t="str">
        <f ca="1">IF(BF39="","",INDEX(OFFSET(Arb!$X$2,,,Arb!$AJ$5,),BF39)/BG39)</f>
        <v/>
      </c>
      <c r="BJ39" s="165" t="str">
        <f ca="1">IF(BF39="","",(INDEX(OFFSET(Arb!$U$2,,,Arb!$AJ$5,),BF39)+INDEX(OFFSET(Arb!$V$2,,,Arb!$AJ$5,),BF39))/BG39)</f>
        <v/>
      </c>
      <c r="BK39" s="51" t="str">
        <f t="shared" ca="1" si="15"/>
        <v/>
      </c>
      <c r="BL39" s="91" t="str">
        <f ca="1">IF(BF39="","",DATE(INDEX(OFFSET(Arb!$C$2,,,Arb!$AJ$5,),BF39),INDEX(OFFSET(Arb!$B$2,,,Arb!$AJ$5,),BF39),INDEX(OFFSET(Arb!$A$2,,,Arb!$AJ$5,),BF39))+ROW()*0.001)</f>
        <v/>
      </c>
      <c r="BM39" s="442">
        <v>39</v>
      </c>
      <c r="BO39" s="52" t="str">
        <f ca="1">IF(BN39="","",INDEX(OFFSET(Arb!$H$2,,,Arb!$AJ$5,),BN39))</f>
        <v/>
      </c>
      <c r="BP39" s="3" t="str">
        <f t="shared" ca="1" si="16"/>
        <v/>
      </c>
      <c r="BQ39" s="165" t="str">
        <f ca="1">IF(BN39="","",INDEX(OFFSET(Arb!$X$2,,,Arb!$AJ$5,),BN39)/BO39)</f>
        <v/>
      </c>
      <c r="BR39" s="165" t="str">
        <f ca="1">IF(BN39="","",(INDEX(OFFSET(Arb!$U$2,,,Arb!$AJ$5,),BN39)+INDEX(OFFSET(Arb!$V$2,,,Arb!$AJ$5,),BN39))/BO39)</f>
        <v/>
      </c>
      <c r="BS39" s="51" t="str">
        <f t="shared" ca="1" si="17"/>
        <v/>
      </c>
      <c r="BT39" s="88" t="str">
        <f ca="1">IF(BN39="","",DATE(INDEX(OFFSET(Arb!$C$2,,,Arb!$AJ$5,),BN39),INDEX(OFFSET(Arb!$B$2,,,Arb!$AJ$5,),BN39),INDEX(OFFSET(Arb!$A$2,,,Arb!$AJ$5,),BN39))+ROW()*0.001)</f>
        <v/>
      </c>
      <c r="BU39" s="436">
        <v>39</v>
      </c>
      <c r="BW39" s="52" t="str">
        <f ca="1">IF(BV39="","",INDEX(OFFSET(Arb!$H$2,,,Arb!$AJ$5,),BV39))</f>
        <v/>
      </c>
      <c r="BX39" s="3" t="str">
        <f t="shared" ca="1" si="18"/>
        <v/>
      </c>
      <c r="BY39" s="165" t="str">
        <f ca="1">IF(BV39="","",INDEX(OFFSET(Arb!$X$2,,,Arb!$AJ$5,),BV39)/BW39)</f>
        <v/>
      </c>
      <c r="BZ39" s="165" t="str">
        <f ca="1">IF(BV39="","",(INDEX(OFFSET(Arb!$U$2,,,Arb!$AJ$5,),BV39)+INDEX(OFFSET(Arb!$V$2,,,Arb!$AJ$5,),BV39))/BW39)</f>
        <v/>
      </c>
      <c r="CA39" s="51" t="str">
        <f t="shared" ca="1" si="19"/>
        <v/>
      </c>
      <c r="CB39" s="91" t="str">
        <f ca="1">IF(BV39="","",DATE(INDEX(OFFSET(Arb!$C$2,,,Arb!$AJ$5,),BV39),INDEX(OFFSET(Arb!$B$2,,,Arb!$AJ$5,),BV39),INDEX(OFFSET(Arb!$A$2,,,Arb!$AJ$5,),BV39))+ROW()*0.001)</f>
        <v/>
      </c>
    </row>
    <row r="40" spans="1:80" x14ac:dyDescent="0.25">
      <c r="A40" s="433">
        <v>40</v>
      </c>
      <c r="B40" s="1">
        <v>727</v>
      </c>
      <c r="C40" s="52">
        <f ca="1">IF(B40="","",INDEX(OFFSET(Arb!$H$2,,,Arb!$AJ$5,),B40))</f>
        <v>9.73</v>
      </c>
      <c r="D40" s="3">
        <f t="shared" ca="1" si="0"/>
        <v>4.1109969167523124</v>
      </c>
      <c r="E40" s="165">
        <f ca="1">IF(B40="","",INDEX(OFFSET(Arb!$X$2,,,Arb!$AJ$5,),B40)/C40)</f>
        <v>4.0082219938335042</v>
      </c>
      <c r="F40" s="165">
        <f ca="1">IF(B40="","",(INDEX(OFFSET(Arb!$U$2,,,Arb!$AJ$5,),B40)+INDEX(OFFSET(Arb!$V$2,,,Arb!$AJ$5,),B40))/C40)</f>
        <v>4.7276464542651588</v>
      </c>
      <c r="G40" s="51">
        <f t="shared" ca="1" si="1"/>
        <v>39.54759899195507</v>
      </c>
      <c r="H40" s="355">
        <f ca="1">IF(B40="","",DATE(INDEX(OFFSET(Arb!$C$2,,,Arb!$AJ$5,),B40),INDEX(OFFSET(Arb!$B$2,,,Arb!$AJ$5,),B40),INDEX(OFFSET(Arb!$A$2,,,Arb!$AJ$5,),B40))+ROW()*0.001)</f>
        <v>43805.04</v>
      </c>
      <c r="I40" s="436">
        <v>40</v>
      </c>
      <c r="K40" s="52" t="str">
        <f ca="1">IF(J40="","",INDEX(OFFSET(Arb!$H$2,,,Arb!$AJ$5,),J40))</f>
        <v/>
      </c>
      <c r="L40" s="3" t="str">
        <f t="shared" ca="1" si="2"/>
        <v/>
      </c>
      <c r="M40" s="165" t="str">
        <f ca="1">IF(J40="","",INDEX(OFFSET(Arb!$X$2,,,Arb!$AJ$5,),J40)/K40)</f>
        <v/>
      </c>
      <c r="N40" s="165" t="str">
        <f ca="1">IF(J40="","",(INDEX(OFFSET(Arb!$U$2,,,Arb!$AJ$5,),J40)+INDEX(OFFSET(Arb!$V$2,,,Arb!$AJ$5,),J40))/K40)</f>
        <v/>
      </c>
      <c r="O40" s="51" t="str">
        <f t="shared" ca="1" si="3"/>
        <v/>
      </c>
      <c r="P40" s="91" t="str">
        <f ca="1">IF(J40="","",DATE(INDEX(OFFSET(Arb!$C$2,,,Arb!$AJ$5,),J40),INDEX(OFFSET(Arb!$B$2,,,Arb!$AJ$5,),J40),INDEX(OFFSET(Arb!$A$2,,,Arb!$AJ$5,),J40))+ROW()*0.001)</f>
        <v/>
      </c>
      <c r="Q40" s="442">
        <v>40</v>
      </c>
      <c r="S40" s="52" t="str">
        <f ca="1">IF(R40="","",INDEX(OFFSET(Arb!$H$2,,,Arb!$AJ$5,),R40))</f>
        <v/>
      </c>
      <c r="T40" s="3" t="str">
        <f t="shared" ca="1" si="4"/>
        <v/>
      </c>
      <c r="U40" s="165" t="str">
        <f ca="1">IF(R40="","",INDEX(OFFSET(Arb!$X$2,,,Arb!$AJ$5,),R40)/S40)</f>
        <v/>
      </c>
      <c r="V40" s="165" t="str">
        <f ca="1">IF(R40="","",(INDEX(OFFSET(Arb!$U$2,,,Arb!$AJ$5,),R40)+INDEX(OFFSET(Arb!$V$2,,,Arb!$AJ$5,),R40))/S40)</f>
        <v/>
      </c>
      <c r="W40" s="51" t="str">
        <f t="shared" ca="1" si="5"/>
        <v/>
      </c>
      <c r="X40" s="88" t="str">
        <f ca="1">IF(R40="","",DATE(INDEX(OFFSET(Arb!$C$2,,,Arb!$AJ$5,),R40),INDEX(OFFSET(Arb!$B$2,,,Arb!$AJ$5,),R40),INDEX(OFFSET(Arb!$A$2,,,Arb!$AJ$5,),R40))+ROW()*0.001)</f>
        <v/>
      </c>
      <c r="Y40" s="436">
        <v>40</v>
      </c>
      <c r="AA40" s="52" t="str">
        <f ca="1">IF(Z40="","",INDEX(OFFSET(Arb!$H$2,,,Arb!$AJ$5,),Z40))</f>
        <v/>
      </c>
      <c r="AB40" s="3" t="str">
        <f t="shared" ca="1" si="6"/>
        <v/>
      </c>
      <c r="AC40" s="165" t="str">
        <f ca="1">IF(Z40="","",INDEX(OFFSET(Arb!$X$2,,,Arb!$AJ$5,),Z40)/AA40)</f>
        <v/>
      </c>
      <c r="AD40" s="165" t="str">
        <f ca="1">IF(Z40="","",(INDEX(OFFSET(Arb!$U$2,,,Arb!$AJ$5,),Z40)+INDEX(OFFSET(Arb!$V$2,,,Arb!$AJ$5,),Z40))/AA40)</f>
        <v/>
      </c>
      <c r="AE40" s="51" t="str">
        <f t="shared" ca="1" si="7"/>
        <v/>
      </c>
      <c r="AF40" s="91" t="str">
        <f ca="1">IF(Z40="","",DATE(INDEX(OFFSET(Arb!$C$2,,,Arb!$AJ$5,),Z40),INDEX(OFFSET(Arb!$B$2,,,Arb!$AJ$5,),Z40),INDEX(OFFSET(Arb!$A$2,,,Arb!$AJ$5,),Z40))+ROW()*0.001)</f>
        <v/>
      </c>
      <c r="AG40" s="442">
        <v>40</v>
      </c>
      <c r="AI40" s="52" t="str">
        <f ca="1">IF(AH40="","",INDEX(OFFSET(Arb!$H$2,,,Arb!$AJ$5,),AH40))</f>
        <v/>
      </c>
      <c r="AJ40" s="3" t="str">
        <f t="shared" ca="1" si="8"/>
        <v/>
      </c>
      <c r="AK40" s="165" t="str">
        <f ca="1">IF(AH40="","",INDEX(OFFSET(Arb!$X$2,,,Arb!$AJ$5,),AH40)/AI40)</f>
        <v/>
      </c>
      <c r="AL40" s="165" t="str">
        <f ca="1">IF(AH40="","",(INDEX(OFFSET(Arb!$U$2,,,Arb!$AJ$5,),AH40)+INDEX(OFFSET(Arb!$V$2,,,Arb!$AJ$5,),AH40))/AI40)</f>
        <v/>
      </c>
      <c r="AM40" s="51" t="str">
        <f t="shared" ca="1" si="9"/>
        <v/>
      </c>
      <c r="AN40" s="88" t="str">
        <f ca="1">IF(AH40="","",DATE(INDEX(OFFSET(Arb!$C$2,,,Arb!$AJ$5,),AH40),INDEX(OFFSET(Arb!$B$2,,,Arb!$AJ$5,),AH40),INDEX(OFFSET(Arb!$A$2,,,Arb!$AJ$5,),AH40))+ROW()*0.001)</f>
        <v/>
      </c>
      <c r="AO40" s="436">
        <v>40</v>
      </c>
      <c r="AQ40" s="52" t="str">
        <f ca="1">IF(AP40="","",INDEX(OFFSET(Arb!$H$2,,,Arb!$AJ$5,),AP40))</f>
        <v/>
      </c>
      <c r="AR40" s="3" t="str">
        <f t="shared" ca="1" si="10"/>
        <v/>
      </c>
      <c r="AS40" s="165" t="str">
        <f ca="1">IF(AP40="","",INDEX(OFFSET(Arb!$X$2,,,Arb!$AJ$5,),AP40)/AQ40)</f>
        <v/>
      </c>
      <c r="AT40" s="165" t="str">
        <f ca="1">IF(AP40="","",(INDEX(OFFSET(Arb!$U$2,,,Arb!$AJ$5,),AP40)+INDEX(OFFSET(Arb!$V$2,,,Arb!$AJ$5,),AP40))/AQ40)</f>
        <v/>
      </c>
      <c r="AU40" s="51" t="str">
        <f t="shared" ca="1" si="11"/>
        <v/>
      </c>
      <c r="AV40" s="91" t="str">
        <f ca="1">IF(AP40="","",DATE(INDEX(OFFSET(Arb!$C$2,,,Arb!$AJ$5,),AP40),INDEX(OFFSET(Arb!$B$2,,,Arb!$AJ$5,),AP40),INDEX(OFFSET(Arb!$A$2,,,Arb!$AJ$5,),AP40))+ROW()*0.001)</f>
        <v/>
      </c>
      <c r="AW40" s="442">
        <v>40</v>
      </c>
      <c r="AY40" s="52" t="str">
        <f ca="1">IF(AX40="","",INDEX(OFFSET(Arb!$H$2,,,Arb!$AJ$5,),AX40))</f>
        <v/>
      </c>
      <c r="AZ40" s="3" t="str">
        <f t="shared" ca="1" si="12"/>
        <v/>
      </c>
      <c r="BA40" s="165" t="str">
        <f ca="1">IF(AX40="","",INDEX(OFFSET(Arb!$X$2,,,Arb!$AJ$5,),AX40)/AY40)</f>
        <v/>
      </c>
      <c r="BB40" s="165" t="str">
        <f ca="1">IF(AX40="","",(INDEX(OFFSET(Arb!$U$2,,,Arb!$AJ$5,),AX40)+INDEX(OFFSET(Arb!$V$2,,,Arb!$AJ$5,),AX40))/AY40)</f>
        <v/>
      </c>
      <c r="BC40" s="51" t="str">
        <f t="shared" ca="1" si="13"/>
        <v/>
      </c>
      <c r="BD40" s="88" t="str">
        <f ca="1">IF(AX40="","",DATE(INDEX(OFFSET(Arb!$C$2,,,Arb!$AJ$5,),AX40),INDEX(OFFSET(Arb!$B$2,,,Arb!$AJ$5,),AX40),INDEX(OFFSET(Arb!$A$2,,,Arb!$AJ$5,),AX40))+ROW()*0.001)</f>
        <v/>
      </c>
      <c r="BE40" s="436">
        <v>40</v>
      </c>
      <c r="BG40" s="52" t="str">
        <f ca="1">IF(BF40="","",INDEX(OFFSET(Arb!$H$2,,,Arb!$AJ$5,),BF40))</f>
        <v/>
      </c>
      <c r="BH40" s="3" t="str">
        <f t="shared" ca="1" si="14"/>
        <v/>
      </c>
      <c r="BI40" s="165" t="str">
        <f ca="1">IF(BF40="","",INDEX(OFFSET(Arb!$X$2,,,Arb!$AJ$5,),BF40)/BG40)</f>
        <v/>
      </c>
      <c r="BJ40" s="165" t="str">
        <f ca="1">IF(BF40="","",(INDEX(OFFSET(Arb!$U$2,,,Arb!$AJ$5,),BF40)+INDEX(OFFSET(Arb!$V$2,,,Arb!$AJ$5,),BF40))/BG40)</f>
        <v/>
      </c>
      <c r="BK40" s="51" t="str">
        <f t="shared" ca="1" si="15"/>
        <v/>
      </c>
      <c r="BL40" s="91" t="str">
        <f ca="1">IF(BF40="","",DATE(INDEX(OFFSET(Arb!$C$2,,,Arb!$AJ$5,),BF40),INDEX(OFFSET(Arb!$B$2,,,Arb!$AJ$5,),BF40),INDEX(OFFSET(Arb!$A$2,,,Arb!$AJ$5,),BF40))+ROW()*0.001)</f>
        <v/>
      </c>
      <c r="BM40" s="442">
        <v>40</v>
      </c>
      <c r="BO40" s="52" t="str">
        <f ca="1">IF(BN40="","",INDEX(OFFSET(Arb!$H$2,,,Arb!$AJ$5,),BN40))</f>
        <v/>
      </c>
      <c r="BP40" s="3" t="str">
        <f t="shared" ca="1" si="16"/>
        <v/>
      </c>
      <c r="BQ40" s="165" t="str">
        <f ca="1">IF(BN40="","",INDEX(OFFSET(Arb!$X$2,,,Arb!$AJ$5,),BN40)/BO40)</f>
        <v/>
      </c>
      <c r="BR40" s="165" t="str">
        <f ca="1">IF(BN40="","",(INDEX(OFFSET(Arb!$U$2,,,Arb!$AJ$5,),BN40)+INDEX(OFFSET(Arb!$V$2,,,Arb!$AJ$5,),BN40))/BO40)</f>
        <v/>
      </c>
      <c r="BS40" s="51" t="str">
        <f t="shared" ca="1" si="17"/>
        <v/>
      </c>
      <c r="BT40" s="88" t="str">
        <f ca="1">IF(BN40="","",DATE(INDEX(OFFSET(Arb!$C$2,,,Arb!$AJ$5,),BN40),INDEX(OFFSET(Arb!$B$2,,,Arb!$AJ$5,),BN40),INDEX(OFFSET(Arb!$A$2,,,Arb!$AJ$5,),BN40))+ROW()*0.001)</f>
        <v/>
      </c>
      <c r="BU40" s="436">
        <v>40</v>
      </c>
      <c r="BW40" s="52" t="str">
        <f ca="1">IF(BV40="","",INDEX(OFFSET(Arb!$H$2,,,Arb!$AJ$5,),BV40))</f>
        <v/>
      </c>
      <c r="BX40" s="3" t="str">
        <f t="shared" ca="1" si="18"/>
        <v/>
      </c>
      <c r="BY40" s="165" t="str">
        <f ca="1">IF(BV40="","",INDEX(OFFSET(Arb!$X$2,,,Arb!$AJ$5,),BV40)/BW40)</f>
        <v/>
      </c>
      <c r="BZ40" s="165" t="str">
        <f ca="1">IF(BV40="","",(INDEX(OFFSET(Arb!$U$2,,,Arb!$AJ$5,),BV40)+INDEX(OFFSET(Arb!$V$2,,,Arb!$AJ$5,),BV40))/BW40)</f>
        <v/>
      </c>
      <c r="CA40" s="51" t="str">
        <f t="shared" ca="1" si="19"/>
        <v/>
      </c>
      <c r="CB40" s="91" t="str">
        <f ca="1">IF(BV40="","",DATE(INDEX(OFFSET(Arb!$C$2,,,Arb!$AJ$5,),BV40),INDEX(OFFSET(Arb!$B$2,,,Arb!$AJ$5,),BV40),INDEX(OFFSET(Arb!$A$2,,,Arb!$AJ$5,),BV40))+ROW()*0.001)</f>
        <v/>
      </c>
    </row>
    <row r="41" spans="1:80" x14ac:dyDescent="0.25">
      <c r="A41" s="433">
        <v>41</v>
      </c>
      <c r="C41" s="52" t="str">
        <f ca="1">IF(B41="","",INDEX(OFFSET(Arb!$H$2,,,Arb!$AJ$5,),B41))</f>
        <v/>
      </c>
      <c r="D41" s="3" t="str">
        <f t="shared" ca="1" si="0"/>
        <v/>
      </c>
      <c r="E41" s="165" t="str">
        <f ca="1">IF(B41="","",INDEX(OFFSET(Arb!$X$2,,,Arb!$AJ$5,),B41)/C41)</f>
        <v/>
      </c>
      <c r="F41" s="165" t="str">
        <f ca="1">IF(B41="","",(INDEX(OFFSET(Arb!$U$2,,,Arb!$AJ$5,),B41)+INDEX(OFFSET(Arb!$V$2,,,Arb!$AJ$5,),B41))/C41)</f>
        <v/>
      </c>
      <c r="G41" s="51" t="str">
        <f t="shared" ca="1" si="1"/>
        <v/>
      </c>
      <c r="H41" s="355" t="str">
        <f ca="1">IF(B41="","",DATE(INDEX(OFFSET(Arb!$C$2,,,Arb!$AJ$5,),B41),INDEX(OFFSET(Arb!$B$2,,,Arb!$AJ$5,),B41),INDEX(OFFSET(Arb!$A$2,,,Arb!$AJ$5,),B41))+ROW()*0.001)</f>
        <v/>
      </c>
      <c r="I41" s="436">
        <v>41</v>
      </c>
      <c r="K41" s="52" t="str">
        <f ca="1">IF(J41="","",INDEX(OFFSET(Arb!$H$2,,,Arb!$AJ$5,),J41))</f>
        <v/>
      </c>
      <c r="L41" s="3" t="str">
        <f t="shared" ca="1" si="2"/>
        <v/>
      </c>
      <c r="M41" s="165" t="str">
        <f ca="1">IF(J41="","",INDEX(OFFSET(Arb!$X$2,,,Arb!$AJ$5,),J41)/K41)</f>
        <v/>
      </c>
      <c r="N41" s="165" t="str">
        <f ca="1">IF(J41="","",(INDEX(OFFSET(Arb!$U$2,,,Arb!$AJ$5,),J41)+INDEX(OFFSET(Arb!$V$2,,,Arb!$AJ$5,),J41))/K41)</f>
        <v/>
      </c>
      <c r="O41" s="51" t="str">
        <f t="shared" ca="1" si="3"/>
        <v/>
      </c>
      <c r="P41" s="91" t="str">
        <f ca="1">IF(J41="","",DATE(INDEX(OFFSET(Arb!$C$2,,,Arb!$AJ$5,),J41),INDEX(OFFSET(Arb!$B$2,,,Arb!$AJ$5,),J41),INDEX(OFFSET(Arb!$A$2,,,Arb!$AJ$5,),J41))+ROW()*0.001)</f>
        <v/>
      </c>
      <c r="Q41" s="442">
        <v>41</v>
      </c>
      <c r="S41" s="52" t="str">
        <f ca="1">IF(R41="","",INDEX(OFFSET(Arb!$H$2,,,Arb!$AJ$5,),R41))</f>
        <v/>
      </c>
      <c r="T41" s="3" t="str">
        <f t="shared" ca="1" si="4"/>
        <v/>
      </c>
      <c r="U41" s="165" t="str">
        <f ca="1">IF(R41="","",INDEX(OFFSET(Arb!$X$2,,,Arb!$AJ$5,),R41)/S41)</f>
        <v/>
      </c>
      <c r="V41" s="165" t="str">
        <f ca="1">IF(R41="","",(INDEX(OFFSET(Arb!$U$2,,,Arb!$AJ$5,),R41)+INDEX(OFFSET(Arb!$V$2,,,Arb!$AJ$5,),R41))/S41)</f>
        <v/>
      </c>
      <c r="W41" s="51" t="str">
        <f t="shared" ca="1" si="5"/>
        <v/>
      </c>
      <c r="X41" s="88" t="str">
        <f ca="1">IF(R41="","",DATE(INDEX(OFFSET(Arb!$C$2,,,Arb!$AJ$5,),R41),INDEX(OFFSET(Arb!$B$2,,,Arb!$AJ$5,),R41),INDEX(OFFSET(Arb!$A$2,,,Arb!$AJ$5,),R41))+ROW()*0.001)</f>
        <v/>
      </c>
      <c r="Y41" s="436">
        <v>41</v>
      </c>
      <c r="AA41" s="52" t="str">
        <f ca="1">IF(Z41="","",INDEX(OFFSET(Arb!$H$2,,,Arb!$AJ$5,),Z41))</f>
        <v/>
      </c>
      <c r="AB41" s="3" t="str">
        <f t="shared" ca="1" si="6"/>
        <v/>
      </c>
      <c r="AC41" s="165" t="str">
        <f ca="1">IF(Z41="","",INDEX(OFFSET(Arb!$X$2,,,Arb!$AJ$5,),Z41)/AA41)</f>
        <v/>
      </c>
      <c r="AD41" s="165" t="str">
        <f ca="1">IF(Z41="","",(INDEX(OFFSET(Arb!$U$2,,,Arb!$AJ$5,),Z41)+INDEX(OFFSET(Arb!$V$2,,,Arb!$AJ$5,),Z41))/AA41)</f>
        <v/>
      </c>
      <c r="AE41" s="51" t="str">
        <f t="shared" ca="1" si="7"/>
        <v/>
      </c>
      <c r="AF41" s="91" t="str">
        <f ca="1">IF(Z41="","",DATE(INDEX(OFFSET(Arb!$C$2,,,Arb!$AJ$5,),Z41),INDEX(OFFSET(Arb!$B$2,,,Arb!$AJ$5,),Z41),INDEX(OFFSET(Arb!$A$2,,,Arb!$AJ$5,),Z41))+ROW()*0.001)</f>
        <v/>
      </c>
      <c r="AG41" s="442">
        <v>41</v>
      </c>
      <c r="AI41" s="52" t="str">
        <f ca="1">IF(AH41="","",INDEX(OFFSET(Arb!$H$2,,,Arb!$AJ$5,),AH41))</f>
        <v/>
      </c>
      <c r="AJ41" s="3" t="str">
        <f t="shared" ca="1" si="8"/>
        <v/>
      </c>
      <c r="AK41" s="165" t="str">
        <f ca="1">IF(AH41="","",INDEX(OFFSET(Arb!$X$2,,,Arb!$AJ$5,),AH41)/AI41)</f>
        <v/>
      </c>
      <c r="AL41" s="165" t="str">
        <f ca="1">IF(AH41="","",(INDEX(OFFSET(Arb!$U$2,,,Arb!$AJ$5,),AH41)+INDEX(OFFSET(Arb!$V$2,,,Arb!$AJ$5,),AH41))/AI41)</f>
        <v/>
      </c>
      <c r="AM41" s="51" t="str">
        <f t="shared" ca="1" si="9"/>
        <v/>
      </c>
      <c r="AN41" s="88" t="str">
        <f ca="1">IF(AH41="","",DATE(INDEX(OFFSET(Arb!$C$2,,,Arb!$AJ$5,),AH41),INDEX(OFFSET(Arb!$B$2,,,Arb!$AJ$5,),AH41),INDEX(OFFSET(Arb!$A$2,,,Arb!$AJ$5,),AH41))+ROW()*0.001)</f>
        <v/>
      </c>
      <c r="AO41" s="436">
        <v>41</v>
      </c>
      <c r="AQ41" s="52" t="str">
        <f ca="1">IF(AP41="","",INDEX(OFFSET(Arb!$H$2,,,Arb!$AJ$5,),AP41))</f>
        <v/>
      </c>
      <c r="AR41" s="3" t="str">
        <f t="shared" ca="1" si="10"/>
        <v/>
      </c>
      <c r="AS41" s="165" t="str">
        <f ca="1">IF(AP41="","",INDEX(OFFSET(Arb!$X$2,,,Arb!$AJ$5,),AP41)/AQ41)</f>
        <v/>
      </c>
      <c r="AT41" s="165" t="str">
        <f ca="1">IF(AP41="","",(INDEX(OFFSET(Arb!$U$2,,,Arb!$AJ$5,),AP41)+INDEX(OFFSET(Arb!$V$2,,,Arb!$AJ$5,),AP41))/AQ41)</f>
        <v/>
      </c>
      <c r="AU41" s="51" t="str">
        <f t="shared" ca="1" si="11"/>
        <v/>
      </c>
      <c r="AV41" s="91" t="str">
        <f ca="1">IF(AP41="","",DATE(INDEX(OFFSET(Arb!$C$2,,,Arb!$AJ$5,),AP41),INDEX(OFFSET(Arb!$B$2,,,Arb!$AJ$5,),AP41),INDEX(OFFSET(Arb!$A$2,,,Arb!$AJ$5,),AP41))+ROW()*0.001)</f>
        <v/>
      </c>
      <c r="AW41" s="442">
        <v>41</v>
      </c>
      <c r="AY41" s="52" t="str">
        <f ca="1">IF(AX41="","",INDEX(OFFSET(Arb!$H$2,,,Arb!$AJ$5,),AX41))</f>
        <v/>
      </c>
      <c r="AZ41" s="3" t="str">
        <f t="shared" ca="1" si="12"/>
        <v/>
      </c>
      <c r="BA41" s="165" t="str">
        <f ca="1">IF(AX41="","",INDEX(OFFSET(Arb!$X$2,,,Arb!$AJ$5,),AX41)/AY41)</f>
        <v/>
      </c>
      <c r="BB41" s="165" t="str">
        <f ca="1">IF(AX41="","",(INDEX(OFFSET(Arb!$U$2,,,Arb!$AJ$5,),AX41)+INDEX(OFFSET(Arb!$V$2,,,Arb!$AJ$5,),AX41))/AY41)</f>
        <v/>
      </c>
      <c r="BC41" s="51" t="str">
        <f t="shared" ca="1" si="13"/>
        <v/>
      </c>
      <c r="BD41" s="88" t="str">
        <f ca="1">IF(AX41="","",DATE(INDEX(OFFSET(Arb!$C$2,,,Arb!$AJ$5,),AX41),INDEX(OFFSET(Arb!$B$2,,,Arb!$AJ$5,),AX41),INDEX(OFFSET(Arb!$A$2,,,Arb!$AJ$5,),AX41))+ROW()*0.001)</f>
        <v/>
      </c>
      <c r="BE41" s="436">
        <v>41</v>
      </c>
      <c r="BG41" s="52" t="str">
        <f ca="1">IF(BF41="","",INDEX(OFFSET(Arb!$H$2,,,Arb!$AJ$5,),BF41))</f>
        <v/>
      </c>
      <c r="BH41" s="3" t="str">
        <f t="shared" ca="1" si="14"/>
        <v/>
      </c>
      <c r="BI41" s="165" t="str">
        <f ca="1">IF(BF41="","",INDEX(OFFSET(Arb!$X$2,,,Arb!$AJ$5,),BF41)/BG41)</f>
        <v/>
      </c>
      <c r="BJ41" s="165" t="str">
        <f ca="1">IF(BF41="","",(INDEX(OFFSET(Arb!$U$2,,,Arb!$AJ$5,),BF41)+INDEX(OFFSET(Arb!$V$2,,,Arb!$AJ$5,),BF41))/BG41)</f>
        <v/>
      </c>
      <c r="BK41" s="51" t="str">
        <f t="shared" ca="1" si="15"/>
        <v/>
      </c>
      <c r="BL41" s="91" t="str">
        <f ca="1">IF(BF41="","",DATE(INDEX(OFFSET(Arb!$C$2,,,Arb!$AJ$5,),BF41),INDEX(OFFSET(Arb!$B$2,,,Arb!$AJ$5,),BF41),INDEX(OFFSET(Arb!$A$2,,,Arb!$AJ$5,),BF41))+ROW()*0.001)</f>
        <v/>
      </c>
      <c r="BM41" s="442">
        <v>41</v>
      </c>
      <c r="BO41" s="52" t="str">
        <f ca="1">IF(BN41="","",INDEX(OFFSET(Arb!$H$2,,,Arb!$AJ$5,),BN41))</f>
        <v/>
      </c>
      <c r="BP41" s="3" t="str">
        <f t="shared" ca="1" si="16"/>
        <v/>
      </c>
      <c r="BQ41" s="165" t="str">
        <f ca="1">IF(BN41="","",INDEX(OFFSET(Arb!$X$2,,,Arb!$AJ$5,),BN41)/BO41)</f>
        <v/>
      </c>
      <c r="BR41" s="165" t="str">
        <f ca="1">IF(BN41="","",(INDEX(OFFSET(Arb!$U$2,,,Arb!$AJ$5,),BN41)+INDEX(OFFSET(Arb!$V$2,,,Arb!$AJ$5,),BN41))/BO41)</f>
        <v/>
      </c>
      <c r="BS41" s="51" t="str">
        <f t="shared" ca="1" si="17"/>
        <v/>
      </c>
      <c r="BT41" s="88" t="str">
        <f ca="1">IF(BN41="","",DATE(INDEX(OFFSET(Arb!$C$2,,,Arb!$AJ$5,),BN41),INDEX(OFFSET(Arb!$B$2,,,Arb!$AJ$5,),BN41),INDEX(OFFSET(Arb!$A$2,,,Arb!$AJ$5,),BN41))+ROW()*0.001)</f>
        <v/>
      </c>
      <c r="BU41" s="436">
        <v>41</v>
      </c>
      <c r="BW41" s="52" t="str">
        <f ca="1">IF(BV41="","",INDEX(OFFSET(Arb!$H$2,,,Arb!$AJ$5,),BV41))</f>
        <v/>
      </c>
      <c r="BX41" s="3" t="str">
        <f t="shared" ca="1" si="18"/>
        <v/>
      </c>
      <c r="BY41" s="165" t="str">
        <f ca="1">IF(BV41="","",INDEX(OFFSET(Arb!$X$2,,,Arb!$AJ$5,),BV41)/BW41)</f>
        <v/>
      </c>
      <c r="BZ41" s="165" t="str">
        <f ca="1">IF(BV41="","",(INDEX(OFFSET(Arb!$U$2,,,Arb!$AJ$5,),BV41)+INDEX(OFFSET(Arb!$V$2,,,Arb!$AJ$5,),BV41))/BW41)</f>
        <v/>
      </c>
      <c r="CA41" s="51" t="str">
        <f t="shared" ca="1" si="19"/>
        <v/>
      </c>
      <c r="CB41" s="91" t="str">
        <f ca="1">IF(BV41="","",DATE(INDEX(OFFSET(Arb!$C$2,,,Arb!$AJ$5,),BV41),INDEX(OFFSET(Arb!$B$2,,,Arb!$AJ$5,),BV41),INDEX(OFFSET(Arb!$A$2,,,Arb!$AJ$5,),BV41))+ROW()*0.001)</f>
        <v/>
      </c>
    </row>
    <row r="42" spans="1:80" x14ac:dyDescent="0.25">
      <c r="A42" s="433">
        <v>42</v>
      </c>
      <c r="C42" s="52" t="str">
        <f ca="1">IF(B42="","",INDEX(OFFSET(Arb!$H$2,,,Arb!$AJ$5,),B42))</f>
        <v/>
      </c>
      <c r="D42" s="3" t="str">
        <f t="shared" ca="1" si="0"/>
        <v/>
      </c>
      <c r="E42" s="165" t="str">
        <f ca="1">IF(B42="","",INDEX(OFFSET(Arb!$X$2,,,Arb!$AJ$5,),B42)/C42)</f>
        <v/>
      </c>
      <c r="F42" s="165" t="str">
        <f ca="1">IF(B42="","",(INDEX(OFFSET(Arb!$U$2,,,Arb!$AJ$5,),B42)+INDEX(OFFSET(Arb!$V$2,,,Arb!$AJ$5,),B42))/C42)</f>
        <v/>
      </c>
      <c r="G42" s="51" t="str">
        <f t="shared" ca="1" si="1"/>
        <v/>
      </c>
      <c r="H42" s="355" t="str">
        <f ca="1">IF(B42="","",DATE(INDEX(OFFSET(Arb!$C$2,,,Arb!$AJ$5,),B42),INDEX(OFFSET(Arb!$B$2,,,Arb!$AJ$5,),B42),INDEX(OFFSET(Arb!$A$2,,,Arb!$AJ$5,),B42))+ROW()*0.001)</f>
        <v/>
      </c>
      <c r="I42" s="436">
        <v>42</v>
      </c>
      <c r="K42" s="52" t="str">
        <f ca="1">IF(J42="","",INDEX(OFFSET(Arb!$H$2,,,Arb!$AJ$5,),J42))</f>
        <v/>
      </c>
      <c r="L42" s="3" t="str">
        <f t="shared" ca="1" si="2"/>
        <v/>
      </c>
      <c r="M42" s="165" t="str">
        <f ca="1">IF(J42="","",INDEX(OFFSET(Arb!$X$2,,,Arb!$AJ$5,),J42)/K42)</f>
        <v/>
      </c>
      <c r="N42" s="165" t="str">
        <f ca="1">IF(J42="","",(INDEX(OFFSET(Arb!$U$2,,,Arb!$AJ$5,),J42)+INDEX(OFFSET(Arb!$V$2,,,Arb!$AJ$5,),J42))/K42)</f>
        <v/>
      </c>
      <c r="O42" s="51" t="str">
        <f t="shared" ca="1" si="3"/>
        <v/>
      </c>
      <c r="P42" s="91" t="str">
        <f ca="1">IF(J42="","",DATE(INDEX(OFFSET(Arb!$C$2,,,Arb!$AJ$5,),J42),INDEX(OFFSET(Arb!$B$2,,,Arb!$AJ$5,),J42),INDEX(OFFSET(Arb!$A$2,,,Arb!$AJ$5,),J42))+ROW()*0.001)</f>
        <v/>
      </c>
      <c r="Q42" s="442">
        <v>42</v>
      </c>
      <c r="S42" s="52" t="str">
        <f ca="1">IF(R42="","",INDEX(OFFSET(Arb!$H$2,,,Arb!$AJ$5,),R42))</f>
        <v/>
      </c>
      <c r="T42" s="3" t="str">
        <f t="shared" ca="1" si="4"/>
        <v/>
      </c>
      <c r="U42" s="165" t="str">
        <f ca="1">IF(R42="","",INDEX(OFFSET(Arb!$X$2,,,Arb!$AJ$5,),R42)/S42)</f>
        <v/>
      </c>
      <c r="V42" s="165" t="str">
        <f ca="1">IF(R42="","",(INDEX(OFFSET(Arb!$U$2,,,Arb!$AJ$5,),R42)+INDEX(OFFSET(Arb!$V$2,,,Arb!$AJ$5,),R42))/S42)</f>
        <v/>
      </c>
      <c r="W42" s="51" t="str">
        <f t="shared" ca="1" si="5"/>
        <v/>
      </c>
      <c r="X42" s="88" t="str">
        <f ca="1">IF(R42="","",DATE(INDEX(OFFSET(Arb!$C$2,,,Arb!$AJ$5,),R42),INDEX(OFFSET(Arb!$B$2,,,Arb!$AJ$5,),R42),INDEX(OFFSET(Arb!$A$2,,,Arb!$AJ$5,),R42))+ROW()*0.001)</f>
        <v/>
      </c>
      <c r="Y42" s="436">
        <v>42</v>
      </c>
      <c r="AA42" s="52" t="str">
        <f ca="1">IF(Z42="","",INDEX(OFFSET(Arb!$H$2,,,Arb!$AJ$5,),Z42))</f>
        <v/>
      </c>
      <c r="AB42" s="3" t="str">
        <f t="shared" ca="1" si="6"/>
        <v/>
      </c>
      <c r="AC42" s="165" t="str">
        <f ca="1">IF(Z42="","",INDEX(OFFSET(Arb!$X$2,,,Arb!$AJ$5,),Z42)/AA42)</f>
        <v/>
      </c>
      <c r="AD42" s="165" t="str">
        <f ca="1">IF(Z42="","",(INDEX(OFFSET(Arb!$U$2,,,Arb!$AJ$5,),Z42)+INDEX(OFFSET(Arb!$V$2,,,Arb!$AJ$5,),Z42))/AA42)</f>
        <v/>
      </c>
      <c r="AE42" s="51" t="str">
        <f t="shared" ca="1" si="7"/>
        <v/>
      </c>
      <c r="AF42" s="91" t="str">
        <f ca="1">IF(Z42="","",DATE(INDEX(OFFSET(Arb!$C$2,,,Arb!$AJ$5,),Z42),INDEX(OFFSET(Arb!$B$2,,,Arb!$AJ$5,),Z42),INDEX(OFFSET(Arb!$A$2,,,Arb!$AJ$5,),Z42))+ROW()*0.001)</f>
        <v/>
      </c>
      <c r="AG42" s="442">
        <v>42</v>
      </c>
      <c r="AI42" s="52" t="str">
        <f ca="1">IF(AH42="","",INDEX(OFFSET(Arb!$H$2,,,Arb!$AJ$5,),AH42))</f>
        <v/>
      </c>
      <c r="AJ42" s="3" t="str">
        <f t="shared" ca="1" si="8"/>
        <v/>
      </c>
      <c r="AK42" s="165" t="str">
        <f ca="1">IF(AH42="","",INDEX(OFFSET(Arb!$X$2,,,Arb!$AJ$5,),AH42)/AI42)</f>
        <v/>
      </c>
      <c r="AL42" s="165" t="str">
        <f ca="1">IF(AH42="","",(INDEX(OFFSET(Arb!$U$2,,,Arb!$AJ$5,),AH42)+INDEX(OFFSET(Arb!$V$2,,,Arb!$AJ$5,),AH42))/AI42)</f>
        <v/>
      </c>
      <c r="AM42" s="51" t="str">
        <f t="shared" ca="1" si="9"/>
        <v/>
      </c>
      <c r="AN42" s="88" t="str">
        <f ca="1">IF(AH42="","",DATE(INDEX(OFFSET(Arb!$C$2,,,Arb!$AJ$5,),AH42),INDEX(OFFSET(Arb!$B$2,,,Arb!$AJ$5,),AH42),INDEX(OFFSET(Arb!$A$2,,,Arb!$AJ$5,),AH42))+ROW()*0.001)</f>
        <v/>
      </c>
      <c r="AO42" s="436">
        <v>42</v>
      </c>
      <c r="AQ42" s="52" t="str">
        <f ca="1">IF(AP42="","",INDEX(OFFSET(Arb!$H$2,,,Arb!$AJ$5,),AP42))</f>
        <v/>
      </c>
      <c r="AR42" s="3" t="str">
        <f t="shared" ca="1" si="10"/>
        <v/>
      </c>
      <c r="AS42" s="165" t="str">
        <f ca="1">IF(AP42="","",INDEX(OFFSET(Arb!$X$2,,,Arb!$AJ$5,),AP42)/AQ42)</f>
        <v/>
      </c>
      <c r="AT42" s="165" t="str">
        <f ca="1">IF(AP42="","",(INDEX(OFFSET(Arb!$U$2,,,Arb!$AJ$5,),AP42)+INDEX(OFFSET(Arb!$V$2,,,Arb!$AJ$5,),AP42))/AQ42)</f>
        <v/>
      </c>
      <c r="AU42" s="51" t="str">
        <f t="shared" ca="1" si="11"/>
        <v/>
      </c>
      <c r="AV42" s="91" t="str">
        <f ca="1">IF(AP42="","",DATE(INDEX(OFFSET(Arb!$C$2,,,Arb!$AJ$5,),AP42),INDEX(OFFSET(Arb!$B$2,,,Arb!$AJ$5,),AP42),INDEX(OFFSET(Arb!$A$2,,,Arb!$AJ$5,),AP42))+ROW()*0.001)</f>
        <v/>
      </c>
      <c r="AW42" s="442">
        <v>42</v>
      </c>
      <c r="AY42" s="52" t="str">
        <f ca="1">IF(AX42="","",INDEX(OFFSET(Arb!$H$2,,,Arb!$AJ$5,),AX42))</f>
        <v/>
      </c>
      <c r="AZ42" s="3" t="str">
        <f t="shared" ca="1" si="12"/>
        <v/>
      </c>
      <c r="BA42" s="165" t="str">
        <f ca="1">IF(AX42="","",INDEX(OFFSET(Arb!$X$2,,,Arb!$AJ$5,),AX42)/AY42)</f>
        <v/>
      </c>
      <c r="BB42" s="165" t="str">
        <f ca="1">IF(AX42="","",(INDEX(OFFSET(Arb!$U$2,,,Arb!$AJ$5,),AX42)+INDEX(OFFSET(Arb!$V$2,,,Arb!$AJ$5,),AX42))/AY42)</f>
        <v/>
      </c>
      <c r="BC42" s="51" t="str">
        <f t="shared" ca="1" si="13"/>
        <v/>
      </c>
      <c r="BD42" s="88" t="str">
        <f ca="1">IF(AX42="","",DATE(INDEX(OFFSET(Arb!$C$2,,,Arb!$AJ$5,),AX42),INDEX(OFFSET(Arb!$B$2,,,Arb!$AJ$5,),AX42),INDEX(OFFSET(Arb!$A$2,,,Arb!$AJ$5,),AX42))+ROW()*0.001)</f>
        <v/>
      </c>
      <c r="BE42" s="436">
        <v>42</v>
      </c>
      <c r="BG42" s="52" t="str">
        <f ca="1">IF(BF42="","",INDEX(OFFSET(Arb!$H$2,,,Arb!$AJ$5,),BF42))</f>
        <v/>
      </c>
      <c r="BH42" s="3" t="str">
        <f t="shared" ca="1" si="14"/>
        <v/>
      </c>
      <c r="BI42" s="165" t="str">
        <f ca="1">IF(BF42="","",INDEX(OFFSET(Arb!$X$2,,,Arb!$AJ$5,),BF42)/BG42)</f>
        <v/>
      </c>
      <c r="BJ42" s="165" t="str">
        <f ca="1">IF(BF42="","",(INDEX(OFFSET(Arb!$U$2,,,Arb!$AJ$5,),BF42)+INDEX(OFFSET(Arb!$V$2,,,Arb!$AJ$5,),BF42))/BG42)</f>
        <v/>
      </c>
      <c r="BK42" s="51" t="str">
        <f t="shared" ca="1" si="15"/>
        <v/>
      </c>
      <c r="BL42" s="91" t="str">
        <f ca="1">IF(BF42="","",DATE(INDEX(OFFSET(Arb!$C$2,,,Arb!$AJ$5,),BF42),INDEX(OFFSET(Arb!$B$2,,,Arb!$AJ$5,),BF42),INDEX(OFFSET(Arb!$A$2,,,Arb!$AJ$5,),BF42))+ROW()*0.001)</f>
        <v/>
      </c>
      <c r="BM42" s="442">
        <v>42</v>
      </c>
      <c r="BO42" s="52" t="str">
        <f ca="1">IF(BN42="","",INDEX(OFFSET(Arb!$H$2,,,Arb!$AJ$5,),BN42))</f>
        <v/>
      </c>
      <c r="BP42" s="3" t="str">
        <f t="shared" ca="1" si="16"/>
        <v/>
      </c>
      <c r="BQ42" s="165" t="str">
        <f ca="1">IF(BN42="","",INDEX(OFFSET(Arb!$X$2,,,Arb!$AJ$5,),BN42)/BO42)</f>
        <v/>
      </c>
      <c r="BR42" s="165" t="str">
        <f ca="1">IF(BN42="","",(INDEX(OFFSET(Arb!$U$2,,,Arb!$AJ$5,),BN42)+INDEX(OFFSET(Arb!$V$2,,,Arb!$AJ$5,),BN42))/BO42)</f>
        <v/>
      </c>
      <c r="BS42" s="51" t="str">
        <f t="shared" ca="1" si="17"/>
        <v/>
      </c>
      <c r="BT42" s="88" t="str">
        <f ca="1">IF(BN42="","",DATE(INDEX(OFFSET(Arb!$C$2,,,Arb!$AJ$5,),BN42),INDEX(OFFSET(Arb!$B$2,,,Arb!$AJ$5,),BN42),INDEX(OFFSET(Arb!$A$2,,,Arb!$AJ$5,),BN42))+ROW()*0.001)</f>
        <v/>
      </c>
      <c r="BU42" s="436">
        <v>42</v>
      </c>
      <c r="BW42" s="52" t="str">
        <f ca="1">IF(BV42="","",INDEX(OFFSET(Arb!$H$2,,,Arb!$AJ$5,),BV42))</f>
        <v/>
      </c>
      <c r="BX42" s="3" t="str">
        <f t="shared" ca="1" si="18"/>
        <v/>
      </c>
      <c r="BY42" s="165" t="str">
        <f ca="1">IF(BV42="","",INDEX(OFFSET(Arb!$X$2,,,Arb!$AJ$5,),BV42)/BW42)</f>
        <v/>
      </c>
      <c r="BZ42" s="165" t="str">
        <f ca="1">IF(BV42="","",(INDEX(OFFSET(Arb!$U$2,,,Arb!$AJ$5,),BV42)+INDEX(OFFSET(Arb!$V$2,,,Arb!$AJ$5,),BV42))/BW42)</f>
        <v/>
      </c>
      <c r="CA42" s="51" t="str">
        <f t="shared" ca="1" si="19"/>
        <v/>
      </c>
      <c r="CB42" s="91" t="str">
        <f ca="1">IF(BV42="","",DATE(INDEX(OFFSET(Arb!$C$2,,,Arb!$AJ$5,),BV42),INDEX(OFFSET(Arb!$B$2,,,Arb!$AJ$5,),BV42),INDEX(OFFSET(Arb!$A$2,,,Arb!$AJ$5,),BV42))+ROW()*0.001)</f>
        <v/>
      </c>
    </row>
    <row r="43" spans="1:80" x14ac:dyDescent="0.25">
      <c r="A43" s="433">
        <v>43</v>
      </c>
      <c r="C43" s="52" t="str">
        <f ca="1">IF(B43="","",INDEX(OFFSET(Arb!$H$2,,,Arb!$AJ$5,),B43))</f>
        <v/>
      </c>
      <c r="D43" s="3" t="str">
        <f t="shared" ca="1" si="0"/>
        <v/>
      </c>
      <c r="E43" s="165" t="str">
        <f ca="1">IF(B43="","",INDEX(OFFSET(Arb!$X$2,,,Arb!$AJ$5,),B43)/C43)</f>
        <v/>
      </c>
      <c r="F43" s="165" t="str">
        <f ca="1">IF(B43="","",(INDEX(OFFSET(Arb!$U$2,,,Arb!$AJ$5,),B43)+INDEX(OFFSET(Arb!$V$2,,,Arb!$AJ$5,),B43))/C43)</f>
        <v/>
      </c>
      <c r="G43" s="51" t="str">
        <f t="shared" ca="1" si="1"/>
        <v/>
      </c>
      <c r="H43" s="355" t="str">
        <f ca="1">IF(B43="","",DATE(INDEX(OFFSET(Arb!$C$2,,,Arb!$AJ$5,),B43),INDEX(OFFSET(Arb!$B$2,,,Arb!$AJ$5,),B43),INDEX(OFFSET(Arb!$A$2,,,Arb!$AJ$5,),B43))+ROW()*0.001)</f>
        <v/>
      </c>
      <c r="I43" s="436">
        <v>43</v>
      </c>
      <c r="K43" s="52" t="str">
        <f ca="1">IF(J43="","",INDEX(OFFSET(Arb!$H$2,,,Arb!$AJ$5,),J43))</f>
        <v/>
      </c>
      <c r="L43" s="3" t="str">
        <f t="shared" ca="1" si="2"/>
        <v/>
      </c>
      <c r="M43" s="165" t="str">
        <f ca="1">IF(J43="","",INDEX(OFFSET(Arb!$X$2,,,Arb!$AJ$5,),J43)/K43)</f>
        <v/>
      </c>
      <c r="N43" s="165" t="str">
        <f ca="1">IF(J43="","",(INDEX(OFFSET(Arb!$U$2,,,Arb!$AJ$5,),J43)+INDEX(OFFSET(Arb!$V$2,,,Arb!$AJ$5,),J43))/K43)</f>
        <v/>
      </c>
      <c r="O43" s="51" t="str">
        <f t="shared" ca="1" si="3"/>
        <v/>
      </c>
      <c r="P43" s="91" t="str">
        <f ca="1">IF(J43="","",DATE(INDEX(OFFSET(Arb!$C$2,,,Arb!$AJ$5,),J43),INDEX(OFFSET(Arb!$B$2,,,Arb!$AJ$5,),J43),INDEX(OFFSET(Arb!$A$2,,,Arb!$AJ$5,),J43))+ROW()*0.001)</f>
        <v/>
      </c>
      <c r="Q43" s="442">
        <v>43</v>
      </c>
      <c r="S43" s="52" t="str">
        <f ca="1">IF(R43="","",INDEX(OFFSET(Arb!$H$2,,,Arb!$AJ$5,),R43))</f>
        <v/>
      </c>
      <c r="T43" s="3" t="str">
        <f t="shared" ca="1" si="4"/>
        <v/>
      </c>
      <c r="U43" s="165" t="str">
        <f ca="1">IF(R43="","",INDEX(OFFSET(Arb!$X$2,,,Arb!$AJ$5,),R43)/S43)</f>
        <v/>
      </c>
      <c r="V43" s="165" t="str">
        <f ca="1">IF(R43="","",(INDEX(OFFSET(Arb!$U$2,,,Arb!$AJ$5,),R43)+INDEX(OFFSET(Arb!$V$2,,,Arb!$AJ$5,),R43))/S43)</f>
        <v/>
      </c>
      <c r="W43" s="51" t="str">
        <f t="shared" ca="1" si="5"/>
        <v/>
      </c>
      <c r="X43" s="88" t="str">
        <f ca="1">IF(R43="","",DATE(INDEX(OFFSET(Arb!$C$2,,,Arb!$AJ$5,),R43),INDEX(OFFSET(Arb!$B$2,,,Arb!$AJ$5,),R43),INDEX(OFFSET(Arb!$A$2,,,Arb!$AJ$5,),R43))+ROW()*0.001)</f>
        <v/>
      </c>
      <c r="Y43" s="436">
        <v>43</v>
      </c>
      <c r="AA43" s="52" t="str">
        <f ca="1">IF(Z43="","",INDEX(OFFSET(Arb!$H$2,,,Arb!$AJ$5,),Z43))</f>
        <v/>
      </c>
      <c r="AB43" s="3" t="str">
        <f t="shared" ca="1" si="6"/>
        <v/>
      </c>
      <c r="AC43" s="165" t="str">
        <f ca="1">IF(Z43="","",INDEX(OFFSET(Arb!$X$2,,,Arb!$AJ$5,),Z43)/AA43)</f>
        <v/>
      </c>
      <c r="AD43" s="165" t="str">
        <f ca="1">IF(Z43="","",(INDEX(OFFSET(Arb!$U$2,,,Arb!$AJ$5,),Z43)+INDEX(OFFSET(Arb!$V$2,,,Arb!$AJ$5,),Z43))/AA43)</f>
        <v/>
      </c>
      <c r="AE43" s="51" t="str">
        <f t="shared" ca="1" si="7"/>
        <v/>
      </c>
      <c r="AF43" s="91" t="str">
        <f ca="1">IF(Z43="","",DATE(INDEX(OFFSET(Arb!$C$2,,,Arb!$AJ$5,),Z43),INDEX(OFFSET(Arb!$B$2,,,Arb!$AJ$5,),Z43),INDEX(OFFSET(Arb!$A$2,,,Arb!$AJ$5,),Z43))+ROW()*0.001)</f>
        <v/>
      </c>
      <c r="AG43" s="442">
        <v>43</v>
      </c>
      <c r="AI43" s="52" t="str">
        <f ca="1">IF(AH43="","",INDEX(OFFSET(Arb!$H$2,,,Arb!$AJ$5,),AH43))</f>
        <v/>
      </c>
      <c r="AJ43" s="3" t="str">
        <f t="shared" ca="1" si="8"/>
        <v/>
      </c>
      <c r="AK43" s="165" t="str">
        <f ca="1">IF(AH43="","",INDEX(OFFSET(Arb!$X$2,,,Arb!$AJ$5,),AH43)/AI43)</f>
        <v/>
      </c>
      <c r="AL43" s="165" t="str">
        <f ca="1">IF(AH43="","",(INDEX(OFFSET(Arb!$U$2,,,Arb!$AJ$5,),AH43)+INDEX(OFFSET(Arb!$V$2,,,Arb!$AJ$5,),AH43))/AI43)</f>
        <v/>
      </c>
      <c r="AM43" s="51" t="str">
        <f t="shared" ca="1" si="9"/>
        <v/>
      </c>
      <c r="AN43" s="88" t="str">
        <f ca="1">IF(AH43="","",DATE(INDEX(OFFSET(Arb!$C$2,,,Arb!$AJ$5,),AH43),INDEX(OFFSET(Arb!$B$2,,,Arb!$AJ$5,),AH43),INDEX(OFFSET(Arb!$A$2,,,Arb!$AJ$5,),AH43))+ROW()*0.001)</f>
        <v/>
      </c>
      <c r="AO43" s="436">
        <v>43</v>
      </c>
      <c r="AQ43" s="52" t="str">
        <f ca="1">IF(AP43="","",INDEX(OFFSET(Arb!$H$2,,,Arb!$AJ$5,),AP43))</f>
        <v/>
      </c>
      <c r="AR43" s="3" t="str">
        <f t="shared" ca="1" si="10"/>
        <v/>
      </c>
      <c r="AS43" s="165" t="str">
        <f ca="1">IF(AP43="","",INDEX(OFFSET(Arb!$X$2,,,Arb!$AJ$5,),AP43)/AQ43)</f>
        <v/>
      </c>
      <c r="AT43" s="165" t="str">
        <f ca="1">IF(AP43="","",(INDEX(OFFSET(Arb!$U$2,,,Arb!$AJ$5,),AP43)+INDEX(OFFSET(Arb!$V$2,,,Arb!$AJ$5,),AP43))/AQ43)</f>
        <v/>
      </c>
      <c r="AU43" s="51" t="str">
        <f t="shared" ca="1" si="11"/>
        <v/>
      </c>
      <c r="AV43" s="91" t="str">
        <f ca="1">IF(AP43="","",DATE(INDEX(OFFSET(Arb!$C$2,,,Arb!$AJ$5,),AP43),INDEX(OFFSET(Arb!$B$2,,,Arb!$AJ$5,),AP43),INDEX(OFFSET(Arb!$A$2,,,Arb!$AJ$5,),AP43))+ROW()*0.001)</f>
        <v/>
      </c>
      <c r="AW43" s="442">
        <v>43</v>
      </c>
      <c r="AY43" s="52" t="str">
        <f ca="1">IF(AX43="","",INDEX(OFFSET(Arb!$H$2,,,Arb!$AJ$5,),AX43))</f>
        <v/>
      </c>
      <c r="AZ43" s="3" t="str">
        <f t="shared" ca="1" si="12"/>
        <v/>
      </c>
      <c r="BA43" s="165" t="str">
        <f ca="1">IF(AX43="","",INDEX(OFFSET(Arb!$X$2,,,Arb!$AJ$5,),AX43)/AY43)</f>
        <v/>
      </c>
      <c r="BB43" s="165" t="str">
        <f ca="1">IF(AX43="","",(INDEX(OFFSET(Arb!$U$2,,,Arb!$AJ$5,),AX43)+INDEX(OFFSET(Arb!$V$2,,,Arb!$AJ$5,),AX43))/AY43)</f>
        <v/>
      </c>
      <c r="BC43" s="51" t="str">
        <f t="shared" ca="1" si="13"/>
        <v/>
      </c>
      <c r="BD43" s="88" t="str">
        <f ca="1">IF(AX43="","",DATE(INDEX(OFFSET(Arb!$C$2,,,Arb!$AJ$5,),AX43),INDEX(OFFSET(Arb!$B$2,,,Arb!$AJ$5,),AX43),INDEX(OFFSET(Arb!$A$2,,,Arb!$AJ$5,),AX43))+ROW()*0.001)</f>
        <v/>
      </c>
      <c r="BE43" s="436">
        <v>43</v>
      </c>
      <c r="BG43" s="52" t="str">
        <f ca="1">IF(BF43="","",INDEX(OFFSET(Arb!$H$2,,,Arb!$AJ$5,),BF43))</f>
        <v/>
      </c>
      <c r="BH43" s="3" t="str">
        <f t="shared" ca="1" si="14"/>
        <v/>
      </c>
      <c r="BI43" s="165" t="str">
        <f ca="1">IF(BF43="","",INDEX(OFFSET(Arb!$X$2,,,Arb!$AJ$5,),BF43)/BG43)</f>
        <v/>
      </c>
      <c r="BJ43" s="165" t="str">
        <f ca="1">IF(BF43="","",(INDEX(OFFSET(Arb!$U$2,,,Arb!$AJ$5,),BF43)+INDEX(OFFSET(Arb!$V$2,,,Arb!$AJ$5,),BF43))/BG43)</f>
        <v/>
      </c>
      <c r="BK43" s="51" t="str">
        <f t="shared" ca="1" si="15"/>
        <v/>
      </c>
      <c r="BL43" s="91" t="str">
        <f ca="1">IF(BF43="","",DATE(INDEX(OFFSET(Arb!$C$2,,,Arb!$AJ$5,),BF43),INDEX(OFFSET(Arb!$B$2,,,Arb!$AJ$5,),BF43),INDEX(OFFSET(Arb!$A$2,,,Arb!$AJ$5,),BF43))+ROW()*0.001)</f>
        <v/>
      </c>
      <c r="BM43" s="442">
        <v>43</v>
      </c>
      <c r="BO43" s="52" t="str">
        <f ca="1">IF(BN43="","",INDEX(OFFSET(Arb!$H$2,,,Arb!$AJ$5,),BN43))</f>
        <v/>
      </c>
      <c r="BP43" s="3" t="str">
        <f t="shared" ca="1" si="16"/>
        <v/>
      </c>
      <c r="BQ43" s="165" t="str">
        <f ca="1">IF(BN43="","",INDEX(OFFSET(Arb!$X$2,,,Arb!$AJ$5,),BN43)/BO43)</f>
        <v/>
      </c>
      <c r="BR43" s="165" t="str">
        <f ca="1">IF(BN43="","",(INDEX(OFFSET(Arb!$U$2,,,Arb!$AJ$5,),BN43)+INDEX(OFFSET(Arb!$V$2,,,Arb!$AJ$5,),BN43))/BO43)</f>
        <v/>
      </c>
      <c r="BS43" s="51" t="str">
        <f t="shared" ca="1" si="17"/>
        <v/>
      </c>
      <c r="BT43" s="88" t="str">
        <f ca="1">IF(BN43="","",DATE(INDEX(OFFSET(Arb!$C$2,,,Arb!$AJ$5,),BN43),INDEX(OFFSET(Arb!$B$2,,,Arb!$AJ$5,),BN43),INDEX(OFFSET(Arb!$A$2,,,Arb!$AJ$5,),BN43))+ROW()*0.001)</f>
        <v/>
      </c>
      <c r="BU43" s="436">
        <v>43</v>
      </c>
      <c r="BW43" s="52" t="str">
        <f ca="1">IF(BV43="","",INDEX(OFFSET(Arb!$H$2,,,Arb!$AJ$5,),BV43))</f>
        <v/>
      </c>
      <c r="BX43" s="3" t="str">
        <f t="shared" ca="1" si="18"/>
        <v/>
      </c>
      <c r="BY43" s="165" t="str">
        <f ca="1">IF(BV43="","",INDEX(OFFSET(Arb!$X$2,,,Arb!$AJ$5,),BV43)/BW43)</f>
        <v/>
      </c>
      <c r="BZ43" s="165" t="str">
        <f ca="1">IF(BV43="","",(INDEX(OFFSET(Arb!$U$2,,,Arb!$AJ$5,),BV43)+INDEX(OFFSET(Arb!$V$2,,,Arb!$AJ$5,),BV43))/BW43)</f>
        <v/>
      </c>
      <c r="CA43" s="51" t="str">
        <f t="shared" ca="1" si="19"/>
        <v/>
      </c>
      <c r="CB43" s="91" t="str">
        <f ca="1">IF(BV43="","",DATE(INDEX(OFFSET(Arb!$C$2,,,Arb!$AJ$5,),BV43),INDEX(OFFSET(Arb!$B$2,,,Arb!$AJ$5,),BV43),INDEX(OFFSET(Arb!$A$2,,,Arb!$AJ$5,),BV43))+ROW()*0.001)</f>
        <v/>
      </c>
    </row>
    <row r="44" spans="1:80" x14ac:dyDescent="0.25">
      <c r="A44" s="433">
        <v>44</v>
      </c>
      <c r="C44" s="52" t="str">
        <f ca="1">IF(B44="","",INDEX(OFFSET(Arb!$H$2,,,Arb!$AJ$5,),B44))</f>
        <v/>
      </c>
      <c r="D44" s="3" t="str">
        <f t="shared" ca="1" si="0"/>
        <v/>
      </c>
      <c r="E44" s="165" t="str">
        <f ca="1">IF(B44="","",INDEX(OFFSET(Arb!$X$2,,,Arb!$AJ$5,),B44)/C44)</f>
        <v/>
      </c>
      <c r="F44" s="165" t="str">
        <f ca="1">IF(B44="","",(INDEX(OFFSET(Arb!$U$2,,,Arb!$AJ$5,),B44)+INDEX(OFFSET(Arb!$V$2,,,Arb!$AJ$5,),B44))/C44)</f>
        <v/>
      </c>
      <c r="G44" s="51" t="str">
        <f t="shared" ca="1" si="1"/>
        <v/>
      </c>
      <c r="H44" s="355" t="str">
        <f ca="1">IF(B44="","",DATE(INDEX(OFFSET(Arb!$C$2,,,Arb!$AJ$5,),B44),INDEX(OFFSET(Arb!$B$2,,,Arb!$AJ$5,),B44),INDEX(OFFSET(Arb!$A$2,,,Arb!$AJ$5,),B44))+ROW()*0.001)</f>
        <v/>
      </c>
      <c r="I44" s="436">
        <v>44</v>
      </c>
      <c r="K44" s="52" t="str">
        <f ca="1">IF(J44="","",INDEX(OFFSET(Arb!$H$2,,,Arb!$AJ$5,),J44))</f>
        <v/>
      </c>
      <c r="L44" s="3" t="str">
        <f t="shared" ca="1" si="2"/>
        <v/>
      </c>
      <c r="M44" s="165" t="str">
        <f ca="1">IF(J44="","",INDEX(OFFSET(Arb!$X$2,,,Arb!$AJ$5,),J44)/K44)</f>
        <v/>
      </c>
      <c r="N44" s="165" t="str">
        <f ca="1">IF(J44="","",(INDEX(OFFSET(Arb!$U$2,,,Arb!$AJ$5,),J44)+INDEX(OFFSET(Arb!$V$2,,,Arb!$AJ$5,),J44))/K44)</f>
        <v/>
      </c>
      <c r="O44" s="51" t="str">
        <f t="shared" ca="1" si="3"/>
        <v/>
      </c>
      <c r="P44" s="91" t="str">
        <f ca="1">IF(J44="","",DATE(INDEX(OFFSET(Arb!$C$2,,,Arb!$AJ$5,),J44),INDEX(OFFSET(Arb!$B$2,,,Arb!$AJ$5,),J44),INDEX(OFFSET(Arb!$A$2,,,Arb!$AJ$5,),J44))+ROW()*0.001)</f>
        <v/>
      </c>
      <c r="Q44" s="442">
        <v>44</v>
      </c>
      <c r="S44" s="52" t="str">
        <f ca="1">IF(R44="","",INDEX(OFFSET(Arb!$H$2,,,Arb!$AJ$5,),R44))</f>
        <v/>
      </c>
      <c r="T44" s="3" t="str">
        <f t="shared" ca="1" si="4"/>
        <v/>
      </c>
      <c r="U44" s="165" t="str">
        <f ca="1">IF(R44="","",INDEX(OFFSET(Arb!$X$2,,,Arb!$AJ$5,),R44)/S44)</f>
        <v/>
      </c>
      <c r="V44" s="165" t="str">
        <f ca="1">IF(R44="","",(INDEX(OFFSET(Arb!$U$2,,,Arb!$AJ$5,),R44)+INDEX(OFFSET(Arb!$V$2,,,Arb!$AJ$5,),R44))/S44)</f>
        <v/>
      </c>
      <c r="W44" s="51" t="str">
        <f t="shared" ca="1" si="5"/>
        <v/>
      </c>
      <c r="X44" s="88" t="str">
        <f ca="1">IF(R44="","",DATE(INDEX(OFFSET(Arb!$C$2,,,Arb!$AJ$5,),R44),INDEX(OFFSET(Arb!$B$2,,,Arb!$AJ$5,),R44),INDEX(OFFSET(Arb!$A$2,,,Arb!$AJ$5,),R44))+ROW()*0.001)</f>
        <v/>
      </c>
      <c r="Y44" s="436">
        <v>44</v>
      </c>
      <c r="AA44" s="52" t="str">
        <f ca="1">IF(Z44="","",INDEX(OFFSET(Arb!$H$2,,,Arb!$AJ$5,),Z44))</f>
        <v/>
      </c>
      <c r="AB44" s="3" t="str">
        <f t="shared" ca="1" si="6"/>
        <v/>
      </c>
      <c r="AC44" s="165" t="str">
        <f ca="1">IF(Z44="","",INDEX(OFFSET(Arb!$X$2,,,Arb!$AJ$5,),Z44)/AA44)</f>
        <v/>
      </c>
      <c r="AD44" s="165" t="str">
        <f ca="1">IF(Z44="","",(INDEX(OFFSET(Arb!$U$2,,,Arb!$AJ$5,),Z44)+INDEX(OFFSET(Arb!$V$2,,,Arb!$AJ$5,),Z44))/AA44)</f>
        <v/>
      </c>
      <c r="AE44" s="51" t="str">
        <f t="shared" ca="1" si="7"/>
        <v/>
      </c>
      <c r="AF44" s="91" t="str">
        <f ca="1">IF(Z44="","",DATE(INDEX(OFFSET(Arb!$C$2,,,Arb!$AJ$5,),Z44),INDEX(OFFSET(Arb!$B$2,,,Arb!$AJ$5,),Z44),INDEX(OFFSET(Arb!$A$2,,,Arb!$AJ$5,),Z44))+ROW()*0.001)</f>
        <v/>
      </c>
      <c r="AG44" s="442">
        <v>44</v>
      </c>
      <c r="AI44" s="52" t="str">
        <f ca="1">IF(AH44="","",INDEX(OFFSET(Arb!$H$2,,,Arb!$AJ$5,),AH44))</f>
        <v/>
      </c>
      <c r="AJ44" s="3" t="str">
        <f t="shared" ca="1" si="8"/>
        <v/>
      </c>
      <c r="AK44" s="165" t="str">
        <f ca="1">IF(AH44="","",INDEX(OFFSET(Arb!$X$2,,,Arb!$AJ$5,),AH44)/AI44)</f>
        <v/>
      </c>
      <c r="AL44" s="165" t="str">
        <f ca="1">IF(AH44="","",(INDEX(OFFSET(Arb!$U$2,,,Arb!$AJ$5,),AH44)+INDEX(OFFSET(Arb!$V$2,,,Arb!$AJ$5,),AH44))/AI44)</f>
        <v/>
      </c>
      <c r="AM44" s="51" t="str">
        <f t="shared" ca="1" si="9"/>
        <v/>
      </c>
      <c r="AN44" s="88" t="str">
        <f ca="1">IF(AH44="","",DATE(INDEX(OFFSET(Arb!$C$2,,,Arb!$AJ$5,),AH44),INDEX(OFFSET(Arb!$B$2,,,Arb!$AJ$5,),AH44),INDEX(OFFSET(Arb!$A$2,,,Arb!$AJ$5,),AH44))+ROW()*0.001)</f>
        <v/>
      </c>
      <c r="AO44" s="436">
        <v>44</v>
      </c>
      <c r="AQ44" s="52" t="str">
        <f ca="1">IF(AP44="","",INDEX(OFFSET(Arb!$H$2,,,Arb!$AJ$5,),AP44))</f>
        <v/>
      </c>
      <c r="AR44" s="3" t="str">
        <f t="shared" ca="1" si="10"/>
        <v/>
      </c>
      <c r="AS44" s="165" t="str">
        <f ca="1">IF(AP44="","",INDEX(OFFSET(Arb!$X$2,,,Arb!$AJ$5,),AP44)/AQ44)</f>
        <v/>
      </c>
      <c r="AT44" s="165" t="str">
        <f ca="1">IF(AP44="","",(INDEX(OFFSET(Arb!$U$2,,,Arb!$AJ$5,),AP44)+INDEX(OFFSET(Arb!$V$2,,,Arb!$AJ$5,),AP44))/AQ44)</f>
        <v/>
      </c>
      <c r="AU44" s="51" t="str">
        <f t="shared" ca="1" si="11"/>
        <v/>
      </c>
      <c r="AV44" s="91" t="str">
        <f ca="1">IF(AP44="","",DATE(INDEX(OFFSET(Arb!$C$2,,,Arb!$AJ$5,),AP44),INDEX(OFFSET(Arb!$B$2,,,Arb!$AJ$5,),AP44),INDEX(OFFSET(Arb!$A$2,,,Arb!$AJ$5,),AP44))+ROW()*0.001)</f>
        <v/>
      </c>
      <c r="AW44" s="442">
        <v>44</v>
      </c>
      <c r="AY44" s="52" t="str">
        <f ca="1">IF(AX44="","",INDEX(OFFSET(Arb!$H$2,,,Arb!$AJ$5,),AX44))</f>
        <v/>
      </c>
      <c r="AZ44" s="3" t="str">
        <f t="shared" ca="1" si="12"/>
        <v/>
      </c>
      <c r="BA44" s="165" t="str">
        <f ca="1">IF(AX44="","",INDEX(OFFSET(Arb!$X$2,,,Arb!$AJ$5,),AX44)/AY44)</f>
        <v/>
      </c>
      <c r="BB44" s="165" t="str">
        <f ca="1">IF(AX44="","",(INDEX(OFFSET(Arb!$U$2,,,Arb!$AJ$5,),AX44)+INDEX(OFFSET(Arb!$V$2,,,Arb!$AJ$5,),AX44))/AY44)</f>
        <v/>
      </c>
      <c r="BC44" s="51" t="str">
        <f t="shared" ca="1" si="13"/>
        <v/>
      </c>
      <c r="BD44" s="88" t="str">
        <f ca="1">IF(AX44="","",DATE(INDEX(OFFSET(Arb!$C$2,,,Arb!$AJ$5,),AX44),INDEX(OFFSET(Arb!$B$2,,,Arb!$AJ$5,),AX44),INDEX(OFFSET(Arb!$A$2,,,Arb!$AJ$5,),AX44))+ROW()*0.001)</f>
        <v/>
      </c>
      <c r="BE44" s="436">
        <v>44</v>
      </c>
      <c r="BG44" s="52" t="str">
        <f ca="1">IF(BF44="","",INDEX(OFFSET(Arb!$H$2,,,Arb!$AJ$5,),BF44))</f>
        <v/>
      </c>
      <c r="BH44" s="3" t="str">
        <f t="shared" ca="1" si="14"/>
        <v/>
      </c>
      <c r="BI44" s="165" t="str">
        <f ca="1">IF(BF44="","",INDEX(OFFSET(Arb!$X$2,,,Arb!$AJ$5,),BF44)/BG44)</f>
        <v/>
      </c>
      <c r="BJ44" s="165" t="str">
        <f ca="1">IF(BF44="","",(INDEX(OFFSET(Arb!$U$2,,,Arb!$AJ$5,),BF44)+INDEX(OFFSET(Arb!$V$2,,,Arb!$AJ$5,),BF44))/BG44)</f>
        <v/>
      </c>
      <c r="BK44" s="51" t="str">
        <f t="shared" ca="1" si="15"/>
        <v/>
      </c>
      <c r="BL44" s="91" t="str">
        <f ca="1">IF(BF44="","",DATE(INDEX(OFFSET(Arb!$C$2,,,Arb!$AJ$5,),BF44),INDEX(OFFSET(Arb!$B$2,,,Arb!$AJ$5,),BF44),INDEX(OFFSET(Arb!$A$2,,,Arb!$AJ$5,),BF44))+ROW()*0.001)</f>
        <v/>
      </c>
      <c r="BM44" s="442">
        <v>44</v>
      </c>
      <c r="BO44" s="52" t="str">
        <f ca="1">IF(BN44="","",INDEX(OFFSET(Arb!$H$2,,,Arb!$AJ$5,),BN44))</f>
        <v/>
      </c>
      <c r="BP44" s="3" t="str">
        <f t="shared" ca="1" si="16"/>
        <v/>
      </c>
      <c r="BQ44" s="165" t="str">
        <f ca="1">IF(BN44="","",INDEX(OFFSET(Arb!$X$2,,,Arb!$AJ$5,),BN44)/BO44)</f>
        <v/>
      </c>
      <c r="BR44" s="165" t="str">
        <f ca="1">IF(BN44="","",(INDEX(OFFSET(Arb!$U$2,,,Arb!$AJ$5,),BN44)+INDEX(OFFSET(Arb!$V$2,,,Arb!$AJ$5,),BN44))/BO44)</f>
        <v/>
      </c>
      <c r="BS44" s="51" t="str">
        <f t="shared" ca="1" si="17"/>
        <v/>
      </c>
      <c r="BT44" s="88" t="str">
        <f ca="1">IF(BN44="","",DATE(INDEX(OFFSET(Arb!$C$2,,,Arb!$AJ$5,),BN44),INDEX(OFFSET(Arb!$B$2,,,Arb!$AJ$5,),BN44),INDEX(OFFSET(Arb!$A$2,,,Arb!$AJ$5,),BN44))+ROW()*0.001)</f>
        <v/>
      </c>
      <c r="BU44" s="436">
        <v>44</v>
      </c>
      <c r="BW44" s="52" t="str">
        <f ca="1">IF(BV44="","",INDEX(OFFSET(Arb!$H$2,,,Arb!$AJ$5,),BV44))</f>
        <v/>
      </c>
      <c r="BX44" s="3" t="str">
        <f t="shared" ca="1" si="18"/>
        <v/>
      </c>
      <c r="BY44" s="165" t="str">
        <f ca="1">IF(BV44="","",INDEX(OFFSET(Arb!$X$2,,,Arb!$AJ$5,),BV44)/BW44)</f>
        <v/>
      </c>
      <c r="BZ44" s="165" t="str">
        <f ca="1">IF(BV44="","",(INDEX(OFFSET(Arb!$U$2,,,Arb!$AJ$5,),BV44)+INDEX(OFFSET(Arb!$V$2,,,Arb!$AJ$5,),BV44))/BW44)</f>
        <v/>
      </c>
      <c r="CA44" s="51" t="str">
        <f t="shared" ca="1" si="19"/>
        <v/>
      </c>
      <c r="CB44" s="91" t="str">
        <f ca="1">IF(BV44="","",DATE(INDEX(OFFSET(Arb!$C$2,,,Arb!$AJ$5,),BV44),INDEX(OFFSET(Arb!$B$2,,,Arb!$AJ$5,),BV44),INDEX(OFFSET(Arb!$A$2,,,Arb!$AJ$5,),BV44))+ROW()*0.001)</f>
        <v/>
      </c>
    </row>
    <row r="45" spans="1:80" x14ac:dyDescent="0.25">
      <c r="A45" s="433">
        <v>45</v>
      </c>
      <c r="C45" s="52" t="str">
        <f ca="1">IF(B45="","",INDEX(OFFSET(Arb!$H$2,,,Arb!$AJ$5,),B45))</f>
        <v/>
      </c>
      <c r="D45" s="3" t="str">
        <f t="shared" ca="1" si="0"/>
        <v/>
      </c>
      <c r="E45" s="165" t="str">
        <f ca="1">IF(B45="","",INDEX(OFFSET(Arb!$X$2,,,Arb!$AJ$5,),B45)/C45)</f>
        <v/>
      </c>
      <c r="F45" s="165" t="str">
        <f ca="1">IF(B45="","",(INDEX(OFFSET(Arb!$U$2,,,Arb!$AJ$5,),B45)+INDEX(OFFSET(Arb!$V$2,,,Arb!$AJ$5,),B45))/C45)</f>
        <v/>
      </c>
      <c r="G45" s="51" t="str">
        <f t="shared" ca="1" si="1"/>
        <v/>
      </c>
      <c r="H45" s="355" t="str">
        <f ca="1">IF(B45="","",DATE(INDEX(OFFSET(Arb!$C$2,,,Arb!$AJ$5,),B45),INDEX(OFFSET(Arb!$B$2,,,Arb!$AJ$5,),B45),INDEX(OFFSET(Arb!$A$2,,,Arb!$AJ$5,),B45))+ROW()*0.001)</f>
        <v/>
      </c>
      <c r="I45" s="436">
        <v>45</v>
      </c>
      <c r="K45" s="52" t="str">
        <f ca="1">IF(J45="","",INDEX(OFFSET(Arb!$H$2,,,Arb!$AJ$5,),J45))</f>
        <v/>
      </c>
      <c r="L45" s="3" t="str">
        <f t="shared" ca="1" si="2"/>
        <v/>
      </c>
      <c r="M45" s="165" t="str">
        <f ca="1">IF(J45="","",INDEX(OFFSET(Arb!$X$2,,,Arb!$AJ$5,),J45)/K45)</f>
        <v/>
      </c>
      <c r="N45" s="165" t="str">
        <f ca="1">IF(J45="","",(INDEX(OFFSET(Arb!$U$2,,,Arb!$AJ$5,),J45)+INDEX(OFFSET(Arb!$V$2,,,Arb!$AJ$5,),J45))/K45)</f>
        <v/>
      </c>
      <c r="O45" s="51" t="str">
        <f t="shared" ca="1" si="3"/>
        <v/>
      </c>
      <c r="P45" s="91" t="str">
        <f ca="1">IF(J45="","",DATE(INDEX(OFFSET(Arb!$C$2,,,Arb!$AJ$5,),J45),INDEX(OFFSET(Arb!$B$2,,,Arb!$AJ$5,),J45),INDEX(OFFSET(Arb!$A$2,,,Arb!$AJ$5,),J45))+ROW()*0.001)</f>
        <v/>
      </c>
      <c r="Q45" s="442">
        <v>45</v>
      </c>
      <c r="S45" s="52" t="str">
        <f ca="1">IF(R45="","",INDEX(OFFSET(Arb!$H$2,,,Arb!$AJ$5,),R45))</f>
        <v/>
      </c>
      <c r="T45" s="3" t="str">
        <f t="shared" ca="1" si="4"/>
        <v/>
      </c>
      <c r="U45" s="165" t="str">
        <f ca="1">IF(R45="","",INDEX(OFFSET(Arb!$X$2,,,Arb!$AJ$5,),R45)/S45)</f>
        <v/>
      </c>
      <c r="V45" s="165" t="str">
        <f ca="1">IF(R45="","",(INDEX(OFFSET(Arb!$U$2,,,Arb!$AJ$5,),R45)+INDEX(OFFSET(Arb!$V$2,,,Arb!$AJ$5,),R45))/S45)</f>
        <v/>
      </c>
      <c r="W45" s="51" t="str">
        <f t="shared" ca="1" si="5"/>
        <v/>
      </c>
      <c r="X45" s="88" t="str">
        <f ca="1">IF(R45="","",DATE(INDEX(OFFSET(Arb!$C$2,,,Arb!$AJ$5,),R45),INDEX(OFFSET(Arb!$B$2,,,Arb!$AJ$5,),R45),INDEX(OFFSET(Arb!$A$2,,,Arb!$AJ$5,),R45))+ROW()*0.001)</f>
        <v/>
      </c>
      <c r="Y45" s="436">
        <v>45</v>
      </c>
      <c r="AA45" s="52" t="str">
        <f ca="1">IF(Z45="","",INDEX(OFFSET(Arb!$H$2,,,Arb!$AJ$5,),Z45))</f>
        <v/>
      </c>
      <c r="AB45" s="3" t="str">
        <f t="shared" ca="1" si="6"/>
        <v/>
      </c>
      <c r="AC45" s="165" t="str">
        <f ca="1">IF(Z45="","",INDEX(OFFSET(Arb!$X$2,,,Arb!$AJ$5,),Z45)/AA45)</f>
        <v/>
      </c>
      <c r="AD45" s="165" t="str">
        <f ca="1">IF(Z45="","",(INDEX(OFFSET(Arb!$U$2,,,Arb!$AJ$5,),Z45)+INDEX(OFFSET(Arb!$V$2,,,Arb!$AJ$5,),Z45))/AA45)</f>
        <v/>
      </c>
      <c r="AE45" s="51" t="str">
        <f t="shared" ca="1" si="7"/>
        <v/>
      </c>
      <c r="AF45" s="91" t="str">
        <f ca="1">IF(Z45="","",DATE(INDEX(OFFSET(Arb!$C$2,,,Arb!$AJ$5,),Z45),INDEX(OFFSET(Arb!$B$2,,,Arb!$AJ$5,),Z45),INDEX(OFFSET(Arb!$A$2,,,Arb!$AJ$5,),Z45))+ROW()*0.001)</f>
        <v/>
      </c>
      <c r="AG45" s="442">
        <v>45</v>
      </c>
      <c r="AI45" s="52" t="str">
        <f ca="1">IF(AH45="","",INDEX(OFFSET(Arb!$H$2,,,Arb!$AJ$5,),AH45))</f>
        <v/>
      </c>
      <c r="AJ45" s="3" t="str">
        <f t="shared" ca="1" si="8"/>
        <v/>
      </c>
      <c r="AK45" s="165" t="str">
        <f ca="1">IF(AH45="","",INDEX(OFFSET(Arb!$X$2,,,Arb!$AJ$5,),AH45)/AI45)</f>
        <v/>
      </c>
      <c r="AL45" s="165" t="str">
        <f ca="1">IF(AH45="","",(INDEX(OFFSET(Arb!$U$2,,,Arb!$AJ$5,),AH45)+INDEX(OFFSET(Arb!$V$2,,,Arb!$AJ$5,),AH45))/AI45)</f>
        <v/>
      </c>
      <c r="AM45" s="51" t="str">
        <f t="shared" ca="1" si="9"/>
        <v/>
      </c>
      <c r="AN45" s="88" t="str">
        <f ca="1">IF(AH45="","",DATE(INDEX(OFFSET(Arb!$C$2,,,Arb!$AJ$5,),AH45),INDEX(OFFSET(Arb!$B$2,,,Arb!$AJ$5,),AH45),INDEX(OFFSET(Arb!$A$2,,,Arb!$AJ$5,),AH45))+ROW()*0.001)</f>
        <v/>
      </c>
      <c r="AO45" s="436">
        <v>45</v>
      </c>
      <c r="AQ45" s="52" t="str">
        <f ca="1">IF(AP45="","",INDEX(OFFSET(Arb!$H$2,,,Arb!$AJ$5,),AP45))</f>
        <v/>
      </c>
      <c r="AR45" s="3" t="str">
        <f t="shared" ca="1" si="10"/>
        <v/>
      </c>
      <c r="AS45" s="165" t="str">
        <f ca="1">IF(AP45="","",INDEX(OFFSET(Arb!$X$2,,,Arb!$AJ$5,),AP45)/AQ45)</f>
        <v/>
      </c>
      <c r="AT45" s="165" t="str">
        <f ca="1">IF(AP45="","",(INDEX(OFFSET(Arb!$U$2,,,Arb!$AJ$5,),AP45)+INDEX(OFFSET(Arb!$V$2,,,Arb!$AJ$5,),AP45))/AQ45)</f>
        <v/>
      </c>
      <c r="AU45" s="51" t="str">
        <f t="shared" ca="1" si="11"/>
        <v/>
      </c>
      <c r="AV45" s="91" t="str">
        <f ca="1">IF(AP45="","",DATE(INDEX(OFFSET(Arb!$C$2,,,Arb!$AJ$5,),AP45),INDEX(OFFSET(Arb!$B$2,,,Arb!$AJ$5,),AP45),INDEX(OFFSET(Arb!$A$2,,,Arb!$AJ$5,),AP45))+ROW()*0.001)</f>
        <v/>
      </c>
      <c r="AW45" s="442">
        <v>45</v>
      </c>
      <c r="AY45" s="52" t="str">
        <f ca="1">IF(AX45="","",INDEX(OFFSET(Arb!$H$2,,,Arb!$AJ$5,),AX45))</f>
        <v/>
      </c>
      <c r="AZ45" s="3" t="str">
        <f t="shared" ca="1" si="12"/>
        <v/>
      </c>
      <c r="BA45" s="165" t="str">
        <f ca="1">IF(AX45="","",INDEX(OFFSET(Arb!$X$2,,,Arb!$AJ$5,),AX45)/AY45)</f>
        <v/>
      </c>
      <c r="BB45" s="165" t="str">
        <f ca="1">IF(AX45="","",(INDEX(OFFSET(Arb!$U$2,,,Arb!$AJ$5,),AX45)+INDEX(OFFSET(Arb!$V$2,,,Arb!$AJ$5,),AX45))/AY45)</f>
        <v/>
      </c>
      <c r="BC45" s="51" t="str">
        <f t="shared" ca="1" si="13"/>
        <v/>
      </c>
      <c r="BD45" s="88" t="str">
        <f ca="1">IF(AX45="","",DATE(INDEX(OFFSET(Arb!$C$2,,,Arb!$AJ$5,),AX45),INDEX(OFFSET(Arb!$B$2,,,Arb!$AJ$5,),AX45),INDEX(OFFSET(Arb!$A$2,,,Arb!$AJ$5,),AX45))+ROW()*0.001)</f>
        <v/>
      </c>
      <c r="BE45" s="436">
        <v>45</v>
      </c>
      <c r="BG45" s="52" t="str">
        <f ca="1">IF(BF45="","",INDEX(OFFSET(Arb!$H$2,,,Arb!$AJ$5,),BF45))</f>
        <v/>
      </c>
      <c r="BH45" s="3" t="str">
        <f t="shared" ca="1" si="14"/>
        <v/>
      </c>
      <c r="BI45" s="165" t="str">
        <f ca="1">IF(BF45="","",INDEX(OFFSET(Arb!$X$2,,,Arb!$AJ$5,),BF45)/BG45)</f>
        <v/>
      </c>
      <c r="BJ45" s="165" t="str">
        <f ca="1">IF(BF45="","",(INDEX(OFFSET(Arb!$U$2,,,Arb!$AJ$5,),BF45)+INDEX(OFFSET(Arb!$V$2,,,Arb!$AJ$5,),BF45))/BG45)</f>
        <v/>
      </c>
      <c r="BK45" s="51" t="str">
        <f t="shared" ca="1" si="15"/>
        <v/>
      </c>
      <c r="BL45" s="91" t="str">
        <f ca="1">IF(BF45="","",DATE(INDEX(OFFSET(Arb!$C$2,,,Arb!$AJ$5,),BF45),INDEX(OFFSET(Arb!$B$2,,,Arb!$AJ$5,),BF45),INDEX(OFFSET(Arb!$A$2,,,Arb!$AJ$5,),BF45))+ROW()*0.001)</f>
        <v/>
      </c>
      <c r="BM45" s="442">
        <v>45</v>
      </c>
      <c r="BO45" s="52" t="str">
        <f ca="1">IF(BN45="","",INDEX(OFFSET(Arb!$H$2,,,Arb!$AJ$5,),BN45))</f>
        <v/>
      </c>
      <c r="BP45" s="3" t="str">
        <f t="shared" ca="1" si="16"/>
        <v/>
      </c>
      <c r="BQ45" s="165" t="str">
        <f ca="1">IF(BN45="","",INDEX(OFFSET(Arb!$X$2,,,Arb!$AJ$5,),BN45)/BO45)</f>
        <v/>
      </c>
      <c r="BR45" s="165" t="str">
        <f ca="1">IF(BN45="","",(INDEX(OFFSET(Arb!$U$2,,,Arb!$AJ$5,),BN45)+INDEX(OFFSET(Arb!$V$2,,,Arb!$AJ$5,),BN45))/BO45)</f>
        <v/>
      </c>
      <c r="BS45" s="51" t="str">
        <f t="shared" ca="1" si="17"/>
        <v/>
      </c>
      <c r="BT45" s="88" t="str">
        <f ca="1">IF(BN45="","",DATE(INDEX(OFFSET(Arb!$C$2,,,Arb!$AJ$5,),BN45),INDEX(OFFSET(Arb!$B$2,,,Arb!$AJ$5,),BN45),INDEX(OFFSET(Arb!$A$2,,,Arb!$AJ$5,),BN45))+ROW()*0.001)</f>
        <v/>
      </c>
      <c r="BU45" s="436">
        <v>45</v>
      </c>
      <c r="BW45" s="52" t="str">
        <f ca="1">IF(BV45="","",INDEX(OFFSET(Arb!$H$2,,,Arb!$AJ$5,),BV45))</f>
        <v/>
      </c>
      <c r="BX45" s="3" t="str">
        <f t="shared" ca="1" si="18"/>
        <v/>
      </c>
      <c r="BY45" s="165" t="str">
        <f ca="1">IF(BV45="","",INDEX(OFFSET(Arb!$X$2,,,Arb!$AJ$5,),BV45)/BW45)</f>
        <v/>
      </c>
      <c r="BZ45" s="165" t="str">
        <f ca="1">IF(BV45="","",(INDEX(OFFSET(Arb!$U$2,,,Arb!$AJ$5,),BV45)+INDEX(OFFSET(Arb!$V$2,,,Arb!$AJ$5,),BV45))/BW45)</f>
        <v/>
      </c>
      <c r="CA45" s="51" t="str">
        <f t="shared" ca="1" si="19"/>
        <v/>
      </c>
      <c r="CB45" s="91" t="str">
        <f ca="1">IF(BV45="","",DATE(INDEX(OFFSET(Arb!$C$2,,,Arb!$AJ$5,),BV45),INDEX(OFFSET(Arb!$B$2,,,Arb!$AJ$5,),BV45),INDEX(OFFSET(Arb!$A$2,,,Arb!$AJ$5,),BV45))+ROW()*0.001)</f>
        <v/>
      </c>
    </row>
    <row r="46" spans="1:80" x14ac:dyDescent="0.25">
      <c r="A46" s="433">
        <v>46</v>
      </c>
      <c r="C46" s="52" t="str">
        <f ca="1">IF(B46="","",INDEX(OFFSET(Arb!$H$2,,,Arb!$AJ$5,),B46))</f>
        <v/>
      </c>
      <c r="D46" s="3" t="str">
        <f t="shared" ca="1" si="0"/>
        <v/>
      </c>
      <c r="E46" s="165" t="str">
        <f ca="1">IF(B46="","",INDEX(OFFSET(Arb!$X$2,,,Arb!$AJ$5,),B46)/C46)</f>
        <v/>
      </c>
      <c r="F46" s="165" t="str">
        <f ca="1">IF(B46="","",(INDEX(OFFSET(Arb!$U$2,,,Arb!$AJ$5,),B46)+INDEX(OFFSET(Arb!$V$2,,,Arb!$AJ$5,),B46))/C46)</f>
        <v/>
      </c>
      <c r="G46" s="51" t="str">
        <f t="shared" ca="1" si="1"/>
        <v/>
      </c>
      <c r="H46" s="355" t="str">
        <f ca="1">IF(B46="","",DATE(INDEX(OFFSET(Arb!$C$2,,,Arb!$AJ$5,),B46),INDEX(OFFSET(Arb!$B$2,,,Arb!$AJ$5,),B46),INDEX(OFFSET(Arb!$A$2,,,Arb!$AJ$5,),B46))+ROW()*0.001)</f>
        <v/>
      </c>
      <c r="I46" s="436">
        <v>46</v>
      </c>
      <c r="K46" s="52" t="str">
        <f ca="1">IF(J46="","",INDEX(OFFSET(Arb!$H$2,,,Arb!$AJ$5,),J46))</f>
        <v/>
      </c>
      <c r="L46" s="3" t="str">
        <f t="shared" ca="1" si="2"/>
        <v/>
      </c>
      <c r="M46" s="165" t="str">
        <f ca="1">IF(J46="","",INDEX(OFFSET(Arb!$X$2,,,Arb!$AJ$5,),J46)/K46)</f>
        <v/>
      </c>
      <c r="N46" s="165" t="str">
        <f ca="1">IF(J46="","",(INDEX(OFFSET(Arb!$U$2,,,Arb!$AJ$5,),J46)+INDEX(OFFSET(Arb!$V$2,,,Arb!$AJ$5,),J46))/K46)</f>
        <v/>
      </c>
      <c r="O46" s="51" t="str">
        <f t="shared" ca="1" si="3"/>
        <v/>
      </c>
      <c r="P46" s="91" t="str">
        <f ca="1">IF(J46="","",DATE(INDEX(OFFSET(Arb!$C$2,,,Arb!$AJ$5,),J46),INDEX(OFFSET(Arb!$B$2,,,Arb!$AJ$5,),J46),INDEX(OFFSET(Arb!$A$2,,,Arb!$AJ$5,),J46))+ROW()*0.001)</f>
        <v/>
      </c>
      <c r="Q46" s="442">
        <v>46</v>
      </c>
      <c r="S46" s="52" t="str">
        <f ca="1">IF(R46="","",INDEX(OFFSET(Arb!$H$2,,,Arb!$AJ$5,),R46))</f>
        <v/>
      </c>
      <c r="T46" s="3" t="str">
        <f t="shared" ca="1" si="4"/>
        <v/>
      </c>
      <c r="U46" s="165" t="str">
        <f ca="1">IF(R46="","",INDEX(OFFSET(Arb!$X$2,,,Arb!$AJ$5,),R46)/S46)</f>
        <v/>
      </c>
      <c r="V46" s="165" t="str">
        <f ca="1">IF(R46="","",(INDEX(OFFSET(Arb!$U$2,,,Arb!$AJ$5,),R46)+INDEX(OFFSET(Arb!$V$2,,,Arb!$AJ$5,),R46))/S46)</f>
        <v/>
      </c>
      <c r="W46" s="51" t="str">
        <f t="shared" ca="1" si="5"/>
        <v/>
      </c>
      <c r="X46" s="88" t="str">
        <f ca="1">IF(R46="","",DATE(INDEX(OFFSET(Arb!$C$2,,,Arb!$AJ$5,),R46),INDEX(OFFSET(Arb!$B$2,,,Arb!$AJ$5,),R46),INDEX(OFFSET(Arb!$A$2,,,Arb!$AJ$5,),R46))+ROW()*0.001)</f>
        <v/>
      </c>
      <c r="Y46" s="436">
        <v>46</v>
      </c>
      <c r="AA46" s="52" t="str">
        <f ca="1">IF(Z46="","",INDEX(OFFSET(Arb!$H$2,,,Arb!$AJ$5,),Z46))</f>
        <v/>
      </c>
      <c r="AB46" s="3" t="str">
        <f t="shared" ca="1" si="6"/>
        <v/>
      </c>
      <c r="AC46" s="165" t="str">
        <f ca="1">IF(Z46="","",INDEX(OFFSET(Arb!$X$2,,,Arb!$AJ$5,),Z46)/AA46)</f>
        <v/>
      </c>
      <c r="AD46" s="165" t="str">
        <f ca="1">IF(Z46="","",(INDEX(OFFSET(Arb!$U$2,,,Arb!$AJ$5,),Z46)+INDEX(OFFSET(Arb!$V$2,,,Arb!$AJ$5,),Z46))/AA46)</f>
        <v/>
      </c>
      <c r="AE46" s="51" t="str">
        <f t="shared" ca="1" si="7"/>
        <v/>
      </c>
      <c r="AF46" s="91" t="str">
        <f ca="1">IF(Z46="","",DATE(INDEX(OFFSET(Arb!$C$2,,,Arb!$AJ$5,),Z46),INDEX(OFFSET(Arb!$B$2,,,Arb!$AJ$5,),Z46),INDEX(OFFSET(Arb!$A$2,,,Arb!$AJ$5,),Z46))+ROW()*0.001)</f>
        <v/>
      </c>
      <c r="AG46" s="442">
        <v>46</v>
      </c>
      <c r="AI46" s="52" t="str">
        <f ca="1">IF(AH46="","",INDEX(OFFSET(Arb!$H$2,,,Arb!$AJ$5,),AH46))</f>
        <v/>
      </c>
      <c r="AJ46" s="3" t="str">
        <f t="shared" ca="1" si="8"/>
        <v/>
      </c>
      <c r="AK46" s="165" t="str">
        <f ca="1">IF(AH46="","",INDEX(OFFSET(Arb!$X$2,,,Arb!$AJ$5,),AH46)/AI46)</f>
        <v/>
      </c>
      <c r="AL46" s="165" t="str">
        <f ca="1">IF(AH46="","",(INDEX(OFFSET(Arb!$U$2,,,Arb!$AJ$5,),AH46)+INDEX(OFFSET(Arb!$V$2,,,Arb!$AJ$5,),AH46))/AI46)</f>
        <v/>
      </c>
      <c r="AM46" s="51" t="str">
        <f t="shared" ca="1" si="9"/>
        <v/>
      </c>
      <c r="AN46" s="88" t="str">
        <f ca="1">IF(AH46="","",DATE(INDEX(OFFSET(Arb!$C$2,,,Arb!$AJ$5,),AH46),INDEX(OFFSET(Arb!$B$2,,,Arb!$AJ$5,),AH46),INDEX(OFFSET(Arb!$A$2,,,Arb!$AJ$5,),AH46))+ROW()*0.001)</f>
        <v/>
      </c>
      <c r="AO46" s="436">
        <v>46</v>
      </c>
      <c r="AQ46" s="52" t="str">
        <f ca="1">IF(AP46="","",INDEX(OFFSET(Arb!$H$2,,,Arb!$AJ$5,),AP46))</f>
        <v/>
      </c>
      <c r="AR46" s="3" t="str">
        <f t="shared" ca="1" si="10"/>
        <v/>
      </c>
      <c r="AS46" s="165" t="str">
        <f ca="1">IF(AP46="","",INDEX(OFFSET(Arb!$X$2,,,Arb!$AJ$5,),AP46)/AQ46)</f>
        <v/>
      </c>
      <c r="AT46" s="165" t="str">
        <f ca="1">IF(AP46="","",(INDEX(OFFSET(Arb!$U$2,,,Arb!$AJ$5,),AP46)+INDEX(OFFSET(Arb!$V$2,,,Arb!$AJ$5,),AP46))/AQ46)</f>
        <v/>
      </c>
      <c r="AU46" s="51" t="str">
        <f t="shared" ca="1" si="11"/>
        <v/>
      </c>
      <c r="AV46" s="91" t="str">
        <f ca="1">IF(AP46="","",DATE(INDEX(OFFSET(Arb!$C$2,,,Arb!$AJ$5,),AP46),INDEX(OFFSET(Arb!$B$2,,,Arb!$AJ$5,),AP46),INDEX(OFFSET(Arb!$A$2,,,Arb!$AJ$5,),AP46))+ROW()*0.001)</f>
        <v/>
      </c>
      <c r="AW46" s="442">
        <v>46</v>
      </c>
      <c r="AY46" s="52" t="str">
        <f ca="1">IF(AX46="","",INDEX(OFFSET(Arb!$H$2,,,Arb!$AJ$5,),AX46))</f>
        <v/>
      </c>
      <c r="AZ46" s="3" t="str">
        <f t="shared" ca="1" si="12"/>
        <v/>
      </c>
      <c r="BA46" s="165" t="str">
        <f ca="1">IF(AX46="","",INDEX(OFFSET(Arb!$X$2,,,Arb!$AJ$5,),AX46)/AY46)</f>
        <v/>
      </c>
      <c r="BB46" s="165" t="str">
        <f ca="1">IF(AX46="","",(INDEX(OFFSET(Arb!$U$2,,,Arb!$AJ$5,),AX46)+INDEX(OFFSET(Arb!$V$2,,,Arb!$AJ$5,),AX46))/AY46)</f>
        <v/>
      </c>
      <c r="BC46" s="51" t="str">
        <f t="shared" ca="1" si="13"/>
        <v/>
      </c>
      <c r="BD46" s="88" t="str">
        <f ca="1">IF(AX46="","",DATE(INDEX(OFFSET(Arb!$C$2,,,Arb!$AJ$5,),AX46),INDEX(OFFSET(Arb!$B$2,,,Arb!$AJ$5,),AX46),INDEX(OFFSET(Arb!$A$2,,,Arb!$AJ$5,),AX46))+ROW()*0.001)</f>
        <v/>
      </c>
      <c r="BE46" s="436">
        <v>46</v>
      </c>
      <c r="BG46" s="52" t="str">
        <f ca="1">IF(BF46="","",INDEX(OFFSET(Arb!$H$2,,,Arb!$AJ$5,),BF46))</f>
        <v/>
      </c>
      <c r="BH46" s="3" t="str">
        <f t="shared" ca="1" si="14"/>
        <v/>
      </c>
      <c r="BI46" s="165" t="str">
        <f ca="1">IF(BF46="","",INDEX(OFFSET(Arb!$X$2,,,Arb!$AJ$5,),BF46)/BG46)</f>
        <v/>
      </c>
      <c r="BJ46" s="165" t="str">
        <f ca="1">IF(BF46="","",(INDEX(OFFSET(Arb!$U$2,,,Arb!$AJ$5,),BF46)+INDEX(OFFSET(Arb!$V$2,,,Arb!$AJ$5,),BF46))/BG46)</f>
        <v/>
      </c>
      <c r="BK46" s="51" t="str">
        <f t="shared" ca="1" si="15"/>
        <v/>
      </c>
      <c r="BL46" s="91" t="str">
        <f ca="1">IF(BF46="","",DATE(INDEX(OFFSET(Arb!$C$2,,,Arb!$AJ$5,),BF46),INDEX(OFFSET(Arb!$B$2,,,Arb!$AJ$5,),BF46),INDEX(OFFSET(Arb!$A$2,,,Arb!$AJ$5,),BF46))+ROW()*0.001)</f>
        <v/>
      </c>
      <c r="BM46" s="442">
        <v>46</v>
      </c>
      <c r="BO46" s="52" t="str">
        <f ca="1">IF(BN46="","",INDEX(OFFSET(Arb!$H$2,,,Arb!$AJ$5,),BN46))</f>
        <v/>
      </c>
      <c r="BP46" s="3" t="str">
        <f t="shared" ca="1" si="16"/>
        <v/>
      </c>
      <c r="BQ46" s="165" t="str">
        <f ca="1">IF(BN46="","",INDEX(OFFSET(Arb!$X$2,,,Arb!$AJ$5,),BN46)/BO46)</f>
        <v/>
      </c>
      <c r="BR46" s="165" t="str">
        <f ca="1">IF(BN46="","",(INDEX(OFFSET(Arb!$U$2,,,Arb!$AJ$5,),BN46)+INDEX(OFFSET(Arb!$V$2,,,Arb!$AJ$5,),BN46))/BO46)</f>
        <v/>
      </c>
      <c r="BS46" s="51" t="str">
        <f t="shared" ca="1" si="17"/>
        <v/>
      </c>
      <c r="BT46" s="88" t="str">
        <f ca="1">IF(BN46="","",DATE(INDEX(OFFSET(Arb!$C$2,,,Arb!$AJ$5,),BN46),INDEX(OFFSET(Arb!$B$2,,,Arb!$AJ$5,),BN46),INDEX(OFFSET(Arb!$A$2,,,Arb!$AJ$5,),BN46))+ROW()*0.001)</f>
        <v/>
      </c>
      <c r="BU46" s="436">
        <v>46</v>
      </c>
      <c r="BW46" s="52" t="str">
        <f ca="1">IF(BV46="","",INDEX(OFFSET(Arb!$H$2,,,Arb!$AJ$5,),BV46))</f>
        <v/>
      </c>
      <c r="BX46" s="3" t="str">
        <f t="shared" ca="1" si="18"/>
        <v/>
      </c>
      <c r="BY46" s="165" t="str">
        <f ca="1">IF(BV46="","",INDEX(OFFSET(Arb!$X$2,,,Arb!$AJ$5,),BV46)/BW46)</f>
        <v/>
      </c>
      <c r="BZ46" s="165" t="str">
        <f ca="1">IF(BV46="","",(INDEX(OFFSET(Arb!$U$2,,,Arb!$AJ$5,),BV46)+INDEX(OFFSET(Arb!$V$2,,,Arb!$AJ$5,),BV46))/BW46)</f>
        <v/>
      </c>
      <c r="CA46" s="51" t="str">
        <f t="shared" ca="1" si="19"/>
        <v/>
      </c>
      <c r="CB46" s="91" t="str">
        <f ca="1">IF(BV46="","",DATE(INDEX(OFFSET(Arb!$C$2,,,Arb!$AJ$5,),BV46),INDEX(OFFSET(Arb!$B$2,,,Arb!$AJ$5,),BV46),INDEX(OFFSET(Arb!$A$2,,,Arb!$AJ$5,),BV46))+ROW()*0.001)</f>
        <v/>
      </c>
    </row>
    <row r="47" spans="1:80" x14ac:dyDescent="0.25">
      <c r="A47" s="433">
        <v>47</v>
      </c>
      <c r="C47" s="52" t="str">
        <f ca="1">IF(B47="","",INDEX(OFFSET(Arb!$H$2,,,Arb!$AJ$5,),B47))</f>
        <v/>
      </c>
      <c r="D47" s="3" t="str">
        <f t="shared" ca="1" si="0"/>
        <v/>
      </c>
      <c r="E47" s="165" t="str">
        <f ca="1">IF(B47="","",INDEX(OFFSET(Arb!$X$2,,,Arb!$AJ$5,),B47)/C47)</f>
        <v/>
      </c>
      <c r="F47" s="165" t="str">
        <f ca="1">IF(B47="","",(INDEX(OFFSET(Arb!$U$2,,,Arb!$AJ$5,),B47)+INDEX(OFFSET(Arb!$V$2,,,Arb!$AJ$5,),B47))/C47)</f>
        <v/>
      </c>
      <c r="G47" s="51" t="str">
        <f t="shared" ca="1" si="1"/>
        <v/>
      </c>
      <c r="H47" s="355" t="str">
        <f ca="1">IF(B47="","",DATE(INDEX(OFFSET(Arb!$C$2,,,Arb!$AJ$5,),B47),INDEX(OFFSET(Arb!$B$2,,,Arb!$AJ$5,),B47),INDEX(OFFSET(Arb!$A$2,,,Arb!$AJ$5,),B47))+ROW()*0.001)</f>
        <v/>
      </c>
      <c r="I47" s="436">
        <v>47</v>
      </c>
      <c r="K47" s="52" t="str">
        <f ca="1">IF(J47="","",INDEX(OFFSET(Arb!$H$2,,,Arb!$AJ$5,),J47))</f>
        <v/>
      </c>
      <c r="L47" s="3" t="str">
        <f t="shared" ca="1" si="2"/>
        <v/>
      </c>
      <c r="M47" s="165" t="str">
        <f ca="1">IF(J47="","",INDEX(OFFSET(Arb!$X$2,,,Arb!$AJ$5,),J47)/K47)</f>
        <v/>
      </c>
      <c r="N47" s="165" t="str">
        <f ca="1">IF(J47="","",(INDEX(OFFSET(Arb!$U$2,,,Arb!$AJ$5,),J47)+INDEX(OFFSET(Arb!$V$2,,,Arb!$AJ$5,),J47))/K47)</f>
        <v/>
      </c>
      <c r="O47" s="51" t="str">
        <f t="shared" ca="1" si="3"/>
        <v/>
      </c>
      <c r="P47" s="91" t="str">
        <f ca="1">IF(J47="","",DATE(INDEX(OFFSET(Arb!$C$2,,,Arb!$AJ$5,),J47),INDEX(OFFSET(Arb!$B$2,,,Arb!$AJ$5,),J47),INDEX(OFFSET(Arb!$A$2,,,Arb!$AJ$5,),J47))+ROW()*0.001)</f>
        <v/>
      </c>
      <c r="Q47" s="442">
        <v>47</v>
      </c>
      <c r="S47" s="52" t="str">
        <f ca="1">IF(R47="","",INDEX(OFFSET(Arb!$H$2,,,Arb!$AJ$5,),R47))</f>
        <v/>
      </c>
      <c r="T47" s="3" t="str">
        <f t="shared" ca="1" si="4"/>
        <v/>
      </c>
      <c r="U47" s="165" t="str">
        <f ca="1">IF(R47="","",INDEX(OFFSET(Arb!$X$2,,,Arb!$AJ$5,),R47)/S47)</f>
        <v/>
      </c>
      <c r="V47" s="165" t="str">
        <f ca="1">IF(R47="","",(INDEX(OFFSET(Arb!$U$2,,,Arb!$AJ$5,),R47)+INDEX(OFFSET(Arb!$V$2,,,Arb!$AJ$5,),R47))/S47)</f>
        <v/>
      </c>
      <c r="W47" s="51" t="str">
        <f t="shared" ca="1" si="5"/>
        <v/>
      </c>
      <c r="X47" s="88" t="str">
        <f ca="1">IF(R47="","",DATE(INDEX(OFFSET(Arb!$C$2,,,Arb!$AJ$5,),R47),INDEX(OFFSET(Arb!$B$2,,,Arb!$AJ$5,),R47),INDEX(OFFSET(Arb!$A$2,,,Arb!$AJ$5,),R47))+ROW()*0.001)</f>
        <v/>
      </c>
      <c r="Y47" s="436">
        <v>47</v>
      </c>
      <c r="AA47" s="52" t="str">
        <f ca="1">IF(Z47="","",INDEX(OFFSET(Arb!$H$2,,,Arb!$AJ$5,),Z47))</f>
        <v/>
      </c>
      <c r="AB47" s="3" t="str">
        <f t="shared" ca="1" si="6"/>
        <v/>
      </c>
      <c r="AC47" s="165" t="str">
        <f ca="1">IF(Z47="","",INDEX(OFFSET(Arb!$X$2,,,Arb!$AJ$5,),Z47)/AA47)</f>
        <v/>
      </c>
      <c r="AD47" s="165" t="str">
        <f ca="1">IF(Z47="","",(INDEX(OFFSET(Arb!$U$2,,,Arb!$AJ$5,),Z47)+INDEX(OFFSET(Arb!$V$2,,,Arb!$AJ$5,),Z47))/AA47)</f>
        <v/>
      </c>
      <c r="AE47" s="51" t="str">
        <f t="shared" ca="1" si="7"/>
        <v/>
      </c>
      <c r="AF47" s="91" t="str">
        <f ca="1">IF(Z47="","",DATE(INDEX(OFFSET(Arb!$C$2,,,Arb!$AJ$5,),Z47),INDEX(OFFSET(Arb!$B$2,,,Arb!$AJ$5,),Z47),INDEX(OFFSET(Arb!$A$2,,,Arb!$AJ$5,),Z47))+ROW()*0.001)</f>
        <v/>
      </c>
      <c r="AG47" s="442">
        <v>47</v>
      </c>
      <c r="AI47" s="52" t="str">
        <f ca="1">IF(AH47="","",INDEX(OFFSET(Arb!$H$2,,,Arb!$AJ$5,),AH47))</f>
        <v/>
      </c>
      <c r="AJ47" s="3" t="str">
        <f t="shared" ca="1" si="8"/>
        <v/>
      </c>
      <c r="AK47" s="165" t="str">
        <f ca="1">IF(AH47="","",INDEX(OFFSET(Arb!$X$2,,,Arb!$AJ$5,),AH47)/AI47)</f>
        <v/>
      </c>
      <c r="AL47" s="165" t="str">
        <f ca="1">IF(AH47="","",(INDEX(OFFSET(Arb!$U$2,,,Arb!$AJ$5,),AH47)+INDEX(OFFSET(Arb!$V$2,,,Arb!$AJ$5,),AH47))/AI47)</f>
        <v/>
      </c>
      <c r="AM47" s="51" t="str">
        <f t="shared" ca="1" si="9"/>
        <v/>
      </c>
      <c r="AN47" s="88" t="str">
        <f ca="1">IF(AH47="","",DATE(INDEX(OFFSET(Arb!$C$2,,,Arb!$AJ$5,),AH47),INDEX(OFFSET(Arb!$B$2,,,Arb!$AJ$5,),AH47),INDEX(OFFSET(Arb!$A$2,,,Arb!$AJ$5,),AH47))+ROW()*0.001)</f>
        <v/>
      </c>
      <c r="AO47" s="436">
        <v>47</v>
      </c>
      <c r="AQ47" s="52" t="str">
        <f ca="1">IF(AP47="","",INDEX(OFFSET(Arb!$H$2,,,Arb!$AJ$5,),AP47))</f>
        <v/>
      </c>
      <c r="AR47" s="3" t="str">
        <f t="shared" ca="1" si="10"/>
        <v/>
      </c>
      <c r="AS47" s="165" t="str">
        <f ca="1">IF(AP47="","",INDEX(OFFSET(Arb!$X$2,,,Arb!$AJ$5,),AP47)/AQ47)</f>
        <v/>
      </c>
      <c r="AT47" s="165" t="str">
        <f ca="1">IF(AP47="","",(INDEX(OFFSET(Arb!$U$2,,,Arb!$AJ$5,),AP47)+INDEX(OFFSET(Arb!$V$2,,,Arb!$AJ$5,),AP47))/AQ47)</f>
        <v/>
      </c>
      <c r="AU47" s="51" t="str">
        <f t="shared" ca="1" si="11"/>
        <v/>
      </c>
      <c r="AV47" s="91" t="str">
        <f ca="1">IF(AP47="","",DATE(INDEX(OFFSET(Arb!$C$2,,,Arb!$AJ$5,),AP47),INDEX(OFFSET(Arb!$B$2,,,Arb!$AJ$5,),AP47),INDEX(OFFSET(Arb!$A$2,,,Arb!$AJ$5,),AP47))+ROW()*0.001)</f>
        <v/>
      </c>
      <c r="AW47" s="442">
        <v>47</v>
      </c>
      <c r="AY47" s="52" t="str">
        <f ca="1">IF(AX47="","",INDEX(OFFSET(Arb!$H$2,,,Arb!$AJ$5,),AX47))</f>
        <v/>
      </c>
      <c r="AZ47" s="3" t="str">
        <f t="shared" ca="1" si="12"/>
        <v/>
      </c>
      <c r="BA47" s="165" t="str">
        <f ca="1">IF(AX47="","",INDEX(OFFSET(Arb!$X$2,,,Arb!$AJ$5,),AX47)/AY47)</f>
        <v/>
      </c>
      <c r="BB47" s="165" t="str">
        <f ca="1">IF(AX47="","",(INDEX(OFFSET(Arb!$U$2,,,Arb!$AJ$5,),AX47)+INDEX(OFFSET(Arb!$V$2,,,Arb!$AJ$5,),AX47))/AY47)</f>
        <v/>
      </c>
      <c r="BC47" s="51" t="str">
        <f t="shared" ca="1" si="13"/>
        <v/>
      </c>
      <c r="BD47" s="88" t="str">
        <f ca="1">IF(AX47="","",DATE(INDEX(OFFSET(Arb!$C$2,,,Arb!$AJ$5,),AX47),INDEX(OFFSET(Arb!$B$2,,,Arb!$AJ$5,),AX47),INDEX(OFFSET(Arb!$A$2,,,Arb!$AJ$5,),AX47))+ROW()*0.001)</f>
        <v/>
      </c>
      <c r="BE47" s="436">
        <v>47</v>
      </c>
      <c r="BG47" s="52" t="str">
        <f ca="1">IF(BF47="","",INDEX(OFFSET(Arb!$H$2,,,Arb!$AJ$5,),BF47))</f>
        <v/>
      </c>
      <c r="BH47" s="3" t="str">
        <f t="shared" ca="1" si="14"/>
        <v/>
      </c>
      <c r="BI47" s="165" t="str">
        <f ca="1">IF(BF47="","",INDEX(OFFSET(Arb!$X$2,,,Arb!$AJ$5,),BF47)/BG47)</f>
        <v/>
      </c>
      <c r="BJ47" s="165" t="str">
        <f ca="1">IF(BF47="","",(INDEX(OFFSET(Arb!$U$2,,,Arb!$AJ$5,),BF47)+INDEX(OFFSET(Arb!$V$2,,,Arb!$AJ$5,),BF47))/BG47)</f>
        <v/>
      </c>
      <c r="BK47" s="51" t="str">
        <f t="shared" ca="1" si="15"/>
        <v/>
      </c>
      <c r="BL47" s="91" t="str">
        <f ca="1">IF(BF47="","",DATE(INDEX(OFFSET(Arb!$C$2,,,Arb!$AJ$5,),BF47),INDEX(OFFSET(Arb!$B$2,,,Arb!$AJ$5,),BF47),INDEX(OFFSET(Arb!$A$2,,,Arb!$AJ$5,),BF47))+ROW()*0.001)</f>
        <v/>
      </c>
      <c r="BM47" s="442">
        <v>47</v>
      </c>
      <c r="BO47" s="52" t="str">
        <f ca="1">IF(BN47="","",INDEX(OFFSET(Arb!$H$2,,,Arb!$AJ$5,),BN47))</f>
        <v/>
      </c>
      <c r="BP47" s="3" t="str">
        <f t="shared" ca="1" si="16"/>
        <v/>
      </c>
      <c r="BQ47" s="165" t="str">
        <f ca="1">IF(BN47="","",INDEX(OFFSET(Arb!$X$2,,,Arb!$AJ$5,),BN47)/BO47)</f>
        <v/>
      </c>
      <c r="BR47" s="165" t="str">
        <f ca="1">IF(BN47="","",(INDEX(OFFSET(Arb!$U$2,,,Arb!$AJ$5,),BN47)+INDEX(OFFSET(Arb!$V$2,,,Arb!$AJ$5,),BN47))/BO47)</f>
        <v/>
      </c>
      <c r="BS47" s="51" t="str">
        <f t="shared" ca="1" si="17"/>
        <v/>
      </c>
      <c r="BT47" s="88" t="str">
        <f ca="1">IF(BN47="","",DATE(INDEX(OFFSET(Arb!$C$2,,,Arb!$AJ$5,),BN47),INDEX(OFFSET(Arb!$B$2,,,Arb!$AJ$5,),BN47),INDEX(OFFSET(Arb!$A$2,,,Arb!$AJ$5,),BN47))+ROW()*0.001)</f>
        <v/>
      </c>
      <c r="BU47" s="436">
        <v>47</v>
      </c>
      <c r="BW47" s="52" t="str">
        <f ca="1">IF(BV47="","",INDEX(OFFSET(Arb!$H$2,,,Arb!$AJ$5,),BV47))</f>
        <v/>
      </c>
      <c r="BX47" s="3" t="str">
        <f t="shared" ca="1" si="18"/>
        <v/>
      </c>
      <c r="BY47" s="165" t="str">
        <f ca="1">IF(BV47="","",INDEX(OFFSET(Arb!$X$2,,,Arb!$AJ$5,),BV47)/BW47)</f>
        <v/>
      </c>
      <c r="BZ47" s="165" t="str">
        <f ca="1">IF(BV47="","",(INDEX(OFFSET(Arb!$U$2,,,Arb!$AJ$5,),BV47)+INDEX(OFFSET(Arb!$V$2,,,Arb!$AJ$5,),BV47))/BW47)</f>
        <v/>
      </c>
      <c r="CA47" s="51" t="str">
        <f t="shared" ca="1" si="19"/>
        <v/>
      </c>
      <c r="CB47" s="91" t="str">
        <f ca="1">IF(BV47="","",DATE(INDEX(OFFSET(Arb!$C$2,,,Arb!$AJ$5,),BV47),INDEX(OFFSET(Arb!$B$2,,,Arb!$AJ$5,),BV47),INDEX(OFFSET(Arb!$A$2,,,Arb!$AJ$5,),BV47))+ROW()*0.001)</f>
        <v/>
      </c>
    </row>
    <row r="48" spans="1:80" x14ac:dyDescent="0.25">
      <c r="A48" s="433">
        <v>48</v>
      </c>
      <c r="C48" s="52" t="str">
        <f ca="1">IF(B48="","",INDEX(OFFSET(Arb!$H$2,,,Arb!$AJ$5,),B48))</f>
        <v/>
      </c>
      <c r="D48" s="3" t="str">
        <f t="shared" ca="1" si="0"/>
        <v/>
      </c>
      <c r="E48" s="165" t="str">
        <f ca="1">IF(B48="","",INDEX(OFFSET(Arb!$X$2,,,Arb!$AJ$5,),B48)/C48)</f>
        <v/>
      </c>
      <c r="F48" s="165" t="str">
        <f ca="1">IF(B48="","",(INDEX(OFFSET(Arb!$U$2,,,Arb!$AJ$5,),B48)+INDEX(OFFSET(Arb!$V$2,,,Arb!$AJ$5,),B48))/C48)</f>
        <v/>
      </c>
      <c r="G48" s="51" t="str">
        <f t="shared" ca="1" si="1"/>
        <v/>
      </c>
      <c r="H48" s="355" t="str">
        <f ca="1">IF(B48="","",DATE(INDEX(OFFSET(Arb!$C$2,,,Arb!$AJ$5,),B48),INDEX(OFFSET(Arb!$B$2,,,Arb!$AJ$5,),B48),INDEX(OFFSET(Arb!$A$2,,,Arb!$AJ$5,),B48))+ROW()*0.001)</f>
        <v/>
      </c>
      <c r="I48" s="436">
        <v>48</v>
      </c>
      <c r="K48" s="52" t="str">
        <f ca="1">IF(J48="","",INDEX(OFFSET(Arb!$H$2,,,Arb!$AJ$5,),J48))</f>
        <v/>
      </c>
      <c r="L48" s="3" t="str">
        <f t="shared" ca="1" si="2"/>
        <v/>
      </c>
      <c r="M48" s="165" t="str">
        <f ca="1">IF(J48="","",INDEX(OFFSET(Arb!$X$2,,,Arb!$AJ$5,),J48)/K48)</f>
        <v/>
      </c>
      <c r="N48" s="165" t="str">
        <f ca="1">IF(J48="","",(INDEX(OFFSET(Arb!$U$2,,,Arb!$AJ$5,),J48)+INDEX(OFFSET(Arb!$V$2,,,Arb!$AJ$5,),J48))/K48)</f>
        <v/>
      </c>
      <c r="O48" s="51" t="str">
        <f t="shared" ca="1" si="3"/>
        <v/>
      </c>
      <c r="P48" s="91" t="str">
        <f ca="1">IF(J48="","",DATE(INDEX(OFFSET(Arb!$C$2,,,Arb!$AJ$5,),J48),INDEX(OFFSET(Arb!$B$2,,,Arb!$AJ$5,),J48),INDEX(OFFSET(Arb!$A$2,,,Arb!$AJ$5,),J48))+ROW()*0.001)</f>
        <v/>
      </c>
      <c r="Q48" s="442">
        <v>48</v>
      </c>
      <c r="S48" s="52" t="str">
        <f ca="1">IF(R48="","",INDEX(OFFSET(Arb!$H$2,,,Arb!$AJ$5,),R48))</f>
        <v/>
      </c>
      <c r="T48" s="3" t="str">
        <f t="shared" ca="1" si="4"/>
        <v/>
      </c>
      <c r="U48" s="165" t="str">
        <f ca="1">IF(R48="","",INDEX(OFFSET(Arb!$X$2,,,Arb!$AJ$5,),R48)/S48)</f>
        <v/>
      </c>
      <c r="V48" s="165" t="str">
        <f ca="1">IF(R48="","",(INDEX(OFFSET(Arb!$U$2,,,Arb!$AJ$5,),R48)+INDEX(OFFSET(Arb!$V$2,,,Arb!$AJ$5,),R48))/S48)</f>
        <v/>
      </c>
      <c r="W48" s="51" t="str">
        <f t="shared" ca="1" si="5"/>
        <v/>
      </c>
      <c r="X48" s="88" t="str">
        <f ca="1">IF(R48="","",DATE(INDEX(OFFSET(Arb!$C$2,,,Arb!$AJ$5,),R48),INDEX(OFFSET(Arb!$B$2,,,Arb!$AJ$5,),R48),INDEX(OFFSET(Arb!$A$2,,,Arb!$AJ$5,),R48))+ROW()*0.001)</f>
        <v/>
      </c>
      <c r="Y48" s="436">
        <v>48</v>
      </c>
      <c r="AA48" s="52" t="str">
        <f ca="1">IF(Z48="","",INDEX(OFFSET(Arb!$H$2,,,Arb!$AJ$5,),Z48))</f>
        <v/>
      </c>
      <c r="AB48" s="3" t="str">
        <f t="shared" ca="1" si="6"/>
        <v/>
      </c>
      <c r="AC48" s="165" t="str">
        <f ca="1">IF(Z48="","",INDEX(OFFSET(Arb!$X$2,,,Arb!$AJ$5,),Z48)/AA48)</f>
        <v/>
      </c>
      <c r="AD48" s="165" t="str">
        <f ca="1">IF(Z48="","",(INDEX(OFFSET(Arb!$U$2,,,Arb!$AJ$5,),Z48)+INDEX(OFFSET(Arb!$V$2,,,Arb!$AJ$5,),Z48))/AA48)</f>
        <v/>
      </c>
      <c r="AE48" s="51" t="str">
        <f t="shared" ca="1" si="7"/>
        <v/>
      </c>
      <c r="AF48" s="91" t="str">
        <f ca="1">IF(Z48="","",DATE(INDEX(OFFSET(Arb!$C$2,,,Arb!$AJ$5,),Z48),INDEX(OFFSET(Arb!$B$2,,,Arb!$AJ$5,),Z48),INDEX(OFFSET(Arb!$A$2,,,Arb!$AJ$5,),Z48))+ROW()*0.001)</f>
        <v/>
      </c>
      <c r="AG48" s="442">
        <v>48</v>
      </c>
      <c r="AI48" s="52" t="str">
        <f ca="1">IF(AH48="","",INDEX(OFFSET(Arb!$H$2,,,Arb!$AJ$5,),AH48))</f>
        <v/>
      </c>
      <c r="AJ48" s="3" t="str">
        <f t="shared" ca="1" si="8"/>
        <v/>
      </c>
      <c r="AK48" s="165" t="str">
        <f ca="1">IF(AH48="","",INDEX(OFFSET(Arb!$X$2,,,Arb!$AJ$5,),AH48)/AI48)</f>
        <v/>
      </c>
      <c r="AL48" s="165" t="str">
        <f ca="1">IF(AH48="","",(INDEX(OFFSET(Arb!$U$2,,,Arb!$AJ$5,),AH48)+INDEX(OFFSET(Arb!$V$2,,,Arb!$AJ$5,),AH48))/AI48)</f>
        <v/>
      </c>
      <c r="AM48" s="51" t="str">
        <f t="shared" ca="1" si="9"/>
        <v/>
      </c>
      <c r="AN48" s="88" t="str">
        <f ca="1">IF(AH48="","",DATE(INDEX(OFFSET(Arb!$C$2,,,Arb!$AJ$5,),AH48),INDEX(OFFSET(Arb!$B$2,,,Arb!$AJ$5,),AH48),INDEX(OFFSET(Arb!$A$2,,,Arb!$AJ$5,),AH48))+ROW()*0.001)</f>
        <v/>
      </c>
      <c r="AO48" s="436">
        <v>48</v>
      </c>
      <c r="AQ48" s="52" t="str">
        <f ca="1">IF(AP48="","",INDEX(OFFSET(Arb!$H$2,,,Arb!$AJ$5,),AP48))</f>
        <v/>
      </c>
      <c r="AR48" s="3" t="str">
        <f t="shared" ca="1" si="10"/>
        <v/>
      </c>
      <c r="AS48" s="165" t="str">
        <f ca="1">IF(AP48="","",INDEX(OFFSET(Arb!$X$2,,,Arb!$AJ$5,),AP48)/AQ48)</f>
        <v/>
      </c>
      <c r="AT48" s="165" t="str">
        <f ca="1">IF(AP48="","",(INDEX(OFFSET(Arb!$U$2,,,Arb!$AJ$5,),AP48)+INDEX(OFFSET(Arb!$V$2,,,Arb!$AJ$5,),AP48))/AQ48)</f>
        <v/>
      </c>
      <c r="AU48" s="51" t="str">
        <f t="shared" ca="1" si="11"/>
        <v/>
      </c>
      <c r="AV48" s="91" t="str">
        <f ca="1">IF(AP48="","",DATE(INDEX(OFFSET(Arb!$C$2,,,Arb!$AJ$5,),AP48),INDEX(OFFSET(Arb!$B$2,,,Arb!$AJ$5,),AP48),INDEX(OFFSET(Arb!$A$2,,,Arb!$AJ$5,),AP48))+ROW()*0.001)</f>
        <v/>
      </c>
      <c r="AW48" s="442">
        <v>48</v>
      </c>
      <c r="AY48" s="52" t="str">
        <f ca="1">IF(AX48="","",INDEX(OFFSET(Arb!$H$2,,,Arb!$AJ$5,),AX48))</f>
        <v/>
      </c>
      <c r="AZ48" s="3" t="str">
        <f t="shared" ca="1" si="12"/>
        <v/>
      </c>
      <c r="BA48" s="165" t="str">
        <f ca="1">IF(AX48="","",INDEX(OFFSET(Arb!$X$2,,,Arb!$AJ$5,),AX48)/AY48)</f>
        <v/>
      </c>
      <c r="BB48" s="165" t="str">
        <f ca="1">IF(AX48="","",(INDEX(OFFSET(Arb!$U$2,,,Arb!$AJ$5,),AX48)+INDEX(OFFSET(Arb!$V$2,,,Arb!$AJ$5,),AX48))/AY48)</f>
        <v/>
      </c>
      <c r="BC48" s="51" t="str">
        <f t="shared" ca="1" si="13"/>
        <v/>
      </c>
      <c r="BD48" s="88" t="str">
        <f ca="1">IF(AX48="","",DATE(INDEX(OFFSET(Arb!$C$2,,,Arb!$AJ$5,),AX48),INDEX(OFFSET(Arb!$B$2,,,Arb!$AJ$5,),AX48),INDEX(OFFSET(Arb!$A$2,,,Arb!$AJ$5,),AX48))+ROW()*0.001)</f>
        <v/>
      </c>
      <c r="BE48" s="436">
        <v>48</v>
      </c>
      <c r="BG48" s="52" t="str">
        <f ca="1">IF(BF48="","",INDEX(OFFSET(Arb!$H$2,,,Arb!$AJ$5,),BF48))</f>
        <v/>
      </c>
      <c r="BH48" s="3" t="str">
        <f t="shared" ca="1" si="14"/>
        <v/>
      </c>
      <c r="BI48" s="165" t="str">
        <f ca="1">IF(BF48="","",INDEX(OFFSET(Arb!$X$2,,,Arb!$AJ$5,),BF48)/BG48)</f>
        <v/>
      </c>
      <c r="BJ48" s="165" t="str">
        <f ca="1">IF(BF48="","",(INDEX(OFFSET(Arb!$U$2,,,Arb!$AJ$5,),BF48)+INDEX(OFFSET(Arb!$V$2,,,Arb!$AJ$5,),BF48))/BG48)</f>
        <v/>
      </c>
      <c r="BK48" s="51" t="str">
        <f t="shared" ca="1" si="15"/>
        <v/>
      </c>
      <c r="BL48" s="91" t="str">
        <f ca="1">IF(BF48="","",DATE(INDEX(OFFSET(Arb!$C$2,,,Arb!$AJ$5,),BF48),INDEX(OFFSET(Arb!$B$2,,,Arb!$AJ$5,),BF48),INDEX(OFFSET(Arb!$A$2,,,Arb!$AJ$5,),BF48))+ROW()*0.001)</f>
        <v/>
      </c>
      <c r="BM48" s="442">
        <v>48</v>
      </c>
      <c r="BO48" s="52" t="str">
        <f ca="1">IF(BN48="","",INDEX(OFFSET(Arb!$H$2,,,Arb!$AJ$5,),BN48))</f>
        <v/>
      </c>
      <c r="BP48" s="3" t="str">
        <f t="shared" ca="1" si="16"/>
        <v/>
      </c>
      <c r="BQ48" s="165" t="str">
        <f ca="1">IF(BN48="","",INDEX(OFFSET(Arb!$X$2,,,Arb!$AJ$5,),BN48)/BO48)</f>
        <v/>
      </c>
      <c r="BR48" s="165" t="str">
        <f ca="1">IF(BN48="","",(INDEX(OFFSET(Arb!$U$2,,,Arb!$AJ$5,),BN48)+INDEX(OFFSET(Arb!$V$2,,,Arb!$AJ$5,),BN48))/BO48)</f>
        <v/>
      </c>
      <c r="BS48" s="51" t="str">
        <f t="shared" ca="1" si="17"/>
        <v/>
      </c>
      <c r="BT48" s="88" t="str">
        <f ca="1">IF(BN48="","",DATE(INDEX(OFFSET(Arb!$C$2,,,Arb!$AJ$5,),BN48),INDEX(OFFSET(Arb!$B$2,,,Arb!$AJ$5,),BN48),INDEX(OFFSET(Arb!$A$2,,,Arb!$AJ$5,),BN48))+ROW()*0.001)</f>
        <v/>
      </c>
      <c r="BU48" s="436">
        <v>48</v>
      </c>
      <c r="BW48" s="52" t="str">
        <f ca="1">IF(BV48="","",INDEX(OFFSET(Arb!$H$2,,,Arb!$AJ$5,),BV48))</f>
        <v/>
      </c>
      <c r="BX48" s="3" t="str">
        <f t="shared" ca="1" si="18"/>
        <v/>
      </c>
      <c r="BY48" s="165" t="str">
        <f ca="1">IF(BV48="","",INDEX(OFFSET(Arb!$X$2,,,Arb!$AJ$5,),BV48)/BW48)</f>
        <v/>
      </c>
      <c r="BZ48" s="165" t="str">
        <f ca="1">IF(BV48="","",(INDEX(OFFSET(Arb!$U$2,,,Arb!$AJ$5,),BV48)+INDEX(OFFSET(Arb!$V$2,,,Arb!$AJ$5,),BV48))/BW48)</f>
        <v/>
      </c>
      <c r="CA48" s="51" t="str">
        <f t="shared" ca="1" si="19"/>
        <v/>
      </c>
      <c r="CB48" s="91" t="str">
        <f ca="1">IF(BV48="","",DATE(INDEX(OFFSET(Arb!$C$2,,,Arb!$AJ$5,),BV48),INDEX(OFFSET(Arb!$B$2,,,Arb!$AJ$5,),BV48),INDEX(OFFSET(Arb!$A$2,,,Arb!$AJ$5,),BV48))+ROW()*0.001)</f>
        <v/>
      </c>
    </row>
    <row r="49" spans="1:80" x14ac:dyDescent="0.25">
      <c r="A49" s="433">
        <v>49</v>
      </c>
      <c r="C49" s="52" t="str">
        <f ca="1">IF(B49="","",INDEX(OFFSET(Arb!$H$2,,,Arb!$AJ$5,),B49))</f>
        <v/>
      </c>
      <c r="D49" s="3" t="str">
        <f t="shared" ca="1" si="0"/>
        <v/>
      </c>
      <c r="E49" s="165" t="str">
        <f ca="1">IF(B49="","",INDEX(OFFSET(Arb!$X$2,,,Arb!$AJ$5,),B49)/C49)</f>
        <v/>
      </c>
      <c r="F49" s="165" t="str">
        <f ca="1">IF(B49="","",(INDEX(OFFSET(Arb!$U$2,,,Arb!$AJ$5,),B49)+INDEX(OFFSET(Arb!$V$2,,,Arb!$AJ$5,),B49))/C49)</f>
        <v/>
      </c>
      <c r="G49" s="51" t="str">
        <f t="shared" ca="1" si="1"/>
        <v/>
      </c>
      <c r="H49" s="355" t="str">
        <f ca="1">IF(B49="","",DATE(INDEX(OFFSET(Arb!$C$2,,,Arb!$AJ$5,),B49),INDEX(OFFSET(Arb!$B$2,,,Arb!$AJ$5,),B49),INDEX(OFFSET(Arb!$A$2,,,Arb!$AJ$5,),B49))+ROW()*0.001)</f>
        <v/>
      </c>
      <c r="I49" s="436">
        <v>49</v>
      </c>
      <c r="K49" s="52" t="str">
        <f ca="1">IF(J49="","",INDEX(OFFSET(Arb!$H$2,,,Arb!$AJ$5,),J49))</f>
        <v/>
      </c>
      <c r="L49" s="3" t="str">
        <f t="shared" ca="1" si="2"/>
        <v/>
      </c>
      <c r="M49" s="165" t="str">
        <f ca="1">IF(J49="","",INDEX(OFFSET(Arb!$X$2,,,Arb!$AJ$5,),J49)/K49)</f>
        <v/>
      </c>
      <c r="N49" s="165" t="str">
        <f ca="1">IF(J49="","",(INDEX(OFFSET(Arb!$U$2,,,Arb!$AJ$5,),J49)+INDEX(OFFSET(Arb!$V$2,,,Arb!$AJ$5,),J49))/K49)</f>
        <v/>
      </c>
      <c r="O49" s="51" t="str">
        <f t="shared" ca="1" si="3"/>
        <v/>
      </c>
      <c r="P49" s="91" t="str">
        <f ca="1">IF(J49="","",DATE(INDEX(OFFSET(Arb!$C$2,,,Arb!$AJ$5,),J49),INDEX(OFFSET(Arb!$B$2,,,Arb!$AJ$5,),J49),INDEX(OFFSET(Arb!$A$2,,,Arb!$AJ$5,),J49))+ROW()*0.001)</f>
        <v/>
      </c>
      <c r="Q49" s="442">
        <v>49</v>
      </c>
      <c r="S49" s="52" t="str">
        <f ca="1">IF(R49="","",INDEX(OFFSET(Arb!$H$2,,,Arb!$AJ$5,),R49))</f>
        <v/>
      </c>
      <c r="T49" s="3" t="str">
        <f t="shared" ca="1" si="4"/>
        <v/>
      </c>
      <c r="U49" s="165" t="str">
        <f ca="1">IF(R49="","",INDEX(OFFSET(Arb!$X$2,,,Arb!$AJ$5,),R49)/S49)</f>
        <v/>
      </c>
      <c r="V49" s="165" t="str">
        <f ca="1">IF(R49="","",(INDEX(OFFSET(Arb!$U$2,,,Arb!$AJ$5,),R49)+INDEX(OFFSET(Arb!$V$2,,,Arb!$AJ$5,),R49))/S49)</f>
        <v/>
      </c>
      <c r="W49" s="51" t="str">
        <f t="shared" ca="1" si="5"/>
        <v/>
      </c>
      <c r="X49" s="88" t="str">
        <f ca="1">IF(R49="","",DATE(INDEX(OFFSET(Arb!$C$2,,,Arb!$AJ$5,),R49),INDEX(OFFSET(Arb!$B$2,,,Arb!$AJ$5,),R49),INDEX(OFFSET(Arb!$A$2,,,Arb!$AJ$5,),R49))+ROW()*0.001)</f>
        <v/>
      </c>
      <c r="Y49" s="436">
        <v>49</v>
      </c>
      <c r="AA49" s="52" t="str">
        <f ca="1">IF(Z49="","",INDEX(OFFSET(Arb!$H$2,,,Arb!$AJ$5,),Z49))</f>
        <v/>
      </c>
      <c r="AB49" s="3" t="str">
        <f t="shared" ca="1" si="6"/>
        <v/>
      </c>
      <c r="AC49" s="165" t="str">
        <f ca="1">IF(Z49="","",INDEX(OFFSET(Arb!$X$2,,,Arb!$AJ$5,),Z49)/AA49)</f>
        <v/>
      </c>
      <c r="AD49" s="165" t="str">
        <f ca="1">IF(Z49="","",(INDEX(OFFSET(Arb!$U$2,,,Arb!$AJ$5,),Z49)+INDEX(OFFSET(Arb!$V$2,,,Arb!$AJ$5,),Z49))/AA49)</f>
        <v/>
      </c>
      <c r="AE49" s="51" t="str">
        <f t="shared" ca="1" si="7"/>
        <v/>
      </c>
      <c r="AF49" s="91" t="str">
        <f ca="1">IF(Z49="","",DATE(INDEX(OFFSET(Arb!$C$2,,,Arb!$AJ$5,),Z49),INDEX(OFFSET(Arb!$B$2,,,Arb!$AJ$5,),Z49),INDEX(OFFSET(Arb!$A$2,,,Arb!$AJ$5,),Z49))+ROW()*0.001)</f>
        <v/>
      </c>
      <c r="AG49" s="442">
        <v>49</v>
      </c>
      <c r="AI49" s="52" t="str">
        <f ca="1">IF(AH49="","",INDEX(OFFSET(Arb!$H$2,,,Arb!$AJ$5,),AH49))</f>
        <v/>
      </c>
      <c r="AJ49" s="3" t="str">
        <f t="shared" ca="1" si="8"/>
        <v/>
      </c>
      <c r="AK49" s="165" t="str">
        <f ca="1">IF(AH49="","",INDEX(OFFSET(Arb!$X$2,,,Arb!$AJ$5,),AH49)/AI49)</f>
        <v/>
      </c>
      <c r="AL49" s="165" t="str">
        <f ca="1">IF(AH49="","",(INDEX(OFFSET(Arb!$U$2,,,Arb!$AJ$5,),AH49)+INDEX(OFFSET(Arb!$V$2,,,Arb!$AJ$5,),AH49))/AI49)</f>
        <v/>
      </c>
      <c r="AM49" s="51" t="str">
        <f t="shared" ca="1" si="9"/>
        <v/>
      </c>
      <c r="AN49" s="88" t="str">
        <f ca="1">IF(AH49="","",DATE(INDEX(OFFSET(Arb!$C$2,,,Arb!$AJ$5,),AH49),INDEX(OFFSET(Arb!$B$2,,,Arb!$AJ$5,),AH49),INDEX(OFFSET(Arb!$A$2,,,Arb!$AJ$5,),AH49))+ROW()*0.001)</f>
        <v/>
      </c>
      <c r="AO49" s="436">
        <v>49</v>
      </c>
      <c r="AQ49" s="52" t="str">
        <f ca="1">IF(AP49="","",INDEX(OFFSET(Arb!$H$2,,,Arb!$AJ$5,),AP49))</f>
        <v/>
      </c>
      <c r="AR49" s="3" t="str">
        <f t="shared" ca="1" si="10"/>
        <v/>
      </c>
      <c r="AS49" s="165" t="str">
        <f ca="1">IF(AP49="","",INDEX(OFFSET(Arb!$X$2,,,Arb!$AJ$5,),AP49)/AQ49)</f>
        <v/>
      </c>
      <c r="AT49" s="165" t="str">
        <f ca="1">IF(AP49="","",(INDEX(OFFSET(Arb!$U$2,,,Arb!$AJ$5,),AP49)+INDEX(OFFSET(Arb!$V$2,,,Arb!$AJ$5,),AP49))/AQ49)</f>
        <v/>
      </c>
      <c r="AU49" s="51" t="str">
        <f t="shared" ca="1" si="11"/>
        <v/>
      </c>
      <c r="AV49" s="91" t="str">
        <f ca="1">IF(AP49="","",DATE(INDEX(OFFSET(Arb!$C$2,,,Arb!$AJ$5,),AP49),INDEX(OFFSET(Arb!$B$2,,,Arb!$AJ$5,),AP49),INDEX(OFFSET(Arb!$A$2,,,Arb!$AJ$5,),AP49))+ROW()*0.001)</f>
        <v/>
      </c>
      <c r="AW49" s="442">
        <v>49</v>
      </c>
      <c r="AY49" s="52" t="str">
        <f ca="1">IF(AX49="","",INDEX(OFFSET(Arb!$H$2,,,Arb!$AJ$5,),AX49))</f>
        <v/>
      </c>
      <c r="AZ49" s="3" t="str">
        <f t="shared" ca="1" si="12"/>
        <v/>
      </c>
      <c r="BA49" s="165" t="str">
        <f ca="1">IF(AX49="","",INDEX(OFFSET(Arb!$X$2,,,Arb!$AJ$5,),AX49)/AY49)</f>
        <v/>
      </c>
      <c r="BB49" s="165" t="str">
        <f ca="1">IF(AX49="","",(INDEX(OFFSET(Arb!$U$2,,,Arb!$AJ$5,),AX49)+INDEX(OFFSET(Arb!$V$2,,,Arb!$AJ$5,),AX49))/AY49)</f>
        <v/>
      </c>
      <c r="BC49" s="51" t="str">
        <f t="shared" ca="1" si="13"/>
        <v/>
      </c>
      <c r="BD49" s="88" t="str">
        <f ca="1">IF(AX49="","",DATE(INDEX(OFFSET(Arb!$C$2,,,Arb!$AJ$5,),AX49),INDEX(OFFSET(Arb!$B$2,,,Arb!$AJ$5,),AX49),INDEX(OFFSET(Arb!$A$2,,,Arb!$AJ$5,),AX49))+ROW()*0.001)</f>
        <v/>
      </c>
      <c r="BE49" s="436">
        <v>49</v>
      </c>
      <c r="BG49" s="52" t="str">
        <f ca="1">IF(BF49="","",INDEX(OFFSET(Arb!$H$2,,,Arb!$AJ$5,),BF49))</f>
        <v/>
      </c>
      <c r="BH49" s="3" t="str">
        <f t="shared" ca="1" si="14"/>
        <v/>
      </c>
      <c r="BI49" s="165" t="str">
        <f ca="1">IF(BF49="","",INDEX(OFFSET(Arb!$X$2,,,Arb!$AJ$5,),BF49)/BG49)</f>
        <v/>
      </c>
      <c r="BJ49" s="165" t="str">
        <f ca="1">IF(BF49="","",(INDEX(OFFSET(Arb!$U$2,,,Arb!$AJ$5,),BF49)+INDEX(OFFSET(Arb!$V$2,,,Arb!$AJ$5,),BF49))/BG49)</f>
        <v/>
      </c>
      <c r="BK49" s="51" t="str">
        <f t="shared" ca="1" si="15"/>
        <v/>
      </c>
      <c r="BL49" s="91" t="str">
        <f ca="1">IF(BF49="","",DATE(INDEX(OFFSET(Arb!$C$2,,,Arb!$AJ$5,),BF49),INDEX(OFFSET(Arb!$B$2,,,Arb!$AJ$5,),BF49),INDEX(OFFSET(Arb!$A$2,,,Arb!$AJ$5,),BF49))+ROW()*0.001)</f>
        <v/>
      </c>
      <c r="BM49" s="442">
        <v>49</v>
      </c>
      <c r="BO49" s="52" t="str">
        <f ca="1">IF(BN49="","",INDEX(OFFSET(Arb!$H$2,,,Arb!$AJ$5,),BN49))</f>
        <v/>
      </c>
      <c r="BP49" s="3" t="str">
        <f t="shared" ca="1" si="16"/>
        <v/>
      </c>
      <c r="BQ49" s="165" t="str">
        <f ca="1">IF(BN49="","",INDEX(OFFSET(Arb!$X$2,,,Arb!$AJ$5,),BN49)/BO49)</f>
        <v/>
      </c>
      <c r="BR49" s="165" t="str">
        <f ca="1">IF(BN49="","",(INDEX(OFFSET(Arb!$U$2,,,Arb!$AJ$5,),BN49)+INDEX(OFFSET(Arb!$V$2,,,Arb!$AJ$5,),BN49))/BO49)</f>
        <v/>
      </c>
      <c r="BS49" s="51" t="str">
        <f t="shared" ca="1" si="17"/>
        <v/>
      </c>
      <c r="BT49" s="88" t="str">
        <f ca="1">IF(BN49="","",DATE(INDEX(OFFSET(Arb!$C$2,,,Arb!$AJ$5,),BN49),INDEX(OFFSET(Arb!$B$2,,,Arb!$AJ$5,),BN49),INDEX(OFFSET(Arb!$A$2,,,Arb!$AJ$5,),BN49))+ROW()*0.001)</f>
        <v/>
      </c>
      <c r="BU49" s="436">
        <v>49</v>
      </c>
      <c r="BW49" s="52" t="str">
        <f ca="1">IF(BV49="","",INDEX(OFFSET(Arb!$H$2,,,Arb!$AJ$5,),BV49))</f>
        <v/>
      </c>
      <c r="BX49" s="3" t="str">
        <f t="shared" ca="1" si="18"/>
        <v/>
      </c>
      <c r="BY49" s="165" t="str">
        <f ca="1">IF(BV49="","",INDEX(OFFSET(Arb!$X$2,,,Arb!$AJ$5,),BV49)/BW49)</f>
        <v/>
      </c>
      <c r="BZ49" s="165" t="str">
        <f ca="1">IF(BV49="","",(INDEX(OFFSET(Arb!$U$2,,,Arb!$AJ$5,),BV49)+INDEX(OFFSET(Arb!$V$2,,,Arb!$AJ$5,),BV49))/BW49)</f>
        <v/>
      </c>
      <c r="CA49" s="51" t="str">
        <f t="shared" ca="1" si="19"/>
        <v/>
      </c>
      <c r="CB49" s="91" t="str">
        <f ca="1">IF(BV49="","",DATE(INDEX(OFFSET(Arb!$C$2,,,Arb!$AJ$5,),BV49),INDEX(OFFSET(Arb!$B$2,,,Arb!$AJ$5,),BV49),INDEX(OFFSET(Arb!$A$2,,,Arb!$AJ$5,),BV49))+ROW()*0.001)</f>
        <v/>
      </c>
    </row>
    <row r="50" spans="1:80" s="5" customFormat="1" x14ac:dyDescent="0.25">
      <c r="A50" s="433">
        <v>50</v>
      </c>
      <c r="B50" s="1"/>
      <c r="C50" s="52"/>
      <c r="D50" s="3"/>
      <c r="E50" s="165"/>
      <c r="F50" s="165"/>
      <c r="G50" s="51"/>
      <c r="H50" s="355"/>
      <c r="I50" s="436">
        <v>50</v>
      </c>
      <c r="J50" s="1"/>
      <c r="K50" s="52"/>
      <c r="L50" s="3"/>
      <c r="M50" s="165"/>
      <c r="N50" s="165"/>
      <c r="O50" s="51"/>
      <c r="P50" s="238"/>
      <c r="Q50" s="442">
        <v>50</v>
      </c>
      <c r="R50" s="1"/>
      <c r="S50" s="52"/>
      <c r="T50" s="3"/>
      <c r="U50" s="165"/>
      <c r="V50" s="165"/>
      <c r="W50" s="51"/>
      <c r="X50" s="237"/>
      <c r="Y50" s="436">
        <v>50</v>
      </c>
      <c r="Z50" s="1"/>
      <c r="AA50" s="52"/>
      <c r="AB50" s="3"/>
      <c r="AC50" s="165"/>
      <c r="AD50" s="165"/>
      <c r="AE50" s="51"/>
      <c r="AF50" s="238"/>
      <c r="AG50" s="442">
        <v>50</v>
      </c>
      <c r="AH50" s="1"/>
      <c r="AI50" s="52"/>
      <c r="AJ50" s="3"/>
      <c r="AK50" s="165"/>
      <c r="AL50" s="165"/>
      <c r="AM50" s="51"/>
      <c r="AN50" s="237"/>
      <c r="AO50" s="436">
        <v>50</v>
      </c>
      <c r="AP50" s="1"/>
      <c r="AQ50" s="52"/>
      <c r="AR50" s="3"/>
      <c r="AS50" s="165"/>
      <c r="AT50" s="165"/>
      <c r="AU50" s="51"/>
      <c r="AV50" s="238"/>
      <c r="AW50" s="442">
        <v>50</v>
      </c>
      <c r="AX50" s="1"/>
      <c r="AY50" s="52"/>
      <c r="AZ50" s="3"/>
      <c r="BA50" s="165"/>
      <c r="BB50" s="165"/>
      <c r="BC50" s="51"/>
      <c r="BD50" s="237"/>
      <c r="BE50" s="436">
        <v>50</v>
      </c>
      <c r="BF50" s="1"/>
      <c r="BG50" s="52"/>
      <c r="BH50" s="3"/>
      <c r="BI50" s="165"/>
      <c r="BJ50" s="165"/>
      <c r="BK50" s="51"/>
      <c r="BL50" s="238"/>
      <c r="BM50" s="442">
        <v>50</v>
      </c>
      <c r="BN50" s="1"/>
      <c r="BO50" s="52"/>
      <c r="BP50" s="3"/>
      <c r="BQ50" s="165"/>
      <c r="BR50" s="165"/>
      <c r="BS50" s="51"/>
      <c r="BT50" s="237"/>
      <c r="BU50" s="436">
        <v>50</v>
      </c>
      <c r="BV50" s="1"/>
      <c r="BW50" s="52"/>
      <c r="BX50" s="3"/>
      <c r="BY50" s="165"/>
      <c r="BZ50" s="165"/>
      <c r="CA50" s="51"/>
      <c r="CB50" s="238"/>
    </row>
    <row r="51" spans="1:80" x14ac:dyDescent="0.25">
      <c r="A51" s="433">
        <v>51</v>
      </c>
      <c r="C51" s="52" t="str">
        <f ca="1">IF(B51="","",INDEX(OFFSET(Arb!$H$2,,,Arb!$AJ$5,),B51))</f>
        <v/>
      </c>
      <c r="D51" s="3" t="str">
        <f t="shared" ca="1" si="0"/>
        <v/>
      </c>
      <c r="E51" s="165" t="str">
        <f ca="1">IF(B51="","",INDEX(OFFSET(Arb!$X$2,,,Arb!$AJ$5,),B51)/C51)</f>
        <v/>
      </c>
      <c r="F51" s="165" t="str">
        <f ca="1">IF(B51="","",(INDEX(OFFSET(Arb!$U$2,,,Arb!$AJ$5,),B51)+INDEX(OFFSET(Arb!$V$2,,,Arb!$AJ$5,),B51))/C51)</f>
        <v/>
      </c>
      <c r="G51" s="51" t="str">
        <f t="shared" ca="1" si="1"/>
        <v/>
      </c>
      <c r="H51" s="355" t="str">
        <f ca="1">IF(B51="","",DATE(INDEX(OFFSET(Arb!$C$2,,,Arb!$AJ$5,),B51),INDEX(OFFSET(Arb!$B$2,,,Arb!$AJ$5,),B51),INDEX(OFFSET(Arb!$A$2,,,Arb!$AJ$5,),B51))+ROW()*0.001)</f>
        <v/>
      </c>
      <c r="I51" s="436">
        <v>51</v>
      </c>
      <c r="K51" s="52" t="str">
        <f ca="1">IF(J51="","",INDEX(OFFSET(Arb!$H$2,,,Arb!$AJ$5,),J51))</f>
        <v/>
      </c>
      <c r="L51" s="3" t="str">
        <f t="shared" ca="1" si="2"/>
        <v/>
      </c>
      <c r="M51" s="165" t="str">
        <f ca="1">IF(J51="","",INDEX(OFFSET(Arb!$X$2,,,Arb!$AJ$5,),J51)/K51)</f>
        <v/>
      </c>
      <c r="N51" s="165" t="str">
        <f ca="1">IF(J51="","",(INDEX(OFFSET(Arb!$U$2,,,Arb!$AJ$5,),J51)+INDEX(OFFSET(Arb!$V$2,,,Arb!$AJ$5,),J51))/K51)</f>
        <v/>
      </c>
      <c r="O51" s="51" t="str">
        <f t="shared" ca="1" si="3"/>
        <v/>
      </c>
      <c r="P51" s="91" t="str">
        <f ca="1">IF(J51="","",DATE(INDEX(OFFSET(Arb!$C$2,,,Arb!$AJ$5,),J51),INDEX(OFFSET(Arb!$B$2,,,Arb!$AJ$5,),J51),INDEX(OFFSET(Arb!$A$2,,,Arb!$AJ$5,),J51))+ROW()*0.001)</f>
        <v/>
      </c>
      <c r="Q51" s="442">
        <v>51</v>
      </c>
      <c r="S51" s="52" t="str">
        <f ca="1">IF(R51="","",INDEX(OFFSET(Arb!$H$2,,,Arb!$AJ$5,),R51))</f>
        <v/>
      </c>
      <c r="T51" s="3" t="str">
        <f t="shared" ca="1" si="4"/>
        <v/>
      </c>
      <c r="U51" s="165" t="str">
        <f ca="1">IF(R51="","",INDEX(OFFSET(Arb!$X$2,,,Arb!$AJ$5,),R51)/S51)</f>
        <v/>
      </c>
      <c r="V51" s="165" t="str">
        <f ca="1">IF(R51="","",(INDEX(OFFSET(Arb!$U$2,,,Arb!$AJ$5,),R51)+INDEX(OFFSET(Arb!$V$2,,,Arb!$AJ$5,),R51))/S51)</f>
        <v/>
      </c>
      <c r="W51" s="51" t="str">
        <f t="shared" ca="1" si="5"/>
        <v/>
      </c>
      <c r="X51" s="88" t="str">
        <f ca="1">IF(R51="","",DATE(INDEX(OFFSET(Arb!$C$2,,,Arb!$AJ$5,),R51),INDEX(OFFSET(Arb!$B$2,,,Arb!$AJ$5,),R51),INDEX(OFFSET(Arb!$A$2,,,Arb!$AJ$5,),R51))+ROW()*0.001)</f>
        <v/>
      </c>
      <c r="Y51" s="436">
        <v>51</v>
      </c>
      <c r="AA51" s="52" t="str">
        <f ca="1">IF(Z51="","",INDEX(OFFSET(Arb!$H$2,,,Arb!$AJ$5,),Z51))</f>
        <v/>
      </c>
      <c r="AB51" s="3" t="str">
        <f t="shared" ca="1" si="6"/>
        <v/>
      </c>
      <c r="AC51" s="165" t="str">
        <f ca="1">IF(Z51="","",INDEX(OFFSET(Arb!$X$2,,,Arb!$AJ$5,),Z51)/AA51)</f>
        <v/>
      </c>
      <c r="AD51" s="165" t="str">
        <f ca="1">IF(Z51="","",(INDEX(OFFSET(Arb!$U$2,,,Arb!$AJ$5,),Z51)+INDEX(OFFSET(Arb!$V$2,,,Arb!$AJ$5,),Z51))/AA51)</f>
        <v/>
      </c>
      <c r="AE51" s="51" t="str">
        <f t="shared" ca="1" si="7"/>
        <v/>
      </c>
      <c r="AF51" s="91" t="str">
        <f ca="1">IF(Z51="","",DATE(INDEX(OFFSET(Arb!$C$2,,,Arb!$AJ$5,),Z51),INDEX(OFFSET(Arb!$B$2,,,Arb!$AJ$5,),Z51),INDEX(OFFSET(Arb!$A$2,,,Arb!$AJ$5,),Z51))+ROW()*0.001)</f>
        <v/>
      </c>
      <c r="AG51" s="442">
        <v>51</v>
      </c>
      <c r="AI51" s="52" t="str">
        <f ca="1">IF(AH51="","",INDEX(OFFSET(Arb!$H$2,,,Arb!$AJ$5,),AH51))</f>
        <v/>
      </c>
      <c r="AJ51" s="3" t="str">
        <f t="shared" ca="1" si="8"/>
        <v/>
      </c>
      <c r="AK51" s="165" t="str">
        <f ca="1">IF(AH51="","",INDEX(OFFSET(Arb!$X$2,,,Arb!$AJ$5,),AH51)/AI51)</f>
        <v/>
      </c>
      <c r="AL51" s="165" t="str">
        <f ca="1">IF(AH51="","",(INDEX(OFFSET(Arb!$U$2,,,Arb!$AJ$5,),AH51)+INDEX(OFFSET(Arb!$V$2,,,Arb!$AJ$5,),AH51))/AI51)</f>
        <v/>
      </c>
      <c r="AM51" s="51" t="str">
        <f t="shared" ca="1" si="9"/>
        <v/>
      </c>
      <c r="AN51" s="88" t="str">
        <f ca="1">IF(AH51="","",DATE(INDEX(OFFSET(Arb!$C$2,,,Arb!$AJ$5,),AH51),INDEX(OFFSET(Arb!$B$2,,,Arb!$AJ$5,),AH51),INDEX(OFFSET(Arb!$A$2,,,Arb!$AJ$5,),AH51))+ROW()*0.001)</f>
        <v/>
      </c>
      <c r="AO51" s="436">
        <v>51</v>
      </c>
      <c r="AQ51" s="52" t="str">
        <f ca="1">IF(AP51="","",INDEX(OFFSET(Arb!$H$2,,,Arb!$AJ$5,),AP51))</f>
        <v/>
      </c>
      <c r="AR51" s="3" t="str">
        <f t="shared" ref="AR51" ca="1" si="20">IFERROR(AO51/AQ51,"")</f>
        <v/>
      </c>
      <c r="AS51" s="165" t="str">
        <f ca="1">IF(AP51="","",INDEX(OFFSET(Arb!$X$2,,,Arb!$AJ$5,),AP51)/AQ51)</f>
        <v/>
      </c>
      <c r="AT51" s="165" t="str">
        <f ca="1">IF(AP51="","",(INDEX(OFFSET(Arb!$U$2,,,Arb!$AJ$5,),AP51)+INDEX(OFFSET(Arb!$V$2,,,Arb!$AJ$5,),AP51))/AQ51)</f>
        <v/>
      </c>
      <c r="AU51" s="51" t="str">
        <f t="shared" ca="1" si="11"/>
        <v/>
      </c>
      <c r="AV51" s="91" t="str">
        <f ca="1">IF(AP51="","",DATE(INDEX(OFFSET(Arb!$C$2,,,Arb!$AJ$5,),AP51),INDEX(OFFSET(Arb!$B$2,,,Arb!$AJ$5,),AP51),INDEX(OFFSET(Arb!$A$2,,,Arb!$AJ$5,),AP51))+ROW()*0.001)</f>
        <v/>
      </c>
      <c r="AW51" s="442">
        <v>51</v>
      </c>
      <c r="AY51" s="52" t="str">
        <f ca="1">IF(AX51="","",INDEX(OFFSET(Arb!$H$2,,,Arb!$AJ$5,),AX51))</f>
        <v/>
      </c>
      <c r="AZ51" s="3" t="str">
        <f t="shared" ref="AZ51" ca="1" si="21">IFERROR(AW51/AY51,"")</f>
        <v/>
      </c>
      <c r="BA51" s="165" t="str">
        <f ca="1">IF(AX51="","",INDEX(OFFSET(Arb!$X$2,,,Arb!$AJ$5,),AX51)/AY51)</f>
        <v/>
      </c>
      <c r="BB51" s="165" t="str">
        <f ca="1">IF(AX51="","",(INDEX(OFFSET(Arb!$U$2,,,Arb!$AJ$5,),AX51)+INDEX(OFFSET(Arb!$V$2,,,Arb!$AJ$5,),AX51))/AY51)</f>
        <v/>
      </c>
      <c r="BC51" s="51" t="str">
        <f t="shared" ca="1" si="13"/>
        <v/>
      </c>
      <c r="BD51" s="88" t="str">
        <f ca="1">IF(AX51="","",DATE(INDEX(OFFSET(Arb!$C$2,,,Arb!$AJ$5,),AX51),INDEX(OFFSET(Arb!$B$2,,,Arb!$AJ$5,),AX51),INDEX(OFFSET(Arb!$A$2,,,Arb!$AJ$5,),AX51))+ROW()*0.001)</f>
        <v/>
      </c>
      <c r="BE51" s="436">
        <v>51</v>
      </c>
      <c r="BG51" s="52" t="str">
        <f ca="1">IF(BF51="","",INDEX(OFFSET(Arb!$H$2,,,Arb!$AJ$5,),BF51))</f>
        <v/>
      </c>
      <c r="BH51" s="3" t="str">
        <f t="shared" ref="BH51" ca="1" si="22">IFERROR(BE51/BG51,"")</f>
        <v/>
      </c>
      <c r="BI51" s="165" t="str">
        <f ca="1">IF(BF51="","",INDEX(OFFSET(Arb!$X$2,,,Arb!$AJ$5,),BF51)/BG51)</f>
        <v/>
      </c>
      <c r="BJ51" s="165" t="str">
        <f ca="1">IF(BF51="","",(INDEX(OFFSET(Arb!$U$2,,,Arb!$AJ$5,),BF51)+INDEX(OFFSET(Arb!$V$2,,,Arb!$AJ$5,),BF51))/BG51)</f>
        <v/>
      </c>
      <c r="BK51" s="51" t="str">
        <f t="shared" ca="1" si="15"/>
        <v/>
      </c>
      <c r="BL51" s="91" t="str">
        <f ca="1">IF(BF51="","",DATE(INDEX(OFFSET(Arb!$C$2,,,Arb!$AJ$5,),BF51),INDEX(OFFSET(Arb!$B$2,,,Arb!$AJ$5,),BF51),INDEX(OFFSET(Arb!$A$2,,,Arb!$AJ$5,),BF51))+ROW()*0.001)</f>
        <v/>
      </c>
      <c r="BM51" s="442">
        <v>51</v>
      </c>
      <c r="BO51" s="52" t="str">
        <f ca="1">IF(BN51="","",INDEX(OFFSET(Arb!$H$2,,,Arb!$AJ$5,),BN51))</f>
        <v/>
      </c>
      <c r="BP51" s="3" t="str">
        <f t="shared" ref="BP51" ca="1" si="23">IFERROR(BM51/BO51,"")</f>
        <v/>
      </c>
      <c r="BQ51" s="165" t="str">
        <f ca="1">IF(BN51="","",INDEX(OFFSET(Arb!$X$2,,,Arb!$AJ$5,),BN51)/BO51)</f>
        <v/>
      </c>
      <c r="BR51" s="165" t="str">
        <f ca="1">IF(BN51="","",(INDEX(OFFSET(Arb!$U$2,,,Arb!$AJ$5,),BN51)+INDEX(OFFSET(Arb!$V$2,,,Arb!$AJ$5,),BN51))/BO51)</f>
        <v/>
      </c>
      <c r="BS51" s="51" t="str">
        <f t="shared" ca="1" si="17"/>
        <v/>
      </c>
      <c r="BT51" s="88" t="str">
        <f ca="1">IF(BN51="","",DATE(INDEX(OFFSET(Arb!$C$2,,,Arb!$AJ$5,),BN51),INDEX(OFFSET(Arb!$B$2,,,Arb!$AJ$5,),BN51),INDEX(OFFSET(Arb!$A$2,,,Arb!$AJ$5,),BN51))+ROW()*0.001)</f>
        <v/>
      </c>
      <c r="BU51" s="436">
        <v>51</v>
      </c>
      <c r="BW51" s="52" t="str">
        <f ca="1">IF(BV51="","",INDEX(OFFSET(Arb!$H$2,,,Arb!$AJ$5,),BV51))</f>
        <v/>
      </c>
      <c r="BX51" s="3" t="str">
        <f t="shared" ref="BX51" ca="1" si="24">IFERROR(BU51/BW51,"")</f>
        <v/>
      </c>
      <c r="BY51" s="165" t="str">
        <f ca="1">IF(BV51="","",INDEX(OFFSET(Arb!$X$2,,,Arb!$AJ$5,),BV51)/BW51)</f>
        <v/>
      </c>
      <c r="BZ51" s="165" t="str">
        <f ca="1">IF(BV51="","",(INDEX(OFFSET(Arb!$U$2,,,Arb!$AJ$5,),BV51)+INDEX(OFFSET(Arb!$V$2,,,Arb!$AJ$5,),BV51))/BW51)</f>
        <v/>
      </c>
      <c r="CA51" s="51" t="str">
        <f t="shared" ca="1" si="19"/>
        <v/>
      </c>
      <c r="CB51" s="91" t="str">
        <f ca="1">IF(BV51="","",DATE(INDEX(OFFSET(Arb!$C$2,,,Arb!$AJ$5,),BV51),INDEX(OFFSET(Arb!$B$2,,,Arb!$AJ$5,),BV51),INDEX(OFFSET(Arb!$A$2,,,Arb!$AJ$5,),BV51))+ROW()*0.001)</f>
        <v/>
      </c>
    </row>
    <row r="52" spans="1:80" s="5" customFormat="1" x14ac:dyDescent="0.25">
      <c r="A52" s="433">
        <v>52</v>
      </c>
      <c r="B52" s="1"/>
      <c r="C52" s="52"/>
      <c r="D52" s="3"/>
      <c r="E52" s="165"/>
      <c r="F52" s="165"/>
      <c r="G52" s="51"/>
      <c r="H52" s="355"/>
      <c r="I52" s="436">
        <v>52</v>
      </c>
      <c r="J52" s="1"/>
      <c r="K52" s="52"/>
      <c r="L52" s="3"/>
      <c r="M52" s="165"/>
      <c r="N52" s="165"/>
      <c r="O52" s="51"/>
      <c r="P52" s="238"/>
      <c r="Q52" s="442">
        <v>52</v>
      </c>
      <c r="R52" s="1"/>
      <c r="S52" s="52"/>
      <c r="T52" s="3"/>
      <c r="U52" s="165"/>
      <c r="V52" s="165"/>
      <c r="W52" s="51"/>
      <c r="X52" s="237"/>
      <c r="Y52" s="436">
        <v>52</v>
      </c>
      <c r="Z52" s="1"/>
      <c r="AA52" s="52"/>
      <c r="AB52" s="3"/>
      <c r="AC52" s="165"/>
      <c r="AD52" s="165"/>
      <c r="AE52" s="51"/>
      <c r="AF52" s="238"/>
      <c r="AG52" s="442">
        <v>52</v>
      </c>
      <c r="AH52" s="1"/>
      <c r="AI52" s="52"/>
      <c r="AJ52" s="3"/>
      <c r="AK52" s="165"/>
      <c r="AL52" s="165"/>
      <c r="AM52" s="51"/>
      <c r="AN52" s="237"/>
      <c r="AO52" s="436">
        <v>52</v>
      </c>
      <c r="AP52" s="1"/>
      <c r="AQ52" s="52"/>
      <c r="AR52" s="3"/>
      <c r="AS52" s="165"/>
      <c r="AT52" s="165"/>
      <c r="AU52" s="51"/>
      <c r="AV52" s="238"/>
      <c r="AW52" s="442">
        <v>52</v>
      </c>
      <c r="AX52" s="1"/>
      <c r="AY52" s="52"/>
      <c r="AZ52" s="3"/>
      <c r="BA52" s="165"/>
      <c r="BB52" s="165"/>
      <c r="BC52" s="51"/>
      <c r="BD52" s="237"/>
      <c r="BE52" s="436">
        <v>52</v>
      </c>
      <c r="BF52" s="1"/>
      <c r="BG52" s="52"/>
      <c r="BH52" s="3"/>
      <c r="BI52" s="165"/>
      <c r="BJ52" s="165"/>
      <c r="BK52" s="51"/>
      <c r="BL52" s="238"/>
      <c r="BM52" s="442">
        <v>52</v>
      </c>
      <c r="BN52" s="1"/>
      <c r="BO52" s="52"/>
      <c r="BP52" s="3"/>
      <c r="BQ52" s="165"/>
      <c r="BR52" s="165"/>
      <c r="BS52" s="51"/>
      <c r="BT52" s="237"/>
      <c r="BU52" s="436">
        <v>52</v>
      </c>
      <c r="BV52" s="1"/>
      <c r="BW52" s="52"/>
      <c r="BX52" s="3"/>
      <c r="BY52" s="165"/>
      <c r="BZ52" s="165"/>
      <c r="CA52" s="51"/>
      <c r="CB52" s="238"/>
    </row>
    <row r="53" spans="1:80" s="5" customFormat="1" x14ac:dyDescent="0.25">
      <c r="A53" s="433">
        <v>53</v>
      </c>
      <c r="B53" s="1"/>
      <c r="C53" s="52"/>
      <c r="D53" s="3"/>
      <c r="E53" s="165"/>
      <c r="F53" s="165"/>
      <c r="G53" s="51"/>
      <c r="H53" s="355"/>
      <c r="I53" s="436">
        <v>53</v>
      </c>
      <c r="J53" s="1"/>
      <c r="K53" s="52"/>
      <c r="L53" s="3"/>
      <c r="M53" s="165"/>
      <c r="N53" s="165"/>
      <c r="O53" s="51"/>
      <c r="P53" s="238"/>
      <c r="Q53" s="442">
        <v>53</v>
      </c>
      <c r="R53" s="1"/>
      <c r="S53" s="52"/>
      <c r="T53" s="3"/>
      <c r="U53" s="165"/>
      <c r="V53" s="165"/>
      <c r="W53" s="51"/>
      <c r="X53" s="237"/>
      <c r="Y53" s="436">
        <v>53</v>
      </c>
      <c r="Z53" s="1"/>
      <c r="AA53" s="52"/>
      <c r="AB53" s="3"/>
      <c r="AC53" s="165"/>
      <c r="AD53" s="165"/>
      <c r="AE53" s="51"/>
      <c r="AF53" s="238"/>
      <c r="AG53" s="442">
        <v>53</v>
      </c>
      <c r="AH53" s="1"/>
      <c r="AI53" s="52"/>
      <c r="AJ53" s="3"/>
      <c r="AK53" s="165"/>
      <c r="AL53" s="165"/>
      <c r="AM53" s="51"/>
      <c r="AN53" s="237"/>
      <c r="AO53" s="436">
        <v>53</v>
      </c>
      <c r="AP53" s="1"/>
      <c r="AQ53" s="52"/>
      <c r="AR53" s="3"/>
      <c r="AS53" s="165"/>
      <c r="AT53" s="165"/>
      <c r="AU53" s="51"/>
      <c r="AV53" s="238"/>
      <c r="AW53" s="442">
        <v>53</v>
      </c>
      <c r="AX53" s="1"/>
      <c r="AY53" s="52"/>
      <c r="AZ53" s="3"/>
      <c r="BA53" s="165"/>
      <c r="BB53" s="165"/>
      <c r="BC53" s="51"/>
      <c r="BD53" s="237"/>
      <c r="BE53" s="436">
        <v>53</v>
      </c>
      <c r="BF53" s="1"/>
      <c r="BG53" s="52"/>
      <c r="BH53" s="3"/>
      <c r="BI53" s="165"/>
      <c r="BJ53" s="165"/>
      <c r="BK53" s="51"/>
      <c r="BL53" s="238"/>
      <c r="BM53" s="442">
        <v>53</v>
      </c>
      <c r="BN53" s="1"/>
      <c r="BO53" s="52"/>
      <c r="BP53" s="3"/>
      <c r="BQ53" s="165"/>
      <c r="BR53" s="165"/>
      <c r="BS53" s="51"/>
      <c r="BT53" s="237"/>
      <c r="BU53" s="436">
        <v>53</v>
      </c>
      <c r="BV53" s="1"/>
      <c r="BW53" s="52"/>
      <c r="BX53" s="3"/>
      <c r="BY53" s="165"/>
      <c r="BZ53" s="165"/>
      <c r="CA53" s="51"/>
      <c r="CB53" s="238"/>
    </row>
    <row r="54" spans="1:80" ht="13.8" thickBot="1" x14ac:dyDescent="0.3">
      <c r="A54" s="434">
        <v>54</v>
      </c>
      <c r="B54" s="146"/>
      <c r="C54" s="239" t="str">
        <f ca="1">IF(B54="","",INDEX(OFFSET(Arb!$H$2,,,Arb!$AJ$5,),B54))</f>
        <v/>
      </c>
      <c r="D54" s="149" t="str">
        <f t="shared" ref="D54:D117" ca="1" si="25">IFERROR(A54/C54,"")</f>
        <v/>
      </c>
      <c r="E54" s="186" t="str">
        <f ca="1">IF(B54="","",INDEX(OFFSET(Arb!$X$2,,,Arb!$AJ$5,),B54)/C54)</f>
        <v/>
      </c>
      <c r="F54" s="186" t="str">
        <f ca="1">IF(B54="","",(INDEX(OFFSET(Arb!$U$2,,,Arb!$AJ$5,),B54)+INDEX(OFFSET(Arb!$V$2,,,Arb!$AJ$5,),B54))/C54)</f>
        <v/>
      </c>
      <c r="G54" s="240" t="str">
        <f ca="1">IFERROR(47.299/(C54^1.7/A54),"")</f>
        <v/>
      </c>
      <c r="H54" s="355" t="str">
        <f ca="1">IF(B54="","",DATE(INDEX(OFFSET(Arb!$C$2,,,Arb!$AJ$5,),B54),INDEX(OFFSET(Arb!$B$2,,,Arb!$AJ$5,),B54),INDEX(OFFSET(Arb!$A$2,,,Arb!$AJ$5,),B54))+ROW()*0.001)</f>
        <v/>
      </c>
      <c r="I54" s="439">
        <v>54</v>
      </c>
      <c r="J54" s="146"/>
      <c r="K54" s="239" t="str">
        <f ca="1">IF(J54="","",INDEX(OFFSET(Arb!$H$2,,,Arb!$AJ$5,),J54))</f>
        <v/>
      </c>
      <c r="L54" s="149" t="str">
        <f t="shared" ref="L54:L117" ca="1" si="26">IFERROR(I54/K54,"")</f>
        <v/>
      </c>
      <c r="M54" s="186" t="str">
        <f ca="1">IF(J54="","",INDEX(OFFSET(Arb!$X$2,,,Arb!$AJ$5,),J54)/K54)</f>
        <v/>
      </c>
      <c r="N54" s="186" t="str">
        <f ca="1">IF(J54="","",(INDEX(OFFSET(Arb!$U$2,,,Arb!$AJ$5,),J54)+INDEX(OFFSET(Arb!$V$2,,,Arb!$AJ$5,),J54))/K54)</f>
        <v/>
      </c>
      <c r="O54" s="240" t="str">
        <f ca="1">IFERROR(47.299/(K54^1.7/I54),"")</f>
        <v/>
      </c>
      <c r="P54" s="242" t="str">
        <f ca="1">IF(J54="","",DATE(INDEX(OFFSET(Arb!$C$2,,,Arb!$AJ$5,),J54),INDEX(OFFSET(Arb!$B$2,,,Arb!$AJ$5,),J54),INDEX(OFFSET(Arb!$A$2,,,Arb!$AJ$5,),J54))+ROW()*0.001)</f>
        <v/>
      </c>
      <c r="Q54" s="443">
        <v>54</v>
      </c>
      <c r="R54" s="146"/>
      <c r="S54" s="239" t="str">
        <f ca="1">IF(R54="","",INDEX(OFFSET(Arb!$H$2,,,Arb!$AJ$5,),R54))</f>
        <v/>
      </c>
      <c r="T54" s="149" t="str">
        <f t="shared" ref="T54:T117" ca="1" si="27">IFERROR(Q54/S54,"")</f>
        <v/>
      </c>
      <c r="U54" s="186" t="str">
        <f ca="1">IF(R54="","",INDEX(OFFSET(Arb!$X$2,,,Arb!$AJ$5,),R54)/S54)</f>
        <v/>
      </c>
      <c r="V54" s="186" t="str">
        <f ca="1">IF(R54="","",(INDEX(OFFSET(Arb!$U$2,,,Arb!$AJ$5,),R54)+INDEX(OFFSET(Arb!$V$2,,,Arb!$AJ$5,),R54))/S54)</f>
        <v/>
      </c>
      <c r="W54" s="240" t="str">
        <f ca="1">IFERROR(47.299/(S54^1.7/Q54),"")</f>
        <v/>
      </c>
      <c r="X54" s="241" t="str">
        <f ca="1">IF(R54="","",DATE(INDEX(OFFSET(Arb!$C$2,,,Arb!$AJ$5,),R54),INDEX(OFFSET(Arb!$B$2,,,Arb!$AJ$5,),R54),INDEX(OFFSET(Arb!$A$2,,,Arb!$AJ$5,),R54))+ROW()*0.001)</f>
        <v/>
      </c>
      <c r="Y54" s="439">
        <v>54</v>
      </c>
      <c r="Z54" s="146"/>
      <c r="AA54" s="239" t="str">
        <f ca="1">IF(Z54="","",INDEX(OFFSET(Arb!$H$2,,,Arb!$AJ$5,),Z54))</f>
        <v/>
      </c>
      <c r="AB54" s="149" t="str">
        <f t="shared" ref="AB54:AB117" ca="1" si="28">IFERROR(Y54/AA54,"")</f>
        <v/>
      </c>
      <c r="AC54" s="186" t="str">
        <f ca="1">IF(Z54="","",INDEX(OFFSET(Arb!$X$2,,,Arb!$AJ$5,),Z54)/AA54)</f>
        <v/>
      </c>
      <c r="AD54" s="186" t="str">
        <f ca="1">IF(Z54="","",(INDEX(OFFSET(Arb!$U$2,,,Arb!$AJ$5,),Z54)+INDEX(OFFSET(Arb!$V$2,,,Arb!$AJ$5,),Z54))/AA54)</f>
        <v/>
      </c>
      <c r="AE54" s="240" t="str">
        <f ca="1">IFERROR(47.299/(AA54^1.7/Y54),"")</f>
        <v/>
      </c>
      <c r="AF54" s="242" t="str">
        <f ca="1">IF(Z54="","",DATE(INDEX(OFFSET(Arb!$C$2,,,Arb!$AJ$5,),Z54),INDEX(OFFSET(Arb!$B$2,,,Arb!$AJ$5,),Z54),INDEX(OFFSET(Arb!$A$2,,,Arb!$AJ$5,),Z54))+ROW()*0.001)</f>
        <v/>
      </c>
      <c r="AG54" s="443">
        <v>54</v>
      </c>
      <c r="AH54" s="146"/>
      <c r="AI54" s="239" t="str">
        <f ca="1">IF(AH54="","",INDEX(OFFSET(Arb!$H$2,,,Arb!$AJ$5,),AH54))</f>
        <v/>
      </c>
      <c r="AJ54" s="149" t="str">
        <f t="shared" ref="AJ54:AJ117" ca="1" si="29">IFERROR(AG54/AI54,"")</f>
        <v/>
      </c>
      <c r="AK54" s="186" t="str">
        <f ca="1">IF(AH54="","",INDEX(OFFSET(Arb!$X$2,,,Arb!$AJ$5,),AH54)/AI54)</f>
        <v/>
      </c>
      <c r="AL54" s="186" t="str">
        <f ca="1">IF(AH54="","",(INDEX(OFFSET(Arb!$U$2,,,Arb!$AJ$5,),AH54)+INDEX(OFFSET(Arb!$V$2,,,Arb!$AJ$5,),AH54))/AI54)</f>
        <v/>
      </c>
      <c r="AM54" s="240" t="str">
        <f ca="1">IFERROR(47.299/(AI54^1.7/AG54),"")</f>
        <v/>
      </c>
      <c r="AN54" s="241" t="str">
        <f ca="1">IF(AH54="","",DATE(INDEX(OFFSET(Arb!$C$2,,,Arb!$AJ$5,),AH54),INDEX(OFFSET(Arb!$B$2,,,Arb!$AJ$5,),AH54),INDEX(OFFSET(Arb!$A$2,,,Arb!$AJ$5,),AH54))+ROW()*0.001)</f>
        <v/>
      </c>
      <c r="AO54" s="439">
        <v>54</v>
      </c>
      <c r="AP54" s="146"/>
      <c r="AQ54" s="239" t="str">
        <f ca="1">IF(AP54="","",INDEX(OFFSET(Arb!$H$2,,,Arb!$AJ$5,),AP54))</f>
        <v/>
      </c>
      <c r="AR54" s="149" t="str">
        <f t="shared" ref="AR54:AR117" ca="1" si="30">IFERROR(AO54/AQ54,"")</f>
        <v/>
      </c>
      <c r="AS54" s="186" t="str">
        <f ca="1">IF(AP54="","",INDEX(OFFSET(Arb!$X$2,,,Arb!$AJ$5,),AP54)/AQ54)</f>
        <v/>
      </c>
      <c r="AT54" s="186" t="str">
        <f ca="1">IF(AP54="","",(INDEX(OFFSET(Arb!$U$2,,,Arb!$AJ$5,),AP54)+INDEX(OFFSET(Arb!$V$2,,,Arb!$AJ$5,),AP54))/AQ54)</f>
        <v/>
      </c>
      <c r="AU54" s="240" t="str">
        <f ca="1">IFERROR(47.299/(AQ54^1.7/AO54),"")</f>
        <v/>
      </c>
      <c r="AV54" s="242" t="str">
        <f ca="1">IF(AP54="","",DATE(INDEX(OFFSET(Arb!$C$2,,,Arb!$AJ$5,),AP54),INDEX(OFFSET(Arb!$B$2,,,Arb!$AJ$5,),AP54),INDEX(OFFSET(Arb!$A$2,,,Arb!$AJ$5,),AP54))+ROW()*0.001)</f>
        <v/>
      </c>
      <c r="AW54" s="443">
        <v>54</v>
      </c>
      <c r="AX54" s="146"/>
      <c r="AY54" s="239" t="str">
        <f ca="1">IF(AX54="","",INDEX(OFFSET(Arb!$H$2,,,Arb!$AJ$5,),AX54))</f>
        <v/>
      </c>
      <c r="AZ54" s="149" t="str">
        <f t="shared" ref="AZ54:AZ117" ca="1" si="31">IFERROR(AW54/AY54,"")</f>
        <v/>
      </c>
      <c r="BA54" s="186" t="str">
        <f ca="1">IF(AX54="","",INDEX(OFFSET(Arb!$X$2,,,Arb!$AJ$5,),AX54)/AY54)</f>
        <v/>
      </c>
      <c r="BB54" s="186" t="str">
        <f ca="1">IF(AX54="","",(INDEX(OFFSET(Arb!$U$2,,,Arb!$AJ$5,),AX54)+INDEX(OFFSET(Arb!$V$2,,,Arb!$AJ$5,),AX54))/AY54)</f>
        <v/>
      </c>
      <c r="BC54" s="240" t="str">
        <f ca="1">IFERROR(47.299/(AY54^1.7/AW54),"")</f>
        <v/>
      </c>
      <c r="BD54" s="241" t="str">
        <f ca="1">IF(AX54="","",DATE(INDEX(OFFSET(Arb!$C$2,,,Arb!$AJ$5,),AX54),INDEX(OFFSET(Arb!$B$2,,,Arb!$AJ$5,),AX54),INDEX(OFFSET(Arb!$A$2,,,Arb!$AJ$5,),AX54))+ROW()*0.001)</f>
        <v/>
      </c>
      <c r="BE54" s="439">
        <v>54</v>
      </c>
      <c r="BF54" s="146"/>
      <c r="BG54" s="239" t="str">
        <f ca="1">IF(BF54="","",INDEX(OFFSET(Arb!$H$2,,,Arb!$AJ$5,),BF54))</f>
        <v/>
      </c>
      <c r="BH54" s="149" t="str">
        <f t="shared" ref="BH54:BH117" ca="1" si="32">IFERROR(BE54/BG54,"")</f>
        <v/>
      </c>
      <c r="BI54" s="186" t="str">
        <f ca="1">IF(BF54="","",INDEX(OFFSET(Arb!$X$2,,,Arb!$AJ$5,),BF54)/BG54)</f>
        <v/>
      </c>
      <c r="BJ54" s="186" t="str">
        <f ca="1">IF(BF54="","",(INDEX(OFFSET(Arb!$U$2,,,Arb!$AJ$5,),BF54)+INDEX(OFFSET(Arb!$V$2,,,Arb!$AJ$5,),BF54))/BG54)</f>
        <v/>
      </c>
      <c r="BK54" s="240" t="str">
        <f ca="1">IFERROR(47.299/(BG54^1.7/BE54),"")</f>
        <v/>
      </c>
      <c r="BL54" s="242" t="str">
        <f ca="1">IF(BF54="","",DATE(INDEX(OFFSET(Arb!$C$2,,,Arb!$AJ$5,),BF54),INDEX(OFFSET(Arb!$B$2,,,Arb!$AJ$5,),BF54),INDEX(OFFSET(Arb!$A$2,,,Arb!$AJ$5,),BF54))+ROW()*0.001)</f>
        <v/>
      </c>
      <c r="BM54" s="443">
        <v>54</v>
      </c>
      <c r="BN54" s="146"/>
      <c r="BO54" s="239" t="str">
        <f ca="1">IF(BN54="","",INDEX(OFFSET(Arb!$H$2,,,Arb!$AJ$5,),BN54))</f>
        <v/>
      </c>
      <c r="BP54" s="149" t="str">
        <f t="shared" ref="BP54:BP117" ca="1" si="33">IFERROR(BM54/BO54,"")</f>
        <v/>
      </c>
      <c r="BQ54" s="186" t="str">
        <f ca="1">IF(BN54="","",INDEX(OFFSET(Arb!$X$2,,,Arb!$AJ$5,),BN54)/BO54)</f>
        <v/>
      </c>
      <c r="BR54" s="186" t="str">
        <f ca="1">IF(BN54="","",(INDEX(OFFSET(Arb!$U$2,,,Arb!$AJ$5,),BN54)+INDEX(OFFSET(Arb!$V$2,,,Arb!$AJ$5,),BN54))/BO54)</f>
        <v/>
      </c>
      <c r="BS54" s="240" t="str">
        <f ca="1">IFERROR(47.299/(BO54^1.7/BM54),"")</f>
        <v/>
      </c>
      <c r="BT54" s="241" t="str">
        <f ca="1">IF(BN54="","",DATE(INDEX(OFFSET(Arb!$C$2,,,Arb!$AJ$5,),BN54),INDEX(OFFSET(Arb!$B$2,,,Arb!$AJ$5,),BN54),INDEX(OFFSET(Arb!$A$2,,,Arb!$AJ$5,),BN54))+ROW()*0.001)</f>
        <v/>
      </c>
      <c r="BU54" s="439">
        <v>54</v>
      </c>
      <c r="BV54" s="146"/>
      <c r="BW54" s="239" t="str">
        <f ca="1">IF(BV54="","",INDEX(OFFSET(Arb!$H$2,,,Arb!$AJ$5,),BV54))</f>
        <v/>
      </c>
      <c r="BX54" s="149" t="str">
        <f t="shared" ref="BX54:BX117" ca="1" si="34">IFERROR(BU54/BW54,"")</f>
        <v/>
      </c>
      <c r="BY54" s="186" t="str">
        <f ca="1">IF(BV54="","",INDEX(OFFSET(Arb!$X$2,,,Arb!$AJ$5,),BV54)/BW54)</f>
        <v/>
      </c>
      <c r="BZ54" s="186" t="str">
        <f ca="1">IF(BV54="","",(INDEX(OFFSET(Arb!$U$2,,,Arb!$AJ$5,),BV54)+INDEX(OFFSET(Arb!$V$2,,,Arb!$AJ$5,),BV54))/BW54)</f>
        <v/>
      </c>
      <c r="CA54" s="240" t="str">
        <f ca="1">IFERROR(47.299/(BW54^1.7/BU54),"")</f>
        <v/>
      </c>
      <c r="CB54" s="242" t="str">
        <f ca="1">IF(BV54="","",DATE(INDEX(OFFSET(Arb!$C$2,,,Arb!$AJ$5,),BV54),INDEX(OFFSET(Arb!$B$2,,,Arb!$AJ$5,),BV54),INDEX(OFFSET(Arb!$A$2,,,Arb!$AJ$5,),BV54))+ROW()*0.001)</f>
        <v/>
      </c>
    </row>
    <row r="55" spans="1:80" x14ac:dyDescent="0.25">
      <c r="A55" s="435">
        <v>30</v>
      </c>
      <c r="B55" s="157">
        <v>2409</v>
      </c>
      <c r="C55" s="243">
        <f ca="1">IF(B55="","",INDEX(OFFSET(Arb!$H$2,,,Arb!$AJ$5,),B55))</f>
        <v>13.41</v>
      </c>
      <c r="D55" s="160">
        <f t="shared" ca="1" si="25"/>
        <v>2.2371364653243848</v>
      </c>
      <c r="E55" s="162">
        <f ca="1">IF(B55="","",INDEX(OFFSET(Arb!$X$2,,,Arb!$AJ$5,),B55)/C55)</f>
        <v>2.4608501118568231</v>
      </c>
      <c r="F55" s="162">
        <f ca="1">IF(B55="","",(INDEX(OFFSET(Arb!$U$2,,,Arb!$AJ$5,),B55)+INDEX(OFFSET(Arb!$V$2,,,Arb!$AJ$5,),B55))/C55)</f>
        <v>2.9082774049217002</v>
      </c>
      <c r="G55" s="244">
        <f ca="1">IFERROR(153.73/(C55^1.7/A55),"")</f>
        <v>55.879300319657631</v>
      </c>
      <c r="H55" s="355">
        <f ca="1">IF(B55="","",DATE(INDEX(OFFSET(Arb!$C$2,,,Arb!$AJ$5,),B55),INDEX(OFFSET(Arb!$B$2,,,Arb!$AJ$5,),B55),INDEX(OFFSET(Arb!$A$2,,,Arb!$AJ$5,),B55))+ROW()*0.001)</f>
        <v>44168.055</v>
      </c>
      <c r="I55" s="435">
        <v>30</v>
      </c>
      <c r="J55" s="157"/>
      <c r="K55" s="243" t="str">
        <f ca="1">IF(J55="","",INDEX(OFFSET(Arb!$H$2,,,Arb!$AJ$5,),J55))</f>
        <v/>
      </c>
      <c r="L55" s="160" t="str">
        <f t="shared" ca="1" si="26"/>
        <v/>
      </c>
      <c r="M55" s="162" t="str">
        <f ca="1">IF(J55="","",INDEX(OFFSET(Arb!$X$2,,,Arb!$AJ$5,),J55)/K55)</f>
        <v/>
      </c>
      <c r="N55" s="162" t="str">
        <f ca="1">IF(J55="","",(INDEX(OFFSET(Arb!$U$2,,,Arb!$AJ$5,),J55)+INDEX(OFFSET(Arb!$V$2,,,Arb!$AJ$5,),J55))/K55)</f>
        <v/>
      </c>
      <c r="O55" s="244" t="str">
        <f ca="1">IFERROR(153.73/(K55^1.7/I55),"")</f>
        <v/>
      </c>
      <c r="P55" s="246" t="str">
        <f ca="1">IF(J55="","",DATE(INDEX(OFFSET(Arb!$C$2,,,Arb!$AJ$5,),J55),INDEX(OFFSET(Arb!$B$2,,,Arb!$AJ$5,),J55),INDEX(OFFSET(Arb!$A$2,,,Arb!$AJ$5,),J55))+ROW()*0.001)</f>
        <v/>
      </c>
      <c r="Q55" s="444">
        <v>30</v>
      </c>
      <c r="R55" s="157"/>
      <c r="S55" s="243" t="str">
        <f ca="1">IF(R55="","",INDEX(OFFSET(Arb!$H$2,,,Arb!$AJ$5,),R55))</f>
        <v/>
      </c>
      <c r="T55" s="160" t="str">
        <f t="shared" ca="1" si="27"/>
        <v/>
      </c>
      <c r="U55" s="162" t="str">
        <f ca="1">IF(R55="","",INDEX(OFFSET(Arb!$X$2,,,Arb!$AJ$5,),R55)/S55)</f>
        <v/>
      </c>
      <c r="V55" s="162" t="str">
        <f ca="1">IF(R55="","",(INDEX(OFFSET(Arb!$U$2,,,Arb!$AJ$5,),R55)+INDEX(OFFSET(Arb!$V$2,,,Arb!$AJ$5,),R55))/S55)</f>
        <v/>
      </c>
      <c r="W55" s="244" t="str">
        <f ca="1">IFERROR(153.73/(S55^1.7/Q55),"")</f>
        <v/>
      </c>
      <c r="X55" s="245" t="str">
        <f ca="1">IF(R55="","",DATE(INDEX(OFFSET(Arb!$C$2,,,Arb!$AJ$5,),R55),INDEX(OFFSET(Arb!$B$2,,,Arb!$AJ$5,),R55),INDEX(OFFSET(Arb!$A$2,,,Arb!$AJ$5,),R55))+ROW()*0.001)</f>
        <v/>
      </c>
      <c r="Y55" s="435">
        <v>30</v>
      </c>
      <c r="Z55" s="157"/>
      <c r="AA55" s="243" t="str">
        <f ca="1">IF(Z55="","",INDEX(OFFSET(Arb!$H$2,,,Arb!$AJ$5,),Z55))</f>
        <v/>
      </c>
      <c r="AB55" s="160" t="str">
        <f t="shared" ca="1" si="28"/>
        <v/>
      </c>
      <c r="AC55" s="162" t="str">
        <f ca="1">IF(Z55="","",INDEX(OFFSET(Arb!$X$2,,,Arb!$AJ$5,),Z55)/AA55)</f>
        <v/>
      </c>
      <c r="AD55" s="162" t="str">
        <f ca="1">IF(Z55="","",(INDEX(OFFSET(Arb!$U$2,,,Arb!$AJ$5,),Z55)+INDEX(OFFSET(Arb!$V$2,,,Arb!$AJ$5,),Z55))/AA55)</f>
        <v/>
      </c>
      <c r="AE55" s="244" t="str">
        <f ca="1">IFERROR(153.73/(AA55^1.7/Y55),"")</f>
        <v/>
      </c>
      <c r="AF55" s="246" t="str">
        <f ca="1">IF(Z55="","",DATE(INDEX(OFFSET(Arb!$C$2,,,Arb!$AJ$5,),Z55),INDEX(OFFSET(Arb!$B$2,,,Arb!$AJ$5,),Z55),INDEX(OFFSET(Arb!$A$2,,,Arb!$AJ$5,),Z55))+ROW()*0.001)</f>
        <v/>
      </c>
      <c r="AG55" s="444">
        <v>30</v>
      </c>
      <c r="AH55" s="157"/>
      <c r="AI55" s="243" t="str">
        <f ca="1">IF(AH55="","",INDEX(OFFSET(Arb!$H$2,,,Arb!$AJ$5,),AH55))</f>
        <v/>
      </c>
      <c r="AJ55" s="160" t="str">
        <f t="shared" ca="1" si="29"/>
        <v/>
      </c>
      <c r="AK55" s="162" t="str">
        <f ca="1">IF(AH55="","",INDEX(OFFSET(Arb!$X$2,,,Arb!$AJ$5,),AH55)/AI55)</f>
        <v/>
      </c>
      <c r="AL55" s="162" t="str">
        <f ca="1">IF(AH55="","",(INDEX(OFFSET(Arb!$U$2,,,Arb!$AJ$5,),AH55)+INDEX(OFFSET(Arb!$V$2,,,Arb!$AJ$5,),AH55))/AI55)</f>
        <v/>
      </c>
      <c r="AM55" s="244" t="str">
        <f ca="1">IFERROR(153.73/(AI55^1.7/AG55),"")</f>
        <v/>
      </c>
      <c r="AN55" s="245" t="str">
        <f ca="1">IF(AH55="","",DATE(INDEX(OFFSET(Arb!$C$2,,,Arb!$AJ$5,),AH55),INDEX(OFFSET(Arb!$B$2,,,Arb!$AJ$5,),AH55),INDEX(OFFSET(Arb!$A$2,,,Arb!$AJ$5,),AH55))+ROW()*0.001)</f>
        <v/>
      </c>
      <c r="AO55" s="435">
        <v>30</v>
      </c>
      <c r="AP55" s="157"/>
      <c r="AQ55" s="243" t="str">
        <f ca="1">IF(AP55="","",INDEX(OFFSET(Arb!$H$2,,,Arb!$AJ$5,),AP55))</f>
        <v/>
      </c>
      <c r="AR55" s="160" t="str">
        <f t="shared" ca="1" si="30"/>
        <v/>
      </c>
      <c r="AS55" s="162" t="str">
        <f ca="1">IF(AP55="","",INDEX(OFFSET(Arb!$X$2,,,Arb!$AJ$5,),AP55)/AQ55)</f>
        <v/>
      </c>
      <c r="AT55" s="162" t="str">
        <f ca="1">IF(AP55="","",(INDEX(OFFSET(Arb!$U$2,,,Arb!$AJ$5,),AP55)+INDEX(OFFSET(Arb!$V$2,,,Arb!$AJ$5,),AP55))/AQ55)</f>
        <v/>
      </c>
      <c r="AU55" s="244" t="str">
        <f ca="1">IFERROR(153.73/(AQ55^1.7/AO55),"")</f>
        <v/>
      </c>
      <c r="AV55" s="246" t="str">
        <f ca="1">IF(AP55="","",DATE(INDEX(OFFSET(Arb!$C$2,,,Arb!$AJ$5,),AP55),INDEX(OFFSET(Arb!$B$2,,,Arb!$AJ$5,),AP55),INDEX(OFFSET(Arb!$A$2,,,Arb!$AJ$5,),AP55))+ROW()*0.001)</f>
        <v/>
      </c>
      <c r="AW55" s="444">
        <v>30</v>
      </c>
      <c r="AX55" s="157"/>
      <c r="AY55" s="243" t="str">
        <f ca="1">IF(AX55="","",INDEX(OFFSET(Arb!$H$2,,,Arb!$AJ$5,),AX55))</f>
        <v/>
      </c>
      <c r="AZ55" s="160" t="str">
        <f t="shared" ca="1" si="31"/>
        <v/>
      </c>
      <c r="BA55" s="162" t="str">
        <f ca="1">IF(AX55="","",INDEX(OFFSET(Arb!$X$2,,,Arb!$AJ$5,),AX55)/AY55)</f>
        <v/>
      </c>
      <c r="BB55" s="162" t="str">
        <f ca="1">IF(AX55="","",(INDEX(OFFSET(Arb!$U$2,,,Arb!$AJ$5,),AX55)+INDEX(OFFSET(Arb!$V$2,,,Arb!$AJ$5,),AX55))/AY55)</f>
        <v/>
      </c>
      <c r="BC55" s="244" t="str">
        <f ca="1">IFERROR(153.73/(AY55^1.7/AW55),"")</f>
        <v/>
      </c>
      <c r="BD55" s="245" t="str">
        <f ca="1">IF(AX55="","",DATE(INDEX(OFFSET(Arb!$C$2,,,Arb!$AJ$5,),AX55),INDEX(OFFSET(Arb!$B$2,,,Arb!$AJ$5,),AX55),INDEX(OFFSET(Arb!$A$2,,,Arb!$AJ$5,),AX55))+ROW()*0.001)</f>
        <v/>
      </c>
      <c r="BE55" s="435">
        <v>30</v>
      </c>
      <c r="BF55" s="157"/>
      <c r="BG55" s="243" t="str">
        <f ca="1">IF(BF55="","",INDEX(OFFSET(Arb!$H$2,,,Arb!$AJ$5,),BF55))</f>
        <v/>
      </c>
      <c r="BH55" s="160" t="str">
        <f t="shared" ca="1" si="32"/>
        <v/>
      </c>
      <c r="BI55" s="162" t="str">
        <f ca="1">IF(BF55="","",INDEX(OFFSET(Arb!$X$2,,,Arb!$AJ$5,),BF55)/BG55)</f>
        <v/>
      </c>
      <c r="BJ55" s="162" t="str">
        <f ca="1">IF(BF55="","",(INDEX(OFFSET(Arb!$U$2,,,Arb!$AJ$5,),BF55)+INDEX(OFFSET(Arb!$V$2,,,Arb!$AJ$5,),BF55))/BG55)</f>
        <v/>
      </c>
      <c r="BK55" s="244" t="str">
        <f ca="1">IFERROR(153.73/(BG55^1.7/BE55),"")</f>
        <v/>
      </c>
      <c r="BL55" s="246" t="str">
        <f ca="1">IF(BF55="","",DATE(INDEX(OFFSET(Arb!$C$2,,,Arb!$AJ$5,),BF55),INDEX(OFFSET(Arb!$B$2,,,Arb!$AJ$5,),BF55),INDEX(OFFSET(Arb!$A$2,,,Arb!$AJ$5,),BF55))+ROW()*0.001)</f>
        <v/>
      </c>
      <c r="BM55" s="444">
        <v>30</v>
      </c>
      <c r="BN55" s="157"/>
      <c r="BO55" s="243" t="str">
        <f ca="1">IF(BN55="","",INDEX(OFFSET(Arb!$H$2,,,Arb!$AJ$5,),BN55))</f>
        <v/>
      </c>
      <c r="BP55" s="160" t="str">
        <f t="shared" ca="1" si="33"/>
        <v/>
      </c>
      <c r="BQ55" s="162" t="str">
        <f ca="1">IF(BN55="","",INDEX(OFFSET(Arb!$X$2,,,Arb!$AJ$5,),BN55)/BO55)</f>
        <v/>
      </c>
      <c r="BR55" s="162" t="str">
        <f ca="1">IF(BN55="","",(INDEX(OFFSET(Arb!$U$2,,,Arb!$AJ$5,),BN55)+INDEX(OFFSET(Arb!$V$2,,,Arb!$AJ$5,),BN55))/BO55)</f>
        <v/>
      </c>
      <c r="BS55" s="244" t="str">
        <f ca="1">IFERROR(153.73/(BO55^1.7/BM55),"")</f>
        <v/>
      </c>
      <c r="BT55" s="245" t="str">
        <f ca="1">IF(BN55="","",DATE(INDEX(OFFSET(Arb!$C$2,,,Arb!$AJ$5,),BN55),INDEX(OFFSET(Arb!$B$2,,,Arb!$AJ$5,),BN55),INDEX(OFFSET(Arb!$A$2,,,Arb!$AJ$5,),BN55))+ROW()*0.001)</f>
        <v/>
      </c>
      <c r="BU55" s="435">
        <v>30</v>
      </c>
      <c r="BV55" s="157"/>
      <c r="BW55" s="243" t="str">
        <f ca="1">IF(BV55="","",INDEX(OFFSET(Arb!$H$2,,,Arb!$AJ$5,),BV55))</f>
        <v/>
      </c>
      <c r="BX55" s="160" t="str">
        <f t="shared" ca="1" si="34"/>
        <v/>
      </c>
      <c r="BY55" s="162" t="str">
        <f ca="1">IF(BV55="","",INDEX(OFFSET(Arb!$X$2,,,Arb!$AJ$5,),BV55)/BW55)</f>
        <v/>
      </c>
      <c r="BZ55" s="162" t="str">
        <f ca="1">IF(BV55="","",(INDEX(OFFSET(Arb!$U$2,,,Arb!$AJ$5,),BV55)+INDEX(OFFSET(Arb!$V$2,,,Arb!$AJ$5,),BV55))/BW55)</f>
        <v/>
      </c>
      <c r="CA55" s="244" t="str">
        <f ca="1">IFERROR(153.73/(BW55^1.7/BU55),"")</f>
        <v/>
      </c>
      <c r="CB55" s="246" t="str">
        <f ca="1">IF(BV55="","",DATE(INDEX(OFFSET(Arb!$C$2,,,Arb!$AJ$5,),BV55),INDEX(OFFSET(Arb!$B$2,,,Arb!$AJ$5,),BV55),INDEX(OFFSET(Arb!$A$2,,,Arb!$AJ$5,),BV55))+ROW()*0.001)</f>
        <v/>
      </c>
    </row>
    <row r="56" spans="1:80" x14ac:dyDescent="0.25">
      <c r="A56" s="436">
        <v>31</v>
      </c>
      <c r="C56" s="52" t="str">
        <f ca="1">IF(B56="","",INDEX(OFFSET(Arb!$H$2,,,Arb!$AJ$5,),B56))</f>
        <v/>
      </c>
      <c r="D56" s="3" t="str">
        <f t="shared" ca="1" si="25"/>
        <v/>
      </c>
      <c r="E56" s="165" t="str">
        <f ca="1">IF(B56="","",INDEX(OFFSET(Arb!$X$2,,,Arb!$AJ$5,),B56)/C56)</f>
        <v/>
      </c>
      <c r="F56" s="165" t="str">
        <f ca="1">IF(B56="","",(INDEX(OFFSET(Arb!$U$2,,,Arb!$AJ$5,),B56)+INDEX(OFFSET(Arb!$V$2,,,Arb!$AJ$5,),B56))/C56)</f>
        <v/>
      </c>
      <c r="G56" s="51" t="str">
        <f t="shared" ref="G56:G119" ca="1" si="35">IFERROR(153.73/(C56^1.7/A56),"")</f>
        <v/>
      </c>
      <c r="H56" s="355" t="str">
        <f ca="1">IF(B56="","",DATE(INDEX(OFFSET(Arb!$C$2,,,Arb!$AJ$5,),B56),INDEX(OFFSET(Arb!$B$2,,,Arb!$AJ$5,),B56),INDEX(OFFSET(Arb!$A$2,,,Arb!$AJ$5,),B56))+ROW()*0.001)</f>
        <v/>
      </c>
      <c r="I56" s="436">
        <v>31</v>
      </c>
      <c r="K56" s="52" t="str">
        <f ca="1">IF(J56="","",INDEX(OFFSET(Arb!$H$2,,,Arb!$AJ$5,),J56))</f>
        <v/>
      </c>
      <c r="L56" s="3" t="str">
        <f t="shared" ca="1" si="26"/>
        <v/>
      </c>
      <c r="M56" s="165" t="str">
        <f ca="1">IF(J56="","",INDEX(OFFSET(Arb!$X$2,,,Arb!$AJ$5,),J56)/K56)</f>
        <v/>
      </c>
      <c r="N56" s="165" t="str">
        <f ca="1">IF(J56="","",(INDEX(OFFSET(Arb!$U$2,,,Arb!$AJ$5,),J56)+INDEX(OFFSET(Arb!$V$2,,,Arb!$AJ$5,),J56))/K56)</f>
        <v/>
      </c>
      <c r="O56" s="51" t="str">
        <f t="shared" ref="O56:O119" ca="1" si="36">IFERROR(153.73/(K56^1.7/I56),"")</f>
        <v/>
      </c>
      <c r="P56" s="91" t="str">
        <f ca="1">IF(J56="","",DATE(INDEX(OFFSET(Arb!$C$2,,,Arb!$AJ$5,),J56),INDEX(OFFSET(Arb!$B$2,,,Arb!$AJ$5,),J56),INDEX(OFFSET(Arb!$A$2,,,Arb!$AJ$5,),J56))+ROW()*0.001)</f>
        <v/>
      </c>
      <c r="Q56" s="442">
        <v>31</v>
      </c>
      <c r="S56" s="52" t="str">
        <f ca="1">IF(R56="","",INDEX(OFFSET(Arb!$H$2,,,Arb!$AJ$5,),R56))</f>
        <v/>
      </c>
      <c r="T56" s="3" t="str">
        <f t="shared" ca="1" si="27"/>
        <v/>
      </c>
      <c r="U56" s="165" t="str">
        <f ca="1">IF(R56="","",INDEX(OFFSET(Arb!$X$2,,,Arb!$AJ$5,),R56)/S56)</f>
        <v/>
      </c>
      <c r="V56" s="165" t="str">
        <f ca="1">IF(R56="","",(INDEX(OFFSET(Arb!$U$2,,,Arb!$AJ$5,),R56)+INDEX(OFFSET(Arb!$V$2,,,Arb!$AJ$5,),R56))/S56)</f>
        <v/>
      </c>
      <c r="W56" s="51" t="str">
        <f t="shared" ref="W56:W119" ca="1" si="37">IFERROR(153.73/(S56^1.7/Q56),"")</f>
        <v/>
      </c>
      <c r="X56" s="88" t="str">
        <f ca="1">IF(R56="","",DATE(INDEX(OFFSET(Arb!$C$2,,,Arb!$AJ$5,),R56),INDEX(OFFSET(Arb!$B$2,,,Arb!$AJ$5,),R56),INDEX(OFFSET(Arb!$A$2,,,Arb!$AJ$5,),R56))+ROW()*0.001)</f>
        <v/>
      </c>
      <c r="Y56" s="436">
        <v>31</v>
      </c>
      <c r="AA56" s="52" t="str">
        <f ca="1">IF(Z56="","",INDEX(OFFSET(Arb!$H$2,,,Arb!$AJ$5,),Z56))</f>
        <v/>
      </c>
      <c r="AB56" s="3" t="str">
        <f t="shared" ca="1" si="28"/>
        <v/>
      </c>
      <c r="AC56" s="165" t="str">
        <f ca="1">IF(Z56="","",INDEX(OFFSET(Arb!$X$2,,,Arb!$AJ$5,),Z56)/AA56)</f>
        <v/>
      </c>
      <c r="AD56" s="165" t="str">
        <f ca="1">IF(Z56="","",(INDEX(OFFSET(Arb!$U$2,,,Arb!$AJ$5,),Z56)+INDEX(OFFSET(Arb!$V$2,,,Arb!$AJ$5,),Z56))/AA56)</f>
        <v/>
      </c>
      <c r="AE56" s="51" t="str">
        <f t="shared" ref="AE56:AE119" ca="1" si="38">IFERROR(153.73/(AA56^1.7/Y56),"")</f>
        <v/>
      </c>
      <c r="AF56" s="91" t="str">
        <f ca="1">IF(Z56="","",DATE(INDEX(OFFSET(Arb!$C$2,,,Arb!$AJ$5,),Z56),INDEX(OFFSET(Arb!$B$2,,,Arb!$AJ$5,),Z56),INDEX(OFFSET(Arb!$A$2,,,Arb!$AJ$5,),Z56))+ROW()*0.001)</f>
        <v/>
      </c>
      <c r="AG56" s="442">
        <v>31</v>
      </c>
      <c r="AI56" s="52" t="str">
        <f ca="1">IF(AH56="","",INDEX(OFFSET(Arb!$H$2,,,Arb!$AJ$5,),AH56))</f>
        <v/>
      </c>
      <c r="AJ56" s="3" t="str">
        <f t="shared" ca="1" si="29"/>
        <v/>
      </c>
      <c r="AK56" s="165" t="str">
        <f ca="1">IF(AH56="","",INDEX(OFFSET(Arb!$X$2,,,Arb!$AJ$5,),AH56)/AI56)</f>
        <v/>
      </c>
      <c r="AL56" s="165" t="str">
        <f ca="1">IF(AH56="","",(INDEX(OFFSET(Arb!$U$2,,,Arb!$AJ$5,),AH56)+INDEX(OFFSET(Arb!$V$2,,,Arb!$AJ$5,),AH56))/AI56)</f>
        <v/>
      </c>
      <c r="AM56" s="51" t="str">
        <f t="shared" ref="AM56:AM119" ca="1" si="39">IFERROR(153.73/(AI56^1.7/AG56),"")</f>
        <v/>
      </c>
      <c r="AN56" s="88" t="str">
        <f ca="1">IF(AH56="","",DATE(INDEX(OFFSET(Arb!$C$2,,,Arb!$AJ$5,),AH56),INDEX(OFFSET(Arb!$B$2,,,Arb!$AJ$5,),AH56),INDEX(OFFSET(Arb!$A$2,,,Arb!$AJ$5,),AH56))+ROW()*0.001)</f>
        <v/>
      </c>
      <c r="AO56" s="436">
        <v>31</v>
      </c>
      <c r="AQ56" s="52" t="str">
        <f ca="1">IF(AP56="","",INDEX(OFFSET(Arb!$H$2,,,Arb!$AJ$5,),AP56))</f>
        <v/>
      </c>
      <c r="AR56" s="3" t="str">
        <f t="shared" ca="1" si="30"/>
        <v/>
      </c>
      <c r="AS56" s="165" t="str">
        <f ca="1">IF(AP56="","",INDEX(OFFSET(Arb!$X$2,,,Arb!$AJ$5,),AP56)/AQ56)</f>
        <v/>
      </c>
      <c r="AT56" s="165" t="str">
        <f ca="1">IF(AP56="","",(INDEX(OFFSET(Arb!$U$2,,,Arb!$AJ$5,),AP56)+INDEX(OFFSET(Arb!$V$2,,,Arb!$AJ$5,),AP56))/AQ56)</f>
        <v/>
      </c>
      <c r="AU56" s="51" t="str">
        <f t="shared" ref="AU56:AU119" ca="1" si="40">IFERROR(153.73/(AQ56^1.7/AO56),"")</f>
        <v/>
      </c>
      <c r="AV56" s="91" t="str">
        <f ca="1">IF(AP56="","",DATE(INDEX(OFFSET(Arb!$C$2,,,Arb!$AJ$5,),AP56),INDEX(OFFSET(Arb!$B$2,,,Arb!$AJ$5,),AP56),INDEX(OFFSET(Arb!$A$2,,,Arb!$AJ$5,),AP56))+ROW()*0.001)</f>
        <v/>
      </c>
      <c r="AW56" s="442">
        <v>31</v>
      </c>
      <c r="AY56" s="52" t="str">
        <f ca="1">IF(AX56="","",INDEX(OFFSET(Arb!$H$2,,,Arb!$AJ$5,),AX56))</f>
        <v/>
      </c>
      <c r="AZ56" s="3" t="str">
        <f t="shared" ca="1" si="31"/>
        <v/>
      </c>
      <c r="BA56" s="165" t="str">
        <f ca="1">IF(AX56="","",INDEX(OFFSET(Arb!$X$2,,,Arb!$AJ$5,),AX56)/AY56)</f>
        <v/>
      </c>
      <c r="BB56" s="165" t="str">
        <f ca="1">IF(AX56="","",(INDEX(OFFSET(Arb!$U$2,,,Arb!$AJ$5,),AX56)+INDEX(OFFSET(Arb!$V$2,,,Arb!$AJ$5,),AX56))/AY56)</f>
        <v/>
      </c>
      <c r="BC56" s="51" t="str">
        <f t="shared" ref="BC56:BC119" ca="1" si="41">IFERROR(153.73/(AY56^1.7/AW56),"")</f>
        <v/>
      </c>
      <c r="BD56" s="88" t="str">
        <f ca="1">IF(AX56="","",DATE(INDEX(OFFSET(Arb!$C$2,,,Arb!$AJ$5,),AX56),INDEX(OFFSET(Arb!$B$2,,,Arb!$AJ$5,),AX56),INDEX(OFFSET(Arb!$A$2,,,Arb!$AJ$5,),AX56))+ROW()*0.001)</f>
        <v/>
      </c>
      <c r="BE56" s="436">
        <v>31</v>
      </c>
      <c r="BG56" s="52" t="str">
        <f ca="1">IF(BF56="","",INDEX(OFFSET(Arb!$H$2,,,Arb!$AJ$5,),BF56))</f>
        <v/>
      </c>
      <c r="BH56" s="3" t="str">
        <f t="shared" ca="1" si="32"/>
        <v/>
      </c>
      <c r="BI56" s="165" t="str">
        <f ca="1">IF(BF56="","",INDEX(OFFSET(Arb!$X$2,,,Arb!$AJ$5,),BF56)/BG56)</f>
        <v/>
      </c>
      <c r="BJ56" s="165" t="str">
        <f ca="1">IF(BF56="","",(INDEX(OFFSET(Arb!$U$2,,,Arb!$AJ$5,),BF56)+INDEX(OFFSET(Arb!$V$2,,,Arb!$AJ$5,),BF56))/BG56)</f>
        <v/>
      </c>
      <c r="BK56" s="51" t="str">
        <f t="shared" ref="BK56:BK119" ca="1" si="42">IFERROR(153.73/(BG56^1.7/BE56),"")</f>
        <v/>
      </c>
      <c r="BL56" s="91" t="str">
        <f ca="1">IF(BF56="","",DATE(INDEX(OFFSET(Arb!$C$2,,,Arb!$AJ$5,),BF56),INDEX(OFFSET(Arb!$B$2,,,Arb!$AJ$5,),BF56),INDEX(OFFSET(Arb!$A$2,,,Arb!$AJ$5,),BF56))+ROW()*0.001)</f>
        <v/>
      </c>
      <c r="BM56" s="442">
        <v>31</v>
      </c>
      <c r="BO56" s="52" t="str">
        <f ca="1">IF(BN56="","",INDEX(OFFSET(Arb!$H$2,,,Arb!$AJ$5,),BN56))</f>
        <v/>
      </c>
      <c r="BP56" s="3" t="str">
        <f t="shared" ca="1" si="33"/>
        <v/>
      </c>
      <c r="BQ56" s="165" t="str">
        <f ca="1">IF(BN56="","",INDEX(OFFSET(Arb!$X$2,,,Arb!$AJ$5,),BN56)/BO56)</f>
        <v/>
      </c>
      <c r="BR56" s="165" t="str">
        <f ca="1">IF(BN56="","",(INDEX(OFFSET(Arb!$U$2,,,Arb!$AJ$5,),BN56)+INDEX(OFFSET(Arb!$V$2,,,Arb!$AJ$5,),BN56))/BO56)</f>
        <v/>
      </c>
      <c r="BS56" s="51" t="str">
        <f t="shared" ref="BS56:BS119" ca="1" si="43">IFERROR(153.73/(BO56^1.7/BM56),"")</f>
        <v/>
      </c>
      <c r="BT56" s="88" t="str">
        <f ca="1">IF(BN56="","",DATE(INDEX(OFFSET(Arb!$C$2,,,Arb!$AJ$5,),BN56),INDEX(OFFSET(Arb!$B$2,,,Arb!$AJ$5,),BN56),INDEX(OFFSET(Arb!$A$2,,,Arb!$AJ$5,),BN56))+ROW()*0.001)</f>
        <v/>
      </c>
      <c r="BU56" s="436">
        <v>31</v>
      </c>
      <c r="BW56" s="52" t="str">
        <f ca="1">IF(BV56="","",INDEX(OFFSET(Arb!$H$2,,,Arb!$AJ$5,),BV56))</f>
        <v/>
      </c>
      <c r="BX56" s="3" t="str">
        <f t="shared" ca="1" si="34"/>
        <v/>
      </c>
      <c r="BY56" s="165" t="str">
        <f ca="1">IF(BV56="","",INDEX(OFFSET(Arb!$X$2,,,Arb!$AJ$5,),BV56)/BW56)</f>
        <v/>
      </c>
      <c r="BZ56" s="165" t="str">
        <f ca="1">IF(BV56="","",(INDEX(OFFSET(Arb!$U$2,,,Arb!$AJ$5,),BV56)+INDEX(OFFSET(Arb!$V$2,,,Arb!$AJ$5,),BV56))/BW56)</f>
        <v/>
      </c>
      <c r="CA56" s="51" t="str">
        <f t="shared" ref="CA56:CA119" ca="1" si="44">IFERROR(153.73/(BW56^1.7/BU56),"")</f>
        <v/>
      </c>
      <c r="CB56" s="91" t="str">
        <f ca="1">IF(BV56="","",DATE(INDEX(OFFSET(Arb!$C$2,,,Arb!$AJ$5,),BV56),INDEX(OFFSET(Arb!$B$2,,,Arb!$AJ$5,),BV56),INDEX(OFFSET(Arb!$A$2,,,Arb!$AJ$5,),BV56))+ROW()*0.001)</f>
        <v/>
      </c>
    </row>
    <row r="57" spans="1:80" x14ac:dyDescent="0.25">
      <c r="A57" s="436">
        <v>32</v>
      </c>
      <c r="C57" s="52" t="str">
        <f ca="1">IF(B57="","",INDEX(OFFSET(Arb!$H$2,,,Arb!$AJ$5,),B57))</f>
        <v/>
      </c>
      <c r="D57" s="3" t="str">
        <f t="shared" ca="1" si="25"/>
        <v/>
      </c>
      <c r="E57" s="165" t="str">
        <f ca="1">IF(B57="","",INDEX(OFFSET(Arb!$X$2,,,Arb!$AJ$5,),B57)/C57)</f>
        <v/>
      </c>
      <c r="F57" s="165" t="str">
        <f ca="1">IF(B57="","",(INDEX(OFFSET(Arb!$U$2,,,Arb!$AJ$5,),B57)+INDEX(OFFSET(Arb!$V$2,,,Arb!$AJ$5,),B57))/C57)</f>
        <v/>
      </c>
      <c r="G57" s="51" t="str">
        <f t="shared" ca="1" si="35"/>
        <v/>
      </c>
      <c r="H57" s="355" t="str">
        <f ca="1">IF(B57="","",DATE(INDEX(OFFSET(Arb!$C$2,,,Arb!$AJ$5,),B57),INDEX(OFFSET(Arb!$B$2,,,Arb!$AJ$5,),B57),INDEX(OFFSET(Arb!$A$2,,,Arb!$AJ$5,),B57))+ROW()*0.001)</f>
        <v/>
      </c>
      <c r="I57" s="436">
        <v>32</v>
      </c>
      <c r="K57" s="52" t="str">
        <f ca="1">IF(J57="","",INDEX(OFFSET(Arb!$H$2,,,Arb!$AJ$5,),J57))</f>
        <v/>
      </c>
      <c r="L57" s="3" t="str">
        <f t="shared" ca="1" si="26"/>
        <v/>
      </c>
      <c r="M57" s="165" t="str">
        <f ca="1">IF(J57="","",INDEX(OFFSET(Arb!$X$2,,,Arb!$AJ$5,),J57)/K57)</f>
        <v/>
      </c>
      <c r="N57" s="165" t="str">
        <f ca="1">IF(J57="","",(INDEX(OFFSET(Arb!$U$2,,,Arb!$AJ$5,),J57)+INDEX(OFFSET(Arb!$V$2,,,Arb!$AJ$5,),J57))/K57)</f>
        <v/>
      </c>
      <c r="O57" s="51" t="str">
        <f t="shared" ca="1" si="36"/>
        <v/>
      </c>
      <c r="P57" s="91" t="str">
        <f ca="1">IF(J57="","",DATE(INDEX(OFFSET(Arb!$C$2,,,Arb!$AJ$5,),J57),INDEX(OFFSET(Arb!$B$2,,,Arb!$AJ$5,),J57),INDEX(OFFSET(Arb!$A$2,,,Arb!$AJ$5,),J57))+ROW()*0.001)</f>
        <v/>
      </c>
      <c r="Q57" s="442">
        <v>32</v>
      </c>
      <c r="S57" s="52" t="str">
        <f ca="1">IF(R57="","",INDEX(OFFSET(Arb!$H$2,,,Arb!$AJ$5,),R57))</f>
        <v/>
      </c>
      <c r="T57" s="3" t="str">
        <f t="shared" ca="1" si="27"/>
        <v/>
      </c>
      <c r="U57" s="165" t="str">
        <f ca="1">IF(R57="","",INDEX(OFFSET(Arb!$X$2,,,Arb!$AJ$5,),R57)/S57)</f>
        <v/>
      </c>
      <c r="V57" s="165" t="str">
        <f ca="1">IF(R57="","",(INDEX(OFFSET(Arb!$U$2,,,Arb!$AJ$5,),R57)+INDEX(OFFSET(Arb!$V$2,,,Arb!$AJ$5,),R57))/S57)</f>
        <v/>
      </c>
      <c r="W57" s="51" t="str">
        <f t="shared" ca="1" si="37"/>
        <v/>
      </c>
      <c r="X57" s="88" t="str">
        <f ca="1">IF(R57="","",DATE(INDEX(OFFSET(Arb!$C$2,,,Arb!$AJ$5,),R57),INDEX(OFFSET(Arb!$B$2,,,Arb!$AJ$5,),R57),INDEX(OFFSET(Arb!$A$2,,,Arb!$AJ$5,),R57))+ROW()*0.001)</f>
        <v/>
      </c>
      <c r="Y57" s="436">
        <v>32</v>
      </c>
      <c r="AA57" s="52" t="str">
        <f ca="1">IF(Z57="","",INDEX(OFFSET(Arb!$H$2,,,Arb!$AJ$5,),Z57))</f>
        <v/>
      </c>
      <c r="AB57" s="3" t="str">
        <f t="shared" ca="1" si="28"/>
        <v/>
      </c>
      <c r="AC57" s="165" t="str">
        <f ca="1">IF(Z57="","",INDEX(OFFSET(Arb!$X$2,,,Arb!$AJ$5,),Z57)/AA57)</f>
        <v/>
      </c>
      <c r="AD57" s="165" t="str">
        <f ca="1">IF(Z57="","",(INDEX(OFFSET(Arb!$U$2,,,Arb!$AJ$5,),Z57)+INDEX(OFFSET(Arb!$V$2,,,Arb!$AJ$5,),Z57))/AA57)</f>
        <v/>
      </c>
      <c r="AE57" s="51" t="str">
        <f t="shared" ca="1" si="38"/>
        <v/>
      </c>
      <c r="AF57" s="91" t="str">
        <f ca="1">IF(Z57="","",DATE(INDEX(OFFSET(Arb!$C$2,,,Arb!$AJ$5,),Z57),INDEX(OFFSET(Arb!$B$2,,,Arb!$AJ$5,),Z57),INDEX(OFFSET(Arb!$A$2,,,Arb!$AJ$5,),Z57))+ROW()*0.001)</f>
        <v/>
      </c>
      <c r="AG57" s="442">
        <v>32</v>
      </c>
      <c r="AI57" s="52" t="str">
        <f ca="1">IF(AH57="","",INDEX(OFFSET(Arb!$H$2,,,Arb!$AJ$5,),AH57))</f>
        <v/>
      </c>
      <c r="AJ57" s="3" t="str">
        <f t="shared" ca="1" si="29"/>
        <v/>
      </c>
      <c r="AK57" s="165" t="str">
        <f ca="1">IF(AH57="","",INDEX(OFFSET(Arb!$X$2,,,Arb!$AJ$5,),AH57)/AI57)</f>
        <v/>
      </c>
      <c r="AL57" s="165" t="str">
        <f ca="1">IF(AH57="","",(INDEX(OFFSET(Arb!$U$2,,,Arb!$AJ$5,),AH57)+INDEX(OFFSET(Arb!$V$2,,,Arb!$AJ$5,),AH57))/AI57)</f>
        <v/>
      </c>
      <c r="AM57" s="51" t="str">
        <f t="shared" ca="1" si="39"/>
        <v/>
      </c>
      <c r="AN57" s="88" t="str">
        <f ca="1">IF(AH57="","",DATE(INDEX(OFFSET(Arb!$C$2,,,Arb!$AJ$5,),AH57),INDEX(OFFSET(Arb!$B$2,,,Arb!$AJ$5,),AH57),INDEX(OFFSET(Arb!$A$2,,,Arb!$AJ$5,),AH57))+ROW()*0.001)</f>
        <v/>
      </c>
      <c r="AO57" s="436">
        <v>32</v>
      </c>
      <c r="AQ57" s="52" t="str">
        <f ca="1">IF(AP57="","",INDEX(OFFSET(Arb!$H$2,,,Arb!$AJ$5,),AP57))</f>
        <v/>
      </c>
      <c r="AR57" s="3" t="str">
        <f t="shared" ca="1" si="30"/>
        <v/>
      </c>
      <c r="AS57" s="165" t="str">
        <f ca="1">IF(AP57="","",INDEX(OFFSET(Arb!$X$2,,,Arb!$AJ$5,),AP57)/AQ57)</f>
        <v/>
      </c>
      <c r="AT57" s="165" t="str">
        <f ca="1">IF(AP57="","",(INDEX(OFFSET(Arb!$U$2,,,Arb!$AJ$5,),AP57)+INDEX(OFFSET(Arb!$V$2,,,Arb!$AJ$5,),AP57))/AQ57)</f>
        <v/>
      </c>
      <c r="AU57" s="51" t="str">
        <f t="shared" ca="1" si="40"/>
        <v/>
      </c>
      <c r="AV57" s="91" t="str">
        <f ca="1">IF(AP57="","",DATE(INDEX(OFFSET(Arb!$C$2,,,Arb!$AJ$5,),AP57),INDEX(OFFSET(Arb!$B$2,,,Arb!$AJ$5,),AP57),INDEX(OFFSET(Arb!$A$2,,,Arb!$AJ$5,),AP57))+ROW()*0.001)</f>
        <v/>
      </c>
      <c r="AW57" s="442">
        <v>32</v>
      </c>
      <c r="AY57" s="52" t="str">
        <f ca="1">IF(AX57="","",INDEX(OFFSET(Arb!$H$2,,,Arb!$AJ$5,),AX57))</f>
        <v/>
      </c>
      <c r="AZ57" s="3" t="str">
        <f t="shared" ca="1" si="31"/>
        <v/>
      </c>
      <c r="BA57" s="165" t="str">
        <f ca="1">IF(AX57="","",INDEX(OFFSET(Arb!$X$2,,,Arb!$AJ$5,),AX57)/AY57)</f>
        <v/>
      </c>
      <c r="BB57" s="165" t="str">
        <f ca="1">IF(AX57="","",(INDEX(OFFSET(Arb!$U$2,,,Arb!$AJ$5,),AX57)+INDEX(OFFSET(Arb!$V$2,,,Arb!$AJ$5,),AX57))/AY57)</f>
        <v/>
      </c>
      <c r="BC57" s="51" t="str">
        <f t="shared" ca="1" si="41"/>
        <v/>
      </c>
      <c r="BD57" s="88" t="str">
        <f ca="1">IF(AX57="","",DATE(INDEX(OFFSET(Arb!$C$2,,,Arb!$AJ$5,),AX57),INDEX(OFFSET(Arb!$B$2,,,Arb!$AJ$5,),AX57),INDEX(OFFSET(Arb!$A$2,,,Arb!$AJ$5,),AX57))+ROW()*0.001)</f>
        <v/>
      </c>
      <c r="BE57" s="436">
        <v>32</v>
      </c>
      <c r="BG57" s="52" t="str">
        <f ca="1">IF(BF57="","",INDEX(OFFSET(Arb!$H$2,,,Arb!$AJ$5,),BF57))</f>
        <v/>
      </c>
      <c r="BH57" s="3" t="str">
        <f t="shared" ca="1" si="32"/>
        <v/>
      </c>
      <c r="BI57" s="165" t="str">
        <f ca="1">IF(BF57="","",INDEX(OFFSET(Arb!$X$2,,,Arb!$AJ$5,),BF57)/BG57)</f>
        <v/>
      </c>
      <c r="BJ57" s="165" t="str">
        <f ca="1">IF(BF57="","",(INDEX(OFFSET(Arb!$U$2,,,Arb!$AJ$5,),BF57)+INDEX(OFFSET(Arb!$V$2,,,Arb!$AJ$5,),BF57))/BG57)</f>
        <v/>
      </c>
      <c r="BK57" s="51" t="str">
        <f t="shared" ca="1" si="42"/>
        <v/>
      </c>
      <c r="BL57" s="91" t="str">
        <f ca="1">IF(BF57="","",DATE(INDEX(OFFSET(Arb!$C$2,,,Arb!$AJ$5,),BF57),INDEX(OFFSET(Arb!$B$2,,,Arb!$AJ$5,),BF57),INDEX(OFFSET(Arb!$A$2,,,Arb!$AJ$5,),BF57))+ROW()*0.001)</f>
        <v/>
      </c>
      <c r="BM57" s="442">
        <v>32</v>
      </c>
      <c r="BO57" s="52" t="str">
        <f ca="1">IF(BN57="","",INDEX(OFFSET(Arb!$H$2,,,Arb!$AJ$5,),BN57))</f>
        <v/>
      </c>
      <c r="BP57" s="3" t="str">
        <f t="shared" ca="1" si="33"/>
        <v/>
      </c>
      <c r="BQ57" s="165" t="str">
        <f ca="1">IF(BN57="","",INDEX(OFFSET(Arb!$X$2,,,Arb!$AJ$5,),BN57)/BO57)</f>
        <v/>
      </c>
      <c r="BR57" s="165" t="str">
        <f ca="1">IF(BN57="","",(INDEX(OFFSET(Arb!$U$2,,,Arb!$AJ$5,),BN57)+INDEX(OFFSET(Arb!$V$2,,,Arb!$AJ$5,),BN57))/BO57)</f>
        <v/>
      </c>
      <c r="BS57" s="51" t="str">
        <f t="shared" ca="1" si="43"/>
        <v/>
      </c>
      <c r="BT57" s="88" t="str">
        <f ca="1">IF(BN57="","",DATE(INDEX(OFFSET(Arb!$C$2,,,Arb!$AJ$5,),BN57),INDEX(OFFSET(Arb!$B$2,,,Arb!$AJ$5,),BN57),INDEX(OFFSET(Arb!$A$2,,,Arb!$AJ$5,),BN57))+ROW()*0.001)</f>
        <v/>
      </c>
      <c r="BU57" s="436">
        <v>32</v>
      </c>
      <c r="BW57" s="52" t="str">
        <f ca="1">IF(BV57="","",INDEX(OFFSET(Arb!$H$2,,,Arb!$AJ$5,),BV57))</f>
        <v/>
      </c>
      <c r="BX57" s="3" t="str">
        <f t="shared" ca="1" si="34"/>
        <v/>
      </c>
      <c r="BY57" s="165" t="str">
        <f ca="1">IF(BV57="","",INDEX(OFFSET(Arb!$X$2,,,Arb!$AJ$5,),BV57)/BW57)</f>
        <v/>
      </c>
      <c r="BZ57" s="165" t="str">
        <f ca="1">IF(BV57="","",(INDEX(OFFSET(Arb!$U$2,,,Arb!$AJ$5,),BV57)+INDEX(OFFSET(Arb!$V$2,,,Arb!$AJ$5,),BV57))/BW57)</f>
        <v/>
      </c>
      <c r="CA57" s="51" t="str">
        <f t="shared" ca="1" si="44"/>
        <v/>
      </c>
      <c r="CB57" s="91" t="str">
        <f ca="1">IF(BV57="","",DATE(INDEX(OFFSET(Arb!$C$2,,,Arb!$AJ$5,),BV57),INDEX(OFFSET(Arb!$B$2,,,Arb!$AJ$5,),BV57),INDEX(OFFSET(Arb!$A$2,,,Arb!$AJ$5,),BV57))+ROW()*0.001)</f>
        <v/>
      </c>
    </row>
    <row r="58" spans="1:80" x14ac:dyDescent="0.25">
      <c r="A58" s="436">
        <v>33</v>
      </c>
      <c r="C58" s="52" t="str">
        <f ca="1">IF(B58="","",INDEX(OFFSET(Arb!$H$2,,,Arb!$AJ$5,),B58))</f>
        <v/>
      </c>
      <c r="D58" s="3" t="str">
        <f t="shared" ca="1" si="25"/>
        <v/>
      </c>
      <c r="E58" s="165" t="str">
        <f ca="1">IF(B58="","",INDEX(OFFSET(Arb!$X$2,,,Arb!$AJ$5,),B58)/C58)</f>
        <v/>
      </c>
      <c r="F58" s="165" t="str">
        <f ca="1">IF(B58="","",(INDEX(OFFSET(Arb!$U$2,,,Arb!$AJ$5,),B58)+INDEX(OFFSET(Arb!$V$2,,,Arb!$AJ$5,),B58))/C58)</f>
        <v/>
      </c>
      <c r="G58" s="51" t="str">
        <f t="shared" ca="1" si="35"/>
        <v/>
      </c>
      <c r="H58" s="355" t="str">
        <f ca="1">IF(B58="","",DATE(INDEX(OFFSET(Arb!$C$2,,,Arb!$AJ$5,),B58),INDEX(OFFSET(Arb!$B$2,,,Arb!$AJ$5,),B58),INDEX(OFFSET(Arb!$A$2,,,Arb!$AJ$5,),B58))+ROW()*0.001)</f>
        <v/>
      </c>
      <c r="I58" s="436">
        <v>33</v>
      </c>
      <c r="K58" s="52" t="str">
        <f ca="1">IF(J58="","",INDEX(OFFSET(Arb!$H$2,,,Arb!$AJ$5,),J58))</f>
        <v/>
      </c>
      <c r="L58" s="3" t="str">
        <f t="shared" ca="1" si="26"/>
        <v/>
      </c>
      <c r="M58" s="165" t="str">
        <f ca="1">IF(J58="","",INDEX(OFFSET(Arb!$X$2,,,Arb!$AJ$5,),J58)/K58)</f>
        <v/>
      </c>
      <c r="N58" s="165" t="str">
        <f ca="1">IF(J58="","",(INDEX(OFFSET(Arb!$U$2,,,Arb!$AJ$5,),J58)+INDEX(OFFSET(Arb!$V$2,,,Arb!$AJ$5,),J58))/K58)</f>
        <v/>
      </c>
      <c r="O58" s="51" t="str">
        <f t="shared" ca="1" si="36"/>
        <v/>
      </c>
      <c r="P58" s="91" t="str">
        <f ca="1">IF(J58="","",DATE(INDEX(OFFSET(Arb!$C$2,,,Arb!$AJ$5,),J58),INDEX(OFFSET(Arb!$B$2,,,Arb!$AJ$5,),J58),INDEX(OFFSET(Arb!$A$2,,,Arb!$AJ$5,),J58))+ROW()*0.001)</f>
        <v/>
      </c>
      <c r="Q58" s="442">
        <v>33</v>
      </c>
      <c r="S58" s="52" t="str">
        <f ca="1">IF(R58="","",INDEX(OFFSET(Arb!$H$2,,,Arb!$AJ$5,),R58))</f>
        <v/>
      </c>
      <c r="T58" s="3" t="str">
        <f t="shared" ca="1" si="27"/>
        <v/>
      </c>
      <c r="U58" s="165" t="str">
        <f ca="1">IF(R58="","",INDEX(OFFSET(Arb!$X$2,,,Arb!$AJ$5,),R58)/S58)</f>
        <v/>
      </c>
      <c r="V58" s="165" t="str">
        <f ca="1">IF(R58="","",(INDEX(OFFSET(Arb!$U$2,,,Arb!$AJ$5,),R58)+INDEX(OFFSET(Arb!$V$2,,,Arb!$AJ$5,),R58))/S58)</f>
        <v/>
      </c>
      <c r="W58" s="51" t="str">
        <f t="shared" ca="1" si="37"/>
        <v/>
      </c>
      <c r="X58" s="88" t="str">
        <f ca="1">IF(R58="","",DATE(INDEX(OFFSET(Arb!$C$2,,,Arb!$AJ$5,),R58),INDEX(OFFSET(Arb!$B$2,,,Arb!$AJ$5,),R58),INDEX(OFFSET(Arb!$A$2,,,Arb!$AJ$5,),R58))+ROW()*0.001)</f>
        <v/>
      </c>
      <c r="Y58" s="436">
        <v>33</v>
      </c>
      <c r="AA58" s="52" t="str">
        <f ca="1">IF(Z58="","",INDEX(OFFSET(Arb!$H$2,,,Arb!$AJ$5,),Z58))</f>
        <v/>
      </c>
      <c r="AB58" s="3" t="str">
        <f t="shared" ca="1" si="28"/>
        <v/>
      </c>
      <c r="AC58" s="165" t="str">
        <f ca="1">IF(Z58="","",INDEX(OFFSET(Arb!$X$2,,,Arb!$AJ$5,),Z58)/AA58)</f>
        <v/>
      </c>
      <c r="AD58" s="165" t="str">
        <f ca="1">IF(Z58="","",(INDEX(OFFSET(Arb!$U$2,,,Arb!$AJ$5,),Z58)+INDEX(OFFSET(Arb!$V$2,,,Arb!$AJ$5,),Z58))/AA58)</f>
        <v/>
      </c>
      <c r="AE58" s="51" t="str">
        <f t="shared" ca="1" si="38"/>
        <v/>
      </c>
      <c r="AF58" s="91" t="str">
        <f ca="1">IF(Z58="","",DATE(INDEX(OFFSET(Arb!$C$2,,,Arb!$AJ$5,),Z58),INDEX(OFFSET(Arb!$B$2,,,Arb!$AJ$5,),Z58),INDEX(OFFSET(Arb!$A$2,,,Arb!$AJ$5,),Z58))+ROW()*0.001)</f>
        <v/>
      </c>
      <c r="AG58" s="442">
        <v>33</v>
      </c>
      <c r="AI58" s="52" t="str">
        <f ca="1">IF(AH58="","",INDEX(OFFSET(Arb!$H$2,,,Arb!$AJ$5,),AH58))</f>
        <v/>
      </c>
      <c r="AJ58" s="3" t="str">
        <f t="shared" ca="1" si="29"/>
        <v/>
      </c>
      <c r="AK58" s="165" t="str">
        <f ca="1">IF(AH58="","",INDEX(OFFSET(Arb!$X$2,,,Arb!$AJ$5,),AH58)/AI58)</f>
        <v/>
      </c>
      <c r="AL58" s="165" t="str">
        <f ca="1">IF(AH58="","",(INDEX(OFFSET(Arb!$U$2,,,Arb!$AJ$5,),AH58)+INDEX(OFFSET(Arb!$V$2,,,Arb!$AJ$5,),AH58))/AI58)</f>
        <v/>
      </c>
      <c r="AM58" s="51" t="str">
        <f t="shared" ca="1" si="39"/>
        <v/>
      </c>
      <c r="AN58" s="88" t="str">
        <f ca="1">IF(AH58="","",DATE(INDEX(OFFSET(Arb!$C$2,,,Arb!$AJ$5,),AH58),INDEX(OFFSET(Arb!$B$2,,,Arb!$AJ$5,),AH58),INDEX(OFFSET(Arb!$A$2,,,Arb!$AJ$5,),AH58))+ROW()*0.001)</f>
        <v/>
      </c>
      <c r="AO58" s="436">
        <v>33</v>
      </c>
      <c r="AQ58" s="52" t="str">
        <f ca="1">IF(AP58="","",INDEX(OFFSET(Arb!$H$2,,,Arb!$AJ$5,),AP58))</f>
        <v/>
      </c>
      <c r="AR58" s="3" t="str">
        <f t="shared" ca="1" si="30"/>
        <v/>
      </c>
      <c r="AS58" s="165" t="str">
        <f ca="1">IF(AP58="","",INDEX(OFFSET(Arb!$X$2,,,Arb!$AJ$5,),AP58)/AQ58)</f>
        <v/>
      </c>
      <c r="AT58" s="165" t="str">
        <f ca="1">IF(AP58="","",(INDEX(OFFSET(Arb!$U$2,,,Arb!$AJ$5,),AP58)+INDEX(OFFSET(Arb!$V$2,,,Arb!$AJ$5,),AP58))/AQ58)</f>
        <v/>
      </c>
      <c r="AU58" s="51" t="str">
        <f t="shared" ca="1" si="40"/>
        <v/>
      </c>
      <c r="AV58" s="91" t="str">
        <f ca="1">IF(AP58="","",DATE(INDEX(OFFSET(Arb!$C$2,,,Arb!$AJ$5,),AP58),INDEX(OFFSET(Arb!$B$2,,,Arb!$AJ$5,),AP58),INDEX(OFFSET(Arb!$A$2,,,Arb!$AJ$5,),AP58))+ROW()*0.001)</f>
        <v/>
      </c>
      <c r="AW58" s="442">
        <v>33</v>
      </c>
      <c r="AY58" s="52" t="str">
        <f ca="1">IF(AX58="","",INDEX(OFFSET(Arb!$H$2,,,Arb!$AJ$5,),AX58))</f>
        <v/>
      </c>
      <c r="AZ58" s="3" t="str">
        <f t="shared" ca="1" si="31"/>
        <v/>
      </c>
      <c r="BA58" s="165" t="str">
        <f ca="1">IF(AX58="","",INDEX(OFFSET(Arb!$X$2,,,Arb!$AJ$5,),AX58)/AY58)</f>
        <v/>
      </c>
      <c r="BB58" s="165" t="str">
        <f ca="1">IF(AX58="","",(INDEX(OFFSET(Arb!$U$2,,,Arb!$AJ$5,),AX58)+INDEX(OFFSET(Arb!$V$2,,,Arb!$AJ$5,),AX58))/AY58)</f>
        <v/>
      </c>
      <c r="BC58" s="51" t="str">
        <f t="shared" ca="1" si="41"/>
        <v/>
      </c>
      <c r="BD58" s="88" t="str">
        <f ca="1">IF(AX58="","",DATE(INDEX(OFFSET(Arb!$C$2,,,Arb!$AJ$5,),AX58),INDEX(OFFSET(Arb!$B$2,,,Arb!$AJ$5,),AX58),INDEX(OFFSET(Arb!$A$2,,,Arb!$AJ$5,),AX58))+ROW()*0.001)</f>
        <v/>
      </c>
      <c r="BE58" s="436">
        <v>33</v>
      </c>
      <c r="BG58" s="52" t="str">
        <f ca="1">IF(BF58="","",INDEX(OFFSET(Arb!$H$2,,,Arb!$AJ$5,),BF58))</f>
        <v/>
      </c>
      <c r="BH58" s="3" t="str">
        <f t="shared" ca="1" si="32"/>
        <v/>
      </c>
      <c r="BI58" s="165" t="str">
        <f ca="1">IF(BF58="","",INDEX(OFFSET(Arb!$X$2,,,Arb!$AJ$5,),BF58)/BG58)</f>
        <v/>
      </c>
      <c r="BJ58" s="165" t="str">
        <f ca="1">IF(BF58="","",(INDEX(OFFSET(Arb!$U$2,,,Arb!$AJ$5,),BF58)+INDEX(OFFSET(Arb!$V$2,,,Arb!$AJ$5,),BF58))/BG58)</f>
        <v/>
      </c>
      <c r="BK58" s="51" t="str">
        <f t="shared" ca="1" si="42"/>
        <v/>
      </c>
      <c r="BL58" s="91" t="str">
        <f ca="1">IF(BF58="","",DATE(INDEX(OFFSET(Arb!$C$2,,,Arb!$AJ$5,),BF58),INDEX(OFFSET(Arb!$B$2,,,Arb!$AJ$5,),BF58),INDEX(OFFSET(Arb!$A$2,,,Arb!$AJ$5,),BF58))+ROW()*0.001)</f>
        <v/>
      </c>
      <c r="BM58" s="442">
        <v>33</v>
      </c>
      <c r="BO58" s="52" t="str">
        <f ca="1">IF(BN58="","",INDEX(OFFSET(Arb!$H$2,,,Arb!$AJ$5,),BN58))</f>
        <v/>
      </c>
      <c r="BP58" s="3" t="str">
        <f t="shared" ca="1" si="33"/>
        <v/>
      </c>
      <c r="BQ58" s="165" t="str">
        <f ca="1">IF(BN58="","",INDEX(OFFSET(Arb!$X$2,,,Arb!$AJ$5,),BN58)/BO58)</f>
        <v/>
      </c>
      <c r="BR58" s="165" t="str">
        <f ca="1">IF(BN58="","",(INDEX(OFFSET(Arb!$U$2,,,Arb!$AJ$5,),BN58)+INDEX(OFFSET(Arb!$V$2,,,Arb!$AJ$5,),BN58))/BO58)</f>
        <v/>
      </c>
      <c r="BS58" s="51" t="str">
        <f t="shared" ca="1" si="43"/>
        <v/>
      </c>
      <c r="BT58" s="88" t="str">
        <f ca="1">IF(BN58="","",DATE(INDEX(OFFSET(Arb!$C$2,,,Arb!$AJ$5,),BN58),INDEX(OFFSET(Arb!$B$2,,,Arb!$AJ$5,),BN58),INDEX(OFFSET(Arb!$A$2,,,Arb!$AJ$5,),BN58))+ROW()*0.001)</f>
        <v/>
      </c>
      <c r="BU58" s="436">
        <v>33</v>
      </c>
      <c r="BW58" s="52" t="str">
        <f ca="1">IF(BV58="","",INDEX(OFFSET(Arb!$H$2,,,Arb!$AJ$5,),BV58))</f>
        <v/>
      </c>
      <c r="BX58" s="3" t="str">
        <f t="shared" ca="1" si="34"/>
        <v/>
      </c>
      <c r="BY58" s="165" t="str">
        <f ca="1">IF(BV58="","",INDEX(OFFSET(Arb!$X$2,,,Arb!$AJ$5,),BV58)/BW58)</f>
        <v/>
      </c>
      <c r="BZ58" s="165" t="str">
        <f ca="1">IF(BV58="","",(INDEX(OFFSET(Arb!$U$2,,,Arb!$AJ$5,),BV58)+INDEX(OFFSET(Arb!$V$2,,,Arb!$AJ$5,),BV58))/BW58)</f>
        <v/>
      </c>
      <c r="CA58" s="51" t="str">
        <f t="shared" ca="1" si="44"/>
        <v/>
      </c>
      <c r="CB58" s="91" t="str">
        <f ca="1">IF(BV58="","",DATE(INDEX(OFFSET(Arb!$C$2,,,Arb!$AJ$5,),BV58),INDEX(OFFSET(Arb!$B$2,,,Arb!$AJ$5,),BV58),INDEX(OFFSET(Arb!$A$2,,,Arb!$AJ$5,),BV58))+ROW()*0.001)</f>
        <v/>
      </c>
    </row>
    <row r="59" spans="1:80" x14ac:dyDescent="0.25">
      <c r="A59" s="436">
        <v>34</v>
      </c>
      <c r="C59" s="52" t="str">
        <f ca="1">IF(B59="","",INDEX(OFFSET(Arb!$H$2,,,Arb!$AJ$5,),B59))</f>
        <v/>
      </c>
      <c r="D59" s="3" t="str">
        <f t="shared" ca="1" si="25"/>
        <v/>
      </c>
      <c r="E59" s="165" t="str">
        <f ca="1">IF(B59="","",INDEX(OFFSET(Arb!$X$2,,,Arb!$AJ$5,),B59)/C59)</f>
        <v/>
      </c>
      <c r="F59" s="165" t="str">
        <f ca="1">IF(B59="","",(INDEX(OFFSET(Arb!$U$2,,,Arb!$AJ$5,),B59)+INDEX(OFFSET(Arb!$V$2,,,Arb!$AJ$5,),B59))/C59)</f>
        <v/>
      </c>
      <c r="G59" s="51" t="str">
        <f t="shared" ca="1" si="35"/>
        <v/>
      </c>
      <c r="H59" s="355" t="str">
        <f ca="1">IF(B59="","",DATE(INDEX(OFFSET(Arb!$C$2,,,Arb!$AJ$5,),B59),INDEX(OFFSET(Arb!$B$2,,,Arb!$AJ$5,),B59),INDEX(OFFSET(Arb!$A$2,,,Arb!$AJ$5,),B59))+ROW()*0.001)</f>
        <v/>
      </c>
      <c r="I59" s="436">
        <v>34</v>
      </c>
      <c r="K59" s="52" t="str">
        <f ca="1">IF(J59="","",INDEX(OFFSET(Arb!$H$2,,,Arb!$AJ$5,),J59))</f>
        <v/>
      </c>
      <c r="L59" s="3" t="str">
        <f t="shared" ca="1" si="26"/>
        <v/>
      </c>
      <c r="M59" s="165" t="str">
        <f ca="1">IF(J59="","",INDEX(OFFSET(Arb!$X$2,,,Arb!$AJ$5,),J59)/K59)</f>
        <v/>
      </c>
      <c r="N59" s="165" t="str">
        <f ca="1">IF(J59="","",(INDEX(OFFSET(Arb!$U$2,,,Arb!$AJ$5,),J59)+INDEX(OFFSET(Arb!$V$2,,,Arb!$AJ$5,),J59))/K59)</f>
        <v/>
      </c>
      <c r="O59" s="51" t="str">
        <f t="shared" ca="1" si="36"/>
        <v/>
      </c>
      <c r="P59" s="91" t="str">
        <f ca="1">IF(J59="","",DATE(INDEX(OFFSET(Arb!$C$2,,,Arb!$AJ$5,),J59),INDEX(OFFSET(Arb!$B$2,,,Arb!$AJ$5,),J59),INDEX(OFFSET(Arb!$A$2,,,Arb!$AJ$5,),J59))+ROW()*0.001)</f>
        <v/>
      </c>
      <c r="Q59" s="442">
        <v>34</v>
      </c>
      <c r="S59" s="52" t="str">
        <f ca="1">IF(R59="","",INDEX(OFFSET(Arb!$H$2,,,Arb!$AJ$5,),R59))</f>
        <v/>
      </c>
      <c r="T59" s="3" t="str">
        <f t="shared" ca="1" si="27"/>
        <v/>
      </c>
      <c r="U59" s="165" t="str">
        <f ca="1">IF(R59="","",INDEX(OFFSET(Arb!$X$2,,,Arb!$AJ$5,),R59)/S59)</f>
        <v/>
      </c>
      <c r="V59" s="165" t="str">
        <f ca="1">IF(R59="","",(INDEX(OFFSET(Arb!$U$2,,,Arb!$AJ$5,),R59)+INDEX(OFFSET(Arb!$V$2,,,Arb!$AJ$5,),R59))/S59)</f>
        <v/>
      </c>
      <c r="W59" s="51" t="str">
        <f t="shared" ca="1" si="37"/>
        <v/>
      </c>
      <c r="X59" s="88" t="str">
        <f ca="1">IF(R59="","",DATE(INDEX(OFFSET(Arb!$C$2,,,Arb!$AJ$5,),R59),INDEX(OFFSET(Arb!$B$2,,,Arb!$AJ$5,),R59),INDEX(OFFSET(Arb!$A$2,,,Arb!$AJ$5,),R59))+ROW()*0.001)</f>
        <v/>
      </c>
      <c r="Y59" s="436">
        <v>34</v>
      </c>
      <c r="AA59" s="52" t="str">
        <f ca="1">IF(Z59="","",INDEX(OFFSET(Arb!$H$2,,,Arb!$AJ$5,),Z59))</f>
        <v/>
      </c>
      <c r="AB59" s="3" t="str">
        <f t="shared" ca="1" si="28"/>
        <v/>
      </c>
      <c r="AC59" s="165" t="str">
        <f ca="1">IF(Z59="","",INDEX(OFFSET(Arb!$X$2,,,Arb!$AJ$5,),Z59)/AA59)</f>
        <v/>
      </c>
      <c r="AD59" s="165" t="str">
        <f ca="1">IF(Z59="","",(INDEX(OFFSET(Arb!$U$2,,,Arb!$AJ$5,),Z59)+INDEX(OFFSET(Arb!$V$2,,,Arb!$AJ$5,),Z59))/AA59)</f>
        <v/>
      </c>
      <c r="AE59" s="51" t="str">
        <f t="shared" ca="1" si="38"/>
        <v/>
      </c>
      <c r="AF59" s="91" t="str">
        <f ca="1">IF(Z59="","",DATE(INDEX(OFFSET(Arb!$C$2,,,Arb!$AJ$5,),Z59),INDEX(OFFSET(Arb!$B$2,,,Arb!$AJ$5,),Z59),INDEX(OFFSET(Arb!$A$2,,,Arb!$AJ$5,),Z59))+ROW()*0.001)</f>
        <v/>
      </c>
      <c r="AG59" s="442">
        <v>34</v>
      </c>
      <c r="AI59" s="52" t="str">
        <f ca="1">IF(AH59="","",INDEX(OFFSET(Arb!$H$2,,,Arb!$AJ$5,),AH59))</f>
        <v/>
      </c>
      <c r="AJ59" s="3" t="str">
        <f t="shared" ca="1" si="29"/>
        <v/>
      </c>
      <c r="AK59" s="165" t="str">
        <f ca="1">IF(AH59="","",INDEX(OFFSET(Arb!$X$2,,,Arb!$AJ$5,),AH59)/AI59)</f>
        <v/>
      </c>
      <c r="AL59" s="165" t="str">
        <f ca="1">IF(AH59="","",(INDEX(OFFSET(Arb!$U$2,,,Arb!$AJ$5,),AH59)+INDEX(OFFSET(Arb!$V$2,,,Arb!$AJ$5,),AH59))/AI59)</f>
        <v/>
      </c>
      <c r="AM59" s="51" t="str">
        <f t="shared" ca="1" si="39"/>
        <v/>
      </c>
      <c r="AN59" s="88" t="str">
        <f ca="1">IF(AH59="","",DATE(INDEX(OFFSET(Arb!$C$2,,,Arb!$AJ$5,),AH59),INDEX(OFFSET(Arb!$B$2,,,Arb!$AJ$5,),AH59),INDEX(OFFSET(Arb!$A$2,,,Arb!$AJ$5,),AH59))+ROW()*0.001)</f>
        <v/>
      </c>
      <c r="AO59" s="436">
        <v>34</v>
      </c>
      <c r="AQ59" s="52" t="str">
        <f ca="1">IF(AP59="","",INDEX(OFFSET(Arb!$H$2,,,Arb!$AJ$5,),AP59))</f>
        <v/>
      </c>
      <c r="AR59" s="3" t="str">
        <f t="shared" ca="1" si="30"/>
        <v/>
      </c>
      <c r="AS59" s="165" t="str">
        <f ca="1">IF(AP59="","",INDEX(OFFSET(Arb!$X$2,,,Arb!$AJ$5,),AP59)/AQ59)</f>
        <v/>
      </c>
      <c r="AT59" s="165" t="str">
        <f ca="1">IF(AP59="","",(INDEX(OFFSET(Arb!$U$2,,,Arb!$AJ$5,),AP59)+INDEX(OFFSET(Arb!$V$2,,,Arb!$AJ$5,),AP59))/AQ59)</f>
        <v/>
      </c>
      <c r="AU59" s="51" t="str">
        <f t="shared" ca="1" si="40"/>
        <v/>
      </c>
      <c r="AV59" s="91" t="str">
        <f ca="1">IF(AP59="","",DATE(INDEX(OFFSET(Arb!$C$2,,,Arb!$AJ$5,),AP59),INDEX(OFFSET(Arb!$B$2,,,Arb!$AJ$5,),AP59),INDEX(OFFSET(Arb!$A$2,,,Arb!$AJ$5,),AP59))+ROW()*0.001)</f>
        <v/>
      </c>
      <c r="AW59" s="442">
        <v>34</v>
      </c>
      <c r="AY59" s="52" t="str">
        <f ca="1">IF(AX59="","",INDEX(OFFSET(Arb!$H$2,,,Arb!$AJ$5,),AX59))</f>
        <v/>
      </c>
      <c r="AZ59" s="3" t="str">
        <f t="shared" ca="1" si="31"/>
        <v/>
      </c>
      <c r="BA59" s="165" t="str">
        <f ca="1">IF(AX59="","",INDEX(OFFSET(Arb!$X$2,,,Arb!$AJ$5,),AX59)/AY59)</f>
        <v/>
      </c>
      <c r="BB59" s="165" t="str">
        <f ca="1">IF(AX59="","",(INDEX(OFFSET(Arb!$U$2,,,Arb!$AJ$5,),AX59)+INDEX(OFFSET(Arb!$V$2,,,Arb!$AJ$5,),AX59))/AY59)</f>
        <v/>
      </c>
      <c r="BC59" s="51" t="str">
        <f t="shared" ca="1" si="41"/>
        <v/>
      </c>
      <c r="BD59" s="88" t="str">
        <f ca="1">IF(AX59="","",DATE(INDEX(OFFSET(Arb!$C$2,,,Arb!$AJ$5,),AX59),INDEX(OFFSET(Arb!$B$2,,,Arb!$AJ$5,),AX59),INDEX(OFFSET(Arb!$A$2,,,Arb!$AJ$5,),AX59))+ROW()*0.001)</f>
        <v/>
      </c>
      <c r="BE59" s="436">
        <v>34</v>
      </c>
      <c r="BG59" s="52" t="str">
        <f ca="1">IF(BF59="","",INDEX(OFFSET(Arb!$H$2,,,Arb!$AJ$5,),BF59))</f>
        <v/>
      </c>
      <c r="BH59" s="3" t="str">
        <f t="shared" ca="1" si="32"/>
        <v/>
      </c>
      <c r="BI59" s="165" t="str">
        <f ca="1">IF(BF59="","",INDEX(OFFSET(Arb!$X$2,,,Arb!$AJ$5,),BF59)/BG59)</f>
        <v/>
      </c>
      <c r="BJ59" s="165" t="str">
        <f ca="1">IF(BF59="","",(INDEX(OFFSET(Arb!$U$2,,,Arb!$AJ$5,),BF59)+INDEX(OFFSET(Arb!$V$2,,,Arb!$AJ$5,),BF59))/BG59)</f>
        <v/>
      </c>
      <c r="BK59" s="51" t="str">
        <f t="shared" ca="1" si="42"/>
        <v/>
      </c>
      <c r="BL59" s="91" t="str">
        <f ca="1">IF(BF59="","",DATE(INDEX(OFFSET(Arb!$C$2,,,Arb!$AJ$5,),BF59),INDEX(OFFSET(Arb!$B$2,,,Arb!$AJ$5,),BF59),INDEX(OFFSET(Arb!$A$2,,,Arb!$AJ$5,),BF59))+ROW()*0.001)</f>
        <v/>
      </c>
      <c r="BM59" s="442">
        <v>34</v>
      </c>
      <c r="BO59" s="52" t="str">
        <f ca="1">IF(BN59="","",INDEX(OFFSET(Arb!$H$2,,,Arb!$AJ$5,),BN59))</f>
        <v/>
      </c>
      <c r="BP59" s="3" t="str">
        <f t="shared" ca="1" si="33"/>
        <v/>
      </c>
      <c r="BQ59" s="165" t="str">
        <f ca="1">IF(BN59="","",INDEX(OFFSET(Arb!$X$2,,,Arb!$AJ$5,),BN59)/BO59)</f>
        <v/>
      </c>
      <c r="BR59" s="165" t="str">
        <f ca="1">IF(BN59="","",(INDEX(OFFSET(Arb!$U$2,,,Arb!$AJ$5,),BN59)+INDEX(OFFSET(Arb!$V$2,,,Arb!$AJ$5,),BN59))/BO59)</f>
        <v/>
      </c>
      <c r="BS59" s="51" t="str">
        <f t="shared" ca="1" si="43"/>
        <v/>
      </c>
      <c r="BT59" s="88" t="str">
        <f ca="1">IF(BN59="","",DATE(INDEX(OFFSET(Arb!$C$2,,,Arb!$AJ$5,),BN59),INDEX(OFFSET(Arb!$B$2,,,Arb!$AJ$5,),BN59),INDEX(OFFSET(Arb!$A$2,,,Arb!$AJ$5,),BN59))+ROW()*0.001)</f>
        <v/>
      </c>
      <c r="BU59" s="436">
        <v>34</v>
      </c>
      <c r="BW59" s="52" t="str">
        <f ca="1">IF(BV59="","",INDEX(OFFSET(Arb!$H$2,,,Arb!$AJ$5,),BV59))</f>
        <v/>
      </c>
      <c r="BX59" s="3" t="str">
        <f t="shared" ca="1" si="34"/>
        <v/>
      </c>
      <c r="BY59" s="165" t="str">
        <f ca="1">IF(BV59="","",INDEX(OFFSET(Arb!$X$2,,,Arb!$AJ$5,),BV59)/BW59)</f>
        <v/>
      </c>
      <c r="BZ59" s="165" t="str">
        <f ca="1">IF(BV59="","",(INDEX(OFFSET(Arb!$U$2,,,Arb!$AJ$5,),BV59)+INDEX(OFFSET(Arb!$V$2,,,Arb!$AJ$5,),BV59))/BW59)</f>
        <v/>
      </c>
      <c r="CA59" s="51" t="str">
        <f t="shared" ca="1" si="44"/>
        <v/>
      </c>
      <c r="CB59" s="91" t="str">
        <f ca="1">IF(BV59="","",DATE(INDEX(OFFSET(Arb!$C$2,,,Arb!$AJ$5,),BV59),INDEX(OFFSET(Arb!$B$2,,,Arb!$AJ$5,),BV59),INDEX(OFFSET(Arb!$A$2,,,Arb!$AJ$5,),BV59))+ROW()*0.001)</f>
        <v/>
      </c>
    </row>
    <row r="60" spans="1:80" x14ac:dyDescent="0.25">
      <c r="A60" s="436">
        <v>35</v>
      </c>
      <c r="B60" s="1">
        <v>2311</v>
      </c>
      <c r="C60" s="52">
        <f ca="1">IF(B60="","",INDEX(OFFSET(Arb!$H$2,,,Arb!$AJ$5,),B60))</f>
        <v>16.059999999999999</v>
      </c>
      <c r="D60" s="3">
        <f t="shared" ca="1" si="25"/>
        <v>2.1793275217932755</v>
      </c>
      <c r="E60" s="165">
        <f ca="1">IF(B60="","",INDEX(OFFSET(Arb!$X$2,,,Arb!$AJ$5,),B60)/C60)</f>
        <v>3.1133250311332508</v>
      </c>
      <c r="F60" s="165">
        <f ca="1">IF(B60="","",(INDEX(OFFSET(Arb!$U$2,,,Arb!$AJ$5,),B60)+INDEX(OFFSET(Arb!$V$2,,,Arb!$AJ$5,),B60))/C60)</f>
        <v>3.5491905354919058</v>
      </c>
      <c r="G60" s="51">
        <f t="shared" ca="1" si="35"/>
        <v>47.97989043878956</v>
      </c>
      <c r="H60" s="355">
        <f ca="1">IF(B60="","",DATE(INDEX(OFFSET(Arb!$C$2,,,Arb!$AJ$5,),B60),INDEX(OFFSET(Arb!$B$2,,,Arb!$AJ$5,),B60),INDEX(OFFSET(Arb!$A$2,,,Arb!$AJ$5,),B60))+ROW()*0.001)</f>
        <v>43952.06</v>
      </c>
      <c r="I60" s="436">
        <v>35</v>
      </c>
      <c r="J60" s="1">
        <v>2176</v>
      </c>
      <c r="K60" s="52">
        <f ca="1">IF(J60="","",INDEX(OFFSET(Arb!$H$2,,,Arb!$AJ$5,),J60))</f>
        <v>16.77</v>
      </c>
      <c r="L60" s="3">
        <f t="shared" ca="1" si="26"/>
        <v>2.0870602265951104</v>
      </c>
      <c r="M60" s="165">
        <f ca="1">IF(J60="","",INDEX(OFFSET(Arb!$X$2,,,Arb!$AJ$5,),J60)/K60)</f>
        <v>2.5044722719141324</v>
      </c>
      <c r="N60" s="165">
        <f ca="1">IF(J60="","",(INDEX(OFFSET(Arb!$U$2,,,Arb!$AJ$5,),J60)+INDEX(OFFSET(Arb!$V$2,,,Arb!$AJ$5,),J60))/K60)</f>
        <v>2.6237328562909958</v>
      </c>
      <c r="O60" s="51">
        <f t="shared" ca="1" si="36"/>
        <v>44.577988218491804</v>
      </c>
      <c r="P60" s="91">
        <f ca="1">IF(J60="","",DATE(INDEX(OFFSET(Arb!$C$2,,,Arb!$AJ$5,),J60),INDEX(OFFSET(Arb!$B$2,,,Arb!$AJ$5,),J60),INDEX(OFFSET(Arb!$A$2,,,Arb!$AJ$5,),J60))+ROW()*0.001)</f>
        <v>43840.06</v>
      </c>
      <c r="Q60" s="442">
        <v>35</v>
      </c>
      <c r="R60" s="1">
        <v>1906</v>
      </c>
      <c r="S60" s="52">
        <f ca="1">IF(R60="","",INDEX(OFFSET(Arb!$H$2,,,Arb!$AJ$5,),R60))</f>
        <v>18.57</v>
      </c>
      <c r="T60" s="3">
        <f t="shared" ca="1" si="27"/>
        <v>1.884760366182014</v>
      </c>
      <c r="U60" s="165">
        <f ca="1">IF(R60="","",INDEX(OFFSET(Arb!$X$2,,,Arb!$AJ$5,),R60)/S60)</f>
        <v>2.5309639203015615</v>
      </c>
      <c r="V60" s="165">
        <f ca="1">IF(R60="","",(INDEX(OFFSET(Arb!$U$2,,,Arb!$AJ$5,),R60)+INDEX(OFFSET(Arb!$V$2,,,Arb!$AJ$5,),R60))/S60)</f>
        <v>3.1233171782444802</v>
      </c>
      <c r="W60" s="51">
        <f t="shared" ca="1" si="37"/>
        <v>37.484043670103688</v>
      </c>
      <c r="X60" s="88">
        <f ca="1">IF(R60="","",DATE(INDEX(OFFSET(Arb!$C$2,,,Arb!$AJ$5,),R60),INDEX(OFFSET(Arb!$B$2,,,Arb!$AJ$5,),R60),INDEX(OFFSET(Arb!$A$2,,,Arb!$AJ$5,),R60))+ROW()*0.001)</f>
        <v>43765.06</v>
      </c>
      <c r="Y60" s="436">
        <v>35</v>
      </c>
      <c r="AA60" s="52" t="str">
        <f ca="1">IF(Z60="","",INDEX(OFFSET(Arb!$H$2,,,Arb!$AJ$5,),Z60))</f>
        <v/>
      </c>
      <c r="AB60" s="3" t="str">
        <f t="shared" ca="1" si="28"/>
        <v/>
      </c>
      <c r="AC60" s="165" t="str">
        <f ca="1">IF(Z60="","",INDEX(OFFSET(Arb!$X$2,,,Arb!$AJ$5,),Z60)/AA60)</f>
        <v/>
      </c>
      <c r="AD60" s="165" t="str">
        <f ca="1">IF(Z60="","",(INDEX(OFFSET(Arb!$U$2,,,Arb!$AJ$5,),Z60)+INDEX(OFFSET(Arb!$V$2,,,Arb!$AJ$5,),Z60))/AA60)</f>
        <v/>
      </c>
      <c r="AE60" s="51" t="str">
        <f t="shared" ca="1" si="38"/>
        <v/>
      </c>
      <c r="AF60" s="91" t="str">
        <f ca="1">IF(Z60="","",DATE(INDEX(OFFSET(Arb!$C$2,,,Arb!$AJ$5,),Z60),INDEX(OFFSET(Arb!$B$2,,,Arb!$AJ$5,),Z60),INDEX(OFFSET(Arb!$A$2,,,Arb!$AJ$5,),Z60))+ROW()*0.001)</f>
        <v/>
      </c>
      <c r="AG60" s="442">
        <v>35</v>
      </c>
      <c r="AI60" s="52" t="str">
        <f ca="1">IF(AH60="","",INDEX(OFFSET(Arb!$H$2,,,Arb!$AJ$5,),AH60))</f>
        <v/>
      </c>
      <c r="AJ60" s="3" t="str">
        <f t="shared" ca="1" si="29"/>
        <v/>
      </c>
      <c r="AK60" s="165" t="str">
        <f ca="1">IF(AH60="","",INDEX(OFFSET(Arb!$X$2,,,Arb!$AJ$5,),AH60)/AI60)</f>
        <v/>
      </c>
      <c r="AL60" s="165" t="str">
        <f ca="1">IF(AH60="","",(INDEX(OFFSET(Arb!$U$2,,,Arb!$AJ$5,),AH60)+INDEX(OFFSET(Arb!$V$2,,,Arb!$AJ$5,),AH60))/AI60)</f>
        <v/>
      </c>
      <c r="AM60" s="51" t="str">
        <f t="shared" ca="1" si="39"/>
        <v/>
      </c>
      <c r="AN60" s="88" t="str">
        <f ca="1">IF(AH60="","",DATE(INDEX(OFFSET(Arb!$C$2,,,Arb!$AJ$5,),AH60),INDEX(OFFSET(Arb!$B$2,,,Arb!$AJ$5,),AH60),INDEX(OFFSET(Arb!$A$2,,,Arb!$AJ$5,),AH60))+ROW()*0.001)</f>
        <v/>
      </c>
      <c r="AO60" s="436">
        <v>35</v>
      </c>
      <c r="AQ60" s="52" t="str">
        <f ca="1">IF(AP60="","",INDEX(OFFSET(Arb!$H$2,,,Arb!$AJ$5,),AP60))</f>
        <v/>
      </c>
      <c r="AR60" s="3" t="str">
        <f t="shared" ca="1" si="30"/>
        <v/>
      </c>
      <c r="AS60" s="165" t="str">
        <f ca="1">IF(AP60="","",INDEX(OFFSET(Arb!$X$2,,,Arb!$AJ$5,),AP60)/AQ60)</f>
        <v/>
      </c>
      <c r="AT60" s="165" t="str">
        <f ca="1">IF(AP60="","",(INDEX(OFFSET(Arb!$U$2,,,Arb!$AJ$5,),AP60)+INDEX(OFFSET(Arb!$V$2,,,Arb!$AJ$5,),AP60))/AQ60)</f>
        <v/>
      </c>
      <c r="AU60" s="51" t="str">
        <f t="shared" ca="1" si="40"/>
        <v/>
      </c>
      <c r="AV60" s="91" t="str">
        <f ca="1">IF(AP60="","",DATE(INDEX(OFFSET(Arb!$C$2,,,Arb!$AJ$5,),AP60),INDEX(OFFSET(Arb!$B$2,,,Arb!$AJ$5,),AP60),INDEX(OFFSET(Arb!$A$2,,,Arb!$AJ$5,),AP60))+ROW()*0.001)</f>
        <v/>
      </c>
      <c r="AW60" s="442">
        <v>35</v>
      </c>
      <c r="AY60" s="52" t="str">
        <f ca="1">IF(AX60="","",INDEX(OFFSET(Arb!$H$2,,,Arb!$AJ$5,),AX60))</f>
        <v/>
      </c>
      <c r="AZ60" s="3" t="str">
        <f t="shared" ca="1" si="31"/>
        <v/>
      </c>
      <c r="BA60" s="165" t="str">
        <f ca="1">IF(AX60="","",INDEX(OFFSET(Arb!$X$2,,,Arb!$AJ$5,),AX60)/AY60)</f>
        <v/>
      </c>
      <c r="BB60" s="165" t="str">
        <f ca="1">IF(AX60="","",(INDEX(OFFSET(Arb!$U$2,,,Arb!$AJ$5,),AX60)+INDEX(OFFSET(Arb!$V$2,,,Arb!$AJ$5,),AX60))/AY60)</f>
        <v/>
      </c>
      <c r="BC60" s="51" t="str">
        <f t="shared" ca="1" si="41"/>
        <v/>
      </c>
      <c r="BD60" s="88" t="str">
        <f ca="1">IF(AX60="","",DATE(INDEX(OFFSET(Arb!$C$2,,,Arb!$AJ$5,),AX60),INDEX(OFFSET(Arb!$B$2,,,Arb!$AJ$5,),AX60),INDEX(OFFSET(Arb!$A$2,,,Arb!$AJ$5,),AX60))+ROW()*0.001)</f>
        <v/>
      </c>
      <c r="BE60" s="436">
        <v>35</v>
      </c>
      <c r="BG60" s="52" t="str">
        <f ca="1">IF(BF60="","",INDEX(OFFSET(Arb!$H$2,,,Arb!$AJ$5,),BF60))</f>
        <v/>
      </c>
      <c r="BH60" s="3" t="str">
        <f t="shared" ca="1" si="32"/>
        <v/>
      </c>
      <c r="BI60" s="165" t="str">
        <f ca="1">IF(BF60="","",INDEX(OFFSET(Arb!$X$2,,,Arb!$AJ$5,),BF60)/BG60)</f>
        <v/>
      </c>
      <c r="BJ60" s="165" t="str">
        <f ca="1">IF(BF60="","",(INDEX(OFFSET(Arb!$U$2,,,Arb!$AJ$5,),BF60)+INDEX(OFFSET(Arb!$V$2,,,Arb!$AJ$5,),BF60))/BG60)</f>
        <v/>
      </c>
      <c r="BK60" s="51" t="str">
        <f t="shared" ca="1" si="42"/>
        <v/>
      </c>
      <c r="BL60" s="91" t="str">
        <f ca="1">IF(BF60="","",DATE(INDEX(OFFSET(Arb!$C$2,,,Arb!$AJ$5,),BF60),INDEX(OFFSET(Arb!$B$2,,,Arb!$AJ$5,),BF60),INDEX(OFFSET(Arb!$A$2,,,Arb!$AJ$5,),BF60))+ROW()*0.001)</f>
        <v/>
      </c>
      <c r="BM60" s="442">
        <v>35</v>
      </c>
      <c r="BO60" s="52" t="str">
        <f ca="1">IF(BN60="","",INDEX(OFFSET(Arb!$H$2,,,Arb!$AJ$5,),BN60))</f>
        <v/>
      </c>
      <c r="BP60" s="3" t="str">
        <f t="shared" ca="1" si="33"/>
        <v/>
      </c>
      <c r="BQ60" s="165" t="str">
        <f ca="1">IF(BN60="","",INDEX(OFFSET(Arb!$X$2,,,Arb!$AJ$5,),BN60)/BO60)</f>
        <v/>
      </c>
      <c r="BR60" s="165" t="str">
        <f ca="1">IF(BN60="","",(INDEX(OFFSET(Arb!$U$2,,,Arb!$AJ$5,),BN60)+INDEX(OFFSET(Arb!$V$2,,,Arb!$AJ$5,),BN60))/BO60)</f>
        <v/>
      </c>
      <c r="BS60" s="51" t="str">
        <f t="shared" ca="1" si="43"/>
        <v/>
      </c>
      <c r="BT60" s="88" t="str">
        <f ca="1">IF(BN60="","",DATE(INDEX(OFFSET(Arb!$C$2,,,Arb!$AJ$5,),BN60),INDEX(OFFSET(Arb!$B$2,,,Arb!$AJ$5,),BN60),INDEX(OFFSET(Arb!$A$2,,,Arb!$AJ$5,),BN60))+ROW()*0.001)</f>
        <v/>
      </c>
      <c r="BU60" s="436">
        <v>35</v>
      </c>
      <c r="BW60" s="52" t="str">
        <f ca="1">IF(BV60="","",INDEX(OFFSET(Arb!$H$2,,,Arb!$AJ$5,),BV60))</f>
        <v/>
      </c>
      <c r="BX60" s="3" t="str">
        <f t="shared" ca="1" si="34"/>
        <v/>
      </c>
      <c r="BY60" s="165" t="str">
        <f ca="1">IF(BV60="","",INDEX(OFFSET(Arb!$X$2,,,Arb!$AJ$5,),BV60)/BW60)</f>
        <v/>
      </c>
      <c r="BZ60" s="165" t="str">
        <f ca="1">IF(BV60="","",(INDEX(OFFSET(Arb!$U$2,,,Arb!$AJ$5,),BV60)+INDEX(OFFSET(Arb!$V$2,,,Arb!$AJ$5,),BV60))/BW60)</f>
        <v/>
      </c>
      <c r="CA60" s="51" t="str">
        <f t="shared" ca="1" si="44"/>
        <v/>
      </c>
      <c r="CB60" s="91" t="str">
        <f ca="1">IF(BV60="","",DATE(INDEX(OFFSET(Arb!$C$2,,,Arb!$AJ$5,),BV60),INDEX(OFFSET(Arb!$B$2,,,Arb!$AJ$5,),BV60),INDEX(OFFSET(Arb!$A$2,,,Arb!$AJ$5,),BV60))+ROW()*0.001)</f>
        <v/>
      </c>
    </row>
    <row r="61" spans="1:80" x14ac:dyDescent="0.25">
      <c r="A61" s="436">
        <v>36</v>
      </c>
      <c r="B61" s="1">
        <v>2197</v>
      </c>
      <c r="C61" s="52">
        <f ca="1">IF(B61="","",INDEX(OFFSET(Arb!$H$2,,,Arb!$AJ$5,),B61))</f>
        <v>18.68</v>
      </c>
      <c r="D61" s="3">
        <f t="shared" ca="1" si="25"/>
        <v>1.9271948608137046</v>
      </c>
      <c r="E61" s="165">
        <f ca="1">IF(B61="","",INDEX(OFFSET(Arb!$X$2,,,Arb!$AJ$5,),B61)/C61)</f>
        <v>3.2119914346895078</v>
      </c>
      <c r="F61" s="165">
        <f ca="1">IF(B61="","",(INDEX(OFFSET(Arb!$U$2,,,Arb!$AJ$5,),B61)+INDEX(OFFSET(Arb!$V$2,,,Arb!$AJ$5,),B61))/C61)</f>
        <v>3.8543897216274092</v>
      </c>
      <c r="G61" s="51">
        <f t="shared" ca="1" si="35"/>
        <v>38.169849338051158</v>
      </c>
      <c r="H61" s="355">
        <f ca="1">IF(B61="","",DATE(INDEX(OFFSET(Arb!$C$2,,,Arb!$AJ$5,),B61),INDEX(OFFSET(Arb!$B$2,,,Arb!$AJ$5,),B61),INDEX(OFFSET(Arb!$A$2,,,Arb!$AJ$5,),B61))+ROW()*0.001)</f>
        <v>43854.061000000002</v>
      </c>
      <c r="I61" s="436">
        <v>36</v>
      </c>
      <c r="J61" s="1">
        <v>2013</v>
      </c>
      <c r="K61" s="52">
        <f ca="1">IF(J61="","",INDEX(OFFSET(Arb!$H$2,,,Arb!$AJ$5,),J61))</f>
        <v>21.62</v>
      </c>
      <c r="L61" s="3">
        <f t="shared" ca="1" si="26"/>
        <v>1.6651248843663273</v>
      </c>
      <c r="M61" s="165">
        <f ca="1">IF(J61="","",INDEX(OFFSET(Arb!$X$2,,,Arb!$AJ$5,),J61)/K61)</f>
        <v>2.1739130434782608</v>
      </c>
      <c r="N61" s="165">
        <f ca="1">IF(J61="","",(INDEX(OFFSET(Arb!$U$2,,,Arb!$AJ$5,),J61)+INDEX(OFFSET(Arb!$V$2,,,Arb!$AJ$5,),J61))/K61)</f>
        <v>2.5439407955596667</v>
      </c>
      <c r="O61" s="51">
        <f t="shared" ca="1" si="36"/>
        <v>29.771893420126926</v>
      </c>
      <c r="P61" s="91">
        <f ca="1">IF(J61="","",DATE(INDEX(OFFSET(Arb!$C$2,,,Arb!$AJ$5,),J61),INDEX(OFFSET(Arb!$B$2,,,Arb!$AJ$5,),J61),INDEX(OFFSET(Arb!$A$2,,,Arb!$AJ$5,),J61))+ROW()*0.001)</f>
        <v>43788.061000000002</v>
      </c>
      <c r="Q61" s="442">
        <v>36</v>
      </c>
      <c r="S61" s="52" t="str">
        <f ca="1">IF(R61="","",INDEX(OFFSET(Arb!$H$2,,,Arb!$AJ$5,),R61))</f>
        <v/>
      </c>
      <c r="T61" s="3" t="str">
        <f t="shared" ca="1" si="27"/>
        <v/>
      </c>
      <c r="U61" s="165" t="str">
        <f ca="1">IF(R61="","",INDEX(OFFSET(Arb!$X$2,,,Arb!$AJ$5,),R61)/S61)</f>
        <v/>
      </c>
      <c r="V61" s="165" t="str">
        <f ca="1">IF(R61="","",(INDEX(OFFSET(Arb!$U$2,,,Arb!$AJ$5,),R61)+INDEX(OFFSET(Arb!$V$2,,,Arb!$AJ$5,),R61))/S61)</f>
        <v/>
      </c>
      <c r="W61" s="51" t="str">
        <f t="shared" ca="1" si="37"/>
        <v/>
      </c>
      <c r="X61" s="88" t="str">
        <f ca="1">IF(R61="","",DATE(INDEX(OFFSET(Arb!$C$2,,,Arb!$AJ$5,),R61),INDEX(OFFSET(Arb!$B$2,,,Arb!$AJ$5,),R61),INDEX(OFFSET(Arb!$A$2,,,Arb!$AJ$5,),R61))+ROW()*0.001)</f>
        <v/>
      </c>
      <c r="Y61" s="436">
        <v>36</v>
      </c>
      <c r="AA61" s="52" t="str">
        <f ca="1">IF(Z61="","",INDEX(OFFSET(Arb!$H$2,,,Arb!$AJ$5,),Z61))</f>
        <v/>
      </c>
      <c r="AB61" s="3" t="str">
        <f t="shared" ca="1" si="28"/>
        <v/>
      </c>
      <c r="AC61" s="165" t="str">
        <f ca="1">IF(Z61="","",INDEX(OFFSET(Arb!$X$2,,,Arb!$AJ$5,),Z61)/AA61)</f>
        <v/>
      </c>
      <c r="AD61" s="165" t="str">
        <f ca="1">IF(Z61="","",(INDEX(OFFSET(Arb!$U$2,,,Arb!$AJ$5,),Z61)+INDEX(OFFSET(Arb!$V$2,,,Arb!$AJ$5,),Z61))/AA61)</f>
        <v/>
      </c>
      <c r="AE61" s="51" t="str">
        <f t="shared" ca="1" si="38"/>
        <v/>
      </c>
      <c r="AF61" s="91" t="str">
        <f ca="1">IF(Z61="","",DATE(INDEX(OFFSET(Arb!$C$2,,,Arb!$AJ$5,),Z61),INDEX(OFFSET(Arb!$B$2,,,Arb!$AJ$5,),Z61),INDEX(OFFSET(Arb!$A$2,,,Arb!$AJ$5,),Z61))+ROW()*0.001)</f>
        <v/>
      </c>
      <c r="AG61" s="442">
        <v>36</v>
      </c>
      <c r="AI61" s="52" t="str">
        <f ca="1">IF(AH61="","",INDEX(OFFSET(Arb!$H$2,,,Arb!$AJ$5,),AH61))</f>
        <v/>
      </c>
      <c r="AJ61" s="3" t="str">
        <f t="shared" ca="1" si="29"/>
        <v/>
      </c>
      <c r="AK61" s="165" t="str">
        <f ca="1">IF(AH61="","",INDEX(OFFSET(Arb!$X$2,,,Arb!$AJ$5,),AH61)/AI61)</f>
        <v/>
      </c>
      <c r="AL61" s="165" t="str">
        <f ca="1">IF(AH61="","",(INDEX(OFFSET(Arb!$U$2,,,Arb!$AJ$5,),AH61)+INDEX(OFFSET(Arb!$V$2,,,Arb!$AJ$5,),AH61))/AI61)</f>
        <v/>
      </c>
      <c r="AM61" s="51" t="str">
        <f t="shared" ca="1" si="39"/>
        <v/>
      </c>
      <c r="AN61" s="88" t="str">
        <f ca="1">IF(AH61="","",DATE(INDEX(OFFSET(Arb!$C$2,,,Arb!$AJ$5,),AH61),INDEX(OFFSET(Arb!$B$2,,,Arb!$AJ$5,),AH61),INDEX(OFFSET(Arb!$A$2,,,Arb!$AJ$5,),AH61))+ROW()*0.001)</f>
        <v/>
      </c>
      <c r="AO61" s="436">
        <v>36</v>
      </c>
      <c r="AQ61" s="52" t="str">
        <f ca="1">IF(AP61="","",INDEX(OFFSET(Arb!$H$2,,,Arb!$AJ$5,),AP61))</f>
        <v/>
      </c>
      <c r="AR61" s="3" t="str">
        <f t="shared" ca="1" si="30"/>
        <v/>
      </c>
      <c r="AS61" s="165" t="str">
        <f ca="1">IF(AP61="","",INDEX(OFFSET(Arb!$X$2,,,Arb!$AJ$5,),AP61)/AQ61)</f>
        <v/>
      </c>
      <c r="AT61" s="165" t="str">
        <f ca="1">IF(AP61="","",(INDEX(OFFSET(Arb!$U$2,,,Arb!$AJ$5,),AP61)+INDEX(OFFSET(Arb!$V$2,,,Arb!$AJ$5,),AP61))/AQ61)</f>
        <v/>
      </c>
      <c r="AU61" s="51" t="str">
        <f t="shared" ca="1" si="40"/>
        <v/>
      </c>
      <c r="AV61" s="91" t="str">
        <f ca="1">IF(AP61="","",DATE(INDEX(OFFSET(Arb!$C$2,,,Arb!$AJ$5,),AP61),INDEX(OFFSET(Arb!$B$2,,,Arb!$AJ$5,),AP61),INDEX(OFFSET(Arb!$A$2,,,Arb!$AJ$5,),AP61))+ROW()*0.001)</f>
        <v/>
      </c>
      <c r="AW61" s="442">
        <v>36</v>
      </c>
      <c r="AY61" s="52" t="str">
        <f ca="1">IF(AX61="","",INDEX(OFFSET(Arb!$H$2,,,Arb!$AJ$5,),AX61))</f>
        <v/>
      </c>
      <c r="AZ61" s="3" t="str">
        <f t="shared" ca="1" si="31"/>
        <v/>
      </c>
      <c r="BA61" s="165" t="str">
        <f ca="1">IF(AX61="","",INDEX(OFFSET(Arb!$X$2,,,Arb!$AJ$5,),AX61)/AY61)</f>
        <v/>
      </c>
      <c r="BB61" s="165" t="str">
        <f ca="1">IF(AX61="","",(INDEX(OFFSET(Arb!$U$2,,,Arb!$AJ$5,),AX61)+INDEX(OFFSET(Arb!$V$2,,,Arb!$AJ$5,),AX61))/AY61)</f>
        <v/>
      </c>
      <c r="BC61" s="51" t="str">
        <f t="shared" ca="1" si="41"/>
        <v/>
      </c>
      <c r="BD61" s="88" t="str">
        <f ca="1">IF(AX61="","",DATE(INDEX(OFFSET(Arb!$C$2,,,Arb!$AJ$5,),AX61),INDEX(OFFSET(Arb!$B$2,,,Arb!$AJ$5,),AX61),INDEX(OFFSET(Arb!$A$2,,,Arb!$AJ$5,),AX61))+ROW()*0.001)</f>
        <v/>
      </c>
      <c r="BE61" s="436">
        <v>36</v>
      </c>
      <c r="BG61" s="52" t="str">
        <f ca="1">IF(BF61="","",INDEX(OFFSET(Arb!$H$2,,,Arb!$AJ$5,),BF61))</f>
        <v/>
      </c>
      <c r="BH61" s="3" t="str">
        <f t="shared" ca="1" si="32"/>
        <v/>
      </c>
      <c r="BI61" s="165" t="str">
        <f ca="1">IF(BF61="","",INDEX(OFFSET(Arb!$X$2,,,Arb!$AJ$5,),BF61)/BG61)</f>
        <v/>
      </c>
      <c r="BJ61" s="165" t="str">
        <f ca="1">IF(BF61="","",(INDEX(OFFSET(Arb!$U$2,,,Arb!$AJ$5,),BF61)+INDEX(OFFSET(Arb!$V$2,,,Arb!$AJ$5,),BF61))/BG61)</f>
        <v/>
      </c>
      <c r="BK61" s="51" t="str">
        <f t="shared" ca="1" si="42"/>
        <v/>
      </c>
      <c r="BL61" s="91" t="str">
        <f ca="1">IF(BF61="","",DATE(INDEX(OFFSET(Arb!$C$2,,,Arb!$AJ$5,),BF61),INDEX(OFFSET(Arb!$B$2,,,Arb!$AJ$5,),BF61),INDEX(OFFSET(Arb!$A$2,,,Arb!$AJ$5,),BF61))+ROW()*0.001)</f>
        <v/>
      </c>
      <c r="BM61" s="442">
        <v>36</v>
      </c>
      <c r="BO61" s="52" t="str">
        <f ca="1">IF(BN61="","",INDEX(OFFSET(Arb!$H$2,,,Arb!$AJ$5,),BN61))</f>
        <v/>
      </c>
      <c r="BP61" s="3" t="str">
        <f t="shared" ca="1" si="33"/>
        <v/>
      </c>
      <c r="BQ61" s="165" t="str">
        <f ca="1">IF(BN61="","",INDEX(OFFSET(Arb!$X$2,,,Arb!$AJ$5,),BN61)/BO61)</f>
        <v/>
      </c>
      <c r="BR61" s="165" t="str">
        <f ca="1">IF(BN61="","",(INDEX(OFFSET(Arb!$U$2,,,Arb!$AJ$5,),BN61)+INDEX(OFFSET(Arb!$V$2,,,Arb!$AJ$5,),BN61))/BO61)</f>
        <v/>
      </c>
      <c r="BS61" s="51" t="str">
        <f t="shared" ca="1" si="43"/>
        <v/>
      </c>
      <c r="BT61" s="88" t="str">
        <f ca="1">IF(BN61="","",DATE(INDEX(OFFSET(Arb!$C$2,,,Arb!$AJ$5,),BN61),INDEX(OFFSET(Arb!$B$2,,,Arb!$AJ$5,),BN61),INDEX(OFFSET(Arb!$A$2,,,Arb!$AJ$5,),BN61))+ROW()*0.001)</f>
        <v/>
      </c>
      <c r="BU61" s="436">
        <v>36</v>
      </c>
      <c r="BW61" s="52" t="str">
        <f ca="1">IF(BV61="","",INDEX(OFFSET(Arb!$H$2,,,Arb!$AJ$5,),BV61))</f>
        <v/>
      </c>
      <c r="BX61" s="3" t="str">
        <f t="shared" ca="1" si="34"/>
        <v/>
      </c>
      <c r="BY61" s="165" t="str">
        <f ca="1">IF(BV61="","",INDEX(OFFSET(Arb!$X$2,,,Arb!$AJ$5,),BV61)/BW61)</f>
        <v/>
      </c>
      <c r="BZ61" s="165" t="str">
        <f ca="1">IF(BV61="","",(INDEX(OFFSET(Arb!$U$2,,,Arb!$AJ$5,),BV61)+INDEX(OFFSET(Arb!$V$2,,,Arb!$AJ$5,),BV61))/BW61)</f>
        <v/>
      </c>
      <c r="CA61" s="51" t="str">
        <f t="shared" ca="1" si="44"/>
        <v/>
      </c>
      <c r="CB61" s="91" t="str">
        <f ca="1">IF(BV61="","",DATE(INDEX(OFFSET(Arb!$C$2,,,Arb!$AJ$5,),BV61),INDEX(OFFSET(Arb!$B$2,,,Arb!$AJ$5,),BV61),INDEX(OFFSET(Arb!$A$2,,,Arb!$AJ$5,),BV61))+ROW()*0.001)</f>
        <v/>
      </c>
    </row>
    <row r="62" spans="1:80" x14ac:dyDescent="0.25">
      <c r="A62" s="436">
        <v>37</v>
      </c>
      <c r="B62" s="1">
        <v>2298</v>
      </c>
      <c r="C62" s="52">
        <f ca="1">IF(B62="","",INDEX(OFFSET(Arb!$H$2,,,Arb!$AJ$5,),B62))</f>
        <v>14.12</v>
      </c>
      <c r="D62" s="3">
        <f t="shared" ca="1" si="25"/>
        <v>2.6203966005665724</v>
      </c>
      <c r="E62" s="165">
        <f ca="1">IF(B62="","",INDEX(OFFSET(Arb!$X$2,,,Arb!$AJ$5,),B62)/C62)</f>
        <v>3.3286118980169972</v>
      </c>
      <c r="F62" s="165">
        <f ca="1">IF(B62="","",(INDEX(OFFSET(Arb!$U$2,,,Arb!$AJ$5,),B62)+INDEX(OFFSET(Arb!$V$2,,,Arb!$AJ$5,),B62))/C62)</f>
        <v>3.6827195467422098</v>
      </c>
      <c r="G62" s="51">
        <f t="shared" ca="1" si="35"/>
        <v>63.130810763502097</v>
      </c>
      <c r="H62" s="355">
        <f ca="1">IF(B62="","",DATE(INDEX(OFFSET(Arb!$C$2,,,Arb!$AJ$5,),B62),INDEX(OFFSET(Arb!$B$2,,,Arb!$AJ$5,),B62),INDEX(OFFSET(Arb!$A$2,,,Arb!$AJ$5,),B62))+ROW()*0.001)</f>
        <v>43937.061999999998</v>
      </c>
      <c r="I62" s="436">
        <v>37</v>
      </c>
      <c r="J62" s="1">
        <v>2075</v>
      </c>
      <c r="K62" s="52">
        <f ca="1">IF(J62="","",INDEX(OFFSET(Arb!$H$2,,,Arb!$AJ$5,),J62))</f>
        <v>20.46</v>
      </c>
      <c r="L62" s="3">
        <f t="shared" ca="1" si="26"/>
        <v>1.8084066471163245</v>
      </c>
      <c r="M62" s="165">
        <f ca="1">IF(J62="","",INDEX(OFFSET(Arb!$X$2,,,Arb!$AJ$5,),J62)/K62)</f>
        <v>2.541544477028348</v>
      </c>
      <c r="N62" s="165">
        <f ca="1">IF(J62="","",(INDEX(OFFSET(Arb!$U$2,,,Arb!$AJ$5,),J62)+INDEX(OFFSET(Arb!$V$2,,,Arb!$AJ$5,),J62))/K62)</f>
        <v>2.9814271749755621</v>
      </c>
      <c r="O62" s="51">
        <f t="shared" ca="1" si="36"/>
        <v>33.606306293976161</v>
      </c>
      <c r="P62" s="91">
        <f ca="1">IF(J62="","",DATE(INDEX(OFFSET(Arb!$C$2,,,Arb!$AJ$5,),J62),INDEX(OFFSET(Arb!$B$2,,,Arb!$AJ$5,),J62),INDEX(OFFSET(Arb!$A$2,,,Arb!$AJ$5,),J62))+ROW()*0.001)</f>
        <v>43805.061999999998</v>
      </c>
      <c r="Q62" s="442">
        <v>37</v>
      </c>
      <c r="S62" s="52" t="str">
        <f ca="1">IF(R62="","",INDEX(OFFSET(Arb!$H$2,,,Arb!$AJ$5,),R62))</f>
        <v/>
      </c>
      <c r="T62" s="3" t="str">
        <f t="shared" ca="1" si="27"/>
        <v/>
      </c>
      <c r="U62" s="165" t="str">
        <f ca="1">IF(R62="","",INDEX(OFFSET(Arb!$X$2,,,Arb!$AJ$5,),R62)/S62)</f>
        <v/>
      </c>
      <c r="V62" s="165" t="str">
        <f ca="1">IF(R62="","",(INDEX(OFFSET(Arb!$U$2,,,Arb!$AJ$5,),R62)+INDEX(OFFSET(Arb!$V$2,,,Arb!$AJ$5,),R62))/S62)</f>
        <v/>
      </c>
      <c r="W62" s="51" t="str">
        <f t="shared" ca="1" si="37"/>
        <v/>
      </c>
      <c r="X62" s="88" t="str">
        <f ca="1">IF(R62="","",DATE(INDEX(OFFSET(Arb!$C$2,,,Arb!$AJ$5,),R62),INDEX(OFFSET(Arb!$B$2,,,Arb!$AJ$5,),R62),INDEX(OFFSET(Arb!$A$2,,,Arb!$AJ$5,),R62))+ROW()*0.001)</f>
        <v/>
      </c>
      <c r="Y62" s="436">
        <v>37</v>
      </c>
      <c r="AA62" s="52" t="str">
        <f ca="1">IF(Z62="","",INDEX(OFFSET(Arb!$H$2,,,Arb!$AJ$5,),Z62))</f>
        <v/>
      </c>
      <c r="AB62" s="3" t="str">
        <f t="shared" ca="1" si="28"/>
        <v/>
      </c>
      <c r="AC62" s="165" t="str">
        <f ca="1">IF(Z62="","",INDEX(OFFSET(Arb!$X$2,,,Arb!$AJ$5,),Z62)/AA62)</f>
        <v/>
      </c>
      <c r="AD62" s="165" t="str">
        <f ca="1">IF(Z62="","",(INDEX(OFFSET(Arb!$U$2,,,Arb!$AJ$5,),Z62)+INDEX(OFFSET(Arb!$V$2,,,Arb!$AJ$5,),Z62))/AA62)</f>
        <v/>
      </c>
      <c r="AE62" s="51" t="str">
        <f t="shared" ca="1" si="38"/>
        <v/>
      </c>
      <c r="AF62" s="91" t="str">
        <f ca="1">IF(Z62="","",DATE(INDEX(OFFSET(Arb!$C$2,,,Arb!$AJ$5,),Z62),INDEX(OFFSET(Arb!$B$2,,,Arb!$AJ$5,),Z62),INDEX(OFFSET(Arb!$A$2,,,Arb!$AJ$5,),Z62))+ROW()*0.001)</f>
        <v/>
      </c>
      <c r="AG62" s="442">
        <v>37</v>
      </c>
      <c r="AI62" s="52" t="str">
        <f ca="1">IF(AH62="","",INDEX(OFFSET(Arb!$H$2,,,Arb!$AJ$5,),AH62))</f>
        <v/>
      </c>
      <c r="AJ62" s="3" t="str">
        <f t="shared" ca="1" si="29"/>
        <v/>
      </c>
      <c r="AK62" s="165" t="str">
        <f ca="1">IF(AH62="","",INDEX(OFFSET(Arb!$X$2,,,Arb!$AJ$5,),AH62)/AI62)</f>
        <v/>
      </c>
      <c r="AL62" s="165" t="str">
        <f ca="1">IF(AH62="","",(INDEX(OFFSET(Arb!$U$2,,,Arb!$AJ$5,),AH62)+INDEX(OFFSET(Arb!$V$2,,,Arb!$AJ$5,),AH62))/AI62)</f>
        <v/>
      </c>
      <c r="AM62" s="51" t="str">
        <f t="shared" ca="1" si="39"/>
        <v/>
      </c>
      <c r="AN62" s="88" t="str">
        <f ca="1">IF(AH62="","",DATE(INDEX(OFFSET(Arb!$C$2,,,Arb!$AJ$5,),AH62),INDEX(OFFSET(Arb!$B$2,,,Arb!$AJ$5,),AH62),INDEX(OFFSET(Arb!$A$2,,,Arb!$AJ$5,),AH62))+ROW()*0.001)</f>
        <v/>
      </c>
      <c r="AO62" s="436">
        <v>37</v>
      </c>
      <c r="AQ62" s="52" t="str">
        <f ca="1">IF(AP62="","",INDEX(OFFSET(Arb!$H$2,,,Arb!$AJ$5,),AP62))</f>
        <v/>
      </c>
      <c r="AR62" s="3" t="str">
        <f t="shared" ca="1" si="30"/>
        <v/>
      </c>
      <c r="AS62" s="165" t="str">
        <f ca="1">IF(AP62="","",INDEX(OFFSET(Arb!$X$2,,,Arb!$AJ$5,),AP62)/AQ62)</f>
        <v/>
      </c>
      <c r="AT62" s="165" t="str">
        <f ca="1">IF(AP62="","",(INDEX(OFFSET(Arb!$U$2,,,Arb!$AJ$5,),AP62)+INDEX(OFFSET(Arb!$V$2,,,Arb!$AJ$5,),AP62))/AQ62)</f>
        <v/>
      </c>
      <c r="AU62" s="51" t="str">
        <f t="shared" ca="1" si="40"/>
        <v/>
      </c>
      <c r="AV62" s="91" t="str">
        <f ca="1">IF(AP62="","",DATE(INDEX(OFFSET(Arb!$C$2,,,Arb!$AJ$5,),AP62),INDEX(OFFSET(Arb!$B$2,,,Arb!$AJ$5,),AP62),INDEX(OFFSET(Arb!$A$2,,,Arb!$AJ$5,),AP62))+ROW()*0.001)</f>
        <v/>
      </c>
      <c r="AW62" s="442">
        <v>37</v>
      </c>
      <c r="AY62" s="52" t="str">
        <f ca="1">IF(AX62="","",INDEX(OFFSET(Arb!$H$2,,,Arb!$AJ$5,),AX62))</f>
        <v/>
      </c>
      <c r="AZ62" s="3" t="str">
        <f t="shared" ca="1" si="31"/>
        <v/>
      </c>
      <c r="BA62" s="165" t="str">
        <f ca="1">IF(AX62="","",INDEX(OFFSET(Arb!$X$2,,,Arb!$AJ$5,),AX62)/AY62)</f>
        <v/>
      </c>
      <c r="BB62" s="165" t="str">
        <f ca="1">IF(AX62="","",(INDEX(OFFSET(Arb!$U$2,,,Arb!$AJ$5,),AX62)+INDEX(OFFSET(Arb!$V$2,,,Arb!$AJ$5,),AX62))/AY62)</f>
        <v/>
      </c>
      <c r="BC62" s="51" t="str">
        <f t="shared" ca="1" si="41"/>
        <v/>
      </c>
      <c r="BD62" s="88" t="str">
        <f ca="1">IF(AX62="","",DATE(INDEX(OFFSET(Arb!$C$2,,,Arb!$AJ$5,),AX62),INDEX(OFFSET(Arb!$B$2,,,Arb!$AJ$5,),AX62),INDEX(OFFSET(Arb!$A$2,,,Arb!$AJ$5,),AX62))+ROW()*0.001)</f>
        <v/>
      </c>
      <c r="BE62" s="436">
        <v>37</v>
      </c>
      <c r="BG62" s="52" t="str">
        <f ca="1">IF(BF62="","",INDEX(OFFSET(Arb!$H$2,,,Arb!$AJ$5,),BF62))</f>
        <v/>
      </c>
      <c r="BH62" s="3" t="str">
        <f t="shared" ca="1" si="32"/>
        <v/>
      </c>
      <c r="BI62" s="165" t="str">
        <f ca="1">IF(BF62="","",INDEX(OFFSET(Arb!$X$2,,,Arb!$AJ$5,),BF62)/BG62)</f>
        <v/>
      </c>
      <c r="BJ62" s="165" t="str">
        <f ca="1">IF(BF62="","",(INDEX(OFFSET(Arb!$U$2,,,Arb!$AJ$5,),BF62)+INDEX(OFFSET(Arb!$V$2,,,Arb!$AJ$5,),BF62))/BG62)</f>
        <v/>
      </c>
      <c r="BK62" s="51" t="str">
        <f t="shared" ca="1" si="42"/>
        <v/>
      </c>
      <c r="BL62" s="91" t="str">
        <f ca="1">IF(BF62="","",DATE(INDEX(OFFSET(Arb!$C$2,,,Arb!$AJ$5,),BF62),INDEX(OFFSET(Arb!$B$2,,,Arb!$AJ$5,),BF62),INDEX(OFFSET(Arb!$A$2,,,Arb!$AJ$5,),BF62))+ROW()*0.001)</f>
        <v/>
      </c>
      <c r="BM62" s="442">
        <v>37</v>
      </c>
      <c r="BO62" s="52" t="str">
        <f ca="1">IF(BN62="","",INDEX(OFFSET(Arb!$H$2,,,Arb!$AJ$5,),BN62))</f>
        <v/>
      </c>
      <c r="BP62" s="3" t="str">
        <f t="shared" ca="1" si="33"/>
        <v/>
      </c>
      <c r="BQ62" s="165" t="str">
        <f ca="1">IF(BN62="","",INDEX(OFFSET(Arb!$X$2,,,Arb!$AJ$5,),BN62)/BO62)</f>
        <v/>
      </c>
      <c r="BR62" s="165" t="str">
        <f ca="1">IF(BN62="","",(INDEX(OFFSET(Arb!$U$2,,,Arb!$AJ$5,),BN62)+INDEX(OFFSET(Arb!$V$2,,,Arb!$AJ$5,),BN62))/BO62)</f>
        <v/>
      </c>
      <c r="BS62" s="51" t="str">
        <f t="shared" ca="1" si="43"/>
        <v/>
      </c>
      <c r="BT62" s="88" t="str">
        <f ca="1">IF(BN62="","",DATE(INDEX(OFFSET(Arb!$C$2,,,Arb!$AJ$5,),BN62),INDEX(OFFSET(Arb!$B$2,,,Arb!$AJ$5,),BN62),INDEX(OFFSET(Arb!$A$2,,,Arb!$AJ$5,),BN62))+ROW()*0.001)</f>
        <v/>
      </c>
      <c r="BU62" s="436">
        <v>37</v>
      </c>
      <c r="BW62" s="52" t="str">
        <f ca="1">IF(BV62="","",INDEX(OFFSET(Arb!$H$2,,,Arb!$AJ$5,),BV62))</f>
        <v/>
      </c>
      <c r="BX62" s="3" t="str">
        <f t="shared" ca="1" si="34"/>
        <v/>
      </c>
      <c r="BY62" s="165" t="str">
        <f ca="1">IF(BV62="","",INDEX(OFFSET(Arb!$X$2,,,Arb!$AJ$5,),BV62)/BW62)</f>
        <v/>
      </c>
      <c r="BZ62" s="165" t="str">
        <f ca="1">IF(BV62="","",(INDEX(OFFSET(Arb!$U$2,,,Arb!$AJ$5,),BV62)+INDEX(OFFSET(Arb!$V$2,,,Arb!$AJ$5,),BV62))/BW62)</f>
        <v/>
      </c>
      <c r="CA62" s="51" t="str">
        <f t="shared" ca="1" si="44"/>
        <v/>
      </c>
      <c r="CB62" s="91" t="str">
        <f ca="1">IF(BV62="","",DATE(INDEX(OFFSET(Arb!$C$2,,,Arb!$AJ$5,),BV62),INDEX(OFFSET(Arb!$B$2,,,Arb!$AJ$5,),BV62),INDEX(OFFSET(Arb!$A$2,,,Arb!$AJ$5,),BV62))+ROW()*0.001)</f>
        <v/>
      </c>
    </row>
    <row r="63" spans="1:80" x14ac:dyDescent="0.25">
      <c r="A63" s="436">
        <v>38</v>
      </c>
      <c r="B63" s="1">
        <v>2221</v>
      </c>
      <c r="C63" s="52">
        <f ca="1">IF(B63="","",INDEX(OFFSET(Arb!$H$2,,,Arb!$AJ$5,),B63))</f>
        <v>19.75</v>
      </c>
      <c r="D63" s="3">
        <f t="shared" ca="1" si="25"/>
        <v>1.9240506329113924</v>
      </c>
      <c r="E63" s="165">
        <f ca="1">IF(B63="","",INDEX(OFFSET(Arb!$X$2,,,Arb!$AJ$5,),B63)/C63)</f>
        <v>2.481012658227848</v>
      </c>
      <c r="F63" s="165">
        <f ca="1">IF(B63="","",(INDEX(OFFSET(Arb!$U$2,,,Arb!$AJ$5,),B63)+INDEX(OFFSET(Arb!$V$2,,,Arb!$AJ$5,),B63))/C63)</f>
        <v>2.8860759493670884</v>
      </c>
      <c r="G63" s="51">
        <f t="shared" ca="1" si="35"/>
        <v>36.650352319173699</v>
      </c>
      <c r="H63" s="355">
        <f ca="1">IF(B63="","",DATE(INDEX(OFFSET(Arb!$C$2,,,Arb!$AJ$5,),B63),INDEX(OFFSET(Arb!$B$2,,,Arb!$AJ$5,),B63),INDEX(OFFSET(Arb!$A$2,,,Arb!$AJ$5,),B63))+ROW()*0.001)</f>
        <v>43870.063000000002</v>
      </c>
      <c r="I63" s="436">
        <v>38</v>
      </c>
      <c r="J63" s="1">
        <v>2309</v>
      </c>
      <c r="K63" s="52">
        <f ca="1">IF(J63="","",INDEX(OFFSET(Arb!$H$2,,,Arb!$AJ$5,),J63))</f>
        <v>21.34</v>
      </c>
      <c r="L63" s="3">
        <f t="shared" ca="1" si="26"/>
        <v>1.7806935332708529</v>
      </c>
      <c r="M63" s="165">
        <f ca="1">IF(J63="","",INDEX(OFFSET(Arb!$X$2,,,Arb!$AJ$5,),J63)/K63)</f>
        <v>2.3430178069353329</v>
      </c>
      <c r="N63" s="165">
        <f ca="1">IF(J63="","",(INDEX(OFFSET(Arb!$U$2,,,Arb!$AJ$5,),J63)+INDEX(OFFSET(Arb!$V$2,,,Arb!$AJ$5,),J63))/K63)</f>
        <v>2.7647610121836927</v>
      </c>
      <c r="O63" s="51">
        <f t="shared" ca="1" si="36"/>
        <v>32.130073434419685</v>
      </c>
      <c r="P63" s="91">
        <f ca="1">IF(J63="","",DATE(INDEX(OFFSET(Arb!$C$2,,,Arb!$AJ$5,),J63),INDEX(OFFSET(Arb!$B$2,,,Arb!$AJ$5,),J63),INDEX(OFFSET(Arb!$A$2,,,Arb!$AJ$5,),J63))+ROW()*0.001)</f>
        <v>43950.063000000002</v>
      </c>
      <c r="Q63" s="442">
        <v>38</v>
      </c>
      <c r="S63" s="52" t="str">
        <f ca="1">IF(R63="","",INDEX(OFFSET(Arb!$H$2,,,Arb!$AJ$5,),R63))</f>
        <v/>
      </c>
      <c r="T63" s="3" t="str">
        <f t="shared" ca="1" si="27"/>
        <v/>
      </c>
      <c r="U63" s="165" t="str">
        <f ca="1">IF(R63="","",INDEX(OFFSET(Arb!$X$2,,,Arb!$AJ$5,),R63)/S63)</f>
        <v/>
      </c>
      <c r="V63" s="165" t="str">
        <f ca="1">IF(R63="","",(INDEX(OFFSET(Arb!$U$2,,,Arb!$AJ$5,),R63)+INDEX(OFFSET(Arb!$V$2,,,Arb!$AJ$5,),R63))/S63)</f>
        <v/>
      </c>
      <c r="W63" s="51" t="str">
        <f t="shared" ca="1" si="37"/>
        <v/>
      </c>
      <c r="X63" s="88" t="str">
        <f ca="1">IF(R63="","",DATE(INDEX(OFFSET(Arb!$C$2,,,Arb!$AJ$5,),R63),INDEX(OFFSET(Arb!$B$2,,,Arb!$AJ$5,),R63),INDEX(OFFSET(Arb!$A$2,,,Arb!$AJ$5,),R63))+ROW()*0.001)</f>
        <v/>
      </c>
      <c r="Y63" s="436">
        <v>38</v>
      </c>
      <c r="AA63" s="52" t="str">
        <f ca="1">IF(Z63="","",INDEX(OFFSET(Arb!$H$2,,,Arb!$AJ$5,),Z63))</f>
        <v/>
      </c>
      <c r="AB63" s="3" t="str">
        <f t="shared" ca="1" si="28"/>
        <v/>
      </c>
      <c r="AC63" s="165" t="str">
        <f ca="1">IF(Z63="","",INDEX(OFFSET(Arb!$X$2,,,Arb!$AJ$5,),Z63)/AA63)</f>
        <v/>
      </c>
      <c r="AD63" s="165" t="str">
        <f ca="1">IF(Z63="","",(INDEX(OFFSET(Arb!$U$2,,,Arb!$AJ$5,),Z63)+INDEX(OFFSET(Arb!$V$2,,,Arb!$AJ$5,),Z63))/AA63)</f>
        <v/>
      </c>
      <c r="AE63" s="51" t="str">
        <f t="shared" ca="1" si="38"/>
        <v/>
      </c>
      <c r="AF63" s="91" t="str">
        <f ca="1">IF(Z63="","",DATE(INDEX(OFFSET(Arb!$C$2,,,Arb!$AJ$5,),Z63),INDEX(OFFSET(Arb!$B$2,,,Arb!$AJ$5,),Z63),INDEX(OFFSET(Arb!$A$2,,,Arb!$AJ$5,),Z63))+ROW()*0.001)</f>
        <v/>
      </c>
      <c r="AG63" s="442">
        <v>38</v>
      </c>
      <c r="AI63" s="52" t="str">
        <f ca="1">IF(AH63="","",INDEX(OFFSET(Arb!$H$2,,,Arb!$AJ$5,),AH63))</f>
        <v/>
      </c>
      <c r="AJ63" s="3" t="str">
        <f t="shared" ca="1" si="29"/>
        <v/>
      </c>
      <c r="AK63" s="165" t="str">
        <f ca="1">IF(AH63="","",INDEX(OFFSET(Arb!$X$2,,,Arb!$AJ$5,),AH63)/AI63)</f>
        <v/>
      </c>
      <c r="AL63" s="165" t="str">
        <f ca="1">IF(AH63="","",(INDEX(OFFSET(Arb!$U$2,,,Arb!$AJ$5,),AH63)+INDEX(OFFSET(Arb!$V$2,,,Arb!$AJ$5,),AH63))/AI63)</f>
        <v/>
      </c>
      <c r="AM63" s="51" t="str">
        <f t="shared" ca="1" si="39"/>
        <v/>
      </c>
      <c r="AN63" s="88" t="str">
        <f ca="1">IF(AH63="","",DATE(INDEX(OFFSET(Arb!$C$2,,,Arb!$AJ$5,),AH63),INDEX(OFFSET(Arb!$B$2,,,Arb!$AJ$5,),AH63),INDEX(OFFSET(Arb!$A$2,,,Arb!$AJ$5,),AH63))+ROW()*0.001)</f>
        <v/>
      </c>
      <c r="AO63" s="436">
        <v>38</v>
      </c>
      <c r="AQ63" s="52" t="str">
        <f ca="1">IF(AP63="","",INDEX(OFFSET(Arb!$H$2,,,Arb!$AJ$5,),AP63))</f>
        <v/>
      </c>
      <c r="AR63" s="3" t="str">
        <f t="shared" ca="1" si="30"/>
        <v/>
      </c>
      <c r="AS63" s="165" t="str">
        <f ca="1">IF(AP63="","",INDEX(OFFSET(Arb!$X$2,,,Arb!$AJ$5,),AP63)/AQ63)</f>
        <v/>
      </c>
      <c r="AT63" s="165" t="str">
        <f ca="1">IF(AP63="","",(INDEX(OFFSET(Arb!$U$2,,,Arb!$AJ$5,),AP63)+INDEX(OFFSET(Arb!$V$2,,,Arb!$AJ$5,),AP63))/AQ63)</f>
        <v/>
      </c>
      <c r="AU63" s="51" t="str">
        <f t="shared" ca="1" si="40"/>
        <v/>
      </c>
      <c r="AV63" s="91" t="str">
        <f ca="1">IF(AP63="","",DATE(INDEX(OFFSET(Arb!$C$2,,,Arb!$AJ$5,),AP63),INDEX(OFFSET(Arb!$B$2,,,Arb!$AJ$5,),AP63),INDEX(OFFSET(Arb!$A$2,,,Arb!$AJ$5,),AP63))+ROW()*0.001)</f>
        <v/>
      </c>
      <c r="AW63" s="442">
        <v>38</v>
      </c>
      <c r="AY63" s="52" t="str">
        <f ca="1">IF(AX63="","",INDEX(OFFSET(Arb!$H$2,,,Arb!$AJ$5,),AX63))</f>
        <v/>
      </c>
      <c r="AZ63" s="3" t="str">
        <f t="shared" ca="1" si="31"/>
        <v/>
      </c>
      <c r="BA63" s="165" t="str">
        <f ca="1">IF(AX63="","",INDEX(OFFSET(Arb!$X$2,,,Arb!$AJ$5,),AX63)/AY63)</f>
        <v/>
      </c>
      <c r="BB63" s="165" t="str">
        <f ca="1">IF(AX63="","",(INDEX(OFFSET(Arb!$U$2,,,Arb!$AJ$5,),AX63)+INDEX(OFFSET(Arb!$V$2,,,Arb!$AJ$5,),AX63))/AY63)</f>
        <v/>
      </c>
      <c r="BC63" s="51" t="str">
        <f t="shared" ca="1" si="41"/>
        <v/>
      </c>
      <c r="BD63" s="88" t="str">
        <f ca="1">IF(AX63="","",DATE(INDEX(OFFSET(Arb!$C$2,,,Arb!$AJ$5,),AX63),INDEX(OFFSET(Arb!$B$2,,,Arb!$AJ$5,),AX63),INDEX(OFFSET(Arb!$A$2,,,Arb!$AJ$5,),AX63))+ROW()*0.001)</f>
        <v/>
      </c>
      <c r="BE63" s="436">
        <v>38</v>
      </c>
      <c r="BG63" s="52" t="str">
        <f ca="1">IF(BF63="","",INDEX(OFFSET(Arb!$H$2,,,Arb!$AJ$5,),BF63))</f>
        <v/>
      </c>
      <c r="BH63" s="3" t="str">
        <f t="shared" ca="1" si="32"/>
        <v/>
      </c>
      <c r="BI63" s="165" t="str">
        <f ca="1">IF(BF63="","",INDEX(OFFSET(Arb!$X$2,,,Arb!$AJ$5,),BF63)/BG63)</f>
        <v/>
      </c>
      <c r="BJ63" s="165" t="str">
        <f ca="1">IF(BF63="","",(INDEX(OFFSET(Arb!$U$2,,,Arb!$AJ$5,),BF63)+INDEX(OFFSET(Arb!$V$2,,,Arb!$AJ$5,),BF63))/BG63)</f>
        <v/>
      </c>
      <c r="BK63" s="51" t="str">
        <f t="shared" ca="1" si="42"/>
        <v/>
      </c>
      <c r="BL63" s="91" t="str">
        <f ca="1">IF(BF63="","",DATE(INDEX(OFFSET(Arb!$C$2,,,Arb!$AJ$5,),BF63),INDEX(OFFSET(Arb!$B$2,,,Arb!$AJ$5,),BF63),INDEX(OFFSET(Arb!$A$2,,,Arb!$AJ$5,),BF63))+ROW()*0.001)</f>
        <v/>
      </c>
      <c r="BM63" s="442">
        <v>38</v>
      </c>
      <c r="BO63" s="52" t="str">
        <f ca="1">IF(BN63="","",INDEX(OFFSET(Arb!$H$2,,,Arb!$AJ$5,),BN63))</f>
        <v/>
      </c>
      <c r="BP63" s="3" t="str">
        <f t="shared" ca="1" si="33"/>
        <v/>
      </c>
      <c r="BQ63" s="165" t="str">
        <f ca="1">IF(BN63="","",INDEX(OFFSET(Arb!$X$2,,,Arb!$AJ$5,),BN63)/BO63)</f>
        <v/>
      </c>
      <c r="BR63" s="165" t="str">
        <f ca="1">IF(BN63="","",(INDEX(OFFSET(Arb!$U$2,,,Arb!$AJ$5,),BN63)+INDEX(OFFSET(Arb!$V$2,,,Arb!$AJ$5,),BN63))/BO63)</f>
        <v/>
      </c>
      <c r="BS63" s="51" t="str">
        <f t="shared" ca="1" si="43"/>
        <v/>
      </c>
      <c r="BT63" s="88" t="str">
        <f ca="1">IF(BN63="","",DATE(INDEX(OFFSET(Arb!$C$2,,,Arb!$AJ$5,),BN63),INDEX(OFFSET(Arb!$B$2,,,Arb!$AJ$5,),BN63),INDEX(OFFSET(Arb!$A$2,,,Arb!$AJ$5,),BN63))+ROW()*0.001)</f>
        <v/>
      </c>
      <c r="BU63" s="436">
        <v>38</v>
      </c>
      <c r="BW63" s="52" t="str">
        <f ca="1">IF(BV63="","",INDEX(OFFSET(Arb!$H$2,,,Arb!$AJ$5,),BV63))</f>
        <v/>
      </c>
      <c r="BX63" s="3" t="str">
        <f t="shared" ca="1" si="34"/>
        <v/>
      </c>
      <c r="BY63" s="165" t="str">
        <f ca="1">IF(BV63="","",INDEX(OFFSET(Arb!$X$2,,,Arb!$AJ$5,),BV63)/BW63)</f>
        <v/>
      </c>
      <c r="BZ63" s="165" t="str">
        <f ca="1">IF(BV63="","",(INDEX(OFFSET(Arb!$U$2,,,Arb!$AJ$5,),BV63)+INDEX(OFFSET(Arb!$V$2,,,Arb!$AJ$5,),BV63))/BW63)</f>
        <v/>
      </c>
      <c r="CA63" s="51" t="str">
        <f t="shared" ca="1" si="44"/>
        <v/>
      </c>
      <c r="CB63" s="91" t="str">
        <f ca="1">IF(BV63="","",DATE(INDEX(OFFSET(Arb!$C$2,,,Arb!$AJ$5,),BV63),INDEX(OFFSET(Arb!$B$2,,,Arb!$AJ$5,),BV63),INDEX(OFFSET(Arb!$A$2,,,Arb!$AJ$5,),BV63))+ROW()*0.001)</f>
        <v/>
      </c>
    </row>
    <row r="64" spans="1:80" x14ac:dyDescent="0.25">
      <c r="A64" s="436">
        <v>39</v>
      </c>
      <c r="B64" s="1">
        <v>2239</v>
      </c>
      <c r="C64" s="52">
        <f ca="1">IF(B64="","",INDEX(OFFSET(Arb!$H$2,,,Arb!$AJ$5,),B64))</f>
        <v>18.12</v>
      </c>
      <c r="D64" s="3">
        <f t="shared" ca="1" si="25"/>
        <v>2.1523178807947017</v>
      </c>
      <c r="E64" s="165">
        <f ca="1">IF(B64="","",INDEX(OFFSET(Arb!$X$2,,,Arb!$AJ$5,),B64)/C64)</f>
        <v>2.5938189845474611</v>
      </c>
      <c r="F64" s="165">
        <f ca="1">IF(B64="","",(INDEX(OFFSET(Arb!$U$2,,,Arb!$AJ$5,),B64)+INDEX(OFFSET(Arb!$V$2,,,Arb!$AJ$5,),B64))/C64)</f>
        <v>2.869757174392936</v>
      </c>
      <c r="G64" s="51">
        <f t="shared" ca="1" si="35"/>
        <v>43.546605353649298</v>
      </c>
      <c r="H64" s="355">
        <f ca="1">IF(B64="","",DATE(INDEX(OFFSET(Arb!$C$2,,,Arb!$AJ$5,),B64),INDEX(OFFSET(Arb!$B$2,,,Arb!$AJ$5,),B64),INDEX(OFFSET(Arb!$A$2,,,Arb!$AJ$5,),B64))+ROW()*0.001)</f>
        <v>43890.063999999998</v>
      </c>
      <c r="I64" s="436">
        <v>39</v>
      </c>
      <c r="J64" s="1">
        <v>2350</v>
      </c>
      <c r="K64" s="52">
        <f ca="1">IF(J64="","",INDEX(OFFSET(Arb!$H$2,,,Arb!$AJ$5,),J64))</f>
        <v>20.74</v>
      </c>
      <c r="L64" s="3">
        <f t="shared" ca="1" si="26"/>
        <v>1.8804243008678883</v>
      </c>
      <c r="M64" s="165">
        <f ca="1">IF(J64="","",INDEX(OFFSET(Arb!$X$2,,,Arb!$AJ$5,),J64)/K64)</f>
        <v>2.844744455159113</v>
      </c>
      <c r="N64" s="165">
        <f ca="1">IF(J64="","",(INDEX(OFFSET(Arb!$U$2,,,Arb!$AJ$5,),J64)+INDEX(OFFSET(Arb!$V$2,,,Arb!$AJ$5,),J64))/K64)</f>
        <v>3.1340405014464805</v>
      </c>
      <c r="O64" s="51">
        <f t="shared" ca="1" si="36"/>
        <v>34.613726335494249</v>
      </c>
      <c r="P64" s="91">
        <f ca="1">IF(J64="","",DATE(INDEX(OFFSET(Arb!$C$2,,,Arb!$AJ$5,),J64),INDEX(OFFSET(Arb!$B$2,,,Arb!$AJ$5,),J64),INDEX(OFFSET(Arb!$A$2,,,Arb!$AJ$5,),J64))+ROW()*0.001)</f>
        <v>44106.063999999998</v>
      </c>
      <c r="Q64" s="442">
        <v>39</v>
      </c>
      <c r="S64" s="52" t="str">
        <f ca="1">IF(R64="","",INDEX(OFFSET(Arb!$H$2,,,Arb!$AJ$5,),R64))</f>
        <v/>
      </c>
      <c r="T64" s="3" t="str">
        <f t="shared" ca="1" si="27"/>
        <v/>
      </c>
      <c r="U64" s="165" t="str">
        <f ca="1">IF(R64="","",INDEX(OFFSET(Arb!$X$2,,,Arb!$AJ$5,),R64)/S64)</f>
        <v/>
      </c>
      <c r="V64" s="165" t="str">
        <f ca="1">IF(R64="","",(INDEX(OFFSET(Arb!$U$2,,,Arb!$AJ$5,),R64)+INDEX(OFFSET(Arb!$V$2,,,Arb!$AJ$5,),R64))/S64)</f>
        <v/>
      </c>
      <c r="W64" s="51" t="str">
        <f t="shared" ca="1" si="37"/>
        <v/>
      </c>
      <c r="X64" s="88" t="str">
        <f ca="1">IF(R64="","",DATE(INDEX(OFFSET(Arb!$C$2,,,Arb!$AJ$5,),R64),INDEX(OFFSET(Arb!$B$2,,,Arb!$AJ$5,),R64),INDEX(OFFSET(Arb!$A$2,,,Arb!$AJ$5,),R64))+ROW()*0.001)</f>
        <v/>
      </c>
      <c r="Y64" s="436">
        <v>39</v>
      </c>
      <c r="AA64" s="52" t="str">
        <f ca="1">IF(Z64="","",INDEX(OFFSET(Arb!$H$2,,,Arb!$AJ$5,),Z64))</f>
        <v/>
      </c>
      <c r="AB64" s="3" t="str">
        <f t="shared" ca="1" si="28"/>
        <v/>
      </c>
      <c r="AC64" s="165" t="str">
        <f ca="1">IF(Z64="","",INDEX(OFFSET(Arb!$X$2,,,Arb!$AJ$5,),Z64)/AA64)</f>
        <v/>
      </c>
      <c r="AD64" s="165" t="str">
        <f ca="1">IF(Z64="","",(INDEX(OFFSET(Arb!$U$2,,,Arb!$AJ$5,),Z64)+INDEX(OFFSET(Arb!$V$2,,,Arb!$AJ$5,),Z64))/AA64)</f>
        <v/>
      </c>
      <c r="AE64" s="51" t="str">
        <f t="shared" ca="1" si="38"/>
        <v/>
      </c>
      <c r="AF64" s="91" t="str">
        <f ca="1">IF(Z64="","",DATE(INDEX(OFFSET(Arb!$C$2,,,Arb!$AJ$5,),Z64),INDEX(OFFSET(Arb!$B$2,,,Arb!$AJ$5,),Z64),INDEX(OFFSET(Arb!$A$2,,,Arb!$AJ$5,),Z64))+ROW()*0.001)</f>
        <v/>
      </c>
      <c r="AG64" s="442">
        <v>39</v>
      </c>
      <c r="AI64" s="52" t="str">
        <f ca="1">IF(AH64="","",INDEX(OFFSET(Arb!$H$2,,,Arb!$AJ$5,),AH64))</f>
        <v/>
      </c>
      <c r="AJ64" s="3" t="str">
        <f t="shared" ca="1" si="29"/>
        <v/>
      </c>
      <c r="AK64" s="165" t="str">
        <f ca="1">IF(AH64="","",INDEX(OFFSET(Arb!$X$2,,,Arb!$AJ$5,),AH64)/AI64)</f>
        <v/>
      </c>
      <c r="AL64" s="165" t="str">
        <f ca="1">IF(AH64="","",(INDEX(OFFSET(Arb!$U$2,,,Arb!$AJ$5,),AH64)+INDEX(OFFSET(Arb!$V$2,,,Arb!$AJ$5,),AH64))/AI64)</f>
        <v/>
      </c>
      <c r="AM64" s="51" t="str">
        <f t="shared" ca="1" si="39"/>
        <v/>
      </c>
      <c r="AN64" s="88" t="str">
        <f ca="1">IF(AH64="","",DATE(INDEX(OFFSET(Arb!$C$2,,,Arb!$AJ$5,),AH64),INDEX(OFFSET(Arb!$B$2,,,Arb!$AJ$5,),AH64),INDEX(OFFSET(Arb!$A$2,,,Arb!$AJ$5,),AH64))+ROW()*0.001)</f>
        <v/>
      </c>
      <c r="AO64" s="436">
        <v>39</v>
      </c>
      <c r="AQ64" s="52" t="str">
        <f ca="1">IF(AP64="","",INDEX(OFFSET(Arb!$H$2,,,Arb!$AJ$5,),AP64))</f>
        <v/>
      </c>
      <c r="AR64" s="3" t="str">
        <f t="shared" ca="1" si="30"/>
        <v/>
      </c>
      <c r="AS64" s="165" t="str">
        <f ca="1">IF(AP64="","",INDEX(OFFSET(Arb!$X$2,,,Arb!$AJ$5,),AP64)/AQ64)</f>
        <v/>
      </c>
      <c r="AT64" s="165" t="str">
        <f ca="1">IF(AP64="","",(INDEX(OFFSET(Arb!$U$2,,,Arb!$AJ$5,),AP64)+INDEX(OFFSET(Arb!$V$2,,,Arb!$AJ$5,),AP64))/AQ64)</f>
        <v/>
      </c>
      <c r="AU64" s="51" t="str">
        <f t="shared" ca="1" si="40"/>
        <v/>
      </c>
      <c r="AV64" s="91" t="str">
        <f ca="1">IF(AP64="","",DATE(INDEX(OFFSET(Arb!$C$2,,,Arb!$AJ$5,),AP64),INDEX(OFFSET(Arb!$B$2,,,Arb!$AJ$5,),AP64),INDEX(OFFSET(Arb!$A$2,,,Arb!$AJ$5,),AP64))+ROW()*0.001)</f>
        <v/>
      </c>
      <c r="AW64" s="442">
        <v>39</v>
      </c>
      <c r="AY64" s="52" t="str">
        <f ca="1">IF(AX64="","",INDEX(OFFSET(Arb!$H$2,,,Arb!$AJ$5,),AX64))</f>
        <v/>
      </c>
      <c r="AZ64" s="3" t="str">
        <f t="shared" ca="1" si="31"/>
        <v/>
      </c>
      <c r="BA64" s="165" t="str">
        <f ca="1">IF(AX64="","",INDEX(OFFSET(Arb!$X$2,,,Arb!$AJ$5,),AX64)/AY64)</f>
        <v/>
      </c>
      <c r="BB64" s="165" t="str">
        <f ca="1">IF(AX64="","",(INDEX(OFFSET(Arb!$U$2,,,Arb!$AJ$5,),AX64)+INDEX(OFFSET(Arb!$V$2,,,Arb!$AJ$5,),AX64))/AY64)</f>
        <v/>
      </c>
      <c r="BC64" s="51" t="str">
        <f t="shared" ca="1" si="41"/>
        <v/>
      </c>
      <c r="BD64" s="88" t="str">
        <f ca="1">IF(AX64="","",DATE(INDEX(OFFSET(Arb!$C$2,,,Arb!$AJ$5,),AX64),INDEX(OFFSET(Arb!$B$2,,,Arb!$AJ$5,),AX64),INDEX(OFFSET(Arb!$A$2,,,Arb!$AJ$5,),AX64))+ROW()*0.001)</f>
        <v/>
      </c>
      <c r="BE64" s="436">
        <v>39</v>
      </c>
      <c r="BG64" s="52" t="str">
        <f ca="1">IF(BF64="","",INDEX(OFFSET(Arb!$H$2,,,Arb!$AJ$5,),BF64))</f>
        <v/>
      </c>
      <c r="BH64" s="3" t="str">
        <f t="shared" ca="1" si="32"/>
        <v/>
      </c>
      <c r="BI64" s="165" t="str">
        <f ca="1">IF(BF64="","",INDEX(OFFSET(Arb!$X$2,,,Arb!$AJ$5,),BF64)/BG64)</f>
        <v/>
      </c>
      <c r="BJ64" s="165" t="str">
        <f ca="1">IF(BF64="","",(INDEX(OFFSET(Arb!$U$2,,,Arb!$AJ$5,),BF64)+INDEX(OFFSET(Arb!$V$2,,,Arb!$AJ$5,),BF64))/BG64)</f>
        <v/>
      </c>
      <c r="BK64" s="51" t="str">
        <f t="shared" ca="1" si="42"/>
        <v/>
      </c>
      <c r="BL64" s="91" t="str">
        <f ca="1">IF(BF64="","",DATE(INDEX(OFFSET(Arb!$C$2,,,Arb!$AJ$5,),BF64),INDEX(OFFSET(Arb!$B$2,,,Arb!$AJ$5,),BF64),INDEX(OFFSET(Arb!$A$2,,,Arb!$AJ$5,),BF64))+ROW()*0.001)</f>
        <v/>
      </c>
      <c r="BM64" s="442">
        <v>39</v>
      </c>
      <c r="BO64" s="52" t="str">
        <f ca="1">IF(BN64="","",INDEX(OFFSET(Arb!$H$2,,,Arb!$AJ$5,),BN64))</f>
        <v/>
      </c>
      <c r="BP64" s="3" t="str">
        <f t="shared" ca="1" si="33"/>
        <v/>
      </c>
      <c r="BQ64" s="165" t="str">
        <f ca="1">IF(BN64="","",INDEX(OFFSET(Arb!$X$2,,,Arb!$AJ$5,),BN64)/BO64)</f>
        <v/>
      </c>
      <c r="BR64" s="165" t="str">
        <f ca="1">IF(BN64="","",(INDEX(OFFSET(Arb!$U$2,,,Arb!$AJ$5,),BN64)+INDEX(OFFSET(Arb!$V$2,,,Arb!$AJ$5,),BN64))/BO64)</f>
        <v/>
      </c>
      <c r="BS64" s="51" t="str">
        <f t="shared" ca="1" si="43"/>
        <v/>
      </c>
      <c r="BT64" s="88" t="str">
        <f ca="1">IF(BN64="","",DATE(INDEX(OFFSET(Arb!$C$2,,,Arb!$AJ$5,),BN64),INDEX(OFFSET(Arb!$B$2,,,Arb!$AJ$5,),BN64),INDEX(OFFSET(Arb!$A$2,,,Arb!$AJ$5,),BN64))+ROW()*0.001)</f>
        <v/>
      </c>
      <c r="BU64" s="436">
        <v>39</v>
      </c>
      <c r="BW64" s="52" t="str">
        <f ca="1">IF(BV64="","",INDEX(OFFSET(Arb!$H$2,,,Arb!$AJ$5,),BV64))</f>
        <v/>
      </c>
      <c r="BX64" s="3" t="str">
        <f t="shared" ca="1" si="34"/>
        <v/>
      </c>
      <c r="BY64" s="165" t="str">
        <f ca="1">IF(BV64="","",INDEX(OFFSET(Arb!$X$2,,,Arb!$AJ$5,),BV64)/BW64)</f>
        <v/>
      </c>
      <c r="BZ64" s="165" t="str">
        <f ca="1">IF(BV64="","",(INDEX(OFFSET(Arb!$U$2,,,Arb!$AJ$5,),BV64)+INDEX(OFFSET(Arb!$V$2,,,Arb!$AJ$5,),BV64))/BW64)</f>
        <v/>
      </c>
      <c r="CA64" s="51" t="str">
        <f t="shared" ca="1" si="44"/>
        <v/>
      </c>
      <c r="CB64" s="91" t="str">
        <f ca="1">IF(BV64="","",DATE(INDEX(OFFSET(Arb!$C$2,,,Arb!$AJ$5,),BV64),INDEX(OFFSET(Arb!$B$2,,,Arb!$AJ$5,),BV64),INDEX(OFFSET(Arb!$A$2,,,Arb!$AJ$5,),BV64))+ROW()*0.001)</f>
        <v/>
      </c>
    </row>
    <row r="65" spans="1:80" x14ac:dyDescent="0.25">
      <c r="A65" s="436">
        <v>40</v>
      </c>
      <c r="B65" s="1">
        <v>1897</v>
      </c>
      <c r="C65" s="52">
        <f ca="1">IF(B65="","",INDEX(OFFSET(Arb!$H$2,,,Arb!$AJ$5,),B65))</f>
        <v>18.940000000000001</v>
      </c>
      <c r="D65" s="3">
        <f t="shared" ca="1" si="25"/>
        <v>2.1119324181626187</v>
      </c>
      <c r="E65" s="165">
        <f ca="1">IF(B65="","",INDEX(OFFSET(Arb!$X$2,,,Arb!$AJ$5,),B65)/C65)</f>
        <v>2.7983104540654695</v>
      </c>
      <c r="F65" s="165">
        <f ca="1">IF(B65="","",(INDEX(OFFSET(Arb!$U$2,,,Arb!$AJ$5,),B65)+INDEX(OFFSET(Arb!$V$2,,,Arb!$AJ$5,),B65))/C65)</f>
        <v>3.2206969376979933</v>
      </c>
      <c r="G65" s="51">
        <f t="shared" ca="1" si="35"/>
        <v>41.425967638710283</v>
      </c>
      <c r="H65" s="355">
        <f ca="1">IF(B65="","",DATE(INDEX(OFFSET(Arb!$C$2,,,Arb!$AJ$5,),B65),INDEX(OFFSET(Arb!$B$2,,,Arb!$AJ$5,),B65),INDEX(OFFSET(Arb!$A$2,,,Arb!$AJ$5,),B65))+ROW()*0.001)</f>
        <v>43765.065000000002</v>
      </c>
      <c r="I65" s="436">
        <v>40</v>
      </c>
      <c r="J65" s="1">
        <v>2109</v>
      </c>
      <c r="K65" s="52">
        <f ca="1">IF(J65="","",INDEX(OFFSET(Arb!$H$2,,,Arb!$AJ$5,),J65))</f>
        <v>21.23</v>
      </c>
      <c r="L65" s="3">
        <f t="shared" ca="1" si="26"/>
        <v>1.8841262364578426</v>
      </c>
      <c r="M65" s="165">
        <f ca="1">IF(J65="","",INDEX(OFFSET(Arb!$X$2,,,Arb!$AJ$5,),J65)/K65)</f>
        <v>2.7319830428638716</v>
      </c>
      <c r="N65" s="165">
        <f ca="1">IF(J65="","",(INDEX(OFFSET(Arb!$U$2,,,Arb!$AJ$5,),J65)+INDEX(OFFSET(Arb!$V$2,,,Arb!$AJ$5,),J65))/K65)</f>
        <v>3.2030146019783325</v>
      </c>
      <c r="O65" s="51">
        <f t="shared" ca="1" si="36"/>
        <v>34.119576221967961</v>
      </c>
      <c r="P65" s="91">
        <f ca="1">IF(J65="","",DATE(INDEX(OFFSET(Arb!$C$2,,,Arb!$AJ$5,),J65),INDEX(OFFSET(Arb!$B$2,,,Arb!$AJ$5,),J65),INDEX(OFFSET(Arb!$A$2,,,Arb!$AJ$5,),J65))+ROW()*0.001)</f>
        <v>43811.065000000002</v>
      </c>
      <c r="Q65" s="442">
        <v>40</v>
      </c>
      <c r="S65" s="52" t="str">
        <f ca="1">IF(R65="","",INDEX(OFFSET(Arb!$H$2,,,Arb!$AJ$5,),R65))</f>
        <v/>
      </c>
      <c r="T65" s="3" t="str">
        <f t="shared" ca="1" si="27"/>
        <v/>
      </c>
      <c r="U65" s="165" t="str">
        <f ca="1">IF(R65="","",INDEX(OFFSET(Arb!$X$2,,,Arb!$AJ$5,),R65)/S65)</f>
        <v/>
      </c>
      <c r="V65" s="165" t="str">
        <f ca="1">IF(R65="","",(INDEX(OFFSET(Arb!$U$2,,,Arb!$AJ$5,),R65)+INDEX(OFFSET(Arb!$V$2,,,Arb!$AJ$5,),R65))/S65)</f>
        <v/>
      </c>
      <c r="W65" s="51" t="str">
        <f t="shared" ca="1" si="37"/>
        <v/>
      </c>
      <c r="X65" s="88" t="str">
        <f ca="1">IF(R65="","",DATE(INDEX(OFFSET(Arb!$C$2,,,Arb!$AJ$5,),R65),INDEX(OFFSET(Arb!$B$2,,,Arb!$AJ$5,),R65),INDEX(OFFSET(Arb!$A$2,,,Arb!$AJ$5,),R65))+ROW()*0.001)</f>
        <v/>
      </c>
      <c r="Y65" s="436">
        <v>40</v>
      </c>
      <c r="AA65" s="52" t="str">
        <f ca="1">IF(Z65="","",INDEX(OFFSET(Arb!$H$2,,,Arb!$AJ$5,),Z65))</f>
        <v/>
      </c>
      <c r="AB65" s="3" t="str">
        <f t="shared" ca="1" si="28"/>
        <v/>
      </c>
      <c r="AC65" s="165" t="str">
        <f ca="1">IF(Z65="","",INDEX(OFFSET(Arb!$X$2,,,Arb!$AJ$5,),Z65)/AA65)</f>
        <v/>
      </c>
      <c r="AD65" s="165" t="str">
        <f ca="1">IF(Z65="","",(INDEX(OFFSET(Arb!$U$2,,,Arb!$AJ$5,),Z65)+INDEX(OFFSET(Arb!$V$2,,,Arb!$AJ$5,),Z65))/AA65)</f>
        <v/>
      </c>
      <c r="AE65" s="51" t="str">
        <f t="shared" ca="1" si="38"/>
        <v/>
      </c>
      <c r="AF65" s="91" t="str">
        <f ca="1">IF(Z65="","",DATE(INDEX(OFFSET(Arb!$C$2,,,Arb!$AJ$5,),Z65),INDEX(OFFSET(Arb!$B$2,,,Arb!$AJ$5,),Z65),INDEX(OFFSET(Arb!$A$2,,,Arb!$AJ$5,),Z65))+ROW()*0.001)</f>
        <v/>
      </c>
      <c r="AG65" s="442">
        <v>40</v>
      </c>
      <c r="AI65" s="52" t="str">
        <f ca="1">IF(AH65="","",INDEX(OFFSET(Arb!$H$2,,,Arb!$AJ$5,),AH65))</f>
        <v/>
      </c>
      <c r="AJ65" s="3" t="str">
        <f t="shared" ca="1" si="29"/>
        <v/>
      </c>
      <c r="AK65" s="165" t="str">
        <f ca="1">IF(AH65="","",INDEX(OFFSET(Arb!$X$2,,,Arb!$AJ$5,),AH65)/AI65)</f>
        <v/>
      </c>
      <c r="AL65" s="165" t="str">
        <f ca="1">IF(AH65="","",(INDEX(OFFSET(Arb!$U$2,,,Arb!$AJ$5,),AH65)+INDEX(OFFSET(Arb!$V$2,,,Arb!$AJ$5,),AH65))/AI65)</f>
        <v/>
      </c>
      <c r="AM65" s="51" t="str">
        <f t="shared" ca="1" si="39"/>
        <v/>
      </c>
      <c r="AN65" s="88" t="str">
        <f ca="1">IF(AH65="","",DATE(INDEX(OFFSET(Arb!$C$2,,,Arb!$AJ$5,),AH65),INDEX(OFFSET(Arb!$B$2,,,Arb!$AJ$5,),AH65),INDEX(OFFSET(Arb!$A$2,,,Arb!$AJ$5,),AH65))+ROW()*0.001)</f>
        <v/>
      </c>
      <c r="AO65" s="436">
        <v>40</v>
      </c>
      <c r="AQ65" s="52" t="str">
        <f ca="1">IF(AP65="","",INDEX(OFFSET(Arb!$H$2,,,Arb!$AJ$5,),AP65))</f>
        <v/>
      </c>
      <c r="AR65" s="3" t="str">
        <f t="shared" ca="1" si="30"/>
        <v/>
      </c>
      <c r="AS65" s="165" t="str">
        <f ca="1">IF(AP65="","",INDEX(OFFSET(Arb!$X$2,,,Arb!$AJ$5,),AP65)/AQ65)</f>
        <v/>
      </c>
      <c r="AT65" s="165" t="str">
        <f ca="1">IF(AP65="","",(INDEX(OFFSET(Arb!$U$2,,,Arb!$AJ$5,),AP65)+INDEX(OFFSET(Arb!$V$2,,,Arb!$AJ$5,),AP65))/AQ65)</f>
        <v/>
      </c>
      <c r="AU65" s="51" t="str">
        <f t="shared" ca="1" si="40"/>
        <v/>
      </c>
      <c r="AV65" s="91" t="str">
        <f ca="1">IF(AP65="","",DATE(INDEX(OFFSET(Arb!$C$2,,,Arb!$AJ$5,),AP65),INDEX(OFFSET(Arb!$B$2,,,Arb!$AJ$5,),AP65),INDEX(OFFSET(Arb!$A$2,,,Arb!$AJ$5,),AP65))+ROW()*0.001)</f>
        <v/>
      </c>
      <c r="AW65" s="442">
        <v>40</v>
      </c>
      <c r="AY65" s="52" t="str">
        <f ca="1">IF(AX65="","",INDEX(OFFSET(Arb!$H$2,,,Arb!$AJ$5,),AX65))</f>
        <v/>
      </c>
      <c r="AZ65" s="3" t="str">
        <f t="shared" ca="1" si="31"/>
        <v/>
      </c>
      <c r="BA65" s="165" t="str">
        <f ca="1">IF(AX65="","",INDEX(OFFSET(Arb!$X$2,,,Arb!$AJ$5,),AX65)/AY65)</f>
        <v/>
      </c>
      <c r="BB65" s="165" t="str">
        <f ca="1">IF(AX65="","",(INDEX(OFFSET(Arb!$U$2,,,Arb!$AJ$5,),AX65)+INDEX(OFFSET(Arb!$V$2,,,Arb!$AJ$5,),AX65))/AY65)</f>
        <v/>
      </c>
      <c r="BC65" s="51" t="str">
        <f t="shared" ca="1" si="41"/>
        <v/>
      </c>
      <c r="BD65" s="88" t="str">
        <f ca="1">IF(AX65="","",DATE(INDEX(OFFSET(Arb!$C$2,,,Arb!$AJ$5,),AX65),INDEX(OFFSET(Arb!$B$2,,,Arb!$AJ$5,),AX65),INDEX(OFFSET(Arb!$A$2,,,Arb!$AJ$5,),AX65))+ROW()*0.001)</f>
        <v/>
      </c>
      <c r="BE65" s="436">
        <v>40</v>
      </c>
      <c r="BG65" s="52" t="str">
        <f ca="1">IF(BF65="","",INDEX(OFFSET(Arb!$H$2,,,Arb!$AJ$5,),BF65))</f>
        <v/>
      </c>
      <c r="BH65" s="3" t="str">
        <f t="shared" ca="1" si="32"/>
        <v/>
      </c>
      <c r="BI65" s="165" t="str">
        <f ca="1">IF(BF65="","",INDEX(OFFSET(Arb!$X$2,,,Arb!$AJ$5,),BF65)/BG65)</f>
        <v/>
      </c>
      <c r="BJ65" s="165" t="str">
        <f ca="1">IF(BF65="","",(INDEX(OFFSET(Arb!$U$2,,,Arb!$AJ$5,),BF65)+INDEX(OFFSET(Arb!$V$2,,,Arb!$AJ$5,),BF65))/BG65)</f>
        <v/>
      </c>
      <c r="BK65" s="51" t="str">
        <f t="shared" ca="1" si="42"/>
        <v/>
      </c>
      <c r="BL65" s="91" t="str">
        <f ca="1">IF(BF65="","",DATE(INDEX(OFFSET(Arb!$C$2,,,Arb!$AJ$5,),BF65),INDEX(OFFSET(Arb!$B$2,,,Arb!$AJ$5,),BF65),INDEX(OFFSET(Arb!$A$2,,,Arb!$AJ$5,),BF65))+ROW()*0.001)</f>
        <v/>
      </c>
      <c r="BM65" s="442">
        <v>40</v>
      </c>
      <c r="BO65" s="52" t="str">
        <f ca="1">IF(BN65="","",INDEX(OFFSET(Arb!$H$2,,,Arb!$AJ$5,),BN65))</f>
        <v/>
      </c>
      <c r="BP65" s="3" t="str">
        <f t="shared" ca="1" si="33"/>
        <v/>
      </c>
      <c r="BQ65" s="165" t="str">
        <f ca="1">IF(BN65="","",INDEX(OFFSET(Arb!$X$2,,,Arb!$AJ$5,),BN65)/BO65)</f>
        <v/>
      </c>
      <c r="BR65" s="165" t="str">
        <f ca="1">IF(BN65="","",(INDEX(OFFSET(Arb!$U$2,,,Arb!$AJ$5,),BN65)+INDEX(OFFSET(Arb!$V$2,,,Arb!$AJ$5,),BN65))/BO65)</f>
        <v/>
      </c>
      <c r="BS65" s="51" t="str">
        <f t="shared" ca="1" si="43"/>
        <v/>
      </c>
      <c r="BT65" s="88" t="str">
        <f ca="1">IF(BN65="","",DATE(INDEX(OFFSET(Arb!$C$2,,,Arb!$AJ$5,),BN65),INDEX(OFFSET(Arb!$B$2,,,Arb!$AJ$5,),BN65),INDEX(OFFSET(Arb!$A$2,,,Arb!$AJ$5,),BN65))+ROW()*0.001)</f>
        <v/>
      </c>
      <c r="BU65" s="436">
        <v>40</v>
      </c>
      <c r="BW65" s="52" t="str">
        <f ca="1">IF(BV65="","",INDEX(OFFSET(Arb!$H$2,,,Arb!$AJ$5,),BV65))</f>
        <v/>
      </c>
      <c r="BX65" s="3" t="str">
        <f t="shared" ca="1" si="34"/>
        <v/>
      </c>
      <c r="BY65" s="165" t="str">
        <f ca="1">IF(BV65="","",INDEX(OFFSET(Arb!$X$2,,,Arb!$AJ$5,),BV65)/BW65)</f>
        <v/>
      </c>
      <c r="BZ65" s="165" t="str">
        <f ca="1">IF(BV65="","",(INDEX(OFFSET(Arb!$U$2,,,Arb!$AJ$5,),BV65)+INDEX(OFFSET(Arb!$V$2,,,Arb!$AJ$5,),BV65))/BW65)</f>
        <v/>
      </c>
      <c r="CA65" s="51" t="str">
        <f t="shared" ca="1" si="44"/>
        <v/>
      </c>
      <c r="CB65" s="91" t="str">
        <f ca="1">IF(BV65="","",DATE(INDEX(OFFSET(Arb!$C$2,,,Arb!$AJ$5,),BV65),INDEX(OFFSET(Arb!$B$2,,,Arb!$AJ$5,),BV65),INDEX(OFFSET(Arb!$A$2,,,Arb!$AJ$5,),BV65))+ROW()*0.001)</f>
        <v/>
      </c>
    </row>
    <row r="66" spans="1:80" x14ac:dyDescent="0.25">
      <c r="A66" s="436">
        <v>41</v>
      </c>
      <c r="B66" s="1">
        <v>2052</v>
      </c>
      <c r="C66" s="52">
        <f ca="1">IF(B66="","",INDEX(OFFSET(Arb!$H$2,,,Arb!$AJ$5,),B66))</f>
        <v>16.829999999999998</v>
      </c>
      <c r="D66" s="3">
        <f t="shared" ca="1" si="25"/>
        <v>2.4361259655377303</v>
      </c>
      <c r="E66" s="165">
        <f ca="1">IF(B66="","",INDEX(OFFSET(Arb!$X$2,,,Arb!$AJ$5,),B66)/C66)</f>
        <v>3.1491384432560907</v>
      </c>
      <c r="F66" s="165">
        <f ca="1">IF(B66="","",(INDEX(OFFSET(Arb!$U$2,,,Arb!$AJ$5,),B66)+INDEX(OFFSET(Arb!$V$2,,,Arb!$AJ$5,),B66))/C66)</f>
        <v>3.8027332144979207</v>
      </c>
      <c r="G66" s="51">
        <f t="shared" ca="1" si="35"/>
        <v>51.903839678718434</v>
      </c>
      <c r="H66" s="355">
        <f ca="1">IF(B66="","",DATE(INDEX(OFFSET(Arb!$C$2,,,Arb!$AJ$5,),B66),INDEX(OFFSET(Arb!$B$2,,,Arb!$AJ$5,),B66),INDEX(OFFSET(Arb!$A$2,,,Arb!$AJ$5,),B66))+ROW()*0.001)</f>
        <v>43798.065999999999</v>
      </c>
      <c r="I66" s="436">
        <v>41</v>
      </c>
      <c r="J66" s="1">
        <v>2232</v>
      </c>
      <c r="K66" s="52">
        <f ca="1">IF(J66="","",INDEX(OFFSET(Arb!$H$2,,,Arb!$AJ$5,),J66))</f>
        <v>20.149999999999999</v>
      </c>
      <c r="L66" s="3">
        <f t="shared" ca="1" si="26"/>
        <v>2.0347394540942929</v>
      </c>
      <c r="M66" s="165">
        <f ca="1">IF(J66="","",INDEX(OFFSET(Arb!$X$2,,,Arb!$AJ$5,),J66)/K66)</f>
        <v>2.6799007444168734</v>
      </c>
      <c r="N66" s="165">
        <f ca="1">IF(J66="","",(INDEX(OFFSET(Arb!$U$2,,,Arb!$AJ$5,),J66)+INDEX(OFFSET(Arb!$V$2,,,Arb!$AJ$5,),J66))/K66)</f>
        <v>3.0769230769230771</v>
      </c>
      <c r="O66" s="51">
        <f t="shared" ca="1" si="36"/>
        <v>38.218610902110939</v>
      </c>
      <c r="P66" s="91">
        <f ca="1">IF(J66="","",DATE(INDEX(OFFSET(Arb!$C$2,,,Arb!$AJ$5,),J66),INDEX(OFFSET(Arb!$B$2,,,Arb!$AJ$5,),J66),INDEX(OFFSET(Arb!$A$2,,,Arb!$AJ$5,),J66))+ROW()*0.001)</f>
        <v>43885.065999999999</v>
      </c>
      <c r="Q66" s="442">
        <v>41</v>
      </c>
      <c r="R66" s="1">
        <v>2189</v>
      </c>
      <c r="S66" s="52">
        <f ca="1">IF(R66="","",INDEX(OFFSET(Arb!$H$2,,,Arb!$AJ$5,),R66))</f>
        <v>21.43</v>
      </c>
      <c r="T66" s="3">
        <f t="shared" ca="1" si="27"/>
        <v>1.9132057862809146</v>
      </c>
      <c r="U66" s="165">
        <f ca="1">IF(R66="","",INDEX(OFFSET(Arb!$X$2,,,Arb!$AJ$5,),R66)/S66)</f>
        <v>2.7531497900139992</v>
      </c>
      <c r="V66" s="165">
        <f ca="1">IF(R66="","",(INDEX(OFFSET(Arb!$U$2,,,Arb!$AJ$5,),R66)+INDEX(OFFSET(Arb!$V$2,,,Arb!$AJ$5,),R66))/S66)</f>
        <v>3.4997666822211855</v>
      </c>
      <c r="W66" s="51">
        <f t="shared" ca="1" si="37"/>
        <v>34.419518698870824</v>
      </c>
      <c r="X66" s="88">
        <f ca="1">IF(R66="","",DATE(INDEX(OFFSET(Arb!$C$2,,,Arb!$AJ$5,),R66),INDEX(OFFSET(Arb!$B$2,,,Arb!$AJ$5,),R66),INDEX(OFFSET(Arb!$A$2,,,Arb!$AJ$5,),R66))+ROW()*0.001)</f>
        <v>43840.065999999999</v>
      </c>
      <c r="Y66" s="436">
        <v>41</v>
      </c>
      <c r="Z66" s="1">
        <v>1924</v>
      </c>
      <c r="AA66" s="52">
        <f ca="1">IF(Z66="","",INDEX(OFFSET(Arb!$H$2,,,Arb!$AJ$5,),Z66))</f>
        <v>21.49</v>
      </c>
      <c r="AB66" s="3">
        <f t="shared" ca="1" si="28"/>
        <v>1.9078641228478364</v>
      </c>
      <c r="AC66" s="165">
        <f ca="1">IF(Z66="","",INDEX(OFFSET(Arb!$X$2,,,Arb!$AJ$5,),Z66)/AA66)</f>
        <v>2.7454630060493255</v>
      </c>
      <c r="AD66" s="165">
        <f ca="1">IF(Z66="","",(INDEX(OFFSET(Arb!$U$2,,,Arb!$AJ$5,),Z66)+INDEX(OFFSET(Arb!$V$2,,,Arb!$AJ$5,),Z66))/AA66)</f>
        <v>3.1177291763610984</v>
      </c>
      <c r="AE66" s="51">
        <f t="shared" ca="1" si="38"/>
        <v>34.256309801325344</v>
      </c>
      <c r="AF66" s="91">
        <f ca="1">IF(Z66="","",DATE(INDEX(OFFSET(Arb!$C$2,,,Arb!$AJ$5,),Z66),INDEX(OFFSET(Arb!$B$2,,,Arb!$AJ$5,),Z66),INDEX(OFFSET(Arb!$A$2,,,Arb!$AJ$5,),Z66))+ROW()*0.001)</f>
        <v>43771.065999999999</v>
      </c>
      <c r="AG66" s="442">
        <v>41</v>
      </c>
      <c r="AI66" s="52" t="str">
        <f ca="1">IF(AH66="","",INDEX(OFFSET(Arb!$H$2,,,Arb!$AJ$5,),AH66))</f>
        <v/>
      </c>
      <c r="AJ66" s="3" t="str">
        <f t="shared" ca="1" si="29"/>
        <v/>
      </c>
      <c r="AK66" s="165" t="str">
        <f ca="1">IF(AH66="","",INDEX(OFFSET(Arb!$X$2,,,Arb!$AJ$5,),AH66)/AI66)</f>
        <v/>
      </c>
      <c r="AL66" s="165" t="str">
        <f ca="1">IF(AH66="","",(INDEX(OFFSET(Arb!$U$2,,,Arb!$AJ$5,),AH66)+INDEX(OFFSET(Arb!$V$2,,,Arb!$AJ$5,),AH66))/AI66)</f>
        <v/>
      </c>
      <c r="AM66" s="51" t="str">
        <f t="shared" ca="1" si="39"/>
        <v/>
      </c>
      <c r="AN66" s="88" t="str">
        <f ca="1">IF(AH66="","",DATE(INDEX(OFFSET(Arb!$C$2,,,Arb!$AJ$5,),AH66),INDEX(OFFSET(Arb!$B$2,,,Arb!$AJ$5,),AH66),INDEX(OFFSET(Arb!$A$2,,,Arb!$AJ$5,),AH66))+ROW()*0.001)</f>
        <v/>
      </c>
      <c r="AO66" s="436">
        <v>41</v>
      </c>
      <c r="AQ66" s="52" t="str">
        <f ca="1">IF(AP66="","",INDEX(OFFSET(Arb!$H$2,,,Arb!$AJ$5,),AP66))</f>
        <v/>
      </c>
      <c r="AR66" s="3" t="str">
        <f t="shared" ca="1" si="30"/>
        <v/>
      </c>
      <c r="AS66" s="165" t="str">
        <f ca="1">IF(AP66="","",INDEX(OFFSET(Arb!$X$2,,,Arb!$AJ$5,),AP66)/AQ66)</f>
        <v/>
      </c>
      <c r="AT66" s="165" t="str">
        <f ca="1">IF(AP66="","",(INDEX(OFFSET(Arb!$U$2,,,Arb!$AJ$5,),AP66)+INDEX(OFFSET(Arb!$V$2,,,Arb!$AJ$5,),AP66))/AQ66)</f>
        <v/>
      </c>
      <c r="AU66" s="51" t="str">
        <f t="shared" ca="1" si="40"/>
        <v/>
      </c>
      <c r="AV66" s="91" t="str">
        <f ca="1">IF(AP66="","",DATE(INDEX(OFFSET(Arb!$C$2,,,Arb!$AJ$5,),AP66),INDEX(OFFSET(Arb!$B$2,,,Arb!$AJ$5,),AP66),INDEX(OFFSET(Arb!$A$2,,,Arb!$AJ$5,),AP66))+ROW()*0.001)</f>
        <v/>
      </c>
      <c r="AW66" s="442">
        <v>41</v>
      </c>
      <c r="AY66" s="52" t="str">
        <f ca="1">IF(AX66="","",INDEX(OFFSET(Arb!$H$2,,,Arb!$AJ$5,),AX66))</f>
        <v/>
      </c>
      <c r="AZ66" s="3" t="str">
        <f t="shared" ca="1" si="31"/>
        <v/>
      </c>
      <c r="BA66" s="165" t="str">
        <f ca="1">IF(AX66="","",INDEX(OFFSET(Arb!$X$2,,,Arb!$AJ$5,),AX66)/AY66)</f>
        <v/>
      </c>
      <c r="BB66" s="165" t="str">
        <f ca="1">IF(AX66="","",(INDEX(OFFSET(Arb!$U$2,,,Arb!$AJ$5,),AX66)+INDEX(OFFSET(Arb!$V$2,,,Arb!$AJ$5,),AX66))/AY66)</f>
        <v/>
      </c>
      <c r="BC66" s="51" t="str">
        <f t="shared" ca="1" si="41"/>
        <v/>
      </c>
      <c r="BD66" s="88" t="str">
        <f ca="1">IF(AX66="","",DATE(INDEX(OFFSET(Arb!$C$2,,,Arb!$AJ$5,),AX66),INDEX(OFFSET(Arb!$B$2,,,Arb!$AJ$5,),AX66),INDEX(OFFSET(Arb!$A$2,,,Arb!$AJ$5,),AX66))+ROW()*0.001)</f>
        <v/>
      </c>
      <c r="BE66" s="436">
        <v>41</v>
      </c>
      <c r="BG66" s="52" t="str">
        <f ca="1">IF(BF66="","",INDEX(OFFSET(Arb!$H$2,,,Arb!$AJ$5,),BF66))</f>
        <v/>
      </c>
      <c r="BH66" s="3" t="str">
        <f t="shared" ca="1" si="32"/>
        <v/>
      </c>
      <c r="BI66" s="165" t="str">
        <f ca="1">IF(BF66="","",INDEX(OFFSET(Arb!$X$2,,,Arb!$AJ$5,),BF66)/BG66)</f>
        <v/>
      </c>
      <c r="BJ66" s="165" t="str">
        <f ca="1">IF(BF66="","",(INDEX(OFFSET(Arb!$U$2,,,Arb!$AJ$5,),BF66)+INDEX(OFFSET(Arb!$V$2,,,Arb!$AJ$5,),BF66))/BG66)</f>
        <v/>
      </c>
      <c r="BK66" s="51" t="str">
        <f t="shared" ca="1" si="42"/>
        <v/>
      </c>
      <c r="BL66" s="91" t="str">
        <f ca="1">IF(BF66="","",DATE(INDEX(OFFSET(Arb!$C$2,,,Arb!$AJ$5,),BF66),INDEX(OFFSET(Arb!$B$2,,,Arb!$AJ$5,),BF66),INDEX(OFFSET(Arb!$A$2,,,Arb!$AJ$5,),BF66))+ROW()*0.001)</f>
        <v/>
      </c>
      <c r="BM66" s="442">
        <v>41</v>
      </c>
      <c r="BO66" s="52" t="str">
        <f ca="1">IF(BN66="","",INDEX(OFFSET(Arb!$H$2,,,Arb!$AJ$5,),BN66))</f>
        <v/>
      </c>
      <c r="BP66" s="3" t="str">
        <f t="shared" ca="1" si="33"/>
        <v/>
      </c>
      <c r="BQ66" s="165" t="str">
        <f ca="1">IF(BN66="","",INDEX(OFFSET(Arb!$X$2,,,Arb!$AJ$5,),BN66)/BO66)</f>
        <v/>
      </c>
      <c r="BR66" s="165" t="str">
        <f ca="1">IF(BN66="","",(INDEX(OFFSET(Arb!$U$2,,,Arb!$AJ$5,),BN66)+INDEX(OFFSET(Arb!$V$2,,,Arb!$AJ$5,),BN66))/BO66)</f>
        <v/>
      </c>
      <c r="BS66" s="51" t="str">
        <f t="shared" ca="1" si="43"/>
        <v/>
      </c>
      <c r="BT66" s="88" t="str">
        <f ca="1">IF(BN66="","",DATE(INDEX(OFFSET(Arb!$C$2,,,Arb!$AJ$5,),BN66),INDEX(OFFSET(Arb!$B$2,,,Arb!$AJ$5,),BN66),INDEX(OFFSET(Arb!$A$2,,,Arb!$AJ$5,),BN66))+ROW()*0.001)</f>
        <v/>
      </c>
      <c r="BU66" s="436">
        <v>41</v>
      </c>
      <c r="BW66" s="52" t="str">
        <f ca="1">IF(BV66="","",INDEX(OFFSET(Arb!$H$2,,,Arb!$AJ$5,),BV66))</f>
        <v/>
      </c>
      <c r="BX66" s="3" t="str">
        <f t="shared" ca="1" si="34"/>
        <v/>
      </c>
      <c r="BY66" s="165" t="str">
        <f ca="1">IF(BV66="","",INDEX(OFFSET(Arb!$X$2,,,Arb!$AJ$5,),BV66)/BW66)</f>
        <v/>
      </c>
      <c r="BZ66" s="165" t="str">
        <f ca="1">IF(BV66="","",(INDEX(OFFSET(Arb!$U$2,,,Arb!$AJ$5,),BV66)+INDEX(OFFSET(Arb!$V$2,,,Arb!$AJ$5,),BV66))/BW66)</f>
        <v/>
      </c>
      <c r="CA66" s="51" t="str">
        <f t="shared" ca="1" si="44"/>
        <v/>
      </c>
      <c r="CB66" s="91" t="str">
        <f ca="1">IF(BV66="","",DATE(INDEX(OFFSET(Arb!$C$2,,,Arb!$AJ$5,),BV66),INDEX(OFFSET(Arb!$B$2,,,Arb!$AJ$5,),BV66),INDEX(OFFSET(Arb!$A$2,,,Arb!$AJ$5,),BV66))+ROW()*0.001)</f>
        <v/>
      </c>
    </row>
    <row r="67" spans="1:80" x14ac:dyDescent="0.25">
      <c r="A67" s="436">
        <v>42</v>
      </c>
      <c r="B67" s="1">
        <v>1992</v>
      </c>
      <c r="C67" s="52">
        <f ca="1">IF(B67="","",INDEX(OFFSET(Arb!$H$2,,,Arb!$AJ$5,),B67))</f>
        <v>17.809999999999999</v>
      </c>
      <c r="D67" s="3">
        <f t="shared" ca="1" si="25"/>
        <v>2.3582257158899496</v>
      </c>
      <c r="E67" s="165">
        <f ca="1">IF(B67="","",INDEX(OFFSET(Arb!$X$2,,,Arb!$AJ$5,),B67)/C67)</f>
        <v>2.9758562605277934</v>
      </c>
      <c r="F67" s="165">
        <f ca="1">IF(B67="","",(INDEX(OFFSET(Arb!$U$2,,,Arb!$AJ$5,),B67)+INDEX(OFFSET(Arb!$V$2,,,Arb!$AJ$5,),B67))/C67)</f>
        <v>3.5373385738349246</v>
      </c>
      <c r="G67" s="51">
        <f t="shared" ca="1" si="35"/>
        <v>48.292451741178958</v>
      </c>
      <c r="H67" s="355">
        <f ca="1">IF(B67="","",DATE(INDEX(OFFSET(Arb!$C$2,,,Arb!$AJ$5,),B67),INDEX(OFFSET(Arb!$B$2,,,Arb!$AJ$5,),B67),INDEX(OFFSET(Arb!$A$2,,,Arb!$AJ$5,),B67))+ROW()*0.001)</f>
        <v>43784.067000000003</v>
      </c>
      <c r="I67" s="436">
        <v>42</v>
      </c>
      <c r="J67" s="1">
        <v>2127</v>
      </c>
      <c r="K67" s="52">
        <f ca="1">IF(J67="","",INDEX(OFFSET(Arb!$H$2,,,Arb!$AJ$5,),J67))</f>
        <v>18.059999999999999</v>
      </c>
      <c r="L67" s="3">
        <f t="shared" ca="1" si="26"/>
        <v>2.3255813953488373</v>
      </c>
      <c r="M67" s="165">
        <f ca="1">IF(J67="","",INDEX(OFFSET(Arb!$X$2,,,Arb!$AJ$5,),J67)/K67)</f>
        <v>2.879291251384275</v>
      </c>
      <c r="N67" s="165">
        <f ca="1">IF(J67="","",(INDEX(OFFSET(Arb!$U$2,,,Arb!$AJ$5,),J67)+INDEX(OFFSET(Arb!$V$2,,,Arb!$AJ$5,),J67))/K67)</f>
        <v>3.4883720930232562</v>
      </c>
      <c r="O67" s="51">
        <f t="shared" ca="1" si="36"/>
        <v>47.161515178823812</v>
      </c>
      <c r="P67" s="91">
        <f ca="1">IF(J67="","",DATE(INDEX(OFFSET(Arb!$C$2,,,Arb!$AJ$5,),J67),INDEX(OFFSET(Arb!$B$2,,,Arb!$AJ$5,),J67),INDEX(OFFSET(Arb!$A$2,,,Arb!$AJ$5,),J67))+ROW()*0.001)</f>
        <v>43811.067000000003</v>
      </c>
      <c r="Q67" s="442">
        <v>42</v>
      </c>
      <c r="R67" s="1">
        <v>2394</v>
      </c>
      <c r="S67" s="52">
        <f ca="1">IF(R67="","",INDEX(OFFSET(Arb!$H$2,,,Arb!$AJ$5,),R67))</f>
        <v>19.940000000000001</v>
      </c>
      <c r="T67" s="3">
        <f t="shared" ca="1" si="27"/>
        <v>2.1063189568706115</v>
      </c>
      <c r="U67" s="165">
        <f ca="1">IF(R67="","",INDEX(OFFSET(Arb!$X$2,,,Arb!$AJ$5,),R67)/S67)</f>
        <v>3.3600802407221662</v>
      </c>
      <c r="V67" s="165">
        <f ca="1">IF(R67="","",(INDEX(OFFSET(Arb!$U$2,,,Arb!$AJ$5,),R67)+INDEX(OFFSET(Arb!$V$2,,,Arb!$AJ$5,),R67))/S67)</f>
        <v>3.8615847542627879</v>
      </c>
      <c r="W67" s="51">
        <f t="shared" ca="1" si="37"/>
        <v>39.85429726771897</v>
      </c>
      <c r="X67" s="88">
        <f ca="1">IF(R67="","",DATE(INDEX(OFFSET(Arb!$C$2,,,Arb!$AJ$5,),R67),INDEX(OFFSET(Arb!$B$2,,,Arb!$AJ$5,),R67),INDEX(OFFSET(Arb!$A$2,,,Arb!$AJ$5,),R67))+ROW()*0.001)</f>
        <v>44133.067000000003</v>
      </c>
      <c r="Y67" s="436">
        <v>42</v>
      </c>
      <c r="Z67" s="1">
        <v>2319</v>
      </c>
      <c r="AA67" s="52">
        <f ca="1">IF(Z67="","",INDEX(OFFSET(Arb!$H$2,,,Arb!$AJ$5,),Z67))</f>
        <v>20.93</v>
      </c>
      <c r="AB67" s="3">
        <f t="shared" ca="1" si="28"/>
        <v>2.0066889632107023</v>
      </c>
      <c r="AC67" s="165">
        <f ca="1">IF(Z67="","",INDEX(OFFSET(Arb!$X$2,,,Arb!$AJ$5,),Z67)/AA67)</f>
        <v>2.9144768275203057</v>
      </c>
      <c r="AD67" s="165">
        <f ca="1">IF(Z67="","",(INDEX(OFFSET(Arb!$U$2,,,Arb!$AJ$5,),Z67)+INDEX(OFFSET(Arb!$V$2,,,Arb!$AJ$5,),Z67))/AA67)</f>
        <v>3.3922599139990446</v>
      </c>
      <c r="AE67" s="51">
        <f t="shared" ca="1" si="38"/>
        <v>36.702887235364159</v>
      </c>
      <c r="AF67" s="91">
        <f ca="1">IF(Z67="","",DATE(INDEX(OFFSET(Arb!$C$2,,,Arb!$AJ$5,),Z67),INDEX(OFFSET(Arb!$B$2,,,Arb!$AJ$5,),Z67),INDEX(OFFSET(Arb!$A$2,,,Arb!$AJ$5,),Z67))+ROW()*0.001)</f>
        <v>43984.067000000003</v>
      </c>
      <c r="AG67" s="442">
        <v>42</v>
      </c>
      <c r="AI67" s="52" t="str">
        <f ca="1">IF(AH67="","",INDEX(OFFSET(Arb!$H$2,,,Arb!$AJ$5,),AH67))</f>
        <v/>
      </c>
      <c r="AJ67" s="3" t="str">
        <f t="shared" ca="1" si="29"/>
        <v/>
      </c>
      <c r="AK67" s="165" t="str">
        <f ca="1">IF(AH67="","",INDEX(OFFSET(Arb!$X$2,,,Arb!$AJ$5,),AH67)/AI67)</f>
        <v/>
      </c>
      <c r="AL67" s="165" t="str">
        <f ca="1">IF(AH67="","",(INDEX(OFFSET(Arb!$U$2,,,Arb!$AJ$5,),AH67)+INDEX(OFFSET(Arb!$V$2,,,Arb!$AJ$5,),AH67))/AI67)</f>
        <v/>
      </c>
      <c r="AM67" s="51" t="str">
        <f t="shared" ca="1" si="39"/>
        <v/>
      </c>
      <c r="AN67" s="88" t="str">
        <f ca="1">IF(AH67="","",DATE(INDEX(OFFSET(Arb!$C$2,,,Arb!$AJ$5,),AH67),INDEX(OFFSET(Arb!$B$2,,,Arb!$AJ$5,),AH67),INDEX(OFFSET(Arb!$A$2,,,Arb!$AJ$5,),AH67))+ROW()*0.001)</f>
        <v/>
      </c>
      <c r="AO67" s="436">
        <v>42</v>
      </c>
      <c r="AQ67" s="52" t="str">
        <f ca="1">IF(AP67="","",INDEX(OFFSET(Arb!$H$2,,,Arb!$AJ$5,),AP67))</f>
        <v/>
      </c>
      <c r="AR67" s="3" t="str">
        <f t="shared" ca="1" si="30"/>
        <v/>
      </c>
      <c r="AS67" s="165" t="str">
        <f ca="1">IF(AP67="","",INDEX(OFFSET(Arb!$X$2,,,Arb!$AJ$5,),AP67)/AQ67)</f>
        <v/>
      </c>
      <c r="AT67" s="165" t="str">
        <f ca="1">IF(AP67="","",(INDEX(OFFSET(Arb!$U$2,,,Arb!$AJ$5,),AP67)+INDEX(OFFSET(Arb!$V$2,,,Arb!$AJ$5,),AP67))/AQ67)</f>
        <v/>
      </c>
      <c r="AU67" s="51" t="str">
        <f t="shared" ca="1" si="40"/>
        <v/>
      </c>
      <c r="AV67" s="91" t="str">
        <f ca="1">IF(AP67="","",DATE(INDEX(OFFSET(Arb!$C$2,,,Arb!$AJ$5,),AP67),INDEX(OFFSET(Arb!$B$2,,,Arb!$AJ$5,),AP67),INDEX(OFFSET(Arb!$A$2,,,Arb!$AJ$5,),AP67))+ROW()*0.001)</f>
        <v/>
      </c>
      <c r="AW67" s="442">
        <v>42</v>
      </c>
      <c r="AY67" s="52" t="str">
        <f ca="1">IF(AX67="","",INDEX(OFFSET(Arb!$H$2,,,Arb!$AJ$5,),AX67))</f>
        <v/>
      </c>
      <c r="AZ67" s="3" t="str">
        <f t="shared" ca="1" si="31"/>
        <v/>
      </c>
      <c r="BA67" s="165" t="str">
        <f ca="1">IF(AX67="","",INDEX(OFFSET(Arb!$X$2,,,Arb!$AJ$5,),AX67)/AY67)</f>
        <v/>
      </c>
      <c r="BB67" s="165" t="str">
        <f ca="1">IF(AX67="","",(INDEX(OFFSET(Arb!$U$2,,,Arb!$AJ$5,),AX67)+INDEX(OFFSET(Arb!$V$2,,,Arb!$AJ$5,),AX67))/AY67)</f>
        <v/>
      </c>
      <c r="BC67" s="51" t="str">
        <f t="shared" ca="1" si="41"/>
        <v/>
      </c>
      <c r="BD67" s="88" t="str">
        <f ca="1">IF(AX67="","",DATE(INDEX(OFFSET(Arb!$C$2,,,Arb!$AJ$5,),AX67),INDEX(OFFSET(Arb!$B$2,,,Arb!$AJ$5,),AX67),INDEX(OFFSET(Arb!$A$2,,,Arb!$AJ$5,),AX67))+ROW()*0.001)</f>
        <v/>
      </c>
      <c r="BE67" s="436">
        <v>42</v>
      </c>
      <c r="BG67" s="52" t="str">
        <f ca="1">IF(BF67="","",INDEX(OFFSET(Arb!$H$2,,,Arb!$AJ$5,),BF67))</f>
        <v/>
      </c>
      <c r="BH67" s="3" t="str">
        <f t="shared" ca="1" si="32"/>
        <v/>
      </c>
      <c r="BI67" s="165" t="str">
        <f ca="1">IF(BF67="","",INDEX(OFFSET(Arb!$X$2,,,Arb!$AJ$5,),BF67)/BG67)</f>
        <v/>
      </c>
      <c r="BJ67" s="165" t="str">
        <f ca="1">IF(BF67="","",(INDEX(OFFSET(Arb!$U$2,,,Arb!$AJ$5,),BF67)+INDEX(OFFSET(Arb!$V$2,,,Arb!$AJ$5,),BF67))/BG67)</f>
        <v/>
      </c>
      <c r="BK67" s="51" t="str">
        <f t="shared" ca="1" si="42"/>
        <v/>
      </c>
      <c r="BL67" s="91" t="str">
        <f ca="1">IF(BF67="","",DATE(INDEX(OFFSET(Arb!$C$2,,,Arb!$AJ$5,),BF67),INDEX(OFFSET(Arb!$B$2,,,Arb!$AJ$5,),BF67),INDEX(OFFSET(Arb!$A$2,,,Arb!$AJ$5,),BF67))+ROW()*0.001)</f>
        <v/>
      </c>
      <c r="BM67" s="442">
        <v>42</v>
      </c>
      <c r="BO67" s="52" t="str">
        <f ca="1">IF(BN67="","",INDEX(OFFSET(Arb!$H$2,,,Arb!$AJ$5,),BN67))</f>
        <v/>
      </c>
      <c r="BP67" s="3" t="str">
        <f t="shared" ca="1" si="33"/>
        <v/>
      </c>
      <c r="BQ67" s="165" t="str">
        <f ca="1">IF(BN67="","",INDEX(OFFSET(Arb!$X$2,,,Arb!$AJ$5,),BN67)/BO67)</f>
        <v/>
      </c>
      <c r="BR67" s="165" t="str">
        <f ca="1">IF(BN67="","",(INDEX(OFFSET(Arb!$U$2,,,Arb!$AJ$5,),BN67)+INDEX(OFFSET(Arb!$V$2,,,Arb!$AJ$5,),BN67))/BO67)</f>
        <v/>
      </c>
      <c r="BS67" s="51" t="str">
        <f t="shared" ca="1" si="43"/>
        <v/>
      </c>
      <c r="BT67" s="88" t="str">
        <f ca="1">IF(BN67="","",DATE(INDEX(OFFSET(Arb!$C$2,,,Arb!$AJ$5,),BN67),INDEX(OFFSET(Arb!$B$2,,,Arb!$AJ$5,),BN67),INDEX(OFFSET(Arb!$A$2,,,Arb!$AJ$5,),BN67))+ROW()*0.001)</f>
        <v/>
      </c>
      <c r="BU67" s="436">
        <v>42</v>
      </c>
      <c r="BW67" s="52" t="str">
        <f ca="1">IF(BV67="","",INDEX(OFFSET(Arb!$H$2,,,Arb!$AJ$5,),BV67))</f>
        <v/>
      </c>
      <c r="BX67" s="3" t="str">
        <f t="shared" ca="1" si="34"/>
        <v/>
      </c>
      <c r="BY67" s="165" t="str">
        <f ca="1">IF(BV67="","",INDEX(OFFSET(Arb!$X$2,,,Arb!$AJ$5,),BV67)/BW67)</f>
        <v/>
      </c>
      <c r="BZ67" s="165" t="str">
        <f ca="1">IF(BV67="","",(INDEX(OFFSET(Arb!$U$2,,,Arb!$AJ$5,),BV67)+INDEX(OFFSET(Arb!$V$2,,,Arb!$AJ$5,),BV67))/BW67)</f>
        <v/>
      </c>
      <c r="CA67" s="51" t="str">
        <f t="shared" ca="1" si="44"/>
        <v/>
      </c>
      <c r="CB67" s="91" t="str">
        <f ca="1">IF(BV67="","",DATE(INDEX(OFFSET(Arb!$C$2,,,Arb!$AJ$5,),BV67),INDEX(OFFSET(Arb!$B$2,,,Arb!$AJ$5,),BV67),INDEX(OFFSET(Arb!$A$2,,,Arb!$AJ$5,),BV67))+ROW()*0.001)</f>
        <v/>
      </c>
    </row>
    <row r="68" spans="1:80" x14ac:dyDescent="0.25">
      <c r="A68" s="436">
        <v>43</v>
      </c>
      <c r="B68" s="1">
        <v>2373</v>
      </c>
      <c r="C68" s="52">
        <f ca="1">IF(B68="","",INDEX(OFFSET(Arb!$H$2,,,Arb!$AJ$5,),B68))</f>
        <v>17.57</v>
      </c>
      <c r="D68" s="3">
        <f t="shared" ca="1" si="25"/>
        <v>2.4473534433693795</v>
      </c>
      <c r="E68" s="165">
        <f ca="1">IF(B68="","",INDEX(OFFSET(Arb!$X$2,,,Arb!$AJ$5,),B68)/C68)</f>
        <v>3.1303357996585088</v>
      </c>
      <c r="F68" s="165">
        <f ca="1">IF(B68="","",(INDEX(OFFSET(Arb!$U$2,,,Arb!$AJ$5,),B68)+INDEX(OFFSET(Arb!$V$2,,,Arb!$AJ$5,),B68))/C68)</f>
        <v>3.528742174160501</v>
      </c>
      <c r="G68" s="51">
        <f t="shared" ca="1" si="35"/>
        <v>50.595872351232558</v>
      </c>
      <c r="H68" s="355">
        <f ca="1">IF(B68="","",DATE(INDEX(OFFSET(Arb!$C$2,,,Arb!$AJ$5,),B68),INDEX(OFFSET(Arb!$B$2,,,Arb!$AJ$5,),B68),INDEX(OFFSET(Arb!$A$2,,,Arb!$AJ$5,),B68))+ROW()*0.001)</f>
        <v>44114.067999999999</v>
      </c>
      <c r="I68" s="436">
        <v>43</v>
      </c>
      <c r="K68" s="52" t="str">
        <f ca="1">IF(J68="","",INDEX(OFFSET(Arb!$H$2,,,Arb!$AJ$5,),J68))</f>
        <v/>
      </c>
      <c r="L68" s="3" t="str">
        <f t="shared" ca="1" si="26"/>
        <v/>
      </c>
      <c r="M68" s="165" t="str">
        <f ca="1">IF(J68="","",INDEX(OFFSET(Arb!$X$2,,,Arb!$AJ$5,),J68)/K68)</f>
        <v/>
      </c>
      <c r="N68" s="165" t="str">
        <f ca="1">IF(J68="","",(INDEX(OFFSET(Arb!$U$2,,,Arb!$AJ$5,),J68)+INDEX(OFFSET(Arb!$V$2,,,Arb!$AJ$5,),J68))/K68)</f>
        <v/>
      </c>
      <c r="O68" s="51" t="str">
        <f t="shared" ca="1" si="36"/>
        <v/>
      </c>
      <c r="P68" s="91" t="str">
        <f ca="1">IF(J68="","",DATE(INDEX(OFFSET(Arb!$C$2,,,Arb!$AJ$5,),J68),INDEX(OFFSET(Arb!$B$2,,,Arb!$AJ$5,),J68),INDEX(OFFSET(Arb!$A$2,,,Arb!$AJ$5,),J68))+ROW()*0.001)</f>
        <v/>
      </c>
      <c r="Q68" s="442">
        <v>43</v>
      </c>
      <c r="S68" s="52" t="str">
        <f ca="1">IF(R68="","",INDEX(OFFSET(Arb!$H$2,,,Arb!$AJ$5,),R68))</f>
        <v/>
      </c>
      <c r="T68" s="3" t="str">
        <f t="shared" ca="1" si="27"/>
        <v/>
      </c>
      <c r="U68" s="165" t="str">
        <f ca="1">IF(R68="","",INDEX(OFFSET(Arb!$X$2,,,Arb!$AJ$5,),R68)/S68)</f>
        <v/>
      </c>
      <c r="V68" s="165" t="str">
        <f ca="1">IF(R68="","",(INDEX(OFFSET(Arb!$U$2,,,Arb!$AJ$5,),R68)+INDEX(OFFSET(Arb!$V$2,,,Arb!$AJ$5,),R68))/S68)</f>
        <v/>
      </c>
      <c r="W68" s="51" t="str">
        <f t="shared" ca="1" si="37"/>
        <v/>
      </c>
      <c r="X68" s="88" t="str">
        <f ca="1">IF(R68="","",DATE(INDEX(OFFSET(Arb!$C$2,,,Arb!$AJ$5,),R68),INDEX(OFFSET(Arb!$B$2,,,Arb!$AJ$5,),R68),INDEX(OFFSET(Arb!$A$2,,,Arb!$AJ$5,),R68))+ROW()*0.001)</f>
        <v/>
      </c>
      <c r="Y68" s="436">
        <v>43</v>
      </c>
      <c r="AA68" s="52" t="str">
        <f ca="1">IF(Z68="","",INDEX(OFFSET(Arb!$H$2,,,Arb!$AJ$5,),Z68))</f>
        <v/>
      </c>
      <c r="AB68" s="3" t="str">
        <f t="shared" ca="1" si="28"/>
        <v/>
      </c>
      <c r="AC68" s="165" t="str">
        <f ca="1">IF(Z68="","",INDEX(OFFSET(Arb!$X$2,,,Arb!$AJ$5,),Z68)/AA68)</f>
        <v/>
      </c>
      <c r="AD68" s="165" t="str">
        <f ca="1">IF(Z68="","",(INDEX(OFFSET(Arb!$U$2,,,Arb!$AJ$5,),Z68)+INDEX(OFFSET(Arb!$V$2,,,Arb!$AJ$5,),Z68))/AA68)</f>
        <v/>
      </c>
      <c r="AE68" s="51" t="str">
        <f t="shared" ca="1" si="38"/>
        <v/>
      </c>
      <c r="AF68" s="91" t="str">
        <f ca="1">IF(Z68="","",DATE(INDEX(OFFSET(Arb!$C$2,,,Arb!$AJ$5,),Z68),INDEX(OFFSET(Arb!$B$2,,,Arb!$AJ$5,),Z68),INDEX(OFFSET(Arb!$A$2,,,Arb!$AJ$5,),Z68))+ROW()*0.001)</f>
        <v/>
      </c>
      <c r="AG68" s="442">
        <v>43</v>
      </c>
      <c r="AI68" s="52" t="str">
        <f ca="1">IF(AH68="","",INDEX(OFFSET(Arb!$H$2,,,Arb!$AJ$5,),AH68))</f>
        <v/>
      </c>
      <c r="AJ68" s="3" t="str">
        <f t="shared" ca="1" si="29"/>
        <v/>
      </c>
      <c r="AK68" s="165" t="str">
        <f ca="1">IF(AH68="","",INDEX(OFFSET(Arb!$X$2,,,Arb!$AJ$5,),AH68)/AI68)</f>
        <v/>
      </c>
      <c r="AL68" s="165" t="str">
        <f ca="1">IF(AH68="","",(INDEX(OFFSET(Arb!$U$2,,,Arb!$AJ$5,),AH68)+INDEX(OFFSET(Arb!$V$2,,,Arb!$AJ$5,),AH68))/AI68)</f>
        <v/>
      </c>
      <c r="AM68" s="51" t="str">
        <f t="shared" ca="1" si="39"/>
        <v/>
      </c>
      <c r="AN68" s="88" t="str">
        <f ca="1">IF(AH68="","",DATE(INDEX(OFFSET(Arb!$C$2,,,Arb!$AJ$5,),AH68),INDEX(OFFSET(Arb!$B$2,,,Arb!$AJ$5,),AH68),INDEX(OFFSET(Arb!$A$2,,,Arb!$AJ$5,),AH68))+ROW()*0.001)</f>
        <v/>
      </c>
      <c r="AO68" s="436">
        <v>43</v>
      </c>
      <c r="AQ68" s="52" t="str">
        <f ca="1">IF(AP68="","",INDEX(OFFSET(Arb!$H$2,,,Arb!$AJ$5,),AP68))</f>
        <v/>
      </c>
      <c r="AR68" s="3" t="str">
        <f t="shared" ca="1" si="30"/>
        <v/>
      </c>
      <c r="AS68" s="165" t="str">
        <f ca="1">IF(AP68="","",INDEX(OFFSET(Arb!$X$2,,,Arb!$AJ$5,),AP68)/AQ68)</f>
        <v/>
      </c>
      <c r="AT68" s="165" t="str">
        <f ca="1">IF(AP68="","",(INDEX(OFFSET(Arb!$U$2,,,Arb!$AJ$5,),AP68)+INDEX(OFFSET(Arb!$V$2,,,Arb!$AJ$5,),AP68))/AQ68)</f>
        <v/>
      </c>
      <c r="AU68" s="51" t="str">
        <f t="shared" ca="1" si="40"/>
        <v/>
      </c>
      <c r="AV68" s="91" t="str">
        <f ca="1">IF(AP68="","",DATE(INDEX(OFFSET(Arb!$C$2,,,Arb!$AJ$5,),AP68),INDEX(OFFSET(Arb!$B$2,,,Arb!$AJ$5,),AP68),INDEX(OFFSET(Arb!$A$2,,,Arb!$AJ$5,),AP68))+ROW()*0.001)</f>
        <v/>
      </c>
      <c r="AW68" s="442">
        <v>43</v>
      </c>
      <c r="AY68" s="52" t="str">
        <f ca="1">IF(AX68="","",INDEX(OFFSET(Arb!$H$2,,,Arb!$AJ$5,),AX68))</f>
        <v/>
      </c>
      <c r="AZ68" s="3" t="str">
        <f t="shared" ca="1" si="31"/>
        <v/>
      </c>
      <c r="BA68" s="165" t="str">
        <f ca="1">IF(AX68="","",INDEX(OFFSET(Arb!$X$2,,,Arb!$AJ$5,),AX68)/AY68)</f>
        <v/>
      </c>
      <c r="BB68" s="165" t="str">
        <f ca="1">IF(AX68="","",(INDEX(OFFSET(Arb!$U$2,,,Arb!$AJ$5,),AX68)+INDEX(OFFSET(Arb!$V$2,,,Arb!$AJ$5,),AX68))/AY68)</f>
        <v/>
      </c>
      <c r="BC68" s="51" t="str">
        <f t="shared" ca="1" si="41"/>
        <v/>
      </c>
      <c r="BD68" s="88" t="str">
        <f ca="1">IF(AX68="","",DATE(INDEX(OFFSET(Arb!$C$2,,,Arb!$AJ$5,),AX68),INDEX(OFFSET(Arb!$B$2,,,Arb!$AJ$5,),AX68),INDEX(OFFSET(Arb!$A$2,,,Arb!$AJ$5,),AX68))+ROW()*0.001)</f>
        <v/>
      </c>
      <c r="BE68" s="436">
        <v>43</v>
      </c>
      <c r="BG68" s="52" t="str">
        <f ca="1">IF(BF68="","",INDEX(OFFSET(Arb!$H$2,,,Arb!$AJ$5,),BF68))</f>
        <v/>
      </c>
      <c r="BH68" s="3" t="str">
        <f t="shared" ca="1" si="32"/>
        <v/>
      </c>
      <c r="BI68" s="165" t="str">
        <f ca="1">IF(BF68="","",INDEX(OFFSET(Arb!$X$2,,,Arb!$AJ$5,),BF68)/BG68)</f>
        <v/>
      </c>
      <c r="BJ68" s="165" t="str">
        <f ca="1">IF(BF68="","",(INDEX(OFFSET(Arb!$U$2,,,Arb!$AJ$5,),BF68)+INDEX(OFFSET(Arb!$V$2,,,Arb!$AJ$5,),BF68))/BG68)</f>
        <v/>
      </c>
      <c r="BK68" s="51" t="str">
        <f t="shared" ca="1" si="42"/>
        <v/>
      </c>
      <c r="BL68" s="91" t="str">
        <f ca="1">IF(BF68="","",DATE(INDEX(OFFSET(Arb!$C$2,,,Arb!$AJ$5,),BF68),INDEX(OFFSET(Arb!$B$2,,,Arb!$AJ$5,),BF68),INDEX(OFFSET(Arb!$A$2,,,Arb!$AJ$5,),BF68))+ROW()*0.001)</f>
        <v/>
      </c>
      <c r="BM68" s="442">
        <v>43</v>
      </c>
      <c r="BO68" s="52" t="str">
        <f ca="1">IF(BN68="","",INDEX(OFFSET(Arb!$H$2,,,Arb!$AJ$5,),BN68))</f>
        <v/>
      </c>
      <c r="BP68" s="3" t="str">
        <f t="shared" ca="1" si="33"/>
        <v/>
      </c>
      <c r="BQ68" s="165" t="str">
        <f ca="1">IF(BN68="","",INDEX(OFFSET(Arb!$X$2,,,Arb!$AJ$5,),BN68)/BO68)</f>
        <v/>
      </c>
      <c r="BR68" s="165" t="str">
        <f ca="1">IF(BN68="","",(INDEX(OFFSET(Arb!$U$2,,,Arb!$AJ$5,),BN68)+INDEX(OFFSET(Arb!$V$2,,,Arb!$AJ$5,),BN68))/BO68)</f>
        <v/>
      </c>
      <c r="BS68" s="51" t="str">
        <f t="shared" ca="1" si="43"/>
        <v/>
      </c>
      <c r="BT68" s="88" t="str">
        <f ca="1">IF(BN68="","",DATE(INDEX(OFFSET(Arb!$C$2,,,Arb!$AJ$5,),BN68),INDEX(OFFSET(Arb!$B$2,,,Arb!$AJ$5,),BN68),INDEX(OFFSET(Arb!$A$2,,,Arb!$AJ$5,),BN68))+ROW()*0.001)</f>
        <v/>
      </c>
      <c r="BU68" s="436">
        <v>43</v>
      </c>
      <c r="BW68" s="52" t="str">
        <f ca="1">IF(BV68="","",INDEX(OFFSET(Arb!$H$2,,,Arb!$AJ$5,),BV68))</f>
        <v/>
      </c>
      <c r="BX68" s="3" t="str">
        <f t="shared" ca="1" si="34"/>
        <v/>
      </c>
      <c r="BY68" s="165" t="str">
        <f ca="1">IF(BV68="","",INDEX(OFFSET(Arb!$X$2,,,Arb!$AJ$5,),BV68)/BW68)</f>
        <v/>
      </c>
      <c r="BZ68" s="165" t="str">
        <f ca="1">IF(BV68="","",(INDEX(OFFSET(Arb!$U$2,,,Arb!$AJ$5,),BV68)+INDEX(OFFSET(Arb!$V$2,,,Arb!$AJ$5,),BV68))/BW68)</f>
        <v/>
      </c>
      <c r="CA68" s="51" t="str">
        <f t="shared" ca="1" si="44"/>
        <v/>
      </c>
      <c r="CB68" s="91" t="str">
        <f ca="1">IF(BV68="","",DATE(INDEX(OFFSET(Arb!$C$2,,,Arb!$AJ$5,),BV68),INDEX(OFFSET(Arb!$B$2,,,Arb!$AJ$5,),BV68),INDEX(OFFSET(Arb!$A$2,,,Arb!$AJ$5,),BV68))+ROW()*0.001)</f>
        <v/>
      </c>
    </row>
    <row r="69" spans="1:80" x14ac:dyDescent="0.25">
      <c r="A69" s="436">
        <v>44</v>
      </c>
      <c r="B69" s="1">
        <v>1912</v>
      </c>
      <c r="C69" s="52">
        <f ca="1">IF(B69="","",INDEX(OFFSET(Arb!$H$2,,,Arb!$AJ$5,),B69))</f>
        <v>19.739999999999998</v>
      </c>
      <c r="D69" s="3">
        <f t="shared" ca="1" si="25"/>
        <v>2.2289766970618037</v>
      </c>
      <c r="E69" s="165">
        <f ca="1">IF(B69="","",INDEX(OFFSET(Arb!$X$2,,,Arb!$AJ$5,),B69)/C69)</f>
        <v>3.191489361702128</v>
      </c>
      <c r="F69" s="165">
        <f ca="1">IF(B69="","",(INDEX(OFFSET(Arb!$U$2,,,Arb!$AJ$5,),B69)+INDEX(OFFSET(Arb!$V$2,,,Arb!$AJ$5,),B69))/C69)</f>
        <v>3.5967578520770012</v>
      </c>
      <c r="G69" s="51">
        <f t="shared" ca="1" si="35"/>
        <v>42.473803303938745</v>
      </c>
      <c r="H69" s="355">
        <f ca="1">IF(B69="","",DATE(INDEX(OFFSET(Arb!$C$2,,,Arb!$AJ$5,),B69),INDEX(OFFSET(Arb!$B$2,,,Arb!$AJ$5,),B69),INDEX(OFFSET(Arb!$A$2,,,Arb!$AJ$5,),B69))+ROW()*0.001)</f>
        <v>43767.069000000003</v>
      </c>
      <c r="I69" s="436">
        <v>44</v>
      </c>
      <c r="J69" s="1">
        <v>2345</v>
      </c>
      <c r="K69" s="52">
        <f ca="1">IF(J69="","",INDEX(OFFSET(Arb!$H$2,,,Arb!$AJ$5,),J69))</f>
        <v>20.12</v>
      </c>
      <c r="L69" s="3">
        <f t="shared" ca="1" si="26"/>
        <v>2.1868787276341948</v>
      </c>
      <c r="M69" s="165">
        <f ca="1">IF(J69="","",INDEX(OFFSET(Arb!$X$2,,,Arb!$AJ$5,),J69)/K69)</f>
        <v>2.9324055666003974</v>
      </c>
      <c r="N69" s="165">
        <f ca="1">IF(J69="","",(INDEX(OFFSET(Arb!$U$2,,,Arb!$AJ$5,),J69)+INDEX(OFFSET(Arb!$V$2,,,Arb!$AJ$5,),J69))/K69)</f>
        <v>3.3797216699801189</v>
      </c>
      <c r="O69" s="51">
        <f t="shared" ca="1" si="36"/>
        <v>41.119113577582681</v>
      </c>
      <c r="P69" s="91">
        <f ca="1">IF(J69="","",DATE(INDEX(OFFSET(Arb!$C$2,,,Arb!$AJ$5,),J69),INDEX(OFFSET(Arb!$B$2,,,Arb!$AJ$5,),J69),INDEX(OFFSET(Arb!$A$2,,,Arb!$AJ$5,),J69))+ROW()*0.001)</f>
        <v>44106.069000000003</v>
      </c>
      <c r="Q69" s="442">
        <v>44</v>
      </c>
      <c r="R69" s="1">
        <v>2362</v>
      </c>
      <c r="S69" s="52">
        <f ca="1">IF(R69="","",INDEX(OFFSET(Arb!$H$2,,,Arb!$AJ$5,),R69))</f>
        <v>20.98</v>
      </c>
      <c r="T69" s="3">
        <f t="shared" ca="1" si="27"/>
        <v>2.0972354623450906</v>
      </c>
      <c r="U69" s="165">
        <f ca="1">IF(R69="","",INDEX(OFFSET(Arb!$X$2,,,Arb!$AJ$5,),R69)/S69)</f>
        <v>2.6692087702573879</v>
      </c>
      <c r="V69" s="165">
        <f ca="1">IF(R69="","",(INDEX(OFFSET(Arb!$U$2,,,Arb!$AJ$5,),R69)+INDEX(OFFSET(Arb!$V$2,,,Arb!$AJ$5,),R69))/S69)</f>
        <v>3.1935176358436608</v>
      </c>
      <c r="W69" s="51">
        <f t="shared" ca="1" si="37"/>
        <v>38.294991821542808</v>
      </c>
      <c r="X69" s="88">
        <f ca="1">IF(R69="","",DATE(INDEX(OFFSET(Arb!$C$2,,,Arb!$AJ$5,),R69),INDEX(OFFSET(Arb!$B$2,,,Arb!$AJ$5,),R69),INDEX(OFFSET(Arb!$A$2,,,Arb!$AJ$5,),R69))+ROW()*0.001)</f>
        <v>44114.069000000003</v>
      </c>
      <c r="Y69" s="436">
        <v>44</v>
      </c>
      <c r="Z69" s="1">
        <v>2021</v>
      </c>
      <c r="AA69" s="52">
        <f ca="1">IF(Z69="","",INDEX(OFFSET(Arb!$H$2,,,Arb!$AJ$5,),Z69))</f>
        <v>21.35</v>
      </c>
      <c r="AB69" s="3">
        <f t="shared" ca="1" si="28"/>
        <v>2.0608899297423888</v>
      </c>
      <c r="AC69" s="165">
        <f ca="1">IF(Z69="","",INDEX(OFFSET(Arb!$X$2,,,Arb!$AJ$5,),Z69)/AA69)</f>
        <v>2.5292740046838404</v>
      </c>
      <c r="AD69" s="165">
        <f ca="1">IF(Z69="","",(INDEX(OFFSET(Arb!$U$2,,,Arb!$AJ$5,),Z69)+INDEX(OFFSET(Arb!$V$2,,,Arb!$AJ$5,),Z69))/AA69)</f>
        <v>2.903981264637002</v>
      </c>
      <c r="AE69" s="51">
        <f t="shared" ca="1" si="38"/>
        <v>37.173624589466151</v>
      </c>
      <c r="AF69" s="91">
        <f ca="1">IF(Z69="","",DATE(INDEX(OFFSET(Arb!$C$2,,,Arb!$AJ$5,),Z69),INDEX(OFFSET(Arb!$B$2,,,Arb!$AJ$5,),Z69),INDEX(OFFSET(Arb!$A$2,,,Arb!$AJ$5,),Z69))+ROW()*0.001)</f>
        <v>43795.069000000003</v>
      </c>
      <c r="AG69" s="442">
        <v>44</v>
      </c>
      <c r="AH69" s="1">
        <v>2290</v>
      </c>
      <c r="AI69" s="52">
        <f ca="1">IF(AH69="","",INDEX(OFFSET(Arb!$H$2,,,Arb!$AJ$5,),AH69))</f>
        <v>22.68</v>
      </c>
      <c r="AJ69" s="3">
        <f t="shared" ca="1" si="29"/>
        <v>1.9400352733686068</v>
      </c>
      <c r="AK69" s="165">
        <f ca="1">IF(AH69="","",INDEX(OFFSET(Arb!$X$2,,,Arb!$AJ$5,),AH69)/AI69)</f>
        <v>2.6014109347442682</v>
      </c>
      <c r="AL69" s="165">
        <f ca="1">IF(AH69="","",(INDEX(OFFSET(Arb!$U$2,,,Arb!$AJ$5,),AH69)+INDEX(OFFSET(Arb!$V$2,,,Arb!$AJ$5,),AH69))/AI69)</f>
        <v>2.9100529100529102</v>
      </c>
      <c r="AM69" s="51">
        <f t="shared" ca="1" si="39"/>
        <v>33.544252483722261</v>
      </c>
      <c r="AN69" s="88">
        <f ca="1">IF(AH69="","",DATE(INDEX(OFFSET(Arb!$C$2,,,Arb!$AJ$5,),AH69),INDEX(OFFSET(Arb!$B$2,,,Arb!$AJ$5,),AH69),INDEX(OFFSET(Arb!$A$2,,,Arb!$AJ$5,),AH69))+ROW()*0.001)</f>
        <v>43937.069000000003</v>
      </c>
      <c r="AO69" s="436">
        <v>44</v>
      </c>
      <c r="AP69" s="1">
        <v>2340</v>
      </c>
      <c r="AQ69" s="52">
        <f ca="1">IF(AP69="","",INDEX(OFFSET(Arb!$H$2,,,Arb!$AJ$5,),AP69))</f>
        <v>22.95</v>
      </c>
      <c r="AR69" s="3">
        <f t="shared" ca="1" si="30"/>
        <v>1.9172113289760349</v>
      </c>
      <c r="AS69" s="165">
        <f ca="1">IF(AP69="","",INDEX(OFFSET(Arb!$X$2,,,Arb!$AJ$5,),AP69)/AQ69)</f>
        <v>3.0501089324618738</v>
      </c>
      <c r="AT69" s="165">
        <f ca="1">IF(AP69="","",(INDEX(OFFSET(Arb!$U$2,,,Arb!$AJ$5,),AP69)+INDEX(OFFSET(Arb!$V$2,,,Arb!$AJ$5,),AP69))/AQ69)</f>
        <v>3.4422657952069717</v>
      </c>
      <c r="AU69" s="51">
        <f t="shared" ca="1" si="40"/>
        <v>32.876133164355608</v>
      </c>
      <c r="AV69" s="91">
        <f ca="1">IF(AP69="","",DATE(INDEX(OFFSET(Arb!$C$2,,,Arb!$AJ$5,),AP69),INDEX(OFFSET(Arb!$B$2,,,Arb!$AJ$5,),AP69),INDEX(OFFSET(Arb!$A$2,,,Arb!$AJ$5,),AP69))+ROW()*0.001)</f>
        <v>44106.069000000003</v>
      </c>
      <c r="AW69" s="442">
        <v>44</v>
      </c>
      <c r="AY69" s="52" t="str">
        <f ca="1">IF(AX69="","",INDEX(OFFSET(Arb!$H$2,,,Arb!$AJ$5,),AX69))</f>
        <v/>
      </c>
      <c r="AZ69" s="3" t="str">
        <f t="shared" ca="1" si="31"/>
        <v/>
      </c>
      <c r="BA69" s="165" t="str">
        <f ca="1">IF(AX69="","",INDEX(OFFSET(Arb!$X$2,,,Arb!$AJ$5,),AX69)/AY69)</f>
        <v/>
      </c>
      <c r="BB69" s="165" t="str">
        <f ca="1">IF(AX69="","",(INDEX(OFFSET(Arb!$U$2,,,Arb!$AJ$5,),AX69)+INDEX(OFFSET(Arb!$V$2,,,Arb!$AJ$5,),AX69))/AY69)</f>
        <v/>
      </c>
      <c r="BC69" s="51" t="str">
        <f t="shared" ca="1" si="41"/>
        <v/>
      </c>
      <c r="BD69" s="88" t="str">
        <f ca="1">IF(AX69="","",DATE(INDEX(OFFSET(Arb!$C$2,,,Arb!$AJ$5,),AX69),INDEX(OFFSET(Arb!$B$2,,,Arb!$AJ$5,),AX69),INDEX(OFFSET(Arb!$A$2,,,Arb!$AJ$5,),AX69))+ROW()*0.001)</f>
        <v/>
      </c>
      <c r="BE69" s="436">
        <v>44</v>
      </c>
      <c r="BG69" s="52" t="str">
        <f ca="1">IF(BF69="","",INDEX(OFFSET(Arb!$H$2,,,Arb!$AJ$5,),BF69))</f>
        <v/>
      </c>
      <c r="BH69" s="3" t="str">
        <f t="shared" ca="1" si="32"/>
        <v/>
      </c>
      <c r="BI69" s="165" t="str">
        <f ca="1">IF(BF69="","",INDEX(OFFSET(Arb!$X$2,,,Arb!$AJ$5,),BF69)/BG69)</f>
        <v/>
      </c>
      <c r="BJ69" s="165" t="str">
        <f ca="1">IF(BF69="","",(INDEX(OFFSET(Arb!$U$2,,,Arb!$AJ$5,),BF69)+INDEX(OFFSET(Arb!$V$2,,,Arb!$AJ$5,),BF69))/BG69)</f>
        <v/>
      </c>
      <c r="BK69" s="51" t="str">
        <f t="shared" ca="1" si="42"/>
        <v/>
      </c>
      <c r="BL69" s="91" t="str">
        <f ca="1">IF(BF69="","",DATE(INDEX(OFFSET(Arb!$C$2,,,Arb!$AJ$5,),BF69),INDEX(OFFSET(Arb!$B$2,,,Arb!$AJ$5,),BF69),INDEX(OFFSET(Arb!$A$2,,,Arb!$AJ$5,),BF69))+ROW()*0.001)</f>
        <v/>
      </c>
      <c r="BM69" s="442">
        <v>44</v>
      </c>
      <c r="BO69" s="52" t="str">
        <f ca="1">IF(BN69="","",INDEX(OFFSET(Arb!$H$2,,,Arb!$AJ$5,),BN69))</f>
        <v/>
      </c>
      <c r="BP69" s="3" t="str">
        <f t="shared" ca="1" si="33"/>
        <v/>
      </c>
      <c r="BQ69" s="165" t="str">
        <f ca="1">IF(BN69="","",INDEX(OFFSET(Arb!$X$2,,,Arb!$AJ$5,),BN69)/BO69)</f>
        <v/>
      </c>
      <c r="BR69" s="165" t="str">
        <f ca="1">IF(BN69="","",(INDEX(OFFSET(Arb!$U$2,,,Arb!$AJ$5,),BN69)+INDEX(OFFSET(Arb!$V$2,,,Arb!$AJ$5,),BN69))/BO69)</f>
        <v/>
      </c>
      <c r="BS69" s="51" t="str">
        <f t="shared" ca="1" si="43"/>
        <v/>
      </c>
      <c r="BT69" s="88" t="str">
        <f ca="1">IF(BN69="","",DATE(INDEX(OFFSET(Arb!$C$2,,,Arb!$AJ$5,),BN69),INDEX(OFFSET(Arb!$B$2,,,Arb!$AJ$5,),BN69),INDEX(OFFSET(Arb!$A$2,,,Arb!$AJ$5,),BN69))+ROW()*0.001)</f>
        <v/>
      </c>
      <c r="BU69" s="436">
        <v>44</v>
      </c>
      <c r="BW69" s="52" t="str">
        <f ca="1">IF(BV69="","",INDEX(OFFSET(Arb!$H$2,,,Arb!$AJ$5,),BV69))</f>
        <v/>
      </c>
      <c r="BX69" s="3" t="str">
        <f t="shared" ca="1" si="34"/>
        <v/>
      </c>
      <c r="BY69" s="165" t="str">
        <f ca="1">IF(BV69="","",INDEX(OFFSET(Arb!$X$2,,,Arb!$AJ$5,),BV69)/BW69)</f>
        <v/>
      </c>
      <c r="BZ69" s="165" t="str">
        <f ca="1">IF(BV69="","",(INDEX(OFFSET(Arb!$U$2,,,Arb!$AJ$5,),BV69)+INDEX(OFFSET(Arb!$V$2,,,Arb!$AJ$5,),BV69))/BW69)</f>
        <v/>
      </c>
      <c r="CA69" s="51" t="str">
        <f t="shared" ca="1" si="44"/>
        <v/>
      </c>
      <c r="CB69" s="91" t="str">
        <f ca="1">IF(BV69="","",DATE(INDEX(OFFSET(Arb!$C$2,,,Arb!$AJ$5,),BV69),INDEX(OFFSET(Arb!$B$2,,,Arb!$AJ$5,),BV69),INDEX(OFFSET(Arb!$A$2,,,Arb!$AJ$5,),BV69))+ROW()*0.001)</f>
        <v/>
      </c>
    </row>
    <row r="70" spans="1:80" x14ac:dyDescent="0.25">
      <c r="A70" s="436">
        <v>45</v>
      </c>
      <c r="B70" s="1">
        <v>2143</v>
      </c>
      <c r="C70" s="52">
        <f ca="1">IF(B70="","",INDEX(OFFSET(Arb!$H$2,,,Arb!$AJ$5,),B70))</f>
        <v>17.37</v>
      </c>
      <c r="D70" s="3">
        <f t="shared" ca="1" si="25"/>
        <v>2.5906735751295336</v>
      </c>
      <c r="E70" s="165">
        <f ca="1">IF(B70="","",INDEX(OFFSET(Arb!$X$2,,,Arb!$AJ$5,),B70)/C70)</f>
        <v>3.2239493379389752</v>
      </c>
      <c r="F70" s="165">
        <f ca="1">IF(B70="","",(INDEX(OFFSET(Arb!$U$2,,,Arb!$AJ$5,),B70)+INDEX(OFFSET(Arb!$V$2,,,Arb!$AJ$5,),B70))/C70)</f>
        <v>3.7420840529648816</v>
      </c>
      <c r="G70" s="51">
        <f t="shared" ca="1" si="35"/>
        <v>53.989766549607829</v>
      </c>
      <c r="H70" s="355">
        <f ca="1">IF(B70="","",DATE(INDEX(OFFSET(Arb!$C$2,,,Arb!$AJ$5,),B70),INDEX(OFFSET(Arb!$B$2,,,Arb!$AJ$5,),B70),INDEX(OFFSET(Arb!$A$2,,,Arb!$AJ$5,),B70))+ROW()*0.001)</f>
        <v>43817.07</v>
      </c>
      <c r="I70" s="436">
        <v>45</v>
      </c>
      <c r="J70" s="1">
        <v>2150</v>
      </c>
      <c r="K70" s="52">
        <f ca="1">IF(J70="","",INDEX(OFFSET(Arb!$H$2,,,Arb!$AJ$5,),J70))</f>
        <v>18.37</v>
      </c>
      <c r="L70" s="3">
        <f t="shared" ca="1" si="26"/>
        <v>2.4496461622210122</v>
      </c>
      <c r="M70" s="165">
        <f ca="1">IF(J70="","",INDEX(OFFSET(Arb!$X$2,,,Arb!$AJ$5,),J70)/K70)</f>
        <v>2.9395753946652148</v>
      </c>
      <c r="N70" s="165">
        <f ca="1">IF(J70="","",(INDEX(OFFSET(Arb!$U$2,,,Arb!$AJ$5,),J70)+INDEX(OFFSET(Arb!$V$2,,,Arb!$AJ$5,),J70))/K70)</f>
        <v>3.4295046271094174</v>
      </c>
      <c r="O70" s="51">
        <f t="shared" ca="1" si="36"/>
        <v>49.089157128937103</v>
      </c>
      <c r="P70" s="91">
        <f ca="1">IF(J70="","",DATE(INDEX(OFFSET(Arb!$C$2,,,Arb!$AJ$5,),J70),INDEX(OFFSET(Arb!$B$2,,,Arb!$AJ$5,),J70),INDEX(OFFSET(Arb!$A$2,,,Arb!$AJ$5,),J70))+ROW()*0.001)</f>
        <v>43821.07</v>
      </c>
      <c r="Q70" s="442">
        <v>45</v>
      </c>
      <c r="R70" s="1">
        <v>2356</v>
      </c>
      <c r="S70" s="52">
        <f ca="1">IF(R70="","",INDEX(OFFSET(Arb!$H$2,,,Arb!$AJ$5,),R70))</f>
        <v>19.03</v>
      </c>
      <c r="T70" s="3">
        <f t="shared" ca="1" si="27"/>
        <v>2.3646873357856015</v>
      </c>
      <c r="U70" s="165">
        <f ca="1">IF(R70="","",INDEX(OFFSET(Arb!$X$2,,,Arb!$AJ$5,),R70)/S70)</f>
        <v>2.8901734104046239</v>
      </c>
      <c r="V70" s="165">
        <f ca="1">IF(R70="","",(INDEX(OFFSET(Arb!$U$2,,,Arb!$AJ$5,),R70)+INDEX(OFFSET(Arb!$V$2,,,Arb!$AJ$5,),R70))/S70)</f>
        <v>3.7834997372569625</v>
      </c>
      <c r="W70" s="51">
        <f t="shared" ca="1" si="37"/>
        <v>46.230139174283593</v>
      </c>
      <c r="X70" s="88">
        <f ca="1">IF(R70="","",DATE(INDEX(OFFSET(Arb!$C$2,,,Arb!$AJ$5,),R70),INDEX(OFFSET(Arb!$B$2,,,Arb!$AJ$5,),R70),INDEX(OFFSET(Arb!$A$2,,,Arb!$AJ$5,),R70))+ROW()*0.001)</f>
        <v>44114.07</v>
      </c>
      <c r="Y70" s="436">
        <v>45</v>
      </c>
      <c r="Z70" s="1">
        <v>2198</v>
      </c>
      <c r="AA70" s="52">
        <f ca="1">IF(Z70="","",INDEX(OFFSET(Arb!$H$2,,,Arb!$AJ$5,),Z70))</f>
        <v>19.670000000000002</v>
      </c>
      <c r="AB70" s="3">
        <f t="shared" ca="1" si="28"/>
        <v>2.2877478393492625</v>
      </c>
      <c r="AC70" s="165">
        <f ca="1">IF(Z70="","",INDEX(OFFSET(Arb!$X$2,,,Arb!$AJ$5,),Z70)/AA70)</f>
        <v>2.7961362480935432</v>
      </c>
      <c r="AD70" s="165">
        <f ca="1">IF(Z70="","",(INDEX(OFFSET(Arb!$U$2,,,Arb!$AJ$5,),Z70)+INDEX(OFFSET(Arb!$V$2,,,Arb!$AJ$5,),Z70))/AA70)</f>
        <v>3.2028469750889679</v>
      </c>
      <c r="AE70" s="51">
        <f t="shared" ca="1" si="38"/>
        <v>43.702243157228153</v>
      </c>
      <c r="AF70" s="91">
        <f ca="1">IF(Z70="","",DATE(INDEX(OFFSET(Arb!$C$2,,,Arb!$AJ$5,),Z70),INDEX(OFFSET(Arb!$B$2,,,Arb!$AJ$5,),Z70),INDEX(OFFSET(Arb!$A$2,,,Arb!$AJ$5,),Z70))+ROW()*0.001)</f>
        <v>43854.07</v>
      </c>
      <c r="AG70" s="442">
        <v>45</v>
      </c>
      <c r="AH70" s="1">
        <v>2077</v>
      </c>
      <c r="AI70" s="52">
        <f ca="1">IF(AH70="","",INDEX(OFFSET(Arb!$H$2,,,Arb!$AJ$5,),AH70))</f>
        <v>21.08</v>
      </c>
      <c r="AJ70" s="3">
        <f t="shared" ca="1" si="29"/>
        <v>2.1347248576850095</v>
      </c>
      <c r="AK70" s="165">
        <f ca="1">IF(AH70="","",INDEX(OFFSET(Arb!$X$2,,,Arb!$AJ$5,),AH70)/AI70)</f>
        <v>2.7988614800759017</v>
      </c>
      <c r="AL70" s="165">
        <f ca="1">IF(AH70="","",(INDEX(OFFSET(Arb!$U$2,,,Arb!$AJ$5,),AH70)+INDEX(OFFSET(Arb!$V$2,,,Arb!$AJ$5,),AH70))/AI70)</f>
        <v>3.1783681214421255</v>
      </c>
      <c r="AM70" s="51">
        <f t="shared" ca="1" si="39"/>
        <v>38.850007755890331</v>
      </c>
      <c r="AN70" s="88">
        <f ca="1">IF(AH70="","",DATE(INDEX(OFFSET(Arb!$C$2,,,Arb!$AJ$5,),AH70),INDEX(OFFSET(Arb!$B$2,,,Arb!$AJ$5,),AH70),INDEX(OFFSET(Arb!$A$2,,,Arb!$AJ$5,),AH70))+ROW()*0.001)</f>
        <v>43805.07</v>
      </c>
      <c r="AO70" s="436">
        <v>45</v>
      </c>
      <c r="AP70" s="1">
        <v>1952</v>
      </c>
      <c r="AQ70" s="52">
        <f ca="1">IF(AP70="","",INDEX(OFFSET(Arb!$H$2,,,Arb!$AJ$5,),AP70))</f>
        <v>22.7</v>
      </c>
      <c r="AR70" s="3">
        <f t="shared" ca="1" si="30"/>
        <v>1.9823788546255507</v>
      </c>
      <c r="AS70" s="165">
        <f ca="1">IF(AP70="","",INDEX(OFFSET(Arb!$X$2,,,Arb!$AJ$5,),AP70)/AQ70)</f>
        <v>2.4229074889867843</v>
      </c>
      <c r="AT70" s="165">
        <f ca="1">IF(AP70="","",(INDEX(OFFSET(Arb!$U$2,,,Arb!$AJ$5,),AP70)+INDEX(OFFSET(Arb!$V$2,,,Arb!$AJ$5,),AP70))/AQ70)</f>
        <v>2.8193832599118944</v>
      </c>
      <c r="AU70" s="51">
        <f t="shared" ca="1" si="40"/>
        <v>34.255253337607314</v>
      </c>
      <c r="AV70" s="91">
        <f ca="1">IF(AP70="","",DATE(INDEX(OFFSET(Arb!$C$2,,,Arb!$AJ$5,),AP70),INDEX(OFFSET(Arb!$B$2,,,Arb!$AJ$5,),AP70),INDEX(OFFSET(Arb!$A$2,,,Arb!$AJ$5,),AP70))+ROW()*0.001)</f>
        <v>43777.07</v>
      </c>
      <c r="AW70" s="442">
        <v>45</v>
      </c>
      <c r="AX70" s="1">
        <v>2387</v>
      </c>
      <c r="AY70" s="52">
        <f ca="1">IF(AX70="","",INDEX(OFFSET(Arb!$H$2,,,Arb!$AJ$5,),AX70))</f>
        <v>23</v>
      </c>
      <c r="AZ70" s="3">
        <f t="shared" ca="1" si="31"/>
        <v>1.9565217391304348</v>
      </c>
      <c r="BA70" s="165">
        <f ca="1">IF(AX70="","",INDEX(OFFSET(Arb!$X$2,,,Arb!$AJ$5,),AX70)/AY70)</f>
        <v>2.6086956521739131</v>
      </c>
      <c r="BB70" s="165">
        <f ca="1">IF(AX70="","",(INDEX(OFFSET(Arb!$U$2,,,Arb!$AJ$5,),AX70)+INDEX(OFFSET(Arb!$V$2,,,Arb!$AJ$5,),AX70))/AY70)</f>
        <v>3.1304347826086958</v>
      </c>
      <c r="BC70" s="51">
        <f t="shared" ca="1" si="41"/>
        <v>33.499152486993225</v>
      </c>
      <c r="BD70" s="88">
        <f ca="1">IF(AX70="","",DATE(INDEX(OFFSET(Arb!$C$2,,,Arb!$AJ$5,),AX70),INDEX(OFFSET(Arb!$B$2,,,Arb!$AJ$5,),AX70),INDEX(OFFSET(Arb!$A$2,,,Arb!$AJ$5,),AX70))+ROW()*0.001)</f>
        <v>44117.07</v>
      </c>
      <c r="BE70" s="436">
        <v>45</v>
      </c>
      <c r="BG70" s="52" t="str">
        <f ca="1">IF(BF70="","",INDEX(OFFSET(Arb!$H$2,,,Arb!$AJ$5,),BF70))</f>
        <v/>
      </c>
      <c r="BH70" s="3" t="str">
        <f t="shared" ca="1" si="32"/>
        <v/>
      </c>
      <c r="BI70" s="165" t="str">
        <f ca="1">IF(BF70="","",INDEX(OFFSET(Arb!$X$2,,,Arb!$AJ$5,),BF70)/BG70)</f>
        <v/>
      </c>
      <c r="BJ70" s="165" t="str">
        <f ca="1">IF(BF70="","",(INDEX(OFFSET(Arb!$U$2,,,Arb!$AJ$5,),BF70)+INDEX(OFFSET(Arb!$V$2,,,Arb!$AJ$5,),BF70))/BG70)</f>
        <v/>
      </c>
      <c r="BK70" s="51" t="str">
        <f t="shared" ca="1" si="42"/>
        <v/>
      </c>
      <c r="BL70" s="91" t="str">
        <f ca="1">IF(BF70="","",DATE(INDEX(OFFSET(Arb!$C$2,,,Arb!$AJ$5,),BF70),INDEX(OFFSET(Arb!$B$2,,,Arb!$AJ$5,),BF70),INDEX(OFFSET(Arb!$A$2,,,Arb!$AJ$5,),BF70))+ROW()*0.001)</f>
        <v/>
      </c>
      <c r="BM70" s="442">
        <v>45</v>
      </c>
      <c r="BO70" s="52" t="str">
        <f ca="1">IF(BN70="","",INDEX(OFFSET(Arb!$H$2,,,Arb!$AJ$5,),BN70))</f>
        <v/>
      </c>
      <c r="BP70" s="3" t="str">
        <f t="shared" ca="1" si="33"/>
        <v/>
      </c>
      <c r="BQ70" s="165" t="str">
        <f ca="1">IF(BN70="","",INDEX(OFFSET(Arb!$X$2,,,Arb!$AJ$5,),BN70)/BO70)</f>
        <v/>
      </c>
      <c r="BR70" s="165" t="str">
        <f ca="1">IF(BN70="","",(INDEX(OFFSET(Arb!$U$2,,,Arb!$AJ$5,),BN70)+INDEX(OFFSET(Arb!$V$2,,,Arb!$AJ$5,),BN70))/BO70)</f>
        <v/>
      </c>
      <c r="BS70" s="51" t="str">
        <f t="shared" ca="1" si="43"/>
        <v/>
      </c>
      <c r="BT70" s="88" t="str">
        <f ca="1">IF(BN70="","",DATE(INDEX(OFFSET(Arb!$C$2,,,Arb!$AJ$5,),BN70),INDEX(OFFSET(Arb!$B$2,,,Arb!$AJ$5,),BN70),INDEX(OFFSET(Arb!$A$2,,,Arb!$AJ$5,),BN70))+ROW()*0.001)</f>
        <v/>
      </c>
      <c r="BU70" s="436">
        <v>45</v>
      </c>
      <c r="BW70" s="52" t="str">
        <f ca="1">IF(BV70="","",INDEX(OFFSET(Arb!$H$2,,,Arb!$AJ$5,),BV70))</f>
        <v/>
      </c>
      <c r="BX70" s="3" t="str">
        <f t="shared" ca="1" si="34"/>
        <v/>
      </c>
      <c r="BY70" s="165" t="str">
        <f ca="1">IF(BV70="","",INDEX(OFFSET(Arb!$X$2,,,Arb!$AJ$5,),BV70)/BW70)</f>
        <v/>
      </c>
      <c r="BZ70" s="165" t="str">
        <f ca="1">IF(BV70="","",(INDEX(OFFSET(Arb!$U$2,,,Arb!$AJ$5,),BV70)+INDEX(OFFSET(Arb!$V$2,,,Arb!$AJ$5,),BV70))/BW70)</f>
        <v/>
      </c>
      <c r="CA70" s="51" t="str">
        <f t="shared" ca="1" si="44"/>
        <v/>
      </c>
      <c r="CB70" s="91" t="str">
        <f ca="1">IF(BV70="","",DATE(INDEX(OFFSET(Arb!$C$2,,,Arb!$AJ$5,),BV70),INDEX(OFFSET(Arb!$B$2,,,Arb!$AJ$5,),BV70),INDEX(OFFSET(Arb!$A$2,,,Arb!$AJ$5,),BV70))+ROW()*0.001)</f>
        <v/>
      </c>
    </row>
    <row r="71" spans="1:80" x14ac:dyDescent="0.25">
      <c r="A71" s="436">
        <v>46</v>
      </c>
      <c r="B71" s="1">
        <v>2231</v>
      </c>
      <c r="C71" s="52">
        <f ca="1">IF(B71="","",INDEX(OFFSET(Arb!$H$2,,,Arb!$AJ$5,),B71))</f>
        <v>21.32</v>
      </c>
      <c r="D71" s="3">
        <f t="shared" ca="1" si="25"/>
        <v>2.1575984990619137</v>
      </c>
      <c r="E71" s="165">
        <f ca="1">IF(B71="","",INDEX(OFFSET(Arb!$X$2,,,Arb!$AJ$5,),B71)/C71)</f>
        <v>2.9549718574108819</v>
      </c>
      <c r="F71" s="165">
        <f ca="1">IF(B71="","",(INDEX(OFFSET(Arb!$U$2,,,Arb!$AJ$5,),B71)+INDEX(OFFSET(Arb!$V$2,,,Arb!$AJ$5,),B71))/C71)</f>
        <v>3.2363977485928705</v>
      </c>
      <c r="G71" s="51">
        <f t="shared" ca="1" si="35"/>
        <v>38.956346340194784</v>
      </c>
      <c r="H71" s="355">
        <f ca="1">IF(B71="","",DATE(INDEX(OFFSET(Arb!$C$2,,,Arb!$AJ$5,),B71),INDEX(OFFSET(Arb!$B$2,,,Arb!$AJ$5,),B71),INDEX(OFFSET(Arb!$A$2,,,Arb!$AJ$5,),B71))+ROW()*0.001)</f>
        <v>43885.071000000004</v>
      </c>
      <c r="I71" s="436">
        <v>46</v>
      </c>
      <c r="J71" s="1">
        <v>2190</v>
      </c>
      <c r="K71" s="52">
        <f ca="1">IF(J71="","",INDEX(OFFSET(Arb!$H$2,,,Arb!$AJ$5,),J71))</f>
        <v>21.38</v>
      </c>
      <c r="L71" s="3">
        <f t="shared" ca="1" si="26"/>
        <v>2.1515434985968196</v>
      </c>
      <c r="M71" s="165">
        <f ca="1">IF(J71="","",INDEX(OFFSET(Arb!$X$2,,,Arb!$AJ$5,),J71)/K71)</f>
        <v>3.0869971936389149</v>
      </c>
      <c r="N71" s="165">
        <f ca="1">IF(J71="","",(INDEX(OFFSET(Arb!$U$2,,,Arb!$AJ$5,),J71)+INDEX(OFFSET(Arb!$V$2,,,Arb!$AJ$5,),J71))/K71)</f>
        <v>3.6014967259120674</v>
      </c>
      <c r="O71" s="51">
        <f t="shared" ca="1" si="36"/>
        <v>38.77067546519978</v>
      </c>
      <c r="P71" s="91">
        <f ca="1">IF(J71="","",DATE(INDEX(OFFSET(Arb!$C$2,,,Arb!$AJ$5,),J71),INDEX(OFFSET(Arb!$B$2,,,Arb!$AJ$5,),J71),INDEX(OFFSET(Arb!$A$2,,,Arb!$AJ$5,),J71))+ROW()*0.001)</f>
        <v>43852.071000000004</v>
      </c>
      <c r="Q71" s="442">
        <v>46</v>
      </c>
      <c r="R71" s="1">
        <v>2386</v>
      </c>
      <c r="S71" s="52">
        <f ca="1">IF(R71="","",INDEX(OFFSET(Arb!$H$2,,,Arb!$AJ$5,),R71))</f>
        <v>22.22</v>
      </c>
      <c r="T71" s="3">
        <f t="shared" ca="1" si="27"/>
        <v>2.0702070207020702</v>
      </c>
      <c r="U71" s="165">
        <f ca="1">IF(R71="","",INDEX(OFFSET(Arb!$X$2,,,Arb!$AJ$5,),R71)/S71)</f>
        <v>2.7902790279027903</v>
      </c>
      <c r="V71" s="165">
        <f ca="1">IF(R71="","",(INDEX(OFFSET(Arb!$U$2,,,Arb!$AJ$5,),R71)+INDEX(OFFSET(Arb!$V$2,,,Arb!$AJ$5,),R71))/S71)</f>
        <v>3.5103510351035103</v>
      </c>
      <c r="W71" s="51">
        <f t="shared" ca="1" si="37"/>
        <v>36.312116746895832</v>
      </c>
      <c r="X71" s="88">
        <f ca="1">IF(R71="","",DATE(INDEX(OFFSET(Arb!$C$2,,,Arb!$AJ$5,),R71),INDEX(OFFSET(Arb!$B$2,,,Arb!$AJ$5,),R71),INDEX(OFFSET(Arb!$A$2,,,Arb!$AJ$5,),R71))+ROW()*0.001)</f>
        <v>44117.071000000004</v>
      </c>
      <c r="Y71" s="436">
        <v>46</v>
      </c>
      <c r="Z71" s="1">
        <v>2219</v>
      </c>
      <c r="AA71" s="52">
        <f ca="1">IF(Z71="","",INDEX(OFFSET(Arb!$H$2,,,Arb!$AJ$5,),Z71))</f>
        <v>22.76</v>
      </c>
      <c r="AB71" s="3">
        <f t="shared" ca="1" si="28"/>
        <v>2.0210896309314585</v>
      </c>
      <c r="AC71" s="165">
        <f ca="1">IF(Z71="","",INDEX(OFFSET(Arb!$X$2,,,Arb!$AJ$5,),Z71)/AA71)</f>
        <v>2.8119507908611596</v>
      </c>
      <c r="AD71" s="165">
        <f ca="1">IF(Z71="","",(INDEX(OFFSET(Arb!$U$2,,,Arb!$AJ$5,),Z71)+INDEX(OFFSET(Arb!$V$2,,,Arb!$AJ$5,),Z71))/AA71)</f>
        <v>3.1634446397188047</v>
      </c>
      <c r="AE71" s="51">
        <f t="shared" ca="1" si="38"/>
        <v>34.859698029448026</v>
      </c>
      <c r="AF71" s="91">
        <f ca="1">IF(Z71="","",DATE(INDEX(OFFSET(Arb!$C$2,,,Arb!$AJ$5,),Z71),INDEX(OFFSET(Arb!$B$2,,,Arb!$AJ$5,),Z71),INDEX(OFFSET(Arb!$A$2,,,Arb!$AJ$5,),Z71))+ROW()*0.001)</f>
        <v>43870.071000000004</v>
      </c>
      <c r="AG71" s="442">
        <v>46</v>
      </c>
      <c r="AH71" s="1">
        <v>2032</v>
      </c>
      <c r="AI71" s="52">
        <f ca="1">IF(AH71="","",INDEX(OFFSET(Arb!$H$2,,,Arb!$AJ$5,),AH71))</f>
        <v>23.32</v>
      </c>
      <c r="AJ71" s="3">
        <f t="shared" ca="1" si="29"/>
        <v>1.9725557461406518</v>
      </c>
      <c r="AK71" s="165">
        <f ca="1">IF(AH71="","",INDEX(OFFSET(Arb!$X$2,,,Arb!$AJ$5,),AH71)/AI71)</f>
        <v>2.4442538593481991</v>
      </c>
      <c r="AL71" s="165">
        <f ca="1">IF(AH71="","",(INDEX(OFFSET(Arb!$U$2,,,Arb!$AJ$5,),AH71)+INDEX(OFFSET(Arb!$V$2,,,Arb!$AJ$5,),AH71))/AI71)</f>
        <v>2.7873070325900513</v>
      </c>
      <c r="AM71" s="51">
        <f t="shared" ca="1" si="39"/>
        <v>33.448598886431178</v>
      </c>
      <c r="AN71" s="88">
        <f ca="1">IF(AH71="","",DATE(INDEX(OFFSET(Arb!$C$2,,,Arb!$AJ$5,),AH71),INDEX(OFFSET(Arb!$B$2,,,Arb!$AJ$5,),AH71),INDEX(OFFSET(Arb!$A$2,,,Arb!$AJ$5,),AH71))+ROW()*0.001)</f>
        <v>43797.071000000004</v>
      </c>
      <c r="AO71" s="436">
        <v>46</v>
      </c>
      <c r="AP71" s="1">
        <v>1896</v>
      </c>
      <c r="AQ71" s="52">
        <f ca="1">IF(AP71="","",INDEX(OFFSET(Arb!$H$2,,,Arb!$AJ$5,),AP71))</f>
        <v>24.13</v>
      </c>
      <c r="AR71" s="3">
        <f t="shared" ca="1" si="30"/>
        <v>1.9063406547865729</v>
      </c>
      <c r="AS71" s="165">
        <f ca="1">IF(AP71="","",INDEX(OFFSET(Arb!$X$2,,,Arb!$AJ$5,),AP71)/AQ71)</f>
        <v>2.6523000414421882</v>
      </c>
      <c r="AT71" s="165">
        <f ca="1">IF(AP71="","",(INDEX(OFFSET(Arb!$U$2,,,Arb!$AJ$5,),AP71)+INDEX(OFFSET(Arb!$V$2,,,Arb!$AJ$5,),AP71))/AQ71)</f>
        <v>3.4397016162453378</v>
      </c>
      <c r="AU71" s="51">
        <f t="shared" ca="1" si="40"/>
        <v>31.562326753762296</v>
      </c>
      <c r="AV71" s="91">
        <f ca="1">IF(AP71="","",DATE(INDEX(OFFSET(Arb!$C$2,,,Arb!$AJ$5,),AP71),INDEX(OFFSET(Arb!$B$2,,,Arb!$AJ$5,),AP71),INDEX(OFFSET(Arb!$A$2,,,Arb!$AJ$5,),AP71))+ROW()*0.001)</f>
        <v>43765.071000000004</v>
      </c>
      <c r="AW71" s="442">
        <v>46</v>
      </c>
      <c r="AX71" s="1">
        <v>2333</v>
      </c>
      <c r="AY71" s="52">
        <f ca="1">IF(AX71="","",INDEX(OFFSET(Arb!$H$2,,,Arb!$AJ$5,),AX71))</f>
        <v>27.75</v>
      </c>
      <c r="AZ71" s="3">
        <f t="shared" ca="1" si="31"/>
        <v>1.6576576576576576</v>
      </c>
      <c r="BA71" s="165">
        <f ca="1">IF(AX71="","",INDEX(OFFSET(Arb!$X$2,,,Arb!$AJ$5,),AX71)/AY71)</f>
        <v>2.4144144144144146</v>
      </c>
      <c r="BB71" s="165">
        <f ca="1">IF(AX71="","",(INDEX(OFFSET(Arb!$U$2,,,Arb!$AJ$5,),AX71)+INDEX(OFFSET(Arb!$V$2,,,Arb!$AJ$5,),AX71))/AY71)</f>
        <v>2.8468468468468466</v>
      </c>
      <c r="BC71" s="51">
        <f t="shared" ca="1" si="41"/>
        <v>24.886818482469035</v>
      </c>
      <c r="BD71" s="88">
        <f ca="1">IF(AX71="","",DATE(INDEX(OFFSET(Arb!$C$2,,,Arb!$AJ$5,),AX71),INDEX(OFFSET(Arb!$B$2,,,Arb!$AJ$5,),AX71),INDEX(OFFSET(Arb!$A$2,,,Arb!$AJ$5,),AX71))+ROW()*0.001)</f>
        <v>44093.071000000004</v>
      </c>
      <c r="BE71" s="436">
        <v>46</v>
      </c>
      <c r="BG71" s="52" t="str">
        <f ca="1">IF(BF71="","",INDEX(OFFSET(Arb!$H$2,,,Arb!$AJ$5,),BF71))</f>
        <v/>
      </c>
      <c r="BH71" s="3" t="str">
        <f t="shared" ca="1" si="32"/>
        <v/>
      </c>
      <c r="BI71" s="165" t="str">
        <f ca="1">IF(BF71="","",INDEX(OFFSET(Arb!$X$2,,,Arb!$AJ$5,),BF71)/BG71)</f>
        <v/>
      </c>
      <c r="BJ71" s="165" t="str">
        <f ca="1">IF(BF71="","",(INDEX(OFFSET(Arb!$U$2,,,Arb!$AJ$5,),BF71)+INDEX(OFFSET(Arb!$V$2,,,Arb!$AJ$5,),BF71))/BG71)</f>
        <v/>
      </c>
      <c r="BK71" s="51" t="str">
        <f t="shared" ca="1" si="42"/>
        <v/>
      </c>
      <c r="BL71" s="91" t="str">
        <f ca="1">IF(BF71="","",DATE(INDEX(OFFSET(Arb!$C$2,,,Arb!$AJ$5,),BF71),INDEX(OFFSET(Arb!$B$2,,,Arb!$AJ$5,),BF71),INDEX(OFFSET(Arb!$A$2,,,Arb!$AJ$5,),BF71))+ROW()*0.001)</f>
        <v/>
      </c>
      <c r="BM71" s="442">
        <v>46</v>
      </c>
      <c r="BO71" s="52" t="str">
        <f ca="1">IF(BN71="","",INDEX(OFFSET(Arb!$H$2,,,Arb!$AJ$5,),BN71))</f>
        <v/>
      </c>
      <c r="BP71" s="3" t="str">
        <f t="shared" ca="1" si="33"/>
        <v/>
      </c>
      <c r="BQ71" s="165" t="str">
        <f ca="1">IF(BN71="","",INDEX(OFFSET(Arb!$X$2,,,Arb!$AJ$5,),BN71)/BO71)</f>
        <v/>
      </c>
      <c r="BR71" s="165" t="str">
        <f ca="1">IF(BN71="","",(INDEX(OFFSET(Arb!$U$2,,,Arb!$AJ$5,),BN71)+INDEX(OFFSET(Arb!$V$2,,,Arb!$AJ$5,),BN71))/BO71)</f>
        <v/>
      </c>
      <c r="BS71" s="51" t="str">
        <f t="shared" ca="1" si="43"/>
        <v/>
      </c>
      <c r="BT71" s="88" t="str">
        <f ca="1">IF(BN71="","",DATE(INDEX(OFFSET(Arb!$C$2,,,Arb!$AJ$5,),BN71),INDEX(OFFSET(Arb!$B$2,,,Arb!$AJ$5,),BN71),INDEX(OFFSET(Arb!$A$2,,,Arb!$AJ$5,),BN71))+ROW()*0.001)</f>
        <v/>
      </c>
      <c r="BU71" s="436">
        <v>46</v>
      </c>
      <c r="BW71" s="52" t="str">
        <f ca="1">IF(BV71="","",INDEX(OFFSET(Arb!$H$2,,,Arb!$AJ$5,),BV71))</f>
        <v/>
      </c>
      <c r="BX71" s="3" t="str">
        <f t="shared" ca="1" si="34"/>
        <v/>
      </c>
      <c r="BY71" s="165" t="str">
        <f ca="1">IF(BV71="","",INDEX(OFFSET(Arb!$X$2,,,Arb!$AJ$5,),BV71)/BW71)</f>
        <v/>
      </c>
      <c r="BZ71" s="165" t="str">
        <f ca="1">IF(BV71="","",(INDEX(OFFSET(Arb!$U$2,,,Arb!$AJ$5,),BV71)+INDEX(OFFSET(Arb!$V$2,,,Arb!$AJ$5,),BV71))/BW71)</f>
        <v/>
      </c>
      <c r="CA71" s="51" t="str">
        <f t="shared" ca="1" si="44"/>
        <v/>
      </c>
      <c r="CB71" s="91" t="str">
        <f ca="1">IF(BV71="","",DATE(INDEX(OFFSET(Arb!$C$2,,,Arb!$AJ$5,),BV71),INDEX(OFFSET(Arb!$B$2,,,Arb!$AJ$5,),BV71),INDEX(OFFSET(Arb!$A$2,,,Arb!$AJ$5,),BV71))+ROW()*0.001)</f>
        <v/>
      </c>
    </row>
    <row r="72" spans="1:80" x14ac:dyDescent="0.25">
      <c r="A72" s="436">
        <v>47</v>
      </c>
      <c r="B72" s="1">
        <v>2336</v>
      </c>
      <c r="C72" s="52">
        <f ca="1">IF(B72="","",INDEX(OFFSET(Arb!$H$2,,,Arb!$AJ$5,),B72))</f>
        <v>19.12</v>
      </c>
      <c r="D72" s="3">
        <f t="shared" ca="1" si="25"/>
        <v>2.4581589958158996</v>
      </c>
      <c r="E72" s="165">
        <f ca="1">IF(B72="","",INDEX(OFFSET(Arb!$X$2,,,Arb!$AJ$5,),B72)/C72)</f>
        <v>3.3472803347280333</v>
      </c>
      <c r="F72" s="165">
        <f ca="1">IF(B72="","",(INDEX(OFFSET(Arb!$U$2,,,Arb!$AJ$5,),B72)+INDEX(OFFSET(Arb!$V$2,,,Arb!$AJ$5,),B72))/C72)</f>
        <v>3.9225941422594142</v>
      </c>
      <c r="G72" s="51">
        <f t="shared" ca="1" si="35"/>
        <v>47.899069372306506</v>
      </c>
      <c r="H72" s="355">
        <f ca="1">IF(B72="","",DATE(INDEX(OFFSET(Arb!$C$2,,,Arb!$AJ$5,),B72),INDEX(OFFSET(Arb!$B$2,,,Arb!$AJ$5,),B72),INDEX(OFFSET(Arb!$A$2,,,Arb!$AJ$5,),B72))+ROW()*0.001)</f>
        <v>44093.072</v>
      </c>
      <c r="I72" s="436">
        <v>47</v>
      </c>
      <c r="J72" s="1">
        <v>1893</v>
      </c>
      <c r="K72" s="52">
        <f ca="1">IF(J72="","",INDEX(OFFSET(Arb!$H$2,,,Arb!$AJ$5,),J72))</f>
        <v>20.09</v>
      </c>
      <c r="L72" s="3">
        <f t="shared" ca="1" si="26"/>
        <v>2.3394723743155801</v>
      </c>
      <c r="M72" s="165">
        <f ca="1">IF(J72="","",INDEX(OFFSET(Arb!$X$2,,,Arb!$AJ$5,),J72)/K72)</f>
        <v>3.235440517670483</v>
      </c>
      <c r="N72" s="165">
        <f ca="1">IF(J72="","",(INDEX(OFFSET(Arb!$U$2,,,Arb!$AJ$5,),J72)+INDEX(OFFSET(Arb!$V$2,,,Arb!$AJ$5,),J72))/K72)</f>
        <v>3.7829766052762568</v>
      </c>
      <c r="O72" s="51">
        <f t="shared" ca="1" si="36"/>
        <v>44.034248873735699</v>
      </c>
      <c r="P72" s="91">
        <f ca="1">IF(J72="","",DATE(INDEX(OFFSET(Arb!$C$2,,,Arb!$AJ$5,),J72),INDEX(OFFSET(Arb!$B$2,,,Arb!$AJ$5,),J72),INDEX(OFFSET(Arb!$A$2,,,Arb!$AJ$5,),J72))+ROW()*0.001)</f>
        <v>43764.072</v>
      </c>
      <c r="Q72" s="442">
        <v>47</v>
      </c>
      <c r="R72" s="1">
        <v>2263</v>
      </c>
      <c r="S72" s="52">
        <f ca="1">IF(R72="","",INDEX(OFFSET(Arb!$H$2,,,Arb!$AJ$5,),R72))</f>
        <v>21.14</v>
      </c>
      <c r="T72" s="3">
        <f t="shared" ca="1" si="27"/>
        <v>2.2232734153263953</v>
      </c>
      <c r="U72" s="165">
        <f ca="1">IF(R72="","",INDEX(OFFSET(Arb!$X$2,,,Arb!$AJ$5,),R72)/S72)</f>
        <v>2.9328287606433303</v>
      </c>
      <c r="V72" s="165">
        <f ca="1">IF(R72="","",(INDEX(OFFSET(Arb!$U$2,,,Arb!$AJ$5,),R72)+INDEX(OFFSET(Arb!$V$2,,,Arb!$AJ$5,),R72))/S72)</f>
        <v>3.3112582781456954</v>
      </c>
      <c r="W72" s="51">
        <f t="shared" ca="1" si="37"/>
        <v>40.381087811404356</v>
      </c>
      <c r="X72" s="88">
        <f ca="1">IF(R72="","",DATE(INDEX(OFFSET(Arb!$C$2,,,Arb!$AJ$5,),R72),INDEX(OFFSET(Arb!$B$2,,,Arb!$AJ$5,),R72),INDEX(OFFSET(Arb!$A$2,,,Arb!$AJ$5,),R72))+ROW()*0.001)</f>
        <v>43906.072</v>
      </c>
      <c r="Y72" s="436">
        <v>47</v>
      </c>
      <c r="Z72" s="1">
        <v>2053</v>
      </c>
      <c r="AA72" s="52">
        <f ca="1">IF(Z72="","",INDEX(OFFSET(Arb!$H$2,,,Arb!$AJ$5,),Z72))</f>
        <v>22.31</v>
      </c>
      <c r="AB72" s="3">
        <f t="shared" ca="1" si="28"/>
        <v>2.1066786194531599</v>
      </c>
      <c r="AC72" s="165">
        <f ca="1">IF(Z72="","",INDEX(OFFSET(Arb!$X$2,,,Arb!$AJ$5,),Z72)/AA72)</f>
        <v>2.9583146571044376</v>
      </c>
      <c r="AD72" s="165">
        <f ca="1">IF(Z72="","",(INDEX(OFFSET(Arb!$U$2,,,Arb!$AJ$5,),Z72)+INDEX(OFFSET(Arb!$V$2,,,Arb!$AJ$5,),Z72))/AA72)</f>
        <v>3.4961900493052447</v>
      </c>
      <c r="AE72" s="51">
        <f t="shared" ca="1" si="38"/>
        <v>36.847431115514389</v>
      </c>
      <c r="AF72" s="91">
        <f ca="1">IF(Z72="","",DATE(INDEX(OFFSET(Arb!$C$2,,,Arb!$AJ$5,),Z72),INDEX(OFFSET(Arb!$B$2,,,Arb!$AJ$5,),Z72),INDEX(OFFSET(Arb!$A$2,,,Arb!$AJ$5,),Z72))+ROW()*0.001)</f>
        <v>43800.072</v>
      </c>
      <c r="AG72" s="442">
        <v>47</v>
      </c>
      <c r="AH72" s="1">
        <v>2072</v>
      </c>
      <c r="AI72" s="52">
        <f ca="1">IF(AH72="","",INDEX(OFFSET(Arb!$H$2,,,Arb!$AJ$5,),AH72))</f>
        <v>22.44</v>
      </c>
      <c r="AJ72" s="3">
        <f t="shared" ca="1" si="29"/>
        <v>2.0944741532976825</v>
      </c>
      <c r="AK72" s="165">
        <f ca="1">IF(AH72="","",INDEX(OFFSET(Arb!$X$2,,,Arb!$AJ$5,),AH72)/AI72)</f>
        <v>2.7629233511586451</v>
      </c>
      <c r="AL72" s="165">
        <f ca="1">IF(AH72="","",(INDEX(OFFSET(Arb!$U$2,,,Arb!$AJ$5,),AH72)+INDEX(OFFSET(Arb!$V$2,,,Arb!$AJ$5,),AH72))/AI72)</f>
        <v>3.2085561497326203</v>
      </c>
      <c r="AM72" s="51">
        <f t="shared" ca="1" si="39"/>
        <v>36.485275984687682</v>
      </c>
      <c r="AN72" s="88">
        <f ca="1">IF(AH72="","",DATE(INDEX(OFFSET(Arb!$C$2,,,Arb!$AJ$5,),AH72),INDEX(OFFSET(Arb!$B$2,,,Arb!$AJ$5,),AH72),INDEX(OFFSET(Arb!$A$2,,,Arb!$AJ$5,),AH72))+ROW()*0.001)</f>
        <v>43805.072</v>
      </c>
      <c r="AO72" s="436">
        <v>47</v>
      </c>
      <c r="AP72" s="1">
        <v>1891</v>
      </c>
      <c r="AQ72" s="52">
        <f ca="1">IF(AP72="","",INDEX(OFFSET(Arb!$H$2,,,Arb!$AJ$5,),AP72))</f>
        <v>23.36</v>
      </c>
      <c r="AR72" s="3">
        <f t="shared" ca="1" si="30"/>
        <v>2.0119863013698631</v>
      </c>
      <c r="AS72" s="165">
        <f ca="1">IF(AP72="","",INDEX(OFFSET(Arb!$X$2,,,Arb!$AJ$5,),AP72)/AQ72)</f>
        <v>3.0821917808219177</v>
      </c>
      <c r="AT72" s="165">
        <f ca="1">IF(AP72="","",(INDEX(OFFSET(Arb!$U$2,,,Arb!$AJ$5,),AP72)+INDEX(OFFSET(Arb!$V$2,,,Arb!$AJ$5,),AP72))/AQ72)</f>
        <v>3.724315068493151</v>
      </c>
      <c r="AU72" s="51">
        <f t="shared" ca="1" si="40"/>
        <v>34.076317791597489</v>
      </c>
      <c r="AV72" s="91">
        <f ca="1">IF(AP72="","",DATE(INDEX(OFFSET(Arb!$C$2,,,Arb!$AJ$5,),AP72),INDEX(OFFSET(Arb!$B$2,,,Arb!$AJ$5,),AP72),INDEX(OFFSET(Arb!$A$2,,,Arb!$AJ$5,),AP72))+ROW()*0.001)</f>
        <v>43764.072</v>
      </c>
      <c r="AW72" s="442">
        <v>47</v>
      </c>
      <c r="AX72" s="1">
        <v>2170</v>
      </c>
      <c r="AY72" s="52">
        <f ca="1">IF(AX72="","",INDEX(OFFSET(Arb!$H$2,,,Arb!$AJ$5,),AX72))</f>
        <v>23.9</v>
      </c>
      <c r="AZ72" s="3">
        <f t="shared" ca="1" si="31"/>
        <v>1.9665271966527198</v>
      </c>
      <c r="BA72" s="165">
        <f ca="1">IF(AX72="","",INDEX(OFFSET(Arb!$X$2,,,Arb!$AJ$5,),AX72)/AY72)</f>
        <v>2.5941422594142263</v>
      </c>
      <c r="BB72" s="165">
        <f ca="1">IF(AX72="","",(INDEX(OFFSET(Arb!$U$2,,,Arb!$AJ$5,),AX72)+INDEX(OFFSET(Arb!$V$2,,,Arb!$AJ$5,),AX72))/AY72)</f>
        <v>3.0543933054393309</v>
      </c>
      <c r="BC72" s="51">
        <f t="shared" ca="1" si="41"/>
        <v>32.777819059358919</v>
      </c>
      <c r="BD72" s="88">
        <f ca="1">IF(AX72="","",DATE(INDEX(OFFSET(Arb!$C$2,,,Arb!$AJ$5,),AX72),INDEX(OFFSET(Arb!$B$2,,,Arb!$AJ$5,),AX72),INDEX(OFFSET(Arb!$A$2,,,Arb!$AJ$5,),AX72))+ROW()*0.001)</f>
        <v>43838.072</v>
      </c>
      <c r="BE72" s="436">
        <v>47</v>
      </c>
      <c r="BF72" s="1">
        <v>2391</v>
      </c>
      <c r="BG72" s="52">
        <f ca="1">IF(BF72="","",INDEX(OFFSET(Arb!$H$2,,,Arb!$AJ$5,),BF72))</f>
        <v>24.75</v>
      </c>
      <c r="BH72" s="3">
        <f t="shared" ca="1" si="32"/>
        <v>1.898989898989899</v>
      </c>
      <c r="BI72" s="165">
        <f ca="1">IF(BF72="","",INDEX(OFFSET(Arb!$X$2,,,Arb!$AJ$5,),BF72)/BG72)</f>
        <v>2.4242424242424243</v>
      </c>
      <c r="BJ72" s="165">
        <f ca="1">IF(BF72="","",(INDEX(OFFSET(Arb!$U$2,,,Arb!$AJ$5,),BF72)+INDEX(OFFSET(Arb!$V$2,,,Arb!$AJ$5,),BF72))/BG72)</f>
        <v>2.7878787878787881</v>
      </c>
      <c r="BK72" s="51">
        <f t="shared" ca="1" si="42"/>
        <v>30.887207064180004</v>
      </c>
      <c r="BL72" s="91">
        <f ca="1">IF(BF72="","",DATE(INDEX(OFFSET(Arb!$C$2,,,Arb!$AJ$5,),BF72),INDEX(OFFSET(Arb!$B$2,,,Arb!$AJ$5,),BF72),INDEX(OFFSET(Arb!$A$2,,,Arb!$AJ$5,),BF72))+ROW()*0.001)</f>
        <v>44117.072</v>
      </c>
      <c r="BM72" s="442">
        <v>47</v>
      </c>
      <c r="BO72" s="52" t="str">
        <f ca="1">IF(BN72="","",INDEX(OFFSET(Arb!$H$2,,,Arb!$AJ$5,),BN72))</f>
        <v/>
      </c>
      <c r="BP72" s="3" t="str">
        <f t="shared" ca="1" si="33"/>
        <v/>
      </c>
      <c r="BQ72" s="165" t="str">
        <f ca="1">IF(BN72="","",INDEX(OFFSET(Arb!$X$2,,,Arb!$AJ$5,),BN72)/BO72)</f>
        <v/>
      </c>
      <c r="BR72" s="165" t="str">
        <f ca="1">IF(BN72="","",(INDEX(OFFSET(Arb!$U$2,,,Arb!$AJ$5,),BN72)+INDEX(OFFSET(Arb!$V$2,,,Arb!$AJ$5,),BN72))/BO72)</f>
        <v/>
      </c>
      <c r="BS72" s="51" t="str">
        <f t="shared" ca="1" si="43"/>
        <v/>
      </c>
      <c r="BT72" s="88" t="str">
        <f ca="1">IF(BN72="","",DATE(INDEX(OFFSET(Arb!$C$2,,,Arb!$AJ$5,),BN72),INDEX(OFFSET(Arb!$B$2,,,Arb!$AJ$5,),BN72),INDEX(OFFSET(Arb!$A$2,,,Arb!$AJ$5,),BN72))+ROW()*0.001)</f>
        <v/>
      </c>
      <c r="BU72" s="436">
        <v>47</v>
      </c>
      <c r="BW72" s="52" t="str">
        <f ca="1">IF(BV72="","",INDEX(OFFSET(Arb!$H$2,,,Arb!$AJ$5,),BV72))</f>
        <v/>
      </c>
      <c r="BX72" s="3" t="str">
        <f t="shared" ca="1" si="34"/>
        <v/>
      </c>
      <c r="BY72" s="165" t="str">
        <f ca="1">IF(BV72="","",INDEX(OFFSET(Arb!$X$2,,,Arb!$AJ$5,),BV72)/BW72)</f>
        <v/>
      </c>
      <c r="BZ72" s="165" t="str">
        <f ca="1">IF(BV72="","",(INDEX(OFFSET(Arb!$U$2,,,Arb!$AJ$5,),BV72)+INDEX(OFFSET(Arb!$V$2,,,Arb!$AJ$5,),BV72))/BW72)</f>
        <v/>
      </c>
      <c r="CA72" s="51" t="str">
        <f t="shared" ca="1" si="44"/>
        <v/>
      </c>
      <c r="CB72" s="91" t="str">
        <f ca="1">IF(BV72="","",DATE(INDEX(OFFSET(Arb!$C$2,,,Arb!$AJ$5,),BV72),INDEX(OFFSET(Arb!$B$2,,,Arb!$AJ$5,),BV72),INDEX(OFFSET(Arb!$A$2,,,Arb!$AJ$5,),BV72))+ROW()*0.001)</f>
        <v/>
      </c>
    </row>
    <row r="73" spans="1:80" x14ac:dyDescent="0.25">
      <c r="A73" s="436">
        <v>48</v>
      </c>
      <c r="B73" s="1">
        <v>2112</v>
      </c>
      <c r="C73" s="52">
        <f ca="1">IF(B73="","",INDEX(OFFSET(Arb!$H$2,,,Arb!$AJ$5,),B73))</f>
        <v>17.829999999999998</v>
      </c>
      <c r="D73" s="3">
        <f t="shared" ca="1" si="25"/>
        <v>2.6920919798093106</v>
      </c>
      <c r="E73" s="165">
        <f ca="1">IF(B73="","",INDEX(OFFSET(Arb!$X$2,,,Arb!$AJ$5,),B73)/C73)</f>
        <v>3.3090297251822776</v>
      </c>
      <c r="F73" s="165">
        <f ca="1">IF(B73="","",(INDEX(OFFSET(Arb!$U$2,,,Arb!$AJ$5,),B73)+INDEX(OFFSET(Arb!$V$2,,,Arb!$AJ$5,),B73))/C73)</f>
        <v>3.7577117218171625</v>
      </c>
      <c r="G73" s="51">
        <f t="shared" ca="1" si="35"/>
        <v>55.086170395319385</v>
      </c>
      <c r="H73" s="355">
        <f ca="1">IF(B73="","",DATE(INDEX(OFFSET(Arb!$C$2,,,Arb!$AJ$5,),B73),INDEX(OFFSET(Arb!$B$2,,,Arb!$AJ$5,),B73),INDEX(OFFSET(Arb!$A$2,,,Arb!$AJ$5,),B73))+ROW()*0.001)</f>
        <v>43811.072999999997</v>
      </c>
      <c r="I73" s="436">
        <v>48</v>
      </c>
      <c r="J73" s="1">
        <v>2330</v>
      </c>
      <c r="K73" s="52">
        <f ca="1">IF(J73="","",INDEX(OFFSET(Arb!$H$2,,,Arb!$AJ$5,),J73))</f>
        <v>17.940000000000001</v>
      </c>
      <c r="L73" s="3">
        <f t="shared" ca="1" si="26"/>
        <v>2.6755852842809364</v>
      </c>
      <c r="M73" s="165">
        <f ca="1">IF(J73="","",INDEX(OFFSET(Arb!$X$2,,,Arb!$AJ$5,),J73)/K73)</f>
        <v>3.4559643255295427</v>
      </c>
      <c r="N73" s="165">
        <f ca="1">IF(J73="","",(INDEX(OFFSET(Arb!$U$2,,,Arb!$AJ$5,),J73)+INDEX(OFFSET(Arb!$V$2,,,Arb!$AJ$5,),J73))/K73)</f>
        <v>4.1248606465997764</v>
      </c>
      <c r="O73" s="51">
        <f t="shared" ca="1" si="36"/>
        <v>54.51320530862445</v>
      </c>
      <c r="P73" s="91">
        <f ca="1">IF(J73="","",DATE(INDEX(OFFSET(Arb!$C$2,,,Arb!$AJ$5,),J73),INDEX(OFFSET(Arb!$B$2,,,Arb!$AJ$5,),J73),INDEX(OFFSET(Arb!$A$2,,,Arb!$AJ$5,),J73))+ROW()*0.001)</f>
        <v>44093.072999999997</v>
      </c>
      <c r="Q73" s="442">
        <v>48</v>
      </c>
      <c r="R73" s="1">
        <v>2320</v>
      </c>
      <c r="S73" s="52">
        <f ca="1">IF(R73="","",INDEX(OFFSET(Arb!$H$2,,,Arb!$AJ$5,),R73))</f>
        <v>20.010000000000002</v>
      </c>
      <c r="T73" s="3">
        <f t="shared" ca="1" si="27"/>
        <v>2.3988005997001496</v>
      </c>
      <c r="U73" s="165">
        <f ca="1">IF(R73="","",INDEX(OFFSET(Arb!$X$2,,,Arb!$AJ$5,),R73)/S73)</f>
        <v>3.2983508245877058</v>
      </c>
      <c r="V73" s="165">
        <f ca="1">IF(R73="","",(INDEX(OFFSET(Arb!$U$2,,,Arb!$AJ$5,),R73)+INDEX(OFFSET(Arb!$V$2,,,Arb!$AJ$5,),R73))/S73)</f>
        <v>3.8980509745127434</v>
      </c>
      <c r="W73" s="51">
        <f t="shared" ca="1" si="37"/>
        <v>45.277226292148285</v>
      </c>
      <c r="X73" s="88">
        <f ca="1">IF(R73="","",DATE(INDEX(OFFSET(Arb!$C$2,,,Arb!$AJ$5,),R73),INDEX(OFFSET(Arb!$B$2,,,Arb!$AJ$5,),R73),INDEX(OFFSET(Arb!$A$2,,,Arb!$AJ$5,),R73))+ROW()*0.001)</f>
        <v>43984.072999999997</v>
      </c>
      <c r="Y73" s="436">
        <v>48</v>
      </c>
      <c r="Z73" s="1">
        <v>2033</v>
      </c>
      <c r="AA73" s="52">
        <f ca="1">IF(Z73="","",INDEX(OFFSET(Arb!$H$2,,,Arb!$AJ$5,),Z73))</f>
        <v>20.2</v>
      </c>
      <c r="AB73" s="3">
        <f t="shared" ca="1" si="28"/>
        <v>2.3762376237623761</v>
      </c>
      <c r="AC73" s="165">
        <f ca="1">IF(Z73="","",INDEX(OFFSET(Arb!$X$2,,,Arb!$AJ$5,),Z73)/AA73)</f>
        <v>3.3663366336633667</v>
      </c>
      <c r="AD73" s="165">
        <f ca="1">IF(Z73="","",(INDEX(OFFSET(Arb!$U$2,,,Arb!$AJ$5,),Z73)+INDEX(OFFSET(Arb!$V$2,,,Arb!$AJ$5,),Z73))/AA73)</f>
        <v>3.7128712871287131</v>
      </c>
      <c r="AE73" s="51">
        <f t="shared" ca="1" si="38"/>
        <v>44.555624633200367</v>
      </c>
      <c r="AF73" s="91">
        <f ca="1">IF(Z73="","",DATE(INDEX(OFFSET(Arb!$C$2,,,Arb!$AJ$5,),Z73),INDEX(OFFSET(Arb!$B$2,,,Arb!$AJ$5,),Z73),INDEX(OFFSET(Arb!$A$2,,,Arb!$AJ$5,),Z73))+ROW()*0.001)</f>
        <v>43797.072999999997</v>
      </c>
      <c r="AG73" s="442">
        <v>48</v>
      </c>
      <c r="AH73" s="1">
        <v>2323</v>
      </c>
      <c r="AI73" s="52">
        <f ca="1">IF(AH73="","",INDEX(OFFSET(Arb!$H$2,,,Arb!$AJ$5,),AH73))</f>
        <v>20.39</v>
      </c>
      <c r="AJ73" s="3">
        <f t="shared" ca="1" si="29"/>
        <v>2.3540951446787641</v>
      </c>
      <c r="AK73" s="165">
        <f ca="1">IF(AH73="","",INDEX(OFFSET(Arb!$X$2,,,Arb!$AJ$5,),AH73)/AI73)</f>
        <v>3.3349681216282492</v>
      </c>
      <c r="AL73" s="165">
        <f ca="1">IF(AH73="","",(INDEX(OFFSET(Arb!$U$2,,,Arb!$AJ$5,),AH73)+INDEX(OFFSET(Arb!$V$2,,,Arb!$AJ$5,),AH73))/AI73)</f>
        <v>3.8254046101029915</v>
      </c>
      <c r="AM73" s="51">
        <f t="shared" ca="1" si="39"/>
        <v>43.852118673464176</v>
      </c>
      <c r="AN73" s="88">
        <f ca="1">IF(AH73="","",DATE(INDEX(OFFSET(Arb!$C$2,,,Arb!$AJ$5,),AH73),INDEX(OFFSET(Arb!$B$2,,,Arb!$AJ$5,),AH73),INDEX(OFFSET(Arb!$A$2,,,Arb!$AJ$5,),AH73))+ROW()*0.001)</f>
        <v>44002.072999999997</v>
      </c>
      <c r="AO73" s="436">
        <v>48</v>
      </c>
      <c r="AP73" s="1">
        <v>2193</v>
      </c>
      <c r="AQ73" s="52">
        <f ca="1">IF(AP73="","",INDEX(OFFSET(Arb!$H$2,,,Arb!$AJ$5,),AP73))</f>
        <v>20.7</v>
      </c>
      <c r="AR73" s="3">
        <f t="shared" ca="1" si="30"/>
        <v>2.318840579710145</v>
      </c>
      <c r="AS73" s="165">
        <f ca="1">IF(AP73="","",INDEX(OFFSET(Arb!$X$2,,,Arb!$AJ$5,),AP73)/AQ73)</f>
        <v>2.8019323671497585</v>
      </c>
      <c r="AT73" s="165">
        <f ca="1">IF(AP73="","",(INDEX(OFFSET(Arb!$U$2,,,Arb!$AJ$5,),AP73)+INDEX(OFFSET(Arb!$V$2,,,Arb!$AJ$5,),AP73))/AQ73)</f>
        <v>3.3816425120772946</v>
      </c>
      <c r="AU73" s="51">
        <f t="shared" ca="1" si="40"/>
        <v>42.741550955041482</v>
      </c>
      <c r="AV73" s="91">
        <f ca="1">IF(AP73="","",DATE(INDEX(OFFSET(Arb!$C$2,,,Arb!$AJ$5,),AP73),INDEX(OFFSET(Arb!$B$2,,,Arb!$AJ$5,),AP73),INDEX(OFFSET(Arb!$A$2,,,Arb!$AJ$5,),AP73))+ROW()*0.001)</f>
        <v>43852.072999999997</v>
      </c>
      <c r="AW73" s="442">
        <v>48</v>
      </c>
      <c r="AX73" s="1">
        <v>2332</v>
      </c>
      <c r="AY73" s="52">
        <f ca="1">IF(AX73="","",INDEX(OFFSET(Arb!$H$2,,,Arb!$AJ$5,),AX73))</f>
        <v>20.72</v>
      </c>
      <c r="AZ73" s="3">
        <f t="shared" ca="1" si="31"/>
        <v>2.3166023166023169</v>
      </c>
      <c r="BA73" s="165">
        <f ca="1">IF(AX73="","",INDEX(OFFSET(Arb!$X$2,,,Arb!$AJ$5,),AX73)/AY73)</f>
        <v>2.8474903474903477</v>
      </c>
      <c r="BB73" s="165">
        <f ca="1">IF(AX73="","",(INDEX(OFFSET(Arb!$U$2,,,Arb!$AJ$5,),AX73)+INDEX(OFFSET(Arb!$V$2,,,Arb!$AJ$5,),AX73))/AY73)</f>
        <v>3.3301158301158305</v>
      </c>
      <c r="BC73" s="51">
        <f t="shared" ca="1" si="41"/>
        <v>42.671438902202667</v>
      </c>
      <c r="BD73" s="88">
        <f ca="1">IF(AX73="","",DATE(INDEX(OFFSET(Arb!$C$2,,,Arb!$AJ$5,),AX73),INDEX(OFFSET(Arb!$B$2,,,Arb!$AJ$5,),AX73),INDEX(OFFSET(Arb!$A$2,,,Arb!$AJ$5,),AX73))+ROW()*0.001)</f>
        <v>44093.072999999997</v>
      </c>
      <c r="BE73" s="436">
        <v>48</v>
      </c>
      <c r="BF73" s="1">
        <v>2048</v>
      </c>
      <c r="BG73" s="52">
        <f ca="1">IF(BF73="","",INDEX(OFFSET(Arb!$H$2,,,Arb!$AJ$5,),BF73))</f>
        <v>21.21</v>
      </c>
      <c r="BH73" s="3">
        <f t="shared" ca="1" si="32"/>
        <v>2.2630834512022631</v>
      </c>
      <c r="BI73" s="165">
        <f ca="1">IF(BF73="","",INDEX(OFFSET(Arb!$X$2,,,Arb!$AJ$5,),BF73)/BG73)</f>
        <v>3.1588873173031589</v>
      </c>
      <c r="BJ73" s="165">
        <f ca="1">IF(BF73="","",(INDEX(OFFSET(Arb!$U$2,,,Arb!$AJ$5,),BF73)+INDEX(OFFSET(Arb!$V$2,,,Arb!$AJ$5,),BF73))/BG73)</f>
        <v>3.6775106082036775</v>
      </c>
      <c r="BK73" s="51">
        <f t="shared" ca="1" si="42"/>
        <v>41.00914625648246</v>
      </c>
      <c r="BL73" s="91">
        <f ca="1">IF(BF73="","",DATE(INDEX(OFFSET(Arb!$C$2,,,Arb!$AJ$5,),BF73),INDEX(OFFSET(Arb!$B$2,,,Arb!$AJ$5,),BF73),INDEX(OFFSET(Arb!$A$2,,,Arb!$AJ$5,),BF73))+ROW()*0.001)</f>
        <v>43798.072999999997</v>
      </c>
      <c r="BM73" s="442">
        <v>48</v>
      </c>
      <c r="BN73" s="1">
        <v>2236</v>
      </c>
      <c r="BO73" s="52">
        <f ca="1">IF(BN73="","",INDEX(OFFSET(Arb!$H$2,,,Arb!$AJ$5,),BN73))</f>
        <v>21.93</v>
      </c>
      <c r="BP73" s="3">
        <f t="shared" ca="1" si="33"/>
        <v>2.188782489740082</v>
      </c>
      <c r="BQ73" s="165">
        <f ca="1">IF(BN73="","",INDEX(OFFSET(Arb!$X$2,,,Arb!$AJ$5,),BN73)/BO73)</f>
        <v>3.0551755585955314</v>
      </c>
      <c r="BR73" s="165">
        <f ca="1">IF(BN73="","",(INDEX(OFFSET(Arb!$U$2,,,Arb!$AJ$5,),BN73)+INDEX(OFFSET(Arb!$V$2,,,Arb!$AJ$5,),BN73))/BO73)</f>
        <v>3.5111719106247152</v>
      </c>
      <c r="BS73" s="51">
        <f t="shared" ca="1" si="43"/>
        <v>38.746652760793758</v>
      </c>
      <c r="BT73" s="88">
        <f ca="1">IF(BN73="","",DATE(INDEX(OFFSET(Arb!$C$2,,,Arb!$AJ$5,),BN73),INDEX(OFFSET(Arb!$B$2,,,Arb!$AJ$5,),BN73),INDEX(OFFSET(Arb!$A$2,,,Arb!$AJ$5,),BN73))+ROW()*0.001)</f>
        <v>43890.072999999997</v>
      </c>
      <c r="BU73" s="436">
        <v>48</v>
      </c>
      <c r="BV73" s="1">
        <v>2116</v>
      </c>
      <c r="BW73" s="52">
        <f ca="1">IF(BV73="","",INDEX(OFFSET(Arb!$H$2,,,Arb!$AJ$5,),BV73))</f>
        <v>23.3</v>
      </c>
      <c r="BX73" s="3">
        <f t="shared" ca="1" si="34"/>
        <v>2.0600858369098711</v>
      </c>
      <c r="BY73" s="165">
        <f ca="1">IF(BV73="","",INDEX(OFFSET(Arb!$X$2,,,Arb!$AJ$5,),BV73)/BW73)</f>
        <v>2.9184549356223175</v>
      </c>
      <c r="BZ73" s="165">
        <f ca="1">IF(BV73="","",(INDEX(OFFSET(Arb!$U$2,,,Arb!$AJ$5,),BV73)+INDEX(OFFSET(Arb!$V$2,,,Arb!$AJ$5,),BV73))/BW73)</f>
        <v>3.5193133047210301</v>
      </c>
      <c r="CA73" s="51">
        <f t="shared" ca="1" si="44"/>
        <v>34.953832344114915</v>
      </c>
      <c r="CB73" s="91">
        <f ca="1">IF(BV73="","",DATE(INDEX(OFFSET(Arb!$C$2,,,Arb!$AJ$5,),BV73),INDEX(OFFSET(Arb!$B$2,,,Arb!$AJ$5,),BV73),INDEX(OFFSET(Arb!$A$2,,,Arb!$AJ$5,),BV73))+ROW()*0.001)</f>
        <v>43811.072999999997</v>
      </c>
    </row>
    <row r="74" spans="1:80" x14ac:dyDescent="0.25">
      <c r="A74" s="436">
        <v>49</v>
      </c>
      <c r="B74" s="1">
        <v>2389</v>
      </c>
      <c r="C74" s="52">
        <f ca="1">IF(B74="","",INDEX(OFFSET(Arb!$H$2,,,Arb!$AJ$5,),B74))</f>
        <v>20.84</v>
      </c>
      <c r="D74" s="3">
        <f t="shared" ca="1" si="25"/>
        <v>2.3512476007677545</v>
      </c>
      <c r="E74" s="165">
        <f ca="1">IF(B74="","",INDEX(OFFSET(Arb!$X$2,,,Arb!$AJ$5,),B74)/C74)</f>
        <v>2.7351247600767756</v>
      </c>
      <c r="F74" s="165">
        <f ca="1">IF(B74="","",(INDEX(OFFSET(Arb!$U$2,,,Arb!$AJ$5,),B74)+INDEX(OFFSET(Arb!$V$2,,,Arb!$AJ$5,),B74))/C74)</f>
        <v>3.1669865642994242</v>
      </c>
      <c r="G74" s="51">
        <f t="shared" ca="1" si="35"/>
        <v>43.134879817508505</v>
      </c>
      <c r="H74" s="355">
        <f ca="1">IF(B74="","",DATE(INDEX(OFFSET(Arb!$C$2,,,Arb!$AJ$5,),B74),INDEX(OFFSET(Arb!$B$2,,,Arb!$AJ$5,),B74),INDEX(OFFSET(Arb!$A$2,,,Arb!$AJ$5,),B74))+ROW()*0.001)</f>
        <v>44117.074000000001</v>
      </c>
      <c r="I74" s="436">
        <v>49</v>
      </c>
      <c r="J74" s="1">
        <v>2383</v>
      </c>
      <c r="K74" s="52">
        <f ca="1">IF(J74="","",INDEX(OFFSET(Arb!$H$2,,,Arb!$AJ$5,),J74))</f>
        <v>21.77</v>
      </c>
      <c r="L74" s="3">
        <f t="shared" ca="1" si="26"/>
        <v>2.2508038585209005</v>
      </c>
      <c r="M74" s="165">
        <f ca="1">IF(J74="","",INDEX(OFFSET(Arb!$X$2,,,Arb!$AJ$5,),J74)/K74)</f>
        <v>2.8479559026182821</v>
      </c>
      <c r="N74" s="165">
        <f ca="1">IF(J74="","",(INDEX(OFFSET(Arb!$U$2,,,Arb!$AJ$5,),J74)+INDEX(OFFSET(Arb!$V$2,,,Arb!$AJ$5,),J74))/K74)</f>
        <v>3.4451079467156638</v>
      </c>
      <c r="O74" s="51">
        <f t="shared" ca="1" si="36"/>
        <v>40.049341327168158</v>
      </c>
      <c r="P74" s="91">
        <f ca="1">IF(J74="","",DATE(INDEX(OFFSET(Arb!$C$2,,,Arb!$AJ$5,),J74),INDEX(OFFSET(Arb!$B$2,,,Arb!$AJ$5,),J74),INDEX(OFFSET(Arb!$A$2,,,Arb!$AJ$5,),J74))+ROW()*0.001)</f>
        <v>44117.074000000001</v>
      </c>
      <c r="Q74" s="442">
        <v>49</v>
      </c>
      <c r="R74" s="1">
        <v>2070</v>
      </c>
      <c r="S74" s="52">
        <f ca="1">IF(R74="","",INDEX(OFFSET(Arb!$H$2,,,Arb!$AJ$5,),R74))</f>
        <v>22.48</v>
      </c>
      <c r="T74" s="3">
        <f t="shared" ca="1" si="27"/>
        <v>2.1797153024911031</v>
      </c>
      <c r="U74" s="165">
        <f ca="1">IF(R74="","",INDEX(OFFSET(Arb!$X$2,,,Arb!$AJ$5,),R74)/S74)</f>
        <v>2.7135231316725976</v>
      </c>
      <c r="V74" s="165">
        <f ca="1">IF(R74="","",(INDEX(OFFSET(Arb!$U$2,,,Arb!$AJ$5,),R74)+INDEX(OFFSET(Arb!$V$2,,,Arb!$AJ$5,),R74))/S74)</f>
        <v>2.9804270462633453</v>
      </c>
      <c r="W74" s="51">
        <f t="shared" ca="1" si="37"/>
        <v>37.922851505589136</v>
      </c>
      <c r="X74" s="88">
        <f ca="1">IF(R74="","",DATE(INDEX(OFFSET(Arb!$C$2,,,Arb!$AJ$5,),R74),INDEX(OFFSET(Arb!$B$2,,,Arb!$AJ$5,),R74),INDEX(OFFSET(Arb!$A$2,,,Arb!$AJ$5,),R74))+ROW()*0.001)</f>
        <v>43805.074000000001</v>
      </c>
      <c r="Y74" s="436">
        <v>49</v>
      </c>
      <c r="Z74" s="1">
        <v>2366</v>
      </c>
      <c r="AA74" s="52">
        <f ca="1">IF(Z74="","",INDEX(OFFSET(Arb!$H$2,,,Arb!$AJ$5,),Z74))</f>
        <v>22.66</v>
      </c>
      <c r="AB74" s="3">
        <f t="shared" ca="1" si="28"/>
        <v>2.1624007060900263</v>
      </c>
      <c r="AC74" s="165">
        <f ca="1">IF(Z74="","",INDEX(OFFSET(Arb!$X$2,,,Arb!$AJ$5,),Z74)/AA74)</f>
        <v>3.0450132391879965</v>
      </c>
      <c r="AD74" s="165">
        <f ca="1">IF(Z74="","",(INDEX(OFFSET(Arb!$U$2,,,Arb!$AJ$5,),Z74)+INDEX(OFFSET(Arb!$V$2,,,Arb!$AJ$5,),Z74))/AA74)</f>
        <v>3.3980582524271843</v>
      </c>
      <c r="AE74" s="51">
        <f t="shared" ca="1" si="38"/>
        <v>37.412167304708163</v>
      </c>
      <c r="AF74" s="91">
        <f ca="1">IF(Z74="","",DATE(INDEX(OFFSET(Arb!$C$2,,,Arb!$AJ$5,),Z74),INDEX(OFFSET(Arb!$B$2,,,Arb!$AJ$5,),Z74),INDEX(OFFSET(Arb!$A$2,,,Arb!$AJ$5,),Z74))+ROW()*0.001)</f>
        <v>44114.074000000001</v>
      </c>
      <c r="AG74" s="442">
        <v>49</v>
      </c>
      <c r="AI74" s="52" t="str">
        <f ca="1">IF(AH74="","",INDEX(OFFSET(Arb!$H$2,,,Arb!$AJ$5,),AH74))</f>
        <v/>
      </c>
      <c r="AJ74" s="3" t="str">
        <f t="shared" ca="1" si="29"/>
        <v/>
      </c>
      <c r="AK74" s="165" t="str">
        <f ca="1">IF(AH74="","",INDEX(OFFSET(Arb!$X$2,,,Arb!$AJ$5,),AH74)/AI74)</f>
        <v/>
      </c>
      <c r="AL74" s="165" t="str">
        <f ca="1">IF(AH74="","",(INDEX(OFFSET(Arb!$U$2,,,Arb!$AJ$5,),AH74)+INDEX(OFFSET(Arb!$V$2,,,Arb!$AJ$5,),AH74))/AI74)</f>
        <v/>
      </c>
      <c r="AM74" s="51" t="str">
        <f t="shared" ca="1" si="39"/>
        <v/>
      </c>
      <c r="AN74" s="88" t="str">
        <f ca="1">IF(AH74="","",DATE(INDEX(OFFSET(Arb!$C$2,,,Arb!$AJ$5,),AH74),INDEX(OFFSET(Arb!$B$2,,,Arb!$AJ$5,),AH74),INDEX(OFFSET(Arb!$A$2,,,Arb!$AJ$5,),AH74))+ROW()*0.001)</f>
        <v/>
      </c>
      <c r="AO74" s="436">
        <v>49</v>
      </c>
      <c r="AQ74" s="52" t="str">
        <f ca="1">IF(AP74="","",INDEX(OFFSET(Arb!$H$2,,,Arb!$AJ$5,),AP74))</f>
        <v/>
      </c>
      <c r="AR74" s="3" t="str">
        <f t="shared" ca="1" si="30"/>
        <v/>
      </c>
      <c r="AS74" s="165" t="str">
        <f ca="1">IF(AP74="","",INDEX(OFFSET(Arb!$X$2,,,Arb!$AJ$5,),AP74)/AQ74)</f>
        <v/>
      </c>
      <c r="AT74" s="165" t="str">
        <f ca="1">IF(AP74="","",(INDEX(OFFSET(Arb!$U$2,,,Arb!$AJ$5,),AP74)+INDEX(OFFSET(Arb!$V$2,,,Arb!$AJ$5,),AP74))/AQ74)</f>
        <v/>
      </c>
      <c r="AU74" s="51" t="str">
        <f t="shared" ca="1" si="40"/>
        <v/>
      </c>
      <c r="AV74" s="91" t="str">
        <f ca="1">IF(AP74="","",DATE(INDEX(OFFSET(Arb!$C$2,,,Arb!$AJ$5,),AP74),INDEX(OFFSET(Arb!$B$2,,,Arb!$AJ$5,),AP74),INDEX(OFFSET(Arb!$A$2,,,Arb!$AJ$5,),AP74))+ROW()*0.001)</f>
        <v/>
      </c>
      <c r="AW74" s="442">
        <v>49</v>
      </c>
      <c r="AY74" s="52" t="str">
        <f ca="1">IF(AX74="","",INDEX(OFFSET(Arb!$H$2,,,Arb!$AJ$5,),AX74))</f>
        <v/>
      </c>
      <c r="AZ74" s="3" t="str">
        <f t="shared" ca="1" si="31"/>
        <v/>
      </c>
      <c r="BA74" s="165" t="str">
        <f ca="1">IF(AX74="","",INDEX(OFFSET(Arb!$X$2,,,Arb!$AJ$5,),AX74)/AY74)</f>
        <v/>
      </c>
      <c r="BB74" s="165" t="str">
        <f ca="1">IF(AX74="","",(INDEX(OFFSET(Arb!$U$2,,,Arb!$AJ$5,),AX74)+INDEX(OFFSET(Arb!$V$2,,,Arb!$AJ$5,),AX74))/AY74)</f>
        <v/>
      </c>
      <c r="BC74" s="51" t="str">
        <f t="shared" ca="1" si="41"/>
        <v/>
      </c>
      <c r="BD74" s="88" t="str">
        <f ca="1">IF(AX74="","",DATE(INDEX(OFFSET(Arb!$C$2,,,Arb!$AJ$5,),AX74),INDEX(OFFSET(Arb!$B$2,,,Arb!$AJ$5,),AX74),INDEX(OFFSET(Arb!$A$2,,,Arb!$AJ$5,),AX74))+ROW()*0.001)</f>
        <v/>
      </c>
      <c r="BE74" s="436">
        <v>49</v>
      </c>
      <c r="BG74" s="52" t="str">
        <f ca="1">IF(BF74="","",INDEX(OFFSET(Arb!$H$2,,,Arb!$AJ$5,),BF74))</f>
        <v/>
      </c>
      <c r="BH74" s="3" t="str">
        <f t="shared" ca="1" si="32"/>
        <v/>
      </c>
      <c r="BI74" s="165" t="str">
        <f ca="1">IF(BF74="","",INDEX(OFFSET(Arb!$X$2,,,Arb!$AJ$5,),BF74)/BG74)</f>
        <v/>
      </c>
      <c r="BJ74" s="165" t="str">
        <f ca="1">IF(BF74="","",(INDEX(OFFSET(Arb!$U$2,,,Arb!$AJ$5,),BF74)+INDEX(OFFSET(Arb!$V$2,,,Arb!$AJ$5,),BF74))/BG74)</f>
        <v/>
      </c>
      <c r="BK74" s="51" t="str">
        <f t="shared" ca="1" si="42"/>
        <v/>
      </c>
      <c r="BL74" s="91" t="str">
        <f ca="1">IF(BF74="","",DATE(INDEX(OFFSET(Arb!$C$2,,,Arb!$AJ$5,),BF74),INDEX(OFFSET(Arb!$B$2,,,Arb!$AJ$5,),BF74),INDEX(OFFSET(Arb!$A$2,,,Arb!$AJ$5,),BF74))+ROW()*0.001)</f>
        <v/>
      </c>
      <c r="BM74" s="442">
        <v>49</v>
      </c>
      <c r="BO74" s="52" t="str">
        <f ca="1">IF(BN74="","",INDEX(OFFSET(Arb!$H$2,,,Arb!$AJ$5,),BN74))</f>
        <v/>
      </c>
      <c r="BP74" s="3" t="str">
        <f t="shared" ca="1" si="33"/>
        <v/>
      </c>
      <c r="BQ74" s="165" t="str">
        <f ca="1">IF(BN74="","",INDEX(OFFSET(Arb!$X$2,,,Arb!$AJ$5,),BN74)/BO74)</f>
        <v/>
      </c>
      <c r="BR74" s="165" t="str">
        <f ca="1">IF(BN74="","",(INDEX(OFFSET(Arb!$U$2,,,Arb!$AJ$5,),BN74)+INDEX(OFFSET(Arb!$V$2,,,Arb!$AJ$5,),BN74))/BO74)</f>
        <v/>
      </c>
      <c r="BS74" s="51" t="str">
        <f t="shared" ca="1" si="43"/>
        <v/>
      </c>
      <c r="BT74" s="88" t="str">
        <f ca="1">IF(BN74="","",DATE(INDEX(OFFSET(Arb!$C$2,,,Arb!$AJ$5,),BN74),INDEX(OFFSET(Arb!$B$2,,,Arb!$AJ$5,),BN74),INDEX(OFFSET(Arb!$A$2,,,Arb!$AJ$5,),BN74))+ROW()*0.001)</f>
        <v/>
      </c>
      <c r="BU74" s="436">
        <v>49</v>
      </c>
      <c r="BW74" s="52" t="str">
        <f ca="1">IF(BV74="","",INDEX(OFFSET(Arb!$H$2,,,Arb!$AJ$5,),BV74))</f>
        <v/>
      </c>
      <c r="BX74" s="3" t="str">
        <f t="shared" ca="1" si="34"/>
        <v/>
      </c>
      <c r="BY74" s="165" t="str">
        <f ca="1">IF(BV74="","",INDEX(OFFSET(Arb!$X$2,,,Arb!$AJ$5,),BV74)/BW74)</f>
        <v/>
      </c>
      <c r="BZ74" s="165" t="str">
        <f ca="1">IF(BV74="","",(INDEX(OFFSET(Arb!$U$2,,,Arb!$AJ$5,),BV74)+INDEX(OFFSET(Arb!$V$2,,,Arb!$AJ$5,),BV74))/BW74)</f>
        <v/>
      </c>
      <c r="CA74" s="51" t="str">
        <f t="shared" ca="1" si="44"/>
        <v/>
      </c>
      <c r="CB74" s="91" t="str">
        <f ca="1">IF(BV74="","",DATE(INDEX(OFFSET(Arb!$C$2,,,Arb!$AJ$5,),BV74),INDEX(OFFSET(Arb!$B$2,,,Arb!$AJ$5,),BV74),INDEX(OFFSET(Arb!$A$2,,,Arb!$AJ$5,),BV74))+ROW()*0.001)</f>
        <v/>
      </c>
    </row>
    <row r="75" spans="1:80" x14ac:dyDescent="0.25">
      <c r="A75" s="436">
        <v>50</v>
      </c>
      <c r="B75" s="1">
        <v>1967</v>
      </c>
      <c r="C75" s="52">
        <f ca="1">IF(B75="","",INDEX(OFFSET(Arb!$H$2,,,Arb!$AJ$5,),B75))</f>
        <v>20.81</v>
      </c>
      <c r="D75" s="3">
        <f t="shared" ca="1" si="25"/>
        <v>2.4026910139356081</v>
      </c>
      <c r="E75" s="165">
        <f ca="1">IF(B75="","",INDEX(OFFSET(Arb!$X$2,,,Arb!$AJ$5,),B75)/C75)</f>
        <v>3.0273906775588659</v>
      </c>
      <c r="F75" s="165">
        <f ca="1">IF(B75="","",(INDEX(OFFSET(Arb!$U$2,,,Arb!$AJ$5,),B75)+INDEX(OFFSET(Arb!$V$2,,,Arb!$AJ$5,),B75))/C75)</f>
        <v>3.4118212397885634</v>
      </c>
      <c r="G75" s="51">
        <f t="shared" ca="1" si="35"/>
        <v>44.123107890399751</v>
      </c>
      <c r="H75" s="355">
        <f ca="1">IF(B75="","",DATE(INDEX(OFFSET(Arb!$C$2,,,Arb!$AJ$5,),B75),INDEX(OFFSET(Arb!$B$2,,,Arb!$AJ$5,),B75),INDEX(OFFSET(Arb!$A$2,,,Arb!$AJ$5,),B75))+ROW()*0.001)</f>
        <v>43779.074999999997</v>
      </c>
      <c r="I75" s="436">
        <v>50</v>
      </c>
      <c r="J75" s="1">
        <v>1931</v>
      </c>
      <c r="K75" s="52">
        <f ca="1">IF(J75="","",INDEX(OFFSET(Arb!$H$2,,,Arb!$AJ$5,),J75))</f>
        <v>20.98</v>
      </c>
      <c r="L75" s="3">
        <f t="shared" ca="1" si="26"/>
        <v>2.3832221163012393</v>
      </c>
      <c r="M75" s="165">
        <f ca="1">IF(J75="","",INDEX(OFFSET(Arb!$X$2,,,Arb!$AJ$5,),J75)/K75)</f>
        <v>3.1458531935176359</v>
      </c>
      <c r="N75" s="165">
        <f ca="1">IF(J75="","",(INDEX(OFFSET(Arb!$U$2,,,Arb!$AJ$5,),J75)+INDEX(OFFSET(Arb!$V$2,,,Arb!$AJ$5,),J75))/K75)</f>
        <v>3.6701620591039084</v>
      </c>
      <c r="O75" s="51">
        <f t="shared" ca="1" si="36"/>
        <v>43.5170361608441</v>
      </c>
      <c r="P75" s="91">
        <f ca="1">IF(J75="","",DATE(INDEX(OFFSET(Arb!$C$2,,,Arb!$AJ$5,),J75),INDEX(OFFSET(Arb!$B$2,,,Arb!$AJ$5,),J75),INDEX(OFFSET(Arb!$A$2,,,Arb!$AJ$5,),J75))+ROW()*0.001)</f>
        <v>43771.074999999997</v>
      </c>
      <c r="Q75" s="442">
        <v>50</v>
      </c>
      <c r="R75" s="1">
        <v>2279</v>
      </c>
      <c r="S75" s="52">
        <f ca="1">IF(R75="","",INDEX(OFFSET(Arb!$H$2,,,Arb!$AJ$5,),R75))</f>
        <v>21.04</v>
      </c>
      <c r="T75" s="3">
        <f t="shared" ca="1" si="27"/>
        <v>2.376425855513308</v>
      </c>
      <c r="U75" s="165">
        <f ca="1">IF(R75="","",INDEX(OFFSET(Arb!$X$2,,,Arb!$AJ$5,),R75)/S75)</f>
        <v>2.9942965779467681</v>
      </c>
      <c r="V75" s="165">
        <f ca="1">IF(R75="","",(INDEX(OFFSET(Arb!$U$2,,,Arb!$AJ$5,),R75)+INDEX(OFFSET(Arb!$V$2,,,Arb!$AJ$5,),R75))/S75)</f>
        <v>3.3269961977186315</v>
      </c>
      <c r="W75" s="51">
        <f t="shared" ca="1" si="37"/>
        <v>43.306280166318608</v>
      </c>
      <c r="X75" s="88">
        <f ca="1">IF(R75="","",DATE(INDEX(OFFSET(Arb!$C$2,,,Arb!$AJ$5,),R75),INDEX(OFFSET(Arb!$B$2,,,Arb!$AJ$5,),R75),INDEX(OFFSET(Arb!$A$2,,,Arb!$AJ$5,),R75))+ROW()*0.001)</f>
        <v>43935.074999999997</v>
      </c>
      <c r="Y75" s="436">
        <v>50</v>
      </c>
      <c r="Z75" s="1">
        <v>2295</v>
      </c>
      <c r="AA75" s="52">
        <f ca="1">IF(Z75="","",INDEX(OFFSET(Arb!$H$2,,,Arb!$AJ$5,),Z75))</f>
        <v>21.22</v>
      </c>
      <c r="AB75" s="3">
        <f t="shared" ca="1" si="28"/>
        <v>2.3562676720075402</v>
      </c>
      <c r="AC75" s="165">
        <f ca="1">IF(Z75="","",INDEX(OFFSET(Arb!$X$2,,,Arb!$AJ$5,),Z75)/AA75)</f>
        <v>3.0631479736098024</v>
      </c>
      <c r="AD75" s="165">
        <f ca="1">IF(Z75="","",(INDEX(OFFSET(Arb!$U$2,,,Arb!$AJ$5,),Z75)+INDEX(OFFSET(Arb!$V$2,,,Arb!$AJ$5,),Z75))/AA75)</f>
        <v>3.9114043355325165</v>
      </c>
      <c r="AE75" s="51">
        <f t="shared" ca="1" si="38"/>
        <v>42.683643725925016</v>
      </c>
      <c r="AF75" s="91">
        <f ca="1">IF(Z75="","",DATE(INDEX(OFFSET(Arb!$C$2,,,Arb!$AJ$5,),Z75),INDEX(OFFSET(Arb!$B$2,,,Arb!$AJ$5,),Z75),INDEX(OFFSET(Arb!$A$2,,,Arb!$AJ$5,),Z75))+ROW()*0.001)</f>
        <v>43937.074999999997</v>
      </c>
      <c r="AG75" s="442">
        <v>50</v>
      </c>
      <c r="AH75" s="1">
        <v>2174</v>
      </c>
      <c r="AI75" s="52">
        <f ca="1">IF(AH75="","",INDEX(OFFSET(Arb!$H$2,,,Arb!$AJ$5,),AH75))</f>
        <v>21.46</v>
      </c>
      <c r="AJ75" s="3">
        <f t="shared" ca="1" si="29"/>
        <v>2.3299161230195713</v>
      </c>
      <c r="AK75" s="165">
        <f ca="1">IF(AH75="","",INDEX(OFFSET(Arb!$X$2,,,Arb!$AJ$5,),AH75)/AI75)</f>
        <v>3.1686859273066168</v>
      </c>
      <c r="AL75" s="165">
        <f ca="1">IF(AH75="","",(INDEX(OFFSET(Arb!$U$2,,,Arb!$AJ$5,),AH75)+INDEX(OFFSET(Arb!$V$2,,,Arb!$AJ$5,),AH75))/AI75)</f>
        <v>3.8676607642124883</v>
      </c>
      <c r="AM75" s="51">
        <f t="shared" ca="1" si="39"/>
        <v>41.875317370281813</v>
      </c>
      <c r="AN75" s="88">
        <f ca="1">IF(AH75="","",DATE(INDEX(OFFSET(Arb!$C$2,,,Arb!$AJ$5,),AH75),INDEX(OFFSET(Arb!$B$2,,,Arb!$AJ$5,),AH75),INDEX(OFFSET(Arb!$A$2,,,Arb!$AJ$5,),AH75))+ROW()*0.001)</f>
        <v>43840.074999999997</v>
      </c>
      <c r="AO75" s="436">
        <v>50</v>
      </c>
      <c r="AP75" s="1">
        <v>2068</v>
      </c>
      <c r="AQ75" s="52">
        <f ca="1">IF(AP75="","",INDEX(OFFSET(Arb!$H$2,,,Arb!$AJ$5,),AP75))</f>
        <v>21.66</v>
      </c>
      <c r="AR75" s="3">
        <f t="shared" ca="1" si="30"/>
        <v>2.3084025854108958</v>
      </c>
      <c r="AS75" s="165">
        <f ca="1">IF(AP75="","",INDEX(OFFSET(Arb!$X$2,,,Arb!$AJ$5,),AP75)/AQ75)</f>
        <v>3.0009233610341641</v>
      </c>
      <c r="AT75" s="165">
        <f ca="1">IF(AP75="","",(INDEX(OFFSET(Arb!$U$2,,,Arb!$AJ$5,),AP75)+INDEX(OFFSET(Arb!$V$2,,,Arb!$AJ$5,),AP75))/AQ75)</f>
        <v>3.6934441366574329</v>
      </c>
      <c r="AU75" s="51">
        <f t="shared" ca="1" si="40"/>
        <v>41.220121031022025</v>
      </c>
      <c r="AV75" s="91">
        <f ca="1">IF(AP75="","",DATE(INDEX(OFFSET(Arb!$C$2,,,Arb!$AJ$5,),AP75),INDEX(OFFSET(Arb!$B$2,,,Arb!$AJ$5,),AP75),INDEX(OFFSET(Arb!$A$2,,,Arb!$AJ$5,),AP75))+ROW()*0.001)</f>
        <v>43803.074999999997</v>
      </c>
      <c r="AW75" s="442">
        <v>50</v>
      </c>
      <c r="AX75" s="1">
        <v>2085</v>
      </c>
      <c r="AY75" s="52">
        <f ca="1">IF(AX75="","",INDEX(OFFSET(Arb!$H$2,,,Arb!$AJ$5,),AX75))</f>
        <v>22.34</v>
      </c>
      <c r="AZ75" s="3">
        <f t="shared" ca="1" si="31"/>
        <v>2.2381378692927485</v>
      </c>
      <c r="BA75" s="165">
        <f ca="1">IF(AX75="","",INDEX(OFFSET(Arb!$X$2,,,Arb!$AJ$5,),AX75)/AY75)</f>
        <v>2.7305282005371532</v>
      </c>
      <c r="BB75" s="165">
        <f ca="1">IF(AX75="","",(INDEX(OFFSET(Arb!$U$2,,,Arb!$AJ$5,),AX75)+INDEX(OFFSET(Arb!$V$2,,,Arb!$AJ$5,),AX75))/AY75)</f>
        <v>3.1333930170098476</v>
      </c>
      <c r="BC75" s="51">
        <f t="shared" ca="1" si="41"/>
        <v>39.10994854673946</v>
      </c>
      <c r="BD75" s="88">
        <f ca="1">IF(AX75="","",DATE(INDEX(OFFSET(Arb!$C$2,,,Arb!$AJ$5,),AX75),INDEX(OFFSET(Arb!$B$2,,,Arb!$AJ$5,),AX75),INDEX(OFFSET(Arb!$A$2,,,Arb!$AJ$5,),AX75))+ROW()*0.001)</f>
        <v>43809.074999999997</v>
      </c>
      <c r="BE75" s="436">
        <v>50</v>
      </c>
      <c r="BF75" s="1">
        <v>2183</v>
      </c>
      <c r="BG75" s="52">
        <f ca="1">IF(BF75="","",INDEX(OFFSET(Arb!$H$2,,,Arb!$AJ$5,),BF75))</f>
        <v>22.6</v>
      </c>
      <c r="BH75" s="3">
        <f t="shared" ca="1" si="32"/>
        <v>2.2123893805309733</v>
      </c>
      <c r="BI75" s="165">
        <f ca="1">IF(BF75="","",INDEX(OFFSET(Arb!$X$2,,,Arb!$AJ$5,),BF75)/BG75)</f>
        <v>3.2743362831858405</v>
      </c>
      <c r="BJ75" s="165">
        <f ca="1">IF(BF75="","",(INDEX(OFFSET(Arb!$U$2,,,Arb!$AJ$5,),BF75)+INDEX(OFFSET(Arb!$V$2,,,Arb!$AJ$5,),BF75))/BG75)</f>
        <v>3.9823008849557517</v>
      </c>
      <c r="BK75" s="51">
        <f t="shared" ca="1" si="42"/>
        <v>38.348138300965203</v>
      </c>
      <c r="BL75" s="91">
        <f ca="1">IF(BF75="","",DATE(INDEX(OFFSET(Arb!$C$2,,,Arb!$AJ$5,),BF75),INDEX(OFFSET(Arb!$B$2,,,Arb!$AJ$5,),BF75),INDEX(OFFSET(Arb!$A$2,,,Arb!$AJ$5,),BF75))+ROW()*0.001)</f>
        <v>43840.074999999997</v>
      </c>
      <c r="BM75" s="442">
        <v>50</v>
      </c>
      <c r="BN75" s="1">
        <v>2145</v>
      </c>
      <c r="BO75" s="52">
        <f ca="1">IF(BN75="","",INDEX(OFFSET(Arb!$H$2,,,Arb!$AJ$5,),BN75))</f>
        <v>25.75</v>
      </c>
      <c r="BP75" s="3">
        <f t="shared" ca="1" si="33"/>
        <v>1.941747572815534</v>
      </c>
      <c r="BQ75" s="165">
        <f ca="1">IF(BN75="","",INDEX(OFFSET(Arb!$X$2,,,Arb!$AJ$5,),BN75)/BO75)</f>
        <v>2.912621359223301</v>
      </c>
      <c r="BR75" s="165">
        <f ca="1">IF(BN75="","",(INDEX(OFFSET(Arb!$U$2,,,Arb!$AJ$5,),BN75)+INDEX(OFFSET(Arb!$V$2,,,Arb!$AJ$5,),BN75))/BO75)</f>
        <v>3.4174757281553396</v>
      </c>
      <c r="BS75" s="51">
        <f t="shared" ca="1" si="43"/>
        <v>30.719018449830187</v>
      </c>
      <c r="BT75" s="88">
        <f ca="1">IF(BN75="","",DATE(INDEX(OFFSET(Arb!$C$2,,,Arb!$AJ$5,),BN75),INDEX(OFFSET(Arb!$B$2,,,Arb!$AJ$5,),BN75),INDEX(OFFSET(Arb!$A$2,,,Arb!$AJ$5,),BN75))+ROW()*0.001)</f>
        <v>43818.074999999997</v>
      </c>
      <c r="BU75" s="436">
        <v>50</v>
      </c>
      <c r="BW75" s="52" t="str">
        <f ca="1">IF(BV75="","",INDEX(OFFSET(Arb!$H$2,,,Arb!$AJ$5,),BV75))</f>
        <v/>
      </c>
      <c r="BX75" s="3" t="str">
        <f t="shared" ca="1" si="34"/>
        <v/>
      </c>
      <c r="BY75" s="165" t="str">
        <f ca="1">IF(BV75="","",INDEX(OFFSET(Arb!$X$2,,,Arb!$AJ$5,),BV75)/BW75)</f>
        <v/>
      </c>
      <c r="BZ75" s="165" t="str">
        <f ca="1">IF(BV75="","",(INDEX(OFFSET(Arb!$U$2,,,Arb!$AJ$5,),BV75)+INDEX(OFFSET(Arb!$V$2,,,Arb!$AJ$5,),BV75))/BW75)</f>
        <v/>
      </c>
      <c r="CA75" s="51" t="str">
        <f t="shared" ca="1" si="44"/>
        <v/>
      </c>
      <c r="CB75" s="91" t="str">
        <f ca="1">IF(BV75="","",DATE(INDEX(OFFSET(Arb!$C$2,,,Arb!$AJ$5,),BV75),INDEX(OFFSET(Arb!$B$2,,,Arb!$AJ$5,),BV75),INDEX(OFFSET(Arb!$A$2,,,Arb!$AJ$5,),BV75))+ROW()*0.001)</f>
        <v/>
      </c>
    </row>
    <row r="76" spans="1:80" x14ac:dyDescent="0.25">
      <c r="A76" s="436">
        <v>51</v>
      </c>
      <c r="B76" s="1">
        <v>1887</v>
      </c>
      <c r="C76" s="52">
        <f ca="1">IF(B76="","",INDEX(OFFSET(Arb!$H$2,,,Arb!$AJ$5,),B76))</f>
        <v>20.58</v>
      </c>
      <c r="D76" s="3">
        <f t="shared" ca="1" si="25"/>
        <v>2.4781341107871722</v>
      </c>
      <c r="E76" s="165">
        <f ca="1">IF(B76="","",INDEX(OFFSET(Arb!$X$2,,,Arb!$AJ$5,),B76)/C76)</f>
        <v>2.915451895043732</v>
      </c>
      <c r="F76" s="165">
        <f ca="1">IF(B76="","",(INDEX(OFFSET(Arb!$U$2,,,Arb!$AJ$5,),B76)+INDEX(OFFSET(Arb!$V$2,,,Arb!$AJ$5,),B76))/C76)</f>
        <v>3.3041788143828961</v>
      </c>
      <c r="G76" s="51">
        <f t="shared" ca="1" si="35"/>
        <v>45.863973048152893</v>
      </c>
      <c r="H76" s="355">
        <f ca="1">IF(B76="","",DATE(INDEX(OFFSET(Arb!$C$2,,,Arb!$AJ$5,),B76),INDEX(OFFSET(Arb!$B$2,,,Arb!$AJ$5,),B76),INDEX(OFFSET(Arb!$A$2,,,Arb!$AJ$5,),B76))+ROW()*0.001)</f>
        <v>43764.076000000001</v>
      </c>
      <c r="I76" s="436">
        <v>51</v>
      </c>
      <c r="J76" s="1">
        <v>2299</v>
      </c>
      <c r="K76" s="52">
        <f ca="1">IF(J76="","",INDEX(OFFSET(Arb!$H$2,,,Arb!$AJ$5,),J76))</f>
        <v>21.24</v>
      </c>
      <c r="L76" s="3">
        <f t="shared" ca="1" si="26"/>
        <v>2.4011299435028248</v>
      </c>
      <c r="M76" s="165">
        <f ca="1">IF(J76="","",INDEX(OFFSET(Arb!$X$2,,,Arb!$AJ$5,),J76)/K76)</f>
        <v>3.154425612052731</v>
      </c>
      <c r="N76" s="165">
        <f ca="1">IF(J76="","",(INDEX(OFFSET(Arb!$U$2,,,Arb!$AJ$5,),J76)+INDEX(OFFSET(Arb!$V$2,,,Arb!$AJ$5,),J76))/K76)</f>
        <v>3.6252354048964222</v>
      </c>
      <c r="O76" s="51">
        <f t="shared" ca="1" si="36"/>
        <v>43.467647067913234</v>
      </c>
      <c r="P76" s="91">
        <f ca="1">IF(J76="","",DATE(INDEX(OFFSET(Arb!$C$2,,,Arb!$AJ$5,),J76),INDEX(OFFSET(Arb!$B$2,,,Arb!$AJ$5,),J76),INDEX(OFFSET(Arb!$A$2,,,Arb!$AJ$5,),J76))+ROW()*0.001)</f>
        <v>43941.076000000001</v>
      </c>
      <c r="Q76" s="442">
        <v>51</v>
      </c>
      <c r="R76" s="1">
        <v>2163</v>
      </c>
      <c r="S76" s="52">
        <f ca="1">IF(R76="","",INDEX(OFFSET(Arb!$H$2,,,Arb!$AJ$5,),R76))</f>
        <v>21.26</v>
      </c>
      <c r="T76" s="3">
        <f t="shared" ca="1" si="27"/>
        <v>2.3988711194731889</v>
      </c>
      <c r="U76" s="165">
        <f ca="1">IF(R76="","",INDEX(OFFSET(Arb!$X$2,,,Arb!$AJ$5,),R76)/S76)</f>
        <v>2.8692380056444025</v>
      </c>
      <c r="V76" s="165">
        <f ca="1">IF(R76="","",(INDEX(OFFSET(Arb!$U$2,,,Arb!$AJ$5,),R76)+INDEX(OFFSET(Arb!$V$2,,,Arb!$AJ$5,),R76))/S76)</f>
        <v>3.339604891815616</v>
      </c>
      <c r="W76" s="51">
        <f t="shared" ca="1" si="37"/>
        <v>43.398154436405065</v>
      </c>
      <c r="X76" s="88">
        <f ca="1">IF(R76="","",DATE(INDEX(OFFSET(Arb!$C$2,,,Arb!$AJ$5,),R76),INDEX(OFFSET(Arb!$B$2,,,Arb!$AJ$5,),R76),INDEX(OFFSET(Arb!$A$2,,,Arb!$AJ$5,),R76))+ROW()*0.001)</f>
        <v>43823.076000000001</v>
      </c>
      <c r="Y76" s="436">
        <v>51</v>
      </c>
      <c r="Z76" s="1">
        <v>2161</v>
      </c>
      <c r="AA76" s="52">
        <f ca="1">IF(Z76="","",INDEX(OFFSET(Arb!$H$2,,,Arb!$AJ$5,),Z76))</f>
        <v>21.49</v>
      </c>
      <c r="AB76" s="3">
        <f t="shared" ca="1" si="28"/>
        <v>2.3731968357375526</v>
      </c>
      <c r="AC76" s="165">
        <f ca="1">IF(Z76="","",INDEX(OFFSET(Arb!$X$2,,,Arb!$AJ$5,),Z76)/AA76)</f>
        <v>3.024662633783155</v>
      </c>
      <c r="AD76" s="165">
        <f ca="1">IF(Z76="","",(INDEX(OFFSET(Arb!$U$2,,,Arb!$AJ$5,),Z76)+INDEX(OFFSET(Arb!$V$2,,,Arb!$AJ$5,),Z76))/AA76)</f>
        <v>3.3969288040949279</v>
      </c>
      <c r="AE76" s="51">
        <f t="shared" ca="1" si="38"/>
        <v>42.611507313843724</v>
      </c>
      <c r="AF76" s="91">
        <f ca="1">IF(Z76="","",DATE(INDEX(OFFSET(Arb!$C$2,,,Arb!$AJ$5,),Z76),INDEX(OFFSET(Arb!$B$2,,,Arb!$AJ$5,),Z76),INDEX(OFFSET(Arb!$A$2,,,Arb!$AJ$5,),Z76))+ROW()*0.001)</f>
        <v>43823.076000000001</v>
      </c>
      <c r="AG76" s="442">
        <v>51</v>
      </c>
      <c r="AH76" s="1">
        <v>2276</v>
      </c>
      <c r="AI76" s="52">
        <f ca="1">IF(AH76="","",INDEX(OFFSET(Arb!$H$2,,,Arb!$AJ$5,),AH76))</f>
        <v>21.64</v>
      </c>
      <c r="AJ76" s="3">
        <f t="shared" ca="1" si="29"/>
        <v>2.3567467652495377</v>
      </c>
      <c r="AK76" s="165">
        <f ca="1">IF(AH76="","",INDEX(OFFSET(Arb!$X$2,,,Arb!$AJ$5,),AH76)/AI76)</f>
        <v>2.7726432532347505</v>
      </c>
      <c r="AL76" s="165">
        <f ca="1">IF(AH76="","",(INDEX(OFFSET(Arb!$U$2,,,Arb!$AJ$5,),AH76)+INDEX(OFFSET(Arb!$V$2,,,Arb!$AJ$5,),AH76))/AI76)</f>
        <v>3.1885397412199628</v>
      </c>
      <c r="AM76" s="51">
        <f t="shared" ca="1" si="39"/>
        <v>42.110603681156036</v>
      </c>
      <c r="AN76" s="88">
        <f ca="1">IF(AH76="","",DATE(INDEX(OFFSET(Arb!$C$2,,,Arb!$AJ$5,),AH76),INDEX(OFFSET(Arb!$B$2,,,Arb!$AJ$5,),AH76),INDEX(OFFSET(Arb!$A$2,,,Arb!$AJ$5,),AH76))+ROW()*0.001)</f>
        <v>43935.076000000001</v>
      </c>
      <c r="AO76" s="436">
        <v>51</v>
      </c>
      <c r="AP76" s="1">
        <v>2182</v>
      </c>
      <c r="AQ76" s="52">
        <f ca="1">IF(AP76="","",INDEX(OFFSET(Arb!$H$2,,,Arb!$AJ$5,),AP76))</f>
        <v>22.08</v>
      </c>
      <c r="AR76" s="3">
        <f t="shared" ca="1" si="30"/>
        <v>2.3097826086956523</v>
      </c>
      <c r="AS76" s="165">
        <f ca="1">IF(AP76="","",INDEX(OFFSET(Arb!$X$2,,,Arb!$AJ$5,),AP76)/AQ76)</f>
        <v>2.6721014492753623</v>
      </c>
      <c r="AT76" s="165">
        <f ca="1">IF(AP76="","",(INDEX(OFFSET(Arb!$U$2,,,Arb!$AJ$5,),AP76)+INDEX(OFFSET(Arb!$V$2,,,Arb!$AJ$5,),AP76))/AQ76)</f>
        <v>3.2608695652173916</v>
      </c>
      <c r="AU76" s="51">
        <f t="shared" ca="1" si="40"/>
        <v>40.694000481003165</v>
      </c>
      <c r="AV76" s="91">
        <f ca="1">IF(AP76="","",DATE(INDEX(OFFSET(Arb!$C$2,,,Arb!$AJ$5,),AP76),INDEX(OFFSET(Arb!$B$2,,,Arb!$AJ$5,),AP76),INDEX(OFFSET(Arb!$A$2,,,Arb!$AJ$5,),AP76))+ROW()*0.001)</f>
        <v>43840.076000000001</v>
      </c>
      <c r="AW76" s="442">
        <v>51</v>
      </c>
      <c r="AX76" s="1">
        <v>2246</v>
      </c>
      <c r="AY76" s="52">
        <f ca="1">IF(AX76="","",INDEX(OFFSET(Arb!$H$2,,,Arb!$AJ$5,),AX76))</f>
        <v>22.67</v>
      </c>
      <c r="AZ76" s="3">
        <f t="shared" ca="1" si="31"/>
        <v>2.2496691662990735</v>
      </c>
      <c r="BA76" s="165">
        <f ca="1">IF(AX76="","",INDEX(OFFSET(Arb!$X$2,,,Arb!$AJ$5,),AX76)/AY76)</f>
        <v>3.0436700485222761</v>
      </c>
      <c r="BB76" s="165">
        <f ca="1">IF(AX76="","",(INDEX(OFFSET(Arb!$U$2,,,Arb!$AJ$5,),AX76)+INDEX(OFFSET(Arb!$V$2,,,Arb!$AJ$5,),AX76))/AY76)</f>
        <v>3.4847816497573882</v>
      </c>
      <c r="BC76" s="51">
        <f t="shared" ca="1" si="41"/>
        <v>38.909998948236563</v>
      </c>
      <c r="BD76" s="88">
        <f ca="1">IF(AX76="","",DATE(INDEX(OFFSET(Arb!$C$2,,,Arb!$AJ$5,),AX76),INDEX(OFFSET(Arb!$B$2,,,Arb!$AJ$5,),AX76),INDEX(OFFSET(Arb!$A$2,,,Arb!$AJ$5,),AX76))+ROW()*0.001)</f>
        <v>43892.076000000001</v>
      </c>
      <c r="BE76" s="436">
        <v>51</v>
      </c>
      <c r="BF76" s="1">
        <v>2122</v>
      </c>
      <c r="BG76" s="52">
        <f ca="1">IF(BF76="","",INDEX(OFFSET(Arb!$H$2,,,Arb!$AJ$5,),BF76))</f>
        <v>22.74</v>
      </c>
      <c r="BH76" s="3">
        <f t="shared" ca="1" si="32"/>
        <v>2.2427440633245386</v>
      </c>
      <c r="BI76" s="165">
        <f ca="1">IF(BF76="","",INDEX(OFFSET(Arb!$X$2,,,Arb!$AJ$5,),BF76)/BG76)</f>
        <v>2.6824978012313108</v>
      </c>
      <c r="BJ76" s="165">
        <f ca="1">IF(BF76="","",(INDEX(OFFSET(Arb!$U$2,,,Arb!$AJ$5,),BF76)+INDEX(OFFSET(Arb!$V$2,,,Arb!$AJ$5,),BF76))/BG76)</f>
        <v>3.0343007915567286</v>
      </c>
      <c r="BK76" s="51">
        <f t="shared" ca="1" si="42"/>
        <v>38.706599665966614</v>
      </c>
      <c r="BL76" s="91">
        <f ca="1">IF(BF76="","",DATE(INDEX(OFFSET(Arb!$C$2,,,Arb!$AJ$5,),BF76),INDEX(OFFSET(Arb!$B$2,,,Arb!$AJ$5,),BF76),INDEX(OFFSET(Arb!$A$2,,,Arb!$AJ$5,),BF76))+ROW()*0.001)</f>
        <v>43811.076000000001</v>
      </c>
      <c r="BM76" s="442">
        <v>51</v>
      </c>
      <c r="BN76" s="1">
        <v>2165</v>
      </c>
      <c r="BO76" s="52">
        <f ca="1">IF(BN76="","",INDEX(OFFSET(Arb!$H$2,,,Arb!$AJ$5,),BN76))</f>
        <v>23.19</v>
      </c>
      <c r="BP76" s="3">
        <f t="shared" ca="1" si="33"/>
        <v>2.1992238033635187</v>
      </c>
      <c r="BQ76" s="165">
        <f ca="1">IF(BN76="","",INDEX(OFFSET(Arb!$X$2,,,Arb!$AJ$5,),BN76)/BO76)</f>
        <v>2.8029322984044844</v>
      </c>
      <c r="BR76" s="165">
        <f ca="1">IF(BN76="","",(INDEX(OFFSET(Arb!$U$2,,,Arb!$AJ$5,),BN76)+INDEX(OFFSET(Arb!$V$2,,,Arb!$AJ$5,),BN76))/BO76)</f>
        <v>3.2772746873652436</v>
      </c>
      <c r="BS76" s="51">
        <f t="shared" ca="1" si="43"/>
        <v>37.438421595998975</v>
      </c>
      <c r="BT76" s="88">
        <f ca="1">IF(BN76="","",DATE(INDEX(OFFSET(Arb!$C$2,,,Arb!$AJ$5,),BN76),INDEX(OFFSET(Arb!$B$2,,,Arb!$AJ$5,),BN76),INDEX(OFFSET(Arb!$A$2,,,Arb!$AJ$5,),BN76))+ROW()*0.001)</f>
        <v>43823.076000000001</v>
      </c>
      <c r="BU76" s="436">
        <v>51</v>
      </c>
      <c r="BV76" s="1">
        <v>2097</v>
      </c>
      <c r="BW76" s="52">
        <f ca="1">IF(BV76="","",INDEX(OFFSET(Arb!$H$2,,,Arb!$AJ$5,),BV76))</f>
        <v>23.38</v>
      </c>
      <c r="BX76" s="3">
        <f t="shared" ca="1" si="34"/>
        <v>2.1813515825491874</v>
      </c>
      <c r="BY76" s="165">
        <f ca="1">IF(BV76="","",INDEX(OFFSET(Arb!$X$2,,,Arb!$AJ$5,),BV76)/BW76)</f>
        <v>3.1223267750213859</v>
      </c>
      <c r="BZ76" s="165">
        <f ca="1">IF(BV76="","",(INDEX(OFFSET(Arb!$U$2,,,Arb!$AJ$5,),BV76)+INDEX(OFFSET(Arb!$V$2,,,Arb!$AJ$5,),BV76))/BW76)</f>
        <v>3.6355859709153124</v>
      </c>
      <c r="CA76" s="51">
        <f t="shared" ca="1" si="44"/>
        <v>36.922673648987491</v>
      </c>
      <c r="CB76" s="91">
        <f ca="1">IF(BV76="","",DATE(INDEX(OFFSET(Arb!$C$2,,,Arb!$AJ$5,),BV76),INDEX(OFFSET(Arb!$B$2,,,Arb!$AJ$5,),BV76),INDEX(OFFSET(Arb!$A$2,,,Arb!$AJ$5,),BV76))+ROW()*0.001)</f>
        <v>43810.076000000001</v>
      </c>
    </row>
    <row r="77" spans="1:80" x14ac:dyDescent="0.25">
      <c r="A77" s="436">
        <v>52</v>
      </c>
      <c r="B77" s="1">
        <v>2118</v>
      </c>
      <c r="C77" s="52">
        <f ca="1">IF(B77="","",INDEX(OFFSET(Arb!$H$2,,,Arb!$AJ$5,),B77))</f>
        <v>18.12</v>
      </c>
      <c r="D77" s="3">
        <f t="shared" ca="1" si="25"/>
        <v>2.869757174392936</v>
      </c>
      <c r="E77" s="165">
        <f ca="1">IF(B77="","",INDEX(OFFSET(Arb!$X$2,,,Arb!$AJ$5,),B77)/C77)</f>
        <v>3.3112582781456954</v>
      </c>
      <c r="F77" s="165">
        <f ca="1">IF(B77="","",(INDEX(OFFSET(Arb!$U$2,,,Arb!$AJ$5,),B77)+INDEX(OFFSET(Arb!$V$2,,,Arb!$AJ$5,),B77))/C77)</f>
        <v>3.7527593818984544</v>
      </c>
      <c r="G77" s="51">
        <f t="shared" ca="1" si="35"/>
        <v>58.062140471532395</v>
      </c>
      <c r="H77" s="355">
        <f ca="1">IF(B77="","",DATE(INDEX(OFFSET(Arb!$C$2,,,Arb!$AJ$5,),B77),INDEX(OFFSET(Arb!$B$2,,,Arb!$AJ$5,),B77),INDEX(OFFSET(Arb!$A$2,,,Arb!$AJ$5,),B77))+ROW()*0.001)</f>
        <v>43811.076999999997</v>
      </c>
      <c r="I77" s="436">
        <v>52</v>
      </c>
      <c r="J77" s="1">
        <v>2212</v>
      </c>
      <c r="K77" s="52">
        <f ca="1">IF(J77="","",INDEX(OFFSET(Arb!$H$2,,,Arb!$AJ$5,),J77))</f>
        <v>19.59</v>
      </c>
      <c r="L77" s="3">
        <f t="shared" ca="1" si="26"/>
        <v>2.6544155181214908</v>
      </c>
      <c r="M77" s="165">
        <f ca="1">IF(J77="","",INDEX(OFFSET(Arb!$X$2,,,Arb!$AJ$5,),J77)/K77)</f>
        <v>3.0627871362940278</v>
      </c>
      <c r="N77" s="165">
        <f ca="1">IF(J77="","",(INDEX(OFFSET(Arb!$U$2,,,Arb!$AJ$5,),J77)+INDEX(OFFSET(Arb!$V$2,,,Arb!$AJ$5,),J77))/K77)</f>
        <v>3.624298111281266</v>
      </c>
      <c r="O77" s="51">
        <f t="shared" ca="1" si="36"/>
        <v>50.85146036612251</v>
      </c>
      <c r="P77" s="91">
        <f ca="1">IF(J77="","",DATE(INDEX(OFFSET(Arb!$C$2,,,Arb!$AJ$5,),J77),INDEX(OFFSET(Arb!$B$2,,,Arb!$AJ$5,),J77),INDEX(OFFSET(Arb!$A$2,,,Arb!$AJ$5,),J77))+ROW()*0.001)</f>
        <v>43869.076999999997</v>
      </c>
      <c r="Q77" s="442">
        <v>52</v>
      </c>
      <c r="R77" s="1">
        <v>2100</v>
      </c>
      <c r="S77" s="52">
        <f ca="1">IF(R77="","",INDEX(OFFSET(Arb!$H$2,,,Arb!$AJ$5,),R77))</f>
        <v>20.07</v>
      </c>
      <c r="T77" s="3">
        <f t="shared" ca="1" si="27"/>
        <v>2.5909317389138016</v>
      </c>
      <c r="U77" s="165">
        <f ca="1">IF(R77="","",INDEX(OFFSET(Arb!$X$2,,,Arb!$AJ$5,),R77)/S77)</f>
        <v>3.338315894369706</v>
      </c>
      <c r="V77" s="165">
        <f ca="1">IF(R77="","",(INDEX(OFFSET(Arb!$U$2,,,Arb!$AJ$5,),R77)+INDEX(OFFSET(Arb!$V$2,,,Arb!$AJ$5,),R77))/S77)</f>
        <v>3.7369207772795217</v>
      </c>
      <c r="W77" s="51">
        <f t="shared" ca="1" si="37"/>
        <v>48.801305216047865</v>
      </c>
      <c r="X77" s="88">
        <f ca="1">IF(R77="","",DATE(INDEX(OFFSET(Arb!$C$2,,,Arb!$AJ$5,),R77),INDEX(OFFSET(Arb!$B$2,,,Arb!$AJ$5,),R77),INDEX(OFFSET(Arb!$A$2,,,Arb!$AJ$5,),R77))+ROW()*0.001)</f>
        <v>43810.076999999997</v>
      </c>
      <c r="Y77" s="436">
        <v>52</v>
      </c>
      <c r="Z77" s="1">
        <v>2274</v>
      </c>
      <c r="AA77" s="52">
        <f ca="1">IF(Z77="","",INDEX(OFFSET(Arb!$H$2,,,Arb!$AJ$5,),Z77))</f>
        <v>21.37</v>
      </c>
      <c r="AB77" s="3">
        <f t="shared" ca="1" si="28"/>
        <v>2.4333177351427233</v>
      </c>
      <c r="AC77" s="165">
        <f ca="1">IF(Z77="","",INDEX(OFFSET(Arb!$X$2,,,Arb!$AJ$5,),Z77)/AA77)</f>
        <v>3.4160037435657462</v>
      </c>
      <c r="AD77" s="165">
        <f ca="1">IF(Z77="","",(INDEX(OFFSET(Arb!$U$2,,,Arb!$AJ$5,),Z77)+INDEX(OFFSET(Arb!$V$2,,,Arb!$AJ$5,),Z77))/AA77)</f>
        <v>3.9307440336920916</v>
      </c>
      <c r="AE77" s="51">
        <f t="shared" ca="1" si="38"/>
        <v>43.86259109083116</v>
      </c>
      <c r="AF77" s="91">
        <f ca="1">IF(Z77="","",DATE(INDEX(OFFSET(Arb!$C$2,,,Arb!$AJ$5,),Z77),INDEX(OFFSET(Arb!$B$2,,,Arb!$AJ$5,),Z77),INDEX(OFFSET(Arb!$A$2,,,Arb!$AJ$5,),Z77))+ROW()*0.001)</f>
        <v>43934.076999999997</v>
      </c>
      <c r="AG77" s="442">
        <v>52</v>
      </c>
      <c r="AH77" s="1">
        <v>2310</v>
      </c>
      <c r="AI77" s="52">
        <f ca="1">IF(AH77="","",INDEX(OFFSET(Arb!$H$2,,,Arb!$AJ$5,),AH77))</f>
        <v>22.77</v>
      </c>
      <c r="AJ77" s="3">
        <f t="shared" ca="1" si="29"/>
        <v>2.2837066315327186</v>
      </c>
      <c r="AK77" s="165">
        <f ca="1">IF(AH77="","",INDEX(OFFSET(Arb!$X$2,,,Arb!$AJ$5,),AH77)/AI77)</f>
        <v>2.9863855950812472</v>
      </c>
      <c r="AL77" s="165">
        <f ca="1">IF(AH77="","",(INDEX(OFFSET(Arb!$U$2,,,Arb!$AJ$5,),AH77)+INDEX(OFFSET(Arb!$V$2,,,Arb!$AJ$5,),AH77))/AI77)</f>
        <v>3.3377250768555116</v>
      </c>
      <c r="AM77" s="51">
        <f t="shared" ca="1" si="39"/>
        <v>39.377198849260516</v>
      </c>
      <c r="AN77" s="88">
        <f ca="1">IF(AH77="","",DATE(INDEX(OFFSET(Arb!$C$2,,,Arb!$AJ$5,),AH77),INDEX(OFFSET(Arb!$B$2,,,Arb!$AJ$5,),AH77),INDEX(OFFSET(Arb!$A$2,,,Arb!$AJ$5,),AH77))+ROW()*0.001)</f>
        <v>43950.076999999997</v>
      </c>
      <c r="AO77" s="436">
        <v>52</v>
      </c>
      <c r="AP77" s="1">
        <v>2062</v>
      </c>
      <c r="AQ77" s="52">
        <f ca="1">IF(AP77="","",INDEX(OFFSET(Arb!$H$2,,,Arb!$AJ$5,),AP77))</f>
        <v>22.79</v>
      </c>
      <c r="AR77" s="3">
        <f t="shared" ca="1" si="30"/>
        <v>2.2817025010969725</v>
      </c>
      <c r="AS77" s="165">
        <f ca="1">IF(AP77="","",INDEX(OFFSET(Arb!$X$2,,,Arb!$AJ$5,),AP77)/AQ77)</f>
        <v>3.247038174637999</v>
      </c>
      <c r="AT77" s="165">
        <f ca="1">IF(AP77="","",(INDEX(OFFSET(Arb!$U$2,,,Arb!$AJ$5,),AP77)+INDEX(OFFSET(Arb!$V$2,,,Arb!$AJ$5,),AP77))/AQ77)</f>
        <v>3.5103115401491882</v>
      </c>
      <c r="AU77" s="51">
        <f t="shared" ca="1" si="40"/>
        <v>39.318470744753014</v>
      </c>
      <c r="AV77" s="91">
        <f ca="1">IF(AP77="","",DATE(INDEX(OFFSET(Arb!$C$2,,,Arb!$AJ$5,),AP77),INDEX(OFFSET(Arb!$B$2,,,Arb!$AJ$5,),AP77),INDEX(OFFSET(Arb!$A$2,,,Arb!$AJ$5,),AP77))+ROW()*0.001)</f>
        <v>43800.076999999997</v>
      </c>
      <c r="AW77" s="442">
        <v>52</v>
      </c>
      <c r="AX77" s="1">
        <v>2214</v>
      </c>
      <c r="AY77" s="52">
        <f ca="1">IF(AX77="","",INDEX(OFFSET(Arb!$H$2,,,Arb!$AJ$5,),AX77))</f>
        <v>23.11</v>
      </c>
      <c r="AZ77" s="3">
        <f t="shared" ca="1" si="31"/>
        <v>2.2501081782778019</v>
      </c>
      <c r="BA77" s="165">
        <f ca="1">IF(AX77="","",INDEX(OFFSET(Arb!$X$2,,,Arb!$AJ$5,),AX77)/AY77)</f>
        <v>3.2020770229337949</v>
      </c>
      <c r="BB77" s="165">
        <f ca="1">IF(AX77="","",(INDEX(OFFSET(Arb!$U$2,,,Arb!$AJ$5,),AX77)+INDEX(OFFSET(Arb!$V$2,,,Arb!$AJ$5,),AX77))/AY77)</f>
        <v>3.8078753786239723</v>
      </c>
      <c r="BC77" s="51">
        <f t="shared" ca="1" si="41"/>
        <v>38.397421704182868</v>
      </c>
      <c r="BD77" s="88">
        <f ca="1">IF(AX77="","",DATE(INDEX(OFFSET(Arb!$C$2,,,Arb!$AJ$5,),AX77),INDEX(OFFSET(Arb!$B$2,,,Arb!$AJ$5,),AX77),INDEX(OFFSET(Arb!$A$2,,,Arb!$AJ$5,),AX77))+ROW()*0.001)</f>
        <v>43870.076999999997</v>
      </c>
      <c r="BE77" s="436">
        <v>52</v>
      </c>
      <c r="BF77" s="1">
        <v>2140</v>
      </c>
      <c r="BG77" s="52">
        <f ca="1">IF(BF77="","",INDEX(OFFSET(Arb!$H$2,,,Arb!$AJ$5,),BF77))</f>
        <v>23.69</v>
      </c>
      <c r="BH77" s="3">
        <f t="shared" ca="1" si="32"/>
        <v>2.1950189953566905</v>
      </c>
      <c r="BI77" s="165">
        <f ca="1">IF(BF77="","",INDEX(OFFSET(Arb!$X$2,,,Arb!$AJ$5,),BF77)/BG77)</f>
        <v>2.7859856479527223</v>
      </c>
      <c r="BJ77" s="165">
        <f ca="1">IF(BF77="","",(INDEX(OFFSET(Arb!$U$2,,,Arb!$AJ$5,),BF77)+INDEX(OFFSET(Arb!$V$2,,,Arb!$AJ$5,),BF77))/BG77)</f>
        <v>3.4613761080624736</v>
      </c>
      <c r="BK77" s="51">
        <f t="shared" ca="1" si="42"/>
        <v>36.813013287773828</v>
      </c>
      <c r="BL77" s="91">
        <f ca="1">IF(BF77="","",DATE(INDEX(OFFSET(Arb!$C$2,,,Arb!$AJ$5,),BF77),INDEX(OFFSET(Arb!$B$2,,,Arb!$AJ$5,),BF77),INDEX(OFFSET(Arb!$A$2,,,Arb!$AJ$5,),BF77))+ROW()*0.001)</f>
        <v>43817.076999999997</v>
      </c>
      <c r="BM77" s="442">
        <v>52</v>
      </c>
      <c r="BN77" s="1">
        <v>1902</v>
      </c>
      <c r="BO77" s="52">
        <f ca="1">IF(BN77="","",INDEX(OFFSET(Arb!$H$2,,,Arb!$AJ$5,),BN77))</f>
        <v>23.83</v>
      </c>
      <c r="BP77" s="3">
        <f t="shared" ca="1" si="33"/>
        <v>2.1821233738984476</v>
      </c>
      <c r="BQ77" s="165">
        <f ca="1">IF(BN77="","",INDEX(OFFSET(Arb!$X$2,,,Arb!$AJ$5,),BN77)/BO77)</f>
        <v>2.895509861519094</v>
      </c>
      <c r="BR77" s="165">
        <f ca="1">IF(BN77="","",(INDEX(OFFSET(Arb!$U$2,,,Arb!$AJ$5,),BN77)+INDEX(OFFSET(Arb!$V$2,,,Arb!$AJ$5,),BN77))/BO77)</f>
        <v>3.2731850608476711</v>
      </c>
      <c r="BS77" s="51">
        <f t="shared" ca="1" si="43"/>
        <v>36.446103053177538</v>
      </c>
      <c r="BT77" s="88">
        <f ca="1">IF(BN77="","",DATE(INDEX(OFFSET(Arb!$C$2,,,Arb!$AJ$5,),BN77),INDEX(OFFSET(Arb!$B$2,,,Arb!$AJ$5,),BN77),INDEX(OFFSET(Arb!$A$2,,,Arb!$AJ$5,),BN77))+ROW()*0.001)</f>
        <v>43765.076999999997</v>
      </c>
      <c r="BU77" s="436">
        <v>52</v>
      </c>
      <c r="BV77" s="1">
        <v>1982</v>
      </c>
      <c r="BW77" s="52">
        <f ca="1">IF(BV77="","",INDEX(OFFSET(Arb!$H$2,,,Arb!$AJ$5,),BV77))</f>
        <v>24.59</v>
      </c>
      <c r="BX77" s="3">
        <f t="shared" ca="1" si="34"/>
        <v>2.1146807645384302</v>
      </c>
      <c r="BY77" s="165">
        <f ca="1">IF(BV77="","",INDEX(OFFSET(Arb!$X$2,,,Arb!$AJ$5,),BV77)/BW77)</f>
        <v>2.9686864579097194</v>
      </c>
      <c r="BZ77" s="165">
        <f ca="1">IF(BV77="","",(INDEX(OFFSET(Arb!$U$2,,,Arb!$AJ$5,),BV77)+INDEX(OFFSET(Arb!$V$2,,,Arb!$AJ$5,),BV77))/BW77)</f>
        <v>3.4973566490443271</v>
      </c>
      <c r="CA77" s="51">
        <f t="shared" ca="1" si="44"/>
        <v>34.551942790910701</v>
      </c>
      <c r="CB77" s="91">
        <f ca="1">IF(BV77="","",DATE(INDEX(OFFSET(Arb!$C$2,,,Arb!$AJ$5,),BV77),INDEX(OFFSET(Arb!$B$2,,,Arb!$AJ$5,),BV77),INDEX(OFFSET(Arb!$A$2,,,Arb!$AJ$5,),BV77))+ROW()*0.001)</f>
        <v>43782.076999999997</v>
      </c>
    </row>
    <row r="78" spans="1:80" x14ac:dyDescent="0.25">
      <c r="A78" s="436">
        <v>53</v>
      </c>
      <c r="B78" s="1">
        <v>2297</v>
      </c>
      <c r="C78" s="52">
        <f ca="1">IF(B78="","",INDEX(OFFSET(Arb!$H$2,,,Arb!$AJ$5,),B78))</f>
        <v>20.7</v>
      </c>
      <c r="D78" s="3">
        <f t="shared" ca="1" si="25"/>
        <v>2.560386473429952</v>
      </c>
      <c r="E78" s="165">
        <f ca="1">IF(B78="","",INDEX(OFFSET(Arb!$X$2,,,Arb!$AJ$5,),B78)/C78)</f>
        <v>3.2850241545893719</v>
      </c>
      <c r="F78" s="165">
        <f ca="1">IF(B78="","",(INDEX(OFFSET(Arb!$U$2,,,Arb!$AJ$5,),B78)+INDEX(OFFSET(Arb!$V$2,,,Arb!$AJ$5,),B78))/C78)</f>
        <v>3.6714975845410631</v>
      </c>
      <c r="G78" s="51">
        <f t="shared" ca="1" si="35"/>
        <v>47.193795846191634</v>
      </c>
      <c r="H78" s="355">
        <f ca="1">IF(B78="","",DATE(INDEX(OFFSET(Arb!$C$2,,,Arb!$AJ$5,),B78),INDEX(OFFSET(Arb!$B$2,,,Arb!$AJ$5,),B78),INDEX(OFFSET(Arb!$A$2,,,Arb!$AJ$5,),B78))+ROW()*0.001)</f>
        <v>43937.078000000001</v>
      </c>
      <c r="I78" s="436">
        <v>53</v>
      </c>
      <c r="J78" s="1">
        <v>2315</v>
      </c>
      <c r="K78" s="52">
        <f ca="1">IF(J78="","",INDEX(OFFSET(Arb!$H$2,,,Arb!$AJ$5,),J78))</f>
        <v>21.09</v>
      </c>
      <c r="L78" s="3">
        <f t="shared" ca="1" si="26"/>
        <v>2.5130393551446182</v>
      </c>
      <c r="M78" s="165">
        <f ca="1">IF(J78="","",INDEX(OFFSET(Arb!$X$2,,,Arb!$AJ$5,),J78)/K78)</f>
        <v>3.1294452347083928</v>
      </c>
      <c r="N78" s="165">
        <f ca="1">IF(J78="","",(INDEX(OFFSET(Arb!$U$2,,,Arb!$AJ$5,),J78)+INDEX(OFFSET(Arb!$V$2,,,Arb!$AJ$5,),J78))/K78)</f>
        <v>3.6510194404931249</v>
      </c>
      <c r="O78" s="51">
        <f t="shared" ca="1" si="36"/>
        <v>45.719798874315437</v>
      </c>
      <c r="P78" s="91">
        <f ca="1">IF(J78="","",DATE(INDEX(OFFSET(Arb!$C$2,,,Arb!$AJ$5,),J78),INDEX(OFFSET(Arb!$B$2,,,Arb!$AJ$5,),J78),INDEX(OFFSET(Arb!$A$2,,,Arb!$AJ$5,),J78))+ROW()*0.001)</f>
        <v>43952.078000000001</v>
      </c>
      <c r="Q78" s="442">
        <v>53</v>
      </c>
      <c r="R78" s="1">
        <v>2284</v>
      </c>
      <c r="S78" s="52">
        <f ca="1">IF(R78="","",INDEX(OFFSET(Arb!$H$2,,,Arb!$AJ$5,),R78))</f>
        <v>21.09</v>
      </c>
      <c r="T78" s="3">
        <f t="shared" ca="1" si="27"/>
        <v>2.5130393551446182</v>
      </c>
      <c r="U78" s="165">
        <f ca="1">IF(R78="","",INDEX(OFFSET(Arb!$X$2,,,Arb!$AJ$5,),R78)/S78)</f>
        <v>3.0820293978188715</v>
      </c>
      <c r="V78" s="165">
        <f ca="1">IF(R78="","",(INDEX(OFFSET(Arb!$U$2,,,Arb!$AJ$5,),R78)+INDEX(OFFSET(Arb!$V$2,,,Arb!$AJ$5,),R78))/S78)</f>
        <v>3.5561877667140824</v>
      </c>
      <c r="W78" s="51">
        <f t="shared" ca="1" si="37"/>
        <v>45.719798874315437</v>
      </c>
      <c r="X78" s="88">
        <f ca="1">IF(R78="","",DATE(INDEX(OFFSET(Arb!$C$2,,,Arb!$AJ$5,),R78),INDEX(OFFSET(Arb!$B$2,,,Arb!$AJ$5,),R78),INDEX(OFFSET(Arb!$A$2,,,Arb!$AJ$5,),R78))+ROW()*0.001)</f>
        <v>43935.078000000001</v>
      </c>
      <c r="Y78" s="436">
        <v>53</v>
      </c>
      <c r="Z78" s="1">
        <v>2256</v>
      </c>
      <c r="AA78" s="52">
        <f ca="1">IF(Z78="","",INDEX(OFFSET(Arb!$H$2,,,Arb!$AJ$5,),Z78))</f>
        <v>21.6</v>
      </c>
      <c r="AB78" s="3">
        <f t="shared" ca="1" si="28"/>
        <v>2.4537037037037037</v>
      </c>
      <c r="AC78" s="165">
        <f ca="1">IF(Z78="","",INDEX(OFFSET(Arb!$X$2,,,Arb!$AJ$5,),Z78)/AA78)</f>
        <v>3.0555555555555554</v>
      </c>
      <c r="AD78" s="165">
        <f ca="1">IF(Z78="","",(INDEX(OFFSET(Arb!$U$2,,,Arb!$AJ$5,),Z78)+INDEX(OFFSET(Arb!$V$2,,,Arb!$AJ$5,),Z78))/AA78)</f>
        <v>3.657407407407407</v>
      </c>
      <c r="AE78" s="51">
        <f t="shared" ca="1" si="38"/>
        <v>43.899858441267263</v>
      </c>
      <c r="AF78" s="91">
        <f ca="1">IF(Z78="","",DATE(INDEX(OFFSET(Arb!$C$2,,,Arb!$AJ$5,),Z78),INDEX(OFFSET(Arb!$B$2,,,Arb!$AJ$5,),Z78),INDEX(OFFSET(Arb!$A$2,,,Arb!$AJ$5,),Z78))+ROW()*0.001)</f>
        <v>43901.078000000001</v>
      </c>
      <c r="AG78" s="442">
        <v>53</v>
      </c>
      <c r="AH78" s="1">
        <v>2401</v>
      </c>
      <c r="AI78" s="52">
        <f ca="1">IF(AH78="","",INDEX(OFFSET(Arb!$H$2,,,Arb!$AJ$5,),AH78))</f>
        <v>22.82</v>
      </c>
      <c r="AJ78" s="3">
        <f t="shared" ca="1" si="29"/>
        <v>2.3225241016652061</v>
      </c>
      <c r="AK78" s="165">
        <f ca="1">IF(AH78="","",INDEX(OFFSET(Arb!$X$2,,,Arb!$AJ$5,),AH78)/AI78)</f>
        <v>2.8921998247151621</v>
      </c>
      <c r="AL78" s="165">
        <f ca="1">IF(AH78="","",(INDEX(OFFSET(Arb!$U$2,,,Arb!$AJ$5,),AH78)+INDEX(OFFSET(Arb!$V$2,,,Arb!$AJ$5,),AH78))/AI78)</f>
        <v>3.2427695004382122</v>
      </c>
      <c r="AM78" s="51">
        <f t="shared" ca="1" si="39"/>
        <v>39.985074418355794</v>
      </c>
      <c r="AN78" s="88">
        <f ca="1">IF(AH78="","",DATE(INDEX(OFFSET(Arb!$C$2,,,Arb!$AJ$5,),AH78),INDEX(OFFSET(Arb!$B$2,,,Arb!$AJ$5,),AH78),INDEX(OFFSET(Arb!$A$2,,,Arb!$AJ$5,),AH78))+ROW()*0.001)</f>
        <v>44168.078000000001</v>
      </c>
      <c r="AO78" s="436">
        <v>53</v>
      </c>
      <c r="AP78" s="1">
        <v>2377</v>
      </c>
      <c r="AQ78" s="52">
        <f ca="1">IF(AP78="","",INDEX(OFFSET(Arb!$H$2,,,Arb!$AJ$5,),AP78))</f>
        <v>22.92</v>
      </c>
      <c r="AR78" s="3">
        <f t="shared" ca="1" si="30"/>
        <v>2.3123909249563699</v>
      </c>
      <c r="AS78" s="165">
        <f ca="1">IF(AP78="","",INDEX(OFFSET(Arb!$X$2,,,Arb!$AJ$5,),AP78)/AQ78)</f>
        <v>3.1413612565445024</v>
      </c>
      <c r="AT78" s="165">
        <f ca="1">IF(AP78="","",(INDEX(OFFSET(Arb!$U$2,,,Arb!$AJ$5,),AP78)+INDEX(OFFSET(Arb!$V$2,,,Arb!$AJ$5,),AP78))/AQ78)</f>
        <v>3.6212914485165792</v>
      </c>
      <c r="AU78" s="51">
        <f t="shared" ca="1" si="40"/>
        <v>39.688954084744701</v>
      </c>
      <c r="AV78" s="91">
        <f ca="1">IF(AP78="","",DATE(INDEX(OFFSET(Arb!$C$2,,,Arb!$AJ$5,),AP78),INDEX(OFFSET(Arb!$B$2,,,Arb!$AJ$5,),AP78),INDEX(OFFSET(Arb!$A$2,,,Arb!$AJ$5,),AP78))+ROW()*0.001)</f>
        <v>44114.078000000001</v>
      </c>
      <c r="AW78" s="442">
        <v>53</v>
      </c>
      <c r="AX78" s="1">
        <v>1965</v>
      </c>
      <c r="AY78" s="52">
        <f ca="1">IF(AX78="","",INDEX(OFFSET(Arb!$H$2,,,Arb!$AJ$5,),AX78))</f>
        <v>23.57</v>
      </c>
      <c r="AZ78" s="3">
        <f t="shared" ca="1" si="31"/>
        <v>2.2486211285532458</v>
      </c>
      <c r="BA78" s="165">
        <f ca="1">IF(AX78="","",INDEX(OFFSET(Arb!$X$2,,,Arb!$AJ$5,),AX78)/AY78)</f>
        <v>2.8850233347475602</v>
      </c>
      <c r="BB78" s="165">
        <f ca="1">IF(AX78="","",(INDEX(OFFSET(Arb!$U$2,,,Arb!$AJ$5,),AX78)+INDEX(OFFSET(Arb!$V$2,,,Arb!$AJ$5,),AX78))/AY78)</f>
        <v>3.3517182859567245</v>
      </c>
      <c r="BC78" s="51">
        <f t="shared" ca="1" si="41"/>
        <v>37.846280730675943</v>
      </c>
      <c r="BD78" s="88">
        <f ca="1">IF(AX78="","",DATE(INDEX(OFFSET(Arb!$C$2,,,Arb!$AJ$5,),AX78),INDEX(OFFSET(Arb!$B$2,,,Arb!$AJ$5,),AX78),INDEX(OFFSET(Arb!$A$2,,,Arb!$AJ$5,),AX78))+ROW()*0.001)</f>
        <v>43779.078000000001</v>
      </c>
      <c r="BE78" s="436">
        <v>53</v>
      </c>
      <c r="BF78" s="1">
        <v>2034</v>
      </c>
      <c r="BG78" s="52">
        <f ca="1">IF(BF78="","",INDEX(OFFSET(Arb!$H$2,,,Arb!$AJ$5,),BF78))</f>
        <v>23.59</v>
      </c>
      <c r="BH78" s="3">
        <f t="shared" ca="1" si="32"/>
        <v>2.2467147096227214</v>
      </c>
      <c r="BI78" s="165">
        <f ca="1">IF(BF78="","",INDEX(OFFSET(Arb!$X$2,,,Arb!$AJ$5,),BF78)/BG78)</f>
        <v>2.755404832556168</v>
      </c>
      <c r="BJ78" s="165">
        <f ca="1">IF(BF78="","",(INDEX(OFFSET(Arb!$U$2,,,Arb!$AJ$5,),BF78)+INDEX(OFFSET(Arb!$V$2,,,Arb!$AJ$5,),BF78))/BG78)</f>
        <v>3.433658329800763</v>
      </c>
      <c r="BK78" s="51">
        <f t="shared" ca="1" si="42"/>
        <v>37.791749502165999</v>
      </c>
      <c r="BL78" s="91">
        <f ca="1">IF(BF78="","",DATE(INDEX(OFFSET(Arb!$C$2,,,Arb!$AJ$5,),BF78),INDEX(OFFSET(Arb!$B$2,,,Arb!$AJ$5,),BF78),INDEX(OFFSET(Arb!$A$2,,,Arb!$AJ$5,),BF78))+ROW()*0.001)</f>
        <v>43797.078000000001</v>
      </c>
      <c r="BM78" s="442">
        <v>53</v>
      </c>
      <c r="BN78" s="1">
        <v>1953</v>
      </c>
      <c r="BO78" s="52">
        <f ca="1">IF(BN78="","",INDEX(OFFSET(Arb!$H$2,,,Arb!$AJ$5,),BN78))</f>
        <v>24.53</v>
      </c>
      <c r="BP78" s="3">
        <f t="shared" ca="1" si="33"/>
        <v>2.1606196494088872</v>
      </c>
      <c r="BQ78" s="165">
        <f ca="1">IF(BN78="","",INDEX(OFFSET(Arb!$X$2,,,Arb!$AJ$5,),BN78)/BO78)</f>
        <v>2.7721157766000815</v>
      </c>
      <c r="BR78" s="165">
        <f ca="1">IF(BN78="","",(INDEX(OFFSET(Arb!$U$2,,,Arb!$AJ$5,),BN78)+INDEX(OFFSET(Arb!$V$2,,,Arb!$AJ$5,),BN78))/BO78)</f>
        <v>3.0167142274765593</v>
      </c>
      <c r="BS78" s="51">
        <f t="shared" ca="1" si="43"/>
        <v>35.362964482035899</v>
      </c>
      <c r="BT78" s="88">
        <f ca="1">IF(BN78="","",DATE(INDEX(OFFSET(Arb!$C$2,,,Arb!$AJ$5,),BN78),INDEX(OFFSET(Arb!$B$2,,,Arb!$AJ$5,),BN78),INDEX(OFFSET(Arb!$A$2,,,Arb!$AJ$5,),BN78))+ROW()*0.001)</f>
        <v>43777.078000000001</v>
      </c>
      <c r="BU78" s="436">
        <v>53</v>
      </c>
      <c r="BV78" s="1">
        <v>2171</v>
      </c>
      <c r="BW78" s="52">
        <f ca="1">IF(BV78="","",INDEX(OFFSET(Arb!$H$2,,,Arb!$AJ$5,),BV78))</f>
        <v>24.57</v>
      </c>
      <c r="BX78" s="3">
        <f t="shared" ca="1" si="34"/>
        <v>2.1571021571021571</v>
      </c>
      <c r="BY78" s="165">
        <f ca="1">IF(BV78="","",INDEX(OFFSET(Arb!$X$2,,,Arb!$AJ$5,),BV78)/BW78)</f>
        <v>2.9711029711029711</v>
      </c>
      <c r="BZ78" s="165">
        <f ca="1">IF(BV78="","",(INDEX(OFFSET(Arb!$U$2,,,Arb!$AJ$5,),BV78)+INDEX(OFFSET(Arb!$V$2,,,Arb!$AJ$5,),BV78))/BW78)</f>
        <v>3.5409035409035408</v>
      </c>
      <c r="CA78" s="51">
        <f t="shared" ca="1" si="44"/>
        <v>35.265149619493947</v>
      </c>
      <c r="CB78" s="91">
        <f ca="1">IF(BV78="","",DATE(INDEX(OFFSET(Arb!$C$2,,,Arb!$AJ$5,),BV78),INDEX(OFFSET(Arb!$B$2,,,Arb!$AJ$5,),BV78),INDEX(OFFSET(Arb!$A$2,,,Arb!$AJ$5,),BV78))+ROW()*0.001)</f>
        <v>43839.078000000001</v>
      </c>
    </row>
    <row r="79" spans="1:80" x14ac:dyDescent="0.25">
      <c r="A79" s="436">
        <v>54</v>
      </c>
      <c r="B79" s="1">
        <v>2132</v>
      </c>
      <c r="C79" s="52">
        <f ca="1">IF(B79="","",INDEX(OFFSET(Arb!$H$2,,,Arb!$AJ$5,),B79))</f>
        <v>19.989999999999998</v>
      </c>
      <c r="D79" s="3">
        <f t="shared" ca="1" si="25"/>
        <v>2.701350675337669</v>
      </c>
      <c r="E79" s="165">
        <f ca="1">IF(B79="","",INDEX(OFFSET(Arb!$X$2,,,Arb!$AJ$5,),B79)/C79)</f>
        <v>2.8514257128564284</v>
      </c>
      <c r="F79" s="165">
        <f ca="1">IF(B79="","",(INDEX(OFFSET(Arb!$U$2,,,Arb!$AJ$5,),B79)+INDEX(OFFSET(Arb!$V$2,,,Arb!$AJ$5,),B79))/C79)</f>
        <v>2.9514757378689347</v>
      </c>
      <c r="G79" s="51">
        <f t="shared" ca="1" si="35"/>
        <v>51.023545926696386</v>
      </c>
      <c r="H79" s="355">
        <f ca="1">IF(B79="","",DATE(INDEX(OFFSET(Arb!$C$2,,,Arb!$AJ$5,),B79),INDEX(OFFSET(Arb!$B$2,,,Arb!$AJ$5,),B79),INDEX(OFFSET(Arb!$A$2,,,Arb!$AJ$5,),B79))+ROW()*0.001)</f>
        <v>43815.078999999998</v>
      </c>
      <c r="I79" s="436">
        <v>54</v>
      </c>
      <c r="J79" s="1">
        <v>2215</v>
      </c>
      <c r="K79" s="52">
        <f ca="1">IF(J79="","",INDEX(OFFSET(Arb!$H$2,,,Arb!$AJ$5,),J79))</f>
        <v>20.09</v>
      </c>
      <c r="L79" s="3">
        <f t="shared" ca="1" si="26"/>
        <v>2.6879044300647088</v>
      </c>
      <c r="M79" s="165">
        <f ca="1">IF(J79="","",INDEX(OFFSET(Arb!$X$2,,,Arb!$AJ$5,),J79)/K79)</f>
        <v>3.3847685415629667</v>
      </c>
      <c r="N79" s="165">
        <f ca="1">IF(J79="","",(INDEX(OFFSET(Arb!$U$2,,,Arb!$AJ$5,),J79)+INDEX(OFFSET(Arb!$V$2,,,Arb!$AJ$5,),J79))/K79)</f>
        <v>3.7332005973120954</v>
      </c>
      <c r="O79" s="51">
        <f t="shared" ca="1" si="36"/>
        <v>50.592541259185694</v>
      </c>
      <c r="P79" s="91">
        <f ca="1">IF(J79="","",DATE(INDEX(OFFSET(Arb!$C$2,,,Arb!$AJ$5,),J79),INDEX(OFFSET(Arb!$B$2,,,Arb!$AJ$5,),J79),INDEX(OFFSET(Arb!$A$2,,,Arb!$AJ$5,),J79))+ROW()*0.001)</f>
        <v>43870.078999999998</v>
      </c>
      <c r="Q79" s="442">
        <v>54</v>
      </c>
      <c r="R79" s="1">
        <v>2288</v>
      </c>
      <c r="S79" s="52">
        <f ca="1">IF(R79="","",INDEX(OFFSET(Arb!$H$2,,,Arb!$AJ$5,),R79))</f>
        <v>21.38</v>
      </c>
      <c r="T79" s="3">
        <f t="shared" ca="1" si="27"/>
        <v>2.5257249766136578</v>
      </c>
      <c r="U79" s="165">
        <f ca="1">IF(R79="","",INDEX(OFFSET(Arb!$X$2,,,Arb!$AJ$5,),R79)/S79)</f>
        <v>3.3676333021515434</v>
      </c>
      <c r="V79" s="165">
        <f ca="1">IF(R79="","",(INDEX(OFFSET(Arb!$U$2,,,Arb!$AJ$5,),R79)+INDEX(OFFSET(Arb!$V$2,,,Arb!$AJ$5,),R79))/S79)</f>
        <v>4.0224508886810106</v>
      </c>
      <c r="W79" s="51">
        <f t="shared" ca="1" si="37"/>
        <v>45.51340163306061</v>
      </c>
      <c r="X79" s="88">
        <f ca="1">IF(R79="","",DATE(INDEX(OFFSET(Arb!$C$2,,,Arb!$AJ$5,),R79),INDEX(OFFSET(Arb!$B$2,,,Arb!$AJ$5,),R79),INDEX(OFFSET(Arb!$A$2,,,Arb!$AJ$5,),R79))+ROW()*0.001)</f>
        <v>43937.078999999998</v>
      </c>
      <c r="Y79" s="436">
        <v>54</v>
      </c>
      <c r="Z79" s="1">
        <v>1903</v>
      </c>
      <c r="AA79" s="52">
        <f ca="1">IF(Z79="","",INDEX(OFFSET(Arb!$H$2,,,Arb!$AJ$5,),Z79))</f>
        <v>21.47</v>
      </c>
      <c r="AB79" s="3">
        <f t="shared" ca="1" si="28"/>
        <v>2.5151374010246856</v>
      </c>
      <c r="AC79" s="165">
        <f ca="1">IF(Z79="","",INDEX(OFFSET(Arb!$X$2,,,Arb!$AJ$5,),Z79)/AA79)</f>
        <v>3.0274802049371217</v>
      </c>
      <c r="AD79" s="165">
        <f ca="1">IF(Z79="","",(INDEX(OFFSET(Arb!$U$2,,,Arb!$AJ$5,),Z79)+INDEX(OFFSET(Arb!$V$2,,,Arb!$AJ$5,),Z79))/AA79)</f>
        <v>3.5863996273870518</v>
      </c>
      <c r="AE79" s="51">
        <f t="shared" ca="1" si="38"/>
        <v>45.189539057636608</v>
      </c>
      <c r="AF79" s="91">
        <f ca="1">IF(Z79="","",DATE(INDEX(OFFSET(Arb!$C$2,,,Arb!$AJ$5,),Z79),INDEX(OFFSET(Arb!$B$2,,,Arb!$AJ$5,),Z79),INDEX(OFFSET(Arb!$A$2,,,Arb!$AJ$5,),Z79))+ROW()*0.001)</f>
        <v>43765.078999999998</v>
      </c>
      <c r="AG79" s="442">
        <v>54</v>
      </c>
      <c r="AH79" s="1">
        <v>2076</v>
      </c>
      <c r="AI79" s="52">
        <f ca="1">IF(AH79="","",INDEX(OFFSET(Arb!$H$2,,,Arb!$AJ$5,),AH79))</f>
        <v>21.71</v>
      </c>
      <c r="AJ79" s="3">
        <f t="shared" ca="1" si="29"/>
        <v>2.487333026255182</v>
      </c>
      <c r="AK79" s="165">
        <f ca="1">IF(AH79="","",INDEX(OFFSET(Arb!$X$2,,,Arb!$AJ$5,),AH79)/AI79)</f>
        <v>2.8558268079226163</v>
      </c>
      <c r="AL79" s="165">
        <f ca="1">IF(AH79="","",(INDEX(OFFSET(Arb!$U$2,,,Arb!$AJ$5,),AH79)+INDEX(OFFSET(Arb!$V$2,,,Arb!$AJ$5,),AH79))/AI79)</f>
        <v>3.1782588668816212</v>
      </c>
      <c r="AM79" s="51">
        <f t="shared" ca="1" si="39"/>
        <v>44.343573357694446</v>
      </c>
      <c r="AN79" s="88">
        <f ca="1">IF(AH79="","",DATE(INDEX(OFFSET(Arb!$C$2,,,Arb!$AJ$5,),AH79),INDEX(OFFSET(Arb!$B$2,,,Arb!$AJ$5,),AH79),INDEX(OFFSET(Arb!$A$2,,,Arb!$AJ$5,),AH79))+ROW()*0.001)</f>
        <v>43805.078999999998</v>
      </c>
      <c r="AO79" s="436">
        <v>54</v>
      </c>
      <c r="AP79" s="1">
        <v>2307</v>
      </c>
      <c r="AQ79" s="52">
        <f ca="1">IF(AP79="","",INDEX(OFFSET(Arb!$H$2,,,Arb!$AJ$5,),AP79))</f>
        <v>21.74</v>
      </c>
      <c r="AR79" s="3">
        <f t="shared" ca="1" si="30"/>
        <v>2.4839006439742413</v>
      </c>
      <c r="AS79" s="165">
        <f ca="1">IF(AP79="","",INDEX(OFFSET(Arb!$X$2,,,Arb!$AJ$5,),AP79)/AQ79)</f>
        <v>3.3118675252989882</v>
      </c>
      <c r="AT79" s="165">
        <f ca="1">IF(AP79="","",(INDEX(OFFSET(Arb!$U$2,,,Arb!$AJ$5,),AP79)+INDEX(OFFSET(Arb!$V$2,,,Arb!$AJ$5,),AP79))/AQ79)</f>
        <v>3.4958601655933763</v>
      </c>
      <c r="AU79" s="51">
        <f t="shared" ca="1" si="40"/>
        <v>44.239597745049728</v>
      </c>
      <c r="AV79" s="91">
        <f ca="1">IF(AP79="","",DATE(INDEX(OFFSET(Arb!$C$2,,,Arb!$AJ$5,),AP79),INDEX(OFFSET(Arb!$B$2,,,Arb!$AJ$5,),AP79),INDEX(OFFSET(Arb!$A$2,,,Arb!$AJ$5,),AP79))+ROW()*0.001)</f>
        <v>43950.078999999998</v>
      </c>
      <c r="AW79" s="442">
        <v>54</v>
      </c>
      <c r="AX79" s="1">
        <v>2201</v>
      </c>
      <c r="AY79" s="52">
        <f ca="1">IF(AX79="","",INDEX(OFFSET(Arb!$H$2,,,Arb!$AJ$5,),AX79))</f>
        <v>22.43</v>
      </c>
      <c r="AZ79" s="3">
        <f t="shared" ca="1" si="31"/>
        <v>2.4074899687917966</v>
      </c>
      <c r="BA79" s="165">
        <f ca="1">IF(AX79="","",INDEX(OFFSET(Arb!$X$2,,,Arb!$AJ$5,),AX79)/AY79)</f>
        <v>2.7641551493535443</v>
      </c>
      <c r="BB79" s="165">
        <f ca="1">IF(AX79="","",(INDEX(OFFSET(Arb!$U$2,,,Arb!$AJ$5,),AX79)+INDEX(OFFSET(Arb!$V$2,,,Arb!$AJ$5,),AX79))/AY79)</f>
        <v>3.2545697726259473</v>
      </c>
      <c r="BC79" s="51">
        <f t="shared" ca="1" si="41"/>
        <v>41.951029384706629</v>
      </c>
      <c r="BD79" s="88">
        <f ca="1">IF(AX79="","",DATE(INDEX(OFFSET(Arb!$C$2,,,Arb!$AJ$5,),AX79),INDEX(OFFSET(Arb!$B$2,,,Arb!$AJ$5,),AX79),INDEX(OFFSET(Arb!$A$2,,,Arb!$AJ$5,),AX79))+ROW()*0.001)</f>
        <v>43854.078999999998</v>
      </c>
      <c r="BE79" s="436">
        <v>54</v>
      </c>
      <c r="BF79" s="1">
        <v>2390</v>
      </c>
      <c r="BG79" s="52">
        <f ca="1">IF(BF79="","",INDEX(OFFSET(Arb!$H$2,,,Arb!$AJ$5,),BF79))</f>
        <v>22.91</v>
      </c>
      <c r="BH79" s="3">
        <f t="shared" ca="1" si="32"/>
        <v>2.3570493234395462</v>
      </c>
      <c r="BI79" s="165">
        <f ca="1">IF(BF79="","",INDEX(OFFSET(Arb!$X$2,,,Arb!$AJ$5,),BF79)/BG79)</f>
        <v>2.6625927542557837</v>
      </c>
      <c r="BJ79" s="165">
        <f ca="1">IF(BF79="","",(INDEX(OFFSET(Arb!$U$2,,,Arb!$AJ$5,),BF79)+INDEX(OFFSET(Arb!$V$2,,,Arb!$AJ$5,),BF79))/BG79)</f>
        <v>2.8371890004364908</v>
      </c>
      <c r="BK79" s="51">
        <f t="shared" ca="1" si="42"/>
        <v>40.467813084969769</v>
      </c>
      <c r="BL79" s="91">
        <f ca="1">IF(BF79="","",DATE(INDEX(OFFSET(Arb!$C$2,,,Arb!$AJ$5,),BF79),INDEX(OFFSET(Arb!$B$2,,,Arb!$AJ$5,),BF79),INDEX(OFFSET(Arb!$A$2,,,Arb!$AJ$5,),BF79))+ROW()*0.001)</f>
        <v>44117.078999999998</v>
      </c>
      <c r="BM79" s="442">
        <v>54</v>
      </c>
      <c r="BN79" s="1">
        <v>2216</v>
      </c>
      <c r="BO79" s="52">
        <f ca="1">IF(BN79="","",INDEX(OFFSET(Arb!$H$2,,,Arb!$AJ$5,),BN79))</f>
        <v>23.07</v>
      </c>
      <c r="BP79" s="3">
        <f t="shared" ca="1" si="33"/>
        <v>2.3407022106631987</v>
      </c>
      <c r="BQ79" s="165">
        <f ca="1">IF(BN79="","",INDEX(OFFSET(Arb!$X$2,,,Arb!$AJ$5,),BN79)/BO79)</f>
        <v>2.990897269180754</v>
      </c>
      <c r="BR79" s="165">
        <f ca="1">IF(BN79="","",(INDEX(OFFSET(Arb!$U$2,,,Arb!$AJ$5,),BN79)+INDEX(OFFSET(Arb!$V$2,,,Arb!$AJ$5,),BN79))/BO79)</f>
        <v>3.4677069787602948</v>
      </c>
      <c r="BS79" s="51">
        <f t="shared" ca="1" si="43"/>
        <v>39.991848297109954</v>
      </c>
      <c r="BT79" s="88">
        <f ca="1">IF(BN79="","",DATE(INDEX(OFFSET(Arb!$C$2,,,Arb!$AJ$5,),BN79),INDEX(OFFSET(Arb!$B$2,,,Arb!$AJ$5,),BN79),INDEX(OFFSET(Arb!$A$2,,,Arb!$AJ$5,),BN79))+ROW()*0.001)</f>
        <v>43870.078999999998</v>
      </c>
      <c r="BU79" s="436">
        <v>54</v>
      </c>
      <c r="BV79" s="1">
        <v>2379</v>
      </c>
      <c r="BW79" s="52">
        <f ca="1">IF(BV79="","",INDEX(OFFSET(Arb!$H$2,,,Arb!$AJ$5,),BV79))</f>
        <v>23.32</v>
      </c>
      <c r="BX79" s="3">
        <f t="shared" ca="1" si="34"/>
        <v>2.3156089193825045</v>
      </c>
      <c r="BY79" s="165">
        <f ca="1">IF(BV79="","",INDEX(OFFSET(Arb!$X$2,,,Arb!$AJ$5,),BV79)/BW79)</f>
        <v>2.7015437392795882</v>
      </c>
      <c r="BZ79" s="165">
        <f ca="1">IF(BV79="","",(INDEX(OFFSET(Arb!$U$2,,,Arb!$AJ$5,),BV79)+INDEX(OFFSET(Arb!$V$2,,,Arb!$AJ$5,),BV79))/BW79)</f>
        <v>3.0874785591766725</v>
      </c>
      <c r="CA79" s="51">
        <f t="shared" ca="1" si="44"/>
        <v>39.265746518853987</v>
      </c>
      <c r="CB79" s="91">
        <f ca="1">IF(BV79="","",DATE(INDEX(OFFSET(Arb!$C$2,,,Arb!$AJ$5,),BV79),INDEX(OFFSET(Arb!$B$2,,,Arb!$AJ$5,),BV79),INDEX(OFFSET(Arb!$A$2,,,Arb!$AJ$5,),BV79))+ROW()*0.001)</f>
        <v>44114.078999999998</v>
      </c>
    </row>
    <row r="80" spans="1:80" x14ac:dyDescent="0.25">
      <c r="A80" s="436">
        <v>55</v>
      </c>
      <c r="B80" s="1">
        <v>2114</v>
      </c>
      <c r="C80" s="52">
        <f ca="1">IF(B80="","",INDEX(OFFSET(Arb!$H$2,,,Arb!$AJ$5,),B80))</f>
        <v>18.7</v>
      </c>
      <c r="D80" s="3">
        <f t="shared" ca="1" si="25"/>
        <v>2.9411764705882355</v>
      </c>
      <c r="E80" s="165">
        <f ca="1">IF(B80="","",INDEX(OFFSET(Arb!$X$2,,,Arb!$AJ$5,),B80)/C80)</f>
        <v>3.4224598930481283</v>
      </c>
      <c r="F80" s="165">
        <f ca="1">IF(B80="","",(INDEX(OFFSET(Arb!$U$2,,,Arb!$AJ$5,),B80)+INDEX(OFFSET(Arb!$V$2,,,Arb!$AJ$5,),B80))/C80)</f>
        <v>3.6363636363636367</v>
      </c>
      <c r="G80" s="51">
        <f t="shared" ca="1" si="35"/>
        <v>58.209059934160187</v>
      </c>
      <c r="H80" s="355">
        <f ca="1">IF(B80="","",DATE(INDEX(OFFSET(Arb!$C$2,,,Arb!$AJ$5,),B80),INDEX(OFFSET(Arb!$B$2,,,Arb!$AJ$5,),B80),INDEX(OFFSET(Arb!$A$2,,,Arb!$AJ$5,),B80))+ROW()*0.001)</f>
        <v>43811.08</v>
      </c>
      <c r="I80" s="436">
        <v>55</v>
      </c>
      <c r="J80" s="1">
        <v>2213</v>
      </c>
      <c r="K80" s="52">
        <f ca="1">IF(J80="","",INDEX(OFFSET(Arb!$H$2,,,Arb!$AJ$5,),J80))</f>
        <v>20.14</v>
      </c>
      <c r="L80" s="3">
        <f t="shared" ca="1" si="26"/>
        <v>2.730883813306852</v>
      </c>
      <c r="M80" s="165">
        <f ca="1">IF(J80="","",INDEX(OFFSET(Arb!$X$2,,,Arb!$AJ$5,),J80)/K80)</f>
        <v>3.1777557100297913</v>
      </c>
      <c r="N80" s="165">
        <f ca="1">IF(J80="","",(INDEX(OFFSET(Arb!$U$2,,,Arb!$AJ$5,),J80)+INDEX(OFFSET(Arb!$V$2,,,Arb!$AJ$5,),J80))/K80)</f>
        <v>3.5253227408142997</v>
      </c>
      <c r="O80" s="51">
        <f t="shared" ca="1" si="36"/>
        <v>51.312151412312986</v>
      </c>
      <c r="P80" s="91">
        <f ca="1">IF(J80="","",DATE(INDEX(OFFSET(Arb!$C$2,,,Arb!$AJ$5,),J80),INDEX(OFFSET(Arb!$B$2,,,Arb!$AJ$5,),J80),INDEX(OFFSET(Arb!$A$2,,,Arb!$AJ$5,),J80))+ROW()*0.001)</f>
        <v>43869.08</v>
      </c>
      <c r="Q80" s="442">
        <v>55</v>
      </c>
      <c r="R80" s="1">
        <v>2233</v>
      </c>
      <c r="S80" s="52">
        <f ca="1">IF(R80="","",INDEX(OFFSET(Arb!$H$2,,,Arb!$AJ$5,),R80))</f>
        <v>21.34</v>
      </c>
      <c r="T80" s="3">
        <f t="shared" ca="1" si="27"/>
        <v>2.5773195876288661</v>
      </c>
      <c r="U80" s="165">
        <f ca="1">IF(R80="","",INDEX(OFFSET(Arb!$X$2,,,Arb!$AJ$5,),R80)/S80)</f>
        <v>3.4208059981255858</v>
      </c>
      <c r="V80" s="165">
        <f ca="1">IF(R80="","",(INDEX(OFFSET(Arb!$U$2,,,Arb!$AJ$5,),R80)+INDEX(OFFSET(Arb!$V$2,,,Arb!$AJ$5,),R80))/S80)</f>
        <v>3.9831302717900656</v>
      </c>
      <c r="W80" s="51">
        <f t="shared" ca="1" si="37"/>
        <v>46.50405365508113</v>
      </c>
      <c r="X80" s="88">
        <f ca="1">IF(R80="","",DATE(INDEX(OFFSET(Arb!$C$2,,,Arb!$AJ$5,),R80),INDEX(OFFSET(Arb!$B$2,,,Arb!$AJ$5,),R80),INDEX(OFFSET(Arb!$A$2,,,Arb!$AJ$5,),R80))+ROW()*0.001)</f>
        <v>43885.08</v>
      </c>
      <c r="Y80" s="436">
        <v>55</v>
      </c>
      <c r="Z80" s="1">
        <v>2045</v>
      </c>
      <c r="AA80" s="52">
        <f ca="1">IF(Z80="","",INDEX(OFFSET(Arb!$H$2,,,Arb!$AJ$5,),Z80))</f>
        <v>21.81</v>
      </c>
      <c r="AB80" s="3">
        <f t="shared" ca="1" si="28"/>
        <v>2.5217790004585052</v>
      </c>
      <c r="AC80" s="165">
        <f ca="1">IF(Z80="","",INDEX(OFFSET(Arb!$X$2,,,Arb!$AJ$5,),Z80)/AA80)</f>
        <v>3.1636863823933976</v>
      </c>
      <c r="AD80" s="165">
        <f ca="1">IF(Z80="","",(INDEX(OFFSET(Arb!$U$2,,,Arb!$AJ$5,),Z80)+INDEX(OFFSET(Arb!$V$2,,,Arb!$AJ$5,),Z80))/AA80)</f>
        <v>3.4846400733608438</v>
      </c>
      <c r="AE80" s="51">
        <f t="shared" ca="1" si="38"/>
        <v>44.813275147970799</v>
      </c>
      <c r="AF80" s="91">
        <f ca="1">IF(Z80="","",DATE(INDEX(OFFSET(Arb!$C$2,,,Arb!$AJ$5,),Z80),INDEX(OFFSET(Arb!$B$2,,,Arb!$AJ$5,),Z80),INDEX(OFFSET(Arb!$A$2,,,Arb!$AJ$5,),Z80))+ROW()*0.001)</f>
        <v>43798.080000000002</v>
      </c>
      <c r="AG80" s="442">
        <v>55</v>
      </c>
      <c r="AH80" s="1">
        <v>2262</v>
      </c>
      <c r="AI80" s="52">
        <f ca="1">IF(AH80="","",INDEX(OFFSET(Arb!$H$2,,,Arb!$AJ$5,),AH80))</f>
        <v>22.45</v>
      </c>
      <c r="AJ80" s="3">
        <f t="shared" ca="1" si="29"/>
        <v>2.4498886414253898</v>
      </c>
      <c r="AK80" s="165">
        <f ca="1">IF(AH80="","",INDEX(OFFSET(Arb!$X$2,,,Arb!$AJ$5,),AH80)/AI80)</f>
        <v>3.0734966592427617</v>
      </c>
      <c r="AL80" s="165">
        <f ca="1">IF(AH80="","",(INDEX(OFFSET(Arb!$U$2,,,Arb!$AJ$5,),AH80)+INDEX(OFFSET(Arb!$V$2,,,Arb!$AJ$5,),AH80))/AI80)</f>
        <v>3.5189309576837418</v>
      </c>
      <c r="AM80" s="51">
        <f t="shared" ca="1" si="39"/>
        <v>42.663210072201814</v>
      </c>
      <c r="AN80" s="88">
        <f ca="1">IF(AH80="","",DATE(INDEX(OFFSET(Arb!$C$2,,,Arb!$AJ$5,),AH80),INDEX(OFFSET(Arb!$B$2,,,Arb!$AJ$5,),AH80),INDEX(OFFSET(Arb!$A$2,,,Arb!$AJ$5,),AH80))+ROW()*0.001)</f>
        <v>43905.08</v>
      </c>
      <c r="AO80" s="436">
        <v>55</v>
      </c>
      <c r="AP80" s="1">
        <v>2259</v>
      </c>
      <c r="AQ80" s="52">
        <f ca="1">IF(AP80="","",INDEX(OFFSET(Arb!$H$2,,,Arb!$AJ$5,),AP80))</f>
        <v>23.62</v>
      </c>
      <c r="AR80" s="3">
        <f t="shared" ca="1" si="30"/>
        <v>2.3285351397121081</v>
      </c>
      <c r="AS80" s="165">
        <f ca="1">IF(AP80="","",INDEX(OFFSET(Arb!$X$2,,,Arb!$AJ$5,),AP80)/AQ80)</f>
        <v>3.1752751905165111</v>
      </c>
      <c r="AT80" s="165">
        <f ca="1">IF(AP80="","",(INDEX(OFFSET(Arb!$U$2,,,Arb!$AJ$5,),AP80)+INDEX(OFFSET(Arb!$V$2,,,Arb!$AJ$5,),AP80))/AQ80)</f>
        <v>3.6833192209991532</v>
      </c>
      <c r="AU80" s="51">
        <f t="shared" ca="1" si="40"/>
        <v>39.133212220684122</v>
      </c>
      <c r="AV80" s="91">
        <f ca="1">IF(AP80="","",DATE(INDEX(OFFSET(Arb!$C$2,,,Arb!$AJ$5,),AP80),INDEX(OFFSET(Arb!$B$2,,,Arb!$AJ$5,),AP80),INDEX(OFFSET(Arb!$A$2,,,Arb!$AJ$5,),AP80))+ROW()*0.001)</f>
        <v>43901.08</v>
      </c>
      <c r="AW80" s="442">
        <v>55</v>
      </c>
      <c r="AX80" s="1">
        <v>2082</v>
      </c>
      <c r="AY80" s="52">
        <f ca="1">IF(AX80="","",INDEX(OFFSET(Arb!$H$2,,,Arb!$AJ$5,),AX80))</f>
        <v>23.93</v>
      </c>
      <c r="AZ80" s="3">
        <f t="shared" ca="1" si="31"/>
        <v>2.2983702465524445</v>
      </c>
      <c r="BA80" s="165">
        <f ca="1">IF(AX80="","",INDEX(OFFSET(Arb!$X$2,,,Arb!$AJ$5,),AX80)/AY80)</f>
        <v>3.0087755954868367</v>
      </c>
      <c r="BB80" s="165">
        <f ca="1">IF(AX80="","",(INDEX(OFFSET(Arb!$U$2,,,Arb!$AJ$5,),AX80)+INDEX(OFFSET(Arb!$V$2,,,Arb!$AJ$5,),AX80))/AY80)</f>
        <v>3.5520267446719598</v>
      </c>
      <c r="BC80" s="51">
        <f t="shared" ca="1" si="41"/>
        <v>38.275311075537594</v>
      </c>
      <c r="BD80" s="88">
        <f ca="1">IF(AX80="","",DATE(INDEX(OFFSET(Arb!$C$2,,,Arb!$AJ$5,),AX80),INDEX(OFFSET(Arb!$B$2,,,Arb!$AJ$5,),AX80),INDEX(OFFSET(Arb!$A$2,,,Arb!$AJ$5,),AX80))+ROW()*0.001)</f>
        <v>43809.08</v>
      </c>
      <c r="BE80" s="436">
        <v>55</v>
      </c>
      <c r="BF80" s="1">
        <v>2187</v>
      </c>
      <c r="BG80" s="52">
        <f ca="1">IF(BF80="","",INDEX(OFFSET(Arb!$H$2,,,Arb!$AJ$5,),BF80))</f>
        <v>24.05</v>
      </c>
      <c r="BH80" s="3">
        <f t="shared" ca="1" si="32"/>
        <v>2.2869022869022868</v>
      </c>
      <c r="BI80" s="165">
        <f ca="1">IF(BF80="","",INDEX(OFFSET(Arb!$X$2,,,Arb!$AJ$5,),BF80)/BG80)</f>
        <v>2.5363825363825363</v>
      </c>
      <c r="BJ80" s="165">
        <f ca="1">IF(BF80="","",(INDEX(OFFSET(Arb!$U$2,,,Arb!$AJ$5,),BF80)+INDEX(OFFSET(Arb!$V$2,,,Arb!$AJ$5,),BF80))/BG80)</f>
        <v>2.7858627858627858</v>
      </c>
      <c r="BK80" s="51">
        <f t="shared" ca="1" si="42"/>
        <v>37.951214577965381</v>
      </c>
      <c r="BL80" s="91">
        <f ca="1">IF(BF80="","",DATE(INDEX(OFFSET(Arb!$C$2,,,Arb!$AJ$5,),BF80),INDEX(OFFSET(Arb!$B$2,,,Arb!$AJ$5,),BF80),INDEX(OFFSET(Arb!$A$2,,,Arb!$AJ$5,),BF80))+ROW()*0.001)</f>
        <v>43840.08</v>
      </c>
      <c r="BM80" s="442">
        <v>55</v>
      </c>
      <c r="BN80" s="1">
        <v>2194</v>
      </c>
      <c r="BO80" s="52">
        <f ca="1">IF(BN80="","",INDEX(OFFSET(Arb!$H$2,,,Arb!$AJ$5,),BN80))</f>
        <v>24.44</v>
      </c>
      <c r="BP80" s="3">
        <f t="shared" ca="1" si="33"/>
        <v>2.250409165302782</v>
      </c>
      <c r="BQ80" s="165">
        <f ca="1">IF(BN80="","",INDEX(OFFSET(Arb!$X$2,,,Arb!$AJ$5,),BN80)/BO80)</f>
        <v>2.8641571194762681</v>
      </c>
      <c r="BR80" s="165">
        <f ca="1">IF(BN80="","",(INDEX(OFFSET(Arb!$U$2,,,Arb!$AJ$5,),BN80)+INDEX(OFFSET(Arb!$V$2,,,Arb!$AJ$5,),BN80))/BO80)</f>
        <v>3.1914893617021276</v>
      </c>
      <c r="BS80" s="51">
        <f t="shared" ca="1" si="43"/>
        <v>36.927446193296184</v>
      </c>
      <c r="BT80" s="88">
        <f ca="1">IF(BN80="","",DATE(INDEX(OFFSET(Arb!$C$2,,,Arb!$AJ$5,),BN80),INDEX(OFFSET(Arb!$B$2,,,Arb!$AJ$5,),BN80),INDEX(OFFSET(Arb!$A$2,,,Arb!$AJ$5,),BN80))+ROW()*0.001)</f>
        <v>43852.08</v>
      </c>
      <c r="BU80" s="436">
        <v>55</v>
      </c>
      <c r="BV80" s="1">
        <v>2173</v>
      </c>
      <c r="BW80" s="52">
        <f ca="1">IF(BV80="","",INDEX(OFFSET(Arb!$H$2,,,Arb!$AJ$5,),BV80))</f>
        <v>25.64</v>
      </c>
      <c r="BX80" s="3">
        <f t="shared" ca="1" si="34"/>
        <v>2.1450858034321372</v>
      </c>
      <c r="BY80" s="165">
        <f ca="1">IF(BV80="","",INDEX(OFFSET(Arb!$X$2,,,Arb!$AJ$5,),BV80)/BW80)</f>
        <v>3.0031201248049921</v>
      </c>
      <c r="BZ80" s="165">
        <f ca="1">IF(BV80="","",(INDEX(OFFSET(Arb!$U$2,,,Arb!$AJ$5,),BV80)+INDEX(OFFSET(Arb!$V$2,,,Arb!$AJ$5,),BV80))/BW80)</f>
        <v>3.6661466458658345</v>
      </c>
      <c r="CA80" s="51">
        <f t="shared" ca="1" si="44"/>
        <v>34.037737230897967</v>
      </c>
      <c r="CB80" s="91">
        <f ca="1">IF(BV80="","",DATE(INDEX(OFFSET(Arb!$C$2,,,Arb!$AJ$5,),BV80),INDEX(OFFSET(Arb!$B$2,,,Arb!$AJ$5,),BV80),INDEX(OFFSET(Arb!$A$2,,,Arb!$AJ$5,),BV80))+ROW()*0.001)</f>
        <v>43840.08</v>
      </c>
    </row>
    <row r="81" spans="1:80" x14ac:dyDescent="0.25">
      <c r="A81" s="436">
        <v>56</v>
      </c>
      <c r="B81" s="1">
        <v>2382</v>
      </c>
      <c r="C81" s="52">
        <f ca="1">IF(B81="","",INDEX(OFFSET(Arb!$H$2,,,Arb!$AJ$5,),B81))</f>
        <v>21.75</v>
      </c>
      <c r="D81" s="3">
        <f t="shared" ca="1" si="25"/>
        <v>2.5747126436781609</v>
      </c>
      <c r="E81" s="165">
        <f ca="1">IF(B81="","",INDEX(OFFSET(Arb!$X$2,,,Arb!$AJ$5,),B81)/C81)</f>
        <v>2.9425287356321839</v>
      </c>
      <c r="F81" s="165">
        <f ca="1">IF(B81="","",(INDEX(OFFSET(Arb!$U$2,,,Arb!$AJ$5,),B81)+INDEX(OFFSET(Arb!$V$2,,,Arb!$AJ$5,),B81))/C81)</f>
        <v>3.3563218390804597</v>
      </c>
      <c r="G81" s="51">
        <f t="shared" ca="1" si="35"/>
        <v>45.842248389980334</v>
      </c>
      <c r="H81" s="355">
        <f ca="1">IF(B81="","",DATE(INDEX(OFFSET(Arb!$C$2,,,Arb!$AJ$5,),B81),INDEX(OFFSET(Arb!$B$2,,,Arb!$AJ$5,),B81),INDEX(OFFSET(Arb!$A$2,,,Arb!$AJ$5,),B81))+ROW()*0.001)</f>
        <v>44117.080999999998</v>
      </c>
      <c r="I81" s="436">
        <v>56</v>
      </c>
      <c r="J81" s="1">
        <v>2357</v>
      </c>
      <c r="K81" s="52">
        <f ca="1">IF(J81="","",INDEX(OFFSET(Arb!$H$2,,,Arb!$AJ$5,),J81))</f>
        <v>21.78</v>
      </c>
      <c r="L81" s="3">
        <f t="shared" ca="1" si="26"/>
        <v>2.5711662075298438</v>
      </c>
      <c r="M81" s="165">
        <f ca="1">IF(J81="","",INDEX(OFFSET(Arb!$X$2,,,Arb!$AJ$5,),J81)/K81)</f>
        <v>2.9843893480257115</v>
      </c>
      <c r="N81" s="165">
        <f ca="1">IF(J81="","",(INDEX(OFFSET(Arb!$U$2,,,Arb!$AJ$5,),J81)+INDEX(OFFSET(Arb!$V$2,,,Arb!$AJ$5,),J81))/K81)</f>
        <v>3.3516988062442605</v>
      </c>
      <c r="O81" s="51">
        <f t="shared" ca="1" si="36"/>
        <v>45.734956039225608</v>
      </c>
      <c r="P81" s="91">
        <f ca="1">IF(J81="","",DATE(INDEX(OFFSET(Arb!$C$2,,,Arb!$AJ$5,),J81),INDEX(OFFSET(Arb!$B$2,,,Arb!$AJ$5,),J81),INDEX(OFFSET(Arb!$A$2,,,Arb!$AJ$5,),J81))+ROW()*0.001)</f>
        <v>44114.080999999998</v>
      </c>
      <c r="Q81" s="442">
        <v>56</v>
      </c>
      <c r="R81" s="1">
        <v>1991</v>
      </c>
      <c r="S81" s="52">
        <f ca="1">IF(R81="","",INDEX(OFFSET(Arb!$H$2,,,Arb!$AJ$5,),R81))</f>
        <v>23.66</v>
      </c>
      <c r="T81" s="3">
        <f t="shared" ca="1" si="27"/>
        <v>2.3668639053254439</v>
      </c>
      <c r="U81" s="165">
        <f ca="1">IF(R81="","",INDEX(OFFSET(Arb!$X$2,,,Arb!$AJ$5,),R81)/S81)</f>
        <v>2.9585798816568047</v>
      </c>
      <c r="V81" s="165">
        <f ca="1">IF(R81="","",(INDEX(OFFSET(Arb!$U$2,,,Arb!$AJ$5,),R81)+INDEX(OFFSET(Arb!$V$2,,,Arb!$AJ$5,),R81))/S81)</f>
        <v>3.1699070160608622</v>
      </c>
      <c r="W81" s="51">
        <f t="shared" ca="1" si="37"/>
        <v>39.730277248736598</v>
      </c>
      <c r="X81" s="88">
        <f ca="1">IF(R81="","",DATE(INDEX(OFFSET(Arb!$C$2,,,Arb!$AJ$5,),R81),INDEX(OFFSET(Arb!$B$2,,,Arb!$AJ$5,),R81),INDEX(OFFSET(Arb!$A$2,,,Arb!$AJ$5,),R81))+ROW()*0.001)</f>
        <v>43784.080999999998</v>
      </c>
      <c r="Y81" s="436">
        <v>56</v>
      </c>
      <c r="Z81" s="1">
        <v>1947</v>
      </c>
      <c r="AA81" s="52">
        <f ca="1">IF(Z81="","",INDEX(OFFSET(Arb!$H$2,,,Arb!$AJ$5,),Z81))</f>
        <v>24.75</v>
      </c>
      <c r="AB81" s="3">
        <f t="shared" ca="1" si="28"/>
        <v>2.2626262626262625</v>
      </c>
      <c r="AC81" s="165">
        <f ca="1">IF(Z81="","",INDEX(OFFSET(Arb!$X$2,,,Arb!$AJ$5,),Z81)/AA81)</f>
        <v>3.2727272727272729</v>
      </c>
      <c r="AD81" s="165">
        <f ca="1">IF(Z81="","",(INDEX(OFFSET(Arb!$U$2,,,Arb!$AJ$5,),Z81)+INDEX(OFFSET(Arb!$V$2,,,Arb!$AJ$5,),Z81))/AA81)</f>
        <v>3.4747474747474749</v>
      </c>
      <c r="AE81" s="51">
        <f t="shared" ca="1" si="38"/>
        <v>36.801778629661278</v>
      </c>
      <c r="AF81" s="91">
        <f ca="1">IF(Z81="","",DATE(INDEX(OFFSET(Arb!$C$2,,,Arb!$AJ$5,),Z81),INDEX(OFFSET(Arb!$B$2,,,Arb!$AJ$5,),Z81),INDEX(OFFSET(Arb!$A$2,,,Arb!$AJ$5,),Z81))+ROW()*0.001)</f>
        <v>43775.080999999998</v>
      </c>
      <c r="AG81" s="442">
        <v>56</v>
      </c>
      <c r="AH81" s="1">
        <v>1961</v>
      </c>
      <c r="AI81" s="52">
        <f ca="1">IF(AH81="","",INDEX(OFFSET(Arb!$H$2,,,Arb!$AJ$5,),AH81))</f>
        <v>25.02</v>
      </c>
      <c r="AJ81" s="3">
        <f t="shared" ca="1" si="29"/>
        <v>2.2382094324540369</v>
      </c>
      <c r="AK81" s="165">
        <f ca="1">IF(AH81="","",INDEX(OFFSET(Arb!$X$2,,,Arb!$AJ$5,),AH81)/AI81)</f>
        <v>2.8377298161470823</v>
      </c>
      <c r="AL81" s="165">
        <f ca="1">IF(AH81="","",(INDEX(OFFSET(Arb!$U$2,,,Arb!$AJ$5,),AH81)+INDEX(OFFSET(Arb!$V$2,,,Arb!$AJ$5,),AH81))/AI81)</f>
        <v>3.1974420463629096</v>
      </c>
      <c r="AM81" s="51">
        <f t="shared" ca="1" si="39"/>
        <v>36.129190839203964</v>
      </c>
      <c r="AN81" s="88">
        <f ca="1">IF(AH81="","",DATE(INDEX(OFFSET(Arb!$C$2,,,Arb!$AJ$5,),AH81),INDEX(OFFSET(Arb!$B$2,,,Arb!$AJ$5,),AH81),INDEX(OFFSET(Arb!$A$2,,,Arb!$AJ$5,),AH81))+ROW()*0.001)</f>
        <v>43779.080999999998</v>
      </c>
      <c r="AO81" s="436">
        <v>56</v>
      </c>
      <c r="AP81" s="1">
        <v>2238</v>
      </c>
      <c r="AQ81" s="52">
        <f ca="1">IF(AP81="","",INDEX(OFFSET(Arb!$H$2,,,Arb!$AJ$5,),AP81))</f>
        <v>25.1</v>
      </c>
      <c r="AR81" s="3">
        <f t="shared" ca="1" si="30"/>
        <v>2.2310756972111552</v>
      </c>
      <c r="AS81" s="165">
        <f ca="1">IF(AP81="","",INDEX(OFFSET(Arb!$X$2,,,Arb!$AJ$5,),AP81)/AQ81)</f>
        <v>3.1872509960159361</v>
      </c>
      <c r="AT81" s="165">
        <f ca="1">IF(AP81="","",(INDEX(OFFSET(Arb!$U$2,,,Arb!$AJ$5,),AP81)+INDEX(OFFSET(Arb!$V$2,,,Arb!$AJ$5,),AP81))/AQ81)</f>
        <v>3.7051792828685257</v>
      </c>
      <c r="AU81" s="51">
        <f t="shared" ca="1" si="40"/>
        <v>35.933649527170331</v>
      </c>
      <c r="AV81" s="91">
        <f ca="1">IF(AP81="","",DATE(INDEX(OFFSET(Arb!$C$2,,,Arb!$AJ$5,),AP81),INDEX(OFFSET(Arb!$B$2,,,Arb!$AJ$5,),AP81),INDEX(OFFSET(Arb!$A$2,,,Arb!$AJ$5,),AP81))+ROW()*0.001)</f>
        <v>43890.080999999998</v>
      </c>
      <c r="AW81" s="442">
        <v>56</v>
      </c>
      <c r="AX81" s="1">
        <v>2061</v>
      </c>
      <c r="AY81" s="52">
        <f ca="1">IF(AX81="","",INDEX(OFFSET(Arb!$H$2,,,Arb!$AJ$5,),AX81))</f>
        <v>25.24</v>
      </c>
      <c r="AZ81" s="3">
        <f t="shared" ca="1" si="31"/>
        <v>2.2187004754358162</v>
      </c>
      <c r="BA81" s="165">
        <f ca="1">IF(AX81="","",INDEX(OFFSET(Arb!$X$2,,,Arb!$AJ$5,),AX81)/AY81)</f>
        <v>2.7337559429477021</v>
      </c>
      <c r="BB81" s="165">
        <f ca="1">IF(AX81="","",(INDEX(OFFSET(Arb!$U$2,,,Arb!$AJ$5,),AX81)+INDEX(OFFSET(Arb!$V$2,,,Arb!$AJ$5,),AX81))/AY81)</f>
        <v>3.2091917591125201</v>
      </c>
      <c r="BC81" s="51">
        <f t="shared" ca="1" si="41"/>
        <v>35.595472172931707</v>
      </c>
      <c r="BD81" s="88">
        <f ca="1">IF(AX81="","",DATE(INDEX(OFFSET(Arb!$C$2,,,Arb!$AJ$5,),AX81),INDEX(OFFSET(Arb!$B$2,,,Arb!$AJ$5,),AX81),INDEX(OFFSET(Arb!$A$2,,,Arb!$AJ$5,),AX81))+ROW()*0.001)</f>
        <v>43800.080999999998</v>
      </c>
      <c r="BE81" s="436">
        <v>56</v>
      </c>
      <c r="BF81" s="1">
        <v>2011</v>
      </c>
      <c r="BG81" s="52">
        <f ca="1">IF(BF81="","",INDEX(OFFSET(Arb!$H$2,,,Arb!$AJ$5,),BF81))</f>
        <v>27.38</v>
      </c>
      <c r="BH81" s="3">
        <f t="shared" ca="1" si="32"/>
        <v>2.0452885317750185</v>
      </c>
      <c r="BI81" s="165">
        <f ca="1">IF(BF81="","",INDEX(OFFSET(Arb!$X$2,,,Arb!$AJ$5,),BF81)/BG81)</f>
        <v>2.8487947406866327</v>
      </c>
      <c r="BJ81" s="165">
        <f ca="1">IF(BF81="","",(INDEX(OFFSET(Arb!$U$2,,,Arb!$AJ$5,),BF81)+INDEX(OFFSET(Arb!$V$2,,,Arb!$AJ$5,),BF81))/BG81)</f>
        <v>3.4696859021183348</v>
      </c>
      <c r="BK81" s="51">
        <f t="shared" ca="1" si="42"/>
        <v>30.996296013072076</v>
      </c>
      <c r="BL81" s="91">
        <f ca="1">IF(BF81="","",DATE(INDEX(OFFSET(Arb!$C$2,,,Arb!$AJ$5,),BF81),INDEX(OFFSET(Arb!$B$2,,,Arb!$AJ$5,),BF81),INDEX(OFFSET(Arb!$A$2,,,Arb!$AJ$5,),BF81))+ROW()*0.001)</f>
        <v>43788.080999999998</v>
      </c>
      <c r="BM81" s="442">
        <v>56</v>
      </c>
      <c r="BN81" s="1">
        <v>1936</v>
      </c>
      <c r="BO81" s="52">
        <f ca="1">IF(BN81="","",INDEX(OFFSET(Arb!$H$2,,,Arb!$AJ$5,),BN81))</f>
        <v>27.78</v>
      </c>
      <c r="BP81" s="3">
        <f t="shared" ca="1" si="33"/>
        <v>2.0158387329013676</v>
      </c>
      <c r="BQ81" s="165">
        <f ca="1">IF(BN81="","",INDEX(OFFSET(Arb!$X$2,,,Arb!$AJ$5,),BN81)/BO81)</f>
        <v>2.483801295896328</v>
      </c>
      <c r="BR81" s="165">
        <f ca="1">IF(BN81="","",(INDEX(OFFSET(Arb!$U$2,,,Arb!$AJ$5,),BN81)+INDEX(OFFSET(Arb!$V$2,,,Arb!$AJ$5,),BN81))/BO81)</f>
        <v>2.8797696184305255</v>
      </c>
      <c r="BS81" s="51">
        <f t="shared" ca="1" si="43"/>
        <v>30.241396602957519</v>
      </c>
      <c r="BT81" s="88">
        <f ca="1">IF(BN81="","",DATE(INDEX(OFFSET(Arb!$C$2,,,Arb!$AJ$5,),BN81),INDEX(OFFSET(Arb!$B$2,,,Arb!$AJ$5,),BN81),INDEX(OFFSET(Arb!$A$2,,,Arb!$AJ$5,),BN81))+ROW()*0.001)</f>
        <v>43773.080999999998</v>
      </c>
      <c r="BU81" s="436">
        <v>56</v>
      </c>
      <c r="BV81" s="1">
        <v>2337</v>
      </c>
      <c r="BW81" s="52">
        <f ca="1">IF(BV81="","",INDEX(OFFSET(Arb!$H$2,,,Arb!$AJ$5,),BV81))</f>
        <v>28.11</v>
      </c>
      <c r="BX81" s="3">
        <f t="shared" ca="1" si="34"/>
        <v>1.992173603699751</v>
      </c>
      <c r="BY81" s="165">
        <f ca="1">IF(BV81="","",INDEX(OFFSET(Arb!$X$2,,,Arb!$AJ$5,),BV81)/BW81)</f>
        <v>2.5257915332621845</v>
      </c>
      <c r="BZ81" s="165">
        <f ca="1">IF(BV81="","",(INDEX(OFFSET(Arb!$U$2,,,Arb!$AJ$5,),BV81)+INDEX(OFFSET(Arb!$V$2,,,Arb!$AJ$5,),BV81))/BW81)</f>
        <v>2.5613660618996801</v>
      </c>
      <c r="CA81" s="51">
        <f t="shared" ca="1" si="44"/>
        <v>29.640342429057331</v>
      </c>
      <c r="CB81" s="91">
        <f ca="1">IF(BV81="","",DATE(INDEX(OFFSET(Arb!$C$2,,,Arb!$AJ$5,),BV81),INDEX(OFFSET(Arb!$B$2,,,Arb!$AJ$5,),BV81),INDEX(OFFSET(Arb!$A$2,,,Arb!$AJ$5,),BV81))+ROW()*0.001)</f>
        <v>44105.080999999998</v>
      </c>
    </row>
    <row r="82" spans="1:80" x14ac:dyDescent="0.25">
      <c r="A82" s="436">
        <v>57</v>
      </c>
      <c r="B82" s="1">
        <v>2237</v>
      </c>
      <c r="C82" s="52">
        <f ca="1">IF(B82="","",INDEX(OFFSET(Arb!$H$2,,,Arb!$AJ$5,),B82))</f>
        <v>21.57</v>
      </c>
      <c r="D82" s="3">
        <f t="shared" ca="1" si="25"/>
        <v>2.642559109874826</v>
      </c>
      <c r="E82" s="165">
        <f ca="1">IF(B82="","",INDEX(OFFSET(Arb!$X$2,,,Arb!$AJ$5,),B82)/C82)</f>
        <v>3.1525266573945294</v>
      </c>
      <c r="F82" s="165">
        <f ca="1">IF(B82="","",(INDEX(OFFSET(Arb!$U$2,,,Arb!$AJ$5,),B82)+INDEX(OFFSET(Arb!$V$2,,,Arb!$AJ$5,),B82))/C82)</f>
        <v>3.3843300880853038</v>
      </c>
      <c r="G82" s="51">
        <f t="shared" ca="1" si="35"/>
        <v>47.324739948981083</v>
      </c>
      <c r="H82" s="355">
        <f ca="1">IF(B82="","",DATE(INDEX(OFFSET(Arb!$C$2,,,Arb!$AJ$5,),B82),INDEX(OFFSET(Arb!$B$2,,,Arb!$AJ$5,),B82),INDEX(OFFSET(Arb!$A$2,,,Arb!$AJ$5,),B82))+ROW()*0.001)</f>
        <v>43890.082000000002</v>
      </c>
      <c r="I82" s="436">
        <v>57</v>
      </c>
      <c r="J82" s="1">
        <v>2351</v>
      </c>
      <c r="K82" s="52">
        <f ca="1">IF(J82="","",INDEX(OFFSET(Arb!$H$2,,,Arb!$AJ$5,),J82))</f>
        <v>22.06</v>
      </c>
      <c r="L82" s="3">
        <f t="shared" ca="1" si="26"/>
        <v>2.5838621940163193</v>
      </c>
      <c r="M82" s="165">
        <f ca="1">IF(J82="","",INDEX(OFFSET(Arb!$X$2,,,Arb!$AJ$5,),J82)/K82)</f>
        <v>3.2638259292837719</v>
      </c>
      <c r="N82" s="165">
        <f ca="1">IF(J82="","",(INDEX(OFFSET(Arb!$U$2,,,Arb!$AJ$5,),J82)+INDEX(OFFSET(Arb!$V$2,,,Arb!$AJ$5,),J82))/K82)</f>
        <v>3.6264732547597465</v>
      </c>
      <c r="O82" s="51">
        <f t="shared" ca="1" si="36"/>
        <v>45.551650650309412</v>
      </c>
      <c r="P82" s="91">
        <f ca="1">IF(J82="","",DATE(INDEX(OFFSET(Arb!$C$2,,,Arb!$AJ$5,),J82),INDEX(OFFSET(Arb!$B$2,,,Arb!$AJ$5,),J82),INDEX(OFFSET(Arb!$A$2,,,Arb!$AJ$5,),J82))+ROW()*0.001)</f>
        <v>44106.082000000002</v>
      </c>
      <c r="Q82" s="442">
        <v>57</v>
      </c>
      <c r="R82" s="1">
        <v>2283</v>
      </c>
      <c r="S82" s="52">
        <f ca="1">IF(R82="","",INDEX(OFFSET(Arb!$H$2,,,Arb!$AJ$5,),R82))</f>
        <v>22.1</v>
      </c>
      <c r="T82" s="3">
        <f t="shared" ca="1" si="27"/>
        <v>2.5791855203619907</v>
      </c>
      <c r="U82" s="165">
        <f ca="1">IF(R82="","",INDEX(OFFSET(Arb!$X$2,,,Arb!$AJ$5,),R82)/S82)</f>
        <v>3.5294117647058822</v>
      </c>
      <c r="V82" s="165">
        <f ca="1">IF(R82="","",(INDEX(OFFSET(Arb!$U$2,,,Arb!$AJ$5,),R82)+INDEX(OFFSET(Arb!$V$2,,,Arb!$AJ$5,),R82))/S82)</f>
        <v>3.9819004524886874</v>
      </c>
      <c r="W82" s="51">
        <f t="shared" ca="1" si="37"/>
        <v>45.411580529770653</v>
      </c>
      <c r="X82" s="88">
        <f ca="1">IF(R82="","",DATE(INDEX(OFFSET(Arb!$C$2,,,Arb!$AJ$5,),R82),INDEX(OFFSET(Arb!$B$2,,,Arb!$AJ$5,),R82),INDEX(OFFSET(Arb!$A$2,,,Arb!$AJ$5,),R82))+ROW()*0.001)</f>
        <v>43935.082000000002</v>
      </c>
      <c r="Y82" s="436">
        <v>57</v>
      </c>
      <c r="Z82" s="1">
        <v>2195</v>
      </c>
      <c r="AA82" s="52">
        <f ca="1">IF(Z82="","",INDEX(OFFSET(Arb!$H$2,,,Arb!$AJ$5,),Z82))</f>
        <v>22.33</v>
      </c>
      <c r="AB82" s="3">
        <f t="shared" ca="1" si="28"/>
        <v>2.5526197939991047</v>
      </c>
      <c r="AC82" s="165">
        <f ca="1">IF(Z82="","",INDEX(OFFSET(Arb!$X$2,,,Arb!$AJ$5,),Z82)/AA82)</f>
        <v>2.8660994178235559</v>
      </c>
      <c r="AD82" s="165">
        <f ca="1">IF(Z82="","",(INDEX(OFFSET(Arb!$U$2,,,Arb!$AJ$5,),Z82)+INDEX(OFFSET(Arb!$V$2,,,Arb!$AJ$5,),Z82))/AA82)</f>
        <v>3.3139274518584867</v>
      </c>
      <c r="AE82" s="51">
        <f t="shared" ca="1" si="38"/>
        <v>44.619289825082454</v>
      </c>
      <c r="AF82" s="91">
        <f ca="1">IF(Z82="","",DATE(INDEX(OFFSET(Arb!$C$2,,,Arb!$AJ$5,),Z82),INDEX(OFFSET(Arb!$B$2,,,Arb!$AJ$5,),Z82),INDEX(OFFSET(Arb!$A$2,,,Arb!$AJ$5,),Z82))+ROW()*0.001)</f>
        <v>43852.082000000002</v>
      </c>
      <c r="AG82" s="442">
        <v>57</v>
      </c>
      <c r="AH82" s="1">
        <v>1969</v>
      </c>
      <c r="AI82" s="52">
        <f ca="1">IF(AH82="","",INDEX(OFFSET(Arb!$H$2,,,Arb!$AJ$5,),AH82))</f>
        <v>23.58</v>
      </c>
      <c r="AJ82" s="3">
        <f t="shared" ca="1" si="29"/>
        <v>2.4173027989821882</v>
      </c>
      <c r="AK82" s="165">
        <f ca="1">IF(AH82="","",INDEX(OFFSET(Arb!$X$2,,,Arb!$AJ$5,),AH82)/AI82)</f>
        <v>3.0958439355385923</v>
      </c>
      <c r="AL82" s="165">
        <f ca="1">IF(AH82="","",(INDEX(OFFSET(Arb!$U$2,,,Arb!$AJ$5,),AH82)+INDEX(OFFSET(Arb!$V$2,,,Arb!$AJ$5,),AH82))/AI82)</f>
        <v>3.6471586089906705</v>
      </c>
      <c r="AM82" s="51">
        <f t="shared" ca="1" si="39"/>
        <v>40.673263620022908</v>
      </c>
      <c r="AN82" s="88">
        <f ca="1">IF(AH82="","",DATE(INDEX(OFFSET(Arb!$C$2,,,Arb!$AJ$5,),AH82),INDEX(OFFSET(Arb!$B$2,,,Arb!$AJ$5,),AH82),INDEX(OFFSET(Arb!$A$2,,,Arb!$AJ$5,),AH82))+ROW()*0.001)</f>
        <v>43779.082000000002</v>
      </c>
      <c r="AO82" s="436">
        <v>57</v>
      </c>
      <c r="AP82" s="1">
        <v>2325</v>
      </c>
      <c r="AQ82" s="52">
        <f ca="1">IF(AP82="","",INDEX(OFFSET(Arb!$H$2,,,Arb!$AJ$5,),AP82))</f>
        <v>23.72</v>
      </c>
      <c r="AR82" s="3">
        <f t="shared" ca="1" si="30"/>
        <v>2.4030354131534573</v>
      </c>
      <c r="AS82" s="165">
        <f ca="1">IF(AP82="","",INDEX(OFFSET(Arb!$X$2,,,Arb!$AJ$5,),AP82)/AQ82)</f>
        <v>3.1197301854974708</v>
      </c>
      <c r="AT82" s="165">
        <f ca="1">IF(AP82="","",(INDEX(OFFSET(Arb!$U$2,,,Arb!$AJ$5,),AP82)+INDEX(OFFSET(Arb!$V$2,,,Arb!$AJ$5,),AP82))/AQ82)</f>
        <v>3.5413153456998314</v>
      </c>
      <c r="AU82" s="51">
        <f t="shared" ca="1" si="40"/>
        <v>40.266002751565487</v>
      </c>
      <c r="AV82" s="91">
        <f ca="1">IF(AP82="","",DATE(INDEX(OFFSET(Arb!$C$2,,,Arb!$AJ$5,),AP82),INDEX(OFFSET(Arb!$B$2,,,Arb!$AJ$5,),AP82),INDEX(OFFSET(Arb!$A$2,,,Arb!$AJ$5,),AP82))+ROW()*0.001)</f>
        <v>44003.082000000002</v>
      </c>
      <c r="AW82" s="442">
        <v>57</v>
      </c>
      <c r="AX82" s="1">
        <v>2261</v>
      </c>
      <c r="AY82" s="52">
        <f ca="1">IF(AX82="","",INDEX(OFFSET(Arb!$H$2,,,Arb!$AJ$5,),AX82))</f>
        <v>23.75</v>
      </c>
      <c r="AZ82" s="3">
        <f t="shared" ca="1" si="31"/>
        <v>2.4</v>
      </c>
      <c r="BA82" s="165">
        <f ca="1">IF(AX82="","",INDEX(OFFSET(Arb!$X$2,,,Arb!$AJ$5,),AX82)/AY82)</f>
        <v>3.2421052631578946</v>
      </c>
      <c r="BB82" s="165">
        <f ca="1">IF(AX82="","",(INDEX(OFFSET(Arb!$U$2,,,Arb!$AJ$5,),AX82)+INDEX(OFFSET(Arb!$V$2,,,Arb!$AJ$5,),AX82))/AY82)</f>
        <v>3.6210526315789475</v>
      </c>
      <c r="BC82" s="51">
        <f t="shared" ca="1" si="41"/>
        <v>40.17957504069377</v>
      </c>
      <c r="BD82" s="88">
        <f ca="1">IF(AX82="","",DATE(INDEX(OFFSET(Arb!$C$2,,,Arb!$AJ$5,),AX82),INDEX(OFFSET(Arb!$B$2,,,Arb!$AJ$5,),AX82),INDEX(OFFSET(Arb!$A$2,,,Arb!$AJ$5,),AX82))+ROW()*0.001)</f>
        <v>43901.082000000002</v>
      </c>
      <c r="BE82" s="436">
        <v>57</v>
      </c>
      <c r="BF82" s="1">
        <v>1920</v>
      </c>
      <c r="BG82" s="52">
        <f ca="1">IF(BF82="","",INDEX(OFFSET(Arb!$H$2,,,Arb!$AJ$5,),BF82))</f>
        <v>24.43</v>
      </c>
      <c r="BH82" s="3">
        <f t="shared" ca="1" si="32"/>
        <v>2.3331968890708148</v>
      </c>
      <c r="BI82" s="165">
        <f ca="1">IF(BF82="","",INDEX(OFFSET(Arb!$X$2,,,Arb!$AJ$5,),BF82)/BG82)</f>
        <v>3.2746623004502662</v>
      </c>
      <c r="BJ82" s="165">
        <f ca="1">IF(BF82="","",(INDEX(OFFSET(Arb!$U$2,,,Arb!$AJ$5,),BF82)+INDEX(OFFSET(Arb!$V$2,,,Arb!$AJ$5,),BF82))/BG82)</f>
        <v>3.7249283667621778</v>
      </c>
      <c r="BK82" s="51">
        <f t="shared" ca="1" si="42"/>
        <v>38.296897198108894</v>
      </c>
      <c r="BL82" s="91">
        <f ca="1">IF(BF82="","",DATE(INDEX(OFFSET(Arb!$C$2,,,Arb!$AJ$5,),BF82),INDEX(OFFSET(Arb!$B$2,,,Arb!$AJ$5,),BF82),INDEX(OFFSET(Arb!$A$2,,,Arb!$AJ$5,),BF82))+ROW()*0.001)</f>
        <v>43769.082000000002</v>
      </c>
      <c r="BM82" s="442">
        <v>57</v>
      </c>
      <c r="BN82" s="1">
        <v>2199</v>
      </c>
      <c r="BO82" s="52">
        <f ca="1">IF(BN82="","",INDEX(OFFSET(Arb!$H$2,,,Arb!$AJ$5,),BN82))</f>
        <v>25.67</v>
      </c>
      <c r="BP82" s="3">
        <f t="shared" ca="1" si="33"/>
        <v>2.2204908453447603</v>
      </c>
      <c r="BQ82" s="165">
        <f ca="1">IF(BN82="","",INDEX(OFFSET(Arb!$X$2,,,Arb!$AJ$5,),BN82)/BO82)</f>
        <v>2.8437865212310087</v>
      </c>
      <c r="BR82" s="165">
        <f ca="1">IF(BN82="","",(INDEX(OFFSET(Arb!$U$2,,,Arb!$AJ$5,),BN82)+INDEX(OFFSET(Arb!$V$2,,,Arb!$AJ$5,),BN82))/BO82)</f>
        <v>3.1164783794312423</v>
      </c>
      <c r="BS82" s="51">
        <f t="shared" ca="1" si="43"/>
        <v>35.205418078994462</v>
      </c>
      <c r="BT82" s="88">
        <f ca="1">IF(BN82="","",DATE(INDEX(OFFSET(Arb!$C$2,,,Arb!$AJ$5,),BN82),INDEX(OFFSET(Arb!$B$2,,,Arb!$AJ$5,),BN82),INDEX(OFFSET(Arb!$A$2,,,Arb!$AJ$5,),BN82))+ROW()*0.001)</f>
        <v>43854.082000000002</v>
      </c>
      <c r="BU82" s="436">
        <v>57</v>
      </c>
      <c r="BV82" s="1">
        <v>2368</v>
      </c>
      <c r="BW82" s="52">
        <f ca="1">IF(BV82="","",INDEX(OFFSET(Arb!$H$2,,,Arb!$AJ$5,),BV82))</f>
        <v>25.68</v>
      </c>
      <c r="BX82" s="3">
        <f t="shared" ca="1" si="34"/>
        <v>2.2196261682242993</v>
      </c>
      <c r="BY82" s="165">
        <f ca="1">IF(BV82="","",INDEX(OFFSET(Arb!$X$2,,,Arb!$AJ$5,),BV82)/BW82)</f>
        <v>2.7647975077881619</v>
      </c>
      <c r="BZ82" s="165">
        <f ca="1">IF(BV82="","",(INDEX(OFFSET(Arb!$U$2,,,Arb!$AJ$5,),BV82)+INDEX(OFFSET(Arb!$V$2,,,Arb!$AJ$5,),BV82))/BW82)</f>
        <v>3.2320872274143304</v>
      </c>
      <c r="CA82" s="51">
        <f t="shared" ca="1" si="44"/>
        <v>35.182115488107392</v>
      </c>
      <c r="CB82" s="91">
        <f ca="1">IF(BV82="","",DATE(INDEX(OFFSET(Arb!$C$2,,,Arb!$AJ$5,),BV82),INDEX(OFFSET(Arb!$B$2,,,Arb!$AJ$5,),BV82),INDEX(OFFSET(Arb!$A$2,,,Arb!$AJ$5,),BV82))+ROW()*0.001)</f>
        <v>44114.082000000002</v>
      </c>
    </row>
    <row r="83" spans="1:80" x14ac:dyDescent="0.25">
      <c r="A83" s="436">
        <v>58</v>
      </c>
      <c r="B83" s="1">
        <v>2250</v>
      </c>
      <c r="C83" s="52">
        <f ca="1">IF(B83="","",INDEX(OFFSET(Arb!$H$2,,,Arb!$AJ$5,),B83))</f>
        <v>20.43</v>
      </c>
      <c r="D83" s="3">
        <f t="shared" ca="1" si="25"/>
        <v>2.8389623103279491</v>
      </c>
      <c r="E83" s="165">
        <f ca="1">IF(B83="","",INDEX(OFFSET(Arb!$X$2,,,Arb!$AJ$5,),B83)/C83)</f>
        <v>3.475281448849731</v>
      </c>
      <c r="F83" s="165">
        <f ca="1">IF(B83="","",(INDEX(OFFSET(Arb!$U$2,,,Arb!$AJ$5,),B83)+INDEX(OFFSET(Arb!$V$2,,,Arb!$AJ$5,),B83))/C83)</f>
        <v>3.6710719530102791</v>
      </c>
      <c r="G83" s="51">
        <f t="shared" ca="1" si="35"/>
        <v>52.811730387177441</v>
      </c>
      <c r="H83" s="355">
        <f ca="1">IF(B83="","",DATE(INDEX(OFFSET(Arb!$C$2,,,Arb!$AJ$5,),B83),INDEX(OFFSET(Arb!$B$2,,,Arb!$AJ$5,),B83),INDEX(OFFSET(Arb!$A$2,,,Arb!$AJ$5,),B83))+ROW()*0.001)</f>
        <v>43894.082999999999</v>
      </c>
      <c r="I83" s="436">
        <v>58</v>
      </c>
      <c r="J83" s="1">
        <v>1892</v>
      </c>
      <c r="K83" s="52">
        <f ca="1">IF(J83="","",INDEX(OFFSET(Arb!$H$2,,,Arb!$AJ$5,),J83))</f>
        <v>20.48</v>
      </c>
      <c r="L83" s="3">
        <f t="shared" ca="1" si="26"/>
        <v>2.83203125</v>
      </c>
      <c r="M83" s="165">
        <f ca="1">IF(J83="","",INDEX(OFFSET(Arb!$X$2,,,Arb!$AJ$5,),J83)/K83)</f>
        <v>3.125</v>
      </c>
      <c r="N83" s="165">
        <f ca="1">IF(J83="","",(INDEX(OFFSET(Arb!$U$2,,,Arb!$AJ$5,),J83)+INDEX(OFFSET(Arb!$V$2,,,Arb!$AJ$5,),J83))/K83)</f>
        <v>3.3203125</v>
      </c>
      <c r="O83" s="51">
        <f t="shared" ca="1" si="36"/>
        <v>52.592728417804771</v>
      </c>
      <c r="P83" s="91">
        <f ca="1">IF(J83="","",DATE(INDEX(OFFSET(Arb!$C$2,,,Arb!$AJ$5,),J83),INDEX(OFFSET(Arb!$B$2,,,Arb!$AJ$5,),J83),INDEX(OFFSET(Arb!$A$2,,,Arb!$AJ$5,),J83))+ROW()*0.001)</f>
        <v>43764.082999999999</v>
      </c>
      <c r="Q83" s="442">
        <v>58</v>
      </c>
      <c r="R83" s="1">
        <v>2365</v>
      </c>
      <c r="S83" s="52">
        <f ca="1">IF(R83="","",INDEX(OFFSET(Arb!$H$2,,,Arb!$AJ$5,),R83))</f>
        <v>20.85</v>
      </c>
      <c r="T83" s="3">
        <f t="shared" ca="1" si="27"/>
        <v>2.7817745803357314</v>
      </c>
      <c r="U83" s="165">
        <f ca="1">IF(R83="","",INDEX(OFFSET(Arb!$X$2,,,Arb!$AJ$5,),R83)/S83)</f>
        <v>3.1654676258992804</v>
      </c>
      <c r="V83" s="165">
        <f ca="1">IF(R83="","",(INDEX(OFFSET(Arb!$U$2,,,Arb!$AJ$5,),R83)+INDEX(OFFSET(Arb!$V$2,,,Arb!$AJ$5,),R83))/S83)</f>
        <v>3.5971223021582732</v>
      </c>
      <c r="W83" s="51">
        <f t="shared" ca="1" si="37"/>
        <v>51.015990125434762</v>
      </c>
      <c r="X83" s="88">
        <f ca="1">IF(R83="","",DATE(INDEX(OFFSET(Arb!$C$2,,,Arb!$AJ$5,),R83),INDEX(OFFSET(Arb!$B$2,,,Arb!$AJ$5,),R83),INDEX(OFFSET(Arb!$A$2,,,Arb!$AJ$5,),R83))+ROW()*0.001)</f>
        <v>44114.082999999999</v>
      </c>
      <c r="Y83" s="436">
        <v>58</v>
      </c>
      <c r="Z83" s="1">
        <v>2318</v>
      </c>
      <c r="AA83" s="52">
        <f ca="1">IF(Z83="","",INDEX(OFFSET(Arb!$H$2,,,Arb!$AJ$5,),Z83))</f>
        <v>21.75</v>
      </c>
      <c r="AB83" s="3">
        <f t="shared" ca="1" si="28"/>
        <v>2.6666666666666665</v>
      </c>
      <c r="AC83" s="165">
        <f ca="1">IF(Z83="","",INDEX(OFFSET(Arb!$X$2,,,Arb!$AJ$5,),Z83)/AA83)</f>
        <v>3.1724137931034484</v>
      </c>
      <c r="AD83" s="165">
        <f ca="1">IF(Z83="","",(INDEX(OFFSET(Arb!$U$2,,,Arb!$AJ$5,),Z83)+INDEX(OFFSET(Arb!$V$2,,,Arb!$AJ$5,),Z83))/AA83)</f>
        <v>3.7241379310344827</v>
      </c>
      <c r="AE83" s="51">
        <f t="shared" ca="1" si="38"/>
        <v>47.479471546765346</v>
      </c>
      <c r="AF83" s="91">
        <f ca="1">IF(Z83="","",DATE(INDEX(OFFSET(Arb!$C$2,,,Arb!$AJ$5,),Z83),INDEX(OFFSET(Arb!$B$2,,,Arb!$AJ$5,),Z83),INDEX(OFFSET(Arb!$A$2,,,Arb!$AJ$5,),Z83))+ROW()*0.001)</f>
        <v>43967.082999999999</v>
      </c>
      <c r="AG83" s="442">
        <v>58</v>
      </c>
      <c r="AH83" s="1">
        <v>2312</v>
      </c>
      <c r="AI83" s="52">
        <f ca="1">IF(AH83="","",INDEX(OFFSET(Arb!$H$2,,,Arb!$AJ$5,),AH83))</f>
        <v>22.5</v>
      </c>
      <c r="AJ83" s="3">
        <f t="shared" ca="1" si="29"/>
        <v>2.5777777777777779</v>
      </c>
      <c r="AK83" s="165">
        <f ca="1">IF(AH83="","",INDEX(OFFSET(Arb!$X$2,,,Arb!$AJ$5,),AH83)/AI83)</f>
        <v>2.9777777777777779</v>
      </c>
      <c r="AL83" s="165">
        <f ca="1">IF(AH83="","",(INDEX(OFFSET(Arb!$U$2,,,Arb!$AJ$5,),AH83)+INDEX(OFFSET(Arb!$V$2,,,Arb!$AJ$5,),AH83))/AI83)</f>
        <v>3.3777777777777778</v>
      </c>
      <c r="AM83" s="51">
        <f t="shared" ca="1" si="39"/>
        <v>44.820463147196605</v>
      </c>
      <c r="AN83" s="88">
        <f ca="1">IF(AH83="","",DATE(INDEX(OFFSET(Arb!$C$2,,,Arb!$AJ$5,),AH83),INDEX(OFFSET(Arb!$B$2,,,Arb!$AJ$5,),AH83),INDEX(OFFSET(Arb!$A$2,,,Arb!$AJ$5,),AH83))+ROW()*0.001)</f>
        <v>43952.082999999999</v>
      </c>
      <c r="AO83" s="436">
        <v>58</v>
      </c>
      <c r="AP83" s="1">
        <v>1918</v>
      </c>
      <c r="AQ83" s="52">
        <f ca="1">IF(AP83="","",INDEX(OFFSET(Arb!$H$2,,,Arb!$AJ$5,),AP83))</f>
        <v>22.69</v>
      </c>
      <c r="AR83" s="3">
        <f t="shared" ca="1" si="30"/>
        <v>2.5561921551344202</v>
      </c>
      <c r="AS83" s="165">
        <f ca="1">IF(AP83="","",INDEX(OFFSET(Arb!$X$2,,,Arb!$AJ$5,),AP83)/AQ83)</f>
        <v>3.2613486117232258</v>
      </c>
      <c r="AT83" s="165">
        <f ca="1">IF(AP83="","",(INDEX(OFFSET(Arb!$U$2,,,Arb!$AJ$5,),AP83)+INDEX(OFFSET(Arb!$V$2,,,Arb!$AJ$5,),AP83))/AQ83)</f>
        <v>3.7902159541648301</v>
      </c>
      <c r="AU83" s="51">
        <f t="shared" ca="1" si="40"/>
        <v>44.184299874558889</v>
      </c>
      <c r="AV83" s="91">
        <f ca="1">IF(AP83="","",DATE(INDEX(OFFSET(Arb!$C$2,,,Arb!$AJ$5,),AP83),INDEX(OFFSET(Arb!$B$2,,,Arb!$AJ$5,),AP83),INDEX(OFFSET(Arb!$A$2,,,Arb!$AJ$5,),AP83))+ROW()*0.001)</f>
        <v>43769.082999999999</v>
      </c>
      <c r="AW83" s="442">
        <v>58</v>
      </c>
      <c r="AX83" s="1">
        <v>2018</v>
      </c>
      <c r="AY83" s="52">
        <f ca="1">IF(AX83="","",INDEX(OFFSET(Arb!$H$2,,,Arb!$AJ$5,),AX83))</f>
        <v>22.7</v>
      </c>
      <c r="AZ83" s="3">
        <f t="shared" ca="1" si="31"/>
        <v>2.5550660792951541</v>
      </c>
      <c r="BA83" s="165">
        <f ca="1">IF(AX83="","",INDEX(OFFSET(Arb!$X$2,,,Arb!$AJ$5,),AX83)/AY83)</f>
        <v>3.1718061674008813</v>
      </c>
      <c r="BB83" s="165">
        <f ca="1">IF(AX83="","",(INDEX(OFFSET(Arb!$U$2,,,Arb!$AJ$5,),AX83)+INDEX(OFFSET(Arb!$V$2,,,Arb!$AJ$5,),AX83))/AY83)</f>
        <v>3.4361233480176212</v>
      </c>
      <c r="BC83" s="51">
        <f t="shared" ca="1" si="41"/>
        <v>44.151215412916095</v>
      </c>
      <c r="BD83" s="88">
        <f ca="1">IF(AX83="","",DATE(INDEX(OFFSET(Arb!$C$2,,,Arb!$AJ$5,),AX83),INDEX(OFFSET(Arb!$B$2,,,Arb!$AJ$5,),AX83),INDEX(OFFSET(Arb!$A$2,,,Arb!$AJ$5,),AX83))+ROW()*0.001)</f>
        <v>43795.082999999999</v>
      </c>
      <c r="BE83" s="436">
        <v>58</v>
      </c>
      <c r="BF83" s="1">
        <v>2289</v>
      </c>
      <c r="BG83" s="52">
        <f ca="1">IF(BF83="","",INDEX(OFFSET(Arb!$H$2,,,Arb!$AJ$5,),BF83))</f>
        <v>22.94</v>
      </c>
      <c r="BH83" s="3">
        <f t="shared" ca="1" si="32"/>
        <v>2.5283347863993022</v>
      </c>
      <c r="BI83" s="165">
        <f ca="1">IF(BF83="","",INDEX(OFFSET(Arb!$X$2,,,Arb!$AJ$5,),BF83)/BG83)</f>
        <v>3.400174367916303</v>
      </c>
      <c r="BJ83" s="165">
        <f ca="1">IF(BF83="","",(INDEX(OFFSET(Arb!$U$2,,,Arb!$AJ$5,),BF83)+INDEX(OFFSET(Arb!$V$2,,,Arb!$AJ$5,),BF83))/BG83)</f>
        <v>3.7925021795989537</v>
      </c>
      <c r="BK83" s="51">
        <f t="shared" ca="1" si="42"/>
        <v>43.368841157440592</v>
      </c>
      <c r="BL83" s="91">
        <f ca="1">IF(BF83="","",DATE(INDEX(OFFSET(Arb!$C$2,,,Arb!$AJ$5,),BF83),INDEX(OFFSET(Arb!$B$2,,,Arb!$AJ$5,),BF83),INDEX(OFFSET(Arb!$A$2,,,Arb!$AJ$5,),BF83))+ROW()*0.001)</f>
        <v>43937.082999999999</v>
      </c>
      <c r="BM83" s="442">
        <v>58</v>
      </c>
      <c r="BN83" s="1">
        <v>2086</v>
      </c>
      <c r="BO83" s="52">
        <f ca="1">IF(BN83="","",INDEX(OFFSET(Arb!$H$2,,,Arb!$AJ$5,),BN83))</f>
        <v>23.5</v>
      </c>
      <c r="BP83" s="3">
        <f t="shared" ca="1" si="33"/>
        <v>2.4680851063829787</v>
      </c>
      <c r="BQ83" s="165">
        <f ca="1">IF(BN83="","",INDEX(OFFSET(Arb!$X$2,,,Arb!$AJ$5,),BN83)/BO83)</f>
        <v>3.1914893617021276</v>
      </c>
      <c r="BR83" s="165">
        <f ca="1">IF(BN83="","",(INDEX(OFFSET(Arb!$U$2,,,Arb!$AJ$5,),BN83)+INDEX(OFFSET(Arb!$V$2,,,Arb!$AJ$5,),BN83))/BO83)</f>
        <v>3.7872340425531914</v>
      </c>
      <c r="BS83" s="51">
        <f t="shared" ca="1" si="43"/>
        <v>41.626630200751372</v>
      </c>
      <c r="BT83" s="88">
        <f ca="1">IF(BN83="","",DATE(INDEX(OFFSET(Arb!$C$2,,,Arb!$AJ$5,),BN83),INDEX(OFFSET(Arb!$B$2,,,Arb!$AJ$5,),BN83),INDEX(OFFSET(Arb!$A$2,,,Arb!$AJ$5,),BN83))+ROW()*0.001)</f>
        <v>43809.082999999999</v>
      </c>
      <c r="BU83" s="436">
        <v>58</v>
      </c>
      <c r="BV83" s="1">
        <v>2103</v>
      </c>
      <c r="BW83" s="52">
        <f ca="1">IF(BV83="","",INDEX(OFFSET(Arb!$H$2,,,Arb!$AJ$5,),BV83))</f>
        <v>23.58</v>
      </c>
      <c r="BX83" s="3">
        <f t="shared" ca="1" si="34"/>
        <v>2.4597116200169635</v>
      </c>
      <c r="BY83" s="165">
        <f ca="1">IF(BV83="","",INDEX(OFFSET(Arb!$X$2,,,Arb!$AJ$5,),BV83)/BW83)</f>
        <v>3.0958439355385923</v>
      </c>
      <c r="BZ83" s="165">
        <f ca="1">IF(BV83="","",(INDEX(OFFSET(Arb!$U$2,,,Arb!$AJ$5,),BV83)+INDEX(OFFSET(Arb!$V$2,,,Arb!$AJ$5,),BV83))/BW83)</f>
        <v>3.4775233248515693</v>
      </c>
      <c r="CA83" s="51">
        <f t="shared" ca="1" si="44"/>
        <v>41.386829648444362</v>
      </c>
      <c r="CB83" s="91">
        <f ca="1">IF(BV83="","",DATE(INDEX(OFFSET(Arb!$C$2,,,Arb!$AJ$5,),BV83),INDEX(OFFSET(Arb!$B$2,,,Arb!$AJ$5,),BV83),INDEX(OFFSET(Arb!$A$2,,,Arb!$AJ$5,),BV83))+ROW()*0.001)</f>
        <v>43810.082999999999</v>
      </c>
    </row>
    <row r="84" spans="1:80" x14ac:dyDescent="0.25">
      <c r="A84" s="436">
        <v>59</v>
      </c>
      <c r="B84" s="1">
        <v>2142</v>
      </c>
      <c r="C84" s="52">
        <f ca="1">IF(B84="","",INDEX(OFFSET(Arb!$H$2,,,Arb!$AJ$5,),B84))</f>
        <v>21.36</v>
      </c>
      <c r="D84" s="3">
        <f t="shared" ca="1" si="25"/>
        <v>2.762172284644195</v>
      </c>
      <c r="E84" s="165">
        <f ca="1">IF(B84="","",INDEX(OFFSET(Arb!$X$2,,,Arb!$AJ$5,),B84)/C84)</f>
        <v>3.0430711610486894</v>
      </c>
      <c r="F84" s="165">
        <f ca="1">IF(B84="","",(INDEX(OFFSET(Arb!$U$2,,,Arb!$AJ$5,),B84)+INDEX(OFFSET(Arb!$V$2,,,Arb!$AJ$5,),B84))/C84)</f>
        <v>3.464419475655431</v>
      </c>
      <c r="G84" s="51">
        <f t="shared" ca="1" si="35"/>
        <v>49.806785853878338</v>
      </c>
      <c r="H84" s="355">
        <f ca="1">IF(B84="","",DATE(INDEX(OFFSET(Arb!$C$2,,,Arb!$AJ$5,),B84),INDEX(OFFSET(Arb!$B$2,,,Arb!$AJ$5,),B84),INDEX(OFFSET(Arb!$A$2,,,Arb!$AJ$5,),B84))+ROW()*0.001)</f>
        <v>43817.084000000003</v>
      </c>
      <c r="I84" s="436">
        <v>59</v>
      </c>
      <c r="J84" s="1">
        <v>2335</v>
      </c>
      <c r="K84" s="52">
        <f ca="1">IF(J84="","",INDEX(OFFSET(Arb!$H$2,,,Arb!$AJ$5,),J84))</f>
        <v>21.62</v>
      </c>
      <c r="L84" s="3">
        <f t="shared" ca="1" si="26"/>
        <v>2.7289546716003699</v>
      </c>
      <c r="M84" s="165">
        <f ca="1">IF(J84="","",INDEX(OFFSET(Arb!$X$2,,,Arb!$AJ$5,),J84)/K84)</f>
        <v>3.700277520814061</v>
      </c>
      <c r="N84" s="165">
        <f ca="1">IF(J84="","",(INDEX(OFFSET(Arb!$U$2,,,Arb!$AJ$5,),J84)+INDEX(OFFSET(Arb!$V$2,,,Arb!$AJ$5,),J84))/K84)</f>
        <v>4.3015726179463458</v>
      </c>
      <c r="O84" s="51">
        <f t="shared" ca="1" si="36"/>
        <v>48.792825327430243</v>
      </c>
      <c r="P84" s="91">
        <f ca="1">IF(J84="","",DATE(INDEX(OFFSET(Arb!$C$2,,,Arb!$AJ$5,),J84),INDEX(OFFSET(Arb!$B$2,,,Arb!$AJ$5,),J84),INDEX(OFFSET(Arb!$A$2,,,Arb!$AJ$5,),J84))+ROW()*0.001)</f>
        <v>44093.084000000003</v>
      </c>
      <c r="Q84" s="442">
        <v>59</v>
      </c>
      <c r="R84" s="1">
        <v>2272</v>
      </c>
      <c r="S84" s="52">
        <f ca="1">IF(R84="","",INDEX(OFFSET(Arb!$H$2,,,Arb!$AJ$5,),R84))</f>
        <v>21.67</v>
      </c>
      <c r="T84" s="3">
        <f t="shared" ca="1" si="27"/>
        <v>2.722658052607291</v>
      </c>
      <c r="U84" s="165">
        <f ca="1">IF(R84="","",INDEX(OFFSET(Arb!$X$2,,,Arb!$AJ$5,),R84)/S84)</f>
        <v>3.0456852791878171</v>
      </c>
      <c r="V84" s="165">
        <f ca="1">IF(R84="","",(INDEX(OFFSET(Arb!$U$2,,,Arb!$AJ$5,),R84)+INDEX(OFFSET(Arb!$V$2,,,Arb!$AJ$5,),R84))/S84)</f>
        <v>3.3225657591139823</v>
      </c>
      <c r="W84" s="51">
        <f t="shared" ca="1" si="37"/>
        <v>48.601591359750977</v>
      </c>
      <c r="X84" s="88">
        <f ca="1">IF(R84="","",DATE(INDEX(OFFSET(Arb!$C$2,,,Arb!$AJ$5,),R84),INDEX(OFFSET(Arb!$B$2,,,Arb!$AJ$5,),R84),INDEX(OFFSET(Arb!$A$2,,,Arb!$AJ$5,),R84))+ROW()*0.001)</f>
        <v>43934.084000000003</v>
      </c>
      <c r="Y84" s="436">
        <v>59</v>
      </c>
      <c r="Z84" s="1">
        <v>2036</v>
      </c>
      <c r="AA84" s="52">
        <f ca="1">IF(Z84="","",INDEX(OFFSET(Arb!$H$2,,,Arb!$AJ$5,),Z84))</f>
        <v>22.16</v>
      </c>
      <c r="AB84" s="3">
        <f t="shared" ca="1" si="28"/>
        <v>2.6624548736462095</v>
      </c>
      <c r="AC84" s="165">
        <f ca="1">IF(Z84="","",INDEX(OFFSET(Arb!$X$2,,,Arb!$AJ$5,),Z84)/AA84)</f>
        <v>3.2039711191335738</v>
      </c>
      <c r="AD84" s="165">
        <f ca="1">IF(Z84="","",(INDEX(OFFSET(Arb!$U$2,,,Arb!$AJ$5,),Z84)+INDEX(OFFSET(Arb!$V$2,,,Arb!$AJ$5,),Z84))/AA84)</f>
        <v>3.6552346570397112</v>
      </c>
      <c r="AE84" s="51">
        <f t="shared" ca="1" si="38"/>
        <v>46.788815795536713</v>
      </c>
      <c r="AF84" s="91">
        <f ca="1">IF(Z84="","",DATE(INDEX(OFFSET(Arb!$C$2,,,Arb!$AJ$5,),Z84),INDEX(OFFSET(Arb!$B$2,,,Arb!$AJ$5,),Z84),INDEX(OFFSET(Arb!$A$2,,,Arb!$AJ$5,),Z84))+ROW()*0.001)</f>
        <v>43797.084000000003</v>
      </c>
      <c r="AG84" s="442">
        <v>59</v>
      </c>
      <c r="AH84" s="1">
        <v>2407</v>
      </c>
      <c r="AI84" s="52">
        <f ca="1">IF(AH84="","",INDEX(OFFSET(Arb!$H$2,,,Arb!$AJ$5,),AH84))</f>
        <v>22.2</v>
      </c>
      <c r="AJ84" s="3">
        <f t="shared" ca="1" si="29"/>
        <v>2.6576576576576576</v>
      </c>
      <c r="AK84" s="165">
        <f ca="1">IF(AH84="","",INDEX(OFFSET(Arb!$X$2,,,Arb!$AJ$5,),AH84)/AI84)</f>
        <v>3.1981981981981984</v>
      </c>
      <c r="AL84" s="165">
        <f ca="1">IF(AH84="","",(INDEX(OFFSET(Arb!$U$2,,,Arb!$AJ$5,),AH84)+INDEX(OFFSET(Arb!$V$2,,,Arb!$AJ$5,),AH84))/AI84)</f>
        <v>3.5585585585585586</v>
      </c>
      <c r="AM84" s="51">
        <f t="shared" ca="1" si="39"/>
        <v>46.645589098552172</v>
      </c>
      <c r="AN84" s="88">
        <f ca="1">IF(AH84="","",DATE(INDEX(OFFSET(Arb!$C$2,,,Arb!$AJ$5,),AH84),INDEX(OFFSET(Arb!$B$2,,,Arb!$AJ$5,),AH84),INDEX(OFFSET(Arb!$A$2,,,Arb!$AJ$5,),AH84))+ROW()*0.001)</f>
        <v>44168.084000000003</v>
      </c>
      <c r="AO84" s="436">
        <v>59</v>
      </c>
      <c r="AP84" s="1">
        <v>2285</v>
      </c>
      <c r="AQ84" s="52">
        <f ca="1">IF(AP84="","",INDEX(OFFSET(Arb!$H$2,,,Arb!$AJ$5,),AP84))</f>
        <v>22.23</v>
      </c>
      <c r="AR84" s="3">
        <f t="shared" ca="1" si="30"/>
        <v>2.6540710751237064</v>
      </c>
      <c r="AS84" s="165">
        <f ca="1">IF(AP84="","",INDEX(OFFSET(Arb!$X$2,,,Arb!$AJ$5,),AP84)/AQ84)</f>
        <v>3.1938821412505622</v>
      </c>
      <c r="AT84" s="165">
        <f ca="1">IF(AP84="","",(INDEX(OFFSET(Arb!$U$2,,,Arb!$AJ$5,),AP84)+INDEX(OFFSET(Arb!$V$2,,,Arb!$AJ$5,),AP84))/AQ84)</f>
        <v>3.5087719298245612</v>
      </c>
      <c r="AU84" s="51">
        <f t="shared" ca="1" si="40"/>
        <v>46.538625479860599</v>
      </c>
      <c r="AV84" s="91">
        <f ca="1">IF(AP84="","",DATE(INDEX(OFFSET(Arb!$C$2,,,Arb!$AJ$5,),AP84),INDEX(OFFSET(Arb!$B$2,,,Arb!$AJ$5,),AP84),INDEX(OFFSET(Arb!$A$2,,,Arb!$AJ$5,),AP84))+ROW()*0.001)</f>
        <v>43935.084000000003</v>
      </c>
      <c r="AW84" s="442">
        <v>59</v>
      </c>
      <c r="AX84" s="1">
        <v>2404</v>
      </c>
      <c r="AY84" s="52">
        <f ca="1">IF(AX84="","",INDEX(OFFSET(Arb!$H$2,,,Arb!$AJ$5,),AX84))</f>
        <v>22.43</v>
      </c>
      <c r="AZ84" s="3">
        <f t="shared" ca="1" si="31"/>
        <v>2.6304057066428892</v>
      </c>
      <c r="BA84" s="165">
        <f ca="1">IF(AX84="","",INDEX(OFFSET(Arb!$X$2,,,Arb!$AJ$5,),AX84)/AY84)</f>
        <v>3.0316540347748551</v>
      </c>
      <c r="BB84" s="165">
        <f ca="1">IF(AX84="","",(INDEX(OFFSET(Arb!$U$2,,,Arb!$AJ$5,),AX84)+INDEX(OFFSET(Arb!$V$2,,,Arb!$AJ$5,),AX84))/AY84)</f>
        <v>3.4329023629068214</v>
      </c>
      <c r="BC84" s="51">
        <f t="shared" ca="1" si="41"/>
        <v>45.835383957364648</v>
      </c>
      <c r="BD84" s="88">
        <f ca="1">IF(AX84="","",DATE(INDEX(OFFSET(Arb!$C$2,,,Arb!$AJ$5,),AX84),INDEX(OFFSET(Arb!$B$2,,,Arb!$AJ$5,),AX84),INDEX(OFFSET(Arb!$A$2,,,Arb!$AJ$5,),AX84))+ROW()*0.001)</f>
        <v>44168.084000000003</v>
      </c>
      <c r="BE84" s="436">
        <v>59</v>
      </c>
      <c r="BF84" s="1">
        <v>2184</v>
      </c>
      <c r="BG84" s="52">
        <f ca="1">IF(BF84="","",INDEX(OFFSET(Arb!$H$2,,,Arb!$AJ$5,),BF84))</f>
        <v>22.74</v>
      </c>
      <c r="BH84" s="3">
        <f t="shared" ca="1" si="32"/>
        <v>2.5945470536499564</v>
      </c>
      <c r="BI84" s="165">
        <f ca="1">IF(BF84="","",INDEX(OFFSET(Arb!$X$2,,,Arb!$AJ$5,),BF84)/BG84)</f>
        <v>2.8583992963940195</v>
      </c>
      <c r="BJ84" s="165">
        <f ca="1">IF(BF84="","",(INDEX(OFFSET(Arb!$U$2,,,Arb!$AJ$5,),BF84)+INDEX(OFFSET(Arb!$V$2,,,Arb!$AJ$5,),BF84))/BG84)</f>
        <v>3.0343007915567286</v>
      </c>
      <c r="BK84" s="51">
        <f t="shared" ca="1" si="42"/>
        <v>44.778223142980991</v>
      </c>
      <c r="BL84" s="91">
        <f ca="1">IF(BF84="","",DATE(INDEX(OFFSET(Arb!$C$2,,,Arb!$AJ$5,),BF84),INDEX(OFFSET(Arb!$B$2,,,Arb!$AJ$5,),BF84),INDEX(OFFSET(Arb!$A$2,,,Arb!$AJ$5,),BF84))+ROW()*0.001)</f>
        <v>43840.084000000003</v>
      </c>
      <c r="BM84" s="442">
        <v>59</v>
      </c>
      <c r="BN84" s="1">
        <v>2113</v>
      </c>
      <c r="BO84" s="52">
        <f ca="1">IF(BN84="","",INDEX(OFFSET(Arb!$H$2,,,Arb!$AJ$5,),BN84))</f>
        <v>23.09</v>
      </c>
      <c r="BP84" s="3">
        <f t="shared" ca="1" si="33"/>
        <v>2.5552187093980079</v>
      </c>
      <c r="BQ84" s="165">
        <f ca="1">IF(BN84="","",INDEX(OFFSET(Arb!$X$2,,,Arb!$AJ$5,),BN84)/BO84)</f>
        <v>3.2048505846686877</v>
      </c>
      <c r="BR84" s="165">
        <f ca="1">IF(BN84="","",(INDEX(OFFSET(Arb!$U$2,,,Arb!$AJ$5,),BN84)+INDEX(OFFSET(Arb!$V$2,,,Arb!$AJ$5,),BN84))/BO84)</f>
        <v>3.8111736682546558</v>
      </c>
      <c r="BS84" s="51">
        <f t="shared" ca="1" si="43"/>
        <v>43.630476179189124</v>
      </c>
      <c r="BT84" s="88">
        <f ca="1">IF(BN84="","",DATE(INDEX(OFFSET(Arb!$C$2,,,Arb!$AJ$5,),BN84),INDEX(OFFSET(Arb!$B$2,,,Arb!$AJ$5,),BN84),INDEX(OFFSET(Arb!$A$2,,,Arb!$AJ$5,),BN84))+ROW()*0.001)</f>
        <v>43811.084000000003</v>
      </c>
      <c r="BU84" s="436">
        <v>59</v>
      </c>
      <c r="BV84" s="1">
        <v>2369</v>
      </c>
      <c r="BW84" s="52">
        <f ca="1">IF(BV84="","",INDEX(OFFSET(Arb!$H$2,,,Arb!$AJ$5,),BV84))</f>
        <v>23.52</v>
      </c>
      <c r="BX84" s="3">
        <f t="shared" ca="1" si="34"/>
        <v>2.5085034013605441</v>
      </c>
      <c r="BY84" s="165">
        <f ca="1">IF(BV84="","",INDEX(OFFSET(Arb!$X$2,,,Arb!$AJ$5,),BV84)/BW84)</f>
        <v>2.9336734693877551</v>
      </c>
      <c r="BZ84" s="165">
        <f ca="1">IF(BV84="","",(INDEX(OFFSET(Arb!$U$2,,,Arb!$AJ$5,),BV84)+INDEX(OFFSET(Arb!$V$2,,,Arb!$AJ$5,),BV84))/BW84)</f>
        <v>3.4863945578231292</v>
      </c>
      <c r="CA84" s="51">
        <f t="shared" ca="1" si="44"/>
        <v>42.283136898163846</v>
      </c>
      <c r="CB84" s="91">
        <f ca="1">IF(BV84="","",DATE(INDEX(OFFSET(Arb!$C$2,,,Arb!$AJ$5,),BV84),INDEX(OFFSET(Arb!$B$2,,,Arb!$AJ$5,),BV84),INDEX(OFFSET(Arb!$A$2,,,Arb!$AJ$5,),BV84))+ROW()*0.001)</f>
        <v>44114.084000000003</v>
      </c>
    </row>
    <row r="85" spans="1:80" x14ac:dyDescent="0.25">
      <c r="A85" s="436">
        <v>60</v>
      </c>
      <c r="B85" s="1">
        <v>2043</v>
      </c>
      <c r="C85" s="52">
        <f ca="1">IF(B85="","",INDEX(OFFSET(Arb!$H$2,,,Arb!$AJ$5,),B85))</f>
        <v>23.01</v>
      </c>
      <c r="D85" s="3">
        <f t="shared" ca="1" si="25"/>
        <v>2.6075619295958279</v>
      </c>
      <c r="E85" s="165">
        <f ca="1">IF(B85="","",INDEX(OFFSET(Arb!$X$2,,,Arb!$AJ$5,),B85)/C85)</f>
        <v>3.3029117774880485</v>
      </c>
      <c r="F85" s="165">
        <f ca="1">IF(B85="","",(INDEX(OFFSET(Arb!$U$2,,,Arb!$AJ$5,),B85)+INDEX(OFFSET(Arb!$V$2,,,Arb!$AJ$5,),B85))/C85)</f>
        <v>3.6505867014341589</v>
      </c>
      <c r="G85" s="51">
        <f t="shared" ca="1" si="35"/>
        <v>44.632542358996893</v>
      </c>
      <c r="H85" s="355">
        <f ca="1">IF(B85="","",DATE(INDEX(OFFSET(Arb!$C$2,,,Arb!$AJ$5,),B85),INDEX(OFFSET(Arb!$B$2,,,Arb!$AJ$5,),B85),INDEX(OFFSET(Arb!$A$2,,,Arb!$AJ$5,),B85))+ROW()*0.001)</f>
        <v>43797.084999999999</v>
      </c>
      <c r="I85" s="436">
        <v>60</v>
      </c>
      <c r="J85" s="1">
        <v>1888</v>
      </c>
      <c r="K85" s="52">
        <f ca="1">IF(J85="","",INDEX(OFFSET(Arb!$H$2,,,Arb!$AJ$5,),J85))</f>
        <v>23.04</v>
      </c>
      <c r="L85" s="3">
        <f t="shared" ca="1" si="26"/>
        <v>2.604166666666667</v>
      </c>
      <c r="M85" s="165">
        <f ca="1">IF(J85="","",INDEX(OFFSET(Arb!$X$2,,,Arb!$AJ$5,),J85)/K85)</f>
        <v>3.385416666666667</v>
      </c>
      <c r="N85" s="165">
        <f ca="1">IF(J85="","",(INDEX(OFFSET(Arb!$U$2,,,Arb!$AJ$5,),J85)+INDEX(OFFSET(Arb!$V$2,,,Arb!$AJ$5,),J85))/K85)</f>
        <v>3.7326388888888888</v>
      </c>
      <c r="O85" s="51">
        <f t="shared" ca="1" si="36"/>
        <v>44.533791396876175</v>
      </c>
      <c r="P85" s="91">
        <f ca="1">IF(J85="","",DATE(INDEX(OFFSET(Arb!$C$2,,,Arb!$AJ$5,),J85),INDEX(OFFSET(Arb!$B$2,,,Arb!$AJ$5,),J85),INDEX(OFFSET(Arb!$A$2,,,Arb!$AJ$5,),J85))+ROW()*0.001)</f>
        <v>43764.084999999999</v>
      </c>
      <c r="Q85" s="442">
        <v>60</v>
      </c>
      <c r="R85" s="1">
        <v>2133</v>
      </c>
      <c r="S85" s="52">
        <f ca="1">IF(R85="","",INDEX(OFFSET(Arb!$H$2,,,Arb!$AJ$5,),R85))</f>
        <v>23.39</v>
      </c>
      <c r="T85" s="3">
        <f t="shared" ca="1" si="27"/>
        <v>2.5651988029072252</v>
      </c>
      <c r="U85" s="165">
        <f ca="1">IF(R85="","",INDEX(OFFSET(Arb!$X$2,,,Arb!$AJ$5,),R85)/S85)</f>
        <v>3.4202650705429671</v>
      </c>
      <c r="V85" s="165">
        <f ca="1">IF(R85="","",(INDEX(OFFSET(Arb!$U$2,,,Arb!$AJ$5,),R85)+INDEX(OFFSET(Arb!$V$2,,,Arb!$AJ$5,),R85))/S85)</f>
        <v>3.9760581445061991</v>
      </c>
      <c r="W85" s="51">
        <f t="shared" ca="1" si="37"/>
        <v>43.406872978724735</v>
      </c>
      <c r="X85" s="88">
        <f ca="1">IF(R85="","",DATE(INDEX(OFFSET(Arb!$C$2,,,Arb!$AJ$5,),R85),INDEX(OFFSET(Arb!$B$2,,,Arb!$AJ$5,),R85),INDEX(OFFSET(Arb!$A$2,,,Arb!$AJ$5,),R85))+ROW()*0.001)</f>
        <v>43815.084999999999</v>
      </c>
      <c r="Y85" s="436">
        <v>60</v>
      </c>
      <c r="Z85" s="1">
        <v>2175</v>
      </c>
      <c r="AA85" s="52">
        <f ca="1">IF(Z85="","",INDEX(OFFSET(Arb!$H$2,,,Arb!$AJ$5,),Z85))</f>
        <v>23.91</v>
      </c>
      <c r="AB85" s="3">
        <f t="shared" ca="1" si="28"/>
        <v>2.509410288582183</v>
      </c>
      <c r="AC85" s="165">
        <f ca="1">IF(Z85="","",INDEX(OFFSET(Arb!$X$2,,,Arb!$AJ$5,),Z85)/AA85)</f>
        <v>3.3040568799665411</v>
      </c>
      <c r="AD85" s="165">
        <f ca="1">IF(Z85="","",(INDEX(OFFSET(Arb!$U$2,,,Arb!$AJ$5,),Z85)+INDEX(OFFSET(Arb!$V$2,,,Arb!$AJ$5,),Z85))/AA85)</f>
        <v>3.5549979088247596</v>
      </c>
      <c r="AE85" s="51">
        <f t="shared" ca="1" si="38"/>
        <v>41.81427760251097</v>
      </c>
      <c r="AF85" s="91">
        <f ca="1">IF(Z85="","",DATE(INDEX(OFFSET(Arb!$C$2,,,Arb!$AJ$5,),Z85),INDEX(OFFSET(Arb!$B$2,,,Arb!$AJ$5,),Z85),INDEX(OFFSET(Arb!$A$2,,,Arb!$AJ$5,),Z85))+ROW()*0.001)</f>
        <v>43840.084999999999</v>
      </c>
      <c r="AG85" s="442">
        <v>60</v>
      </c>
      <c r="AH85" s="1">
        <v>1986</v>
      </c>
      <c r="AI85" s="52">
        <f ca="1">IF(AH85="","",INDEX(OFFSET(Arb!$H$2,,,Arb!$AJ$5,),AH85))</f>
        <v>24</v>
      </c>
      <c r="AJ85" s="3">
        <f t="shared" ca="1" si="29"/>
        <v>2.5</v>
      </c>
      <c r="AK85" s="165">
        <f ca="1">IF(AH85="","",INDEX(OFFSET(Arb!$X$2,,,Arb!$AJ$5,),AH85)/AI85)</f>
        <v>3.1666666666666665</v>
      </c>
      <c r="AL85" s="165">
        <f ca="1">IF(AH85="","",(INDEX(OFFSET(Arb!$U$2,,,Arb!$AJ$5,),AH85)+INDEX(OFFSET(Arb!$V$2,,,Arb!$AJ$5,),AH85))/AI85)</f>
        <v>3.9166666666666665</v>
      </c>
      <c r="AM85" s="51">
        <f t="shared" ca="1" si="39"/>
        <v>41.548061582056476</v>
      </c>
      <c r="AN85" s="88">
        <f ca="1">IF(AH85="","",DATE(INDEX(OFFSET(Arb!$C$2,,,Arb!$AJ$5,),AH85),INDEX(OFFSET(Arb!$B$2,,,Arb!$AJ$5,),AH85),INDEX(OFFSET(Arb!$A$2,,,Arb!$AJ$5,),AH85))+ROW()*0.001)</f>
        <v>43784.084999999999</v>
      </c>
      <c r="AO85" s="436">
        <v>60</v>
      </c>
      <c r="AP85" s="1">
        <v>2067</v>
      </c>
      <c r="AQ85" s="52">
        <f ca="1">IF(AP85="","",INDEX(OFFSET(Arb!$H$2,,,Arb!$AJ$5,),AP85))</f>
        <v>24.04</v>
      </c>
      <c r="AR85" s="3">
        <f t="shared" ca="1" si="30"/>
        <v>2.4958402662229617</v>
      </c>
      <c r="AS85" s="165">
        <f ca="1">IF(AP85="","",INDEX(OFFSET(Arb!$X$2,,,Arb!$AJ$5,),AP85)/AQ85)</f>
        <v>3.2029950083194678</v>
      </c>
      <c r="AT85" s="165">
        <f ca="1">IF(AP85="","",(INDEX(OFFSET(Arb!$U$2,,,Arb!$AJ$5,),AP85)+INDEX(OFFSET(Arb!$V$2,,,Arb!$AJ$5,),AP85))/AQ85)</f>
        <v>3.7853577371048255</v>
      </c>
      <c r="AU85" s="51">
        <f t="shared" ca="1" si="40"/>
        <v>41.430606399744725</v>
      </c>
      <c r="AV85" s="91">
        <f ca="1">IF(AP85="","",DATE(INDEX(OFFSET(Arb!$C$2,,,Arb!$AJ$5,),AP85),INDEX(OFFSET(Arb!$B$2,,,Arb!$AJ$5,),AP85),INDEX(OFFSET(Arb!$A$2,,,Arb!$AJ$5,),AP85))+ROW()*0.001)</f>
        <v>43800.084999999999</v>
      </c>
      <c r="AW85" s="442">
        <v>60</v>
      </c>
      <c r="AX85" s="1">
        <v>2269</v>
      </c>
      <c r="AY85" s="52">
        <f ca="1">IF(AX85="","",INDEX(OFFSET(Arb!$H$2,,,Arb!$AJ$5,),AX85))</f>
        <v>24.5</v>
      </c>
      <c r="AZ85" s="3">
        <f t="shared" ca="1" si="31"/>
        <v>2.4489795918367347</v>
      </c>
      <c r="BA85" s="165">
        <f ca="1">IF(AX85="","",INDEX(OFFSET(Arb!$X$2,,,Arb!$AJ$5,),AX85)/AY85)</f>
        <v>3.0612244897959182</v>
      </c>
      <c r="BB85" s="165">
        <f ca="1">IF(AX85="","",(INDEX(OFFSET(Arb!$U$2,,,Arb!$AJ$5,),AX85)+INDEX(OFFSET(Arb!$V$2,,,Arb!$AJ$5,),AX85))/AY85)</f>
        <v>3.5918367346938775</v>
      </c>
      <c r="BC85" s="51">
        <f t="shared" ca="1" si="41"/>
        <v>40.11691554118859</v>
      </c>
      <c r="BD85" s="88">
        <f ca="1">IF(AX85="","",DATE(INDEX(OFFSET(Arb!$C$2,,,Arb!$AJ$5,),AX85),INDEX(OFFSET(Arb!$B$2,,,Arb!$AJ$5,),AX85),INDEX(OFFSET(Arb!$A$2,,,Arb!$AJ$5,),AX85))+ROW()*0.001)</f>
        <v>43912.084999999999</v>
      </c>
      <c r="BE85" s="436">
        <v>60</v>
      </c>
      <c r="BF85" s="1">
        <v>2038</v>
      </c>
      <c r="BG85" s="52">
        <f ca="1">IF(BF85="","",INDEX(OFFSET(Arb!$H$2,,,Arb!$AJ$5,),BF85))</f>
        <v>24.6</v>
      </c>
      <c r="BH85" s="3">
        <f t="shared" ca="1" si="32"/>
        <v>2.4390243902439024</v>
      </c>
      <c r="BI85" s="165">
        <f ca="1">IF(BF85="","",INDEX(OFFSET(Arb!$X$2,,,Arb!$AJ$5,),BF85)/BG85)</f>
        <v>2.9674796747967478</v>
      </c>
      <c r="BJ85" s="165">
        <f ca="1">IF(BF85="","",(INDEX(OFFSET(Arb!$U$2,,,Arb!$AJ$5,),BF85)+INDEX(OFFSET(Arb!$V$2,,,Arb!$AJ$5,),BF85))/BG85)</f>
        <v>3.5365853658536581</v>
      </c>
      <c r="BK85" s="51">
        <f t="shared" ca="1" si="42"/>
        <v>39.84007941853244</v>
      </c>
      <c r="BL85" s="91">
        <f ca="1">IF(BF85="","",DATE(INDEX(OFFSET(Arb!$C$2,,,Arb!$AJ$5,),BF85),INDEX(OFFSET(Arb!$B$2,,,Arb!$AJ$5,),BF85),INDEX(OFFSET(Arb!$A$2,,,Arb!$AJ$5,),BF85))+ROW()*0.001)</f>
        <v>43797.084999999999</v>
      </c>
      <c r="BM85" s="442">
        <v>60</v>
      </c>
      <c r="BN85" s="1">
        <v>1988</v>
      </c>
      <c r="BO85" s="52">
        <f ca="1">IF(BN85="","",INDEX(OFFSET(Arb!$H$2,,,Arb!$AJ$5,),BN85))</f>
        <v>24.69</v>
      </c>
      <c r="BP85" s="3">
        <f t="shared" ca="1" si="33"/>
        <v>2.4301336573511541</v>
      </c>
      <c r="BQ85" s="165">
        <f ca="1">IF(BN85="","",INDEX(OFFSET(Arb!$X$2,,,Arb!$AJ$5,),BN85)/BO85)</f>
        <v>3.240178209801539</v>
      </c>
      <c r="BR85" s="165">
        <f ca="1">IF(BN85="","",(INDEX(OFFSET(Arb!$U$2,,,Arb!$AJ$5,),BN85)+INDEX(OFFSET(Arb!$V$2,,,Arb!$AJ$5,),BN85))/BO85)</f>
        <v>3.6046982584042122</v>
      </c>
      <c r="BS85" s="51">
        <f t="shared" ca="1" si="43"/>
        <v>39.59351188066266</v>
      </c>
      <c r="BT85" s="88">
        <f ca="1">IF(BN85="","",DATE(INDEX(OFFSET(Arb!$C$2,,,Arb!$AJ$5,),BN85),INDEX(OFFSET(Arb!$B$2,,,Arb!$AJ$5,),BN85),INDEX(OFFSET(Arb!$A$2,,,Arb!$AJ$5,),BN85))+ROW()*0.001)</f>
        <v>43784.084999999999</v>
      </c>
      <c r="BU85" s="436">
        <v>60</v>
      </c>
      <c r="BV85" s="1">
        <v>2308</v>
      </c>
      <c r="BW85" s="52">
        <f ca="1">IF(BV85="","",INDEX(OFFSET(Arb!$H$2,,,Arb!$AJ$5,),BV85))</f>
        <v>24.89</v>
      </c>
      <c r="BX85" s="3">
        <f t="shared" ca="1" si="34"/>
        <v>2.4106066693451185</v>
      </c>
      <c r="BY85" s="165">
        <f ca="1">IF(BV85="","",INDEX(OFFSET(Arb!$X$2,,,Arb!$AJ$5,),BV85)/BW85)</f>
        <v>3.2141422257934913</v>
      </c>
      <c r="BZ85" s="165">
        <f ca="1">IF(BV85="","",(INDEX(OFFSET(Arb!$U$2,,,Arb!$AJ$5,),BV85)+INDEX(OFFSET(Arb!$V$2,,,Arb!$AJ$5,),BV85))/BW85)</f>
        <v>3.4150261149055843</v>
      </c>
      <c r="CA85" s="51">
        <f t="shared" ca="1" si="44"/>
        <v>39.05418267485426</v>
      </c>
      <c r="CB85" s="91">
        <f ca="1">IF(BV85="","",DATE(INDEX(OFFSET(Arb!$C$2,,,Arb!$AJ$5,),BV85),INDEX(OFFSET(Arb!$B$2,,,Arb!$AJ$5,),BV85),INDEX(OFFSET(Arb!$A$2,,,Arb!$AJ$5,),BV85))+ROW()*0.001)</f>
        <v>43950.084999999999</v>
      </c>
    </row>
    <row r="86" spans="1:80" x14ac:dyDescent="0.25">
      <c r="A86" s="436">
        <v>61</v>
      </c>
      <c r="B86" s="1">
        <v>2066</v>
      </c>
      <c r="C86" s="52">
        <f ca="1">IF(B86="","",INDEX(OFFSET(Arb!$H$2,,,Arb!$AJ$5,),B86))</f>
        <v>23.87</v>
      </c>
      <c r="D86" s="3">
        <f t="shared" ca="1" si="25"/>
        <v>2.5555090071219104</v>
      </c>
      <c r="E86" s="165">
        <f ca="1">IF(B86="","",INDEX(OFFSET(Arb!$X$2,,,Arb!$AJ$5,),B86)/C86)</f>
        <v>3.26770004189359</v>
      </c>
      <c r="F86" s="165">
        <f ca="1">IF(B86="","",(INDEX(OFFSET(Arb!$U$2,,,Arb!$AJ$5,),B86)+INDEX(OFFSET(Arb!$V$2,,,Arb!$AJ$5,),B86))/C86)</f>
        <v>3.6028487641390865</v>
      </c>
      <c r="G86" s="51">
        <f t="shared" ca="1" si="35"/>
        <v>42.632357577701548</v>
      </c>
      <c r="H86" s="355">
        <f ca="1">IF(B86="","",DATE(INDEX(OFFSET(Arb!$C$2,,,Arb!$AJ$5,),B86),INDEX(OFFSET(Arb!$B$2,,,Arb!$AJ$5,),B86),INDEX(OFFSET(Arb!$A$2,,,Arb!$AJ$5,),B86))+ROW()*0.001)</f>
        <v>43800.086000000003</v>
      </c>
      <c r="I86" s="436">
        <v>61</v>
      </c>
      <c r="J86" s="1">
        <v>2257</v>
      </c>
      <c r="K86" s="52">
        <f ca="1">IF(J86="","",INDEX(OFFSET(Arb!$H$2,,,Arb!$AJ$5,),J86))</f>
        <v>24.45</v>
      </c>
      <c r="L86" s="3">
        <f t="shared" ca="1" si="26"/>
        <v>2.4948875255623721</v>
      </c>
      <c r="M86" s="165">
        <f ca="1">IF(J86="","",INDEX(OFFSET(Arb!$X$2,,,Arb!$AJ$5,),J86)/K86)</f>
        <v>3.1083844580777096</v>
      </c>
      <c r="N86" s="165">
        <f ca="1">IF(J86="","",(INDEX(OFFSET(Arb!$U$2,,,Arb!$AJ$5,),J86)+INDEX(OFFSET(Arb!$V$2,,,Arb!$AJ$5,),J86))/K86)</f>
        <v>3.6400817995910022</v>
      </c>
      <c r="O86" s="51">
        <f t="shared" ca="1" si="36"/>
        <v>40.927422454164663</v>
      </c>
      <c r="P86" s="91">
        <f ca="1">IF(J86="","",DATE(INDEX(OFFSET(Arb!$C$2,,,Arb!$AJ$5,),J86),INDEX(OFFSET(Arb!$B$2,,,Arb!$AJ$5,),J86),INDEX(OFFSET(Arb!$A$2,,,Arb!$AJ$5,),J86))+ROW()*0.001)</f>
        <v>43901.086000000003</v>
      </c>
      <c r="Q86" s="442">
        <v>61</v>
      </c>
      <c r="R86" s="1">
        <v>2204</v>
      </c>
      <c r="S86" s="52">
        <f ca="1">IF(R86="","",INDEX(OFFSET(Arb!$H$2,,,Arb!$AJ$5,),R86))</f>
        <v>24.47</v>
      </c>
      <c r="T86" s="3">
        <f t="shared" ca="1" si="27"/>
        <v>2.4928483857785042</v>
      </c>
      <c r="U86" s="165">
        <f ca="1">IF(R86="","",INDEX(OFFSET(Arb!$X$2,,,Arb!$AJ$5,),R86)/S86)</f>
        <v>2.9832447895382104</v>
      </c>
      <c r="V86" s="165">
        <f ca="1">IF(R86="","",(INDEX(OFFSET(Arb!$U$2,,,Arb!$AJ$5,),R86)+INDEX(OFFSET(Arb!$V$2,,,Arb!$AJ$5,),R86))/S86)</f>
        <v>3.228442991418063</v>
      </c>
      <c r="W86" s="51">
        <f t="shared" ca="1" si="37"/>
        <v>40.870571850862994</v>
      </c>
      <c r="X86" s="88">
        <f ca="1">IF(R86="","",DATE(INDEX(OFFSET(Arb!$C$2,,,Arb!$AJ$5,),R86),INDEX(OFFSET(Arb!$B$2,,,Arb!$AJ$5,),R86),INDEX(OFFSET(Arb!$A$2,,,Arb!$AJ$5,),R86))+ROW()*0.001)</f>
        <v>43869.086000000003</v>
      </c>
      <c r="Y86" s="436">
        <v>61</v>
      </c>
      <c r="Z86" s="1">
        <v>2264</v>
      </c>
      <c r="AA86" s="52">
        <f ca="1">IF(Z86="","",INDEX(OFFSET(Arb!$H$2,,,Arb!$AJ$5,),Z86))</f>
        <v>25.73</v>
      </c>
      <c r="AB86" s="3">
        <f t="shared" ca="1" si="28"/>
        <v>2.3707734162456275</v>
      </c>
      <c r="AC86" s="165">
        <f ca="1">IF(Z86="","",INDEX(OFFSET(Arb!$X$2,,,Arb!$AJ$5,),Z86)/AA86)</f>
        <v>3.2646715895841432</v>
      </c>
      <c r="AD86" s="165">
        <f ca="1">IF(Z86="","",(INDEX(OFFSET(Arb!$U$2,,,Arb!$AJ$5,),Z86)+INDEX(OFFSET(Arb!$V$2,,,Arb!$AJ$5,),Z86))/AA86)</f>
        <v>3.6921881072677807</v>
      </c>
      <c r="AE86" s="51">
        <f t="shared" ca="1" si="38"/>
        <v>37.526738906726798</v>
      </c>
      <c r="AF86" s="91">
        <f ca="1">IF(Z86="","",DATE(INDEX(OFFSET(Arb!$C$2,,,Arb!$AJ$5,),Z86),INDEX(OFFSET(Arb!$B$2,,,Arb!$AJ$5,),Z86),INDEX(OFFSET(Arb!$A$2,,,Arb!$AJ$5,),Z86))+ROW()*0.001)</f>
        <v>43906.086000000003</v>
      </c>
      <c r="AG86" s="442">
        <v>61</v>
      </c>
      <c r="AH86" s="1">
        <v>2078</v>
      </c>
      <c r="AI86" s="52">
        <f ca="1">IF(AH86="","",INDEX(OFFSET(Arb!$H$2,,,Arb!$AJ$5,),AH86))</f>
        <v>26.02</v>
      </c>
      <c r="AJ86" s="3">
        <f t="shared" ca="1" si="29"/>
        <v>2.3443504996156803</v>
      </c>
      <c r="AK86" s="165">
        <f ca="1">IF(AH86="","",INDEX(OFFSET(Arb!$X$2,,,Arb!$AJ$5,),AH86)/AI86)</f>
        <v>2.8823981552651805</v>
      </c>
      <c r="AL86" s="165">
        <f ca="1">IF(AH86="","",(INDEX(OFFSET(Arb!$U$2,,,Arb!$AJ$5,),AH86)+INDEX(OFFSET(Arb!$V$2,,,Arb!$AJ$5,),AH86))/AI86)</f>
        <v>3.1514219830899308</v>
      </c>
      <c r="AM86" s="51">
        <f t="shared" ca="1" si="39"/>
        <v>36.818497813285745</v>
      </c>
      <c r="AN86" s="88">
        <f ca="1">IF(AH86="","",DATE(INDEX(OFFSET(Arb!$C$2,,,Arb!$AJ$5,),AH86),INDEX(OFFSET(Arb!$B$2,,,Arb!$AJ$5,),AH86),INDEX(OFFSET(Arb!$A$2,,,Arb!$AJ$5,),AH86))+ROW()*0.001)</f>
        <v>43805.086000000003</v>
      </c>
      <c r="AO86" s="436">
        <v>61</v>
      </c>
      <c r="AP86" s="1">
        <v>2208</v>
      </c>
      <c r="AQ86" s="52">
        <f ca="1">IF(AP86="","",INDEX(OFFSET(Arb!$H$2,,,Arb!$AJ$5,),AP86))</f>
        <v>26.57</v>
      </c>
      <c r="AR86" s="3">
        <f t="shared" ca="1" si="30"/>
        <v>2.2958223560406474</v>
      </c>
      <c r="AS86" s="165">
        <f ca="1">IF(AP86="","",INDEX(OFFSET(Arb!$X$2,,,Arb!$AJ$5,),AP86)/AQ86)</f>
        <v>2.785095972901769</v>
      </c>
      <c r="AT86" s="165">
        <f ca="1">IF(AP86="","",(INDEX(OFFSET(Arb!$U$2,,,Arb!$AJ$5,),AP86)+INDEX(OFFSET(Arb!$V$2,,,Arb!$AJ$5,),AP86))/AQ86)</f>
        <v>3.3120060218291307</v>
      </c>
      <c r="AU86" s="51">
        <f t="shared" ca="1" si="40"/>
        <v>35.532259049777352</v>
      </c>
      <c r="AV86" s="91">
        <f ca="1">IF(AP86="","",DATE(INDEX(OFFSET(Arb!$C$2,,,Arb!$AJ$5,),AP86),INDEX(OFFSET(Arb!$B$2,,,Arb!$AJ$5,),AP86),INDEX(OFFSET(Arb!$A$2,,,Arb!$AJ$5,),AP86))+ROW()*0.001)</f>
        <v>43869.086000000003</v>
      </c>
      <c r="AW86" s="442">
        <v>61</v>
      </c>
      <c r="AX86" s="1">
        <v>2121</v>
      </c>
      <c r="AY86" s="52">
        <f ca="1">IF(AX86="","",INDEX(OFFSET(Arb!$H$2,,,Arb!$AJ$5,),AX86))</f>
        <v>26.62</v>
      </c>
      <c r="AZ86" s="3">
        <f t="shared" ca="1" si="31"/>
        <v>2.2915101427498121</v>
      </c>
      <c r="BA86" s="165">
        <f ca="1">IF(AX86="","",INDEX(OFFSET(Arb!$X$2,,,Arb!$AJ$5,),AX86)/AY86)</f>
        <v>3.1930879038317053</v>
      </c>
      <c r="BB86" s="165">
        <f ca="1">IF(AX86="","",(INDEX(OFFSET(Arb!$U$2,,,Arb!$AJ$5,),AX86)+INDEX(OFFSET(Arb!$V$2,,,Arb!$AJ$5,),AX86))/AY86)</f>
        <v>3.944402704733283</v>
      </c>
      <c r="BC86" s="51">
        <f t="shared" ca="1" si="41"/>
        <v>35.418876024322685</v>
      </c>
      <c r="BD86" s="88">
        <f ca="1">IF(AX86="","",DATE(INDEX(OFFSET(Arb!$C$2,,,Arb!$AJ$5,),AX86),INDEX(OFFSET(Arb!$B$2,,,Arb!$AJ$5,),AX86),INDEX(OFFSET(Arb!$A$2,,,Arb!$AJ$5,),AX86))+ROW()*0.001)</f>
        <v>43811.086000000003</v>
      </c>
      <c r="BE86" s="436">
        <v>61</v>
      </c>
      <c r="BF86" s="1">
        <v>2125</v>
      </c>
      <c r="BG86" s="52">
        <f ca="1">IF(BF86="","",INDEX(OFFSET(Arb!$H$2,,,Arb!$AJ$5,),BF86))</f>
        <v>26.66</v>
      </c>
      <c r="BH86" s="3">
        <f t="shared" ca="1" si="32"/>
        <v>2.2880720180045011</v>
      </c>
      <c r="BI86" s="165">
        <f ca="1">IF(BF86="","",INDEX(OFFSET(Arb!$X$2,,,Arb!$AJ$5,),BF86)/BG86)</f>
        <v>3.150787696924231</v>
      </c>
      <c r="BJ86" s="165">
        <f ca="1">IF(BF86="","",(INDEX(OFFSET(Arb!$U$2,,,Arb!$AJ$5,),BF86)+INDEX(OFFSET(Arb!$V$2,,,Arb!$AJ$5,),BF86))/BG86)</f>
        <v>3.5633908477119278</v>
      </c>
      <c r="BK86" s="51">
        <f t="shared" ca="1" si="42"/>
        <v>35.328582753139941</v>
      </c>
      <c r="BL86" s="91">
        <f ca="1">IF(BF86="","",DATE(INDEX(OFFSET(Arb!$C$2,,,Arb!$AJ$5,),BF86),INDEX(OFFSET(Arb!$B$2,,,Arb!$AJ$5,),BF86),INDEX(OFFSET(Arb!$A$2,,,Arb!$AJ$5,),BF86))+ROW()*0.001)</f>
        <v>43811.086000000003</v>
      </c>
      <c r="BM86" s="442">
        <v>61</v>
      </c>
      <c r="BN86" s="1">
        <v>2179</v>
      </c>
      <c r="BO86" s="52">
        <f ca="1">IF(BN86="","",INDEX(OFFSET(Arb!$H$2,,,Arb!$AJ$5,),BN86))</f>
        <v>26.91</v>
      </c>
      <c r="BP86" s="3">
        <f t="shared" ca="1" si="33"/>
        <v>2.2668153102935711</v>
      </c>
      <c r="BQ86" s="165">
        <f ca="1">IF(BN86="","",INDEX(OFFSET(Arb!$X$2,,,Arb!$AJ$5,),BN86)/BO86)</f>
        <v>2.9357116313638052</v>
      </c>
      <c r="BR86" s="165">
        <f ca="1">IF(BN86="","",(INDEX(OFFSET(Arb!$U$2,,,Arb!$AJ$5,),BN86)+INDEX(OFFSET(Arb!$V$2,,,Arb!$AJ$5,),BN86))/BO86)</f>
        <v>3.3444816053511706</v>
      </c>
      <c r="BS86" s="51">
        <f t="shared" ca="1" si="43"/>
        <v>34.772440766580999</v>
      </c>
      <c r="BT86" s="88">
        <f ca="1">IF(BN86="","",DATE(INDEX(OFFSET(Arb!$C$2,,,Arb!$AJ$5,),BN86),INDEX(OFFSET(Arb!$B$2,,,Arb!$AJ$5,),BN86),INDEX(OFFSET(Arb!$A$2,,,Arb!$AJ$5,),BN86))+ROW()*0.001)</f>
        <v>43840.086000000003</v>
      </c>
      <c r="BU86" s="436">
        <v>61</v>
      </c>
      <c r="BV86" s="1">
        <v>2147</v>
      </c>
      <c r="BW86" s="52">
        <f ca="1">IF(BV86="","",INDEX(OFFSET(Arb!$H$2,,,Arb!$AJ$5,),BV86))</f>
        <v>27.01</v>
      </c>
      <c r="BX86" s="3">
        <f t="shared" ca="1" si="34"/>
        <v>2.2584228063680118</v>
      </c>
      <c r="BY86" s="165">
        <f ca="1">IF(BV86="","",INDEX(OFFSET(Arb!$X$2,,,Arb!$AJ$5,),BV86)/BW86)</f>
        <v>2.9618659755646055</v>
      </c>
      <c r="BZ86" s="165">
        <f ca="1">IF(BV86="","",(INDEX(OFFSET(Arb!$U$2,,,Arb!$AJ$5,),BV86)+INDEX(OFFSET(Arb!$V$2,,,Arb!$AJ$5,),BV86))/BW86)</f>
        <v>3.4061458718992963</v>
      </c>
      <c r="CA86" s="51">
        <f t="shared" ca="1" si="44"/>
        <v>34.553867937543593</v>
      </c>
      <c r="CB86" s="91">
        <f ca="1">IF(BV86="","",DATE(INDEX(OFFSET(Arb!$C$2,,,Arb!$AJ$5,),BV86),INDEX(OFFSET(Arb!$B$2,,,Arb!$AJ$5,),BV86),INDEX(OFFSET(Arb!$A$2,,,Arb!$AJ$5,),BV86))+ROW()*0.001)</f>
        <v>43818.086000000003</v>
      </c>
    </row>
    <row r="87" spans="1:80" x14ac:dyDescent="0.25">
      <c r="A87" s="436">
        <v>62</v>
      </c>
      <c r="B87" s="1">
        <v>2342</v>
      </c>
      <c r="C87" s="52">
        <f ca="1">IF(B87="","",INDEX(OFFSET(Arb!$H$2,,,Arb!$AJ$5,),B87))</f>
        <v>21.45</v>
      </c>
      <c r="D87" s="3">
        <f t="shared" ca="1" si="25"/>
        <v>2.8904428904428907</v>
      </c>
      <c r="E87" s="165">
        <f ca="1">IF(B87="","",INDEX(OFFSET(Arb!$X$2,,,Arb!$AJ$5,),B87)/C87)</f>
        <v>3.4032634032634035</v>
      </c>
      <c r="F87" s="165">
        <f ca="1">IF(B87="","",(INDEX(OFFSET(Arb!$U$2,,,Arb!$AJ$5,),B87)+INDEX(OFFSET(Arb!$V$2,,,Arb!$AJ$5,),B87))/C87)</f>
        <v>3.6829836829836831</v>
      </c>
      <c r="G87" s="51">
        <f t="shared" ca="1" si="35"/>
        <v>51.966553246325482</v>
      </c>
      <c r="H87" s="355">
        <f ca="1">IF(B87="","",DATE(INDEX(OFFSET(Arb!$C$2,,,Arb!$AJ$5,),B87),INDEX(OFFSET(Arb!$B$2,,,Arb!$AJ$5,),B87),INDEX(OFFSET(Arb!$A$2,,,Arb!$AJ$5,),B87))+ROW()*0.001)</f>
        <v>44106.087</v>
      </c>
      <c r="I87" s="436">
        <v>62</v>
      </c>
      <c r="J87" s="1">
        <v>2329</v>
      </c>
      <c r="K87" s="52">
        <f ca="1">IF(J87="","",INDEX(OFFSET(Arb!$H$2,,,Arb!$AJ$5,),J87))</f>
        <v>21.75</v>
      </c>
      <c r="L87" s="3">
        <f t="shared" ca="1" si="26"/>
        <v>2.8505747126436782</v>
      </c>
      <c r="M87" s="165">
        <f ca="1">IF(J87="","",INDEX(OFFSET(Arb!$X$2,,,Arb!$AJ$5,),J87)/K87)</f>
        <v>3.3563218390804597</v>
      </c>
      <c r="N87" s="165">
        <f ca="1">IF(J87="","",(INDEX(OFFSET(Arb!$U$2,,,Arb!$AJ$5,),J87)+INDEX(OFFSET(Arb!$V$2,,,Arb!$AJ$5,),J87))/K87)</f>
        <v>3.9540229885057472</v>
      </c>
      <c r="O87" s="51">
        <f t="shared" ca="1" si="36"/>
        <v>50.753917860335378</v>
      </c>
      <c r="P87" s="91">
        <f ca="1">IF(J87="","",DATE(INDEX(OFFSET(Arb!$C$2,,,Arb!$AJ$5,),J87),INDEX(OFFSET(Arb!$B$2,,,Arb!$AJ$5,),J87),INDEX(OFFSET(Arb!$A$2,,,Arb!$AJ$5,),J87))+ROW()*0.001)</f>
        <v>44090.087</v>
      </c>
      <c r="Q87" s="442">
        <v>62</v>
      </c>
      <c r="R87" s="1">
        <v>2240</v>
      </c>
      <c r="S87" s="52">
        <f ca="1">IF(R87="","",INDEX(OFFSET(Arb!$H$2,,,Arb!$AJ$5,),R87))</f>
        <v>22.03</v>
      </c>
      <c r="T87" s="3">
        <f t="shared" ca="1" si="27"/>
        <v>2.8143440762596459</v>
      </c>
      <c r="U87" s="165">
        <f ca="1">IF(R87="","",INDEX(OFFSET(Arb!$X$2,,,Arb!$AJ$5,),R87)/S87)</f>
        <v>3.1320926009986381</v>
      </c>
      <c r="V87" s="165">
        <f ca="1">IF(R87="","",(INDEX(OFFSET(Arb!$U$2,,,Arb!$AJ$5,),R87)+INDEX(OFFSET(Arb!$V$2,,,Arb!$AJ$5,),R87))/S87)</f>
        <v>3.4498411257376302</v>
      </c>
      <c r="W87" s="51">
        <f t="shared" ca="1" si="37"/>
        <v>49.662167632082323</v>
      </c>
      <c r="X87" s="88">
        <f ca="1">IF(R87="","",DATE(INDEX(OFFSET(Arb!$C$2,,,Arb!$AJ$5,),R87),INDEX(OFFSET(Arb!$B$2,,,Arb!$AJ$5,),R87),INDEX(OFFSET(Arb!$A$2,,,Arb!$AJ$5,),R87))+ROW()*0.001)</f>
        <v>43890.087</v>
      </c>
      <c r="Y87" s="436">
        <v>62</v>
      </c>
      <c r="Z87" s="1">
        <v>2057</v>
      </c>
      <c r="AA87" s="52">
        <f ca="1">IF(Z87="","",INDEX(OFFSET(Arb!$H$2,,,Arb!$AJ$5,),Z87))</f>
        <v>22.48</v>
      </c>
      <c r="AB87" s="3">
        <f t="shared" ca="1" si="28"/>
        <v>2.7580071174377223</v>
      </c>
      <c r="AC87" s="165">
        <f ca="1">IF(Z87="","",INDEX(OFFSET(Arb!$X$2,,,Arb!$AJ$5,),Z87)/AA87)</f>
        <v>3.2028469750889679</v>
      </c>
      <c r="AD87" s="165">
        <f ca="1">IF(Z87="","",(INDEX(OFFSET(Arb!$U$2,,,Arb!$AJ$5,),Z87)+INDEX(OFFSET(Arb!$V$2,,,Arb!$AJ$5,),Z87))/AA87)</f>
        <v>3.6921708185053381</v>
      </c>
      <c r="AE87" s="51">
        <f t="shared" ca="1" si="38"/>
        <v>47.984016190745443</v>
      </c>
      <c r="AF87" s="91">
        <f ca="1">IF(Z87="","",DATE(INDEX(OFFSET(Arb!$C$2,,,Arb!$AJ$5,),Z87),INDEX(OFFSET(Arb!$B$2,,,Arb!$AJ$5,),Z87),INDEX(OFFSET(Arb!$A$2,,,Arb!$AJ$5,),Z87))+ROW()*0.001)</f>
        <v>43800.087</v>
      </c>
      <c r="AG87" s="442">
        <v>62</v>
      </c>
      <c r="AH87" s="1">
        <v>2363</v>
      </c>
      <c r="AI87" s="52">
        <f ca="1">IF(AH87="","",INDEX(OFFSET(Arb!$H$2,,,Arb!$AJ$5,),AH87))</f>
        <v>22.87</v>
      </c>
      <c r="AJ87" s="3">
        <f t="shared" ca="1" si="29"/>
        <v>2.7109750765194578</v>
      </c>
      <c r="AK87" s="165">
        <f ca="1">IF(AH87="","",INDEX(OFFSET(Arb!$X$2,,,Arb!$AJ$5,),AH87)/AI87)</f>
        <v>3.2356799300393528</v>
      </c>
      <c r="AL87" s="165">
        <f ca="1">IF(AH87="","",(INDEX(OFFSET(Arb!$U$2,,,Arb!$AJ$5,),AH87)+INDEX(OFFSET(Arb!$V$2,,,Arb!$AJ$5,),AH87))/AI87)</f>
        <v>3.9790118058592041</v>
      </c>
      <c r="AM87" s="51">
        <f t="shared" ca="1" si="39"/>
        <v>46.601279056095812</v>
      </c>
      <c r="AN87" s="88">
        <f ca="1">IF(AH87="","",DATE(INDEX(OFFSET(Arb!$C$2,,,Arb!$AJ$5,),AH87),INDEX(OFFSET(Arb!$B$2,,,Arb!$AJ$5,),AH87),INDEX(OFFSET(Arb!$A$2,,,Arb!$AJ$5,),AH87))+ROW()*0.001)</f>
        <v>44114.087</v>
      </c>
      <c r="AO87" s="436">
        <v>62</v>
      </c>
      <c r="AP87" s="1">
        <v>2095</v>
      </c>
      <c r="AQ87" s="52">
        <f ca="1">IF(AP87="","",INDEX(OFFSET(Arb!$H$2,,,Arb!$AJ$5,),AP87))</f>
        <v>23.87</v>
      </c>
      <c r="AR87" s="3">
        <f t="shared" ca="1" si="30"/>
        <v>2.5974025974025974</v>
      </c>
      <c r="AS87" s="165">
        <f ca="1">IF(AP87="","",INDEX(OFFSET(Arb!$X$2,,,Arb!$AJ$5,),AP87)/AQ87)</f>
        <v>3.3514872224549643</v>
      </c>
      <c r="AT87" s="165">
        <f ca="1">IF(AP87="","",(INDEX(OFFSET(Arb!$U$2,,,Arb!$AJ$5,),AP87)+INDEX(OFFSET(Arb!$V$2,,,Arb!$AJ$5,),AP87))/AQ87)</f>
        <v>3.8961038961038961</v>
      </c>
      <c r="AU87" s="51">
        <f t="shared" ca="1" si="40"/>
        <v>43.331248685532721</v>
      </c>
      <c r="AV87" s="91">
        <f ca="1">IF(AP87="","",DATE(INDEX(OFFSET(Arb!$C$2,,,Arb!$AJ$5,),AP87),INDEX(OFFSET(Arb!$B$2,,,Arb!$AJ$5,),AP87),INDEX(OFFSET(Arb!$A$2,,,Arb!$AJ$5,),AP87))+ROW()*0.001)</f>
        <v>43809.087</v>
      </c>
      <c r="AW87" s="442">
        <v>62</v>
      </c>
      <c r="AX87" s="1">
        <v>2017</v>
      </c>
      <c r="AY87" s="52">
        <f ca="1">IF(AX87="","",INDEX(OFFSET(Arb!$H$2,,,Arb!$AJ$5,),AX87))</f>
        <v>25.04</v>
      </c>
      <c r="AZ87" s="3">
        <f t="shared" ca="1" si="31"/>
        <v>2.4760383386581473</v>
      </c>
      <c r="BA87" s="165">
        <f ca="1">IF(AX87="","",INDEX(OFFSET(Arb!$X$2,,,Arb!$AJ$5,),AX87)/AY87)</f>
        <v>3.1150159744408947</v>
      </c>
      <c r="BB87" s="165">
        <f ca="1">IF(AX87="","",(INDEX(OFFSET(Arb!$U$2,,,Arb!$AJ$5,),AX87)+INDEX(OFFSET(Arb!$V$2,,,Arb!$AJ$5,),AX87))/AY87)</f>
        <v>3.5543130990415337</v>
      </c>
      <c r="BC87" s="51">
        <f t="shared" ca="1" si="41"/>
        <v>39.945877419191874</v>
      </c>
      <c r="BD87" s="88">
        <f ca="1">IF(AX87="","",DATE(INDEX(OFFSET(Arb!$C$2,,,Arb!$AJ$5,),AX87),INDEX(OFFSET(Arb!$B$2,,,Arb!$AJ$5,),AX87),INDEX(OFFSET(Arb!$A$2,,,Arb!$AJ$5,),AX87))+ROW()*0.001)</f>
        <v>43793.087</v>
      </c>
      <c r="BE87" s="436">
        <v>62</v>
      </c>
      <c r="BF87" s="1">
        <v>2188</v>
      </c>
      <c r="BG87" s="52">
        <f ca="1">IF(BF87="","",INDEX(OFFSET(Arb!$H$2,,,Arb!$AJ$5,),BF87))</f>
        <v>25.26</v>
      </c>
      <c r="BH87" s="3">
        <f t="shared" ca="1" si="32"/>
        <v>2.4544734758511479</v>
      </c>
      <c r="BI87" s="165">
        <f ca="1">IF(BF87="","",INDEX(OFFSET(Arb!$X$2,,,Arb!$AJ$5,),BF87)/BG87)</f>
        <v>2.9691211401425175</v>
      </c>
      <c r="BJ87" s="165">
        <f ca="1">IF(BF87="","",(INDEX(OFFSET(Arb!$U$2,,,Arb!$AJ$5,),BF87)+INDEX(OFFSET(Arb!$V$2,,,Arb!$AJ$5,),BF87))/BG87)</f>
        <v>3.4045922406967537</v>
      </c>
      <c r="BK87" s="51">
        <f t="shared" ca="1" si="42"/>
        <v>39.35624252021541</v>
      </c>
      <c r="BL87" s="91">
        <f ca="1">IF(BF87="","",DATE(INDEX(OFFSET(Arb!$C$2,,,Arb!$AJ$5,),BF87),INDEX(OFFSET(Arb!$B$2,,,Arb!$AJ$5,),BF87),INDEX(OFFSET(Arb!$A$2,,,Arb!$AJ$5,),BF87))+ROW()*0.001)</f>
        <v>43840.087</v>
      </c>
      <c r="BM87" s="442">
        <v>62</v>
      </c>
      <c r="BN87" s="1">
        <v>2098</v>
      </c>
      <c r="BO87" s="52">
        <f ca="1">IF(BN87="","",INDEX(OFFSET(Arb!$H$2,,,Arb!$AJ$5,),BN87))</f>
        <v>25.3</v>
      </c>
      <c r="BP87" s="3">
        <f t="shared" ca="1" si="33"/>
        <v>2.4505928853754941</v>
      </c>
      <c r="BQ87" s="165">
        <f ca="1">IF(BN87="","",INDEX(OFFSET(Arb!$X$2,,,Arb!$AJ$5,),BN87)/BO87)</f>
        <v>3.5177865612648223</v>
      </c>
      <c r="BR87" s="165">
        <f ca="1">IF(BN87="","",(INDEX(OFFSET(Arb!$U$2,,,Arb!$AJ$5,),BN87)+INDEX(OFFSET(Arb!$V$2,,,Arb!$AJ$5,),BN87))/BO87)</f>
        <v>4.150197628458498</v>
      </c>
      <c r="BS87" s="51">
        <f t="shared" ca="1" si="43"/>
        <v>39.250521439488978</v>
      </c>
      <c r="BT87" s="88">
        <f ca="1">IF(BN87="","",DATE(INDEX(OFFSET(Arb!$C$2,,,Arb!$AJ$5,),BN87),INDEX(OFFSET(Arb!$B$2,,,Arb!$AJ$5,),BN87),INDEX(OFFSET(Arb!$A$2,,,Arb!$AJ$5,),BN87))+ROW()*0.001)</f>
        <v>43810.087</v>
      </c>
      <c r="BU87" s="436">
        <v>62</v>
      </c>
      <c r="BV87" s="1">
        <v>1919</v>
      </c>
      <c r="BW87" s="52">
        <f ca="1">IF(BV87="","",INDEX(OFFSET(Arb!$H$2,,,Arb!$AJ$5,),BV87))</f>
        <v>25.51</v>
      </c>
      <c r="BX87" s="3">
        <f t="shared" ca="1" si="34"/>
        <v>2.4304194433555466</v>
      </c>
      <c r="BY87" s="165">
        <f ca="1">IF(BV87="","",INDEX(OFFSET(Arb!$X$2,,,Arb!$AJ$5,),BV87)/BW87)</f>
        <v>2.9400235201881615</v>
      </c>
      <c r="BZ87" s="165">
        <f ca="1">IF(BV87="","",(INDEX(OFFSET(Arb!$U$2,,,Arb!$AJ$5,),BV87)+INDEX(OFFSET(Arb!$V$2,,,Arb!$AJ$5,),BV87))/BW87)</f>
        <v>3.2536260290082319</v>
      </c>
      <c r="CA87" s="51">
        <f t="shared" ca="1" si="44"/>
        <v>38.702813486712451</v>
      </c>
      <c r="CB87" s="91">
        <f ca="1">IF(BV87="","",DATE(INDEX(OFFSET(Arb!$C$2,,,Arb!$AJ$5,),BV87),INDEX(OFFSET(Arb!$B$2,,,Arb!$AJ$5,),BV87),INDEX(OFFSET(Arb!$A$2,,,Arb!$AJ$5,),BV87))+ROW()*0.001)</f>
        <v>43769.087</v>
      </c>
    </row>
    <row r="88" spans="1:80" x14ac:dyDescent="0.25">
      <c r="A88" s="436">
        <v>63</v>
      </c>
      <c r="B88" s="1">
        <v>2353</v>
      </c>
      <c r="C88" s="52">
        <f ca="1">IF(B88="","",INDEX(OFFSET(Arb!$H$2,,,Arb!$AJ$5,),B88))</f>
        <v>23.05</v>
      </c>
      <c r="D88" s="3">
        <f t="shared" ca="1" si="25"/>
        <v>2.7331887201735356</v>
      </c>
      <c r="E88" s="165">
        <f ca="1">IF(B88="","",INDEX(OFFSET(Arb!$X$2,,,Arb!$AJ$5,),B88)/C88)</f>
        <v>3.2537960954446854</v>
      </c>
      <c r="F88" s="165">
        <f ca="1">IF(B88="","",(INDEX(OFFSET(Arb!$U$2,,,Arb!$AJ$5,),B88)+INDEX(OFFSET(Arb!$V$2,,,Arb!$AJ$5,),B88))/C88)</f>
        <v>3.68763557483731</v>
      </c>
      <c r="G88" s="51">
        <f t="shared" ca="1" si="35"/>
        <v>46.725999080981708</v>
      </c>
      <c r="H88" s="355">
        <f ca="1">IF(B88="","",DATE(INDEX(OFFSET(Arb!$C$2,,,Arb!$AJ$5,),B88),INDEX(OFFSET(Arb!$B$2,,,Arb!$AJ$5,),B88),INDEX(OFFSET(Arb!$A$2,,,Arb!$AJ$5,),B88))+ROW()*0.001)</f>
        <v>44114.088000000003</v>
      </c>
      <c r="I88" s="436">
        <v>63</v>
      </c>
      <c r="J88" s="1">
        <v>2252</v>
      </c>
      <c r="K88" s="52">
        <f ca="1">IF(J88="","",INDEX(OFFSET(Arb!$H$2,,,Arb!$AJ$5,),J88))</f>
        <v>23.3</v>
      </c>
      <c r="L88" s="3">
        <f t="shared" ca="1" si="26"/>
        <v>2.703862660944206</v>
      </c>
      <c r="M88" s="165">
        <f ca="1">IF(J88="","",INDEX(OFFSET(Arb!$X$2,,,Arb!$AJ$5,),J88)/K88)</f>
        <v>3.3047210300429182</v>
      </c>
      <c r="N88" s="165">
        <f ca="1">IF(J88="","",(INDEX(OFFSET(Arb!$U$2,,,Arb!$AJ$5,),J88)+INDEX(OFFSET(Arb!$V$2,,,Arb!$AJ$5,),J88))/K88)</f>
        <v>3.6909871244635193</v>
      </c>
      <c r="O88" s="51">
        <f t="shared" ca="1" si="36"/>
        <v>45.876904951650822</v>
      </c>
      <c r="P88" s="91">
        <f ca="1">IF(J88="","",DATE(INDEX(OFFSET(Arb!$C$2,,,Arb!$AJ$5,),J88),INDEX(OFFSET(Arb!$B$2,,,Arb!$AJ$5,),J88),INDEX(OFFSET(Arb!$A$2,,,Arb!$AJ$5,),J88))+ROW()*0.001)</f>
        <v>43901.088000000003</v>
      </c>
      <c r="Q88" s="442">
        <v>63</v>
      </c>
      <c r="R88" s="1">
        <v>2268</v>
      </c>
      <c r="S88" s="52">
        <f ca="1">IF(R88="","",INDEX(OFFSET(Arb!$H$2,,,Arb!$AJ$5,),R88))</f>
        <v>23.42</v>
      </c>
      <c r="T88" s="3">
        <f t="shared" ca="1" si="27"/>
        <v>2.6900085397096496</v>
      </c>
      <c r="U88" s="165">
        <f ca="1">IF(R88="","",INDEX(OFFSET(Arb!$X$2,,,Arb!$AJ$5,),R88)/S88)</f>
        <v>3.5439795046968401</v>
      </c>
      <c r="V88" s="165">
        <f ca="1">IF(R88="","",(INDEX(OFFSET(Arb!$U$2,,,Arb!$AJ$5,),R88)+INDEX(OFFSET(Arb!$V$2,,,Arb!$AJ$5,),R88))/S88)</f>
        <v>4.0563620836891543</v>
      </c>
      <c r="W88" s="51">
        <f t="shared" ca="1" si="37"/>
        <v>45.478011000500565</v>
      </c>
      <c r="X88" s="88">
        <f ca="1">IF(R88="","",DATE(INDEX(OFFSET(Arb!$C$2,,,Arb!$AJ$5,),R88),INDEX(OFFSET(Arb!$B$2,,,Arb!$AJ$5,),R88),INDEX(OFFSET(Arb!$A$2,,,Arb!$AJ$5,),R88))+ROW()*0.001)</f>
        <v>43912.088000000003</v>
      </c>
      <c r="Y88" s="436">
        <v>63</v>
      </c>
      <c r="Z88" s="1">
        <v>2270</v>
      </c>
      <c r="AA88" s="52">
        <f ca="1">IF(Z88="","",INDEX(OFFSET(Arb!$H$2,,,Arb!$AJ$5,),Z88))</f>
        <v>24.32</v>
      </c>
      <c r="AB88" s="3">
        <f t="shared" ca="1" si="28"/>
        <v>2.5904605263157894</v>
      </c>
      <c r="AC88" s="165">
        <f ca="1">IF(Z88="","",INDEX(OFFSET(Arb!$X$2,,,Arb!$AJ$5,),Z88)/AA88)</f>
        <v>2.9605263157894735</v>
      </c>
      <c r="AD88" s="165">
        <f ca="1">IF(Z88="","",(INDEX(OFFSET(Arb!$U$2,,,Arb!$AJ$5,),Z88)+INDEX(OFFSET(Arb!$V$2,,,Arb!$AJ$5,),Z88))/AA88)</f>
        <v>3.2894736842105261</v>
      </c>
      <c r="AE88" s="51">
        <f t="shared" ca="1" si="38"/>
        <v>42.654131804224171</v>
      </c>
      <c r="AF88" s="91">
        <f ca="1">IF(Z88="","",DATE(INDEX(OFFSET(Arb!$C$2,,,Arb!$AJ$5,),Z88),INDEX(OFFSET(Arb!$B$2,,,Arb!$AJ$5,),Z88),INDEX(OFFSET(Arb!$A$2,,,Arb!$AJ$5,),Z88))+ROW()*0.001)</f>
        <v>43934.088000000003</v>
      </c>
      <c r="AG88" s="442">
        <v>63</v>
      </c>
      <c r="AH88" s="1">
        <v>1943</v>
      </c>
      <c r="AI88" s="52">
        <f ca="1">IF(AH88="","",INDEX(OFFSET(Arb!$H$2,,,Arb!$AJ$5,),AH88))</f>
        <v>25.01</v>
      </c>
      <c r="AJ88" s="3">
        <f t="shared" ca="1" si="29"/>
        <v>2.5189924030387845</v>
      </c>
      <c r="AK88" s="165">
        <f ca="1">IF(AH88="","",INDEX(OFFSET(Arb!$X$2,,,Arb!$AJ$5,),AH88)/AI88)</f>
        <v>3.2786885245901636</v>
      </c>
      <c r="AL88" s="165">
        <f ca="1">IF(AH88="","",(INDEX(OFFSET(Arb!$U$2,,,Arb!$AJ$5,),AH88)+INDEX(OFFSET(Arb!$V$2,,,Arb!$AJ$5,),AH88))/AI88)</f>
        <v>3.9184326269492202</v>
      </c>
      <c r="AM88" s="51">
        <f t="shared" ca="1" si="39"/>
        <v>40.672971340172573</v>
      </c>
      <c r="AN88" s="88">
        <f ca="1">IF(AH88="","",DATE(INDEX(OFFSET(Arb!$C$2,,,Arb!$AJ$5,),AH88),INDEX(OFFSET(Arb!$B$2,,,Arb!$AJ$5,),AH88),INDEX(OFFSET(Arb!$A$2,,,Arb!$AJ$5,),AH88))+ROW()*0.001)</f>
        <v>43774.088000000003</v>
      </c>
      <c r="AO88" s="436">
        <v>63</v>
      </c>
      <c r="AP88" s="1">
        <v>2220</v>
      </c>
      <c r="AQ88" s="52">
        <f ca="1">IF(AP88="","",INDEX(OFFSET(Arb!$H$2,,,Arb!$AJ$5,),AP88))</f>
        <v>25.27</v>
      </c>
      <c r="AR88" s="3">
        <f t="shared" ca="1" si="30"/>
        <v>2.4930747922437675</v>
      </c>
      <c r="AS88" s="165">
        <f ca="1">IF(AP88="","",INDEX(OFFSET(Arb!$X$2,,,Arb!$AJ$5,),AP88)/AQ88)</f>
        <v>3.0470914127423825</v>
      </c>
      <c r="AT88" s="165">
        <f ca="1">IF(AP88="","",(INDEX(OFFSET(Arb!$U$2,,,Arb!$AJ$5,),AP88)+INDEX(OFFSET(Arb!$V$2,,,Arb!$AJ$5,),AP88))/AQ88)</f>
        <v>3.6011080332409975</v>
      </c>
      <c r="AU88" s="51">
        <f t="shared" ca="1" si="40"/>
        <v>39.964121013776655</v>
      </c>
      <c r="AV88" s="91">
        <f ca="1">IF(AP88="","",DATE(INDEX(OFFSET(Arb!$C$2,,,Arb!$AJ$5,),AP88),INDEX(OFFSET(Arb!$B$2,,,Arb!$AJ$5,),AP88),INDEX(OFFSET(Arb!$A$2,,,Arb!$AJ$5,),AP88))+ROW()*0.001)</f>
        <v>43870.088000000003</v>
      </c>
      <c r="AW88" s="442">
        <v>63</v>
      </c>
      <c r="AX88" s="1">
        <v>2397</v>
      </c>
      <c r="AY88" s="52">
        <f ca="1">IF(AX88="","",INDEX(OFFSET(Arb!$H$2,,,Arb!$AJ$5,),AX88))</f>
        <v>25.36</v>
      </c>
      <c r="AZ88" s="3">
        <f t="shared" ca="1" si="31"/>
        <v>2.4842271293375395</v>
      </c>
      <c r="BA88" s="165">
        <f ca="1">IF(AX88="","",INDEX(OFFSET(Arb!$X$2,,,Arb!$AJ$5,),AX88)/AY88)</f>
        <v>2.9179810725552051</v>
      </c>
      <c r="BB88" s="165">
        <f ca="1">IF(AX88="","",(INDEX(OFFSET(Arb!$U$2,,,Arb!$AJ$5,),AX88)+INDEX(OFFSET(Arb!$V$2,,,Arb!$AJ$5,),AX88))/AY88)</f>
        <v>3.3123028391167195</v>
      </c>
      <c r="BC88" s="51">
        <f t="shared" ca="1" si="41"/>
        <v>39.723312145472789</v>
      </c>
      <c r="BD88" s="88">
        <f ca="1">IF(AX88="","",DATE(INDEX(OFFSET(Arb!$C$2,,,Arb!$AJ$5,),AX88),INDEX(OFFSET(Arb!$B$2,,,Arb!$AJ$5,),AX88),INDEX(OFFSET(Arb!$A$2,,,Arb!$AJ$5,),AX88))+ROW()*0.001)</f>
        <v>44168.088000000003</v>
      </c>
      <c r="BE88" s="436">
        <v>63</v>
      </c>
      <c r="BF88" s="1">
        <v>2056</v>
      </c>
      <c r="BG88" s="52">
        <f ca="1">IF(BF88="","",INDEX(OFFSET(Arb!$H$2,,,Arb!$AJ$5,),BF88))</f>
        <v>25.64</v>
      </c>
      <c r="BH88" s="3">
        <f t="shared" ca="1" si="32"/>
        <v>2.4570982839313573</v>
      </c>
      <c r="BI88" s="165">
        <f ca="1">IF(BF88="","",INDEX(OFFSET(Arb!$X$2,,,Arb!$AJ$5,),BF88)/BG88)</f>
        <v>3.1981279251170047</v>
      </c>
      <c r="BJ88" s="165">
        <f ca="1">IF(BF88="","",(INDEX(OFFSET(Arb!$U$2,,,Arb!$AJ$5,),BF88)+INDEX(OFFSET(Arb!$V$2,,,Arb!$AJ$5,),BF88))/BG88)</f>
        <v>3.627145085803432</v>
      </c>
      <c r="BK88" s="51">
        <f t="shared" ca="1" si="42"/>
        <v>38.988680828119492</v>
      </c>
      <c r="BL88" s="91">
        <f ca="1">IF(BF88="","",DATE(INDEX(OFFSET(Arb!$C$2,,,Arb!$AJ$5,),BF88),INDEX(OFFSET(Arb!$B$2,,,Arb!$AJ$5,),BF88),INDEX(OFFSET(Arb!$A$2,,,Arb!$AJ$5,),BF88))+ROW()*0.001)</f>
        <v>43800.088000000003</v>
      </c>
      <c r="BM88" s="442">
        <v>63</v>
      </c>
      <c r="BN88" s="1">
        <v>2091</v>
      </c>
      <c r="BO88" s="52">
        <f ca="1">IF(BN88="","",INDEX(OFFSET(Arb!$H$2,,,Arb!$AJ$5,),BN88))</f>
        <v>25.71</v>
      </c>
      <c r="BP88" s="3">
        <f t="shared" ca="1" si="33"/>
        <v>2.4504084014002334</v>
      </c>
      <c r="BQ88" s="165">
        <f ca="1">IF(BN88="","",INDEX(OFFSET(Arb!$X$2,,,Arb!$AJ$5,),BN88)/BO88)</f>
        <v>2.956048230260599</v>
      </c>
      <c r="BR88" s="165">
        <f ca="1">IF(BN88="","",(INDEX(OFFSET(Arb!$U$2,,,Arb!$AJ$5,),BN88)+INDEX(OFFSET(Arb!$V$2,,,Arb!$AJ$5,),BN88))/BO88)</f>
        <v>3.2672112018669779</v>
      </c>
      <c r="BS88" s="51">
        <f t="shared" ca="1" si="43"/>
        <v>38.808391815341224</v>
      </c>
      <c r="BT88" s="88">
        <f ca="1">IF(BN88="","",DATE(INDEX(OFFSET(Arb!$C$2,,,Arb!$AJ$5,),BN88),INDEX(OFFSET(Arb!$B$2,,,Arb!$AJ$5,),BN88),INDEX(OFFSET(Arb!$A$2,,,Arb!$AJ$5,),BN88))+ROW()*0.001)</f>
        <v>43809.088000000003</v>
      </c>
      <c r="BU88" s="436">
        <v>63</v>
      </c>
      <c r="BV88" s="1">
        <v>2393</v>
      </c>
      <c r="BW88" s="52">
        <f ca="1">IF(BV88="","",INDEX(OFFSET(Arb!$H$2,,,Arb!$AJ$5,),BV88))</f>
        <v>26.08</v>
      </c>
      <c r="BX88" s="3">
        <f t="shared" ca="1" si="34"/>
        <v>2.4156441717791415</v>
      </c>
      <c r="BY88" s="165">
        <f ca="1">IF(BV88="","",INDEX(OFFSET(Arb!$X$2,,,Arb!$AJ$5,),BV88)/BW88)</f>
        <v>3.0291411042944789</v>
      </c>
      <c r="BZ88" s="165">
        <f ca="1">IF(BV88="","",(INDEX(OFFSET(Arb!$U$2,,,Arb!$AJ$5,),BV88)+INDEX(OFFSET(Arb!$V$2,,,Arb!$AJ$5,),BV88))/BW88)</f>
        <v>3.6426380368098163</v>
      </c>
      <c r="CA88" s="51">
        <f t="shared" ca="1" si="44"/>
        <v>37.877061459298879</v>
      </c>
      <c r="CB88" s="91">
        <f ca="1">IF(BV88="","",DATE(INDEX(OFFSET(Arb!$C$2,,,Arb!$AJ$5,),BV88),INDEX(OFFSET(Arb!$B$2,,,Arb!$AJ$5,),BV88),INDEX(OFFSET(Arb!$A$2,,,Arb!$AJ$5,),BV88))+ROW()*0.001)</f>
        <v>44117.088000000003</v>
      </c>
    </row>
    <row r="89" spans="1:80" x14ac:dyDescent="0.25">
      <c r="A89" s="436">
        <v>64</v>
      </c>
      <c r="B89" s="1">
        <v>2334</v>
      </c>
      <c r="C89" s="52">
        <f ca="1">IF(B89="","",INDEX(OFFSET(Arb!$H$2,,,Arb!$AJ$5,),B89))</f>
        <v>21.85</v>
      </c>
      <c r="D89" s="3">
        <f t="shared" ca="1" si="25"/>
        <v>2.9290617848970251</v>
      </c>
      <c r="E89" s="165">
        <f ca="1">IF(B89="","",INDEX(OFFSET(Arb!$X$2,,,Arb!$AJ$5,),B89)/C89)</f>
        <v>3.7528604118993134</v>
      </c>
      <c r="F89" s="165">
        <f ca="1">IF(B89="","",(INDEX(OFFSET(Arb!$U$2,,,Arb!$AJ$5,),B89)+INDEX(OFFSET(Arb!$V$2,,,Arb!$AJ$5,),B89))/C89)</f>
        <v>4.0732265446224254</v>
      </c>
      <c r="G89" s="51">
        <f t="shared" ca="1" si="35"/>
        <v>51.984174392926036</v>
      </c>
      <c r="H89" s="355">
        <f ca="1">IF(B89="","",DATE(INDEX(OFFSET(Arb!$C$2,,,Arb!$AJ$5,),B89),INDEX(OFFSET(Arb!$B$2,,,Arb!$AJ$5,),B89),INDEX(OFFSET(Arb!$A$2,,,Arb!$AJ$5,),B89))+ROW()*0.001)</f>
        <v>44093.089</v>
      </c>
      <c r="I89" s="436">
        <v>64</v>
      </c>
      <c r="J89" s="1">
        <v>2306</v>
      </c>
      <c r="K89" s="52">
        <f ca="1">IF(J89="","",INDEX(OFFSET(Arb!$H$2,,,Arb!$AJ$5,),J89))</f>
        <v>22.52</v>
      </c>
      <c r="L89" s="3">
        <f t="shared" ca="1" si="26"/>
        <v>2.8419182948490231</v>
      </c>
      <c r="M89" s="165">
        <f ca="1">IF(J89="","",INDEX(OFFSET(Arb!$X$2,,,Arb!$AJ$5,),J89)/K89)</f>
        <v>3.374777975133215</v>
      </c>
      <c r="N89" s="165">
        <f ca="1">IF(J89="","",(INDEX(OFFSET(Arb!$U$2,,,Arb!$AJ$5,),J89)+INDEX(OFFSET(Arb!$V$2,,,Arb!$AJ$5,),J89))/K89)</f>
        <v>3.7744227353463589</v>
      </c>
      <c r="O89" s="51">
        <f t="shared" ca="1" si="36"/>
        <v>49.382417249943899</v>
      </c>
      <c r="P89" s="91">
        <f ca="1">IF(J89="","",DATE(INDEX(OFFSET(Arb!$C$2,,,Arb!$AJ$5,),J89),INDEX(OFFSET(Arb!$B$2,,,Arb!$AJ$5,),J89),INDEX(OFFSET(Arb!$A$2,,,Arb!$AJ$5,),J89))+ROW()*0.001)</f>
        <v>43950.089</v>
      </c>
      <c r="Q89" s="442">
        <v>64</v>
      </c>
      <c r="R89" s="1">
        <v>1987</v>
      </c>
      <c r="S89" s="52">
        <f ca="1">IF(R89="","",INDEX(OFFSET(Arb!$H$2,,,Arb!$AJ$5,),R89))</f>
        <v>23.62</v>
      </c>
      <c r="T89" s="3">
        <f t="shared" ca="1" si="27"/>
        <v>2.7095681625740897</v>
      </c>
      <c r="U89" s="165">
        <f ca="1">IF(R89="","",INDEX(OFFSET(Arb!$X$2,,,Arb!$AJ$5,),R89)/S89)</f>
        <v>3.2176121930567314</v>
      </c>
      <c r="V89" s="165">
        <f ca="1">IF(R89="","",(INDEX(OFFSET(Arb!$U$2,,,Arb!$AJ$5,),R89)+INDEX(OFFSET(Arb!$V$2,,,Arb!$AJ$5,),R89))/S89)</f>
        <v>3.5563082133784927</v>
      </c>
      <c r="W89" s="51">
        <f t="shared" ca="1" si="37"/>
        <v>45.53682876588698</v>
      </c>
      <c r="X89" s="88">
        <f ca="1">IF(R89="","",DATE(INDEX(OFFSET(Arb!$C$2,,,Arb!$AJ$5,),R89),INDEX(OFFSET(Arb!$B$2,,,Arb!$AJ$5,),R89),INDEX(OFFSET(Arb!$A$2,,,Arb!$AJ$5,),R89))+ROW()*0.001)</f>
        <v>43784.089</v>
      </c>
      <c r="Y89" s="436">
        <v>64</v>
      </c>
      <c r="Z89" s="1">
        <v>2049</v>
      </c>
      <c r="AA89" s="52">
        <f ca="1">IF(Z89="","",INDEX(OFFSET(Arb!$H$2,,,Arb!$AJ$5,),Z89))</f>
        <v>23.75</v>
      </c>
      <c r="AB89" s="3">
        <f t="shared" ca="1" si="28"/>
        <v>2.6947368421052631</v>
      </c>
      <c r="AC89" s="165">
        <f ca="1">IF(Z89="","",INDEX(OFFSET(Arb!$X$2,,,Arb!$AJ$5,),Z89)/AA89)</f>
        <v>3.5789473684210527</v>
      </c>
      <c r="AD89" s="165">
        <f ca="1">IF(Z89="","",(INDEX(OFFSET(Arb!$U$2,,,Arb!$AJ$5,),Z89)+INDEX(OFFSET(Arb!$V$2,,,Arb!$AJ$5,),Z89))/AA89)</f>
        <v>4.1263157894736846</v>
      </c>
      <c r="AE89" s="51">
        <f t="shared" ca="1" si="38"/>
        <v>45.113908817621073</v>
      </c>
      <c r="AF89" s="91">
        <f ca="1">IF(Z89="","",DATE(INDEX(OFFSET(Arb!$C$2,,,Arb!$AJ$5,),Z89),INDEX(OFFSET(Arb!$B$2,,,Arb!$AJ$5,),Z89),INDEX(OFFSET(Arb!$A$2,,,Arb!$AJ$5,),Z89))+ROW()*0.001)</f>
        <v>43798.089</v>
      </c>
      <c r="AG89" s="442">
        <v>64</v>
      </c>
      <c r="AH89" s="1">
        <v>2115</v>
      </c>
      <c r="AI89" s="52">
        <f ca="1">IF(AH89="","",INDEX(OFFSET(Arb!$H$2,,,Arb!$AJ$5,),AH89))</f>
        <v>24.02</v>
      </c>
      <c r="AJ89" s="3">
        <f t="shared" ca="1" si="29"/>
        <v>2.6644462947543714</v>
      </c>
      <c r="AK89" s="165">
        <f ca="1">IF(AH89="","",INDEX(OFFSET(Arb!$X$2,,,Arb!$AJ$5,),AH89)/AI89)</f>
        <v>3.4970857618651126</v>
      </c>
      <c r="AL89" s="165">
        <f ca="1">IF(AH89="","",(INDEX(OFFSET(Arb!$U$2,,,Arb!$AJ$5,),AH89)+INDEX(OFFSET(Arb!$V$2,,,Arb!$AJ$5,),AH89))/AI89)</f>
        <v>3.9134054954204829</v>
      </c>
      <c r="AM89" s="51">
        <f t="shared" ca="1" si="39"/>
        <v>44.255219175873819</v>
      </c>
      <c r="AN89" s="88">
        <f ca="1">IF(AH89="","",DATE(INDEX(OFFSET(Arb!$C$2,,,Arb!$AJ$5,),AH89),INDEX(OFFSET(Arb!$B$2,,,Arb!$AJ$5,),AH89),INDEX(OFFSET(Arb!$A$2,,,Arb!$AJ$5,),AH89))+ROW()*0.001)</f>
        <v>43811.089</v>
      </c>
      <c r="AO89" s="436">
        <v>64</v>
      </c>
      <c r="AP89" s="1">
        <v>1973</v>
      </c>
      <c r="AQ89" s="52">
        <f ca="1">IF(AP89="","",INDEX(OFFSET(Arb!$H$2,,,Arb!$AJ$5,),AP89))</f>
        <v>24.26</v>
      </c>
      <c r="AR89" s="3">
        <f t="shared" ca="1" si="30"/>
        <v>2.6380873866446826</v>
      </c>
      <c r="AS89" s="165">
        <f ca="1">IF(AP89="","",INDEX(OFFSET(Arb!$X$2,,,Arb!$AJ$5,),AP89)/AQ89)</f>
        <v>3.2563891178895297</v>
      </c>
      <c r="AT89" s="165">
        <f ca="1">IF(AP89="","",(INDEX(OFFSET(Arb!$U$2,,,Arb!$AJ$5,),AP89)+INDEX(OFFSET(Arb!$V$2,,,Arb!$AJ$5,),AP89))/AQ89)</f>
        <v>3.4212695795548225</v>
      </c>
      <c r="AU89" s="51">
        <f t="shared" ca="1" si="40"/>
        <v>43.513523041792979</v>
      </c>
      <c r="AV89" s="91">
        <f ca="1">IF(AP89="","",DATE(INDEX(OFFSET(Arb!$C$2,,,Arb!$AJ$5,),AP89),INDEX(OFFSET(Arb!$B$2,,,Arb!$AJ$5,),AP89),INDEX(OFFSET(Arb!$A$2,,,Arb!$AJ$5,),AP89))+ROW()*0.001)</f>
        <v>43779.089</v>
      </c>
      <c r="AW89" s="442">
        <v>64</v>
      </c>
      <c r="AX89" s="1">
        <v>2099</v>
      </c>
      <c r="AY89" s="52">
        <f ca="1">IF(AX89="","",INDEX(OFFSET(Arb!$H$2,,,Arb!$AJ$5,),AX89))</f>
        <v>24.85</v>
      </c>
      <c r="AZ89" s="3">
        <f t="shared" ca="1" si="31"/>
        <v>2.5754527162977867</v>
      </c>
      <c r="BA89" s="165">
        <f ca="1">IF(AX89="","",INDEX(OFFSET(Arb!$X$2,,,Arb!$AJ$5,),AX89)/AY89)</f>
        <v>3.4607645875251509</v>
      </c>
      <c r="BB89" s="165">
        <f ca="1">IF(AX89="","",(INDEX(OFFSET(Arb!$U$2,,,Arb!$AJ$5,),AX89)+INDEX(OFFSET(Arb!$V$2,,,Arb!$AJ$5,),AX89))/AY89)</f>
        <v>3.9436619718309855</v>
      </c>
      <c r="BC89" s="51">
        <f t="shared" ca="1" si="41"/>
        <v>41.771852225311427</v>
      </c>
      <c r="BD89" s="88">
        <f ca="1">IF(AX89="","",DATE(INDEX(OFFSET(Arb!$C$2,,,Arb!$AJ$5,),AX89),INDEX(OFFSET(Arb!$B$2,,,Arb!$AJ$5,),AX89),INDEX(OFFSET(Arb!$A$2,,,Arb!$AJ$5,),AX89))+ROW()*0.001)</f>
        <v>43810.089</v>
      </c>
      <c r="BE89" s="436">
        <v>64</v>
      </c>
      <c r="BF89" s="1">
        <v>2134</v>
      </c>
      <c r="BG89" s="52">
        <f ca="1">IF(BF89="","",INDEX(OFFSET(Arb!$H$2,,,Arb!$AJ$5,),BF89))</f>
        <v>25.05</v>
      </c>
      <c r="BH89" s="3">
        <f t="shared" ca="1" si="32"/>
        <v>2.5548902195608783</v>
      </c>
      <c r="BI89" s="165">
        <f ca="1">IF(BF89="","",INDEX(OFFSET(Arb!$X$2,,,Arb!$AJ$5,),BF89)/BG89)</f>
        <v>3.2734530938123751</v>
      </c>
      <c r="BJ89" s="165">
        <f ca="1">IF(BF89="","",(INDEX(OFFSET(Arb!$U$2,,,Arb!$AJ$5,),BF89)+INDEX(OFFSET(Arb!$V$2,,,Arb!$AJ$5,),BF89))/BG89)</f>
        <v>3.8722554890219558</v>
      </c>
      <c r="BK89" s="51">
        <f t="shared" ca="1" si="42"/>
        <v>41.206474558283432</v>
      </c>
      <c r="BL89" s="91">
        <f ca="1">IF(BF89="","",DATE(INDEX(OFFSET(Arb!$C$2,,,Arb!$AJ$5,),BF89),INDEX(OFFSET(Arb!$B$2,,,Arb!$AJ$5,),BF89),INDEX(OFFSET(Arb!$A$2,,,Arb!$AJ$5,),BF89))+ROW()*0.001)</f>
        <v>43817.089</v>
      </c>
      <c r="BM89" s="442">
        <v>64</v>
      </c>
      <c r="BN89" s="1">
        <v>1928</v>
      </c>
      <c r="BO89" s="52">
        <f ca="1">IF(BN89="","",INDEX(OFFSET(Arb!$H$2,,,Arb!$AJ$5,),BN89))</f>
        <v>25.32</v>
      </c>
      <c r="BP89" s="3">
        <f t="shared" ca="1" si="33"/>
        <v>2.5276461295418642</v>
      </c>
      <c r="BQ89" s="165">
        <f ca="1">IF(BN89="","",INDEX(OFFSET(Arb!$X$2,,,Arb!$AJ$5,),BN89)/BO89)</f>
        <v>3.3570300157977884</v>
      </c>
      <c r="BR89" s="165">
        <f ca="1">IF(BN89="","",(INDEX(OFFSET(Arb!$U$2,,,Arb!$AJ$5,),BN89)+INDEX(OFFSET(Arb!$V$2,,,Arb!$AJ$5,),BN89))/BO89)</f>
        <v>3.9099526066350712</v>
      </c>
      <c r="BS89" s="51">
        <f t="shared" ca="1" si="43"/>
        <v>40.462276067495004</v>
      </c>
      <c r="BT89" s="88">
        <f ca="1">IF(BN89="","",DATE(INDEX(OFFSET(Arb!$C$2,,,Arb!$AJ$5,),BN89),INDEX(OFFSET(Arb!$B$2,,,Arb!$AJ$5,),BN89),INDEX(OFFSET(Arb!$A$2,,,Arb!$AJ$5,),BN89))+ROW()*0.001)</f>
        <v>43771.089</v>
      </c>
      <c r="BU89" s="436">
        <v>64</v>
      </c>
      <c r="BV89" s="1">
        <v>2110</v>
      </c>
      <c r="BW89" s="52">
        <f ca="1">IF(BV89="","",INDEX(OFFSET(Arb!$H$2,,,Arb!$AJ$5,),BV89))</f>
        <v>25.44</v>
      </c>
      <c r="BX89" s="3">
        <f t="shared" ca="1" si="34"/>
        <v>2.5157232704402515</v>
      </c>
      <c r="BY89" s="165">
        <f ca="1">IF(BV89="","",INDEX(OFFSET(Arb!$X$2,,,Arb!$AJ$5,),BV89)/BW89)</f>
        <v>3.1053459119496853</v>
      </c>
      <c r="BZ89" s="165">
        <f ca="1">IF(BV89="","",(INDEX(OFFSET(Arb!$U$2,,,Arb!$AJ$5,),BV89)+INDEX(OFFSET(Arb!$V$2,,,Arb!$AJ$5,),BV89))/BW89)</f>
        <v>3.4198113207547167</v>
      </c>
      <c r="CA89" s="51">
        <f t="shared" ca="1" si="44"/>
        <v>40.138350340660281</v>
      </c>
      <c r="CB89" s="91">
        <f ca="1">IF(BV89="","",DATE(INDEX(OFFSET(Arb!$C$2,,,Arb!$AJ$5,),BV89),INDEX(OFFSET(Arb!$B$2,,,Arb!$AJ$5,),BV89),INDEX(OFFSET(Arb!$A$2,,,Arb!$AJ$5,),BV89))+ROW()*0.001)</f>
        <v>43811.089</v>
      </c>
    </row>
    <row r="90" spans="1:80" x14ac:dyDescent="0.25">
      <c r="A90" s="436">
        <v>65</v>
      </c>
      <c r="B90" s="1">
        <v>2403</v>
      </c>
      <c r="C90" s="52">
        <f ca="1">IF(B90="","",INDEX(OFFSET(Arb!$H$2,,,Arb!$AJ$5,),B90))</f>
        <v>22.84</v>
      </c>
      <c r="D90" s="3">
        <f t="shared" ca="1" si="25"/>
        <v>2.8458844133099825</v>
      </c>
      <c r="E90" s="165">
        <f ca="1">IF(B90="","",INDEX(OFFSET(Arb!$X$2,,,Arb!$AJ$5,),B90)/C90)</f>
        <v>3.3712784588441331</v>
      </c>
      <c r="F90" s="165">
        <f ca="1">IF(B90="","",(INDEX(OFFSET(Arb!$U$2,,,Arb!$AJ$5,),B90)+INDEX(OFFSET(Arb!$V$2,,,Arb!$AJ$5,),B90))/C90)</f>
        <v>3.8528896672504378</v>
      </c>
      <c r="G90" s="51">
        <f t="shared" ca="1" si="35"/>
        <v>48.965321970813221</v>
      </c>
      <c r="H90" s="355">
        <f ca="1">IF(B90="","",DATE(INDEX(OFFSET(Arb!$C$2,,,Arb!$AJ$5,),B90),INDEX(OFFSET(Arb!$B$2,,,Arb!$AJ$5,),B90),INDEX(OFFSET(Arb!$A$2,,,Arb!$AJ$5,),B90))+ROW()*0.001)</f>
        <v>44168.09</v>
      </c>
      <c r="I90" s="436">
        <v>65</v>
      </c>
      <c r="J90" s="1">
        <v>2400</v>
      </c>
      <c r="K90" s="52">
        <f ca="1">IF(J90="","",INDEX(OFFSET(Arb!$H$2,,,Arb!$AJ$5,),J90))</f>
        <v>22.95</v>
      </c>
      <c r="L90" s="3">
        <f t="shared" ca="1" si="26"/>
        <v>2.8322440087145972</v>
      </c>
      <c r="M90" s="165">
        <f ca="1">IF(J90="","",INDEX(OFFSET(Arb!$X$2,,,Arb!$AJ$5,),J90)/K90)</f>
        <v>3.0065359477124183</v>
      </c>
      <c r="N90" s="165">
        <f ca="1">IF(J90="","",(INDEX(OFFSET(Arb!$U$2,,,Arb!$AJ$5,),J90)+INDEX(OFFSET(Arb!$V$2,,,Arb!$AJ$5,),J90))/K90)</f>
        <v>3.3551198257080612</v>
      </c>
      <c r="O90" s="51">
        <f t="shared" ca="1" si="36"/>
        <v>48.567014901888967</v>
      </c>
      <c r="P90" s="91">
        <f ca="1">IF(J90="","",DATE(INDEX(OFFSET(Arb!$C$2,,,Arb!$AJ$5,),J90),INDEX(OFFSET(Arb!$B$2,,,Arb!$AJ$5,),J90),INDEX(OFFSET(Arb!$A$2,,,Arb!$AJ$5,),J90))+ROW()*0.001)</f>
        <v>44168.09</v>
      </c>
      <c r="Q90" s="442">
        <v>65</v>
      </c>
      <c r="R90" s="1">
        <v>2410</v>
      </c>
      <c r="S90" s="52">
        <f ca="1">IF(R90="","",INDEX(OFFSET(Arb!$H$2,,,Arb!$AJ$5,),R90))</f>
        <v>23.13</v>
      </c>
      <c r="T90" s="3">
        <f t="shared" ca="1" si="27"/>
        <v>2.8102031993082579</v>
      </c>
      <c r="U90" s="165">
        <f ca="1">IF(R90="","",INDEX(OFFSET(Arb!$X$2,,,Arb!$AJ$5,),R90)/S90)</f>
        <v>3.1993082576740166</v>
      </c>
      <c r="V90" s="165">
        <f ca="1">IF(R90="","",(INDEX(OFFSET(Arb!$U$2,,,Arb!$AJ$5,),R90)+INDEX(OFFSET(Arb!$V$2,,,Arb!$AJ$5,),R90))/S90)</f>
        <v>3.3722438391699092</v>
      </c>
      <c r="W90" s="51">
        <f t="shared" ca="1" si="37"/>
        <v>47.926245504251376</v>
      </c>
      <c r="X90" s="88">
        <f ca="1">IF(R90="","",DATE(INDEX(OFFSET(Arb!$C$2,,,Arb!$AJ$5,),R90),INDEX(OFFSET(Arb!$B$2,,,Arb!$AJ$5,),R90),INDEX(OFFSET(Arb!$A$2,,,Arb!$AJ$5,),R90))+ROW()*0.001)</f>
        <v>44168.09</v>
      </c>
      <c r="Y90" s="436">
        <v>65</v>
      </c>
      <c r="Z90" s="1">
        <v>2367</v>
      </c>
      <c r="AA90" s="52">
        <f ca="1">IF(Z90="","",INDEX(OFFSET(Arb!$H$2,,,Arb!$AJ$5,),Z90))</f>
        <v>23.19</v>
      </c>
      <c r="AB90" s="3">
        <f t="shared" ca="1" si="28"/>
        <v>2.8029322984044844</v>
      </c>
      <c r="AC90" s="165">
        <f ca="1">IF(Z90="","",INDEX(OFFSET(Arb!$X$2,,,Arb!$AJ$5,),Z90)/AA90)</f>
        <v>3.4928848641655885</v>
      </c>
      <c r="AD90" s="165">
        <f ca="1">IF(Z90="","",(INDEX(OFFSET(Arb!$U$2,,,Arb!$AJ$5,),Z90)+INDEX(OFFSET(Arb!$V$2,,,Arb!$AJ$5,),Z90))/AA90)</f>
        <v>3.8378611470461403</v>
      </c>
      <c r="AE90" s="51">
        <f t="shared" ca="1" si="38"/>
        <v>47.715635367449678</v>
      </c>
      <c r="AF90" s="91">
        <f ca="1">IF(Z90="","",DATE(INDEX(OFFSET(Arb!$C$2,,,Arb!$AJ$5,),Z90),INDEX(OFFSET(Arb!$B$2,,,Arb!$AJ$5,),Z90),INDEX(OFFSET(Arb!$A$2,,,Arb!$AJ$5,),Z90))+ROW()*0.001)</f>
        <v>44114.09</v>
      </c>
      <c r="AG90" s="442">
        <v>65</v>
      </c>
      <c r="AH90" s="1">
        <v>2358</v>
      </c>
      <c r="AI90" s="52">
        <f ca="1">IF(AH90="","",INDEX(OFFSET(Arb!$H$2,,,Arb!$AJ$5,),AH90))</f>
        <v>23.49</v>
      </c>
      <c r="AJ90" s="3">
        <f t="shared" ca="1" si="29"/>
        <v>2.7671349510429972</v>
      </c>
      <c r="AK90" s="165">
        <f ca="1">IF(AH90="","",INDEX(OFFSET(Arb!$X$2,,,Arb!$AJ$5,),AH90)/AI90)</f>
        <v>2.9799914857386125</v>
      </c>
      <c r="AL90" s="165">
        <f ca="1">IF(AH90="","",(INDEX(OFFSET(Arb!$U$2,,,Arb!$AJ$5,),AH90)+INDEX(OFFSET(Arb!$V$2,,,Arb!$AJ$5,),AH90))/AI90)</f>
        <v>3.3205619412515968</v>
      </c>
      <c r="AM90" s="51">
        <f t="shared" ca="1" si="39"/>
        <v>46.68430043723253</v>
      </c>
      <c r="AN90" s="88">
        <f ca="1">IF(AH90="","",DATE(INDEX(OFFSET(Arb!$C$2,,,Arb!$AJ$5,),AH90),INDEX(OFFSET(Arb!$B$2,,,Arb!$AJ$5,),AH90),INDEX(OFFSET(Arb!$A$2,,,Arb!$AJ$5,),AH90))+ROW()*0.001)</f>
        <v>44114.09</v>
      </c>
      <c r="AO90" s="436">
        <v>65</v>
      </c>
      <c r="AP90" s="1">
        <v>2348</v>
      </c>
      <c r="AQ90" s="52">
        <f ca="1">IF(AP90="","",INDEX(OFFSET(Arb!$H$2,,,Arb!$AJ$5,),AP90))</f>
        <v>24.22</v>
      </c>
      <c r="AR90" s="3">
        <f t="shared" ca="1" si="30"/>
        <v>2.6837324525185799</v>
      </c>
      <c r="AS90" s="165">
        <f ca="1">IF(AP90="","",INDEX(OFFSET(Arb!$X$2,,,Arb!$AJ$5,),AP90)/AQ90)</f>
        <v>3.3030553261767137</v>
      </c>
      <c r="AT90" s="165">
        <f ca="1">IF(AP90="","",(INDEX(OFFSET(Arb!$U$2,,,Arb!$AJ$5,),AP90)+INDEX(OFFSET(Arb!$V$2,,,Arb!$AJ$5,),AP90))/AQ90)</f>
        <v>3.7572254335260116</v>
      </c>
      <c r="AU90" s="51">
        <f t="shared" ca="1" si="40"/>
        <v>44.317570868256631</v>
      </c>
      <c r="AV90" s="91">
        <f ca="1">IF(AP90="","",DATE(INDEX(OFFSET(Arb!$C$2,,,Arb!$AJ$5,),AP90),INDEX(OFFSET(Arb!$B$2,,,Arb!$AJ$5,),AP90),INDEX(OFFSET(Arb!$A$2,,,Arb!$AJ$5,),AP90))+ROW()*0.001)</f>
        <v>44106.09</v>
      </c>
      <c r="AW90" s="442">
        <v>65</v>
      </c>
      <c r="AX90" s="1">
        <v>1894</v>
      </c>
      <c r="AY90" s="52">
        <f ca="1">IF(AX90="","",INDEX(OFFSET(Arb!$H$2,,,Arb!$AJ$5,),AX90))</f>
        <v>25.13</v>
      </c>
      <c r="AZ90" s="3">
        <f t="shared" ca="1" si="31"/>
        <v>2.5865499403103862</v>
      </c>
      <c r="BA90" s="165">
        <f ca="1">IF(AX90="","",INDEX(OFFSET(Arb!$X$2,,,Arb!$AJ$5,),AX90)/AY90)</f>
        <v>2.8651014723438122</v>
      </c>
      <c r="BB90" s="165">
        <f ca="1">IF(AX90="","",(INDEX(OFFSET(Arb!$U$2,,,Arb!$AJ$5,),AX90)+INDEX(OFFSET(Arb!$V$2,,,Arb!$AJ$5,),AX90))/AY90)</f>
        <v>2.9446876243533628</v>
      </c>
      <c r="BC90" s="51">
        <f t="shared" ca="1" si="41"/>
        <v>41.624090123874204</v>
      </c>
      <c r="BD90" s="88">
        <f ca="1">IF(AX90="","",DATE(INDEX(OFFSET(Arb!$C$2,,,Arb!$AJ$5,),AX90),INDEX(OFFSET(Arb!$B$2,,,Arb!$AJ$5,),AX90),INDEX(OFFSET(Arb!$A$2,,,Arb!$AJ$5,),AX90))+ROW()*0.001)</f>
        <v>43764.09</v>
      </c>
      <c r="BE90" s="436">
        <v>65</v>
      </c>
      <c r="BF90" s="1">
        <v>1948</v>
      </c>
      <c r="BG90" s="52">
        <f ca="1">IF(BF90="","",INDEX(OFFSET(Arb!$H$2,,,Arb!$AJ$5,),BF90))</f>
        <v>25.5</v>
      </c>
      <c r="BH90" s="3">
        <f t="shared" ca="1" si="32"/>
        <v>2.5490196078431371</v>
      </c>
      <c r="BI90" s="165">
        <f ca="1">IF(BF90="","",INDEX(OFFSET(Arb!$X$2,,,Arb!$AJ$5,),BF90)/BG90)</f>
        <v>3.2941176470588234</v>
      </c>
      <c r="BJ90" s="165">
        <f ca="1">IF(BF90="","",(INDEX(OFFSET(Arb!$U$2,,,Arb!$AJ$5,),BF90)+INDEX(OFFSET(Arb!$V$2,,,Arb!$AJ$5,),BF90))/BG90)</f>
        <v>3.9215686274509802</v>
      </c>
      <c r="BK90" s="51">
        <f t="shared" ca="1" si="42"/>
        <v>40.60258433448783</v>
      </c>
      <c r="BL90" s="91">
        <f ca="1">IF(BF90="","",DATE(INDEX(OFFSET(Arb!$C$2,,,Arb!$AJ$5,),BF90),INDEX(OFFSET(Arb!$B$2,,,Arb!$AJ$5,),BF90),INDEX(OFFSET(Arb!$A$2,,,Arb!$AJ$5,),BF90))+ROW()*0.001)</f>
        <v>43776.09</v>
      </c>
      <c r="BM90" s="442">
        <v>65</v>
      </c>
      <c r="BN90" s="1">
        <v>1977</v>
      </c>
      <c r="BO90" s="52">
        <f ca="1">IF(BN90="","",INDEX(OFFSET(Arb!$H$2,,,Arb!$AJ$5,),BN90))</f>
        <v>25.64</v>
      </c>
      <c r="BP90" s="3">
        <f t="shared" ca="1" si="33"/>
        <v>2.5351014040561624</v>
      </c>
      <c r="BQ90" s="165">
        <f ca="1">IF(BN90="","",INDEX(OFFSET(Arb!$X$2,,,Arb!$AJ$5,),BN90)/BO90)</f>
        <v>3.1981279251170047</v>
      </c>
      <c r="BR90" s="165">
        <f ca="1">IF(BN90="","",(INDEX(OFFSET(Arb!$U$2,,,Arb!$AJ$5,),BN90)+INDEX(OFFSET(Arb!$V$2,,,Arb!$AJ$5,),BN90))/BO90)</f>
        <v>3.627145085803432</v>
      </c>
      <c r="BS90" s="51">
        <f t="shared" ca="1" si="43"/>
        <v>40.226416727424876</v>
      </c>
      <c r="BT90" s="88">
        <f ca="1">IF(BN90="","",DATE(INDEX(OFFSET(Arb!$C$2,,,Arb!$AJ$5,),BN90),INDEX(OFFSET(Arb!$B$2,,,Arb!$AJ$5,),BN90),INDEX(OFFSET(Arb!$A$2,,,Arb!$AJ$5,),BN90))+ROW()*0.001)</f>
        <v>43781.09</v>
      </c>
      <c r="BU90" s="436">
        <v>65</v>
      </c>
      <c r="BV90" s="1">
        <v>2339</v>
      </c>
      <c r="BW90" s="52">
        <f ca="1">IF(BV90="","",INDEX(OFFSET(Arb!$H$2,,,Arb!$AJ$5,),BV90))</f>
        <v>25.8</v>
      </c>
      <c r="BX90" s="3">
        <f t="shared" ca="1" si="34"/>
        <v>2.5193798449612403</v>
      </c>
      <c r="BY90" s="165">
        <f ca="1">IF(BV90="","",INDEX(OFFSET(Arb!$X$2,,,Arb!$AJ$5,),BV90)/BW90)</f>
        <v>3.2945736434108528</v>
      </c>
      <c r="BZ90" s="165">
        <f ca="1">IF(BV90="","",(INDEX(OFFSET(Arb!$U$2,,,Arb!$AJ$5,),BV90)+INDEX(OFFSET(Arb!$V$2,,,Arb!$AJ$5,),BV90))/BW90)</f>
        <v>3.4883720930232558</v>
      </c>
      <c r="CA90" s="51">
        <f t="shared" ca="1" si="44"/>
        <v>39.803245354773161</v>
      </c>
      <c r="CB90" s="91">
        <f ca="1">IF(BV90="","",DATE(INDEX(OFFSET(Arb!$C$2,,,Arb!$AJ$5,),BV90),INDEX(OFFSET(Arb!$B$2,,,Arb!$AJ$5,),BV90),INDEX(OFFSET(Arb!$A$2,,,Arb!$AJ$5,),BV90))+ROW()*0.001)</f>
        <v>44105.09</v>
      </c>
    </row>
    <row r="91" spans="1:80" x14ac:dyDescent="0.25">
      <c r="A91" s="436">
        <v>66</v>
      </c>
      <c r="B91" s="1">
        <v>1941</v>
      </c>
      <c r="C91" s="52">
        <f ca="1">IF(B91="","",INDEX(OFFSET(Arb!$H$2,,,Arb!$AJ$5,),B91))</f>
        <v>22.67</v>
      </c>
      <c r="D91" s="3">
        <f t="shared" ca="1" si="25"/>
        <v>2.911336568151742</v>
      </c>
      <c r="E91" s="165">
        <f ca="1">IF(B91="","",INDEX(OFFSET(Arb!$X$2,,,Arb!$AJ$5,),B91)/C91)</f>
        <v>3.3524481693868546</v>
      </c>
      <c r="F91" s="165">
        <f ca="1">IF(B91="","",(INDEX(OFFSET(Arb!$U$2,,,Arb!$AJ$5,),B91)+INDEX(OFFSET(Arb!$V$2,,,Arb!$AJ$5,),B91))/C91)</f>
        <v>3.6612262902514332</v>
      </c>
      <c r="G91" s="51">
        <f t="shared" ca="1" si="35"/>
        <v>50.354116285953204</v>
      </c>
      <c r="H91" s="355">
        <f ca="1">IF(B91="","",DATE(INDEX(OFFSET(Arb!$C$2,,,Arb!$AJ$5,),B91),INDEX(OFFSET(Arb!$B$2,,,Arb!$AJ$5,),B91),INDEX(OFFSET(Arb!$A$2,,,Arb!$AJ$5,),B91))+ROW()*0.001)</f>
        <v>43773.091</v>
      </c>
      <c r="I91" s="436">
        <v>66</v>
      </c>
      <c r="J91" s="1">
        <v>2129</v>
      </c>
      <c r="K91" s="52">
        <f ca="1">IF(J91="","",INDEX(OFFSET(Arb!$H$2,,,Arb!$AJ$5,),J91))</f>
        <v>23.16</v>
      </c>
      <c r="L91" s="3">
        <f t="shared" ca="1" si="26"/>
        <v>2.849740932642487</v>
      </c>
      <c r="M91" s="165">
        <f ca="1">IF(J91="","",INDEX(OFFSET(Arb!$X$2,,,Arb!$AJ$5,),J91)/K91)</f>
        <v>3.4974093264248705</v>
      </c>
      <c r="N91" s="165">
        <f ca="1">IF(J91="","",(INDEX(OFFSET(Arb!$U$2,,,Arb!$AJ$5,),J91)+INDEX(OFFSET(Arb!$V$2,,,Arb!$AJ$5,),J91))/K91)</f>
        <v>3.8860103626943006</v>
      </c>
      <c r="O91" s="51">
        <f t="shared" ca="1" si="36"/>
        <v>48.556460231352311</v>
      </c>
      <c r="P91" s="91">
        <f ca="1">IF(J91="","",DATE(INDEX(OFFSET(Arb!$C$2,,,Arb!$AJ$5,),J91),INDEX(OFFSET(Arb!$B$2,,,Arb!$AJ$5,),J91),INDEX(OFFSET(Arb!$A$2,,,Arb!$AJ$5,),J91))+ROW()*0.001)</f>
        <v>43811.091</v>
      </c>
      <c r="Q91" s="442">
        <v>66</v>
      </c>
      <c r="R91" s="1">
        <v>1975</v>
      </c>
      <c r="S91" s="52">
        <f ca="1">IF(R91="","",INDEX(OFFSET(Arb!$H$2,,,Arb!$AJ$5,),R91))</f>
        <v>24.87</v>
      </c>
      <c r="T91" s="3">
        <f t="shared" ca="1" si="27"/>
        <v>2.6537997587454765</v>
      </c>
      <c r="U91" s="165">
        <f ca="1">IF(R91="","",INDEX(OFFSET(Arb!$X$2,,,Arb!$AJ$5,),R91)/S91)</f>
        <v>3.3775633293124243</v>
      </c>
      <c r="V91" s="165">
        <f ca="1">IF(R91="","",(INDEX(OFFSET(Arb!$U$2,,,Arb!$AJ$5,),R91)+INDEX(OFFSET(Arb!$V$2,,,Arb!$AJ$5,),R91))/S91)</f>
        <v>3.9806996381182147</v>
      </c>
      <c r="W91" s="51">
        <f t="shared" ca="1" si="37"/>
        <v>43.018347927147779</v>
      </c>
      <c r="X91" s="88">
        <f ca="1">IF(R91="","",DATE(INDEX(OFFSET(Arb!$C$2,,,Arb!$AJ$5,),R91),INDEX(OFFSET(Arb!$B$2,,,Arb!$AJ$5,),R91),INDEX(OFFSET(Arb!$A$2,,,Arb!$AJ$5,),R91))+ROW()*0.001)</f>
        <v>43781.091</v>
      </c>
      <c r="Y91" s="436">
        <v>66</v>
      </c>
      <c r="Z91" s="1">
        <v>2218</v>
      </c>
      <c r="AA91" s="52">
        <f ca="1">IF(Z91="","",INDEX(OFFSET(Arb!$H$2,,,Arb!$AJ$5,),Z91))</f>
        <v>25.45</v>
      </c>
      <c r="AB91" s="3">
        <f t="shared" ca="1" si="28"/>
        <v>2.5933202357563849</v>
      </c>
      <c r="AC91" s="165">
        <f ca="1">IF(Z91="","",INDEX(OFFSET(Arb!$X$2,,,Arb!$AJ$5,),Z91)/AA91)</f>
        <v>3.2220039292730847</v>
      </c>
      <c r="AD91" s="165">
        <f ca="1">IF(Z91="","",(INDEX(OFFSET(Arb!$U$2,,,Arb!$AJ$5,),Z91)+INDEX(OFFSET(Arb!$V$2,,,Arb!$AJ$5,),Z91))/AA91)</f>
        <v>3.6149312377210219</v>
      </c>
      <c r="AE91" s="51">
        <f t="shared" ca="1" si="38"/>
        <v>41.365028261185039</v>
      </c>
      <c r="AF91" s="91">
        <f ca="1">IF(Z91="","",DATE(INDEX(OFFSET(Arb!$C$2,,,Arb!$AJ$5,),Z91),INDEX(OFFSET(Arb!$B$2,,,Arb!$AJ$5,),Z91),INDEX(OFFSET(Arb!$A$2,,,Arb!$AJ$5,),Z91))+ROW()*0.001)</f>
        <v>43870.091</v>
      </c>
      <c r="AG91" s="442">
        <v>66</v>
      </c>
      <c r="AH91" s="1">
        <v>2030</v>
      </c>
      <c r="AI91" s="52">
        <f ca="1">IF(AH91="","",INDEX(OFFSET(Arb!$H$2,,,Arb!$AJ$5,),AH91))</f>
        <v>25.73</v>
      </c>
      <c r="AJ91" s="3">
        <f t="shared" ca="1" si="29"/>
        <v>2.5650991061018265</v>
      </c>
      <c r="AK91" s="165">
        <f ca="1">IF(AH91="","",INDEX(OFFSET(Arb!$X$2,,,Arb!$AJ$5,),AH91)/AI91)</f>
        <v>3.2646715895841432</v>
      </c>
      <c r="AL91" s="165">
        <f ca="1">IF(AH91="","",(INDEX(OFFSET(Arb!$U$2,,,Arb!$AJ$5,),AH91)+INDEX(OFFSET(Arb!$V$2,,,Arb!$AJ$5,),AH91))/AI91)</f>
        <v>3.7310532452390204</v>
      </c>
      <c r="AM91" s="51">
        <f t="shared" ca="1" si="39"/>
        <v>40.602701112196208</v>
      </c>
      <c r="AN91" s="88">
        <f ca="1">IF(AH91="","",DATE(INDEX(OFFSET(Arb!$C$2,,,Arb!$AJ$5,),AH91),INDEX(OFFSET(Arb!$B$2,,,Arb!$AJ$5,),AH91),INDEX(OFFSET(Arb!$A$2,,,Arb!$AJ$5,),AH91))+ROW()*0.001)</f>
        <v>43797.091</v>
      </c>
      <c r="AO91" s="436">
        <v>66</v>
      </c>
      <c r="AP91" s="1">
        <v>2151</v>
      </c>
      <c r="AQ91" s="52">
        <f ca="1">IF(AP91="","",INDEX(OFFSET(Arb!$H$2,,,Arb!$AJ$5,),AP91))</f>
        <v>25.85</v>
      </c>
      <c r="AR91" s="3">
        <f t="shared" ca="1" si="30"/>
        <v>2.5531914893617018</v>
      </c>
      <c r="AS91" s="165">
        <f ca="1">IF(AP91="","",INDEX(OFFSET(Arb!$X$2,,,Arb!$AJ$5,),AP91)/AQ91)</f>
        <v>3.3268858800773691</v>
      </c>
      <c r="AT91" s="165">
        <f ca="1">IF(AP91="","",(INDEX(OFFSET(Arb!$U$2,,,Arb!$AJ$5,),AP91)+INDEX(OFFSET(Arb!$V$2,,,Arb!$AJ$5,),AP91))/AQ91)</f>
        <v>3.4816247582205029</v>
      </c>
      <c r="AU91" s="51">
        <f t="shared" ca="1" si="40"/>
        <v>40.28279832777298</v>
      </c>
      <c r="AV91" s="91">
        <f ca="1">IF(AP91="","",DATE(INDEX(OFFSET(Arb!$C$2,,,Arb!$AJ$5,),AP91),INDEX(OFFSET(Arb!$B$2,,,Arb!$AJ$5,),AP91),INDEX(OFFSET(Arb!$A$2,,,Arb!$AJ$5,),AP91))+ROW()*0.001)</f>
        <v>43821.091</v>
      </c>
      <c r="AW91" s="442">
        <v>66</v>
      </c>
      <c r="AX91" s="1">
        <v>2019</v>
      </c>
      <c r="AY91" s="52">
        <f ca="1">IF(AX91="","",INDEX(OFFSET(Arb!$H$2,,,Arb!$AJ$5,),AX91))</f>
        <v>26.24</v>
      </c>
      <c r="AZ91" s="3">
        <f t="shared" ca="1" si="31"/>
        <v>2.5152439024390247</v>
      </c>
      <c r="BA91" s="165">
        <f ca="1">IF(AX91="","",INDEX(OFFSET(Arb!$X$2,,,Arb!$AJ$5,),AX91)/AY91)</f>
        <v>3.163109756097561</v>
      </c>
      <c r="BB91" s="165">
        <f ca="1">IF(AX91="","",(INDEX(OFFSET(Arb!$U$2,,,Arb!$AJ$5,),AX91)+INDEX(OFFSET(Arb!$V$2,,,Arb!$AJ$5,),AX91))/AY91)</f>
        <v>3.6966463414634148</v>
      </c>
      <c r="BC91" s="51">
        <f t="shared" ca="1" si="41"/>
        <v>39.270284764767347</v>
      </c>
      <c r="BD91" s="88">
        <f ca="1">IF(AX91="","",DATE(INDEX(OFFSET(Arb!$C$2,,,Arb!$AJ$5,),AX91),INDEX(OFFSET(Arb!$B$2,,,Arb!$AJ$5,),AX91),INDEX(OFFSET(Arb!$A$2,,,Arb!$AJ$5,),AX91))+ROW()*0.001)</f>
        <v>43795.091</v>
      </c>
      <c r="BE91" s="436">
        <v>66</v>
      </c>
      <c r="BF91" s="1">
        <v>2405</v>
      </c>
      <c r="BG91" s="52">
        <f ca="1">IF(BF91="","",INDEX(OFFSET(Arb!$H$2,,,Arb!$AJ$5,),BF91))</f>
        <v>26.59</v>
      </c>
      <c r="BH91" s="3">
        <f t="shared" ca="1" si="32"/>
        <v>2.4821361414065439</v>
      </c>
      <c r="BI91" s="165">
        <f ca="1">IF(BF91="","",INDEX(OFFSET(Arb!$X$2,,,Arb!$AJ$5,),BF91)/BG91)</f>
        <v>2.9710417450169238</v>
      </c>
      <c r="BJ91" s="165">
        <f ca="1">IF(BF91="","",(INDEX(OFFSET(Arb!$U$2,,,Arb!$AJ$5,),BF91)+INDEX(OFFSET(Arb!$V$2,,,Arb!$AJ$5,),BF91))/BG91)</f>
        <v>3.2719067318540804</v>
      </c>
      <c r="BK91" s="51">
        <f t="shared" ca="1" si="42"/>
        <v>38.395593869082433</v>
      </c>
      <c r="BL91" s="91">
        <f ca="1">IF(BF91="","",DATE(INDEX(OFFSET(Arb!$C$2,,,Arb!$AJ$5,),BF91),INDEX(OFFSET(Arb!$B$2,,,Arb!$AJ$5,),BF91),INDEX(OFFSET(Arb!$A$2,,,Arb!$AJ$5,),BF91))+ROW()*0.001)</f>
        <v>44168.091</v>
      </c>
      <c r="BM91" s="442">
        <v>66</v>
      </c>
      <c r="BN91" s="1">
        <v>1954</v>
      </c>
      <c r="BO91" s="52">
        <f ca="1">IF(BN91="","",INDEX(OFFSET(Arb!$H$2,,,Arb!$AJ$5,),BN91))</f>
        <v>27.28</v>
      </c>
      <c r="BP91" s="3">
        <f t="shared" ca="1" si="33"/>
        <v>2.4193548387096775</v>
      </c>
      <c r="BQ91" s="165">
        <f ca="1">IF(BN91="","",INDEX(OFFSET(Arb!$X$2,,,Arb!$AJ$5,),BN91)/BO91)</f>
        <v>2.8958944281524928</v>
      </c>
      <c r="BR91" s="165">
        <f ca="1">IF(BN91="","",(INDEX(OFFSET(Arb!$U$2,,,Arb!$AJ$5,),BN91)+INDEX(OFFSET(Arb!$V$2,,,Arb!$AJ$5,),BN91))/BO91)</f>
        <v>3.1158357771260996</v>
      </c>
      <c r="BS91" s="51">
        <f t="shared" ca="1" si="43"/>
        <v>36.759292207920424</v>
      </c>
      <c r="BT91" s="88">
        <f ca="1">IF(BN91="","",DATE(INDEX(OFFSET(Arb!$C$2,,,Arb!$AJ$5,),BN91),INDEX(OFFSET(Arb!$B$2,,,Arb!$AJ$5,),BN91),INDEX(OFFSET(Arb!$A$2,,,Arb!$AJ$5,),BN91))+ROW()*0.001)</f>
        <v>43777.091</v>
      </c>
      <c r="BU91" s="436">
        <v>66</v>
      </c>
      <c r="BV91" s="1">
        <v>2010</v>
      </c>
      <c r="BW91" s="52">
        <f ca="1">IF(BV91="","",INDEX(OFFSET(Arb!$H$2,,,Arb!$AJ$5,),BV91))</f>
        <v>27.91</v>
      </c>
      <c r="BX91" s="3">
        <f t="shared" ca="1" si="34"/>
        <v>2.3647438194195627</v>
      </c>
      <c r="BY91" s="165">
        <f ca="1">IF(BV91="","",INDEX(OFFSET(Arb!$X$2,,,Arb!$AJ$5,),BV91)/BW91)</f>
        <v>2.5438910784664994</v>
      </c>
      <c r="BZ91" s="165">
        <f ca="1">IF(BV91="","",(INDEX(OFFSET(Arb!$U$2,,,Arb!$AJ$5,),BV91)+INDEX(OFFSET(Arb!$V$2,,,Arb!$AJ$5,),BV91))/BW91)</f>
        <v>3.5112862773199569</v>
      </c>
      <c r="CA91" s="51">
        <f t="shared" ca="1" si="44"/>
        <v>35.359884738946128</v>
      </c>
      <c r="CB91" s="91">
        <f ca="1">IF(BV91="","",DATE(INDEX(OFFSET(Arb!$C$2,,,Arb!$AJ$5,),BV91),INDEX(OFFSET(Arb!$B$2,,,Arb!$AJ$5,),BV91),INDEX(OFFSET(Arb!$A$2,,,Arb!$AJ$5,),BV91))+ROW()*0.001)</f>
        <v>43786.091</v>
      </c>
    </row>
    <row r="92" spans="1:80" x14ac:dyDescent="0.25">
      <c r="A92" s="436">
        <v>67</v>
      </c>
      <c r="B92" s="1">
        <v>2316</v>
      </c>
      <c r="C92" s="52">
        <f ca="1">IF(B92="","",INDEX(OFFSET(Arb!$H$2,,,Arb!$AJ$5,),B92))</f>
        <v>22.6</v>
      </c>
      <c r="D92" s="3">
        <f t="shared" ca="1" si="25"/>
        <v>2.9646017699115044</v>
      </c>
      <c r="E92" s="165">
        <f ca="1">IF(B92="","",INDEX(OFFSET(Arb!$X$2,,,Arb!$AJ$5,),B92)/C92)</f>
        <v>3.4513274336283182</v>
      </c>
      <c r="F92" s="165">
        <f ca="1">IF(B92="","",(INDEX(OFFSET(Arb!$U$2,,,Arb!$AJ$5,),B92)+INDEX(OFFSET(Arb!$V$2,,,Arb!$AJ$5,),B92))/C92)</f>
        <v>3.8495575221238933</v>
      </c>
      <c r="G92" s="51">
        <f t="shared" ca="1" si="35"/>
        <v>51.386505323293378</v>
      </c>
      <c r="H92" s="355">
        <f ca="1">IF(B92="","",DATE(INDEX(OFFSET(Arb!$C$2,,,Arb!$AJ$5,),B92),INDEX(OFFSET(Arb!$B$2,,,Arb!$AJ$5,),B92),INDEX(OFFSET(Arb!$A$2,,,Arb!$AJ$5,),B92))+ROW()*0.001)</f>
        <v>43967.091999999997</v>
      </c>
      <c r="I92" s="436">
        <v>67</v>
      </c>
      <c r="J92" s="1">
        <v>2223</v>
      </c>
      <c r="K92" s="52">
        <f ca="1">IF(J92="","",INDEX(OFFSET(Arb!$H$2,,,Arb!$AJ$5,),J92))</f>
        <v>23.87</v>
      </c>
      <c r="L92" s="3">
        <f t="shared" ca="1" si="26"/>
        <v>2.8068705488060326</v>
      </c>
      <c r="M92" s="165">
        <f ca="1">IF(J92="","",INDEX(OFFSET(Arb!$X$2,,,Arb!$AJ$5,),J92)/K92)</f>
        <v>3.3095936321742774</v>
      </c>
      <c r="N92" s="165">
        <f ca="1">IF(J92="","",(INDEX(OFFSET(Arb!$U$2,,,Arb!$AJ$5,),J92)+INDEX(OFFSET(Arb!$V$2,,,Arb!$AJ$5,),J92))/K92)</f>
        <v>3.8123167155425217</v>
      </c>
      <c r="O92" s="51">
        <f t="shared" ca="1" si="36"/>
        <v>46.825704224688586</v>
      </c>
      <c r="P92" s="91">
        <f ca="1">IF(J92="","",DATE(INDEX(OFFSET(Arb!$C$2,,,Arb!$AJ$5,),J92),INDEX(OFFSET(Arb!$B$2,,,Arb!$AJ$5,),J92),INDEX(OFFSET(Arb!$A$2,,,Arb!$AJ$5,),J92))+ROW()*0.001)</f>
        <v>43870.091999999997</v>
      </c>
      <c r="Q92" s="442">
        <v>67</v>
      </c>
      <c r="R92" s="1">
        <v>2300</v>
      </c>
      <c r="S92" s="52">
        <f ca="1">IF(R92="","",INDEX(OFFSET(Arb!$H$2,,,Arb!$AJ$5,),R92))</f>
        <v>24.31</v>
      </c>
      <c r="T92" s="3">
        <f t="shared" ca="1" si="27"/>
        <v>2.7560674619498151</v>
      </c>
      <c r="U92" s="165">
        <f ca="1">IF(R92="","",INDEX(OFFSET(Arb!$X$2,,,Arb!$AJ$5,),R92)/S92)</f>
        <v>3.3319621554915675</v>
      </c>
      <c r="V92" s="165">
        <f ca="1">IF(R92="","",(INDEX(OFFSET(Arb!$U$2,,,Arb!$AJ$5,),R92)+INDEX(OFFSET(Arb!$V$2,,,Arb!$AJ$5,),R92))/S92)</f>
        <v>3.9901275195392842</v>
      </c>
      <c r="W92" s="51">
        <f t="shared" ca="1" si="37"/>
        <v>45.394057125413532</v>
      </c>
      <c r="X92" s="88">
        <f ca="1">IF(R92="","",DATE(INDEX(OFFSET(Arb!$C$2,,,Arb!$AJ$5,),R92),INDEX(OFFSET(Arb!$B$2,,,Arb!$AJ$5,),R92),INDEX(OFFSET(Arb!$A$2,,,Arb!$AJ$5,),R92))+ROW()*0.001)</f>
        <v>43941.091999999997</v>
      </c>
      <c r="Y92" s="436">
        <v>67</v>
      </c>
      <c r="Z92" s="1">
        <v>2291</v>
      </c>
      <c r="AA92" s="52">
        <f ca="1">IF(Z92="","",INDEX(OFFSET(Arb!$H$2,,,Arb!$AJ$5,),Z92))</f>
        <v>24.77</v>
      </c>
      <c r="AB92" s="3">
        <f t="shared" ca="1" si="28"/>
        <v>2.7048849414614455</v>
      </c>
      <c r="AC92" s="165">
        <f ca="1">IF(Z92="","",INDEX(OFFSET(Arb!$X$2,,,Arb!$AJ$5,),Z92)/AA92)</f>
        <v>3.6737989503431572</v>
      </c>
      <c r="AD92" s="165">
        <f ca="1">IF(Z92="","",(INDEX(OFFSET(Arb!$U$2,,,Arb!$AJ$5,),Z92)+INDEX(OFFSET(Arb!$V$2,,,Arb!$AJ$5,),Z92))/AA92)</f>
        <v>4.1178845377472753</v>
      </c>
      <c r="AE92" s="51">
        <f t="shared" ca="1" si="38"/>
        <v>43.970278734214723</v>
      </c>
      <c r="AF92" s="91">
        <f ca="1">IF(Z92="","",DATE(INDEX(OFFSET(Arb!$C$2,,,Arb!$AJ$5,),Z92),INDEX(OFFSET(Arb!$B$2,,,Arb!$AJ$5,),Z92),INDEX(OFFSET(Arb!$A$2,,,Arb!$AJ$5,),Z92))+ROW()*0.001)</f>
        <v>43937.091999999997</v>
      </c>
      <c r="AG92" s="442">
        <v>67</v>
      </c>
      <c r="AH92" s="1">
        <v>2313</v>
      </c>
      <c r="AI92" s="52">
        <f ca="1">IF(AH92="","",INDEX(OFFSET(Arb!$H$2,,,Arb!$AJ$5,),AH92))</f>
        <v>24.88</v>
      </c>
      <c r="AJ92" s="3">
        <f t="shared" ca="1" si="29"/>
        <v>2.6929260450160775</v>
      </c>
      <c r="AK92" s="165">
        <f ca="1">IF(AH92="","",INDEX(OFFSET(Arb!$X$2,,,Arb!$AJ$5,),AH92)/AI92)</f>
        <v>3.2154340836012865</v>
      </c>
      <c r="AL92" s="165">
        <f ca="1">IF(AH92="","",(INDEX(OFFSET(Arb!$U$2,,,Arb!$AJ$5,),AH92)+INDEX(OFFSET(Arb!$V$2,,,Arb!$AJ$5,),AH92))/AI92)</f>
        <v>3.657556270096463</v>
      </c>
      <c r="AM92" s="51">
        <f t="shared" ca="1" si="39"/>
        <v>43.640306352563499</v>
      </c>
      <c r="AN92" s="88">
        <f ca="1">IF(AH92="","",DATE(INDEX(OFFSET(Arb!$C$2,,,Arb!$AJ$5,),AH92),INDEX(OFFSET(Arb!$B$2,,,Arb!$AJ$5,),AH92),INDEX(OFFSET(Arb!$A$2,,,Arb!$AJ$5,),AH92))+ROW()*0.001)</f>
        <v>43952.091999999997</v>
      </c>
      <c r="AO92" s="436">
        <v>67</v>
      </c>
      <c r="AP92" s="1">
        <v>2273</v>
      </c>
      <c r="AQ92" s="52">
        <f ca="1">IF(AP92="","",INDEX(OFFSET(Arb!$H$2,,,Arb!$AJ$5,),AP92))</f>
        <v>26.36</v>
      </c>
      <c r="AR92" s="3">
        <f t="shared" ca="1" si="30"/>
        <v>2.5417298937784523</v>
      </c>
      <c r="AS92" s="165">
        <f ca="1">IF(AP92="","",INDEX(OFFSET(Arb!$X$2,,,Arb!$AJ$5,),AP92)/AQ92)</f>
        <v>3.4142640364188166</v>
      </c>
      <c r="AT92" s="165">
        <f ca="1">IF(AP92="","",(INDEX(OFFSET(Arb!$U$2,,,Arb!$AJ$5,),AP92)+INDEX(OFFSET(Arb!$V$2,,,Arb!$AJ$5,),AP92))/AQ92)</f>
        <v>4.0212443095599397</v>
      </c>
      <c r="AU92" s="51">
        <f t="shared" ca="1" si="40"/>
        <v>39.557263459758978</v>
      </c>
      <c r="AV92" s="91">
        <f ca="1">IF(AP92="","",DATE(INDEX(OFFSET(Arb!$C$2,,,Arb!$AJ$5,),AP92),INDEX(OFFSET(Arb!$B$2,,,Arb!$AJ$5,),AP92),INDEX(OFFSET(Arb!$A$2,,,Arb!$AJ$5,),AP92))+ROW()*0.001)</f>
        <v>43934.091999999997</v>
      </c>
      <c r="AW92" s="442">
        <v>67</v>
      </c>
      <c r="AX92" s="1">
        <v>1901</v>
      </c>
      <c r="AY92" s="52">
        <f ca="1">IF(AX92="","",INDEX(OFFSET(Arb!$H$2,,,Arb!$AJ$5,),AX92))</f>
        <v>26.39</v>
      </c>
      <c r="AZ92" s="3">
        <f t="shared" ca="1" si="31"/>
        <v>2.5388404698749527</v>
      </c>
      <c r="BA92" s="165">
        <f ca="1">IF(AX92="","",INDEX(OFFSET(Arb!$X$2,,,Arb!$AJ$5,),AX92)/AY92)</f>
        <v>3.1451307313376278</v>
      </c>
      <c r="BB92" s="165">
        <f ca="1">IF(AX92="","",(INDEX(OFFSET(Arb!$U$2,,,Arb!$AJ$5,),AX92)+INDEX(OFFSET(Arb!$V$2,,,Arb!$AJ$5,),AX92))/AY92)</f>
        <v>3.6377415687760513</v>
      </c>
      <c r="BC92" s="51">
        <f t="shared" ca="1" si="41"/>
        <v>39.480847481813228</v>
      </c>
      <c r="BD92" s="88">
        <f ca="1">IF(AX92="","",DATE(INDEX(OFFSET(Arb!$C$2,,,Arb!$AJ$5,),AX92),INDEX(OFFSET(Arb!$B$2,,,Arb!$AJ$5,),AX92),INDEX(OFFSET(Arb!$A$2,,,Arb!$AJ$5,),AX92))+ROW()*0.001)</f>
        <v>43765.091999999997</v>
      </c>
      <c r="BE92" s="436">
        <v>67</v>
      </c>
      <c r="BF92" s="1">
        <v>2044</v>
      </c>
      <c r="BG92" s="52">
        <f ca="1">IF(BF92="","",INDEX(OFFSET(Arb!$H$2,,,Arb!$AJ$5,),BF92))</f>
        <v>27.05</v>
      </c>
      <c r="BH92" s="3">
        <f t="shared" ca="1" si="32"/>
        <v>2.4768946395563769</v>
      </c>
      <c r="BI92" s="165">
        <f ca="1">IF(BF92="","",INDEX(OFFSET(Arb!$X$2,,,Arb!$AJ$5,),BF92)/BG92)</f>
        <v>3.2902033271719038</v>
      </c>
      <c r="BJ92" s="165">
        <f ca="1">IF(BF92="","",(INDEX(OFFSET(Arb!$U$2,,,Arb!$AJ$5,),BF92)+INDEX(OFFSET(Arb!$V$2,,,Arb!$AJ$5,),BF92))/BG92)</f>
        <v>3.8077634011090571</v>
      </c>
      <c r="BK92" s="51">
        <f t="shared" ca="1" si="42"/>
        <v>37.857250764817032</v>
      </c>
      <c r="BL92" s="91">
        <f ca="1">IF(BF92="","",DATE(INDEX(OFFSET(Arb!$C$2,,,Arb!$AJ$5,),BF92),INDEX(OFFSET(Arb!$B$2,,,Arb!$AJ$5,),BF92),INDEX(OFFSET(Arb!$A$2,,,Arb!$AJ$5,),BF92))+ROW()*0.001)</f>
        <v>43797.091999999997</v>
      </c>
      <c r="BM92" s="442">
        <v>67</v>
      </c>
      <c r="BN92" s="1">
        <v>2035</v>
      </c>
      <c r="BO92" s="52">
        <f ca="1">IF(BN92="","",INDEX(OFFSET(Arb!$H$2,,,Arb!$AJ$5,),BN92))</f>
        <v>27.23</v>
      </c>
      <c r="BP92" s="3">
        <f t="shared" ca="1" si="33"/>
        <v>2.4605214836577303</v>
      </c>
      <c r="BQ92" s="165">
        <f ca="1">IF(BN92="","",INDEX(OFFSET(Arb!$X$2,,,Arb!$AJ$5,),BN92)/BO92)</f>
        <v>2.9012118986412045</v>
      </c>
      <c r="BR92" s="165">
        <f ca="1">IF(BN92="","",(INDEX(OFFSET(Arb!$U$2,,,Arb!$AJ$5,),BN92)+INDEX(OFFSET(Arb!$V$2,,,Arb!$AJ$5,),BN92))/BO92)</f>
        <v>3.3786265148733015</v>
      </c>
      <c r="BS92" s="51">
        <f t="shared" ca="1" si="43"/>
        <v>37.432810837779776</v>
      </c>
      <c r="BT92" s="88">
        <f ca="1">IF(BN92="","",DATE(INDEX(OFFSET(Arb!$C$2,,,Arb!$AJ$5,),BN92),INDEX(OFFSET(Arb!$B$2,,,Arb!$AJ$5,),BN92),INDEX(OFFSET(Arb!$A$2,,,Arb!$AJ$5,),BN92))+ROW()*0.001)</f>
        <v>43797.091999999997</v>
      </c>
      <c r="BU92" s="436">
        <v>67</v>
      </c>
      <c r="BV92" s="1">
        <v>1884</v>
      </c>
      <c r="BW92" s="52">
        <f ca="1">IF(BV92="","",INDEX(OFFSET(Arb!$H$2,,,Arb!$AJ$5,),BV92))</f>
        <v>27.62</v>
      </c>
      <c r="BX92" s="3">
        <f t="shared" ca="1" si="34"/>
        <v>2.4257784214337437</v>
      </c>
      <c r="BY92" s="165">
        <f ca="1">IF(BV92="","",INDEX(OFFSET(Arb!$X$2,,,Arb!$AJ$5,),BV92)/BW92)</f>
        <v>2.8602461984069514</v>
      </c>
      <c r="BZ92" s="165">
        <f ca="1">IF(BV92="","",(INDEX(OFFSET(Arb!$U$2,,,Arb!$AJ$5,),BV92)+INDEX(OFFSET(Arb!$V$2,,,Arb!$AJ$5,),BV92))/BW92)</f>
        <v>3.1860970311368573</v>
      </c>
      <c r="CA92" s="51">
        <f t="shared" ca="1" si="44"/>
        <v>36.538707741817959</v>
      </c>
      <c r="CB92" s="91">
        <f ca="1">IF(BV92="","",DATE(INDEX(OFFSET(Arb!$C$2,,,Arb!$AJ$5,),BV92),INDEX(OFFSET(Arb!$B$2,,,Arb!$AJ$5,),BV92),INDEX(OFFSET(Arb!$A$2,,,Arb!$AJ$5,),BV92))+ROW()*0.001)</f>
        <v>43764.091999999997</v>
      </c>
    </row>
    <row r="93" spans="1:80" x14ac:dyDescent="0.25">
      <c r="A93" s="436">
        <v>68</v>
      </c>
      <c r="B93" s="1">
        <v>2235</v>
      </c>
      <c r="C93" s="52">
        <f ca="1">IF(B93="","",INDEX(OFFSET(Arb!$H$2,,,Arb!$AJ$5,),B93))</f>
        <v>23.25</v>
      </c>
      <c r="D93" s="3">
        <f t="shared" ca="1" si="25"/>
        <v>2.924731182795699</v>
      </c>
      <c r="E93" s="165">
        <f ca="1">IF(B93="","",INDEX(OFFSET(Arb!$X$2,,,Arb!$AJ$5,),B93)/C93)</f>
        <v>3.5268817204301075</v>
      </c>
      <c r="F93" s="165">
        <f ca="1">IF(B93="","",(INDEX(OFFSET(Arb!$U$2,,,Arb!$AJ$5,),B93)+INDEX(OFFSET(Arb!$V$2,,,Arb!$AJ$5,),B93))/C93)</f>
        <v>3.870967741935484</v>
      </c>
      <c r="G93" s="51">
        <f t="shared" ca="1" si="35"/>
        <v>49.699098675876122</v>
      </c>
      <c r="H93" s="355">
        <f ca="1">IF(B93="","",DATE(INDEX(OFFSET(Arb!$C$2,,,Arb!$AJ$5,),B93),INDEX(OFFSET(Arb!$B$2,,,Arb!$AJ$5,),B93),INDEX(OFFSET(Arb!$A$2,,,Arb!$AJ$5,),B93))+ROW()*0.001)</f>
        <v>43890.093000000001</v>
      </c>
      <c r="I93" s="436">
        <v>68</v>
      </c>
      <c r="J93" s="1">
        <v>2241</v>
      </c>
      <c r="K93" s="52">
        <f ca="1">IF(J93="","",INDEX(OFFSET(Arb!$H$2,,,Arb!$AJ$5,),J93))</f>
        <v>25.26</v>
      </c>
      <c r="L93" s="3">
        <f t="shared" ca="1" si="26"/>
        <v>2.6920031670625493</v>
      </c>
      <c r="M93" s="165">
        <f ca="1">IF(J93="","",INDEX(OFFSET(Arb!$X$2,,,Arb!$AJ$5,),J93)/K93)</f>
        <v>2.8899445764053837</v>
      </c>
      <c r="N93" s="165">
        <f ca="1">IF(J93="","",(INDEX(OFFSET(Arb!$U$2,,,Arb!$AJ$5,),J93)+INDEX(OFFSET(Arb!$V$2,,,Arb!$AJ$5,),J93))/K93)</f>
        <v>3.1670625494853519</v>
      </c>
      <c r="O93" s="51">
        <f t="shared" ca="1" si="36"/>
        <v>43.164911151203995</v>
      </c>
      <c r="P93" s="91">
        <f ca="1">IF(J93="","",DATE(INDEX(OFFSET(Arb!$C$2,,,Arb!$AJ$5,),J93),INDEX(OFFSET(Arb!$B$2,,,Arb!$AJ$5,),J93),INDEX(OFFSET(Arb!$A$2,,,Arb!$AJ$5,),J93))+ROW()*0.001)</f>
        <v>43890.093000000001</v>
      </c>
      <c r="Q93" s="442">
        <v>68</v>
      </c>
      <c r="R93" s="1">
        <v>2046</v>
      </c>
      <c r="S93" s="52">
        <f ca="1">IF(R93="","",INDEX(OFFSET(Arb!$H$2,,,Arb!$AJ$5,),R93))</f>
        <v>25.8</v>
      </c>
      <c r="T93" s="3">
        <f t="shared" ca="1" si="27"/>
        <v>2.635658914728682</v>
      </c>
      <c r="U93" s="165">
        <f ca="1">IF(R93="","",INDEX(OFFSET(Arb!$X$2,,,Arb!$AJ$5,),R93)/S93)</f>
        <v>3.4108527131782944</v>
      </c>
      <c r="V93" s="165">
        <f ca="1">IF(R93="","",(INDEX(OFFSET(Arb!$U$2,,,Arb!$AJ$5,),R93)+INDEX(OFFSET(Arb!$V$2,,,Arb!$AJ$5,),R93))/S93)</f>
        <v>3.9147286821705425</v>
      </c>
      <c r="W93" s="51">
        <f t="shared" ca="1" si="37"/>
        <v>41.64031821730115</v>
      </c>
      <c r="X93" s="88">
        <f ca="1">IF(R93="","",DATE(INDEX(OFFSET(Arb!$C$2,,,Arb!$AJ$5,),R93),INDEX(OFFSET(Arb!$B$2,,,Arb!$AJ$5,),R93),INDEX(OFFSET(Arb!$A$2,,,Arb!$AJ$5,),R93))+ROW()*0.001)</f>
        <v>43798.093000000001</v>
      </c>
      <c r="Y93" s="436">
        <v>68</v>
      </c>
      <c r="Z93" s="1">
        <v>2192</v>
      </c>
      <c r="AA93" s="52">
        <f ca="1">IF(Z93="","",INDEX(OFFSET(Arb!$H$2,,,Arb!$AJ$5,),Z93))</f>
        <v>26.02</v>
      </c>
      <c r="AB93" s="3">
        <f t="shared" ca="1" si="28"/>
        <v>2.6133743274404306</v>
      </c>
      <c r="AC93" s="165">
        <f ca="1">IF(Z93="","",INDEX(OFFSET(Arb!$X$2,,,Arb!$AJ$5,),Z93)/AA93)</f>
        <v>3.2282859338970025</v>
      </c>
      <c r="AD93" s="165">
        <f ca="1">IF(Z93="","",(INDEX(OFFSET(Arb!$U$2,,,Arb!$AJ$5,),Z93)+INDEX(OFFSET(Arb!$V$2,,,Arb!$AJ$5,),Z93))/AA93)</f>
        <v>3.7279016141429668</v>
      </c>
      <c r="AE93" s="51">
        <f t="shared" ca="1" si="38"/>
        <v>41.043571332843136</v>
      </c>
      <c r="AF93" s="91">
        <f ca="1">IF(Z93="","",DATE(INDEX(OFFSET(Arb!$C$2,,,Arb!$AJ$5,),Z93),INDEX(OFFSET(Arb!$B$2,,,Arb!$AJ$5,),Z93),INDEX(OFFSET(Arb!$A$2,,,Arb!$AJ$5,),Z93))+ROW()*0.001)</f>
        <v>43852.093000000001</v>
      </c>
      <c r="AG93" s="442">
        <v>68</v>
      </c>
      <c r="AH93" s="1">
        <v>2108</v>
      </c>
      <c r="AI93" s="52">
        <f ca="1">IF(AH93="","",INDEX(OFFSET(Arb!$H$2,,,Arb!$AJ$5,),AH93))</f>
        <v>26.6</v>
      </c>
      <c r="AJ93" s="3">
        <f t="shared" ca="1" si="29"/>
        <v>2.5563909774436091</v>
      </c>
      <c r="AK93" s="165">
        <f ca="1">IF(AH93="","",INDEX(OFFSET(Arb!$X$2,,,Arb!$AJ$5,),AH93)/AI93)</f>
        <v>3.2706766917293231</v>
      </c>
      <c r="AL93" s="165">
        <f ca="1">IF(AH93="","",(INDEX(OFFSET(Arb!$U$2,,,Arb!$AJ$5,),AH93)+INDEX(OFFSET(Arb!$V$2,,,Arb!$AJ$5,),AH93))/AI93)</f>
        <v>3.8721804511278193</v>
      </c>
      <c r="AM93" s="51">
        <f t="shared" ca="1" si="39"/>
        <v>39.533817910842508</v>
      </c>
      <c r="AN93" s="88">
        <f ca="1">IF(AH93="","",DATE(INDEX(OFFSET(Arb!$C$2,,,Arb!$AJ$5,),AH93),INDEX(OFFSET(Arb!$B$2,,,Arb!$AJ$5,),AH93),INDEX(OFFSET(Arb!$A$2,,,Arb!$AJ$5,),AH93))+ROW()*0.001)</f>
        <v>43811.093000000001</v>
      </c>
      <c r="AO93" s="436">
        <v>68</v>
      </c>
      <c r="AP93" s="1">
        <v>2359</v>
      </c>
      <c r="AQ93" s="52">
        <f ca="1">IF(AP93="","",INDEX(OFFSET(Arb!$H$2,,,Arb!$AJ$5,),AP93))</f>
        <v>26.79</v>
      </c>
      <c r="AR93" s="3">
        <f t="shared" ca="1" si="30"/>
        <v>2.5382605449794702</v>
      </c>
      <c r="AS93" s="165">
        <f ca="1">IF(AP93="","",INDEX(OFFSET(Arb!$X$2,,,Arb!$AJ$5,),AP93)/AQ93)</f>
        <v>2.8368794326241136</v>
      </c>
      <c r="AT93" s="165">
        <f ca="1">IF(AP93="","",(INDEX(OFFSET(Arb!$U$2,,,Arb!$AJ$5,),AP93)+INDEX(OFFSET(Arb!$V$2,,,Arb!$AJ$5,),AP93))/AQ93)</f>
        <v>3.5460992907801421</v>
      </c>
      <c r="AU93" s="51">
        <f t="shared" ca="1" si="40"/>
        <v>39.058353054432772</v>
      </c>
      <c r="AV93" s="91">
        <f ca="1">IF(AP93="","",DATE(INDEX(OFFSET(Arb!$C$2,,,Arb!$AJ$5,),AP93),INDEX(OFFSET(Arb!$B$2,,,Arb!$AJ$5,),AP93),INDEX(OFFSET(Arb!$A$2,,,Arb!$AJ$5,),AP93))+ROW()*0.001)</f>
        <v>44114.093000000001</v>
      </c>
      <c r="AW93" s="442">
        <v>68</v>
      </c>
      <c r="AX93" s="1">
        <v>1905</v>
      </c>
      <c r="AY93" s="52">
        <f ca="1">IF(AX93="","",INDEX(OFFSET(Arb!$H$2,,,Arb!$AJ$5,),AX93))</f>
        <v>27.31</v>
      </c>
      <c r="AZ93" s="3">
        <f t="shared" ca="1" si="31"/>
        <v>2.4899304284145005</v>
      </c>
      <c r="BA93" s="165">
        <f ca="1">IF(AX93="","",INDEX(OFFSET(Arb!$X$2,,,Arb!$AJ$5,),AX93)/AY93)</f>
        <v>3.4053460270963019</v>
      </c>
      <c r="BB93" s="165">
        <f ca="1">IF(AX93="","",(INDEX(OFFSET(Arb!$U$2,,,Arb!$AJ$5,),AX93)+INDEX(OFFSET(Arb!$V$2,,,Arb!$AJ$5,),AX93))/AY93)</f>
        <v>3.8447455144635665</v>
      </c>
      <c r="BC93" s="51">
        <f t="shared" ca="1" si="41"/>
        <v>37.802511105256592</v>
      </c>
      <c r="BD93" s="88">
        <f ca="1">IF(AX93="","",DATE(INDEX(OFFSET(Arb!$C$2,,,Arb!$AJ$5,),AX93),INDEX(OFFSET(Arb!$B$2,,,Arb!$AJ$5,),AX93),INDEX(OFFSET(Arb!$A$2,,,Arb!$AJ$5,),AX93))+ROW()*0.001)</f>
        <v>43765.093000000001</v>
      </c>
      <c r="BE93" s="436">
        <v>68</v>
      </c>
      <c r="BF93" s="1">
        <v>2242</v>
      </c>
      <c r="BG93" s="52">
        <f ca="1">IF(BF93="","",INDEX(OFFSET(Arb!$H$2,,,Arb!$AJ$5,),BF93))</f>
        <v>27.48</v>
      </c>
      <c r="BH93" s="3">
        <f t="shared" ca="1" si="32"/>
        <v>2.4745269286754001</v>
      </c>
      <c r="BI93" s="165">
        <f ca="1">IF(BF93="","",INDEX(OFFSET(Arb!$X$2,,,Arb!$AJ$5,),BF93)/BG93)</f>
        <v>3.1659388646288211</v>
      </c>
      <c r="BJ93" s="165">
        <f ca="1">IF(BF93="","",(INDEX(OFFSET(Arb!$U$2,,,Arb!$AJ$5,),BF93)+INDEX(OFFSET(Arb!$V$2,,,Arb!$AJ$5,),BF93))/BG93)</f>
        <v>3.6390101892285296</v>
      </c>
      <c r="BK93" s="51">
        <f t="shared" ca="1" si="42"/>
        <v>37.405813278607461</v>
      </c>
      <c r="BL93" s="91">
        <f ca="1">IF(BF93="","",DATE(INDEX(OFFSET(Arb!$C$2,,,Arb!$AJ$5,),BF93),INDEX(OFFSET(Arb!$B$2,,,Arb!$AJ$5,),BF93),INDEX(OFFSET(Arb!$A$2,,,Arb!$AJ$5,),BF93))+ROW()*0.001)</f>
        <v>43892.093000000001</v>
      </c>
      <c r="BM93" s="442">
        <v>68</v>
      </c>
      <c r="BN93" s="1">
        <v>1890</v>
      </c>
      <c r="BO93" s="52">
        <f ca="1">IF(BN93="","",INDEX(OFFSET(Arb!$H$2,,,Arb!$AJ$5,),BN93))</f>
        <v>27.65</v>
      </c>
      <c r="BP93" s="3">
        <f t="shared" ca="1" si="33"/>
        <v>2.4593128390596748</v>
      </c>
      <c r="BQ93" s="165">
        <f ca="1">IF(BN93="","",INDEX(OFFSET(Arb!$X$2,,,Arb!$AJ$5,),BN93)/BO93)</f>
        <v>3.3273056057866186</v>
      </c>
      <c r="BR93" s="165">
        <f ca="1">IF(BN93="","",(INDEX(OFFSET(Arb!$U$2,,,Arb!$AJ$5,),BN93)+INDEX(OFFSET(Arb!$V$2,,,Arb!$AJ$5,),BN93))/BO93)</f>
        <v>3.8336347197106693</v>
      </c>
      <c r="BS93" s="51">
        <f t="shared" ca="1" si="43"/>
        <v>37.015686584994143</v>
      </c>
      <c r="BT93" s="88">
        <f ca="1">IF(BN93="","",DATE(INDEX(OFFSET(Arb!$C$2,,,Arb!$AJ$5,),BN93),INDEX(OFFSET(Arb!$B$2,,,Arb!$AJ$5,),BN93),INDEX(OFFSET(Arb!$A$2,,,Arb!$AJ$5,),BN93))+ROW()*0.001)</f>
        <v>43764.093000000001</v>
      </c>
      <c r="BU93" s="436">
        <v>68</v>
      </c>
      <c r="BV93" s="1">
        <v>2065</v>
      </c>
      <c r="BW93" s="52">
        <f ca="1">IF(BV93="","",INDEX(OFFSET(Arb!$H$2,,,Arb!$AJ$5,),BV93))</f>
        <v>27.83</v>
      </c>
      <c r="BX93" s="3">
        <f t="shared" ca="1" si="34"/>
        <v>2.4434063959755661</v>
      </c>
      <c r="BY93" s="165">
        <f ca="1">IF(BV93="","",INDEX(OFFSET(Arb!$X$2,,,Arb!$AJ$5,),BV93)/BW93)</f>
        <v>3.3057851239669422</v>
      </c>
      <c r="BZ93" s="165">
        <f ca="1">IF(BV93="","",(INDEX(OFFSET(Arb!$U$2,,,Arb!$AJ$5,),BV93)+INDEX(OFFSET(Arb!$V$2,,,Arb!$AJ$5,),BV93))/BW93)</f>
        <v>3.7369744879626303</v>
      </c>
      <c r="CA93" s="51">
        <f t="shared" ca="1" si="44"/>
        <v>36.609608881138939</v>
      </c>
      <c r="CB93" s="91">
        <f ca="1">IF(BV93="","",DATE(INDEX(OFFSET(Arb!$C$2,,,Arb!$AJ$5,),BV93),INDEX(OFFSET(Arb!$B$2,,,Arb!$AJ$5,),BV93),INDEX(OFFSET(Arb!$A$2,,,Arb!$AJ$5,),BV93))+ROW()*0.001)</f>
        <v>43800.093000000001</v>
      </c>
    </row>
    <row r="94" spans="1:80" x14ac:dyDescent="0.25">
      <c r="A94" s="436">
        <v>69</v>
      </c>
      <c r="B94" s="1">
        <v>2314</v>
      </c>
      <c r="C94" s="52">
        <f ca="1">IF(B94="","",INDEX(OFFSET(Arb!$H$2,,,Arb!$AJ$5,),B94))</f>
        <v>22.8</v>
      </c>
      <c r="D94" s="3">
        <f t="shared" ca="1" si="25"/>
        <v>3.0263157894736841</v>
      </c>
      <c r="E94" s="165">
        <f ca="1">IF(B94="","",INDEX(OFFSET(Arb!$X$2,,,Arb!$AJ$5,),B94)/C94)</f>
        <v>3.4210526315789473</v>
      </c>
      <c r="F94" s="165">
        <f ca="1">IF(B94="","",(INDEX(OFFSET(Arb!$U$2,,,Arb!$AJ$5,),B94)+INDEX(OFFSET(Arb!$V$2,,,Arb!$AJ$5,),B94))/C94)</f>
        <v>3.8596491228070176</v>
      </c>
      <c r="G94" s="51">
        <f t="shared" ca="1" si="35"/>
        <v>52.133691539881809</v>
      </c>
      <c r="H94" s="355">
        <f ca="1">IF(B94="","",DATE(INDEX(OFFSET(Arb!$C$2,,,Arb!$AJ$5,),B94),INDEX(OFFSET(Arb!$B$2,,,Arb!$AJ$5,),B94),INDEX(OFFSET(Arb!$A$2,,,Arb!$AJ$5,),B94))+ROW()*0.001)</f>
        <v>43952.093999999997</v>
      </c>
      <c r="I94" s="436">
        <v>69</v>
      </c>
      <c r="J94" s="1">
        <v>2164</v>
      </c>
      <c r="K94" s="52">
        <f ca="1">IF(J94="","",INDEX(OFFSET(Arb!$H$2,,,Arb!$AJ$5,),J94))</f>
        <v>24.63</v>
      </c>
      <c r="L94" s="3">
        <f t="shared" ca="1" si="26"/>
        <v>2.8014616321559074</v>
      </c>
      <c r="M94" s="165">
        <f ca="1">IF(J94="","",INDEX(OFFSET(Arb!$X$2,,,Arb!$AJ$5,),J94)/K94)</f>
        <v>3.4916768168899717</v>
      </c>
      <c r="N94" s="165">
        <f ca="1">IF(J94="","",(INDEX(OFFSET(Arb!$U$2,,,Arb!$AJ$5,),J94)+INDEX(OFFSET(Arb!$V$2,,,Arb!$AJ$5,),J94))/K94)</f>
        <v>3.9382866423061307</v>
      </c>
      <c r="O94" s="51">
        <f t="shared" ca="1" si="36"/>
        <v>45.721262893910065</v>
      </c>
      <c r="P94" s="91">
        <f ca="1">IF(J94="","",DATE(INDEX(OFFSET(Arb!$C$2,,,Arb!$AJ$5,),J94),INDEX(OFFSET(Arb!$B$2,,,Arb!$AJ$5,),J94),INDEX(OFFSET(Arb!$A$2,,,Arb!$AJ$5,),J94))+ROW()*0.001)</f>
        <v>43823.093999999997</v>
      </c>
      <c r="Q94" s="442">
        <v>69</v>
      </c>
      <c r="R94" s="1">
        <v>2185</v>
      </c>
      <c r="S94" s="52">
        <f ca="1">IF(R94="","",INDEX(OFFSET(Arb!$H$2,,,Arb!$AJ$5,),R94))</f>
        <v>25.93</v>
      </c>
      <c r="T94" s="3">
        <f t="shared" ca="1" si="27"/>
        <v>2.6610104126494409</v>
      </c>
      <c r="U94" s="165">
        <f ca="1">IF(R94="","",INDEX(OFFSET(Arb!$X$2,,,Arb!$AJ$5,),R94)/S94)</f>
        <v>3.316621673736984</v>
      </c>
      <c r="V94" s="165">
        <f ca="1">IF(R94="","",(INDEX(OFFSET(Arb!$U$2,,,Arb!$AJ$5,),R94)+INDEX(OFFSET(Arb!$V$2,,,Arb!$AJ$5,),R94))/S94)</f>
        <v>3.8179714616274585</v>
      </c>
      <c r="W94" s="51">
        <f t="shared" ca="1" si="37"/>
        <v>41.893190770836441</v>
      </c>
      <c r="X94" s="88">
        <f ca="1">IF(R94="","",DATE(INDEX(OFFSET(Arb!$C$2,,,Arb!$AJ$5,),R94),INDEX(OFFSET(Arb!$B$2,,,Arb!$AJ$5,),R94),INDEX(OFFSET(Arb!$A$2,,,Arb!$AJ$5,),R94))+ROW()*0.001)</f>
        <v>43840.093999999997</v>
      </c>
      <c r="Y94" s="436">
        <v>69</v>
      </c>
      <c r="Z94" s="1">
        <v>2104</v>
      </c>
      <c r="AA94" s="52">
        <f ca="1">IF(Z94="","",INDEX(OFFSET(Arb!$H$2,,,Arb!$AJ$5,),Z94))</f>
        <v>27.02</v>
      </c>
      <c r="AB94" s="3">
        <f t="shared" ca="1" si="28"/>
        <v>2.5536639526276832</v>
      </c>
      <c r="AC94" s="165">
        <f ca="1">IF(Z94="","",INDEX(OFFSET(Arb!$X$2,,,Arb!$AJ$5,),Z94)/AA94)</f>
        <v>3.1828275351591415</v>
      </c>
      <c r="AD94" s="165">
        <f ca="1">IF(Z94="","",(INDEX(OFFSET(Arb!$U$2,,,Arb!$AJ$5,),Z94)+INDEX(OFFSET(Arb!$V$2,,,Arb!$AJ$5,),Z94))/AA94)</f>
        <v>3.5899333826794968</v>
      </c>
      <c r="AE94" s="51">
        <f t="shared" ca="1" si="38"/>
        <v>39.060934747011736</v>
      </c>
      <c r="AF94" s="91">
        <f ca="1">IF(Z94="","",DATE(INDEX(OFFSET(Arb!$C$2,,,Arb!$AJ$5,),Z94),INDEX(OFFSET(Arb!$B$2,,,Arb!$AJ$5,),Z94),INDEX(OFFSET(Arb!$A$2,,,Arb!$AJ$5,),Z94))+ROW()*0.001)</f>
        <v>43811.093999999997</v>
      </c>
      <c r="AG94" s="442">
        <v>69</v>
      </c>
      <c r="AH94" s="1">
        <v>2326</v>
      </c>
      <c r="AI94" s="52">
        <f ca="1">IF(AH94="","",INDEX(OFFSET(Arb!$H$2,,,Arb!$AJ$5,),AH94))</f>
        <v>27.43</v>
      </c>
      <c r="AJ94" s="3">
        <f t="shared" ca="1" si="29"/>
        <v>2.5154939846882973</v>
      </c>
      <c r="AK94" s="165">
        <f ca="1">IF(AH94="","",INDEX(OFFSET(Arb!$X$2,,,Arb!$AJ$5,),AH94)/AI94)</f>
        <v>3.3539919795843969</v>
      </c>
      <c r="AL94" s="165">
        <f ca="1">IF(AH94="","",(INDEX(OFFSET(Arb!$U$2,,,Arb!$AJ$5,),AH94)+INDEX(OFFSET(Arb!$V$2,,,Arb!$AJ$5,),AH94))/AI94)</f>
        <v>3.7550127597520961</v>
      </c>
      <c r="AM94" s="51">
        <f t="shared" ca="1" si="39"/>
        <v>38.073591415782509</v>
      </c>
      <c r="AN94" s="88">
        <f ca="1">IF(AH94="","",DATE(INDEX(OFFSET(Arb!$C$2,,,Arb!$AJ$5,),AH94),INDEX(OFFSET(Arb!$B$2,,,Arb!$AJ$5,),AH94),INDEX(OFFSET(Arb!$A$2,,,Arb!$AJ$5,),AH94))+ROW()*0.001)</f>
        <v>44003.093999999997</v>
      </c>
      <c r="AO94" s="436">
        <v>69</v>
      </c>
      <c r="AP94" s="1">
        <v>2014</v>
      </c>
      <c r="AQ94" s="52">
        <f ca="1">IF(AP94="","",INDEX(OFFSET(Arb!$H$2,,,Arb!$AJ$5,),AP94))</f>
        <v>27.8</v>
      </c>
      <c r="AR94" s="3">
        <f t="shared" ca="1" si="30"/>
        <v>2.4820143884892087</v>
      </c>
      <c r="AS94" s="165">
        <f ca="1">IF(AP94="","",INDEX(OFFSET(Arb!$X$2,,,Arb!$AJ$5,),AP94)/AQ94)</f>
        <v>3.2014388489208634</v>
      </c>
      <c r="AT94" s="165">
        <f ca="1">IF(AP94="","",(INDEX(OFFSET(Arb!$U$2,,,Arb!$AJ$5,),AP94)+INDEX(OFFSET(Arb!$V$2,,,Arb!$AJ$5,),AP94))/AQ94)</f>
        <v>3.7410071942446042</v>
      </c>
      <c r="AU94" s="51">
        <f t="shared" ca="1" si="40"/>
        <v>37.216160401354358</v>
      </c>
      <c r="AV94" s="91">
        <f ca="1">IF(AP94="","",DATE(INDEX(OFFSET(Arb!$C$2,,,Arb!$AJ$5,),AP94),INDEX(OFFSET(Arb!$B$2,,,Arb!$AJ$5,),AP94),INDEX(OFFSET(Arb!$A$2,,,Arb!$AJ$5,),AP94))+ROW()*0.001)</f>
        <v>43788.093999999997</v>
      </c>
      <c r="AW94" s="442">
        <v>69</v>
      </c>
      <c r="AX94" s="1">
        <v>2209</v>
      </c>
      <c r="AY94" s="52">
        <f ca="1">IF(AX94="","",INDEX(OFFSET(Arb!$H$2,,,Arb!$AJ$5,),AX94))</f>
        <v>28.36</v>
      </c>
      <c r="AZ94" s="3">
        <f t="shared" ca="1" si="31"/>
        <v>2.4330042313117066</v>
      </c>
      <c r="BA94" s="165">
        <f ca="1">IF(AX94="","",INDEX(OFFSET(Arb!$X$2,,,Arb!$AJ$5,),AX94)/AY94)</f>
        <v>3.0677009873060648</v>
      </c>
      <c r="BB94" s="165">
        <f ca="1">IF(AX94="","",(INDEX(OFFSET(Arb!$U$2,,,Arb!$AJ$5,),AX94)+INDEX(OFFSET(Arb!$V$2,,,Arb!$AJ$5,),AX94))/AY94)</f>
        <v>3.4908321579689705</v>
      </c>
      <c r="BC94" s="51">
        <f t="shared" ca="1" si="41"/>
        <v>35.975524372531368</v>
      </c>
      <c r="BD94" s="88">
        <f ca="1">IF(AX94="","",DATE(INDEX(OFFSET(Arb!$C$2,,,Arb!$AJ$5,),AX94),INDEX(OFFSET(Arb!$B$2,,,Arb!$AJ$5,),AX94),INDEX(OFFSET(Arb!$A$2,,,Arb!$AJ$5,),AX94))+ROW()*0.001)</f>
        <v>43869.093999999997</v>
      </c>
      <c r="BE94" s="436">
        <v>69</v>
      </c>
      <c r="BF94" s="1">
        <v>1955</v>
      </c>
      <c r="BG94" s="52">
        <f ca="1">IF(BF94="","",INDEX(OFFSET(Arb!$H$2,,,Arb!$AJ$5,),BF94))</f>
        <v>30.8</v>
      </c>
      <c r="BH94" s="3">
        <f t="shared" ca="1" si="32"/>
        <v>2.2402597402597402</v>
      </c>
      <c r="BI94" s="165">
        <f ca="1">IF(BF94="","",INDEX(OFFSET(Arb!$X$2,,,Arb!$AJ$5,),BF94)/BG94)</f>
        <v>3.051948051948052</v>
      </c>
      <c r="BJ94" s="165">
        <f ca="1">IF(BF94="","",(INDEX(OFFSET(Arb!$U$2,,,Arb!$AJ$5,),BF94)+INDEX(OFFSET(Arb!$V$2,,,Arb!$AJ$5,),BF94))/BG94)</f>
        <v>3.6363636363636362</v>
      </c>
      <c r="BK94" s="51">
        <f t="shared" ca="1" si="42"/>
        <v>31.265940701005512</v>
      </c>
      <c r="BL94" s="91">
        <f ca="1">IF(BF94="","",DATE(INDEX(OFFSET(Arb!$C$2,,,Arb!$AJ$5,),BF94),INDEX(OFFSET(Arb!$B$2,,,Arb!$AJ$5,),BF94),INDEX(OFFSET(Arb!$A$2,,,Arb!$AJ$5,),BF94))+ROW()*0.001)</f>
        <v>43778.093999999997</v>
      </c>
      <c r="BM94" s="442">
        <v>69</v>
      </c>
      <c r="BO94" s="52" t="str">
        <f ca="1">IF(BN94="","",INDEX(OFFSET(Arb!$H$2,,,Arb!$AJ$5,),BN94))</f>
        <v/>
      </c>
      <c r="BP94" s="3" t="str">
        <f t="shared" ca="1" si="33"/>
        <v/>
      </c>
      <c r="BQ94" s="165" t="str">
        <f ca="1">IF(BN94="","",INDEX(OFFSET(Arb!$X$2,,,Arb!$AJ$5,),BN94)/BO94)</f>
        <v/>
      </c>
      <c r="BR94" s="165" t="str">
        <f ca="1">IF(BN94="","",(INDEX(OFFSET(Arb!$U$2,,,Arb!$AJ$5,),BN94)+INDEX(OFFSET(Arb!$V$2,,,Arb!$AJ$5,),BN94))/BO94)</f>
        <v/>
      </c>
      <c r="BS94" s="51" t="str">
        <f t="shared" ca="1" si="43"/>
        <v/>
      </c>
      <c r="BT94" s="88" t="str">
        <f ca="1">IF(BN94="","",DATE(INDEX(OFFSET(Arb!$C$2,,,Arb!$AJ$5,),BN94),INDEX(OFFSET(Arb!$B$2,,,Arb!$AJ$5,),BN94),INDEX(OFFSET(Arb!$A$2,,,Arb!$AJ$5,),BN94))+ROW()*0.001)</f>
        <v/>
      </c>
      <c r="BU94" s="436">
        <v>69</v>
      </c>
      <c r="BW94" s="52" t="str">
        <f ca="1">IF(BV94="","",INDEX(OFFSET(Arb!$H$2,,,Arb!$AJ$5,),BV94))</f>
        <v/>
      </c>
      <c r="BX94" s="3" t="str">
        <f t="shared" ca="1" si="34"/>
        <v/>
      </c>
      <c r="BY94" s="165" t="str">
        <f ca="1">IF(BV94="","",INDEX(OFFSET(Arb!$X$2,,,Arb!$AJ$5,),BV94)/BW94)</f>
        <v/>
      </c>
      <c r="BZ94" s="165" t="str">
        <f ca="1">IF(BV94="","",(INDEX(OFFSET(Arb!$U$2,,,Arb!$AJ$5,),BV94)+INDEX(OFFSET(Arb!$V$2,,,Arb!$AJ$5,),BV94))/BW94)</f>
        <v/>
      </c>
      <c r="CA94" s="51" t="str">
        <f t="shared" ca="1" si="44"/>
        <v/>
      </c>
      <c r="CB94" s="91" t="str">
        <f ca="1">IF(BV94="","",DATE(INDEX(OFFSET(Arb!$C$2,,,Arb!$AJ$5,),BV94),INDEX(OFFSET(Arb!$B$2,,,Arb!$AJ$5,),BV94),INDEX(OFFSET(Arb!$A$2,,,Arb!$AJ$5,),BV94))+ROW()*0.001)</f>
        <v/>
      </c>
    </row>
    <row r="95" spans="1:80" x14ac:dyDescent="0.25">
      <c r="A95" s="436">
        <v>70</v>
      </c>
      <c r="B95" s="1">
        <v>2244</v>
      </c>
      <c r="C95" s="52">
        <f ca="1">IF(B95="","",INDEX(OFFSET(Arb!$H$2,,,Arb!$AJ$5,),B95))</f>
        <v>25.19</v>
      </c>
      <c r="D95" s="3">
        <f t="shared" ca="1" si="25"/>
        <v>2.7788805081381498</v>
      </c>
      <c r="E95" s="165">
        <f ca="1">IF(B95="","",INDEX(OFFSET(Arb!$X$2,,,Arb!$AJ$5,),B95)/C95)</f>
        <v>3.2552600238189755</v>
      </c>
      <c r="F95" s="165">
        <f ca="1">IF(B95="","",(INDEX(OFFSET(Arb!$U$2,,,Arb!$AJ$5,),B95)+INDEX(OFFSET(Arb!$V$2,,,Arb!$AJ$5,),B95))/C95)</f>
        <v>3.6125446605795948</v>
      </c>
      <c r="G95" s="51">
        <f t="shared" ca="1" si="35"/>
        <v>44.644584195594881</v>
      </c>
      <c r="H95" s="355">
        <f ca="1">IF(B95="","",DATE(INDEX(OFFSET(Arb!$C$2,,,Arb!$AJ$5,),B95),INDEX(OFFSET(Arb!$B$2,,,Arb!$AJ$5,),B95),INDEX(OFFSET(Arb!$A$2,,,Arb!$AJ$5,),B95))+ROW()*0.001)</f>
        <v>43892.095000000001</v>
      </c>
      <c r="I95" s="436">
        <v>70</v>
      </c>
      <c r="J95" s="1">
        <v>1990</v>
      </c>
      <c r="K95" s="52">
        <f ca="1">IF(J95="","",INDEX(OFFSET(Arb!$H$2,,,Arb!$AJ$5,),J95))</f>
        <v>26.91</v>
      </c>
      <c r="L95" s="3">
        <f t="shared" ca="1" si="26"/>
        <v>2.6012634708286884</v>
      </c>
      <c r="M95" s="165">
        <f ca="1">IF(J95="","",INDEX(OFFSET(Arb!$X$2,,,Arb!$AJ$5,),J95)/K95)</f>
        <v>2.7127461910070605</v>
      </c>
      <c r="N95" s="165">
        <f ca="1">IF(J95="","",(INDEX(OFFSET(Arb!$U$2,,,Arb!$AJ$5,),J95)+INDEX(OFFSET(Arb!$V$2,,,Arb!$AJ$5,),J95))/K95)</f>
        <v>3.0471943515421778</v>
      </c>
      <c r="O95" s="51">
        <f t="shared" ca="1" si="36"/>
        <v>39.90280087968312</v>
      </c>
      <c r="P95" s="91">
        <f ca="1">IF(J95="","",DATE(INDEX(OFFSET(Arb!$C$2,,,Arb!$AJ$5,),J95),INDEX(OFFSET(Arb!$B$2,,,Arb!$AJ$5,),J95),INDEX(OFFSET(Arb!$A$2,,,Arb!$AJ$5,),J95))+ROW()*0.001)</f>
        <v>43784.095000000001</v>
      </c>
      <c r="Q95" s="442">
        <v>70</v>
      </c>
      <c r="R95" s="1">
        <v>2328</v>
      </c>
      <c r="S95" s="52">
        <f ca="1">IF(R95="","",INDEX(OFFSET(Arb!$H$2,,,Arb!$AJ$5,),R95))</f>
        <v>27.1</v>
      </c>
      <c r="T95" s="3">
        <f t="shared" ca="1" si="27"/>
        <v>2.5830258302583022</v>
      </c>
      <c r="U95" s="165">
        <f ca="1">IF(R95="","",INDEX(OFFSET(Arb!$X$2,,,Arb!$AJ$5,),R95)/S95)</f>
        <v>3.4317343173431731</v>
      </c>
      <c r="V95" s="165">
        <f ca="1">IF(R95="","",(INDEX(OFFSET(Arb!$U$2,,,Arb!$AJ$5,),R95)+INDEX(OFFSET(Arb!$V$2,,,Arb!$AJ$5,),R95))/S95)</f>
        <v>4.1328413284132841</v>
      </c>
      <c r="W95" s="51">
        <f t="shared" ca="1" si="37"/>
        <v>39.428374479659183</v>
      </c>
      <c r="X95" s="88">
        <f ca="1">IF(R95="","",DATE(INDEX(OFFSET(Arb!$C$2,,,Arb!$AJ$5,),R95),INDEX(OFFSET(Arb!$B$2,,,Arb!$AJ$5,),R95),INDEX(OFFSET(Arb!$A$2,,,Arb!$AJ$5,),R95))+ROW()*0.001)</f>
        <v>44090.095000000001</v>
      </c>
      <c r="Y95" s="436">
        <v>70</v>
      </c>
      <c r="Z95" s="1">
        <v>2084</v>
      </c>
      <c r="AA95" s="52">
        <f ca="1">IF(Z95="","",INDEX(OFFSET(Arb!$H$2,,,Arb!$AJ$5,),Z95))</f>
        <v>27.37</v>
      </c>
      <c r="AB95" s="3">
        <f t="shared" ca="1" si="28"/>
        <v>2.5575447570332481</v>
      </c>
      <c r="AC95" s="165">
        <f ca="1">IF(Z95="","",INDEX(OFFSET(Arb!$X$2,,,Arb!$AJ$5,),Z95)/AA95)</f>
        <v>3.3978808914870293</v>
      </c>
      <c r="AD95" s="165">
        <f ca="1">IF(Z95="","",(INDEX(OFFSET(Arb!$U$2,,,Arb!$AJ$5,),Z95)+INDEX(OFFSET(Arb!$V$2,,,Arb!$AJ$5,),Z95))/AA95)</f>
        <v>3.8728534892217756</v>
      </c>
      <c r="AE95" s="51">
        <f t="shared" ca="1" si="38"/>
        <v>38.769438540865714</v>
      </c>
      <c r="AF95" s="91">
        <f ca="1">IF(Z95="","",DATE(INDEX(OFFSET(Arb!$C$2,,,Arb!$AJ$5,),Z95),INDEX(OFFSET(Arb!$B$2,,,Arb!$AJ$5,),Z95),INDEX(OFFSET(Arb!$A$2,,,Arb!$AJ$5,),Z95))+ROW()*0.001)</f>
        <v>43809.095000000001</v>
      </c>
      <c r="AG95" s="442">
        <v>70</v>
      </c>
      <c r="AH95" s="1">
        <v>2378</v>
      </c>
      <c r="AI95" s="52">
        <f ca="1">IF(AH95="","",INDEX(OFFSET(Arb!$H$2,,,Arb!$AJ$5,),AH95))</f>
        <v>27.45</v>
      </c>
      <c r="AJ95" s="3">
        <f t="shared" ca="1" si="29"/>
        <v>2.5500910746812386</v>
      </c>
      <c r="AK95" s="165">
        <f ca="1">IF(AH95="","",INDEX(OFFSET(Arb!$X$2,,,Arb!$AJ$5,),AH95)/AI95)</f>
        <v>3.1693989071038251</v>
      </c>
      <c r="AL95" s="165">
        <f ca="1">IF(AH95="","",(INDEX(OFFSET(Arb!$U$2,,,Arb!$AJ$5,),AH95)+INDEX(OFFSET(Arb!$V$2,,,Arb!$AJ$5,),AH95))/AI95)</f>
        <v>3.7522768670309654</v>
      </c>
      <c r="AM95" s="51">
        <f t="shared" ca="1" si="39"/>
        <v>38.577552792813563</v>
      </c>
      <c r="AN95" s="88">
        <f ca="1">IF(AH95="","",DATE(INDEX(OFFSET(Arb!$C$2,,,Arb!$AJ$5,),AH95),INDEX(OFFSET(Arb!$B$2,,,Arb!$AJ$5,),AH95),INDEX(OFFSET(Arb!$A$2,,,Arb!$AJ$5,),AH95))+ROW()*0.001)</f>
        <v>44114.095000000001</v>
      </c>
      <c r="AO95" s="436">
        <v>70</v>
      </c>
      <c r="AP95" s="1">
        <v>2160</v>
      </c>
      <c r="AQ95" s="52">
        <f ca="1">IF(AP95="","",INDEX(OFFSET(Arb!$H$2,,,Arb!$AJ$5,),AP95))</f>
        <v>27.71</v>
      </c>
      <c r="AR95" s="3">
        <f t="shared" ca="1" si="30"/>
        <v>2.5261638397690365</v>
      </c>
      <c r="AS95" s="165">
        <f ca="1">IF(AP95="","",INDEX(OFFSET(Arb!$X$2,,,Arb!$AJ$5,),AP95)/AQ95)</f>
        <v>3.1396607722843739</v>
      </c>
      <c r="AT95" s="165">
        <f ca="1">IF(AP95="","",(INDEX(OFFSET(Arb!$U$2,,,Arb!$AJ$5,),AP95)+INDEX(OFFSET(Arb!$V$2,,,Arb!$AJ$5,),AP95))/AQ95)</f>
        <v>3.2118368819920606</v>
      </c>
      <c r="AU95" s="51">
        <f t="shared" ca="1" si="40"/>
        <v>37.964228035942504</v>
      </c>
      <c r="AV95" s="91">
        <f ca="1">IF(AP95="","",DATE(INDEX(OFFSET(Arb!$C$2,,,Arb!$AJ$5,),AP95),INDEX(OFFSET(Arb!$B$2,,,Arb!$AJ$5,),AP95),INDEX(OFFSET(Arb!$A$2,,,Arb!$AJ$5,),AP95))+ROW()*0.001)</f>
        <v>43823.095000000001</v>
      </c>
      <c r="AW95" s="442">
        <v>70</v>
      </c>
      <c r="AX95" s="1">
        <v>1950</v>
      </c>
      <c r="AY95" s="52">
        <f ca="1">IF(AX95="","",INDEX(OFFSET(Arb!$H$2,,,Arb!$AJ$5,),AX95))</f>
        <v>28.48</v>
      </c>
      <c r="AZ95" s="3">
        <f t="shared" ca="1" si="31"/>
        <v>2.457865168539326</v>
      </c>
      <c r="BA95" s="165">
        <f ca="1">IF(AX95="","",INDEX(OFFSET(Arb!$X$2,,,Arb!$AJ$5,),AX95)/AY95)</f>
        <v>3.2303370786516852</v>
      </c>
      <c r="BB95" s="165">
        <f ca="1">IF(AX95="","",(INDEX(OFFSET(Arb!$U$2,,,Arb!$AJ$5,),AX95)+INDEX(OFFSET(Arb!$V$2,,,Arb!$AJ$5,),AX95))/AY95)</f>
        <v>3.6516853932584268</v>
      </c>
      <c r="BC95" s="51">
        <f t="shared" ca="1" si="41"/>
        <v>36.235869987001969</v>
      </c>
      <c r="BD95" s="88">
        <f ca="1">IF(AX95="","",DATE(INDEX(OFFSET(Arb!$C$2,,,Arb!$AJ$5,),AX95),INDEX(OFFSET(Arb!$B$2,,,Arb!$AJ$5,),AX95),INDEX(OFFSET(Arb!$A$2,,,Arb!$AJ$5,),AX95))+ROW()*0.001)</f>
        <v>43776.095000000001</v>
      </c>
      <c r="BE95" s="436">
        <v>70</v>
      </c>
      <c r="BF95" s="1">
        <v>2126</v>
      </c>
      <c r="BG95" s="52">
        <f ca="1">IF(BF95="","",INDEX(OFFSET(Arb!$H$2,,,Arb!$AJ$5,),BF95))</f>
        <v>28.77</v>
      </c>
      <c r="BH95" s="3">
        <f t="shared" ca="1" si="32"/>
        <v>2.4330900243309004</v>
      </c>
      <c r="BI95" s="165">
        <f ca="1">IF(BF95="","",INDEX(OFFSET(Arb!$X$2,,,Arb!$AJ$5,),BF95)/BG95)</f>
        <v>3.4063260340632602</v>
      </c>
      <c r="BJ95" s="165">
        <f ca="1">IF(BF95="","",(INDEX(OFFSET(Arb!$U$2,,,Arb!$AJ$5,),BF95)+INDEX(OFFSET(Arb!$V$2,,,Arb!$AJ$5,),BF95))/BG95)</f>
        <v>3.9624608967674662</v>
      </c>
      <c r="BK95" s="51">
        <f t="shared" ca="1" si="42"/>
        <v>35.617128404801036</v>
      </c>
      <c r="BL95" s="91">
        <f ca="1">IF(BF95="","",DATE(INDEX(OFFSET(Arb!$C$2,,,Arb!$AJ$5,),BF95),INDEX(OFFSET(Arb!$B$2,,,Arb!$AJ$5,),BF95),INDEX(OFFSET(Arb!$A$2,,,Arb!$AJ$5,),BF95))+ROW()*0.001)</f>
        <v>43811.095000000001</v>
      </c>
      <c r="BM95" s="442">
        <v>70</v>
      </c>
      <c r="BN95" s="1">
        <v>1925</v>
      </c>
      <c r="BO95" s="52">
        <f ca="1">IF(BN95="","",INDEX(OFFSET(Arb!$H$2,,,Arb!$AJ$5,),BN95))</f>
        <v>28.89</v>
      </c>
      <c r="BP95" s="3">
        <f t="shared" ca="1" si="33"/>
        <v>2.4229837313949463</v>
      </c>
      <c r="BQ95" s="165">
        <f ca="1">IF(BN95="","",INDEX(OFFSET(Arb!$X$2,,,Arb!$AJ$5,),BN95)/BO95)</f>
        <v>3.1152647975077881</v>
      </c>
      <c r="BR95" s="165">
        <f ca="1">IF(BN95="","",(INDEX(OFFSET(Arb!$U$2,,,Arb!$AJ$5,),BN95)+INDEX(OFFSET(Arb!$V$2,,,Arb!$AJ$5,),BN95))/BO95)</f>
        <v>3.5306334371754931</v>
      </c>
      <c r="BS95" s="51">
        <f t="shared" ca="1" si="43"/>
        <v>35.365992139137703</v>
      </c>
      <c r="BT95" s="88">
        <f ca="1">IF(BN95="","",DATE(INDEX(OFFSET(Arb!$C$2,,,Arb!$AJ$5,),BN95),INDEX(OFFSET(Arb!$B$2,,,Arb!$AJ$5,),BN95),INDEX(OFFSET(Arb!$A$2,,,Arb!$AJ$5,),BN95))+ROW()*0.001)</f>
        <v>43771.095000000001</v>
      </c>
      <c r="BU95" s="436">
        <v>70</v>
      </c>
      <c r="BV95" s="1">
        <v>1914</v>
      </c>
      <c r="BW95" s="52">
        <f ca="1">IF(BV95="","",INDEX(OFFSET(Arb!$H$2,,,Arb!$AJ$5,),BV95))</f>
        <v>28.89</v>
      </c>
      <c r="BX95" s="3">
        <f t="shared" ca="1" si="34"/>
        <v>2.4229837313949463</v>
      </c>
      <c r="BY95" s="165">
        <f ca="1">IF(BV95="","",INDEX(OFFSET(Arb!$X$2,,,Arb!$AJ$5,),BV95)/BW95)</f>
        <v>3.0114226375908619</v>
      </c>
      <c r="BZ95" s="165">
        <f ca="1">IF(BV95="","",(INDEX(OFFSET(Arb!$U$2,,,Arb!$AJ$5,),BV95)+INDEX(OFFSET(Arb!$V$2,,,Arb!$AJ$5,),BV95))/BW95)</f>
        <v>3.4267912772585669</v>
      </c>
      <c r="CA95" s="51">
        <f t="shared" ca="1" si="44"/>
        <v>35.365992139137703</v>
      </c>
      <c r="CB95" s="91">
        <f ca="1">IF(BV95="","",DATE(INDEX(OFFSET(Arb!$C$2,,,Arb!$AJ$5,),BV95),INDEX(OFFSET(Arb!$B$2,,,Arb!$AJ$5,),BV95),INDEX(OFFSET(Arb!$A$2,,,Arb!$AJ$5,),BV95))+ROW()*0.001)</f>
        <v>43769.095000000001</v>
      </c>
    </row>
    <row r="96" spans="1:80" x14ac:dyDescent="0.25">
      <c r="A96" s="436">
        <v>71</v>
      </c>
      <c r="B96" s="1">
        <v>2139</v>
      </c>
      <c r="C96" s="52">
        <f ca="1">IF(B96="","",INDEX(OFFSET(Arb!$H$2,,,Arb!$AJ$5,),B96))</f>
        <v>22.85</v>
      </c>
      <c r="D96" s="3">
        <f t="shared" ca="1" si="25"/>
        <v>3.1072210065645511</v>
      </c>
      <c r="E96" s="165">
        <f ca="1">IF(B96="","",INDEX(OFFSET(Arb!$X$2,,,Arb!$AJ$5,),B96)/C96)</f>
        <v>3.7636761487964985</v>
      </c>
      <c r="F96" s="165">
        <f ca="1">IF(B96="","",(INDEX(OFFSET(Arb!$U$2,,,Arb!$AJ$5,),B96)+INDEX(OFFSET(Arb!$V$2,,,Arb!$AJ$5,),B96))/C96)</f>
        <v>4.288840262582057</v>
      </c>
      <c r="G96" s="51">
        <f t="shared" ca="1" si="35"/>
        <v>53.445411889458235</v>
      </c>
      <c r="H96" s="355">
        <f ca="1">IF(B96="","",DATE(INDEX(OFFSET(Arb!$C$2,,,Arb!$AJ$5,),B96),INDEX(OFFSET(Arb!$B$2,,,Arb!$AJ$5,),B96),INDEX(OFFSET(Arb!$A$2,,,Arb!$AJ$5,),B96))+ROW()*0.001)</f>
        <v>43817.095999999998</v>
      </c>
      <c r="I96" s="436">
        <v>71</v>
      </c>
      <c r="J96" s="1">
        <v>2349</v>
      </c>
      <c r="K96" s="52">
        <f ca="1">IF(J96="","",INDEX(OFFSET(Arb!$H$2,,,Arb!$AJ$5,),J96))</f>
        <v>24.56</v>
      </c>
      <c r="L96" s="3">
        <f t="shared" ca="1" si="26"/>
        <v>2.8908794788273617</v>
      </c>
      <c r="M96" s="165">
        <f ca="1">IF(J96="","",INDEX(OFFSET(Arb!$X$2,,,Arb!$AJ$5,),J96)/K96)</f>
        <v>3.4609120521172638</v>
      </c>
      <c r="N96" s="165">
        <f ca="1">IF(J96="","",(INDEX(OFFSET(Arb!$U$2,,,Arb!$AJ$5,),J96)+INDEX(OFFSET(Arb!$V$2,,,Arb!$AJ$5,),J96))/K96)</f>
        <v>3.7866449511400653</v>
      </c>
      <c r="O96" s="51">
        <f t="shared" ca="1" si="36"/>
        <v>47.274697622838772</v>
      </c>
      <c r="P96" s="91">
        <f ca="1">IF(J96="","",DATE(INDEX(OFFSET(Arb!$C$2,,,Arb!$AJ$5,),J96),INDEX(OFFSET(Arb!$B$2,,,Arb!$AJ$5,),J96),INDEX(OFFSET(Arb!$A$2,,,Arb!$AJ$5,),J96))+ROW()*0.001)</f>
        <v>44106.095999999998</v>
      </c>
      <c r="Q96" s="442">
        <v>71</v>
      </c>
      <c r="R96" s="1">
        <v>1949</v>
      </c>
      <c r="S96" s="52">
        <f ca="1">IF(R96="","",INDEX(OFFSET(Arb!$H$2,,,Arb!$AJ$5,),R96))</f>
        <v>25.4</v>
      </c>
      <c r="T96" s="3">
        <f t="shared" ca="1" si="27"/>
        <v>2.7952755905511815</v>
      </c>
      <c r="U96" s="165">
        <f ca="1">IF(R96="","",INDEX(OFFSET(Arb!$X$2,,,Arb!$AJ$5,),R96)/S96)</f>
        <v>3.2283464566929134</v>
      </c>
      <c r="V96" s="165">
        <f ca="1">IF(R96="","",(INDEX(OFFSET(Arb!$U$2,,,Arb!$AJ$5,),R96)+INDEX(OFFSET(Arb!$V$2,,,Arb!$AJ$5,),R96))/S96)</f>
        <v>3.8976377952755907</v>
      </c>
      <c r="W96" s="51">
        <f t="shared" ca="1" si="37"/>
        <v>44.64775821557464</v>
      </c>
      <c r="X96" s="88">
        <f ca="1">IF(R96="","",DATE(INDEX(OFFSET(Arb!$C$2,,,Arb!$AJ$5,),R96),INDEX(OFFSET(Arb!$B$2,,,Arb!$AJ$5,),R96),INDEX(OFFSET(Arb!$A$2,,,Arb!$AJ$5,),R96))+ROW()*0.001)</f>
        <v>43776.095999999998</v>
      </c>
      <c r="Y96" s="436">
        <v>71</v>
      </c>
      <c r="Z96" s="1">
        <v>2177</v>
      </c>
      <c r="AA96" s="52">
        <f ca="1">IF(Z96="","",INDEX(OFFSET(Arb!$H$2,,,Arb!$AJ$5,),Z96))</f>
        <v>25.49</v>
      </c>
      <c r="AB96" s="3">
        <f t="shared" ca="1" si="28"/>
        <v>2.7854060415849355</v>
      </c>
      <c r="AC96" s="165">
        <f ca="1">IF(Z96="","",INDEX(OFFSET(Arb!$X$2,,,Arb!$AJ$5,),Z96)/AA96)</f>
        <v>3.1777167516673206</v>
      </c>
      <c r="AD96" s="165">
        <f ca="1">IF(Z96="","",(INDEX(OFFSET(Arb!$U$2,,,Arb!$AJ$5,),Z96)+INDEX(OFFSET(Arb!$V$2,,,Arb!$AJ$5,),Z96))/AA96)</f>
        <v>3.4523342487249904</v>
      </c>
      <c r="AE96" s="51">
        <f t="shared" ca="1" si="38"/>
        <v>44.380097866960895</v>
      </c>
      <c r="AF96" s="91">
        <f ca="1">IF(Z96="","",DATE(INDEX(OFFSET(Arb!$C$2,,,Arb!$AJ$5,),Z96),INDEX(OFFSET(Arb!$B$2,,,Arb!$AJ$5,),Z96),INDEX(OFFSET(Arb!$A$2,,,Arb!$AJ$5,),Z96))+ROW()*0.001)</f>
        <v>43840.095999999998</v>
      </c>
      <c r="AG96" s="442">
        <v>71</v>
      </c>
      <c r="AH96" s="1">
        <v>1915</v>
      </c>
      <c r="AI96" s="52">
        <f ca="1">IF(AH96="","",INDEX(OFFSET(Arb!$H$2,,,Arb!$AJ$5,),AH96))</f>
        <v>26.57</v>
      </c>
      <c r="AJ96" s="3">
        <f t="shared" ca="1" si="29"/>
        <v>2.6721866767030487</v>
      </c>
      <c r="AK96" s="165">
        <f ca="1">IF(AH96="","",INDEX(OFFSET(Arb!$X$2,,,Arb!$AJ$5,),AH96)/AI96)</f>
        <v>3.08618742943169</v>
      </c>
      <c r="AL96" s="165">
        <f ca="1">IF(AH96="","",(INDEX(OFFSET(Arb!$U$2,,,Arb!$AJ$5,),AH96)+INDEX(OFFSET(Arb!$V$2,,,Arb!$AJ$5,),AH96))/AI96)</f>
        <v>3.387278885961611</v>
      </c>
      <c r="AM96" s="51">
        <f t="shared" ca="1" si="39"/>
        <v>41.357219549740854</v>
      </c>
      <c r="AN96" s="88">
        <f ca="1">IF(AH96="","",DATE(INDEX(OFFSET(Arb!$C$2,,,Arb!$AJ$5,),AH96),INDEX(OFFSET(Arb!$B$2,,,Arb!$AJ$5,),AH96),INDEX(OFFSET(Arb!$A$2,,,Arb!$AJ$5,),AH96))+ROW()*0.001)</f>
        <v>43769.095999999998</v>
      </c>
      <c r="AO96" s="436">
        <v>71</v>
      </c>
      <c r="AP96" s="1">
        <v>2211</v>
      </c>
      <c r="AQ96" s="52">
        <f ca="1">IF(AP96="","",INDEX(OFFSET(Arb!$H$2,,,Arb!$AJ$5,),AP96))</f>
        <v>26.88</v>
      </c>
      <c r="AR96" s="3">
        <f t="shared" ca="1" si="30"/>
        <v>2.6413690476190479</v>
      </c>
      <c r="AS96" s="165">
        <f ca="1">IF(AP96="","",INDEX(OFFSET(Arb!$X$2,,,Arb!$AJ$5,),AP96)/AQ96)</f>
        <v>3.125</v>
      </c>
      <c r="AT96" s="165">
        <f ca="1">IF(AP96="","",(INDEX(OFFSET(Arb!$U$2,,,Arb!$AJ$5,),AP96)+INDEX(OFFSET(Arb!$V$2,,,Arb!$AJ$5,),AP96))/AQ96)</f>
        <v>3.4970238095238098</v>
      </c>
      <c r="AU96" s="51">
        <f t="shared" ca="1" si="40"/>
        <v>40.549660873292723</v>
      </c>
      <c r="AV96" s="91">
        <f ca="1">IF(AP96="","",DATE(INDEX(OFFSET(Arb!$C$2,,,Arb!$AJ$5,),AP96),INDEX(OFFSET(Arb!$B$2,,,Arb!$AJ$5,),AP96),INDEX(OFFSET(Arb!$A$2,,,Arb!$AJ$5,),AP96))+ROW()*0.001)</f>
        <v>43869.095999999998</v>
      </c>
      <c r="AW96" s="442">
        <v>71</v>
      </c>
      <c r="AX96" s="1">
        <v>1921</v>
      </c>
      <c r="AY96" s="52">
        <f ca="1">IF(AX96="","",INDEX(OFFSET(Arb!$H$2,,,Arb!$AJ$5,),AX96))</f>
        <v>27.8</v>
      </c>
      <c r="AZ96" s="3">
        <f t="shared" ca="1" si="31"/>
        <v>2.5539568345323742</v>
      </c>
      <c r="BA96" s="165">
        <f ca="1">IF(AX96="","",INDEX(OFFSET(Arb!$X$2,,,Arb!$AJ$5,),AX96)/AY96)</f>
        <v>3.0575539568345325</v>
      </c>
      <c r="BB96" s="165">
        <f ca="1">IF(AX96="","",(INDEX(OFFSET(Arb!$U$2,,,Arb!$AJ$5,),AX96)+INDEX(OFFSET(Arb!$V$2,,,Arb!$AJ$5,),AX96))/AY96)</f>
        <v>3.4172661870503598</v>
      </c>
      <c r="BC96" s="51">
        <f t="shared" ca="1" si="41"/>
        <v>38.294889688350132</v>
      </c>
      <c r="BD96" s="88">
        <f ca="1">IF(AX96="","",DATE(INDEX(OFFSET(Arb!$C$2,,,Arb!$AJ$5,),AX96),INDEX(OFFSET(Arb!$B$2,,,Arb!$AJ$5,),AX96),INDEX(OFFSET(Arb!$A$2,,,Arb!$AJ$5,),AX96))+ROW()*0.001)</f>
        <v>43769.095999999998</v>
      </c>
      <c r="BE96" s="436">
        <v>71</v>
      </c>
      <c r="BF96" s="1">
        <v>2009</v>
      </c>
      <c r="BG96" s="52">
        <f ca="1">IF(BF96="","",INDEX(OFFSET(Arb!$H$2,,,Arb!$AJ$5,),BF96))</f>
        <v>27.97</v>
      </c>
      <c r="BH96" s="3">
        <f t="shared" ca="1" si="32"/>
        <v>2.5384340364676441</v>
      </c>
      <c r="BI96" s="165">
        <f ca="1">IF(BF96="","",INDEX(OFFSET(Arb!$X$2,,,Arb!$AJ$5,),BF96)/BG96)</f>
        <v>3.0747229174115125</v>
      </c>
      <c r="BJ96" s="165">
        <f ca="1">IF(BF96="","",(INDEX(OFFSET(Arb!$U$2,,,Arb!$AJ$5,),BF96)+INDEX(OFFSET(Arb!$V$2,,,Arb!$AJ$5,),BF96))/BG96)</f>
        <v>3.6825169824812298</v>
      </c>
      <c r="BK96" s="51">
        <f t="shared" ca="1" si="42"/>
        <v>37.900050013398527</v>
      </c>
      <c r="BL96" s="91">
        <f ca="1">IF(BF96="","",DATE(INDEX(OFFSET(Arb!$C$2,,,Arb!$AJ$5,),BF96),INDEX(OFFSET(Arb!$B$2,,,Arb!$AJ$5,),BF96),INDEX(OFFSET(Arb!$A$2,,,Arb!$AJ$5,),BF96))+ROW()*0.001)</f>
        <v>43786.095999999998</v>
      </c>
      <c r="BM96" s="442">
        <v>71</v>
      </c>
      <c r="BN96" s="1">
        <v>2135</v>
      </c>
      <c r="BO96" s="52">
        <f ca="1">IF(BN96="","",INDEX(OFFSET(Arb!$H$2,,,Arb!$AJ$5,),BN96))</f>
        <v>28.54</v>
      </c>
      <c r="BP96" s="3">
        <f t="shared" ca="1" si="33"/>
        <v>2.4877365101611773</v>
      </c>
      <c r="BQ96" s="165">
        <f ca="1">IF(BN96="","",INDEX(OFFSET(Arb!$X$2,,,Arb!$AJ$5,),BN96)/BO96)</f>
        <v>3.3987386124737213</v>
      </c>
      <c r="BR96" s="165">
        <f ca="1">IF(BN96="","",(INDEX(OFFSET(Arb!$U$2,,,Arb!$AJ$5,),BN96)+INDEX(OFFSET(Arb!$V$2,,,Arb!$AJ$5,),BN96))/BO96)</f>
        <v>4.0294323756131742</v>
      </c>
      <c r="BS96" s="51">
        <f t="shared" ca="1" si="43"/>
        <v>36.622267369537902</v>
      </c>
      <c r="BT96" s="88">
        <f ca="1">IF(BN96="","",DATE(INDEX(OFFSET(Arb!$C$2,,,Arb!$AJ$5,),BN96),INDEX(OFFSET(Arb!$B$2,,,Arb!$AJ$5,),BN96),INDEX(OFFSET(Arb!$A$2,,,Arb!$AJ$5,),BN96))+ROW()*0.001)</f>
        <v>43817.095999999998</v>
      </c>
      <c r="BU96" s="436">
        <v>71</v>
      </c>
      <c r="BV96" s="1">
        <v>2385</v>
      </c>
      <c r="BW96" s="52">
        <f ca="1">IF(BV96="","",INDEX(OFFSET(Arb!$H$2,,,Arb!$AJ$5,),BV96))</f>
        <v>29.32</v>
      </c>
      <c r="BX96" s="3">
        <f t="shared" ca="1" si="34"/>
        <v>2.4215552523874488</v>
      </c>
      <c r="BY96" s="165">
        <f ca="1">IF(BV96="","",INDEX(OFFSET(Arb!$X$2,,,Arb!$AJ$5,),BV96)/BW96)</f>
        <v>2.933151432469304</v>
      </c>
      <c r="BZ96" s="165">
        <f ca="1">IF(BV96="","",(INDEX(OFFSET(Arb!$U$2,,,Arb!$AJ$5,),BV96)+INDEX(OFFSET(Arb!$V$2,,,Arb!$AJ$5,),BV96))/BW96)</f>
        <v>3.4788540245566164</v>
      </c>
      <c r="CA96" s="51">
        <f t="shared" ca="1" si="44"/>
        <v>34.981484353364046</v>
      </c>
      <c r="CB96" s="91">
        <f ca="1">IF(BV96="","",DATE(INDEX(OFFSET(Arb!$C$2,,,Arb!$AJ$5,),BV96),INDEX(OFFSET(Arb!$B$2,,,Arb!$AJ$5,),BV96),INDEX(OFFSET(Arb!$A$2,,,Arb!$AJ$5,),BV96))+ROW()*0.001)</f>
        <v>44117.095999999998</v>
      </c>
    </row>
    <row r="97" spans="1:80" x14ac:dyDescent="0.25">
      <c r="A97" s="436">
        <v>72</v>
      </c>
      <c r="B97" s="1">
        <v>2137</v>
      </c>
      <c r="C97" s="52">
        <f ca="1">IF(B97="","",INDEX(OFFSET(Arb!$H$2,,,Arb!$AJ$5,),B97))</f>
        <v>24.63</v>
      </c>
      <c r="D97" s="3">
        <f t="shared" ca="1" si="25"/>
        <v>2.9232643118148602</v>
      </c>
      <c r="E97" s="165">
        <f ca="1">IF(B97="","",INDEX(OFFSET(Arb!$X$2,,,Arb!$AJ$5,),B97)/C97)</f>
        <v>3.6134794965489241</v>
      </c>
      <c r="F97" s="165">
        <f ca="1">IF(B97="","",(INDEX(OFFSET(Arb!$U$2,,,Arb!$AJ$5,),B97)+INDEX(OFFSET(Arb!$V$2,,,Arb!$AJ$5,),B97))/C97)</f>
        <v>4.0600893219650835</v>
      </c>
      <c r="G97" s="51">
        <f t="shared" ca="1" si="35"/>
        <v>47.709143889297465</v>
      </c>
      <c r="H97" s="355">
        <f ca="1">IF(B97="","",DATE(INDEX(OFFSET(Arb!$C$2,,,Arb!$AJ$5,),B97),INDEX(OFFSET(Arb!$B$2,,,Arb!$AJ$5,),B97),INDEX(OFFSET(Arb!$A$2,,,Arb!$AJ$5,),B97))+ROW()*0.001)</f>
        <v>43817.097000000002</v>
      </c>
      <c r="I97" s="436">
        <v>72</v>
      </c>
      <c r="J97" s="1">
        <v>1908</v>
      </c>
      <c r="K97" s="52">
        <f ca="1">IF(J97="","",INDEX(OFFSET(Arb!$H$2,,,Arb!$AJ$5,),J97))</f>
        <v>24.87</v>
      </c>
      <c r="L97" s="3">
        <f t="shared" ca="1" si="26"/>
        <v>2.8950542822677923</v>
      </c>
      <c r="M97" s="165">
        <f ca="1">IF(J97="","",INDEX(OFFSET(Arb!$X$2,,,Arb!$AJ$5,),J97)/K97)</f>
        <v>3.337354242058705</v>
      </c>
      <c r="N97" s="165">
        <f ca="1">IF(J97="","",(INDEX(OFFSET(Arb!$U$2,,,Arb!$AJ$5,),J97)+INDEX(OFFSET(Arb!$V$2,,,Arb!$AJ$5,),J97))/K97)</f>
        <v>3.7796542018496178</v>
      </c>
      <c r="O97" s="51">
        <f t="shared" ca="1" si="36"/>
        <v>46.929106829615762</v>
      </c>
      <c r="P97" s="91">
        <f ca="1">IF(J97="","",DATE(INDEX(OFFSET(Arb!$C$2,,,Arb!$AJ$5,),J97),INDEX(OFFSET(Arb!$B$2,,,Arb!$AJ$5,),J97),INDEX(OFFSET(Arb!$A$2,,,Arb!$AJ$5,),J97))+ROW()*0.001)</f>
        <v>43767.097000000002</v>
      </c>
      <c r="Q97" s="442">
        <v>72</v>
      </c>
      <c r="R97" s="1">
        <v>2402</v>
      </c>
      <c r="S97" s="52">
        <f ca="1">IF(R97="","",INDEX(OFFSET(Arb!$H$2,,,Arb!$AJ$5,),R97))</f>
        <v>25</v>
      </c>
      <c r="T97" s="3">
        <f t="shared" ca="1" si="27"/>
        <v>2.88</v>
      </c>
      <c r="U97" s="165">
        <f ca="1">IF(R97="","",INDEX(OFFSET(Arb!$X$2,,,Arb!$AJ$5,),R97)/S97)</f>
        <v>3.36</v>
      </c>
      <c r="V97" s="165">
        <f ca="1">IF(R97="","",(INDEX(OFFSET(Arb!$U$2,,,Arb!$AJ$5,),R97)+INDEX(OFFSET(Arb!$V$2,,,Arb!$AJ$5,),R97))/S97)</f>
        <v>3.64</v>
      </c>
      <c r="W97" s="51">
        <f t="shared" ca="1" si="37"/>
        <v>46.515008951538213</v>
      </c>
      <c r="X97" s="88">
        <f ca="1">IF(R97="","",DATE(INDEX(OFFSET(Arb!$C$2,,,Arb!$AJ$5,),R97),INDEX(OFFSET(Arb!$B$2,,,Arb!$AJ$5,),R97),INDEX(OFFSET(Arb!$A$2,,,Arb!$AJ$5,),R97))+ROW()*0.001)</f>
        <v>44168.097000000002</v>
      </c>
      <c r="Y97" s="436">
        <v>72</v>
      </c>
      <c r="Z97" s="1">
        <v>2111</v>
      </c>
      <c r="AA97" s="52">
        <f ca="1">IF(Z97="","",INDEX(OFFSET(Arb!$H$2,,,Arb!$AJ$5,),Z97))</f>
        <v>25.19</v>
      </c>
      <c r="AB97" s="3">
        <f t="shared" ca="1" si="28"/>
        <v>2.8582770940849542</v>
      </c>
      <c r="AC97" s="165">
        <f ca="1">IF(Z97="","",INDEX(OFFSET(Arb!$X$2,,,Arb!$AJ$5,),Z97)/AA97)</f>
        <v>3.1758634378721715</v>
      </c>
      <c r="AD97" s="165">
        <f ca="1">IF(Z97="","",(INDEX(OFFSET(Arb!$U$2,,,Arb!$AJ$5,),Z97)+INDEX(OFFSET(Arb!$V$2,,,Arb!$AJ$5,),Z97))/AA97)</f>
        <v>3.4140531957125844</v>
      </c>
      <c r="AE97" s="51">
        <f t="shared" ca="1" si="38"/>
        <v>45.920143744040445</v>
      </c>
      <c r="AF97" s="91">
        <f ca="1">IF(Z97="","",DATE(INDEX(OFFSET(Arb!$C$2,,,Arb!$AJ$5,),Z97),INDEX(OFFSET(Arb!$B$2,,,Arb!$AJ$5,),Z97),INDEX(OFFSET(Arb!$A$2,,,Arb!$AJ$5,),Z97))+ROW()*0.001)</f>
        <v>43811.097000000002</v>
      </c>
      <c r="AG97" s="442">
        <v>72</v>
      </c>
      <c r="AH97" s="1">
        <v>2155</v>
      </c>
      <c r="AI97" s="52">
        <f ca="1">IF(AH97="","",INDEX(OFFSET(Arb!$H$2,,,Arb!$AJ$5,),AH97))</f>
        <v>25.95</v>
      </c>
      <c r="AJ97" s="3">
        <f t="shared" ca="1" si="29"/>
        <v>2.7745664739884393</v>
      </c>
      <c r="AK97" s="165">
        <f ca="1">IF(AH97="","",INDEX(OFFSET(Arb!$X$2,,,Arb!$AJ$5,),AH97)/AI97)</f>
        <v>3.5838150289017343</v>
      </c>
      <c r="AL97" s="165">
        <f ca="1">IF(AH97="","",(INDEX(OFFSET(Arb!$U$2,,,Arb!$AJ$5,),AH97)+INDEX(OFFSET(Arb!$V$2,,,Arb!$AJ$5,),AH97))/AI97)</f>
        <v>4.1618497109826587</v>
      </c>
      <c r="AM97" s="51">
        <f t="shared" ca="1" si="39"/>
        <v>43.657373863556892</v>
      </c>
      <c r="AN97" s="88">
        <f ca="1">IF(AH97="","",DATE(INDEX(OFFSET(Arb!$C$2,,,Arb!$AJ$5,),AH97),INDEX(OFFSET(Arb!$B$2,,,Arb!$AJ$5,),AH97),INDEX(OFFSET(Arb!$A$2,,,Arb!$AJ$5,),AH97))+ROW()*0.001)</f>
        <v>43822.097000000002</v>
      </c>
      <c r="AO97" s="436">
        <v>72</v>
      </c>
      <c r="AP97" s="1">
        <v>2248</v>
      </c>
      <c r="AQ97" s="52">
        <f ca="1">IF(AP97="","",INDEX(OFFSET(Arb!$H$2,,,Arb!$AJ$5,),AP97))</f>
        <v>28.07</v>
      </c>
      <c r="AR97" s="3">
        <f t="shared" ca="1" si="30"/>
        <v>2.5650160313501957</v>
      </c>
      <c r="AS97" s="165">
        <f ca="1">IF(AP97="","",INDEX(OFFSET(Arb!$X$2,,,Arb!$AJ$5,),AP97)/AQ97)</f>
        <v>3.7050231563947276</v>
      </c>
      <c r="AT97" s="165">
        <f ca="1">IF(AP97="","",(INDEX(OFFSET(Arb!$U$2,,,Arb!$AJ$5,),AP97)+INDEX(OFFSET(Arb!$V$2,,,Arb!$AJ$5,),AP97))/AQ97)</f>
        <v>4.2394014962593518</v>
      </c>
      <c r="AU97" s="51">
        <f t="shared" ca="1" si="40"/>
        <v>38.20137739048883</v>
      </c>
      <c r="AV97" s="91">
        <f ca="1">IF(AP97="","",DATE(INDEX(OFFSET(Arb!$C$2,,,Arb!$AJ$5,),AP97),INDEX(OFFSET(Arb!$B$2,,,Arb!$AJ$5,),AP97),INDEX(OFFSET(Arb!$A$2,,,Arb!$AJ$5,),AP97))+ROW()*0.001)</f>
        <v>43894.097000000002</v>
      </c>
      <c r="AW97" s="442">
        <v>72</v>
      </c>
      <c r="AX97" s="1">
        <v>2128</v>
      </c>
      <c r="AY97" s="52">
        <f ca="1">IF(AX97="","",INDEX(OFFSET(Arb!$H$2,,,Arb!$AJ$5,),AX97))</f>
        <v>28.54</v>
      </c>
      <c r="AZ97" s="3">
        <f t="shared" ca="1" si="31"/>
        <v>2.5227750525578139</v>
      </c>
      <c r="BA97" s="165">
        <f ca="1">IF(AX97="","",INDEX(OFFSET(Arb!$X$2,,,Arb!$AJ$5,),AX97)/AY97)</f>
        <v>3.0483531885073583</v>
      </c>
      <c r="BB97" s="165">
        <f ca="1">IF(AX97="","",(INDEX(OFFSET(Arb!$U$2,,,Arb!$AJ$5,),AX97)+INDEX(OFFSET(Arb!$V$2,,,Arb!$AJ$5,),AX97))/AY97)</f>
        <v>3.5038542396636303</v>
      </c>
      <c r="BC97" s="51">
        <f t="shared" ca="1" si="41"/>
        <v>37.138073952207449</v>
      </c>
      <c r="BD97" s="88">
        <f ca="1">IF(AX97="","",DATE(INDEX(OFFSET(Arb!$C$2,,,Arb!$AJ$5,),AX97),INDEX(OFFSET(Arb!$B$2,,,Arb!$AJ$5,),AX97),INDEX(OFFSET(Arb!$A$2,,,Arb!$AJ$5,),AX97))+ROW()*0.001)</f>
        <v>43811.097000000002</v>
      </c>
      <c r="BE97" s="436">
        <v>72</v>
      </c>
      <c r="BF97" s="1">
        <v>2154</v>
      </c>
      <c r="BG97" s="52">
        <f ca="1">IF(BF97="","",INDEX(OFFSET(Arb!$H$2,,,Arb!$AJ$5,),BF97))</f>
        <v>29.04</v>
      </c>
      <c r="BH97" s="3">
        <f t="shared" ca="1" si="32"/>
        <v>2.4793388429752068</v>
      </c>
      <c r="BI97" s="165">
        <f ca="1">IF(BF97="","",INDEX(OFFSET(Arb!$X$2,,,Arb!$AJ$5,),BF97)/BG97)</f>
        <v>2.8581267217630857</v>
      </c>
      <c r="BJ97" s="165">
        <f ca="1">IF(BF97="","",(INDEX(OFFSET(Arb!$U$2,,,Arb!$AJ$5,),BF97)+INDEX(OFFSET(Arb!$V$2,,,Arb!$AJ$5,),BF97))/BG97)</f>
        <v>3.4090909090909092</v>
      </c>
      <c r="BK97" s="51">
        <f t="shared" ca="1" si="42"/>
        <v>36.05760552382803</v>
      </c>
      <c r="BL97" s="91">
        <f ca="1">IF(BF97="","",DATE(INDEX(OFFSET(Arb!$C$2,,,Arb!$AJ$5,),BF97),INDEX(OFFSET(Arb!$B$2,,,Arb!$AJ$5,),BF97),INDEX(OFFSET(Arb!$A$2,,,Arb!$AJ$5,),BF97))+ROW()*0.001)</f>
        <v>43822.097000000002</v>
      </c>
      <c r="BM97" s="442">
        <v>72</v>
      </c>
      <c r="BN97" s="1">
        <v>1974</v>
      </c>
      <c r="BO97" s="52">
        <f ca="1">IF(BN97="","",INDEX(OFFSET(Arb!$H$2,,,Arb!$AJ$5,),BN97))</f>
        <v>29.1</v>
      </c>
      <c r="BP97" s="3">
        <f t="shared" ca="1" si="33"/>
        <v>2.4742268041237114</v>
      </c>
      <c r="BQ97" s="165">
        <f ca="1">IF(BN97="","",INDEX(OFFSET(Arb!$X$2,,,Arb!$AJ$5,),BN97)/BO97)</f>
        <v>2.7147766323024052</v>
      </c>
      <c r="BR97" s="165">
        <f ca="1">IF(BN97="","",(INDEX(OFFSET(Arb!$U$2,,,Arb!$AJ$5,),BN97)+INDEX(OFFSET(Arb!$V$2,,,Arb!$AJ$5,),BN97))/BO97)</f>
        <v>3.127147766323024</v>
      </c>
      <c r="BS97" s="51">
        <f t="shared" ca="1" si="43"/>
        <v>35.931309266829047</v>
      </c>
      <c r="BT97" s="88">
        <f ca="1">IF(BN97="","",DATE(INDEX(OFFSET(Arb!$C$2,,,Arb!$AJ$5,),BN97),INDEX(OFFSET(Arb!$B$2,,,Arb!$AJ$5,),BN97),INDEX(OFFSET(Arb!$A$2,,,Arb!$AJ$5,),BN97))+ROW()*0.001)</f>
        <v>43779.097000000002</v>
      </c>
      <c r="BU97" s="436">
        <v>72</v>
      </c>
      <c r="BV97" s="1">
        <v>1942</v>
      </c>
      <c r="BW97" s="52">
        <f ca="1">IF(BV97="","",INDEX(OFFSET(Arb!$H$2,,,Arb!$AJ$5,),BV97))</f>
        <v>29.53</v>
      </c>
      <c r="BX97" s="3">
        <f t="shared" ca="1" si="34"/>
        <v>2.4381984422621064</v>
      </c>
      <c r="BY97" s="165">
        <f ca="1">IF(BV97="","",INDEX(OFFSET(Arb!$X$2,,,Arb!$AJ$5,),BV97)/BW97)</f>
        <v>2.980020318320352</v>
      </c>
      <c r="BZ97" s="165">
        <f ca="1">IF(BV97="","",(INDEX(OFFSET(Arb!$U$2,,,Arb!$AJ$5,),BV97)+INDEX(OFFSET(Arb!$V$2,,,Arb!$AJ$5,),BV97))/BW97)</f>
        <v>3.4879783271249574</v>
      </c>
      <c r="CA97" s="51">
        <f t="shared" ca="1" si="44"/>
        <v>35.046387921744717</v>
      </c>
      <c r="CB97" s="91">
        <f ca="1">IF(BV97="","",DATE(INDEX(OFFSET(Arb!$C$2,,,Arb!$AJ$5,),BV97),INDEX(OFFSET(Arb!$B$2,,,Arb!$AJ$5,),BV97),INDEX(OFFSET(Arb!$A$2,,,Arb!$AJ$5,),BV97))+ROW()*0.001)</f>
        <v>43773.097000000002</v>
      </c>
    </row>
    <row r="98" spans="1:80" x14ac:dyDescent="0.25">
      <c r="A98" s="436">
        <v>73</v>
      </c>
      <c r="B98" s="1">
        <v>2254</v>
      </c>
      <c r="C98" s="52">
        <f ca="1">IF(B98="","",INDEX(OFFSET(Arb!$H$2,,,Arb!$AJ$5,),B98))</f>
        <v>24.74</v>
      </c>
      <c r="D98" s="3">
        <f t="shared" ca="1" si="25"/>
        <v>2.9506871463217466</v>
      </c>
      <c r="E98" s="165">
        <f ca="1">IF(B98="","",INDEX(OFFSET(Arb!$X$2,,,Arb!$AJ$5,),B98)/C98)</f>
        <v>3.3548908649959581</v>
      </c>
      <c r="F98" s="165">
        <f ca="1">IF(B98="","",(INDEX(OFFSET(Arb!$U$2,,,Arb!$AJ$5,),B98)+INDEX(OFFSET(Arb!$V$2,,,Arb!$AJ$5,),B98))/C98)</f>
        <v>3.5974130962004853</v>
      </c>
      <c r="G98" s="51">
        <f t="shared" ca="1" si="35"/>
        <v>48.006716789536888</v>
      </c>
      <c r="H98" s="355">
        <f ca="1">IF(B98="","",DATE(INDEX(OFFSET(Arb!$C$2,,,Arb!$AJ$5,),B98),INDEX(OFFSET(Arb!$B$2,,,Arb!$AJ$5,),B98),INDEX(OFFSET(Arb!$A$2,,,Arb!$AJ$5,),B98))+ROW()*0.001)</f>
        <v>43901.097999999998</v>
      </c>
      <c r="I98" s="436">
        <v>73</v>
      </c>
      <c r="J98" s="1">
        <v>2120</v>
      </c>
      <c r="K98" s="52">
        <f ca="1">IF(J98="","",INDEX(OFFSET(Arb!$H$2,,,Arb!$AJ$5,),J98))</f>
        <v>24.93</v>
      </c>
      <c r="L98" s="3">
        <f t="shared" ca="1" si="26"/>
        <v>2.9281989570798235</v>
      </c>
      <c r="M98" s="165">
        <f ca="1">IF(J98="","",INDEX(OFFSET(Arb!$X$2,,,Arb!$AJ$5,),J98)/K98)</f>
        <v>3.3694344163658245</v>
      </c>
      <c r="N98" s="165">
        <f ca="1">IF(J98="","",(INDEX(OFFSET(Arb!$U$2,,,Arb!$AJ$5,),J98)+INDEX(OFFSET(Arb!$V$2,,,Arb!$AJ$5,),J98))/K98)</f>
        <v>3.9310068190934619</v>
      </c>
      <c r="O98" s="51">
        <f t="shared" ca="1" si="36"/>
        <v>47.386388843450092</v>
      </c>
      <c r="P98" s="91">
        <f ca="1">IF(J98="","",DATE(INDEX(OFFSET(Arb!$C$2,,,Arb!$AJ$5,),J98),INDEX(OFFSET(Arb!$B$2,,,Arb!$AJ$5,),J98),INDEX(OFFSET(Arb!$A$2,,,Arb!$AJ$5,),J98))+ROW()*0.001)</f>
        <v>43811.097999999998</v>
      </c>
      <c r="Q98" s="442">
        <v>73</v>
      </c>
      <c r="R98" s="1">
        <v>1916</v>
      </c>
      <c r="S98" s="52">
        <f ca="1">IF(R98="","",INDEX(OFFSET(Arb!$H$2,,,Arb!$AJ$5,),R98))</f>
        <v>25.26</v>
      </c>
      <c r="T98" s="3">
        <f t="shared" ca="1" si="27"/>
        <v>2.8899445764053837</v>
      </c>
      <c r="U98" s="165">
        <f ca="1">IF(R98="","",INDEX(OFFSET(Arb!$X$2,,,Arb!$AJ$5,),R98)/S98)</f>
        <v>3.4441805225653206</v>
      </c>
      <c r="V98" s="165">
        <f ca="1">IF(R98="","",(INDEX(OFFSET(Arb!$U$2,,,Arb!$AJ$5,),R98)+INDEX(OFFSET(Arb!$V$2,,,Arb!$AJ$5,),R98))/S98)</f>
        <v>3.9588281868566901</v>
      </c>
      <c r="W98" s="51">
        <f t="shared" ca="1" si="37"/>
        <v>46.338801677027817</v>
      </c>
      <c r="X98" s="88">
        <f ca="1">IF(R98="","",DATE(INDEX(OFFSET(Arb!$C$2,,,Arb!$AJ$5,),R98),INDEX(OFFSET(Arb!$B$2,,,Arb!$AJ$5,),R98),INDEX(OFFSET(Arb!$A$2,,,Arb!$AJ$5,),R98))+ROW()*0.001)</f>
        <v>43769.097999999998</v>
      </c>
      <c r="Y98" s="436">
        <v>73</v>
      </c>
      <c r="Z98" s="1">
        <v>2006</v>
      </c>
      <c r="AA98" s="52">
        <f ca="1">IF(Z98="","",INDEX(OFFSET(Arb!$H$2,,,Arb!$AJ$5,),Z98))</f>
        <v>26.4</v>
      </c>
      <c r="AB98" s="3">
        <f t="shared" ca="1" si="28"/>
        <v>2.7651515151515151</v>
      </c>
      <c r="AC98" s="165">
        <f ca="1">IF(Z98="","",INDEX(OFFSET(Arb!$X$2,,,Arb!$AJ$5,),Z98)/AA98)</f>
        <v>3.3333333333333335</v>
      </c>
      <c r="AD98" s="165">
        <f ca="1">IF(Z98="","",(INDEX(OFFSET(Arb!$U$2,,,Arb!$AJ$5,),Z98)+INDEX(OFFSET(Arb!$V$2,,,Arb!$AJ$5,),Z98))/AA98)</f>
        <v>3.9772727272727275</v>
      </c>
      <c r="AE98" s="51">
        <f t="shared" ca="1" si="38"/>
        <v>42.98874945223757</v>
      </c>
      <c r="AF98" s="91">
        <f ca="1">IF(Z98="","",DATE(INDEX(OFFSET(Arb!$C$2,,,Arb!$AJ$5,),Z98),INDEX(OFFSET(Arb!$B$2,,,Arb!$AJ$5,),Z98),INDEX(OFFSET(Arb!$A$2,,,Arb!$AJ$5,),Z98))+ROW()*0.001)</f>
        <v>43786.097999999998</v>
      </c>
      <c r="AG98" s="442">
        <v>73</v>
      </c>
      <c r="AH98" s="1">
        <v>1898</v>
      </c>
      <c r="AI98" s="52">
        <f ca="1">IF(AH98="","",INDEX(OFFSET(Arb!$H$2,,,Arb!$AJ$5,),AH98))</f>
        <v>26.43</v>
      </c>
      <c r="AJ98" s="3">
        <f t="shared" ca="1" si="29"/>
        <v>2.7620128641695043</v>
      </c>
      <c r="AK98" s="165">
        <f ca="1">IF(AH98="","",INDEX(OFFSET(Arb!$X$2,,,Arb!$AJ$5,),AH98)/AI98)</f>
        <v>3.5565645100264849</v>
      </c>
      <c r="AL98" s="165">
        <f ca="1">IF(AH98="","",(INDEX(OFFSET(Arb!$U$2,,,Arb!$AJ$5,),AH98)+INDEX(OFFSET(Arb!$V$2,,,Arb!$AJ$5,),AH98))/AI98)</f>
        <v>4.0862656072644725</v>
      </c>
      <c r="AM98" s="51">
        <f t="shared" ca="1" si="39"/>
        <v>42.905830226916706</v>
      </c>
      <c r="AN98" s="88">
        <f ca="1">IF(AH98="","",DATE(INDEX(OFFSET(Arb!$C$2,,,Arb!$AJ$5,),AH98),INDEX(OFFSET(Arb!$B$2,,,Arb!$AJ$5,),AH98),INDEX(OFFSET(Arb!$A$2,,,Arb!$AJ$5,),AH98))+ROW()*0.001)</f>
        <v>43765.097999999998</v>
      </c>
      <c r="AO98" s="436">
        <v>73</v>
      </c>
      <c r="AP98" s="1">
        <v>2101</v>
      </c>
      <c r="AQ98" s="52">
        <f ca="1">IF(AP98="","",INDEX(OFFSET(Arb!$H$2,,,Arb!$AJ$5,),AP98))</f>
        <v>26.51</v>
      </c>
      <c r="AR98" s="3">
        <f t="shared" ca="1" si="30"/>
        <v>2.7536778574122969</v>
      </c>
      <c r="AS98" s="165">
        <f ca="1">IF(AP98="","",INDEX(OFFSET(Arb!$X$2,,,Arb!$AJ$5,),AP98)/AQ98)</f>
        <v>3.3949453036589965</v>
      </c>
      <c r="AT98" s="165">
        <f ca="1">IF(AP98="","",(INDEX(OFFSET(Arb!$U$2,,,Arb!$AJ$5,),AP98)+INDEX(OFFSET(Arb!$V$2,,,Arb!$AJ$5,),AP98))/AQ98)</f>
        <v>3.923047906450396</v>
      </c>
      <c r="AU98" s="51">
        <f t="shared" ca="1" si="40"/>
        <v>42.685949884101468</v>
      </c>
      <c r="AV98" s="91">
        <f ca="1">IF(AP98="","",DATE(INDEX(OFFSET(Arb!$C$2,,,Arb!$AJ$5,),AP98),INDEX(OFFSET(Arb!$B$2,,,Arb!$AJ$5,),AP98),INDEX(OFFSET(Arb!$A$2,,,Arb!$AJ$5,),AP98))+ROW()*0.001)</f>
        <v>43810.097999999998</v>
      </c>
      <c r="AW98" s="442">
        <v>73</v>
      </c>
      <c r="AX98" s="1">
        <v>2327</v>
      </c>
      <c r="AY98" s="52">
        <f ca="1">IF(AX98="","",INDEX(OFFSET(Arb!$H$2,,,Arb!$AJ$5,),AX98))</f>
        <v>26.89</v>
      </c>
      <c r="AZ98" s="3">
        <f t="shared" ca="1" si="31"/>
        <v>2.7147638527333582</v>
      </c>
      <c r="BA98" s="165">
        <f ca="1">IF(AX98="","",INDEX(OFFSET(Arb!$X$2,,,Arb!$AJ$5,),AX98)/AY98)</f>
        <v>3.4957233172182969</v>
      </c>
      <c r="BB98" s="165">
        <f ca="1">IF(AX98="","",(INDEX(OFFSET(Arb!$U$2,,,Arb!$AJ$5,),AX98)+INDEX(OFFSET(Arb!$V$2,,,Arb!$AJ$5,),AX98))/AY98)</f>
        <v>3.9419858683525475</v>
      </c>
      <c r="BC98" s="51">
        <f t="shared" ca="1" si="41"/>
        <v>41.6655504300101</v>
      </c>
      <c r="BD98" s="88">
        <f ca="1">IF(AX98="","",DATE(INDEX(OFFSET(Arb!$C$2,,,Arb!$AJ$5,),AX98),INDEX(OFFSET(Arb!$B$2,,,Arb!$AJ$5,),AX98),INDEX(OFFSET(Arb!$A$2,,,Arb!$AJ$5,),AX98))+ROW()*0.001)</f>
        <v>44089.097999999998</v>
      </c>
      <c r="BE98" s="436">
        <v>73</v>
      </c>
      <c r="BF98" s="1">
        <v>2117</v>
      </c>
      <c r="BG98" s="52">
        <f ca="1">IF(BF98="","",INDEX(OFFSET(Arb!$H$2,,,Arb!$AJ$5,),BF98))</f>
        <v>26.93</v>
      </c>
      <c r="BH98" s="3">
        <f t="shared" ca="1" si="32"/>
        <v>2.7107315261789826</v>
      </c>
      <c r="BI98" s="165">
        <f ca="1">IF(BF98="","",INDEX(OFFSET(Arb!$X$2,,,Arb!$AJ$5,),BF98)/BG98)</f>
        <v>3.527664314890457</v>
      </c>
      <c r="BJ98" s="165">
        <f ca="1">IF(BF98="","",(INDEX(OFFSET(Arb!$U$2,,,Arb!$AJ$5,),BF98)+INDEX(OFFSET(Arb!$V$2,,,Arb!$AJ$5,),BF98))/BG98)</f>
        <v>3.8618640920906051</v>
      </c>
      <c r="BK98" s="51">
        <f t="shared" ca="1" si="42"/>
        <v>41.560396909949077</v>
      </c>
      <c r="BL98" s="91">
        <f ca="1">IF(BF98="","",DATE(INDEX(OFFSET(Arb!$C$2,,,Arb!$AJ$5,),BF98),INDEX(OFFSET(Arb!$B$2,,,Arb!$AJ$5,),BF98),INDEX(OFFSET(Arb!$A$2,,,Arb!$AJ$5,),BF98))+ROW()*0.001)</f>
        <v>43811.097999999998</v>
      </c>
      <c r="BM98" s="442">
        <v>73</v>
      </c>
      <c r="BN98" s="1">
        <v>2229</v>
      </c>
      <c r="BO98" s="52">
        <f ca="1">IF(BN98="","",INDEX(OFFSET(Arb!$H$2,,,Arb!$AJ$5,),BN98))</f>
        <v>27.65</v>
      </c>
      <c r="BP98" s="3">
        <f t="shared" ca="1" si="33"/>
        <v>2.6401446654611211</v>
      </c>
      <c r="BQ98" s="165">
        <f ca="1">IF(BN98="","",INDEX(OFFSET(Arb!$X$2,,,Arb!$AJ$5,),BN98)/BO98)</f>
        <v>3.1103074141048825</v>
      </c>
      <c r="BR98" s="165">
        <f ca="1">IF(BN98="","",(INDEX(OFFSET(Arb!$U$2,,,Arb!$AJ$5,),BN98)+INDEX(OFFSET(Arb!$V$2,,,Arb!$AJ$5,),BN98))/BO98)</f>
        <v>3.6889692585895117</v>
      </c>
      <c r="BS98" s="51">
        <f t="shared" ca="1" si="43"/>
        <v>39.737428245655472</v>
      </c>
      <c r="BT98" s="88">
        <f ca="1">IF(BN98="","",DATE(INDEX(OFFSET(Arb!$C$2,,,Arb!$AJ$5,),BN98),INDEX(OFFSET(Arb!$B$2,,,Arb!$AJ$5,),BN98),INDEX(OFFSET(Arb!$A$2,,,Arb!$AJ$5,),BN98))+ROW()*0.001)</f>
        <v>43885.097999999998</v>
      </c>
      <c r="BU98" s="436">
        <v>73</v>
      </c>
      <c r="BV98" s="1">
        <v>1980</v>
      </c>
      <c r="BW98" s="52">
        <f ca="1">IF(BV98="","",INDEX(OFFSET(Arb!$H$2,,,Arb!$AJ$5,),BV98))</f>
        <v>28.15</v>
      </c>
      <c r="BX98" s="3">
        <f t="shared" ca="1" si="34"/>
        <v>2.5932504440497337</v>
      </c>
      <c r="BY98" s="165">
        <f ca="1">IF(BV98="","",INDEX(OFFSET(Arb!$X$2,,,Arb!$AJ$5,),BV98)/BW98)</f>
        <v>3.374777975133215</v>
      </c>
      <c r="BZ98" s="165">
        <f ca="1">IF(BV98="","",(INDEX(OFFSET(Arb!$U$2,,,Arb!$AJ$5,),BV98)+INDEX(OFFSET(Arb!$V$2,,,Arb!$AJ$5,),BV98))/BW98)</f>
        <v>3.7655417406749558</v>
      </c>
      <c r="CA98" s="51">
        <f t="shared" ca="1" si="44"/>
        <v>38.545014083034467</v>
      </c>
      <c r="CB98" s="91">
        <f ca="1">IF(BV98="","",DATE(INDEX(OFFSET(Arb!$C$2,,,Arb!$AJ$5,),BV98),INDEX(OFFSET(Arb!$B$2,,,Arb!$AJ$5,),BV98),INDEX(OFFSET(Arb!$A$2,,,Arb!$AJ$5,),BV98))+ROW()*0.001)</f>
        <v>43782.097999999998</v>
      </c>
    </row>
    <row r="99" spans="1:80" x14ac:dyDescent="0.25">
      <c r="A99" s="436">
        <v>74</v>
      </c>
      <c r="B99" s="1">
        <v>2123</v>
      </c>
      <c r="C99" s="52">
        <f ca="1">IF(B99="","",INDEX(OFFSET(Arb!$H$2,,,Arb!$AJ$5,),B99))</f>
        <v>23.7</v>
      </c>
      <c r="D99" s="3">
        <f t="shared" ca="1" si="25"/>
        <v>3.1223628691983123</v>
      </c>
      <c r="E99" s="165">
        <f ca="1">IF(B99="","",INDEX(OFFSET(Arb!$X$2,,,Arb!$AJ$5,),B99)/C99)</f>
        <v>3.5864978902953588</v>
      </c>
      <c r="F99" s="165">
        <f ca="1">IF(B99="","",(INDEX(OFFSET(Arb!$U$2,,,Arb!$AJ$5,),B99)+INDEX(OFFSET(Arb!$V$2,,,Arb!$AJ$5,),B99))/C99)</f>
        <v>3.9240506329113924</v>
      </c>
      <c r="G99" s="51">
        <f t="shared" ca="1" si="35"/>
        <v>52.350177517700182</v>
      </c>
      <c r="H99" s="355">
        <f ca="1">IF(B99="","",DATE(INDEX(OFFSET(Arb!$C$2,,,Arb!$AJ$5,),B99),INDEX(OFFSET(Arb!$B$2,,,Arb!$AJ$5,),B99),INDEX(OFFSET(Arb!$A$2,,,Arb!$AJ$5,),B99))+ROW()*0.001)</f>
        <v>43811.099000000002</v>
      </c>
      <c r="I99" s="436">
        <v>74</v>
      </c>
      <c r="J99" s="1">
        <v>2090</v>
      </c>
      <c r="K99" s="52">
        <f ca="1">IF(J99="","",INDEX(OFFSET(Arb!$H$2,,,Arb!$AJ$5,),J99))</f>
        <v>26</v>
      </c>
      <c r="L99" s="3">
        <f t="shared" ca="1" si="26"/>
        <v>2.8461538461538463</v>
      </c>
      <c r="M99" s="165">
        <f ca="1">IF(J99="","",INDEX(OFFSET(Arb!$X$2,,,Arb!$AJ$5,),J99)/K99)</f>
        <v>3.3461538461538463</v>
      </c>
      <c r="N99" s="165">
        <f ca="1">IF(J99="","",(INDEX(OFFSET(Arb!$U$2,,,Arb!$AJ$5,),J99)+INDEX(OFFSET(Arb!$V$2,,,Arb!$AJ$5,),J99))/K99)</f>
        <v>3.8076923076923075</v>
      </c>
      <c r="O99" s="51">
        <f t="shared" ca="1" si="36"/>
        <v>44.723486804303917</v>
      </c>
      <c r="P99" s="91">
        <f ca="1">IF(J99="","",DATE(INDEX(OFFSET(Arb!$C$2,,,Arb!$AJ$5,),J99),INDEX(OFFSET(Arb!$B$2,,,Arb!$AJ$5,),J99),INDEX(OFFSET(Arb!$A$2,,,Arb!$AJ$5,),J99))+ROW()*0.001)</f>
        <v>43809.099000000002</v>
      </c>
      <c r="Q99" s="442">
        <v>74</v>
      </c>
      <c r="R99" s="1">
        <v>1927</v>
      </c>
      <c r="S99" s="52">
        <f ca="1">IF(R99="","",INDEX(OFFSET(Arb!$H$2,,,Arb!$AJ$5,),R99))</f>
        <v>27.01</v>
      </c>
      <c r="T99" s="3">
        <f t="shared" ca="1" si="27"/>
        <v>2.7397260273972601</v>
      </c>
      <c r="U99" s="165">
        <f ca="1">IF(R99="","",INDEX(OFFSET(Arb!$X$2,,,Arb!$AJ$5,),R99)/S99)</f>
        <v>3.5172158459829692</v>
      </c>
      <c r="V99" s="165">
        <f ca="1">IF(R99="","",(INDEX(OFFSET(Arb!$U$2,,,Arb!$AJ$5,),R99)+INDEX(OFFSET(Arb!$V$2,,,Arb!$AJ$5,),R99))/S99)</f>
        <v>4.10958904109589</v>
      </c>
      <c r="W99" s="51">
        <f t="shared" ca="1" si="37"/>
        <v>41.91780700620042</v>
      </c>
      <c r="X99" s="88">
        <f ca="1">IF(R99="","",DATE(INDEX(OFFSET(Arb!$C$2,,,Arb!$AJ$5,),R99),INDEX(OFFSET(Arb!$B$2,,,Arb!$AJ$5,),R99),INDEX(OFFSET(Arb!$A$2,,,Arb!$AJ$5,),R99))+ROW()*0.001)</f>
        <v>43771.099000000002</v>
      </c>
      <c r="Y99" s="436">
        <v>74</v>
      </c>
      <c r="Z99" s="1">
        <v>2124</v>
      </c>
      <c r="AA99" s="52">
        <f ca="1">IF(Z99="","",INDEX(OFFSET(Arb!$H$2,,,Arb!$AJ$5,),Z99))</f>
        <v>27.22</v>
      </c>
      <c r="AB99" s="3">
        <f t="shared" ca="1" si="28"/>
        <v>2.7185892725936811</v>
      </c>
      <c r="AC99" s="165">
        <f ca="1">IF(Z99="","",INDEX(OFFSET(Arb!$X$2,,,Arb!$AJ$5,),Z99)/AA99)</f>
        <v>3.1227038941954448</v>
      </c>
      <c r="AD99" s="165">
        <f ca="1">IF(Z99="","",(INDEX(OFFSET(Arb!$U$2,,,Arb!$AJ$5,),Z99)+INDEX(OFFSET(Arb!$V$2,,,Arb!$AJ$5,),Z99))/AA99)</f>
        <v>3.5635562086700956</v>
      </c>
      <c r="AE99" s="51">
        <f t="shared" ca="1" si="38"/>
        <v>41.369525669842517</v>
      </c>
      <c r="AF99" s="91">
        <f ca="1">IF(Z99="","",DATE(INDEX(OFFSET(Arb!$C$2,,,Arb!$AJ$5,),Z99),INDEX(OFFSET(Arb!$B$2,,,Arb!$AJ$5,),Z99),INDEX(OFFSET(Arb!$A$2,,,Arb!$AJ$5,),Z99))+ROW()*0.001)</f>
        <v>43811.099000000002</v>
      </c>
      <c r="AG99" s="442">
        <v>74</v>
      </c>
      <c r="AH99" s="1">
        <v>2158</v>
      </c>
      <c r="AI99" s="52">
        <f ca="1">IF(AH99="","",INDEX(OFFSET(Arb!$H$2,,,Arb!$AJ$5,),AH99))</f>
        <v>27.61</v>
      </c>
      <c r="AJ99" s="3">
        <f t="shared" ca="1" si="29"/>
        <v>2.6801883375588553</v>
      </c>
      <c r="AK99" s="165">
        <f ca="1">IF(AH99="","",INDEX(OFFSET(Arb!$X$2,,,Arb!$AJ$5,),AH99)/AI99)</f>
        <v>3.1148134733792103</v>
      </c>
      <c r="AL99" s="165">
        <f ca="1">IF(AH99="","",(INDEX(OFFSET(Arb!$U$2,,,Arb!$AJ$5,),AH99)+INDEX(OFFSET(Arb!$V$2,,,Arb!$AJ$5,),AH99))/AI99)</f>
        <v>3.5132198478812025</v>
      </c>
      <c r="AM99" s="51">
        <f t="shared" ca="1" si="39"/>
        <v>40.381035887180111</v>
      </c>
      <c r="AN99" s="88">
        <f ca="1">IF(AH99="","",DATE(INDEX(OFFSET(Arb!$C$2,,,Arb!$AJ$5,),AH99),INDEX(OFFSET(Arb!$B$2,,,Arb!$AJ$5,),AH99),INDEX(OFFSET(Arb!$A$2,,,Arb!$AJ$5,),AH99))+ROW()*0.001)</f>
        <v>43822.099000000002</v>
      </c>
      <c r="AO99" s="436">
        <v>74</v>
      </c>
      <c r="AP99" s="1">
        <v>2355</v>
      </c>
      <c r="AQ99" s="52">
        <f ca="1">IF(AP99="","",INDEX(OFFSET(Arb!$H$2,,,Arb!$AJ$5,),AP99))</f>
        <v>28.82</v>
      </c>
      <c r="AR99" s="3">
        <f t="shared" ca="1" si="30"/>
        <v>2.5676613462873004</v>
      </c>
      <c r="AS99" s="165">
        <f ca="1">IF(AP99="","",INDEX(OFFSET(Arb!$X$2,,,Arb!$AJ$5,),AP99)/AQ99)</f>
        <v>3.2269257460097154</v>
      </c>
      <c r="AT99" s="165">
        <f ca="1">IF(AP99="","",(INDEX(OFFSET(Arb!$U$2,,,Arb!$AJ$5,),AP99)+INDEX(OFFSET(Arb!$V$2,,,Arb!$AJ$5,),AP99))/AQ99)</f>
        <v>3.6433032616238723</v>
      </c>
      <c r="AU99" s="51">
        <f t="shared" ca="1" si="40"/>
        <v>37.541410591962901</v>
      </c>
      <c r="AV99" s="91">
        <f ca="1">IF(AP99="","",DATE(INDEX(OFFSET(Arb!$C$2,,,Arb!$AJ$5,),AP99),INDEX(OFFSET(Arb!$B$2,,,Arb!$AJ$5,),AP99),INDEX(OFFSET(Arb!$A$2,,,Arb!$AJ$5,),AP99))+ROW()*0.001)</f>
        <v>44114.099000000002</v>
      </c>
      <c r="AW99" s="442">
        <v>74</v>
      </c>
      <c r="AX99" s="1">
        <v>2008</v>
      </c>
      <c r="AY99" s="52">
        <f ca="1">IF(AX99="","",INDEX(OFFSET(Arb!$H$2,,,Arb!$AJ$5,),AX99))</f>
        <v>29.27</v>
      </c>
      <c r="AZ99" s="3">
        <f t="shared" ca="1" si="31"/>
        <v>2.5281858558250767</v>
      </c>
      <c r="BA99" s="165">
        <f ca="1">IF(AX99="","",INDEX(OFFSET(Arb!$X$2,,,Arb!$AJ$5,),AX99)/AY99)</f>
        <v>3.211479330372395</v>
      </c>
      <c r="BB99" s="165">
        <f ca="1">IF(AX99="","",(INDEX(OFFSET(Arb!$U$2,,,Arb!$AJ$5,),AX99)+INDEX(OFFSET(Arb!$V$2,,,Arb!$AJ$5,),AX99))/AY99)</f>
        <v>3.6897847625555178</v>
      </c>
      <c r="BC99" s="51">
        <f t="shared" ca="1" si="41"/>
        <v>36.56551704040902</v>
      </c>
      <c r="BD99" s="88">
        <f ca="1">IF(AX99="","",DATE(INDEX(OFFSET(Arb!$C$2,,,Arb!$AJ$5,),AX99),INDEX(OFFSET(Arb!$B$2,,,Arb!$AJ$5,),AX99),INDEX(OFFSET(Arb!$A$2,,,Arb!$AJ$5,),AX99))+ROW()*0.001)</f>
        <v>43786.099000000002</v>
      </c>
      <c r="BE99" s="436">
        <v>74</v>
      </c>
      <c r="BF99" s="1">
        <v>2119</v>
      </c>
      <c r="BG99" s="52">
        <f ca="1">IF(BF99="","",INDEX(OFFSET(Arb!$H$2,,,Arb!$AJ$5,),BF99))</f>
        <v>29.29</v>
      </c>
      <c r="BH99" s="3">
        <f t="shared" ca="1" si="32"/>
        <v>2.5264595425059748</v>
      </c>
      <c r="BI99" s="165">
        <f ca="1">IF(BF99="","",INDEX(OFFSET(Arb!$X$2,,,Arb!$AJ$5,),BF99)/BG99)</f>
        <v>3.3799931717309661</v>
      </c>
      <c r="BJ99" s="165">
        <f ca="1">IF(BF99="","",(INDEX(OFFSET(Arb!$U$2,,,Arb!$AJ$5,),BF99)+INDEX(OFFSET(Arb!$V$2,,,Arb!$AJ$5,),BF99))/BG99)</f>
        <v>3.9945373847729604</v>
      </c>
      <c r="BK99" s="51">
        <f t="shared" ca="1" si="42"/>
        <v>36.523081723207</v>
      </c>
      <c r="BL99" s="91">
        <f ca="1">IF(BF99="","",DATE(INDEX(OFFSET(Arb!$C$2,,,Arb!$AJ$5,),BF99),INDEX(OFFSET(Arb!$B$2,,,Arb!$AJ$5,),BF99),INDEX(OFFSET(Arb!$A$2,,,Arb!$AJ$5,),BF99))+ROW()*0.001)</f>
        <v>43811.099000000002</v>
      </c>
      <c r="BM99" s="442">
        <v>74</v>
      </c>
      <c r="BN99" s="1">
        <v>2156</v>
      </c>
      <c r="BO99" s="52">
        <f ca="1">IF(BN99="","",INDEX(OFFSET(Arb!$H$2,,,Arb!$AJ$5,),BN99))</f>
        <v>29.31</v>
      </c>
      <c r="BP99" s="3">
        <f t="shared" ca="1" si="33"/>
        <v>2.5247355851245308</v>
      </c>
      <c r="BQ99" s="165">
        <f ca="1">IF(BN99="","",INDEX(OFFSET(Arb!$X$2,,,Arb!$AJ$5,),BN99)/BO99)</f>
        <v>3.3776867963152508</v>
      </c>
      <c r="BR99" s="165">
        <f ca="1">IF(BN99="","",(INDEX(OFFSET(Arb!$U$2,,,Arb!$AJ$5,),BN99)+INDEX(OFFSET(Arb!$V$2,,,Arb!$AJ$5,),BN99))/BO99)</f>
        <v>4.0600477652678268</v>
      </c>
      <c r="BS99" s="51">
        <f t="shared" ca="1" si="43"/>
        <v>36.480724569080934</v>
      </c>
      <c r="BT99" s="88">
        <f ca="1">IF(BN99="","",DATE(INDEX(OFFSET(Arb!$C$2,,,Arb!$AJ$5,),BN99),INDEX(OFFSET(Arb!$B$2,,,Arb!$AJ$5,),BN99),INDEX(OFFSET(Arb!$A$2,,,Arb!$AJ$5,),BN99))+ROW()*0.001)</f>
        <v>43822.099000000002</v>
      </c>
      <c r="BU99" s="436">
        <v>74</v>
      </c>
      <c r="BV99" s="1">
        <v>2374</v>
      </c>
      <c r="BW99" s="52">
        <f ca="1">IF(BV99="","",INDEX(OFFSET(Arb!$H$2,,,Arb!$AJ$5,),BV99))</f>
        <v>30.03</v>
      </c>
      <c r="BX99" s="3">
        <f t="shared" ca="1" si="34"/>
        <v>2.4642024642024642</v>
      </c>
      <c r="BY99" s="165">
        <f ca="1">IF(BV99="","",INDEX(OFFSET(Arb!$X$2,,,Arb!$AJ$5,),BV99)/BW99)</f>
        <v>3.0303030303030303</v>
      </c>
      <c r="BZ99" s="165">
        <f ca="1">IF(BV99="","",(INDEX(OFFSET(Arb!$U$2,,,Arb!$AJ$5,),BV99)+INDEX(OFFSET(Arb!$V$2,,,Arb!$AJ$5,),BV99))/BW99)</f>
        <v>3.6963036963036964</v>
      </c>
      <c r="CA99" s="51">
        <f t="shared" ca="1" si="44"/>
        <v>35.006305791632286</v>
      </c>
      <c r="CB99" s="91">
        <f ca="1">IF(BV99="","",DATE(INDEX(OFFSET(Arb!$C$2,,,Arb!$AJ$5,),BV99),INDEX(OFFSET(Arb!$B$2,,,Arb!$AJ$5,),BV99),INDEX(OFFSET(Arb!$A$2,,,Arb!$AJ$5,),BV99))+ROW()*0.001)</f>
        <v>44114.099000000002</v>
      </c>
    </row>
    <row r="100" spans="1:80" x14ac:dyDescent="0.25">
      <c r="A100" s="436">
        <v>75</v>
      </c>
      <c r="B100" s="1">
        <v>2370</v>
      </c>
      <c r="C100" s="52">
        <f ca="1">IF(B100="","",INDEX(OFFSET(Arb!$H$2,,,Arb!$AJ$5,),B100))</f>
        <v>23.35</v>
      </c>
      <c r="D100" s="3">
        <f t="shared" ca="1" si="25"/>
        <v>3.2119914346895073</v>
      </c>
      <c r="E100" s="165">
        <f ca="1">IF(B100="","",INDEX(OFFSET(Arb!$X$2,,,Arb!$AJ$5,),B100)/C100)</f>
        <v>3.1263383297644536</v>
      </c>
      <c r="F100" s="165">
        <f ca="1">IF(B100="","",(INDEX(OFFSET(Arb!$U$2,,,Arb!$AJ$5,),B100)+INDEX(OFFSET(Arb!$V$2,,,Arb!$AJ$5,),B100))/C100)</f>
        <v>3.6402569593147751</v>
      </c>
      <c r="G100" s="51">
        <f t="shared" ca="1" si="35"/>
        <v>54.416698118260094</v>
      </c>
      <c r="H100" s="355">
        <f ca="1">IF(B100="","",DATE(INDEX(OFFSET(Arb!$C$2,,,Arb!$AJ$5,),B100),INDEX(OFFSET(Arb!$B$2,,,Arb!$AJ$5,),B100),INDEX(OFFSET(Arb!$A$2,,,Arb!$AJ$5,),B100))+ROW()*0.001)</f>
        <v>44114.1</v>
      </c>
      <c r="I100" s="436">
        <v>75</v>
      </c>
      <c r="J100" s="1">
        <v>2210</v>
      </c>
      <c r="K100" s="52">
        <f ca="1">IF(J100="","",INDEX(OFFSET(Arb!$H$2,,,Arb!$AJ$5,),J100))</f>
        <v>26.69</v>
      </c>
      <c r="L100" s="3">
        <f t="shared" ca="1" si="26"/>
        <v>2.8100412139378044</v>
      </c>
      <c r="M100" s="165">
        <f ca="1">IF(J100="","",INDEX(OFFSET(Arb!$X$2,,,Arb!$AJ$5,),J100)/K100)</f>
        <v>3.3345822405395276</v>
      </c>
      <c r="N100" s="165">
        <f ca="1">IF(J100="","",(INDEX(OFFSET(Arb!$U$2,,,Arb!$AJ$5,),J100)+INDEX(OFFSET(Arb!$V$2,,,Arb!$AJ$5,),J100))/K100)</f>
        <v>3.9715249156987635</v>
      </c>
      <c r="O100" s="51">
        <f t="shared" ca="1" si="36"/>
        <v>43.353814509447261</v>
      </c>
      <c r="P100" s="91">
        <f ca="1">IF(J100="","",DATE(INDEX(OFFSET(Arb!$C$2,,,Arb!$AJ$5,),J100),INDEX(OFFSET(Arb!$B$2,,,Arb!$AJ$5,),J100),INDEX(OFFSET(Arb!$A$2,,,Arb!$AJ$5,),J100))+ROW()*0.001)</f>
        <v>43869.1</v>
      </c>
      <c r="Q100" s="442">
        <v>75</v>
      </c>
      <c r="R100" s="1">
        <v>2406</v>
      </c>
      <c r="S100" s="52">
        <f ca="1">IF(R100="","",INDEX(OFFSET(Arb!$H$2,,,Arb!$AJ$5,),R100))</f>
        <v>27.28</v>
      </c>
      <c r="T100" s="3">
        <f t="shared" ca="1" si="27"/>
        <v>2.7492668621700878</v>
      </c>
      <c r="U100" s="165">
        <f ca="1">IF(R100="","",INDEX(OFFSET(Arb!$X$2,,,Arb!$AJ$5,),R100)/S100)</f>
        <v>2.8592375366568912</v>
      </c>
      <c r="V100" s="165">
        <f ca="1">IF(R100="","",(INDEX(OFFSET(Arb!$U$2,,,Arb!$AJ$5,),R100)+INDEX(OFFSET(Arb!$V$2,,,Arb!$AJ$5,),R100))/S100)</f>
        <v>3.2624633431085042</v>
      </c>
      <c r="W100" s="51">
        <f t="shared" ca="1" si="37"/>
        <v>41.77192296354594</v>
      </c>
      <c r="X100" s="88">
        <f ca="1">IF(R100="","",DATE(INDEX(OFFSET(Arb!$C$2,,,Arb!$AJ$5,),R100),INDEX(OFFSET(Arb!$B$2,,,Arb!$AJ$5,),R100),INDEX(OFFSET(Arb!$A$2,,,Arb!$AJ$5,),R100))+ROW()*0.001)</f>
        <v>44168.1</v>
      </c>
      <c r="Y100" s="436">
        <v>75</v>
      </c>
      <c r="Z100" s="1">
        <v>2376</v>
      </c>
      <c r="AA100" s="52">
        <f ca="1">IF(Z100="","",INDEX(OFFSET(Arb!$H$2,,,Arb!$AJ$5,),Z100))</f>
        <v>27.71</v>
      </c>
      <c r="AB100" s="3">
        <f t="shared" ca="1" si="28"/>
        <v>2.7066041140382531</v>
      </c>
      <c r="AC100" s="165">
        <f ca="1">IF(Z100="","",INDEX(OFFSET(Arb!$X$2,,,Arb!$AJ$5,),Z100)/AA100)</f>
        <v>3.4283652111151208</v>
      </c>
      <c r="AD100" s="165">
        <f ca="1">IF(Z100="","",(INDEX(OFFSET(Arb!$U$2,,,Arb!$AJ$5,),Z100)+INDEX(OFFSET(Arb!$V$2,,,Arb!$AJ$5,),Z100))/AA100)</f>
        <v>4.0057740887766151</v>
      </c>
      <c r="AE100" s="51">
        <f t="shared" ca="1" si="38"/>
        <v>40.675958609938398</v>
      </c>
      <c r="AF100" s="91">
        <f ca="1">IF(Z100="","",DATE(INDEX(OFFSET(Arb!$C$2,,,Arb!$AJ$5,),Z100),INDEX(OFFSET(Arb!$B$2,,,Arb!$AJ$5,),Z100),INDEX(OFFSET(Arb!$A$2,,,Arb!$AJ$5,),Z100))+ROW()*0.001)</f>
        <v>44114.1</v>
      </c>
      <c r="AG100" s="442">
        <v>75</v>
      </c>
      <c r="AH100" s="1">
        <v>2152</v>
      </c>
      <c r="AI100" s="52">
        <f ca="1">IF(AH100="","",INDEX(OFFSET(Arb!$H$2,,,Arb!$AJ$5,),AH100))</f>
        <v>27.86</v>
      </c>
      <c r="AJ100" s="3">
        <f t="shared" ca="1" si="29"/>
        <v>2.6920315865039486</v>
      </c>
      <c r="AK100" s="165">
        <f ca="1">IF(AH100="","",INDEX(OFFSET(Arb!$X$2,,,Arb!$AJ$5,),AH100)/AI100)</f>
        <v>3.3740129217516155</v>
      </c>
      <c r="AL100" s="165">
        <f ca="1">IF(AH100="","",(INDEX(OFFSET(Arb!$U$2,,,Arb!$AJ$5,),AH100)+INDEX(OFFSET(Arb!$V$2,,,Arb!$AJ$5,),AH100))/AI100)</f>
        <v>3.8047379755922472</v>
      </c>
      <c r="AM100" s="51">
        <f t="shared" ca="1" si="39"/>
        <v>40.30435728254772</v>
      </c>
      <c r="AN100" s="88">
        <f ca="1">IF(AH100="","",DATE(INDEX(OFFSET(Arb!$C$2,,,Arb!$AJ$5,),AH100),INDEX(OFFSET(Arb!$B$2,,,Arb!$AJ$5,),AH100),INDEX(OFFSET(Arb!$A$2,,,Arb!$AJ$5,),AH100))+ROW()*0.001)</f>
        <v>43821.1</v>
      </c>
      <c r="AO100" s="436">
        <v>75</v>
      </c>
      <c r="AP100" s="1">
        <v>2153</v>
      </c>
      <c r="AQ100" s="52">
        <f ca="1">IF(AP100="","",INDEX(OFFSET(Arb!$H$2,,,Arb!$AJ$5,),AP100))</f>
        <v>28.21</v>
      </c>
      <c r="AR100" s="3">
        <f t="shared" ca="1" si="30"/>
        <v>2.6586316908897554</v>
      </c>
      <c r="AS100" s="165">
        <f ca="1">IF(AP100="","",INDEX(OFFSET(Arb!$X$2,,,Arb!$AJ$5,),AP100)/AQ100)</f>
        <v>3.3321517192484933</v>
      </c>
      <c r="AT100" s="165">
        <f ca="1">IF(AP100="","",(INDEX(OFFSET(Arb!$U$2,,,Arb!$AJ$5,),AP100)+INDEX(OFFSET(Arb!$V$2,,,Arb!$AJ$5,),AP100))/AQ100)</f>
        <v>3.6866359447004609</v>
      </c>
      <c r="AU100" s="51">
        <f t="shared" ca="1" si="40"/>
        <v>39.457961444202404</v>
      </c>
      <c r="AV100" s="91">
        <f ca="1">IF(AP100="","",DATE(INDEX(OFFSET(Arb!$C$2,,,Arb!$AJ$5,),AP100),INDEX(OFFSET(Arb!$B$2,,,Arb!$AJ$5,),AP100),INDEX(OFFSET(Arb!$A$2,,,Arb!$AJ$5,),AP100))+ROW()*0.001)</f>
        <v>43821.1</v>
      </c>
      <c r="AW100" s="442">
        <v>75</v>
      </c>
      <c r="AX100" s="1">
        <v>2217</v>
      </c>
      <c r="AY100" s="52">
        <f ca="1">IF(AX100="","",INDEX(OFFSET(Arb!$H$2,,,Arb!$AJ$5,),AX100))</f>
        <v>28.72</v>
      </c>
      <c r="AZ100" s="3">
        <f t="shared" ca="1" si="31"/>
        <v>2.6114206128133706</v>
      </c>
      <c r="BA100" s="165">
        <f ca="1">IF(AX100="","",INDEX(OFFSET(Arb!$X$2,,,Arb!$AJ$5,),AX100)/AY100)</f>
        <v>3.3077994428969362</v>
      </c>
      <c r="BB100" s="165">
        <f ca="1">IF(AX100="","",(INDEX(OFFSET(Arb!$U$2,,,Arb!$AJ$5,),AX100)+INDEX(OFFSET(Arb!$V$2,,,Arb!$AJ$5,),AX100))/AY100)</f>
        <v>3.6908077994428972</v>
      </c>
      <c r="BC100" s="51">
        <f t="shared" ca="1" si="41"/>
        <v>38.274220109312864</v>
      </c>
      <c r="BD100" s="88">
        <f ca="1">IF(AX100="","",DATE(INDEX(OFFSET(Arb!$C$2,,,Arb!$AJ$5,),AX100),INDEX(OFFSET(Arb!$B$2,,,Arb!$AJ$5,),AX100),INDEX(OFFSET(Arb!$A$2,,,Arb!$AJ$5,),AX100))+ROW()*0.001)</f>
        <v>43870.1</v>
      </c>
      <c r="BE100" s="436">
        <v>75</v>
      </c>
      <c r="BF100" s="1">
        <v>1913</v>
      </c>
      <c r="BG100" s="52">
        <f ca="1">IF(BF100="","",INDEX(OFFSET(Arb!$H$2,,,Arb!$AJ$5,),BF100))</f>
        <v>28.73</v>
      </c>
      <c r="BH100" s="3">
        <f t="shared" ca="1" si="32"/>
        <v>2.6105116602854159</v>
      </c>
      <c r="BI100" s="165">
        <f ca="1">IF(BF100="","",INDEX(OFFSET(Arb!$X$2,,,Arb!$AJ$5,),BF100)/BG100)</f>
        <v>2.8889662373825269</v>
      </c>
      <c r="BJ100" s="165">
        <f ca="1">IF(BF100="","",(INDEX(OFFSET(Arb!$U$2,,,Arb!$AJ$5,),BF100)+INDEX(OFFSET(Arb!$V$2,,,Arb!$AJ$5,),BF100))/BG100)</f>
        <v>3.1674208144796379</v>
      </c>
      <c r="BK100" s="51">
        <f t="shared" ca="1" si="42"/>
        <v>38.251575400890893</v>
      </c>
      <c r="BL100" s="91">
        <f ca="1">IF(BF100="","",DATE(INDEX(OFFSET(Arb!$C$2,,,Arb!$AJ$5,),BF100),INDEX(OFFSET(Arb!$B$2,,,Arb!$AJ$5,),BF100),INDEX(OFFSET(Arb!$A$2,,,Arb!$AJ$5,),BF100))+ROW()*0.001)</f>
        <v>43769.1</v>
      </c>
      <c r="BM100" s="442">
        <v>75</v>
      </c>
      <c r="BN100" s="1">
        <v>2054</v>
      </c>
      <c r="BO100" s="52">
        <f ca="1">IF(BN100="","",INDEX(OFFSET(Arb!$H$2,,,Arb!$AJ$5,),BN100))</f>
        <v>29.32</v>
      </c>
      <c r="BP100" s="3">
        <f t="shared" ca="1" si="33"/>
        <v>2.5579809004092771</v>
      </c>
      <c r="BQ100" s="165">
        <f ca="1">IF(BN100="","",INDEX(OFFSET(Arb!$X$2,,,Arb!$AJ$5,),BN100)/BO100)</f>
        <v>3.3424283765347886</v>
      </c>
      <c r="BR100" s="165">
        <f ca="1">IF(BN100="","",(INDEX(OFFSET(Arb!$U$2,,,Arb!$AJ$5,),BN100)+INDEX(OFFSET(Arb!$V$2,,,Arb!$AJ$5,),BN100))/BO100)</f>
        <v>3.7858117326057297</v>
      </c>
      <c r="BS100" s="51">
        <f t="shared" ca="1" si="43"/>
        <v>36.952272204257802</v>
      </c>
      <c r="BT100" s="88">
        <f ca="1">IF(BN100="","",DATE(INDEX(OFFSET(Arb!$C$2,,,Arb!$AJ$5,),BN100),INDEX(OFFSET(Arb!$B$2,,,Arb!$AJ$5,),BN100),INDEX(OFFSET(Arb!$A$2,,,Arb!$AJ$5,),BN100))+ROW()*0.001)</f>
        <v>43800.1</v>
      </c>
      <c r="BU100" s="436">
        <v>75</v>
      </c>
      <c r="BV100" s="1">
        <v>2087</v>
      </c>
      <c r="BW100" s="52">
        <f ca="1">IF(BV100="","",INDEX(OFFSET(Arb!$H$2,,,Arb!$AJ$5,),BV100))</f>
        <v>29.84</v>
      </c>
      <c r="BX100" s="3">
        <f t="shared" ca="1" si="34"/>
        <v>2.5134048257372656</v>
      </c>
      <c r="BY100" s="165">
        <f ca="1">IF(BV100="","",INDEX(OFFSET(Arb!$X$2,,,Arb!$AJ$5,),BV100)/BW100)</f>
        <v>3.284182305630027</v>
      </c>
      <c r="BZ100" s="165">
        <f ca="1">IF(BV100="","",(INDEX(OFFSET(Arb!$U$2,,,Arb!$AJ$5,),BV100)+INDEX(OFFSET(Arb!$V$2,,,Arb!$AJ$5,),BV100))/BW100)</f>
        <v>3.6863270777479893</v>
      </c>
      <c r="CA100" s="51">
        <f t="shared" ca="1" si="44"/>
        <v>35.864262006744177</v>
      </c>
      <c r="CB100" s="91">
        <f ca="1">IF(BV100="","",DATE(INDEX(OFFSET(Arb!$C$2,,,Arb!$AJ$5,),BV100),INDEX(OFFSET(Arb!$B$2,,,Arb!$AJ$5,),BV100),INDEX(OFFSET(Arb!$A$2,,,Arb!$AJ$5,),BV100))+ROW()*0.001)</f>
        <v>43809.1</v>
      </c>
    </row>
    <row r="101" spans="1:80" x14ac:dyDescent="0.25">
      <c r="A101" s="436">
        <v>76</v>
      </c>
      <c r="B101" s="1">
        <v>2202</v>
      </c>
      <c r="C101" s="52">
        <f ca="1">IF(B101="","",INDEX(OFFSET(Arb!$H$2,,,Arb!$AJ$5,),B101))</f>
        <v>25.93</v>
      </c>
      <c r="D101" s="3">
        <f t="shared" ca="1" si="25"/>
        <v>2.9309679907443118</v>
      </c>
      <c r="E101" s="165">
        <f ca="1">IF(B101="","",INDEX(OFFSET(Arb!$X$2,,,Arb!$AJ$5,),B101)/C101)</f>
        <v>3.2009255688391827</v>
      </c>
      <c r="F101" s="165">
        <f ca="1">IF(B101="","",(INDEX(OFFSET(Arb!$U$2,,,Arb!$AJ$5,),B101)+INDEX(OFFSET(Arb!$V$2,,,Arb!$AJ$5,),B101))/C101)</f>
        <v>3.2780563054377168</v>
      </c>
      <c r="G101" s="51">
        <f t="shared" ca="1" si="35"/>
        <v>46.143224617153187</v>
      </c>
      <c r="H101" s="355">
        <f ca="1">IF(B101="","",DATE(INDEX(OFFSET(Arb!$C$2,,,Arb!$AJ$5,),B101),INDEX(OFFSET(Arb!$B$2,,,Arb!$AJ$5,),B101),INDEX(OFFSET(Arb!$A$2,,,Arb!$AJ$5,),B101))+ROW()*0.001)</f>
        <v>43869.101000000002</v>
      </c>
      <c r="I101" s="436">
        <v>76</v>
      </c>
      <c r="J101" s="1">
        <v>2286</v>
      </c>
      <c r="K101" s="52">
        <f ca="1">IF(J101="","",INDEX(OFFSET(Arb!$H$2,,,Arb!$AJ$5,),J101))</f>
        <v>28.63</v>
      </c>
      <c r="L101" s="3">
        <f t="shared" ca="1" si="26"/>
        <v>2.6545581557806499</v>
      </c>
      <c r="M101" s="165">
        <f ca="1">IF(J101="","",INDEX(OFFSET(Arb!$X$2,,,Arb!$AJ$5,),J101)/K101)</f>
        <v>3.597624869018512</v>
      </c>
      <c r="N101" s="165">
        <f ca="1">IF(J101="","",(INDEX(OFFSET(Arb!$U$2,,,Arb!$AJ$5,),J101)+INDEX(OFFSET(Arb!$V$2,,,Arb!$AJ$5,),J101))/K101)</f>
        <v>4.0866224240307369</v>
      </c>
      <c r="O101" s="51">
        <f t="shared" ca="1" si="36"/>
        <v>38.992037348152145</v>
      </c>
      <c r="P101" s="91">
        <f ca="1">IF(J101="","",DATE(INDEX(OFFSET(Arb!$C$2,,,Arb!$AJ$5,),J101),INDEX(OFFSET(Arb!$B$2,,,Arb!$AJ$5,),J101),INDEX(OFFSET(Arb!$A$2,,,Arb!$AJ$5,),J101))+ROW()*0.001)</f>
        <v>43935.101000000002</v>
      </c>
      <c r="Q101" s="442">
        <v>76</v>
      </c>
      <c r="R101" s="1">
        <v>1976</v>
      </c>
      <c r="S101" s="52">
        <f ca="1">IF(R101="","",INDEX(OFFSET(Arb!$H$2,,,Arb!$AJ$5,),R101))</f>
        <v>28.75</v>
      </c>
      <c r="T101" s="3">
        <f t="shared" ca="1" si="27"/>
        <v>2.6434782608695651</v>
      </c>
      <c r="U101" s="165">
        <f ca="1">IF(R101="","",INDEX(OFFSET(Arb!$X$2,,,Arb!$AJ$5,),R101)/S101)</f>
        <v>3.2347826086956522</v>
      </c>
      <c r="V101" s="165">
        <f ca="1">IF(R101="","",(INDEX(OFFSET(Arb!$U$2,,,Arb!$AJ$5,),R101)+INDEX(OFFSET(Arb!$V$2,,,Arb!$AJ$5,),R101))/S101)</f>
        <v>3.652173913043478</v>
      </c>
      <c r="W101" s="51">
        <f t="shared" ca="1" si="37"/>
        <v>38.71576776704034</v>
      </c>
      <c r="X101" s="88">
        <f ca="1">IF(R101="","",DATE(INDEX(OFFSET(Arb!$C$2,,,Arb!$AJ$5,),R101),INDEX(OFFSET(Arb!$B$2,,,Arb!$AJ$5,),R101),INDEX(OFFSET(Arb!$A$2,,,Arb!$AJ$5,),R101))+ROW()*0.001)</f>
        <v>43781.101000000002</v>
      </c>
      <c r="Y101" s="436">
        <v>76</v>
      </c>
      <c r="Z101" s="1">
        <v>1963</v>
      </c>
      <c r="AA101" s="52">
        <f ca="1">IF(Z101="","",INDEX(OFFSET(Arb!$H$2,,,Arb!$AJ$5,),Z101))</f>
        <v>29.99</v>
      </c>
      <c r="AB101" s="3">
        <f t="shared" ca="1" si="28"/>
        <v>2.5341780593531178</v>
      </c>
      <c r="AC101" s="165">
        <f ca="1">IF(Z101="","",INDEX(OFFSET(Arb!$X$2,,,Arb!$AJ$5,),Z101)/AA101)</f>
        <v>2.9009669889963323</v>
      </c>
      <c r="AD101" s="165">
        <f ca="1">IF(Z101="","",(INDEX(OFFSET(Arb!$U$2,,,Arb!$AJ$5,),Z101)+INDEX(OFFSET(Arb!$V$2,,,Arb!$AJ$5,),Z101))/AA101)</f>
        <v>3.4678226075358456</v>
      </c>
      <c r="AE101" s="51">
        <f t="shared" ca="1" si="38"/>
        <v>36.033979544360577</v>
      </c>
      <c r="AF101" s="91">
        <f ca="1">IF(Z101="","",DATE(INDEX(OFFSET(Arb!$C$2,,,Arb!$AJ$5,),Z101),INDEX(OFFSET(Arb!$B$2,,,Arb!$AJ$5,),Z101),INDEX(OFFSET(Arb!$A$2,,,Arb!$AJ$5,),Z101))+ROW()*0.001)</f>
        <v>43779.101000000002</v>
      </c>
      <c r="AG101" s="442">
        <v>76</v>
      </c>
      <c r="AH101" s="1">
        <v>2225</v>
      </c>
      <c r="AI101" s="52">
        <f ca="1">IF(AH101="","",INDEX(OFFSET(Arb!$H$2,,,Arb!$AJ$5,),AH101))</f>
        <v>30.26</v>
      </c>
      <c r="AJ101" s="3">
        <f t="shared" ca="1" si="29"/>
        <v>2.5115664243225377</v>
      </c>
      <c r="AK101" s="165">
        <f ca="1">IF(AH101="","",INDEX(OFFSET(Arb!$X$2,,,Arb!$AJ$5,),AH101)/AI101)</f>
        <v>3.4038334434897553</v>
      </c>
      <c r="AL101" s="165">
        <f ca="1">IF(AH101="","",(INDEX(OFFSET(Arb!$U$2,,,Arb!$AJ$5,),AH101)+INDEX(OFFSET(Arb!$V$2,,,Arb!$AJ$5,),AH101))/AI101)</f>
        <v>3.9986781229345669</v>
      </c>
      <c r="AM101" s="51">
        <f t="shared" ca="1" si="39"/>
        <v>35.48910517849027</v>
      </c>
      <c r="AN101" s="88">
        <f ca="1">IF(AH101="","",DATE(INDEX(OFFSET(Arb!$C$2,,,Arb!$AJ$5,),AH101),INDEX(OFFSET(Arb!$B$2,,,Arb!$AJ$5,),AH101),INDEX(OFFSET(Arb!$A$2,,,Arb!$AJ$5,),AH101))+ROW()*0.001)</f>
        <v>43870.101000000002</v>
      </c>
      <c r="AO101" s="436">
        <v>76</v>
      </c>
      <c r="AP101" s="1">
        <v>2024</v>
      </c>
      <c r="AQ101" s="52">
        <f ca="1">IF(AP101="","",INDEX(OFFSET(Arb!$H$2,,,Arb!$AJ$5,),AP101))</f>
        <v>31.66</v>
      </c>
      <c r="AR101" s="3">
        <f t="shared" ca="1" si="30"/>
        <v>2.4005053695514844</v>
      </c>
      <c r="AS101" s="165">
        <f ca="1">IF(AP101="","",INDEX(OFFSET(Arb!$X$2,,,Arb!$AJ$5,),AP101)/AQ101)</f>
        <v>2.9690461149715728</v>
      </c>
      <c r="AT101" s="165">
        <f ca="1">IF(AP101="","",(INDEX(OFFSET(Arb!$U$2,,,Arb!$AJ$5,),AP101)+INDEX(OFFSET(Arb!$V$2,,,Arb!$AJ$5,),AP101))/AQ101)</f>
        <v>3.5375868603916616</v>
      </c>
      <c r="AU101" s="51">
        <f t="shared" ca="1" si="40"/>
        <v>32.862732489370863</v>
      </c>
      <c r="AV101" s="91">
        <f ca="1">IF(AP101="","",DATE(INDEX(OFFSET(Arb!$C$2,,,Arb!$AJ$5,),AP101),INDEX(OFFSET(Arb!$B$2,,,Arb!$AJ$5,),AP101),INDEX(OFFSET(Arb!$A$2,,,Arb!$AJ$5,),AP101))+ROW()*0.001)</f>
        <v>43796.101000000002</v>
      </c>
      <c r="AW101" s="442">
        <v>76</v>
      </c>
      <c r="AX101" s="1">
        <v>1996</v>
      </c>
      <c r="AY101" s="52">
        <f ca="1">IF(AX101="","",INDEX(OFFSET(Arb!$H$2,,,Arb!$AJ$5,),AX101))</f>
        <v>32.130000000000003</v>
      </c>
      <c r="AZ101" s="3">
        <f t="shared" ca="1" si="31"/>
        <v>2.3653906006847181</v>
      </c>
      <c r="BA101" s="165">
        <f ca="1">IF(AX101="","",INDEX(OFFSET(Arb!$X$2,,,Arb!$AJ$5,),AX101)/AY101)</f>
        <v>2.9256146903205726</v>
      </c>
      <c r="BB101" s="165">
        <f ca="1">IF(AX101="","",(INDEX(OFFSET(Arb!$U$2,,,Arb!$AJ$5,),AX101)+INDEX(OFFSET(Arb!$V$2,,,Arb!$AJ$5,),AX101))/AY101)</f>
        <v>3.3613445378151257</v>
      </c>
      <c r="BC101" s="51">
        <f t="shared" ca="1" si="41"/>
        <v>32.049701280231034</v>
      </c>
      <c r="BD101" s="88">
        <f ca="1">IF(AX101="","",DATE(INDEX(OFFSET(Arb!$C$2,,,Arb!$AJ$5,),AX101),INDEX(OFFSET(Arb!$B$2,,,Arb!$AJ$5,),AX101),INDEX(OFFSET(Arb!$A$2,,,Arb!$AJ$5,),AX101))+ROW()*0.001)</f>
        <v>43785.101000000002</v>
      </c>
      <c r="BE101" s="436">
        <v>76</v>
      </c>
      <c r="BG101" s="52" t="str">
        <f ca="1">IF(BF101="","",INDEX(OFFSET(Arb!$H$2,,,Arb!$AJ$5,),BF101))</f>
        <v/>
      </c>
      <c r="BH101" s="3" t="str">
        <f t="shared" ca="1" si="32"/>
        <v/>
      </c>
      <c r="BI101" s="165" t="str">
        <f ca="1">IF(BF101="","",INDEX(OFFSET(Arb!$X$2,,,Arb!$AJ$5,),BF101)/BG101)</f>
        <v/>
      </c>
      <c r="BJ101" s="165" t="str">
        <f ca="1">IF(BF101="","",(INDEX(OFFSET(Arb!$U$2,,,Arb!$AJ$5,),BF101)+INDEX(OFFSET(Arb!$V$2,,,Arb!$AJ$5,),BF101))/BG101)</f>
        <v/>
      </c>
      <c r="BK101" s="51" t="str">
        <f t="shared" ca="1" si="42"/>
        <v/>
      </c>
      <c r="BL101" s="91" t="str">
        <f ca="1">IF(BF101="","",DATE(INDEX(OFFSET(Arb!$C$2,,,Arb!$AJ$5,),BF101),INDEX(OFFSET(Arb!$B$2,,,Arb!$AJ$5,),BF101),INDEX(OFFSET(Arb!$A$2,,,Arb!$AJ$5,),BF101))+ROW()*0.001)</f>
        <v/>
      </c>
      <c r="BM101" s="442">
        <v>76</v>
      </c>
      <c r="BO101" s="52" t="str">
        <f ca="1">IF(BN101="","",INDEX(OFFSET(Arb!$H$2,,,Arb!$AJ$5,),BN101))</f>
        <v/>
      </c>
      <c r="BP101" s="3" t="str">
        <f t="shared" ca="1" si="33"/>
        <v/>
      </c>
      <c r="BQ101" s="165" t="str">
        <f ca="1">IF(BN101="","",INDEX(OFFSET(Arb!$X$2,,,Arb!$AJ$5,),BN101)/BO101)</f>
        <v/>
      </c>
      <c r="BR101" s="165" t="str">
        <f ca="1">IF(BN101="","",(INDEX(OFFSET(Arb!$U$2,,,Arb!$AJ$5,),BN101)+INDEX(OFFSET(Arb!$V$2,,,Arb!$AJ$5,),BN101))/BO101)</f>
        <v/>
      </c>
      <c r="BS101" s="51" t="str">
        <f t="shared" ca="1" si="43"/>
        <v/>
      </c>
      <c r="BT101" s="88" t="str">
        <f ca="1">IF(BN101="","",DATE(INDEX(OFFSET(Arb!$C$2,,,Arb!$AJ$5,),BN101),INDEX(OFFSET(Arb!$B$2,,,Arb!$AJ$5,),BN101),INDEX(OFFSET(Arb!$A$2,,,Arb!$AJ$5,),BN101))+ROW()*0.001)</f>
        <v/>
      </c>
      <c r="BU101" s="436">
        <v>76</v>
      </c>
      <c r="BW101" s="52" t="str">
        <f ca="1">IF(BV101="","",INDEX(OFFSET(Arb!$H$2,,,Arb!$AJ$5,),BV101))</f>
        <v/>
      </c>
      <c r="BX101" s="3" t="str">
        <f t="shared" ca="1" si="34"/>
        <v/>
      </c>
      <c r="BY101" s="165" t="str">
        <f ca="1">IF(BV101="","",INDEX(OFFSET(Arb!$X$2,,,Arb!$AJ$5,),BV101)/BW101)</f>
        <v/>
      </c>
      <c r="BZ101" s="165" t="str">
        <f ca="1">IF(BV101="","",(INDEX(OFFSET(Arb!$U$2,,,Arb!$AJ$5,),BV101)+INDEX(OFFSET(Arb!$V$2,,,Arb!$AJ$5,),BV101))/BW101)</f>
        <v/>
      </c>
      <c r="CA101" s="51" t="str">
        <f t="shared" ca="1" si="44"/>
        <v/>
      </c>
      <c r="CB101" s="91" t="str">
        <f ca="1">IF(BV101="","",DATE(INDEX(OFFSET(Arb!$C$2,,,Arb!$AJ$5,),BV101),INDEX(OFFSET(Arb!$B$2,,,Arb!$AJ$5,),BV101),INDEX(OFFSET(Arb!$A$2,,,Arb!$AJ$5,),BV101))+ROW()*0.001)</f>
        <v/>
      </c>
    </row>
    <row r="102" spans="1:80" x14ac:dyDescent="0.25">
      <c r="A102" s="436">
        <v>77</v>
      </c>
      <c r="B102" s="1">
        <v>2055</v>
      </c>
      <c r="C102" s="52">
        <f ca="1">IF(B102="","",INDEX(OFFSET(Arb!$H$2,,,Arb!$AJ$5,),B102))</f>
        <v>25.45</v>
      </c>
      <c r="D102" s="3">
        <f t="shared" ca="1" si="25"/>
        <v>3.0255402750491158</v>
      </c>
      <c r="E102" s="165">
        <f ca="1">IF(B102="","",INDEX(OFFSET(Arb!$X$2,,,Arb!$AJ$5,),B102)/C102)</f>
        <v>3.7721021611001966</v>
      </c>
      <c r="F102" s="165">
        <f ca="1">IF(B102="","",(INDEX(OFFSET(Arb!$U$2,,,Arb!$AJ$5,),B102)+INDEX(OFFSET(Arb!$V$2,,,Arb!$AJ$5,),B102))/C102)</f>
        <v>4.1650294695481334</v>
      </c>
      <c r="G102" s="51">
        <f t="shared" ca="1" si="35"/>
        <v>48.259199638049218</v>
      </c>
      <c r="H102" s="355">
        <f ca="1">IF(B102="","",DATE(INDEX(OFFSET(Arb!$C$2,,,Arb!$AJ$5,),B102),INDEX(OFFSET(Arb!$B$2,,,Arb!$AJ$5,),B102),INDEX(OFFSET(Arb!$A$2,,,Arb!$AJ$5,),B102))+ROW()*0.001)</f>
        <v>43800.101999999999</v>
      </c>
      <c r="I102" s="436">
        <v>77</v>
      </c>
      <c r="J102" s="1">
        <v>2243</v>
      </c>
      <c r="K102" s="52">
        <f ca="1">IF(J102="","",INDEX(OFFSET(Arb!$H$2,,,Arb!$AJ$5,),J102))</f>
        <v>25.79</v>
      </c>
      <c r="L102" s="3">
        <f t="shared" ca="1" si="26"/>
        <v>2.9856533540131833</v>
      </c>
      <c r="M102" s="165">
        <f ca="1">IF(J102="","",INDEX(OFFSET(Arb!$X$2,,,Arb!$AJ$5,),J102)/K102)</f>
        <v>3.3346258239627762</v>
      </c>
      <c r="N102" s="165">
        <f ca="1">IF(J102="","",(INDEX(OFFSET(Arb!$U$2,,,Arb!$AJ$5,),J102)+INDEX(OFFSET(Arb!$V$2,,,Arb!$AJ$5,),J102))/K102)</f>
        <v>3.7223730127956576</v>
      </c>
      <c r="O102" s="51">
        <f t="shared" ca="1" si="36"/>
        <v>47.182621911693047</v>
      </c>
      <c r="P102" s="91">
        <f ca="1">IF(J102="","",DATE(INDEX(OFFSET(Arb!$C$2,,,Arb!$AJ$5,),J102),INDEX(OFFSET(Arb!$B$2,,,Arb!$AJ$5,),J102),INDEX(OFFSET(Arb!$A$2,,,Arb!$AJ$5,),J102))+ROW()*0.001)</f>
        <v>43892.101999999999</v>
      </c>
      <c r="Q102" s="442">
        <v>77</v>
      </c>
      <c r="R102" s="1">
        <v>2227</v>
      </c>
      <c r="S102" s="52">
        <f ca="1">IF(R102="","",INDEX(OFFSET(Arb!$H$2,,,Arb!$AJ$5,),R102))</f>
        <v>28.3</v>
      </c>
      <c r="T102" s="3">
        <f t="shared" ca="1" si="27"/>
        <v>2.7208480565371023</v>
      </c>
      <c r="U102" s="165">
        <f ca="1">IF(R102="","",INDEX(OFFSET(Arb!$X$2,,,Arb!$AJ$5,),R102)/S102)</f>
        <v>3.2862190812720846</v>
      </c>
      <c r="V102" s="165">
        <f ca="1">IF(R102="","",(INDEX(OFFSET(Arb!$U$2,,,Arb!$AJ$5,),R102)+INDEX(OFFSET(Arb!$V$2,,,Arb!$AJ$5,),R102))/S102)</f>
        <v>3.568904593639576</v>
      </c>
      <c r="W102" s="51">
        <f t="shared" ca="1" si="37"/>
        <v>40.291405004134347</v>
      </c>
      <c r="X102" s="88">
        <f ca="1">IF(R102="","",DATE(INDEX(OFFSET(Arb!$C$2,,,Arb!$AJ$5,),R102),INDEX(OFFSET(Arb!$B$2,,,Arb!$AJ$5,),R102),INDEX(OFFSET(Arb!$A$2,,,Arb!$AJ$5,),R102))+ROW()*0.001)</f>
        <v>43885.101999999999</v>
      </c>
      <c r="Y102" s="436">
        <v>77</v>
      </c>
      <c r="Z102" s="1">
        <v>2141</v>
      </c>
      <c r="AA102" s="52">
        <f ca="1">IF(Z102="","",INDEX(OFFSET(Arb!$H$2,,,Arb!$AJ$5,),Z102))</f>
        <v>28.38</v>
      </c>
      <c r="AB102" s="3">
        <f t="shared" ca="1" si="28"/>
        <v>2.7131782945736433</v>
      </c>
      <c r="AC102" s="165">
        <f ca="1">IF(Z102="","",INDEX(OFFSET(Arb!$X$2,,,Arb!$AJ$5,),Z102)/AA102)</f>
        <v>3.06553911205074</v>
      </c>
      <c r="AD102" s="165">
        <f ca="1">IF(Z102="","",(INDEX(OFFSET(Arb!$U$2,,,Arb!$AJ$5,),Z102)+INDEX(OFFSET(Arb!$V$2,,,Arb!$AJ$5,),Z102))/AA102)</f>
        <v>3.4531360112755465</v>
      </c>
      <c r="AE102" s="51">
        <f t="shared" ca="1" si="38"/>
        <v>40.098514824613645</v>
      </c>
      <c r="AF102" s="91">
        <f ca="1">IF(Z102="","",DATE(INDEX(OFFSET(Arb!$C$2,,,Arb!$AJ$5,),Z102),INDEX(OFFSET(Arb!$B$2,,,Arb!$AJ$5,),Z102),INDEX(OFFSET(Arb!$A$2,,,Arb!$AJ$5,),Z102))+ROW()*0.001)</f>
        <v>43817.101999999999</v>
      </c>
      <c r="AG102" s="442">
        <v>77</v>
      </c>
      <c r="AH102" s="1">
        <v>1882</v>
      </c>
      <c r="AI102" s="52">
        <f ca="1">IF(AH102="","",INDEX(OFFSET(Arb!$H$2,,,Arb!$AJ$5,),AH102))</f>
        <v>28.68</v>
      </c>
      <c r="AJ102" s="3">
        <f t="shared" ca="1" si="29"/>
        <v>2.6847977684797768</v>
      </c>
      <c r="AK102" s="165">
        <f ca="1">IF(AH102="","",INDEX(OFFSET(Arb!$X$2,,,Arb!$AJ$5,),AH102)/AI102)</f>
        <v>3.2775453277545328</v>
      </c>
      <c r="AL102" s="165">
        <f ca="1">IF(AH102="","",(INDEX(OFFSET(Arb!$U$2,,,Arb!$AJ$5,),AH102)+INDEX(OFFSET(Arb!$V$2,,,Arb!$AJ$5,),AH102))/AI102)</f>
        <v>3.6262203626220364</v>
      </c>
      <c r="AM102" s="51">
        <f t="shared" ca="1" si="39"/>
        <v>39.388079195531226</v>
      </c>
      <c r="AN102" s="88">
        <f ca="1">IF(AH102="","",DATE(INDEX(OFFSET(Arb!$C$2,,,Arb!$AJ$5,),AH102),INDEX(OFFSET(Arb!$B$2,,,Arb!$AJ$5,),AH102),INDEX(OFFSET(Arb!$A$2,,,Arb!$AJ$5,),AH102))+ROW()*0.001)</f>
        <v>43764.101999999999</v>
      </c>
      <c r="AO102" s="436">
        <v>77</v>
      </c>
      <c r="AP102" s="1">
        <v>2347</v>
      </c>
      <c r="AQ102" s="52">
        <f ca="1">IF(AP102="","",INDEX(OFFSET(Arb!$H$2,,,Arb!$AJ$5,),AP102))</f>
        <v>29.05</v>
      </c>
      <c r="AR102" s="3">
        <f t="shared" ca="1" si="30"/>
        <v>2.6506024096385543</v>
      </c>
      <c r="AS102" s="165">
        <f ca="1">IF(AP102="","",INDEX(OFFSET(Arb!$X$2,,,Arb!$AJ$5,),AP102)/AQ102)</f>
        <v>3.3390705679862305</v>
      </c>
      <c r="AT102" s="165">
        <f ca="1">IF(AP102="","",(INDEX(OFFSET(Arb!$U$2,,,Arb!$AJ$5,),AP102)+INDEX(OFFSET(Arb!$V$2,,,Arb!$AJ$5,),AP102))/AQ102)</f>
        <v>3.5800344234079171</v>
      </c>
      <c r="AU102" s="51">
        <f t="shared" ca="1" si="40"/>
        <v>38.539042454204981</v>
      </c>
      <c r="AV102" s="91">
        <f ca="1">IF(AP102="","",DATE(INDEX(OFFSET(Arb!$C$2,,,Arb!$AJ$5,),AP102),INDEX(OFFSET(Arb!$B$2,,,Arb!$AJ$5,),AP102),INDEX(OFFSET(Arb!$A$2,,,Arb!$AJ$5,),AP102))+ROW()*0.001)</f>
        <v>44106.101999999999</v>
      </c>
      <c r="AW102" s="442">
        <v>77</v>
      </c>
      <c r="AX102" s="1">
        <v>2002</v>
      </c>
      <c r="AY102" s="52">
        <f ca="1">IF(AX102="","",INDEX(OFFSET(Arb!$H$2,,,Arb!$AJ$5,),AX102))</f>
        <v>30.76</v>
      </c>
      <c r="AZ102" s="3">
        <f t="shared" ca="1" si="31"/>
        <v>2.5032509752925876</v>
      </c>
      <c r="BA102" s="165">
        <f ca="1">IF(AX102="","",INDEX(OFFSET(Arb!$X$2,,,Arb!$AJ$5,),AX102)/AY102)</f>
        <v>2.860858257477243</v>
      </c>
      <c r="BB102" s="165">
        <f ca="1">IF(AX102="","",(INDEX(OFFSET(Arb!$U$2,,,Arb!$AJ$5,),AX102)+INDEX(OFFSET(Arb!$V$2,,,Arb!$AJ$5,),AX102))/AY102)</f>
        <v>3.1859557867360206</v>
      </c>
      <c r="BC102" s="51">
        <f t="shared" ca="1" si="41"/>
        <v>34.968144604641701</v>
      </c>
      <c r="BD102" s="88">
        <f ca="1">IF(AX102="","",DATE(INDEX(OFFSET(Arb!$C$2,,,Arb!$AJ$5,),AX102),INDEX(OFFSET(Arb!$B$2,,,Arb!$AJ$5,),AX102),INDEX(OFFSET(Arb!$A$2,,,Arb!$AJ$5,),AX102))+ROW()*0.001)</f>
        <v>43786.101999999999</v>
      </c>
      <c r="BE102" s="436">
        <v>77</v>
      </c>
      <c r="BF102" s="1">
        <v>2058</v>
      </c>
      <c r="BG102" s="52">
        <f ca="1">IF(BF102="","",INDEX(OFFSET(Arb!$H$2,,,Arb!$AJ$5,),BF102))</f>
        <v>30.79</v>
      </c>
      <c r="BH102" s="3">
        <f t="shared" ca="1" si="32"/>
        <v>2.5008119519324459</v>
      </c>
      <c r="BI102" s="165">
        <f ca="1">IF(BF102="","",INDEX(OFFSET(Arb!$X$2,,,Arb!$AJ$5,),BF102)/BG102)</f>
        <v>3.4101981162715167</v>
      </c>
      <c r="BJ102" s="165">
        <f ca="1">IF(BF102="","",(INDEX(OFFSET(Arb!$U$2,,,Arb!$AJ$5,),BF102)+INDEX(OFFSET(Arb!$V$2,,,Arb!$AJ$5,),BF102))/BG102)</f>
        <v>3.8324131211432286</v>
      </c>
      <c r="BK102" s="51">
        <f t="shared" ca="1" si="42"/>
        <v>34.91024375536508</v>
      </c>
      <c r="BL102" s="91">
        <f ca="1">IF(BF102="","",DATE(INDEX(OFFSET(Arb!$C$2,,,Arb!$AJ$5,),BF102),INDEX(OFFSET(Arb!$B$2,,,Arb!$AJ$5,),BF102),INDEX(OFFSET(Arb!$A$2,,,Arb!$AJ$5,),BF102))+ROW()*0.001)</f>
        <v>43800.101999999999</v>
      </c>
      <c r="BM102" s="442">
        <v>77</v>
      </c>
      <c r="BN102" s="1">
        <v>2255</v>
      </c>
      <c r="BO102" s="52">
        <f ca="1">IF(BN102="","",INDEX(OFFSET(Arb!$H$2,,,Arb!$AJ$5,),BN102))</f>
        <v>30.83</v>
      </c>
      <c r="BP102" s="3">
        <f t="shared" ca="1" si="33"/>
        <v>2.4975673045734674</v>
      </c>
      <c r="BQ102" s="165">
        <f ca="1">IF(BN102="","",INDEX(OFFSET(Arb!$X$2,,,Arb!$AJ$5,),BN102)/BO102)</f>
        <v>3.0814142069412913</v>
      </c>
      <c r="BR102" s="165">
        <f ca="1">IF(BN102="","",(INDEX(OFFSET(Arb!$U$2,,,Arb!$AJ$5,),BN102)+INDEX(OFFSET(Arb!$V$2,,,Arb!$AJ$5,),BN102))/BO102)</f>
        <v>3.373337658125203</v>
      </c>
      <c r="BS102" s="51">
        <f t="shared" ca="1" si="43"/>
        <v>34.83327916108874</v>
      </c>
      <c r="BT102" s="88">
        <f ca="1">IF(BN102="","",DATE(INDEX(OFFSET(Arb!$C$2,,,Arb!$AJ$5,),BN102),INDEX(OFFSET(Arb!$B$2,,,Arb!$AJ$5,),BN102),INDEX(OFFSET(Arb!$A$2,,,Arb!$AJ$5,),BN102))+ROW()*0.001)</f>
        <v>43901.101999999999</v>
      </c>
      <c r="BU102" s="436">
        <v>77</v>
      </c>
      <c r="BV102" s="1">
        <v>1917</v>
      </c>
      <c r="BW102" s="52">
        <f ca="1">IF(BV102="","",INDEX(OFFSET(Arb!$H$2,,,Arb!$AJ$5,),BV102))</f>
        <v>31.82</v>
      </c>
      <c r="BX102" s="3">
        <f t="shared" ca="1" si="34"/>
        <v>2.4198617221873038</v>
      </c>
      <c r="BY102" s="165">
        <f ca="1">IF(BV102="","",INDEX(OFFSET(Arb!$X$2,,,Arb!$AJ$5,),BV102)/BW102)</f>
        <v>3.4255185417976115</v>
      </c>
      <c r="BZ102" s="165">
        <f ca="1">IF(BV102="","",(INDEX(OFFSET(Arb!$U$2,,,Arb!$AJ$5,),BV102)+INDEX(OFFSET(Arb!$V$2,,,Arb!$AJ$5,),BV102))/BW102)</f>
        <v>3.9912005028284097</v>
      </c>
      <c r="CA102" s="51">
        <f t="shared" ca="1" si="44"/>
        <v>33.011028408460234</v>
      </c>
      <c r="CB102" s="91">
        <f ca="1">IF(BV102="","",DATE(INDEX(OFFSET(Arb!$C$2,,,Arb!$AJ$5,),BV102),INDEX(OFFSET(Arb!$B$2,,,Arb!$AJ$5,),BV102),INDEX(OFFSET(Arb!$A$2,,,Arb!$AJ$5,),BV102))+ROW()*0.001)</f>
        <v>43769.101999999999</v>
      </c>
    </row>
    <row r="103" spans="1:80" x14ac:dyDescent="0.25">
      <c r="A103" s="436">
        <v>78</v>
      </c>
      <c r="B103" s="1">
        <v>2375</v>
      </c>
      <c r="C103" s="52">
        <f ca="1">IF(B103="","",INDEX(OFFSET(Arb!$H$2,,,Arb!$AJ$5,),B103))</f>
        <v>24.71</v>
      </c>
      <c r="D103" s="3">
        <f t="shared" ca="1" si="25"/>
        <v>3.1566167543504653</v>
      </c>
      <c r="E103" s="165">
        <f ca="1">IF(B103="","",INDEX(OFFSET(Arb!$X$2,,,Arb!$AJ$5,),B103)/C103)</f>
        <v>3.4399028733306354</v>
      </c>
      <c r="F103" s="165">
        <f ca="1">IF(B103="","",(INDEX(OFFSET(Arb!$U$2,,,Arb!$AJ$5,),B103)+INDEX(OFFSET(Arb!$V$2,,,Arb!$AJ$5,),B103))/C103)</f>
        <v>4.0064751112909756</v>
      </c>
      <c r="G103" s="51">
        <f t="shared" ca="1" si="35"/>
        <v>51.400762635275512</v>
      </c>
      <c r="H103" s="355">
        <f ca="1">IF(B103="","",DATE(INDEX(OFFSET(Arb!$C$2,,,Arb!$AJ$5,),B103),INDEX(OFFSET(Arb!$B$2,,,Arb!$AJ$5,),B103),INDEX(OFFSET(Arb!$A$2,,,Arb!$AJ$5,),B103))+ROW()*0.001)</f>
        <v>44114.103000000003</v>
      </c>
      <c r="I103" s="436">
        <v>78</v>
      </c>
      <c r="J103" s="1">
        <v>2392</v>
      </c>
      <c r="K103" s="52">
        <f ca="1">IF(J103="","",INDEX(OFFSET(Arb!$H$2,,,Arb!$AJ$5,),J103))</f>
        <v>26.19</v>
      </c>
      <c r="L103" s="3">
        <f t="shared" ca="1" si="26"/>
        <v>2.9782359679266892</v>
      </c>
      <c r="M103" s="165">
        <f ca="1">IF(J103="","",INDEX(OFFSET(Arb!$X$2,,,Arb!$AJ$5,),J103)/K103)</f>
        <v>2.9018709431080563</v>
      </c>
      <c r="N103" s="165">
        <f ca="1">IF(J103="","",(INDEX(OFFSET(Arb!$U$2,,,Arb!$AJ$5,),J103)+INDEX(OFFSET(Arb!$V$2,,,Arb!$AJ$5,),J103))/K103)</f>
        <v>3.4746086292478044</v>
      </c>
      <c r="O103" s="51">
        <f t="shared" ca="1" si="36"/>
        <v>46.561062544268069</v>
      </c>
      <c r="P103" s="91">
        <f ca="1">IF(J103="","",DATE(INDEX(OFFSET(Arb!$C$2,,,Arb!$AJ$5,),J103),INDEX(OFFSET(Arb!$B$2,,,Arb!$AJ$5,),J103),INDEX(OFFSET(Arb!$A$2,,,Arb!$AJ$5,),J103))+ROW()*0.001)</f>
        <v>44117.103000000003</v>
      </c>
      <c r="Q103" s="442">
        <v>78</v>
      </c>
      <c r="R103" s="1">
        <v>2107</v>
      </c>
      <c r="S103" s="52">
        <f ca="1">IF(R103="","",INDEX(OFFSET(Arb!$H$2,,,Arb!$AJ$5,),R103))</f>
        <v>26.83</v>
      </c>
      <c r="T103" s="3">
        <f t="shared" ca="1" si="27"/>
        <v>2.9071934401789044</v>
      </c>
      <c r="U103" s="165">
        <f ca="1">IF(R103="","",INDEX(OFFSET(Arb!$X$2,,,Arb!$AJ$5,),R103)/S103)</f>
        <v>3.6153559448378685</v>
      </c>
      <c r="V103" s="165">
        <f ca="1">IF(R103="","",(INDEX(OFFSET(Arb!$U$2,,,Arb!$AJ$5,),R103)+INDEX(OFFSET(Arb!$V$2,,,Arb!$AJ$5,),R103))/S103)</f>
        <v>3.9880730525531125</v>
      </c>
      <c r="W103" s="51">
        <f t="shared" ca="1" si="37"/>
        <v>44.688737575604456</v>
      </c>
      <c r="X103" s="88">
        <f ca="1">IF(R103="","",DATE(INDEX(OFFSET(Arb!$C$2,,,Arb!$AJ$5,),R103),INDEX(OFFSET(Arb!$B$2,,,Arb!$AJ$5,),R103),INDEX(OFFSET(Arb!$A$2,,,Arb!$AJ$5,),R103))+ROW()*0.001)</f>
        <v>43811.103000000003</v>
      </c>
      <c r="Y103" s="436">
        <v>78</v>
      </c>
      <c r="Z103" s="1">
        <v>2207</v>
      </c>
      <c r="AA103" s="52">
        <f ca="1">IF(Z103="","",INDEX(OFFSET(Arb!$H$2,,,Arb!$AJ$5,),Z103))</f>
        <v>27.3</v>
      </c>
      <c r="AB103" s="3">
        <f t="shared" ca="1" si="28"/>
        <v>2.8571428571428572</v>
      </c>
      <c r="AC103" s="165">
        <f ca="1">IF(Z103="","",INDEX(OFFSET(Arb!$X$2,,,Arb!$AJ$5,),Z103)/AA103)</f>
        <v>3.4065934065934065</v>
      </c>
      <c r="AD103" s="165">
        <f ca="1">IF(Z103="","",(INDEX(OFFSET(Arb!$U$2,,,Arb!$AJ$5,),Z103)+INDEX(OFFSET(Arb!$V$2,,,Arb!$AJ$5,),Z103))/AA103)</f>
        <v>3.7362637362637363</v>
      </c>
      <c r="AE103" s="51">
        <f t="shared" ca="1" si="38"/>
        <v>43.388709170141368</v>
      </c>
      <c r="AF103" s="91">
        <f ca="1">IF(Z103="","",DATE(INDEX(OFFSET(Arb!$C$2,,,Arb!$AJ$5,),Z103),INDEX(OFFSET(Arb!$B$2,,,Arb!$AJ$5,),Z103),INDEX(OFFSET(Arb!$A$2,,,Arb!$AJ$5,),Z103))+ROW()*0.001)</f>
        <v>43869.103000000003</v>
      </c>
      <c r="AG103" s="442">
        <v>78</v>
      </c>
      <c r="AH103" s="1">
        <v>2031</v>
      </c>
      <c r="AI103" s="52">
        <f ca="1">IF(AH103="","",INDEX(OFFSET(Arb!$H$2,,,Arb!$AJ$5,),AH103))</f>
        <v>27.41</v>
      </c>
      <c r="AJ103" s="3">
        <f t="shared" ca="1" si="29"/>
        <v>2.8456767603064574</v>
      </c>
      <c r="AK103" s="165">
        <f ca="1">IF(AH103="","",INDEX(OFFSET(Arb!$X$2,,,Arb!$AJ$5,),AH103)/AI103)</f>
        <v>3.4658883619117109</v>
      </c>
      <c r="AL103" s="165">
        <f ca="1">IF(AH103="","",(INDEX(OFFSET(Arb!$U$2,,,Arb!$AJ$5,),AH103)+INDEX(OFFSET(Arb!$V$2,,,Arb!$AJ$5,),AH103))/AI103)</f>
        <v>3.9766508573513315</v>
      </c>
      <c r="AM103" s="51">
        <f t="shared" ca="1" si="39"/>
        <v>43.093113125861336</v>
      </c>
      <c r="AN103" s="88">
        <f ca="1">IF(AH103="","",DATE(INDEX(OFFSET(Arb!$C$2,,,Arb!$AJ$5,),AH103),INDEX(OFFSET(Arb!$B$2,,,Arb!$AJ$5,),AH103),INDEX(OFFSET(Arb!$A$2,,,Arb!$AJ$5,),AH103))+ROW()*0.001)</f>
        <v>43797.103000000003</v>
      </c>
      <c r="AO103" s="436">
        <v>78</v>
      </c>
      <c r="AP103" s="1">
        <v>2186</v>
      </c>
      <c r="AQ103" s="52">
        <f ca="1">IF(AP103="","",INDEX(OFFSET(Arb!$H$2,,,Arb!$AJ$5,),AP103))</f>
        <v>27.85</v>
      </c>
      <c r="AR103" s="3">
        <f t="shared" ca="1" si="30"/>
        <v>2.8007181328545778</v>
      </c>
      <c r="AS103" s="165">
        <f ca="1">IF(AP103="","",INDEX(OFFSET(Arb!$X$2,,,Arb!$AJ$5,),AP103)/AQ103)</f>
        <v>3.4470377019748653</v>
      </c>
      <c r="AT103" s="165">
        <f ca="1">IF(AP103="","",(INDEX(OFFSET(Arb!$U$2,,,Arb!$AJ$5,),AP103)+INDEX(OFFSET(Arb!$V$2,,,Arb!$AJ$5,),AP103))/AQ103)</f>
        <v>3.9138240574506282</v>
      </c>
      <c r="AU103" s="51">
        <f t="shared" ca="1" si="40"/>
        <v>41.942121181961475</v>
      </c>
      <c r="AV103" s="91">
        <f ca="1">IF(AP103="","",DATE(INDEX(OFFSET(Arb!$C$2,,,Arb!$AJ$5,),AP103),INDEX(OFFSET(Arb!$B$2,,,Arb!$AJ$5,),AP103),INDEX(OFFSET(Arb!$A$2,,,Arb!$AJ$5,),AP103))+ROW()*0.001)</f>
        <v>43840.103000000003</v>
      </c>
      <c r="AW103" s="442">
        <v>78</v>
      </c>
      <c r="AX103" s="1">
        <v>2412</v>
      </c>
      <c r="AY103" s="52">
        <f ca="1">IF(AX103="","",INDEX(OFFSET(Arb!$H$2,,,Arb!$AJ$5,),AX103))</f>
        <v>28.3</v>
      </c>
      <c r="AZ103" s="3">
        <f t="shared" ca="1" si="31"/>
        <v>2.7561837455830389</v>
      </c>
      <c r="BA103" s="165">
        <f ca="1">IF(AX103="","",INDEX(OFFSET(Arb!$X$2,,,Arb!$AJ$5,),AX103)/AY103)</f>
        <v>2.8268551236749118</v>
      </c>
      <c r="BB103" s="165">
        <f ca="1">IF(AX103="","",(INDEX(OFFSET(Arb!$U$2,,,Arb!$AJ$5,),AX103)+INDEX(OFFSET(Arb!$V$2,,,Arb!$AJ$5,),AX103))/AY103)</f>
        <v>3.2508833922261484</v>
      </c>
      <c r="BC103" s="51">
        <f t="shared" ca="1" si="41"/>
        <v>40.814670004188038</v>
      </c>
      <c r="BD103" s="88">
        <f ca="1">IF(AX103="","",DATE(INDEX(OFFSET(Arb!$C$2,,,Arb!$AJ$5,),AX103),INDEX(OFFSET(Arb!$B$2,,,Arb!$AJ$5,),AX103),INDEX(OFFSET(Arb!$A$2,,,Arb!$AJ$5,),AX103))+ROW()*0.001)</f>
        <v>44168.103000000003</v>
      </c>
      <c r="BE103" s="436">
        <v>78</v>
      </c>
      <c r="BF103" s="1">
        <v>2408</v>
      </c>
      <c r="BG103" s="52">
        <f ca="1">IF(BF103="","",INDEX(OFFSET(Arb!$H$2,,,Arb!$AJ$5,),BF103))</f>
        <v>28.68</v>
      </c>
      <c r="BH103" s="3">
        <f t="shared" ca="1" si="32"/>
        <v>2.7196652719665271</v>
      </c>
      <c r="BI103" s="165">
        <f ca="1">IF(BF103="","",INDEX(OFFSET(Arb!$X$2,,,Arb!$AJ$5,),BF103)/BG103)</f>
        <v>3.172942817294282</v>
      </c>
      <c r="BJ103" s="165">
        <f ca="1">IF(BF103="","",(INDEX(OFFSET(Arb!$U$2,,,Arb!$AJ$5,),BF103)+INDEX(OFFSET(Arb!$V$2,,,Arb!$AJ$5,),BF103))/BG103)</f>
        <v>3.5216178521617851</v>
      </c>
      <c r="BK103" s="51">
        <f t="shared" ca="1" si="42"/>
        <v>39.899612691577083</v>
      </c>
      <c r="BL103" s="91">
        <f ca="1">IF(BF103="","",DATE(INDEX(OFFSET(Arb!$C$2,,,Arb!$AJ$5,),BF103),INDEX(OFFSET(Arb!$B$2,,,Arb!$AJ$5,),BF103),INDEX(OFFSET(Arb!$A$2,,,Arb!$AJ$5,),BF103))+ROW()*0.001)</f>
        <v>44168.103000000003</v>
      </c>
      <c r="BM103" s="442">
        <v>78</v>
      </c>
      <c r="BN103" s="1">
        <v>1907</v>
      </c>
      <c r="BO103" s="52">
        <f ca="1">IF(BN103="","",INDEX(OFFSET(Arb!$H$2,,,Arb!$AJ$5,),BN103))</f>
        <v>29.18</v>
      </c>
      <c r="BP103" s="3">
        <f t="shared" ca="1" si="33"/>
        <v>2.6730637422892394</v>
      </c>
      <c r="BQ103" s="165">
        <f ca="1">IF(BN103="","",INDEX(OFFSET(Arb!$X$2,,,Arb!$AJ$5,),BN103)/BO103)</f>
        <v>3.1185743660041125</v>
      </c>
      <c r="BR103" s="165">
        <f ca="1">IF(BN103="","",(INDEX(OFFSET(Arb!$U$2,,,Arb!$AJ$5,),BN103)+INDEX(OFFSET(Arb!$V$2,,,Arb!$AJ$5,),BN103))/BO103)</f>
        <v>3.5983550376970528</v>
      </c>
      <c r="BS103" s="51">
        <f t="shared" ca="1" si="43"/>
        <v>38.744337665205919</v>
      </c>
      <c r="BT103" s="88">
        <f ca="1">IF(BN103="","",DATE(INDEX(OFFSET(Arb!$C$2,,,Arb!$AJ$5,),BN103),INDEX(OFFSET(Arb!$B$2,,,Arb!$AJ$5,),BN103),INDEX(OFFSET(Arb!$A$2,,,Arb!$AJ$5,),BN103))+ROW()*0.001)</f>
        <v>43766.103000000003</v>
      </c>
      <c r="BU103" s="436">
        <v>78</v>
      </c>
      <c r="BW103" s="52" t="str">
        <f ca="1">IF(BV103="","",INDEX(OFFSET(Arb!$H$2,,,Arb!$AJ$5,),BV103))</f>
        <v/>
      </c>
      <c r="BX103" s="3" t="str">
        <f t="shared" ca="1" si="34"/>
        <v/>
      </c>
      <c r="BY103" s="165" t="str">
        <f ca="1">IF(BV103="","",INDEX(OFFSET(Arb!$X$2,,,Arb!$AJ$5,),BV103)/BW103)</f>
        <v/>
      </c>
      <c r="BZ103" s="165" t="str">
        <f ca="1">IF(BV103="","",(INDEX(OFFSET(Arb!$U$2,,,Arb!$AJ$5,),BV103)+INDEX(OFFSET(Arb!$V$2,,,Arb!$AJ$5,),BV103))/BW103)</f>
        <v/>
      </c>
      <c r="CA103" s="51" t="str">
        <f t="shared" ca="1" si="44"/>
        <v/>
      </c>
      <c r="CB103" s="91" t="str">
        <f ca="1">IF(BV103="","",DATE(INDEX(OFFSET(Arb!$C$2,,,Arb!$AJ$5,),BV103),INDEX(OFFSET(Arb!$B$2,,,Arb!$AJ$5,),BV103),INDEX(OFFSET(Arb!$A$2,,,Arb!$AJ$5,),BV103))+ROW()*0.001)</f>
        <v/>
      </c>
    </row>
    <row r="104" spans="1:80" x14ac:dyDescent="0.25">
      <c r="A104" s="436">
        <v>79</v>
      </c>
      <c r="B104" s="1">
        <v>2249</v>
      </c>
      <c r="C104" s="52">
        <f ca="1">IF(B104="","",INDEX(OFFSET(Arb!$H$2,,,Arb!$AJ$5,),B104))</f>
        <v>28.95</v>
      </c>
      <c r="D104" s="3">
        <f t="shared" ca="1" si="25"/>
        <v>2.7288428324697755</v>
      </c>
      <c r="E104" s="165">
        <f ca="1">IF(B104="","",INDEX(OFFSET(Arb!$X$2,,,Arb!$AJ$5,),B104)/C104)</f>
        <v>3.4542314335060449</v>
      </c>
      <c r="F104" s="165">
        <f ca="1">IF(B104="","",(INDEX(OFFSET(Arb!$U$2,,,Arb!$AJ$5,),B104)+INDEX(OFFSET(Arb!$V$2,,,Arb!$AJ$5,),B104))/C104)</f>
        <v>3.7651122625215891</v>
      </c>
      <c r="G104" s="51">
        <f t="shared" ca="1" si="35"/>
        <v>39.772524017107251</v>
      </c>
      <c r="H104" s="355">
        <f ca="1">IF(B104="","",DATE(INDEX(OFFSET(Arb!$C$2,,,Arb!$AJ$5,),B104),INDEX(OFFSET(Arb!$B$2,,,Arb!$AJ$5,),B104),INDEX(OFFSET(Arb!$A$2,,,Arb!$AJ$5,),B104))+ROW()*0.001)</f>
        <v>43894.103999999999</v>
      </c>
      <c r="I104" s="436">
        <v>79</v>
      </c>
      <c r="J104" s="1">
        <v>1904</v>
      </c>
      <c r="K104" s="52">
        <f ca="1">IF(J104="","",INDEX(OFFSET(Arb!$H$2,,,Arb!$AJ$5,),J104))</f>
        <v>29.09</v>
      </c>
      <c r="L104" s="3">
        <f t="shared" ca="1" si="26"/>
        <v>2.7157098659333103</v>
      </c>
      <c r="M104" s="165">
        <f ca="1">IF(J104="","",INDEX(OFFSET(Arb!$X$2,,,Arb!$AJ$5,),J104)/K104)</f>
        <v>3.3001031282227569</v>
      </c>
      <c r="N104" s="165">
        <f ca="1">IF(J104="","",(INDEX(OFFSET(Arb!$U$2,,,Arb!$AJ$5,),J104)+INDEX(OFFSET(Arb!$V$2,,,Arb!$AJ$5,),J104))/K104)</f>
        <v>3.8501203162598832</v>
      </c>
      <c r="O104" s="51">
        <f t="shared" ca="1" si="36"/>
        <v>39.447673261759213</v>
      </c>
      <c r="P104" s="91">
        <f ca="1">IF(J104="","",DATE(INDEX(OFFSET(Arb!$C$2,,,Arb!$AJ$5,),J104),INDEX(OFFSET(Arb!$B$2,,,Arb!$AJ$5,),J104),INDEX(OFFSET(Arb!$A$2,,,Arb!$AJ$5,),J104))+ROW()*0.001)</f>
        <v>43765.103999999999</v>
      </c>
      <c r="Q104" s="442">
        <v>79</v>
      </c>
      <c r="R104" s="1">
        <v>2092</v>
      </c>
      <c r="S104" s="52">
        <f ca="1">IF(R104="","",INDEX(OFFSET(Arb!$H$2,,,Arb!$AJ$5,),R104))</f>
        <v>29.42</v>
      </c>
      <c r="T104" s="3">
        <f t="shared" ca="1" si="27"/>
        <v>2.6852481305234535</v>
      </c>
      <c r="U104" s="165">
        <f ca="1">IF(R104="","",INDEX(OFFSET(Arb!$X$2,,,Arb!$AJ$5,),R104)/S104)</f>
        <v>2.9911624745071377</v>
      </c>
      <c r="V104" s="165">
        <f ca="1">IF(R104="","",(INDEX(OFFSET(Arb!$U$2,,,Arb!$AJ$5,),R104)+INDEX(OFFSET(Arb!$V$2,,,Arb!$AJ$5,),R104))/S104)</f>
        <v>3.4330387491502377</v>
      </c>
      <c r="W104" s="51">
        <f t="shared" ca="1" si="37"/>
        <v>38.698415405260334</v>
      </c>
      <c r="X104" s="88">
        <f ca="1">IF(R104="","",DATE(INDEX(OFFSET(Arb!$C$2,,,Arb!$AJ$5,),R104),INDEX(OFFSET(Arb!$B$2,,,Arb!$AJ$5,),R104),INDEX(OFFSET(Arb!$A$2,,,Arb!$AJ$5,),R104))+ROW()*0.001)</f>
        <v>43809.103999999999</v>
      </c>
      <c r="Y104" s="436">
        <v>79</v>
      </c>
      <c r="Z104" s="1">
        <v>1946</v>
      </c>
      <c r="AA104" s="52">
        <f ca="1">IF(Z104="","",INDEX(OFFSET(Arb!$H$2,,,Arb!$AJ$5,),Z104))</f>
        <v>32.43</v>
      </c>
      <c r="AB104" s="3">
        <f t="shared" ca="1" si="28"/>
        <v>2.4360160345359234</v>
      </c>
      <c r="AC104" s="165">
        <f ca="1">IF(Z104="","",INDEX(OFFSET(Arb!$X$2,,,Arb!$AJ$5,),Z104)/AA104)</f>
        <v>3.1144002466851681</v>
      </c>
      <c r="AD104" s="165">
        <f ca="1">IF(Z104="","",(INDEX(OFFSET(Arb!$U$2,,,Arb!$AJ$5,),Z104)+INDEX(OFFSET(Arb!$V$2,,,Arb!$AJ$5,),Z104))/AA104)</f>
        <v>3.6694418748072772</v>
      </c>
      <c r="AE104" s="51">
        <f t="shared" ca="1" si="38"/>
        <v>32.792604088206261</v>
      </c>
      <c r="AF104" s="91">
        <f ca="1">IF(Z104="","",DATE(INDEX(OFFSET(Arb!$C$2,,,Arb!$AJ$5,),Z104),INDEX(OFFSET(Arb!$B$2,,,Arb!$AJ$5,),Z104),INDEX(OFFSET(Arb!$A$2,,,Arb!$AJ$5,),Z104))+ROW()*0.001)</f>
        <v>43775.103999999999</v>
      </c>
      <c r="AG104" s="442">
        <v>79</v>
      </c>
      <c r="AI104" s="52" t="str">
        <f ca="1">IF(AH104="","",INDEX(OFFSET(Arb!$H$2,,,Arb!$AJ$5,),AH104))</f>
        <v/>
      </c>
      <c r="AJ104" s="3" t="str">
        <f t="shared" ca="1" si="29"/>
        <v/>
      </c>
      <c r="AK104" s="165" t="str">
        <f ca="1">IF(AH104="","",INDEX(OFFSET(Arb!$X$2,,,Arb!$AJ$5,),AH104)/AI104)</f>
        <v/>
      </c>
      <c r="AL104" s="165" t="str">
        <f ca="1">IF(AH104="","",(INDEX(OFFSET(Arb!$U$2,,,Arb!$AJ$5,),AH104)+INDEX(OFFSET(Arb!$V$2,,,Arb!$AJ$5,),AH104))/AI104)</f>
        <v/>
      </c>
      <c r="AM104" s="51" t="str">
        <f t="shared" ca="1" si="39"/>
        <v/>
      </c>
      <c r="AN104" s="88" t="str">
        <f ca="1">IF(AH104="","",DATE(INDEX(OFFSET(Arb!$C$2,,,Arb!$AJ$5,),AH104),INDEX(OFFSET(Arb!$B$2,,,Arb!$AJ$5,),AH104),INDEX(OFFSET(Arb!$A$2,,,Arb!$AJ$5,),AH104))+ROW()*0.001)</f>
        <v/>
      </c>
      <c r="AO104" s="436">
        <v>79</v>
      </c>
      <c r="AQ104" s="52" t="str">
        <f ca="1">IF(AP104="","",INDEX(OFFSET(Arb!$H$2,,,Arb!$AJ$5,),AP104))</f>
        <v/>
      </c>
      <c r="AR104" s="3" t="str">
        <f t="shared" ca="1" si="30"/>
        <v/>
      </c>
      <c r="AS104" s="165" t="str">
        <f ca="1">IF(AP104="","",INDEX(OFFSET(Arb!$X$2,,,Arb!$AJ$5,),AP104)/AQ104)</f>
        <v/>
      </c>
      <c r="AT104" s="165" t="str">
        <f ca="1">IF(AP104="","",(INDEX(OFFSET(Arb!$U$2,,,Arb!$AJ$5,),AP104)+INDEX(OFFSET(Arb!$V$2,,,Arb!$AJ$5,),AP104))/AQ104)</f>
        <v/>
      </c>
      <c r="AU104" s="51" t="str">
        <f t="shared" ca="1" si="40"/>
        <v/>
      </c>
      <c r="AV104" s="91" t="str">
        <f ca="1">IF(AP104="","",DATE(INDEX(OFFSET(Arb!$C$2,,,Arb!$AJ$5,),AP104),INDEX(OFFSET(Arb!$B$2,,,Arb!$AJ$5,),AP104),INDEX(OFFSET(Arb!$A$2,,,Arb!$AJ$5,),AP104))+ROW()*0.001)</f>
        <v/>
      </c>
      <c r="AW104" s="442">
        <v>79</v>
      </c>
      <c r="AY104" s="52" t="str">
        <f ca="1">IF(AX104="","",INDEX(OFFSET(Arb!$H$2,,,Arb!$AJ$5,),AX104))</f>
        <v/>
      </c>
      <c r="AZ104" s="3" t="str">
        <f t="shared" ca="1" si="31"/>
        <v/>
      </c>
      <c r="BA104" s="165" t="str">
        <f ca="1">IF(AX104="","",INDEX(OFFSET(Arb!$X$2,,,Arb!$AJ$5,),AX104)/AY104)</f>
        <v/>
      </c>
      <c r="BB104" s="165" t="str">
        <f ca="1">IF(AX104="","",(INDEX(OFFSET(Arb!$U$2,,,Arb!$AJ$5,),AX104)+INDEX(OFFSET(Arb!$V$2,,,Arb!$AJ$5,),AX104))/AY104)</f>
        <v/>
      </c>
      <c r="BC104" s="51" t="str">
        <f t="shared" ca="1" si="41"/>
        <v/>
      </c>
      <c r="BD104" s="88" t="str">
        <f ca="1">IF(AX104="","",DATE(INDEX(OFFSET(Arb!$C$2,,,Arb!$AJ$5,),AX104),INDEX(OFFSET(Arb!$B$2,,,Arb!$AJ$5,),AX104),INDEX(OFFSET(Arb!$A$2,,,Arb!$AJ$5,),AX104))+ROW()*0.001)</f>
        <v/>
      </c>
      <c r="BE104" s="436">
        <v>79</v>
      </c>
      <c r="BG104" s="52" t="str">
        <f ca="1">IF(BF104="","",INDEX(OFFSET(Arb!$H$2,,,Arb!$AJ$5,),BF104))</f>
        <v/>
      </c>
      <c r="BH104" s="3" t="str">
        <f t="shared" ca="1" si="32"/>
        <v/>
      </c>
      <c r="BI104" s="165" t="str">
        <f ca="1">IF(BF104="","",INDEX(OFFSET(Arb!$X$2,,,Arb!$AJ$5,),BF104)/BG104)</f>
        <v/>
      </c>
      <c r="BJ104" s="165" t="str">
        <f ca="1">IF(BF104="","",(INDEX(OFFSET(Arb!$U$2,,,Arb!$AJ$5,),BF104)+INDEX(OFFSET(Arb!$V$2,,,Arb!$AJ$5,),BF104))/BG104)</f>
        <v/>
      </c>
      <c r="BK104" s="51" t="str">
        <f t="shared" ca="1" si="42"/>
        <v/>
      </c>
      <c r="BL104" s="91" t="str">
        <f ca="1">IF(BF104="","",DATE(INDEX(OFFSET(Arb!$C$2,,,Arb!$AJ$5,),BF104),INDEX(OFFSET(Arb!$B$2,,,Arb!$AJ$5,),BF104),INDEX(OFFSET(Arb!$A$2,,,Arb!$AJ$5,),BF104))+ROW()*0.001)</f>
        <v/>
      </c>
      <c r="BM104" s="442">
        <v>79</v>
      </c>
      <c r="BO104" s="52" t="str">
        <f ca="1">IF(BN104="","",INDEX(OFFSET(Arb!$H$2,,,Arb!$AJ$5,),BN104))</f>
        <v/>
      </c>
      <c r="BP104" s="3" t="str">
        <f t="shared" ca="1" si="33"/>
        <v/>
      </c>
      <c r="BQ104" s="165" t="str">
        <f ca="1">IF(BN104="","",INDEX(OFFSET(Arb!$X$2,,,Arb!$AJ$5,),BN104)/BO104)</f>
        <v/>
      </c>
      <c r="BR104" s="165" t="str">
        <f ca="1">IF(BN104="","",(INDEX(OFFSET(Arb!$U$2,,,Arb!$AJ$5,),BN104)+INDEX(OFFSET(Arb!$V$2,,,Arb!$AJ$5,),BN104))/BO104)</f>
        <v/>
      </c>
      <c r="BS104" s="51" t="str">
        <f t="shared" ca="1" si="43"/>
        <v/>
      </c>
      <c r="BT104" s="88" t="str">
        <f ca="1">IF(BN104="","",DATE(INDEX(OFFSET(Arb!$C$2,,,Arb!$AJ$5,),BN104),INDEX(OFFSET(Arb!$B$2,,,Arb!$AJ$5,),BN104),INDEX(OFFSET(Arb!$A$2,,,Arb!$AJ$5,),BN104))+ROW()*0.001)</f>
        <v/>
      </c>
      <c r="BU104" s="436">
        <v>79</v>
      </c>
      <c r="BW104" s="52" t="str">
        <f ca="1">IF(BV104="","",INDEX(OFFSET(Arb!$H$2,,,Arb!$AJ$5,),BV104))</f>
        <v/>
      </c>
      <c r="BX104" s="3" t="str">
        <f t="shared" ca="1" si="34"/>
        <v/>
      </c>
      <c r="BY104" s="165" t="str">
        <f ca="1">IF(BV104="","",INDEX(OFFSET(Arb!$X$2,,,Arb!$AJ$5,),BV104)/BW104)</f>
        <v/>
      </c>
      <c r="BZ104" s="165" t="str">
        <f ca="1">IF(BV104="","",(INDEX(OFFSET(Arb!$U$2,,,Arb!$AJ$5,),BV104)+INDEX(OFFSET(Arb!$V$2,,,Arb!$AJ$5,),BV104))/BW104)</f>
        <v/>
      </c>
      <c r="CA104" s="51" t="str">
        <f t="shared" ca="1" si="44"/>
        <v/>
      </c>
      <c r="CB104" s="91" t="str">
        <f ca="1">IF(BV104="","",DATE(INDEX(OFFSET(Arb!$C$2,,,Arb!$AJ$5,),BV104),INDEX(OFFSET(Arb!$B$2,,,Arb!$AJ$5,),BV104),INDEX(OFFSET(Arb!$A$2,,,Arb!$AJ$5,),BV104))+ROW()*0.001)</f>
        <v/>
      </c>
    </row>
    <row r="105" spans="1:80" x14ac:dyDescent="0.25">
      <c r="A105" s="436">
        <v>80</v>
      </c>
      <c r="B105" s="1">
        <v>2331</v>
      </c>
      <c r="C105" s="52">
        <f ca="1">IF(B105="","",INDEX(OFFSET(Arb!$H$2,,,Arb!$AJ$5,),B105))</f>
        <v>26.8</v>
      </c>
      <c r="D105" s="3">
        <f t="shared" ca="1" si="25"/>
        <v>2.9850746268656714</v>
      </c>
      <c r="E105" s="165">
        <f ca="1">IF(B105="","",INDEX(OFFSET(Arb!$X$2,,,Arb!$AJ$5,),B105)/C105)</f>
        <v>3.6940298507462686</v>
      </c>
      <c r="F105" s="165">
        <f ca="1">IF(B105="","",(INDEX(OFFSET(Arb!$U$2,,,Arb!$AJ$5,),B105)+INDEX(OFFSET(Arb!$V$2,,,Arb!$AJ$5,),B105))/C105)</f>
        <v>4.1791044776119399</v>
      </c>
      <c r="G105" s="51">
        <f t="shared" ca="1" si="35"/>
        <v>45.921859375569873</v>
      </c>
      <c r="H105" s="355">
        <f ca="1">IF(B105="","",DATE(INDEX(OFFSET(Arb!$C$2,,,Arb!$AJ$5,),B105),INDEX(OFFSET(Arb!$B$2,,,Arb!$AJ$5,),B105),INDEX(OFFSET(Arb!$A$2,,,Arb!$AJ$5,),B105))+ROW()*0.001)</f>
        <v>44093.105000000003</v>
      </c>
      <c r="I105" s="436">
        <v>80</v>
      </c>
      <c r="J105" s="1">
        <v>2037</v>
      </c>
      <c r="K105" s="52">
        <f ca="1">IF(J105="","",INDEX(OFFSET(Arb!$H$2,,,Arb!$AJ$5,),J105))</f>
        <v>27.81</v>
      </c>
      <c r="L105" s="3">
        <f t="shared" ca="1" si="26"/>
        <v>2.8766630708378282</v>
      </c>
      <c r="M105" s="165">
        <f ca="1">IF(J105="","",INDEX(OFFSET(Arb!$X$2,,,Arb!$AJ$5,),J105)/K105)</f>
        <v>3.5239122617763394</v>
      </c>
      <c r="N105" s="165">
        <f ca="1">IF(J105="","",(INDEX(OFFSET(Arb!$U$2,,,Arb!$AJ$5,),J105)+INDEX(OFFSET(Arb!$V$2,,,Arb!$AJ$5,),J105))/K105)</f>
        <v>3.9194534340165408</v>
      </c>
      <c r="O105" s="51">
        <f t="shared" ca="1" si="36"/>
        <v>43.12279810358514</v>
      </c>
      <c r="P105" s="91">
        <f ca="1">IF(J105="","",DATE(INDEX(OFFSET(Arb!$C$2,,,Arb!$AJ$5,),J105),INDEX(OFFSET(Arb!$B$2,,,Arb!$AJ$5,),J105),INDEX(OFFSET(Arb!$A$2,,,Arb!$AJ$5,),J105))+ROW()*0.001)</f>
        <v>43797.105000000003</v>
      </c>
      <c r="Q105" s="442">
        <v>80</v>
      </c>
      <c r="R105" s="1">
        <v>2224</v>
      </c>
      <c r="S105" s="52">
        <f ca="1">IF(R105="","",INDEX(OFFSET(Arb!$H$2,,,Arb!$AJ$5,),R105))</f>
        <v>28.21</v>
      </c>
      <c r="T105" s="3">
        <f t="shared" ca="1" si="27"/>
        <v>2.8358738036157392</v>
      </c>
      <c r="U105" s="165">
        <f ca="1">IF(R105="","",INDEX(OFFSET(Arb!$X$2,,,Arb!$AJ$5,),R105)/S105)</f>
        <v>3.5802906770648706</v>
      </c>
      <c r="V105" s="165">
        <f ca="1">IF(R105="","",(INDEX(OFFSET(Arb!$U$2,,,Arb!$AJ$5,),R105)+INDEX(OFFSET(Arb!$V$2,,,Arb!$AJ$5,),R105))/S105)</f>
        <v>4.1829138603332154</v>
      </c>
      <c r="W105" s="51">
        <f t="shared" ca="1" si="37"/>
        <v>42.088492207149237</v>
      </c>
      <c r="X105" s="88">
        <f ca="1">IF(R105="","",DATE(INDEX(OFFSET(Arb!$C$2,,,Arb!$AJ$5,),R105),INDEX(OFFSET(Arb!$B$2,,,Arb!$AJ$5,),R105),INDEX(OFFSET(Arb!$A$2,,,Arb!$AJ$5,),R105))+ROW()*0.001)</f>
        <v>43870.105000000003</v>
      </c>
      <c r="Y105" s="436">
        <v>80</v>
      </c>
      <c r="Z105" s="1">
        <v>1989</v>
      </c>
      <c r="AA105" s="52">
        <f ca="1">IF(Z105="","",INDEX(OFFSET(Arb!$H$2,,,Arb!$AJ$5,),Z105))</f>
        <v>28.37</v>
      </c>
      <c r="AB105" s="3">
        <f t="shared" ca="1" si="28"/>
        <v>2.8198801550934083</v>
      </c>
      <c r="AC105" s="165">
        <f ca="1">IF(Z105="","",INDEX(OFFSET(Arb!$X$2,,,Arb!$AJ$5,),Z105)/AA105)</f>
        <v>3.7010927035600987</v>
      </c>
      <c r="AD105" s="165">
        <f ca="1">IF(Z105="","",(INDEX(OFFSET(Arb!$U$2,,,Arb!$AJ$5,),Z105)+INDEX(OFFSET(Arb!$V$2,,,Arb!$AJ$5,),Z105))/AA105)</f>
        <v>4.194571730701445</v>
      </c>
      <c r="AE105" s="51">
        <f t="shared" ca="1" si="38"/>
        <v>41.685761872890872</v>
      </c>
      <c r="AF105" s="91">
        <f ca="1">IF(Z105="","",DATE(INDEX(OFFSET(Arb!$C$2,,,Arb!$AJ$5,),Z105),INDEX(OFFSET(Arb!$B$2,,,Arb!$AJ$5,),Z105),INDEX(OFFSET(Arb!$A$2,,,Arb!$AJ$5,),Z105))+ROW()*0.001)</f>
        <v>43784.105000000003</v>
      </c>
      <c r="AG105" s="442">
        <v>80</v>
      </c>
      <c r="AH105" s="1">
        <v>2191</v>
      </c>
      <c r="AI105" s="52">
        <f ca="1">IF(AH105="","",INDEX(OFFSET(Arb!$H$2,,,Arb!$AJ$5,),AH105))</f>
        <v>28.7</v>
      </c>
      <c r="AJ105" s="3">
        <f t="shared" ca="1" si="29"/>
        <v>2.7874564459930316</v>
      </c>
      <c r="AK105" s="165">
        <f ca="1">IF(AH105="","",INDEX(OFFSET(Arb!$X$2,,,Arb!$AJ$5,),AH105)/AI105)</f>
        <v>3.3797909407665507</v>
      </c>
      <c r="AL105" s="165">
        <f ca="1">IF(AH105="","",(INDEX(OFFSET(Arb!$U$2,,,Arb!$AJ$5,),AH105)+INDEX(OFFSET(Arb!$V$2,,,Arb!$AJ$5,),AH105))/AI105)</f>
        <v>3.8675958188153312</v>
      </c>
      <c r="AM105" s="51">
        <f t="shared" ca="1" si="39"/>
        <v>40.874211679251232</v>
      </c>
      <c r="AN105" s="88">
        <f ca="1">IF(AH105="","",DATE(INDEX(OFFSET(Arb!$C$2,,,Arb!$AJ$5,),AH105),INDEX(OFFSET(Arb!$B$2,,,Arb!$AJ$5,),AH105),INDEX(OFFSET(Arb!$A$2,,,Arb!$AJ$5,),AH105))+ROW()*0.001)</f>
        <v>43852.105000000003</v>
      </c>
      <c r="AO105" s="436">
        <v>80</v>
      </c>
      <c r="AP105" s="1">
        <v>2047</v>
      </c>
      <c r="AQ105" s="52">
        <f ca="1">IF(AP105="","",INDEX(OFFSET(Arb!$H$2,,,Arb!$AJ$5,),AP105))</f>
        <v>29.07</v>
      </c>
      <c r="AR105" s="3">
        <f t="shared" ca="1" si="30"/>
        <v>2.7519779841761265</v>
      </c>
      <c r="AS105" s="165">
        <f ca="1">IF(AP105="","",INDEX(OFFSET(Arb!$X$2,,,Arb!$AJ$5,),AP105)/AQ105)</f>
        <v>3.3023735810113517</v>
      </c>
      <c r="AT105" s="165">
        <f ca="1">IF(AP105="","",(INDEX(OFFSET(Arb!$U$2,,,Arb!$AJ$5,),AP105)+INDEX(OFFSET(Arb!$V$2,,,Arb!$AJ$5,),AP105))/AQ105)</f>
        <v>3.8527691778465774</v>
      </c>
      <c r="AU105" s="51">
        <f t="shared" ca="1" si="40"/>
        <v>39.9937437978666</v>
      </c>
      <c r="AV105" s="91">
        <f ca="1">IF(AP105="","",DATE(INDEX(OFFSET(Arb!$C$2,,,Arb!$AJ$5,),AP105),INDEX(OFFSET(Arb!$B$2,,,Arb!$AJ$5,),AP105),INDEX(OFFSET(Arb!$A$2,,,Arb!$AJ$5,),AP105))+ROW()*0.001)</f>
        <v>43798.105000000003</v>
      </c>
      <c r="AW105" s="442">
        <v>80</v>
      </c>
      <c r="AX105" s="1">
        <v>2352</v>
      </c>
      <c r="AY105" s="52">
        <f ca="1">IF(AX105="","",INDEX(OFFSET(Arb!$H$2,,,Arb!$AJ$5,),AX105))</f>
        <v>32.6</v>
      </c>
      <c r="AZ105" s="3">
        <f t="shared" ca="1" si="31"/>
        <v>2.4539877300613497</v>
      </c>
      <c r="BA105" s="165">
        <f ca="1">IF(AX105="","",INDEX(OFFSET(Arb!$X$2,,,Arb!$AJ$5,),AX105)/AY105)</f>
        <v>2.3926380368098159</v>
      </c>
      <c r="BB105" s="165">
        <f ca="1">IF(AX105="","",(INDEX(OFFSET(Arb!$U$2,,,Arb!$AJ$5,),AX105)+INDEX(OFFSET(Arb!$V$2,,,Arb!$AJ$5,),AX105))/AY105)</f>
        <v>2.9754601226993862</v>
      </c>
      <c r="BC105" s="51">
        <f t="shared" ca="1" si="41"/>
        <v>32.913850642915619</v>
      </c>
      <c r="BD105" s="88">
        <f ca="1">IF(AX105="","",DATE(INDEX(OFFSET(Arb!$C$2,,,Arb!$AJ$5,),AX105),INDEX(OFFSET(Arb!$B$2,,,Arb!$AJ$5,),AX105),INDEX(OFFSET(Arb!$A$2,,,Arb!$AJ$5,),AX105))+ROW()*0.001)</f>
        <v>44114.105000000003</v>
      </c>
      <c r="BE105" s="436">
        <v>80</v>
      </c>
      <c r="BF105" s="1">
        <v>1966</v>
      </c>
      <c r="BG105" s="52">
        <f ca="1">IF(BF105="","",INDEX(OFFSET(Arb!$H$2,,,Arb!$AJ$5,),BF105))</f>
        <v>32.75</v>
      </c>
      <c r="BH105" s="3">
        <f t="shared" ca="1" si="32"/>
        <v>2.4427480916030535</v>
      </c>
      <c r="BI105" s="165">
        <f ca="1">IF(BF105="","",INDEX(OFFSET(Arb!$X$2,,,Arb!$AJ$5,),BF105)/BG105)</f>
        <v>2.8091603053435112</v>
      </c>
      <c r="BJ105" s="165">
        <f ca="1">IF(BF105="","",(INDEX(OFFSET(Arb!$U$2,,,Arb!$AJ$5,),BF105)+INDEX(OFFSET(Arb!$V$2,,,Arb!$AJ$5,),BF105))/BG105)</f>
        <v>3.4198473282442747</v>
      </c>
      <c r="BK105" s="51">
        <f t="shared" ca="1" si="42"/>
        <v>32.657985871503286</v>
      </c>
      <c r="BL105" s="91">
        <f ca="1">IF(BF105="","",DATE(INDEX(OFFSET(Arb!$C$2,,,Arb!$AJ$5,),BF105),INDEX(OFFSET(Arb!$B$2,,,Arb!$AJ$5,),BF105),INDEX(OFFSET(Arb!$A$2,,,Arb!$AJ$5,),BF105))+ROW()*0.001)</f>
        <v>43779.105000000003</v>
      </c>
      <c r="BM105" s="442">
        <v>80</v>
      </c>
      <c r="BO105" s="52" t="str">
        <f ca="1">IF(BN105="","",INDEX(OFFSET(Arb!$H$2,,,Arb!$AJ$5,),BN105))</f>
        <v/>
      </c>
      <c r="BP105" s="3" t="str">
        <f t="shared" ca="1" si="33"/>
        <v/>
      </c>
      <c r="BQ105" s="165" t="str">
        <f ca="1">IF(BN105="","",INDEX(OFFSET(Arb!$X$2,,,Arb!$AJ$5,),BN105)/BO105)</f>
        <v/>
      </c>
      <c r="BR105" s="165" t="str">
        <f ca="1">IF(BN105="","",(INDEX(OFFSET(Arb!$U$2,,,Arb!$AJ$5,),BN105)+INDEX(OFFSET(Arb!$V$2,,,Arb!$AJ$5,),BN105))/BO105)</f>
        <v/>
      </c>
      <c r="BS105" s="51" t="str">
        <f t="shared" ca="1" si="43"/>
        <v/>
      </c>
      <c r="BT105" s="88" t="str">
        <f ca="1">IF(BN105="","",DATE(INDEX(OFFSET(Arb!$C$2,,,Arb!$AJ$5,),BN105),INDEX(OFFSET(Arb!$B$2,,,Arb!$AJ$5,),BN105),INDEX(OFFSET(Arb!$A$2,,,Arb!$AJ$5,),BN105))+ROW()*0.001)</f>
        <v/>
      </c>
      <c r="BU105" s="436">
        <v>80</v>
      </c>
      <c r="BW105" s="52" t="str">
        <f ca="1">IF(BV105="","",INDEX(OFFSET(Arb!$H$2,,,Arb!$AJ$5,),BV105))</f>
        <v/>
      </c>
      <c r="BX105" s="3" t="str">
        <f t="shared" ca="1" si="34"/>
        <v/>
      </c>
      <c r="BY105" s="165" t="str">
        <f ca="1">IF(BV105="","",INDEX(OFFSET(Arb!$X$2,,,Arb!$AJ$5,),BV105)/BW105)</f>
        <v/>
      </c>
      <c r="BZ105" s="165" t="str">
        <f ca="1">IF(BV105="","",(INDEX(OFFSET(Arb!$U$2,,,Arb!$AJ$5,),BV105)+INDEX(OFFSET(Arb!$V$2,,,Arb!$AJ$5,),BV105))/BW105)</f>
        <v/>
      </c>
      <c r="CA105" s="51" t="str">
        <f t="shared" ca="1" si="44"/>
        <v/>
      </c>
      <c r="CB105" s="91" t="str">
        <f ca="1">IF(BV105="","",DATE(INDEX(OFFSET(Arb!$C$2,,,Arb!$AJ$5,),BV105),INDEX(OFFSET(Arb!$B$2,,,Arb!$AJ$5,),BV105),INDEX(OFFSET(Arb!$A$2,,,Arb!$AJ$5,),BV105))+ROW()*0.001)</f>
        <v/>
      </c>
    </row>
    <row r="106" spans="1:80" x14ac:dyDescent="0.25">
      <c r="A106" s="436">
        <v>81</v>
      </c>
      <c r="B106" s="1">
        <v>2280</v>
      </c>
      <c r="C106" s="52">
        <f ca="1">IF(B106="","",INDEX(OFFSET(Arb!$H$2,,,Arb!$AJ$5,),B106))</f>
        <v>28.11</v>
      </c>
      <c r="D106" s="3">
        <f t="shared" ca="1" si="25"/>
        <v>2.88153681963714</v>
      </c>
      <c r="E106" s="165">
        <f ca="1">IF(B106="","",INDEX(OFFSET(Arb!$X$2,,,Arb!$AJ$5,),B106)/C106)</f>
        <v>3.593027392387051</v>
      </c>
      <c r="F106" s="165">
        <f ca="1">IF(B106="","",(INDEX(OFFSET(Arb!$U$2,,,Arb!$AJ$5,),B106)+INDEX(OFFSET(Arb!$V$2,,,Arb!$AJ$5,),B106))/C106)</f>
        <v>3.9843472073995021</v>
      </c>
      <c r="G106" s="51">
        <f t="shared" ca="1" si="35"/>
        <v>42.87263815631507</v>
      </c>
      <c r="H106" s="355">
        <f ca="1">IF(B106="","",DATE(INDEX(OFFSET(Arb!$C$2,,,Arb!$AJ$5,),B106),INDEX(OFFSET(Arb!$B$2,,,Arb!$AJ$5,),B106),INDEX(OFFSET(Arb!$A$2,,,Arb!$AJ$5,),B106))+ROW()*0.001)</f>
        <v>43935.106</v>
      </c>
      <c r="I106" s="436">
        <v>81</v>
      </c>
      <c r="J106" s="1">
        <v>2354</v>
      </c>
      <c r="K106" s="52">
        <f ca="1">IF(J106="","",INDEX(OFFSET(Arb!$H$2,,,Arb!$AJ$5,),J106))</f>
        <v>28.2</v>
      </c>
      <c r="L106" s="3">
        <f t="shared" ca="1" si="26"/>
        <v>2.8723404255319149</v>
      </c>
      <c r="M106" s="165">
        <f ca="1">IF(J106="","",INDEX(OFFSET(Arb!$X$2,,,Arb!$AJ$5,),J106)/K106)</f>
        <v>2.9432624113475176</v>
      </c>
      <c r="N106" s="165">
        <f ca="1">IF(J106="","",(INDEX(OFFSET(Arb!$U$2,,,Arb!$AJ$5,),J106)+INDEX(OFFSET(Arb!$V$2,,,Arb!$AJ$5,),J106))/K106)</f>
        <v>3.5460992907801421</v>
      </c>
      <c r="O106" s="51">
        <f t="shared" ca="1" si="36"/>
        <v>42.640291199550958</v>
      </c>
      <c r="P106" s="91">
        <f ca="1">IF(J106="","",DATE(INDEX(OFFSET(Arb!$C$2,,,Arb!$AJ$5,),J106),INDEX(OFFSET(Arb!$B$2,,,Arb!$AJ$5,),J106),INDEX(OFFSET(Arb!$A$2,,,Arb!$AJ$5,),J106))+ROW()*0.001)</f>
        <v>44114.106</v>
      </c>
      <c r="Q106" s="442">
        <v>81</v>
      </c>
      <c r="R106" s="1">
        <v>1981</v>
      </c>
      <c r="S106" s="52">
        <f ca="1">IF(R106="","",INDEX(OFFSET(Arb!$H$2,,,Arb!$AJ$5,),R106))</f>
        <v>28.37</v>
      </c>
      <c r="T106" s="3">
        <f t="shared" ca="1" si="27"/>
        <v>2.855128657032076</v>
      </c>
      <c r="U106" s="165">
        <f ca="1">IF(R106="","",INDEX(OFFSET(Arb!$X$2,,,Arb!$AJ$5,),R106)/S106)</f>
        <v>3.2428621783574196</v>
      </c>
      <c r="V106" s="165">
        <f ca="1">IF(R106="","",(INDEX(OFFSET(Arb!$U$2,,,Arb!$AJ$5,),R106)+INDEX(OFFSET(Arb!$V$2,,,Arb!$AJ$5,),R106))/S106)</f>
        <v>3.6305956996827633</v>
      </c>
      <c r="W106" s="51">
        <f t="shared" ca="1" si="37"/>
        <v>42.206833896302008</v>
      </c>
      <c r="X106" s="88">
        <f ca="1">IF(R106="","",DATE(INDEX(OFFSET(Arb!$C$2,,,Arb!$AJ$5,),R106),INDEX(OFFSET(Arb!$B$2,,,Arb!$AJ$5,),R106),INDEX(OFFSET(Arb!$A$2,,,Arb!$AJ$5,),R106))+ROW()*0.001)</f>
        <v>43782.106</v>
      </c>
      <c r="Y106" s="436">
        <v>81</v>
      </c>
      <c r="Z106" s="1">
        <v>1889</v>
      </c>
      <c r="AA106" s="52">
        <f ca="1">IF(Z106="","",INDEX(OFFSET(Arb!$H$2,,,Arb!$AJ$5,),Z106))</f>
        <v>28.7</v>
      </c>
      <c r="AB106" s="3">
        <f t="shared" ca="1" si="28"/>
        <v>2.8222996515679442</v>
      </c>
      <c r="AC106" s="165">
        <f ca="1">IF(Z106="","",INDEX(OFFSET(Arb!$X$2,,,Arb!$AJ$5,),Z106)/AA106)</f>
        <v>3.3449477351916377</v>
      </c>
      <c r="AD106" s="165">
        <f ca="1">IF(Z106="","",(INDEX(OFFSET(Arb!$U$2,,,Arb!$AJ$5,),Z106)+INDEX(OFFSET(Arb!$V$2,,,Arb!$AJ$5,),Z106))/AA106)</f>
        <v>3.7630662020905925</v>
      </c>
      <c r="AE106" s="51">
        <f t="shared" ca="1" si="38"/>
        <v>41.385139325241866</v>
      </c>
      <c r="AF106" s="91">
        <f ca="1">IF(Z106="","",DATE(INDEX(OFFSET(Arb!$C$2,,,Arb!$AJ$5,),Z106),INDEX(OFFSET(Arb!$B$2,,,Arb!$AJ$5,),Z106),INDEX(OFFSET(Arb!$A$2,,,Arb!$AJ$5,),Z106))+ROW()*0.001)</f>
        <v>43764.106</v>
      </c>
      <c r="AG106" s="442">
        <v>81</v>
      </c>
      <c r="AH106" s="1">
        <v>2271</v>
      </c>
      <c r="AI106" s="52">
        <f ca="1">IF(AH106="","",INDEX(OFFSET(Arb!$H$2,,,Arb!$AJ$5,),AH106))</f>
        <v>30.42</v>
      </c>
      <c r="AJ106" s="3">
        <f t="shared" ca="1" si="29"/>
        <v>2.6627218934911241</v>
      </c>
      <c r="AK106" s="165">
        <f ca="1">IF(AH106="","",INDEX(OFFSET(Arb!$X$2,,,Arb!$AJ$5,),AH106)/AI106)</f>
        <v>3.1886916502301115</v>
      </c>
      <c r="AL106" s="165">
        <f ca="1">IF(AH106="","",(INDEX(OFFSET(Arb!$U$2,,,Arb!$AJ$5,),AH106)+INDEX(OFFSET(Arb!$V$2,,,Arb!$AJ$5,),AH106))/AI106)</f>
        <v>3.6160420775805391</v>
      </c>
      <c r="AM106" s="51">
        <f t="shared" ca="1" si="39"/>
        <v>37.486335652916217</v>
      </c>
      <c r="AN106" s="88">
        <f ca="1">IF(AH106="","",DATE(INDEX(OFFSET(Arb!$C$2,,,Arb!$AJ$5,),AH106),INDEX(OFFSET(Arb!$B$2,,,Arb!$AJ$5,),AH106),INDEX(OFFSET(Arb!$A$2,,,Arb!$AJ$5,),AH106))+ROW()*0.001)</f>
        <v>43934.106</v>
      </c>
      <c r="AO106" s="436">
        <v>81</v>
      </c>
      <c r="AP106" s="1">
        <v>2088</v>
      </c>
      <c r="AQ106" s="52">
        <f ca="1">IF(AP106="","",INDEX(OFFSET(Arb!$H$2,,,Arb!$AJ$5,),AP106))</f>
        <v>30.8</v>
      </c>
      <c r="AR106" s="3">
        <f t="shared" ca="1" si="30"/>
        <v>2.6298701298701297</v>
      </c>
      <c r="AS106" s="165">
        <f ca="1">IF(AP106="","",INDEX(OFFSET(Arb!$X$2,,,Arb!$AJ$5,),AP106)/AQ106)</f>
        <v>3.5389610389610389</v>
      </c>
      <c r="AT106" s="165">
        <f ca="1">IF(AP106="","",(INDEX(OFFSET(Arb!$U$2,,,Arb!$AJ$5,),AP106)+INDEX(OFFSET(Arb!$V$2,,,Arb!$AJ$5,),AP106))/AQ106)</f>
        <v>4.0584415584415581</v>
      </c>
      <c r="AU106" s="51">
        <f t="shared" ca="1" si="40"/>
        <v>36.703495605528211</v>
      </c>
      <c r="AV106" s="91">
        <f ca="1">IF(AP106="","",DATE(INDEX(OFFSET(Arb!$C$2,,,Arb!$AJ$5,),AP106),INDEX(OFFSET(Arb!$B$2,,,Arb!$AJ$5,),AP106),INDEX(OFFSET(Arb!$A$2,,,Arb!$AJ$5,),AP106))+ROW()*0.001)</f>
        <v>43809.106</v>
      </c>
      <c r="AW106" s="442">
        <v>81</v>
      </c>
      <c r="AY106" s="52" t="str">
        <f ca="1">IF(AX106="","",INDEX(OFFSET(Arb!$H$2,,,Arb!$AJ$5,),AX106))</f>
        <v/>
      </c>
      <c r="AZ106" s="3" t="str">
        <f t="shared" ca="1" si="31"/>
        <v/>
      </c>
      <c r="BA106" s="165" t="str">
        <f ca="1">IF(AX106="","",INDEX(OFFSET(Arb!$X$2,,,Arb!$AJ$5,),AX106)/AY106)</f>
        <v/>
      </c>
      <c r="BB106" s="165" t="str">
        <f ca="1">IF(AX106="","",(INDEX(OFFSET(Arb!$U$2,,,Arb!$AJ$5,),AX106)+INDEX(OFFSET(Arb!$V$2,,,Arb!$AJ$5,),AX106))/AY106)</f>
        <v/>
      </c>
      <c r="BC106" s="51" t="str">
        <f t="shared" ca="1" si="41"/>
        <v/>
      </c>
      <c r="BD106" s="88" t="str">
        <f ca="1">IF(AX106="","",DATE(INDEX(OFFSET(Arb!$C$2,,,Arb!$AJ$5,),AX106),INDEX(OFFSET(Arb!$B$2,,,Arb!$AJ$5,),AX106),INDEX(OFFSET(Arb!$A$2,,,Arb!$AJ$5,),AX106))+ROW()*0.001)</f>
        <v/>
      </c>
      <c r="BE106" s="436">
        <v>81</v>
      </c>
      <c r="BG106" s="52" t="str">
        <f ca="1">IF(BF106="","",INDEX(OFFSET(Arb!$H$2,,,Arb!$AJ$5,),BF106))</f>
        <v/>
      </c>
      <c r="BH106" s="3" t="str">
        <f t="shared" ca="1" si="32"/>
        <v/>
      </c>
      <c r="BI106" s="165" t="str">
        <f ca="1">IF(BF106="","",INDEX(OFFSET(Arb!$X$2,,,Arb!$AJ$5,),BF106)/BG106)</f>
        <v/>
      </c>
      <c r="BJ106" s="165" t="str">
        <f ca="1">IF(BF106="","",(INDEX(OFFSET(Arb!$U$2,,,Arb!$AJ$5,),BF106)+INDEX(OFFSET(Arb!$V$2,,,Arb!$AJ$5,),BF106))/BG106)</f>
        <v/>
      </c>
      <c r="BK106" s="51" t="str">
        <f t="shared" ca="1" si="42"/>
        <v/>
      </c>
      <c r="BL106" s="91" t="str">
        <f ca="1">IF(BF106="","",DATE(INDEX(OFFSET(Arb!$C$2,,,Arb!$AJ$5,),BF106),INDEX(OFFSET(Arb!$B$2,,,Arb!$AJ$5,),BF106),INDEX(OFFSET(Arb!$A$2,,,Arb!$AJ$5,),BF106))+ROW()*0.001)</f>
        <v/>
      </c>
      <c r="BM106" s="442">
        <v>81</v>
      </c>
      <c r="BO106" s="52" t="str">
        <f ca="1">IF(BN106="","",INDEX(OFFSET(Arb!$H$2,,,Arb!$AJ$5,),BN106))</f>
        <v/>
      </c>
      <c r="BP106" s="3" t="str">
        <f t="shared" ca="1" si="33"/>
        <v/>
      </c>
      <c r="BQ106" s="165" t="str">
        <f ca="1">IF(BN106="","",INDEX(OFFSET(Arb!$X$2,,,Arb!$AJ$5,),BN106)/BO106)</f>
        <v/>
      </c>
      <c r="BR106" s="165" t="str">
        <f ca="1">IF(BN106="","",(INDEX(OFFSET(Arb!$U$2,,,Arb!$AJ$5,),BN106)+INDEX(OFFSET(Arb!$V$2,,,Arb!$AJ$5,),BN106))/BO106)</f>
        <v/>
      </c>
      <c r="BS106" s="51" t="str">
        <f t="shared" ca="1" si="43"/>
        <v/>
      </c>
      <c r="BT106" s="88" t="str">
        <f ca="1">IF(BN106="","",DATE(INDEX(OFFSET(Arb!$C$2,,,Arb!$AJ$5,),BN106),INDEX(OFFSET(Arb!$B$2,,,Arb!$AJ$5,),BN106),INDEX(OFFSET(Arb!$A$2,,,Arb!$AJ$5,),BN106))+ROW()*0.001)</f>
        <v/>
      </c>
      <c r="BU106" s="436">
        <v>81</v>
      </c>
      <c r="BW106" s="52" t="str">
        <f ca="1">IF(BV106="","",INDEX(OFFSET(Arb!$H$2,,,Arb!$AJ$5,),BV106))</f>
        <v/>
      </c>
      <c r="BX106" s="3" t="str">
        <f t="shared" ca="1" si="34"/>
        <v/>
      </c>
      <c r="BY106" s="165" t="str">
        <f ca="1">IF(BV106="","",INDEX(OFFSET(Arb!$X$2,,,Arb!$AJ$5,),BV106)/BW106)</f>
        <v/>
      </c>
      <c r="BZ106" s="165" t="str">
        <f ca="1">IF(BV106="","",(INDEX(OFFSET(Arb!$U$2,,,Arb!$AJ$5,),BV106)+INDEX(OFFSET(Arb!$V$2,,,Arb!$AJ$5,),BV106))/BW106)</f>
        <v/>
      </c>
      <c r="CA106" s="51" t="str">
        <f t="shared" ca="1" si="44"/>
        <v/>
      </c>
      <c r="CB106" s="91" t="str">
        <f ca="1">IF(BV106="","",DATE(INDEX(OFFSET(Arb!$C$2,,,Arb!$AJ$5,),BV106),INDEX(OFFSET(Arb!$B$2,,,Arb!$AJ$5,),BV106),INDEX(OFFSET(Arb!$A$2,,,Arb!$AJ$5,),BV106))+ROW()*0.001)</f>
        <v/>
      </c>
    </row>
    <row r="107" spans="1:80" x14ac:dyDescent="0.25">
      <c r="A107" s="436">
        <v>82</v>
      </c>
      <c r="B107" s="1">
        <v>2322</v>
      </c>
      <c r="C107" s="52">
        <f ca="1">IF(B107="","",INDEX(OFFSET(Arb!$H$2,,,Arb!$AJ$5,),B107))</f>
        <v>27.89</v>
      </c>
      <c r="D107" s="3">
        <f t="shared" ca="1" si="25"/>
        <v>2.9401219074937255</v>
      </c>
      <c r="E107" s="165">
        <f ca="1">IF(B107="","",INDEX(OFFSET(Arb!$X$2,,,Arb!$AJ$5,),B107)/C107)</f>
        <v>3.8006453926138399</v>
      </c>
      <c r="F107" s="165">
        <f ca="1">IF(B107="","",(INDEX(OFFSET(Arb!$U$2,,,Arb!$AJ$5,),B107)+INDEX(OFFSET(Arb!$V$2,,,Arb!$AJ$5,),B107))/C107)</f>
        <v>4.6611688777339548</v>
      </c>
      <c r="G107" s="51">
        <f t="shared" ca="1" si="35"/>
        <v>43.985547823265513</v>
      </c>
      <c r="H107" s="355">
        <f ca="1">IF(B107="","",DATE(INDEX(OFFSET(Arb!$C$2,,,Arb!$AJ$5,),B107),INDEX(OFFSET(Arb!$B$2,,,Arb!$AJ$5,),B107),INDEX(OFFSET(Arb!$A$2,,,Arb!$AJ$5,),B107))+ROW()*0.001)</f>
        <v>43990.107000000004</v>
      </c>
      <c r="I107" s="436">
        <v>82</v>
      </c>
      <c r="J107" s="1">
        <v>2146</v>
      </c>
      <c r="K107" s="52">
        <f ca="1">IF(J107="","",INDEX(OFFSET(Arb!$H$2,,,Arb!$AJ$5,),J107))</f>
        <v>30.5</v>
      </c>
      <c r="L107" s="3">
        <f t="shared" ca="1" si="26"/>
        <v>2.6885245901639343</v>
      </c>
      <c r="M107" s="165">
        <f ca="1">IF(J107="","",INDEX(OFFSET(Arb!$X$2,,,Arb!$AJ$5,),J107)/K107)</f>
        <v>3.4098360655737703</v>
      </c>
      <c r="N107" s="165">
        <f ca="1">IF(J107="","",(INDEX(OFFSET(Arb!$U$2,,,Arb!$AJ$5,),J107)+INDEX(OFFSET(Arb!$V$2,,,Arb!$AJ$5,),J107))/K107)</f>
        <v>3.901639344262295</v>
      </c>
      <c r="O107" s="51">
        <f t="shared" ca="1" si="36"/>
        <v>37.780069514231648</v>
      </c>
      <c r="P107" s="91">
        <f ca="1">IF(J107="","",DATE(INDEX(OFFSET(Arb!$C$2,,,Arb!$AJ$5,),J107),INDEX(OFFSET(Arb!$B$2,,,Arb!$AJ$5,),J107),INDEX(OFFSET(Arb!$A$2,,,Arb!$AJ$5,),J107))+ROW()*0.001)</f>
        <v>43818.107000000004</v>
      </c>
      <c r="Q107" s="442">
        <v>82</v>
      </c>
      <c r="R107" s="1">
        <v>1985</v>
      </c>
      <c r="S107" s="52">
        <f ca="1">IF(R107="","",INDEX(OFFSET(Arb!$H$2,,,Arb!$AJ$5,),R107))</f>
        <v>34.18</v>
      </c>
      <c r="T107" s="3">
        <f t="shared" ca="1" si="27"/>
        <v>2.3990637799882975</v>
      </c>
      <c r="U107" s="165">
        <f ca="1">IF(R107="","",INDEX(OFFSET(Arb!$X$2,,,Arb!$AJ$5,),R107)/S107)</f>
        <v>2.4283206553540082</v>
      </c>
      <c r="V107" s="165">
        <f ca="1">IF(R107="","",(INDEX(OFFSET(Arb!$U$2,,,Arb!$AJ$5,),R107)+INDEX(OFFSET(Arb!$V$2,,,Arb!$AJ$5,),R107))/S107)</f>
        <v>3.3352837916910474</v>
      </c>
      <c r="W107" s="51">
        <f t="shared" ca="1" si="37"/>
        <v>31.128628058493462</v>
      </c>
      <c r="X107" s="88">
        <f ca="1">IF(R107="","",DATE(INDEX(OFFSET(Arb!$C$2,,,Arb!$AJ$5,),R107),INDEX(OFFSET(Arb!$B$2,,,Arb!$AJ$5,),R107),INDEX(OFFSET(Arb!$A$2,,,Arb!$AJ$5,),R107))+ROW()*0.001)</f>
        <v>43782.107000000004</v>
      </c>
      <c r="Y107" s="436">
        <v>82</v>
      </c>
      <c r="AA107" s="52" t="str">
        <f ca="1">IF(Z107="","",INDEX(OFFSET(Arb!$H$2,,,Arb!$AJ$5,),Z107))</f>
        <v/>
      </c>
      <c r="AB107" s="3" t="str">
        <f t="shared" ca="1" si="28"/>
        <v/>
      </c>
      <c r="AC107" s="165" t="str">
        <f ca="1">IF(Z107="","",INDEX(OFFSET(Arb!$X$2,,,Arb!$AJ$5,),Z107)/AA107)</f>
        <v/>
      </c>
      <c r="AD107" s="165" t="str">
        <f ca="1">IF(Z107="","",(INDEX(OFFSET(Arb!$U$2,,,Arb!$AJ$5,),Z107)+INDEX(OFFSET(Arb!$V$2,,,Arb!$AJ$5,),Z107))/AA107)</f>
        <v/>
      </c>
      <c r="AE107" s="51" t="str">
        <f t="shared" ca="1" si="38"/>
        <v/>
      </c>
      <c r="AF107" s="91" t="str">
        <f ca="1">IF(Z107="","",DATE(INDEX(OFFSET(Arb!$C$2,,,Arb!$AJ$5,),Z107),INDEX(OFFSET(Arb!$B$2,,,Arb!$AJ$5,),Z107),INDEX(OFFSET(Arb!$A$2,,,Arb!$AJ$5,),Z107))+ROW()*0.001)</f>
        <v/>
      </c>
      <c r="AG107" s="442">
        <v>82</v>
      </c>
      <c r="AI107" s="52" t="str">
        <f ca="1">IF(AH107="","",INDEX(OFFSET(Arb!$H$2,,,Arb!$AJ$5,),AH107))</f>
        <v/>
      </c>
      <c r="AJ107" s="3" t="str">
        <f t="shared" ca="1" si="29"/>
        <v/>
      </c>
      <c r="AK107" s="165" t="str">
        <f ca="1">IF(AH107="","",INDEX(OFFSET(Arb!$X$2,,,Arb!$AJ$5,),AH107)/AI107)</f>
        <v/>
      </c>
      <c r="AL107" s="165" t="str">
        <f ca="1">IF(AH107="","",(INDEX(OFFSET(Arb!$U$2,,,Arb!$AJ$5,),AH107)+INDEX(OFFSET(Arb!$V$2,,,Arb!$AJ$5,),AH107))/AI107)</f>
        <v/>
      </c>
      <c r="AM107" s="51" t="str">
        <f t="shared" ca="1" si="39"/>
        <v/>
      </c>
      <c r="AN107" s="88" t="str">
        <f ca="1">IF(AH107="","",DATE(INDEX(OFFSET(Arb!$C$2,,,Arb!$AJ$5,),AH107),INDEX(OFFSET(Arb!$B$2,,,Arb!$AJ$5,),AH107),INDEX(OFFSET(Arb!$A$2,,,Arb!$AJ$5,),AH107))+ROW()*0.001)</f>
        <v/>
      </c>
      <c r="AO107" s="436">
        <v>82</v>
      </c>
      <c r="AQ107" s="52" t="str">
        <f ca="1">IF(AP107="","",INDEX(OFFSET(Arb!$H$2,,,Arb!$AJ$5,),AP107))</f>
        <v/>
      </c>
      <c r="AR107" s="3" t="str">
        <f t="shared" ca="1" si="30"/>
        <v/>
      </c>
      <c r="AS107" s="165" t="str">
        <f ca="1">IF(AP107="","",INDEX(OFFSET(Arb!$X$2,,,Arb!$AJ$5,),AP107)/AQ107)</f>
        <v/>
      </c>
      <c r="AT107" s="165" t="str">
        <f ca="1">IF(AP107="","",(INDEX(OFFSET(Arb!$U$2,,,Arb!$AJ$5,),AP107)+INDEX(OFFSET(Arb!$V$2,,,Arb!$AJ$5,),AP107))/AQ107)</f>
        <v/>
      </c>
      <c r="AU107" s="51" t="str">
        <f t="shared" ca="1" si="40"/>
        <v/>
      </c>
      <c r="AV107" s="91" t="str">
        <f ca="1">IF(AP107="","",DATE(INDEX(OFFSET(Arb!$C$2,,,Arb!$AJ$5,),AP107),INDEX(OFFSET(Arb!$B$2,,,Arb!$AJ$5,),AP107),INDEX(OFFSET(Arb!$A$2,,,Arb!$AJ$5,),AP107))+ROW()*0.001)</f>
        <v/>
      </c>
      <c r="AW107" s="442">
        <v>82</v>
      </c>
      <c r="AY107" s="52" t="str">
        <f ca="1">IF(AX107="","",INDEX(OFFSET(Arb!$H$2,,,Arb!$AJ$5,),AX107))</f>
        <v/>
      </c>
      <c r="AZ107" s="3" t="str">
        <f t="shared" ca="1" si="31"/>
        <v/>
      </c>
      <c r="BA107" s="165" t="str">
        <f ca="1">IF(AX107="","",INDEX(OFFSET(Arb!$X$2,,,Arb!$AJ$5,),AX107)/AY107)</f>
        <v/>
      </c>
      <c r="BB107" s="165" t="str">
        <f ca="1">IF(AX107="","",(INDEX(OFFSET(Arb!$U$2,,,Arb!$AJ$5,),AX107)+INDEX(OFFSET(Arb!$V$2,,,Arb!$AJ$5,),AX107))/AY107)</f>
        <v/>
      </c>
      <c r="BC107" s="51" t="str">
        <f t="shared" ca="1" si="41"/>
        <v/>
      </c>
      <c r="BD107" s="88" t="str">
        <f ca="1">IF(AX107="","",DATE(INDEX(OFFSET(Arb!$C$2,,,Arb!$AJ$5,),AX107),INDEX(OFFSET(Arb!$B$2,,,Arb!$AJ$5,),AX107),INDEX(OFFSET(Arb!$A$2,,,Arb!$AJ$5,),AX107))+ROW()*0.001)</f>
        <v/>
      </c>
      <c r="BE107" s="436">
        <v>82</v>
      </c>
      <c r="BG107" s="52" t="str">
        <f ca="1">IF(BF107="","",INDEX(OFFSET(Arb!$H$2,,,Arb!$AJ$5,),BF107))</f>
        <v/>
      </c>
      <c r="BH107" s="3" t="str">
        <f t="shared" ca="1" si="32"/>
        <v/>
      </c>
      <c r="BI107" s="165" t="str">
        <f ca="1">IF(BF107="","",INDEX(OFFSET(Arb!$X$2,,,Arb!$AJ$5,),BF107)/BG107)</f>
        <v/>
      </c>
      <c r="BJ107" s="165" t="str">
        <f ca="1">IF(BF107="","",(INDEX(OFFSET(Arb!$U$2,,,Arb!$AJ$5,),BF107)+INDEX(OFFSET(Arb!$V$2,,,Arb!$AJ$5,),BF107))/BG107)</f>
        <v/>
      </c>
      <c r="BK107" s="51" t="str">
        <f t="shared" ca="1" si="42"/>
        <v/>
      </c>
      <c r="BL107" s="91" t="str">
        <f ca="1">IF(BF107="","",DATE(INDEX(OFFSET(Arb!$C$2,,,Arb!$AJ$5,),BF107),INDEX(OFFSET(Arb!$B$2,,,Arb!$AJ$5,),BF107),INDEX(OFFSET(Arb!$A$2,,,Arb!$AJ$5,),BF107))+ROW()*0.001)</f>
        <v/>
      </c>
      <c r="BM107" s="442">
        <v>82</v>
      </c>
      <c r="BO107" s="52" t="str">
        <f ca="1">IF(BN107="","",INDEX(OFFSET(Arb!$H$2,,,Arb!$AJ$5,),BN107))</f>
        <v/>
      </c>
      <c r="BP107" s="3" t="str">
        <f t="shared" ca="1" si="33"/>
        <v/>
      </c>
      <c r="BQ107" s="165" t="str">
        <f ca="1">IF(BN107="","",INDEX(OFFSET(Arb!$X$2,,,Arb!$AJ$5,),BN107)/BO107)</f>
        <v/>
      </c>
      <c r="BR107" s="165" t="str">
        <f ca="1">IF(BN107="","",(INDEX(OFFSET(Arb!$U$2,,,Arb!$AJ$5,),BN107)+INDEX(OFFSET(Arb!$V$2,,,Arb!$AJ$5,),BN107))/BO107)</f>
        <v/>
      </c>
      <c r="BS107" s="51" t="str">
        <f t="shared" ca="1" si="43"/>
        <v/>
      </c>
      <c r="BT107" s="88" t="str">
        <f ca="1">IF(BN107="","",DATE(INDEX(OFFSET(Arb!$C$2,,,Arb!$AJ$5,),BN107),INDEX(OFFSET(Arb!$B$2,,,Arb!$AJ$5,),BN107),INDEX(OFFSET(Arb!$A$2,,,Arb!$AJ$5,),BN107))+ROW()*0.001)</f>
        <v/>
      </c>
      <c r="BU107" s="436">
        <v>82</v>
      </c>
      <c r="BW107" s="52" t="str">
        <f ca="1">IF(BV107="","",INDEX(OFFSET(Arb!$H$2,,,Arb!$AJ$5,),BV107))</f>
        <v/>
      </c>
      <c r="BX107" s="3" t="str">
        <f t="shared" ca="1" si="34"/>
        <v/>
      </c>
      <c r="BY107" s="165" t="str">
        <f ca="1">IF(BV107="","",INDEX(OFFSET(Arb!$X$2,,,Arb!$AJ$5,),BV107)/BW107)</f>
        <v/>
      </c>
      <c r="BZ107" s="165" t="str">
        <f ca="1">IF(BV107="","",(INDEX(OFFSET(Arb!$U$2,,,Arb!$AJ$5,),BV107)+INDEX(OFFSET(Arb!$V$2,,,Arb!$AJ$5,),BV107))/BW107)</f>
        <v/>
      </c>
      <c r="CA107" s="51" t="str">
        <f t="shared" ca="1" si="44"/>
        <v/>
      </c>
      <c r="CB107" s="91" t="str">
        <f ca="1">IF(BV107="","",DATE(INDEX(OFFSET(Arb!$C$2,,,Arb!$AJ$5,),BV107),INDEX(OFFSET(Arb!$B$2,,,Arb!$AJ$5,),BV107),INDEX(OFFSET(Arb!$A$2,,,Arb!$AJ$5,),BV107))+ROW()*0.001)</f>
        <v/>
      </c>
    </row>
    <row r="108" spans="1:80" x14ac:dyDescent="0.25">
      <c r="A108" s="436">
        <v>83</v>
      </c>
      <c r="B108" s="1">
        <v>2136</v>
      </c>
      <c r="C108" s="52">
        <f ca="1">IF(B108="","",INDEX(OFFSET(Arb!$H$2,,,Arb!$AJ$5,),B108))</f>
        <v>27.34</v>
      </c>
      <c r="D108" s="3">
        <f t="shared" ca="1" si="25"/>
        <v>3.0358449158741769</v>
      </c>
      <c r="E108" s="165">
        <f ca="1">IF(B108="","",INDEX(OFFSET(Arb!$X$2,,,Arb!$AJ$5,),B108)/C108)</f>
        <v>3.5844915874177028</v>
      </c>
      <c r="F108" s="165">
        <f ca="1">IF(B108="","",(INDEX(OFFSET(Arb!$U$2,,,Arb!$AJ$5,),B108)+INDEX(OFFSET(Arb!$V$2,,,Arb!$AJ$5,),B108))/C108)</f>
        <v>3.9868324798829553</v>
      </c>
      <c r="G108" s="51">
        <f t="shared" ca="1" si="35"/>
        <v>46.055261458571337</v>
      </c>
      <c r="H108" s="355">
        <f ca="1">IF(B108="","",DATE(INDEX(OFFSET(Arb!$C$2,,,Arb!$AJ$5,),B108),INDEX(OFFSET(Arb!$B$2,,,Arb!$AJ$5,),B108),INDEX(OFFSET(Arb!$A$2,,,Arb!$AJ$5,),B108))+ROW()*0.001)</f>
        <v>43817.108</v>
      </c>
      <c r="I108" s="436">
        <v>83</v>
      </c>
      <c r="J108" s="1">
        <v>2293</v>
      </c>
      <c r="K108" s="52">
        <f ca="1">IF(J108="","",INDEX(OFFSET(Arb!$H$2,,,Arb!$AJ$5,),J108))</f>
        <v>29.69</v>
      </c>
      <c r="L108" s="3">
        <f t="shared" ca="1" si="26"/>
        <v>2.7955540586055911</v>
      </c>
      <c r="M108" s="165">
        <f ca="1">IF(J108="","",INDEX(OFFSET(Arb!$X$2,,,Arb!$AJ$5,),J108)/K108)</f>
        <v>3.3007746716066015</v>
      </c>
      <c r="N108" s="165">
        <f ca="1">IF(J108="","",(INDEX(OFFSET(Arb!$U$2,,,Arb!$AJ$5,),J108)+INDEX(OFFSET(Arb!$V$2,,,Arb!$AJ$5,),J108))/K108)</f>
        <v>3.7723139104075445</v>
      </c>
      <c r="O108" s="51">
        <f t="shared" ca="1" si="36"/>
        <v>40.031271404933761</v>
      </c>
      <c r="P108" s="91">
        <f ca="1">IF(J108="","",DATE(INDEX(OFFSET(Arb!$C$2,,,Arb!$AJ$5,),J108),INDEX(OFFSET(Arb!$B$2,,,Arb!$AJ$5,),J108),INDEX(OFFSET(Arb!$A$2,,,Arb!$AJ$5,),J108))+ROW()*0.001)</f>
        <v>43937.108</v>
      </c>
      <c r="Q108" s="442">
        <v>83</v>
      </c>
      <c r="R108" s="1">
        <v>2131</v>
      </c>
      <c r="S108" s="52">
        <f ca="1">IF(R108="","",INDEX(OFFSET(Arb!$H$2,,,Arb!$AJ$5,),R108))</f>
        <v>32.01</v>
      </c>
      <c r="T108" s="3">
        <f t="shared" ca="1" si="27"/>
        <v>2.5929397063417685</v>
      </c>
      <c r="U108" s="165">
        <f ca="1">IF(R108="","",INDEX(OFFSET(Arb!$X$2,,,Arb!$AJ$5,),R108)/S108)</f>
        <v>3.0303030303030303</v>
      </c>
      <c r="V108" s="165">
        <f ca="1">IF(R108="","",(INDEX(OFFSET(Arb!$U$2,,,Arb!$AJ$5,),R108)+INDEX(OFFSET(Arb!$V$2,,,Arb!$AJ$5,),R108))/S108)</f>
        <v>3.4676663542642925</v>
      </c>
      <c r="W108" s="51">
        <f t="shared" ca="1" si="37"/>
        <v>35.225005818020385</v>
      </c>
      <c r="X108" s="88">
        <f ca="1">IF(R108="","",DATE(INDEX(OFFSET(Arb!$C$2,,,Arb!$AJ$5,),R108),INDEX(OFFSET(Arb!$B$2,,,Arb!$AJ$5,),R108),INDEX(OFFSET(Arb!$A$2,,,Arb!$AJ$5,),R108))+ROW()*0.001)</f>
        <v>43813.108</v>
      </c>
      <c r="Y108" s="436">
        <v>83</v>
      </c>
      <c r="Z108" s="1">
        <v>1968</v>
      </c>
      <c r="AA108" s="52">
        <f ca="1">IF(Z108="","",INDEX(OFFSET(Arb!$H$2,,,Arb!$AJ$5,),Z108))</f>
        <v>32.75</v>
      </c>
      <c r="AB108" s="3">
        <f t="shared" ca="1" si="28"/>
        <v>2.5343511450381677</v>
      </c>
      <c r="AC108" s="165">
        <f ca="1">IF(Z108="","",INDEX(OFFSET(Arb!$X$2,,,Arb!$AJ$5,),Z108)/AA108)</f>
        <v>3.3893129770992365</v>
      </c>
      <c r="AD108" s="165">
        <f ca="1">IF(Z108="","",(INDEX(OFFSET(Arb!$U$2,,,Arb!$AJ$5,),Z108)+INDEX(OFFSET(Arb!$V$2,,,Arb!$AJ$5,),Z108))/AA108)</f>
        <v>3.8167938931297711</v>
      </c>
      <c r="AE108" s="51">
        <f t="shared" ca="1" si="38"/>
        <v>33.882660341684662</v>
      </c>
      <c r="AF108" s="91">
        <f ca="1">IF(Z108="","",DATE(INDEX(OFFSET(Arb!$C$2,,,Arb!$AJ$5,),Z108),INDEX(OFFSET(Arb!$B$2,,,Arb!$AJ$5,),Z108),INDEX(OFFSET(Arb!$A$2,,,Arb!$AJ$5,),Z108))+ROW()*0.001)</f>
        <v>43779.108</v>
      </c>
      <c r="AG108" s="442">
        <v>83</v>
      </c>
      <c r="AI108" s="52" t="str">
        <f ca="1">IF(AH108="","",INDEX(OFFSET(Arb!$H$2,,,Arb!$AJ$5,),AH108))</f>
        <v/>
      </c>
      <c r="AJ108" s="3" t="str">
        <f t="shared" ca="1" si="29"/>
        <v/>
      </c>
      <c r="AK108" s="165" t="str">
        <f ca="1">IF(AH108="","",INDEX(OFFSET(Arb!$X$2,,,Arb!$AJ$5,),AH108)/AI108)</f>
        <v/>
      </c>
      <c r="AL108" s="165" t="str">
        <f ca="1">IF(AH108="","",(INDEX(OFFSET(Arb!$U$2,,,Arb!$AJ$5,),AH108)+INDEX(OFFSET(Arb!$V$2,,,Arb!$AJ$5,),AH108))/AI108)</f>
        <v/>
      </c>
      <c r="AM108" s="51" t="str">
        <f t="shared" ca="1" si="39"/>
        <v/>
      </c>
      <c r="AN108" s="88" t="str">
        <f ca="1">IF(AH108="","",DATE(INDEX(OFFSET(Arb!$C$2,,,Arb!$AJ$5,),AH108),INDEX(OFFSET(Arb!$B$2,,,Arb!$AJ$5,),AH108),INDEX(OFFSET(Arb!$A$2,,,Arb!$AJ$5,),AH108))+ROW()*0.001)</f>
        <v/>
      </c>
      <c r="AO108" s="436">
        <v>83</v>
      </c>
      <c r="AQ108" s="52" t="str">
        <f ca="1">IF(AP108="","",INDEX(OFFSET(Arb!$H$2,,,Arb!$AJ$5,),AP108))</f>
        <v/>
      </c>
      <c r="AR108" s="3" t="str">
        <f t="shared" ca="1" si="30"/>
        <v/>
      </c>
      <c r="AS108" s="165" t="str">
        <f ca="1">IF(AP108="","",INDEX(OFFSET(Arb!$X$2,,,Arb!$AJ$5,),AP108)/AQ108)</f>
        <v/>
      </c>
      <c r="AT108" s="165" t="str">
        <f ca="1">IF(AP108="","",(INDEX(OFFSET(Arb!$U$2,,,Arb!$AJ$5,),AP108)+INDEX(OFFSET(Arb!$V$2,,,Arb!$AJ$5,),AP108))/AQ108)</f>
        <v/>
      </c>
      <c r="AU108" s="51" t="str">
        <f t="shared" ca="1" si="40"/>
        <v/>
      </c>
      <c r="AV108" s="91" t="str">
        <f ca="1">IF(AP108="","",DATE(INDEX(OFFSET(Arb!$C$2,,,Arb!$AJ$5,),AP108),INDEX(OFFSET(Arb!$B$2,,,Arb!$AJ$5,),AP108),INDEX(OFFSET(Arb!$A$2,,,Arb!$AJ$5,),AP108))+ROW()*0.001)</f>
        <v/>
      </c>
      <c r="AW108" s="442">
        <v>83</v>
      </c>
      <c r="AY108" s="52" t="str">
        <f ca="1">IF(AX108="","",INDEX(OFFSET(Arb!$H$2,,,Arb!$AJ$5,),AX108))</f>
        <v/>
      </c>
      <c r="AZ108" s="3" t="str">
        <f t="shared" ca="1" si="31"/>
        <v/>
      </c>
      <c r="BA108" s="165" t="str">
        <f ca="1">IF(AX108="","",INDEX(OFFSET(Arb!$X$2,,,Arb!$AJ$5,),AX108)/AY108)</f>
        <v/>
      </c>
      <c r="BB108" s="165" t="str">
        <f ca="1">IF(AX108="","",(INDEX(OFFSET(Arb!$U$2,,,Arb!$AJ$5,),AX108)+INDEX(OFFSET(Arb!$V$2,,,Arb!$AJ$5,),AX108))/AY108)</f>
        <v/>
      </c>
      <c r="BC108" s="51" t="str">
        <f t="shared" ca="1" si="41"/>
        <v/>
      </c>
      <c r="BD108" s="88" t="str">
        <f ca="1">IF(AX108="","",DATE(INDEX(OFFSET(Arb!$C$2,,,Arb!$AJ$5,),AX108),INDEX(OFFSET(Arb!$B$2,,,Arb!$AJ$5,),AX108),INDEX(OFFSET(Arb!$A$2,,,Arb!$AJ$5,),AX108))+ROW()*0.001)</f>
        <v/>
      </c>
      <c r="BE108" s="436">
        <v>83</v>
      </c>
      <c r="BG108" s="52" t="str">
        <f ca="1">IF(BF108="","",INDEX(OFFSET(Arb!$H$2,,,Arb!$AJ$5,),BF108))</f>
        <v/>
      </c>
      <c r="BH108" s="3" t="str">
        <f t="shared" ca="1" si="32"/>
        <v/>
      </c>
      <c r="BI108" s="165" t="str">
        <f ca="1">IF(BF108="","",INDEX(OFFSET(Arb!$X$2,,,Arb!$AJ$5,),BF108)/BG108)</f>
        <v/>
      </c>
      <c r="BJ108" s="165" t="str">
        <f ca="1">IF(BF108="","",(INDEX(OFFSET(Arb!$U$2,,,Arb!$AJ$5,),BF108)+INDEX(OFFSET(Arb!$V$2,,,Arb!$AJ$5,),BF108))/BG108)</f>
        <v/>
      </c>
      <c r="BK108" s="51" t="str">
        <f t="shared" ca="1" si="42"/>
        <v/>
      </c>
      <c r="BL108" s="91" t="str">
        <f ca="1">IF(BF108="","",DATE(INDEX(OFFSET(Arb!$C$2,,,Arb!$AJ$5,),BF108),INDEX(OFFSET(Arb!$B$2,,,Arb!$AJ$5,),BF108),INDEX(OFFSET(Arb!$A$2,,,Arb!$AJ$5,),BF108))+ROW()*0.001)</f>
        <v/>
      </c>
      <c r="BM108" s="442">
        <v>83</v>
      </c>
      <c r="BO108" s="52" t="str">
        <f ca="1">IF(BN108="","",INDEX(OFFSET(Arb!$H$2,,,Arb!$AJ$5,),BN108))</f>
        <v/>
      </c>
      <c r="BP108" s="3" t="str">
        <f t="shared" ca="1" si="33"/>
        <v/>
      </c>
      <c r="BQ108" s="165" t="str">
        <f ca="1">IF(BN108="","",INDEX(OFFSET(Arb!$X$2,,,Arb!$AJ$5,),BN108)/BO108)</f>
        <v/>
      </c>
      <c r="BR108" s="165" t="str">
        <f ca="1">IF(BN108="","",(INDEX(OFFSET(Arb!$U$2,,,Arb!$AJ$5,),BN108)+INDEX(OFFSET(Arb!$V$2,,,Arb!$AJ$5,),BN108))/BO108)</f>
        <v/>
      </c>
      <c r="BS108" s="51" t="str">
        <f t="shared" ca="1" si="43"/>
        <v/>
      </c>
      <c r="BT108" s="88" t="str">
        <f ca="1">IF(BN108="","",DATE(INDEX(OFFSET(Arb!$C$2,,,Arb!$AJ$5,),BN108),INDEX(OFFSET(Arb!$B$2,,,Arb!$AJ$5,),BN108),INDEX(OFFSET(Arb!$A$2,,,Arb!$AJ$5,),BN108))+ROW()*0.001)</f>
        <v/>
      </c>
      <c r="BU108" s="436">
        <v>83</v>
      </c>
      <c r="BW108" s="52" t="str">
        <f ca="1">IF(BV108="","",INDEX(OFFSET(Arb!$H$2,,,Arb!$AJ$5,),BV108))</f>
        <v/>
      </c>
      <c r="BX108" s="3" t="str">
        <f t="shared" ca="1" si="34"/>
        <v/>
      </c>
      <c r="BY108" s="165" t="str">
        <f ca="1">IF(BV108="","",INDEX(OFFSET(Arb!$X$2,,,Arb!$AJ$5,),BV108)/BW108)</f>
        <v/>
      </c>
      <c r="BZ108" s="165" t="str">
        <f ca="1">IF(BV108="","",(INDEX(OFFSET(Arb!$U$2,,,Arb!$AJ$5,),BV108)+INDEX(OFFSET(Arb!$V$2,,,Arb!$AJ$5,),BV108))/BW108)</f>
        <v/>
      </c>
      <c r="CA108" s="51" t="str">
        <f t="shared" ca="1" si="44"/>
        <v/>
      </c>
      <c r="CB108" s="91" t="str">
        <f ca="1">IF(BV108="","",DATE(INDEX(OFFSET(Arb!$C$2,,,Arb!$AJ$5,),BV108),INDEX(OFFSET(Arb!$B$2,,,Arb!$AJ$5,),BV108),INDEX(OFFSET(Arb!$A$2,,,Arb!$AJ$5,),BV108))+ROW()*0.001)</f>
        <v/>
      </c>
    </row>
    <row r="109" spans="1:80" x14ac:dyDescent="0.25">
      <c r="A109" s="436">
        <v>84</v>
      </c>
      <c r="B109" s="1">
        <v>2039</v>
      </c>
      <c r="C109" s="52">
        <f ca="1">IF(B109="","",INDEX(OFFSET(Arb!$H$2,,,Arb!$AJ$5,),B109))</f>
        <v>25.83</v>
      </c>
      <c r="D109" s="3">
        <f t="shared" ca="1" si="25"/>
        <v>3.2520325203252036</v>
      </c>
      <c r="E109" s="165">
        <f ca="1">IF(B109="","",INDEX(OFFSET(Arb!$X$2,,,Arb!$AJ$5,),B109)/C109)</f>
        <v>3.4068912117692607</v>
      </c>
      <c r="F109" s="165">
        <f ca="1">IF(B109="","",(INDEX(OFFSET(Arb!$U$2,,,Arb!$AJ$5,),B109)+INDEX(OFFSET(Arb!$V$2,,,Arb!$AJ$5,),B109))/C109)</f>
        <v>3.6004645760743323</v>
      </c>
      <c r="G109" s="51">
        <f t="shared" ca="1" si="35"/>
        <v>51.336519689096036</v>
      </c>
      <c r="H109" s="355">
        <f ca="1">IF(B109="","",DATE(INDEX(OFFSET(Arb!$C$2,,,Arb!$AJ$5,),B109),INDEX(OFFSET(Arb!$B$2,,,Arb!$AJ$5,),B109),INDEX(OFFSET(Arb!$A$2,,,Arb!$AJ$5,),B109))+ROW()*0.001)</f>
        <v>43797.108999999997</v>
      </c>
      <c r="I109" s="436">
        <v>84</v>
      </c>
      <c r="J109" s="1">
        <v>2344</v>
      </c>
      <c r="K109" s="52">
        <f ca="1">IF(J109="","",INDEX(OFFSET(Arb!$H$2,,,Arb!$AJ$5,),J109))</f>
        <v>29.17</v>
      </c>
      <c r="L109" s="3">
        <f t="shared" ca="1" si="26"/>
        <v>2.8796708947548848</v>
      </c>
      <c r="M109" s="165">
        <f ca="1">IF(J109="","",INDEX(OFFSET(Arb!$X$2,,,Arb!$AJ$5,),J109)/K109)</f>
        <v>2.8453890983887553</v>
      </c>
      <c r="N109" s="165">
        <f ca="1">IF(J109="","",(INDEX(OFFSET(Arb!$U$2,,,Arb!$AJ$5,),J109)+INDEX(OFFSET(Arb!$V$2,,,Arb!$AJ$5,),J109))/K109)</f>
        <v>3.0853616729516626</v>
      </c>
      <c r="O109" s="51">
        <f t="shared" ca="1" si="36"/>
        <v>41.748990992998671</v>
      </c>
      <c r="P109" s="91">
        <f ca="1">IF(J109="","",DATE(INDEX(OFFSET(Arb!$C$2,,,Arb!$AJ$5,),J109),INDEX(OFFSET(Arb!$B$2,,,Arb!$AJ$5,),J109),INDEX(OFFSET(Arb!$A$2,,,Arb!$AJ$5,),J109))+ROW()*0.001)</f>
        <v>44106.108999999997</v>
      </c>
      <c r="Q109" s="442">
        <v>84</v>
      </c>
      <c r="R109" s="1">
        <v>2144</v>
      </c>
      <c r="S109" s="52">
        <f ca="1">IF(R109="","",INDEX(OFFSET(Arb!$H$2,,,Arb!$AJ$5,),R109))</f>
        <v>31.45</v>
      </c>
      <c r="T109" s="3">
        <f t="shared" ca="1" si="27"/>
        <v>2.6709062003179649</v>
      </c>
      <c r="U109" s="165">
        <f ca="1">IF(R109="","",INDEX(OFFSET(Arb!$X$2,,,Arb!$AJ$5,),R109)/S109)</f>
        <v>3.2750397456279812</v>
      </c>
      <c r="V109" s="165">
        <f ca="1">IF(R109="","",(INDEX(OFFSET(Arb!$U$2,,,Arb!$AJ$5,),R109)+INDEX(OFFSET(Arb!$V$2,,,Arb!$AJ$5,),R109))/S109)</f>
        <v>3.879173290937997</v>
      </c>
      <c r="W109" s="51">
        <f t="shared" ca="1" si="37"/>
        <v>36.735233831752161</v>
      </c>
      <c r="X109" s="88">
        <f ca="1">IF(R109="","",DATE(INDEX(OFFSET(Arb!$C$2,,,Arb!$AJ$5,),R109),INDEX(OFFSET(Arb!$B$2,,,Arb!$AJ$5,),R109),INDEX(OFFSET(Arb!$A$2,,,Arb!$AJ$5,),R109))+ROW()*0.001)</f>
        <v>43818.108999999997</v>
      </c>
      <c r="Y109" s="436">
        <v>84</v>
      </c>
      <c r="Z109" s="1">
        <v>2007</v>
      </c>
      <c r="AA109" s="52">
        <f ca="1">IF(Z109="","",INDEX(OFFSET(Arb!$H$2,,,Arb!$AJ$5,),Z109))</f>
        <v>32.21</v>
      </c>
      <c r="AB109" s="3">
        <f t="shared" ca="1" si="28"/>
        <v>2.6078857497671528</v>
      </c>
      <c r="AC109" s="165">
        <f ca="1">IF(Z109="","",INDEX(OFFSET(Arb!$X$2,,,Arb!$AJ$5,),Z109)/AA109)</f>
        <v>2.9804408568767462</v>
      </c>
      <c r="AD109" s="165">
        <f ca="1">IF(Z109="","",(INDEX(OFFSET(Arb!$U$2,,,Arb!$AJ$5,),Z109)+INDEX(OFFSET(Arb!$V$2,,,Arb!$AJ$5,),Z109))/AA109)</f>
        <v>3.5392735175411363</v>
      </c>
      <c r="AE109" s="51">
        <f t="shared" ca="1" si="38"/>
        <v>35.273916380837484</v>
      </c>
      <c r="AF109" s="91">
        <f ca="1">IF(Z109="","",DATE(INDEX(OFFSET(Arb!$C$2,,,Arb!$AJ$5,),Z109),INDEX(OFFSET(Arb!$B$2,,,Arb!$AJ$5,),Z109),INDEX(OFFSET(Arb!$A$2,,,Arb!$AJ$5,),Z109))+ROW()*0.001)</f>
        <v>43786.108999999997</v>
      </c>
      <c r="AG109" s="442">
        <v>84</v>
      </c>
      <c r="AH109" s="1">
        <v>2317</v>
      </c>
      <c r="AI109" s="52">
        <f ca="1">IF(AH109="","",INDEX(OFFSET(Arb!$H$2,,,Arb!$AJ$5,),AH109))</f>
        <v>33.53</v>
      </c>
      <c r="AJ109" s="3">
        <f t="shared" ca="1" si="29"/>
        <v>2.5052192066805845</v>
      </c>
      <c r="AK109" s="165">
        <f ca="1">IF(AH109="","",INDEX(OFFSET(Arb!$X$2,,,Arb!$AJ$5,),AH109)/AI109)</f>
        <v>3.3104682373993439</v>
      </c>
      <c r="AL109" s="165">
        <f ca="1">IF(AH109="","",(INDEX(OFFSET(Arb!$U$2,,,Arb!$AJ$5,),AH109)+INDEX(OFFSET(Arb!$V$2,,,Arb!$AJ$5,),AH109))/AI109)</f>
        <v>3.7280047718461078</v>
      </c>
      <c r="AM109" s="51">
        <f t="shared" ca="1" si="39"/>
        <v>32.945861805993154</v>
      </c>
      <c r="AN109" s="88">
        <f ca="1">IF(AH109="","",DATE(INDEX(OFFSET(Arb!$C$2,,,Arb!$AJ$5,),AH109),INDEX(OFFSET(Arb!$B$2,,,Arb!$AJ$5,),AH109),INDEX(OFFSET(Arb!$A$2,,,Arb!$AJ$5,),AH109))+ROW()*0.001)</f>
        <v>43967.108999999997</v>
      </c>
      <c r="AO109" s="436">
        <v>84</v>
      </c>
      <c r="AQ109" s="52" t="str">
        <f ca="1">IF(AP109="","",INDEX(OFFSET(Arb!$H$2,,,Arb!$AJ$5,),AP109))</f>
        <v/>
      </c>
      <c r="AR109" s="3" t="str">
        <f t="shared" ca="1" si="30"/>
        <v/>
      </c>
      <c r="AS109" s="165" t="str">
        <f ca="1">IF(AP109="","",INDEX(OFFSET(Arb!$X$2,,,Arb!$AJ$5,),AP109)/AQ109)</f>
        <v/>
      </c>
      <c r="AT109" s="165" t="str">
        <f ca="1">IF(AP109="","",(INDEX(OFFSET(Arb!$U$2,,,Arb!$AJ$5,),AP109)+INDEX(OFFSET(Arb!$V$2,,,Arb!$AJ$5,),AP109))/AQ109)</f>
        <v/>
      </c>
      <c r="AU109" s="51" t="str">
        <f t="shared" ca="1" si="40"/>
        <v/>
      </c>
      <c r="AV109" s="91" t="str">
        <f ca="1">IF(AP109="","",DATE(INDEX(OFFSET(Arb!$C$2,,,Arb!$AJ$5,),AP109),INDEX(OFFSET(Arb!$B$2,,,Arb!$AJ$5,),AP109),INDEX(OFFSET(Arb!$A$2,,,Arb!$AJ$5,),AP109))+ROW()*0.001)</f>
        <v/>
      </c>
      <c r="AW109" s="442">
        <v>84</v>
      </c>
      <c r="AY109" s="52" t="str">
        <f ca="1">IF(AX109="","",INDEX(OFFSET(Arb!$H$2,,,Arb!$AJ$5,),AX109))</f>
        <v/>
      </c>
      <c r="AZ109" s="3" t="str">
        <f t="shared" ca="1" si="31"/>
        <v/>
      </c>
      <c r="BA109" s="165" t="str">
        <f ca="1">IF(AX109="","",INDEX(OFFSET(Arb!$X$2,,,Arb!$AJ$5,),AX109)/AY109)</f>
        <v/>
      </c>
      <c r="BB109" s="165" t="str">
        <f ca="1">IF(AX109="","",(INDEX(OFFSET(Arb!$U$2,,,Arb!$AJ$5,),AX109)+INDEX(OFFSET(Arb!$V$2,,,Arb!$AJ$5,),AX109))/AY109)</f>
        <v/>
      </c>
      <c r="BC109" s="51" t="str">
        <f t="shared" ca="1" si="41"/>
        <v/>
      </c>
      <c r="BD109" s="88" t="str">
        <f ca="1">IF(AX109="","",DATE(INDEX(OFFSET(Arb!$C$2,,,Arb!$AJ$5,),AX109),INDEX(OFFSET(Arb!$B$2,,,Arb!$AJ$5,),AX109),INDEX(OFFSET(Arb!$A$2,,,Arb!$AJ$5,),AX109))+ROW()*0.001)</f>
        <v/>
      </c>
      <c r="BE109" s="436">
        <v>84</v>
      </c>
      <c r="BG109" s="52" t="str">
        <f ca="1">IF(BF109="","",INDEX(OFFSET(Arb!$H$2,,,Arb!$AJ$5,),BF109))</f>
        <v/>
      </c>
      <c r="BH109" s="3" t="str">
        <f t="shared" ca="1" si="32"/>
        <v/>
      </c>
      <c r="BI109" s="165" t="str">
        <f ca="1">IF(BF109="","",INDEX(OFFSET(Arb!$X$2,,,Arb!$AJ$5,),BF109)/BG109)</f>
        <v/>
      </c>
      <c r="BJ109" s="165" t="str">
        <f ca="1">IF(BF109="","",(INDEX(OFFSET(Arb!$U$2,,,Arb!$AJ$5,),BF109)+INDEX(OFFSET(Arb!$V$2,,,Arb!$AJ$5,),BF109))/BG109)</f>
        <v/>
      </c>
      <c r="BK109" s="51" t="str">
        <f t="shared" ca="1" si="42"/>
        <v/>
      </c>
      <c r="BL109" s="91" t="str">
        <f ca="1">IF(BF109="","",DATE(INDEX(OFFSET(Arb!$C$2,,,Arb!$AJ$5,),BF109),INDEX(OFFSET(Arb!$B$2,,,Arb!$AJ$5,),BF109),INDEX(OFFSET(Arb!$A$2,,,Arb!$AJ$5,),BF109))+ROW()*0.001)</f>
        <v/>
      </c>
      <c r="BM109" s="442">
        <v>84</v>
      </c>
      <c r="BO109" s="52" t="str">
        <f ca="1">IF(BN109="","",INDEX(OFFSET(Arb!$H$2,,,Arb!$AJ$5,),BN109))</f>
        <v/>
      </c>
      <c r="BP109" s="3" t="str">
        <f t="shared" ca="1" si="33"/>
        <v/>
      </c>
      <c r="BQ109" s="165" t="str">
        <f ca="1">IF(BN109="","",INDEX(OFFSET(Arb!$X$2,,,Arb!$AJ$5,),BN109)/BO109)</f>
        <v/>
      </c>
      <c r="BR109" s="165" t="str">
        <f ca="1">IF(BN109="","",(INDEX(OFFSET(Arb!$U$2,,,Arb!$AJ$5,),BN109)+INDEX(OFFSET(Arb!$V$2,,,Arb!$AJ$5,),BN109))/BO109)</f>
        <v/>
      </c>
      <c r="BS109" s="51" t="str">
        <f t="shared" ca="1" si="43"/>
        <v/>
      </c>
      <c r="BT109" s="88" t="str">
        <f ca="1">IF(BN109="","",DATE(INDEX(OFFSET(Arb!$C$2,,,Arb!$AJ$5,),BN109),INDEX(OFFSET(Arb!$B$2,,,Arb!$AJ$5,),BN109),INDEX(OFFSET(Arb!$A$2,,,Arb!$AJ$5,),BN109))+ROW()*0.001)</f>
        <v/>
      </c>
      <c r="BU109" s="436">
        <v>84</v>
      </c>
      <c r="BW109" s="52" t="str">
        <f ca="1">IF(BV109="","",INDEX(OFFSET(Arb!$H$2,,,Arb!$AJ$5,),BV109))</f>
        <v/>
      </c>
      <c r="BX109" s="3" t="str">
        <f t="shared" ca="1" si="34"/>
        <v/>
      </c>
      <c r="BY109" s="165" t="str">
        <f ca="1">IF(BV109="","",INDEX(OFFSET(Arb!$X$2,,,Arb!$AJ$5,),BV109)/BW109)</f>
        <v/>
      </c>
      <c r="BZ109" s="165" t="str">
        <f ca="1">IF(BV109="","",(INDEX(OFFSET(Arb!$U$2,,,Arb!$AJ$5,),BV109)+INDEX(OFFSET(Arb!$V$2,,,Arb!$AJ$5,),BV109))/BW109)</f>
        <v/>
      </c>
      <c r="CA109" s="51" t="str">
        <f t="shared" ca="1" si="44"/>
        <v/>
      </c>
      <c r="CB109" s="91" t="str">
        <f ca="1">IF(BV109="","",DATE(INDEX(OFFSET(Arb!$C$2,,,Arb!$AJ$5,),BV109),INDEX(OFFSET(Arb!$B$2,,,Arb!$AJ$5,),BV109),INDEX(OFFSET(Arb!$A$2,,,Arb!$AJ$5,),BV109))+ROW()*0.001)</f>
        <v/>
      </c>
    </row>
    <row r="110" spans="1:80" x14ac:dyDescent="0.25">
      <c r="A110" s="436">
        <v>85</v>
      </c>
      <c r="B110" s="1">
        <v>2275</v>
      </c>
      <c r="C110" s="52">
        <f ca="1">IF(B110="","",INDEX(OFFSET(Arb!$H$2,,,Arb!$AJ$5,),B110))</f>
        <v>28.03</v>
      </c>
      <c r="D110" s="3">
        <f t="shared" ca="1" si="25"/>
        <v>3.0324652158401713</v>
      </c>
      <c r="E110" s="165">
        <f ca="1">IF(B110="","",INDEX(OFFSET(Arb!$X$2,,,Arb!$AJ$5,),B110)/C110)</f>
        <v>3.6746343203710308</v>
      </c>
      <c r="F110" s="165">
        <f ca="1">IF(B110="","",(INDEX(OFFSET(Arb!$U$2,,,Arb!$AJ$5,),B110)+INDEX(OFFSET(Arb!$V$2,,,Arb!$AJ$5,),B110))/C110)</f>
        <v>4.1027470567249376</v>
      </c>
      <c r="G110" s="51">
        <f t="shared" ca="1" si="35"/>
        <v>45.208311497163216</v>
      </c>
      <c r="H110" s="355">
        <f ca="1">IF(B110="","",DATE(INDEX(OFFSET(Arb!$C$2,,,Arb!$AJ$5,),B110),INDEX(OFFSET(Arb!$B$2,,,Arb!$AJ$5,),B110),INDEX(OFFSET(Arb!$A$2,,,Arb!$AJ$5,),B110))+ROW()*0.001)</f>
        <v>43934.11</v>
      </c>
      <c r="I110" s="436">
        <v>85</v>
      </c>
      <c r="J110" s="1">
        <v>2296</v>
      </c>
      <c r="K110" s="52">
        <f ca="1">IF(J110="","",INDEX(OFFSET(Arb!$H$2,,,Arb!$AJ$5,),J110))</f>
        <v>28.13</v>
      </c>
      <c r="L110" s="3">
        <f t="shared" ca="1" si="26"/>
        <v>3.021685033771774</v>
      </c>
      <c r="M110" s="165">
        <f ca="1">IF(J110="","",INDEX(OFFSET(Arb!$X$2,,,Arb!$AJ$5,),J110)/K110)</f>
        <v>3.981514397440455</v>
      </c>
      <c r="N110" s="165">
        <f ca="1">IF(J110="","",(INDEX(OFFSET(Arb!$U$2,,,Arb!$AJ$5,),J110)+INDEX(OFFSET(Arb!$V$2,,,Arb!$AJ$5,),J110))/K110)</f>
        <v>4.4081052257376472</v>
      </c>
      <c r="O110" s="51">
        <f t="shared" ca="1" si="36"/>
        <v>44.9354409965675</v>
      </c>
      <c r="P110" s="91">
        <f ca="1">IF(J110="","",DATE(INDEX(OFFSET(Arb!$C$2,,,Arb!$AJ$5,),J110),INDEX(OFFSET(Arb!$B$2,,,Arb!$AJ$5,),J110),INDEX(OFFSET(Arb!$A$2,,,Arb!$AJ$5,),J110))+ROW()*0.001)</f>
        <v>43937.11</v>
      </c>
      <c r="Q110" s="442">
        <v>85</v>
      </c>
      <c r="R110" s="1">
        <v>2028</v>
      </c>
      <c r="S110" s="52">
        <f ca="1">IF(R110="","",INDEX(OFFSET(Arb!$H$2,,,Arb!$AJ$5,),R110))</f>
        <v>28.89</v>
      </c>
      <c r="T110" s="3">
        <f t="shared" ca="1" si="27"/>
        <v>2.9421945309795778</v>
      </c>
      <c r="U110" s="165">
        <f ca="1">IF(R110="","",INDEX(OFFSET(Arb!$X$2,,,Arb!$AJ$5,),R110)/S110)</f>
        <v>3.5998615437867771</v>
      </c>
      <c r="V110" s="165">
        <f ca="1">IF(R110="","",(INDEX(OFFSET(Arb!$U$2,,,Arb!$AJ$5,),R110)+INDEX(OFFSET(Arb!$V$2,,,Arb!$AJ$5,),R110))/S110)</f>
        <v>4.1536863966770508</v>
      </c>
      <c r="W110" s="51">
        <f t="shared" ca="1" si="37"/>
        <v>42.944419026095773</v>
      </c>
      <c r="X110" s="88">
        <f ca="1">IF(R110="","",DATE(INDEX(OFFSET(Arb!$C$2,,,Arb!$AJ$5,),R110),INDEX(OFFSET(Arb!$B$2,,,Arb!$AJ$5,),R110),INDEX(OFFSET(Arb!$A$2,,,Arb!$AJ$5,),R110))+ROW()*0.001)</f>
        <v>43797.11</v>
      </c>
      <c r="Y110" s="436">
        <v>85</v>
      </c>
      <c r="Z110" s="1">
        <v>2253</v>
      </c>
      <c r="AA110" s="52">
        <f ca="1">IF(Z110="","",INDEX(OFFSET(Arb!$H$2,,,Arb!$AJ$5,),Z110))</f>
        <v>29.55</v>
      </c>
      <c r="AB110" s="3">
        <f t="shared" ca="1" si="28"/>
        <v>2.8764805414551606</v>
      </c>
      <c r="AC110" s="165">
        <f ca="1">IF(Z110="","",INDEX(OFFSET(Arb!$X$2,,,Arb!$AJ$5,),Z110)/AA110)</f>
        <v>3.4179357021996615</v>
      </c>
      <c r="AD110" s="165">
        <f ca="1">IF(Z110="","",(INDEX(OFFSET(Arb!$U$2,,,Arb!$AJ$5,),Z110)+INDEX(OFFSET(Arb!$V$2,,,Arb!$AJ$5,),Z110))/AA110)</f>
        <v>3.8578680203045685</v>
      </c>
      <c r="AE110" s="51">
        <f t="shared" ca="1" si="38"/>
        <v>41.326614399235218</v>
      </c>
      <c r="AF110" s="91">
        <f ca="1">IF(Z110="","",DATE(INDEX(OFFSET(Arb!$C$2,,,Arb!$AJ$5,),Z110),INDEX(OFFSET(Arb!$B$2,,,Arb!$AJ$5,),Z110),INDEX(OFFSET(Arb!$A$2,,,Arb!$AJ$5,),Z110))+ROW()*0.001)</f>
        <v>43901.11</v>
      </c>
      <c r="AG110" s="442">
        <v>85</v>
      </c>
      <c r="AH110" s="1">
        <v>2364</v>
      </c>
      <c r="AI110" s="52">
        <f ca="1">IF(AH110="","",INDEX(OFFSET(Arb!$H$2,,,Arb!$AJ$5,),AH110))</f>
        <v>33.85</v>
      </c>
      <c r="AJ110" s="3">
        <f t="shared" ca="1" si="29"/>
        <v>2.5110782865583454</v>
      </c>
      <c r="AK110" s="165">
        <f ca="1">IF(AH110="","",INDEX(OFFSET(Arb!$X$2,,,Arb!$AJ$5,),AH110)/AI110)</f>
        <v>2.8064992614475628</v>
      </c>
      <c r="AL110" s="165">
        <f ca="1">IF(AH110="","",(INDEX(OFFSET(Arb!$U$2,,,Arb!$AJ$5,),AH110)+INDEX(OFFSET(Arb!$V$2,,,Arb!$AJ$5,),AH110))/AI110)</f>
        <v>3.4859675036927622</v>
      </c>
      <c r="AM110" s="51">
        <f t="shared" ca="1" si="39"/>
        <v>32.80407595222497</v>
      </c>
      <c r="AN110" s="88">
        <f ca="1">IF(AH110="","",DATE(INDEX(OFFSET(Arb!$C$2,,,Arb!$AJ$5,),AH110),INDEX(OFFSET(Arb!$B$2,,,Arb!$AJ$5,),AH110),INDEX(OFFSET(Arb!$A$2,,,Arb!$AJ$5,),AH110))+ROW()*0.001)</f>
        <v>44114.11</v>
      </c>
      <c r="AO110" s="436">
        <v>85</v>
      </c>
      <c r="AQ110" s="52" t="str">
        <f ca="1">IF(AP110="","",INDEX(OFFSET(Arb!$H$2,,,Arb!$AJ$5,),AP110))</f>
        <v/>
      </c>
      <c r="AR110" s="3" t="str">
        <f t="shared" ca="1" si="30"/>
        <v/>
      </c>
      <c r="AS110" s="165" t="str">
        <f ca="1">IF(AP110="","",INDEX(OFFSET(Arb!$X$2,,,Arb!$AJ$5,),AP110)/AQ110)</f>
        <v/>
      </c>
      <c r="AT110" s="165" t="str">
        <f ca="1">IF(AP110="","",(INDEX(OFFSET(Arb!$U$2,,,Arb!$AJ$5,),AP110)+INDEX(OFFSET(Arb!$V$2,,,Arb!$AJ$5,),AP110))/AQ110)</f>
        <v/>
      </c>
      <c r="AU110" s="51" t="str">
        <f t="shared" ca="1" si="40"/>
        <v/>
      </c>
      <c r="AV110" s="91" t="str">
        <f ca="1">IF(AP110="","",DATE(INDEX(OFFSET(Arb!$C$2,,,Arb!$AJ$5,),AP110),INDEX(OFFSET(Arb!$B$2,,,Arb!$AJ$5,),AP110),INDEX(OFFSET(Arb!$A$2,,,Arb!$AJ$5,),AP110))+ROW()*0.001)</f>
        <v/>
      </c>
      <c r="AW110" s="442">
        <v>85</v>
      </c>
      <c r="AY110" s="52" t="str">
        <f ca="1">IF(AX110="","",INDEX(OFFSET(Arb!$H$2,,,Arb!$AJ$5,),AX110))</f>
        <v/>
      </c>
      <c r="AZ110" s="3" t="str">
        <f t="shared" ca="1" si="31"/>
        <v/>
      </c>
      <c r="BA110" s="165" t="str">
        <f ca="1">IF(AX110="","",INDEX(OFFSET(Arb!$X$2,,,Arb!$AJ$5,),AX110)/AY110)</f>
        <v/>
      </c>
      <c r="BB110" s="165" t="str">
        <f ca="1">IF(AX110="","",(INDEX(OFFSET(Arb!$U$2,,,Arb!$AJ$5,),AX110)+INDEX(OFFSET(Arb!$V$2,,,Arb!$AJ$5,),AX110))/AY110)</f>
        <v/>
      </c>
      <c r="BC110" s="51" t="str">
        <f t="shared" ca="1" si="41"/>
        <v/>
      </c>
      <c r="BD110" s="88" t="str">
        <f ca="1">IF(AX110="","",DATE(INDEX(OFFSET(Arb!$C$2,,,Arb!$AJ$5,),AX110),INDEX(OFFSET(Arb!$B$2,,,Arb!$AJ$5,),AX110),INDEX(OFFSET(Arb!$A$2,,,Arb!$AJ$5,),AX110))+ROW()*0.001)</f>
        <v/>
      </c>
      <c r="BE110" s="436">
        <v>85</v>
      </c>
      <c r="BG110" s="52" t="str">
        <f ca="1">IF(BF110="","",INDEX(OFFSET(Arb!$H$2,,,Arb!$AJ$5,),BF110))</f>
        <v/>
      </c>
      <c r="BH110" s="3" t="str">
        <f t="shared" ca="1" si="32"/>
        <v/>
      </c>
      <c r="BI110" s="165" t="str">
        <f ca="1">IF(BF110="","",INDEX(OFFSET(Arb!$X$2,,,Arb!$AJ$5,),BF110)/BG110)</f>
        <v/>
      </c>
      <c r="BJ110" s="165" t="str">
        <f ca="1">IF(BF110="","",(INDEX(OFFSET(Arb!$U$2,,,Arb!$AJ$5,),BF110)+INDEX(OFFSET(Arb!$V$2,,,Arb!$AJ$5,),BF110))/BG110)</f>
        <v/>
      </c>
      <c r="BK110" s="51" t="str">
        <f t="shared" ca="1" si="42"/>
        <v/>
      </c>
      <c r="BL110" s="91" t="str">
        <f ca="1">IF(BF110="","",DATE(INDEX(OFFSET(Arb!$C$2,,,Arb!$AJ$5,),BF110),INDEX(OFFSET(Arb!$B$2,,,Arb!$AJ$5,),BF110),INDEX(OFFSET(Arb!$A$2,,,Arb!$AJ$5,),BF110))+ROW()*0.001)</f>
        <v/>
      </c>
      <c r="BM110" s="442">
        <v>85</v>
      </c>
      <c r="BO110" s="52" t="str">
        <f ca="1">IF(BN110="","",INDEX(OFFSET(Arb!$H$2,,,Arb!$AJ$5,),BN110))</f>
        <v/>
      </c>
      <c r="BP110" s="3" t="str">
        <f t="shared" ca="1" si="33"/>
        <v/>
      </c>
      <c r="BQ110" s="165" t="str">
        <f ca="1">IF(BN110="","",INDEX(OFFSET(Arb!$X$2,,,Arb!$AJ$5,),BN110)/BO110)</f>
        <v/>
      </c>
      <c r="BR110" s="165" t="str">
        <f ca="1">IF(BN110="","",(INDEX(OFFSET(Arb!$U$2,,,Arb!$AJ$5,),BN110)+INDEX(OFFSET(Arb!$V$2,,,Arb!$AJ$5,),BN110))/BO110)</f>
        <v/>
      </c>
      <c r="BS110" s="51" t="str">
        <f t="shared" ca="1" si="43"/>
        <v/>
      </c>
      <c r="BT110" s="88" t="str">
        <f ca="1">IF(BN110="","",DATE(INDEX(OFFSET(Arb!$C$2,,,Arb!$AJ$5,),BN110),INDEX(OFFSET(Arb!$B$2,,,Arb!$AJ$5,),BN110),INDEX(OFFSET(Arb!$A$2,,,Arb!$AJ$5,),BN110))+ROW()*0.001)</f>
        <v/>
      </c>
      <c r="BU110" s="436">
        <v>85</v>
      </c>
      <c r="BW110" s="52" t="str">
        <f ca="1">IF(BV110="","",INDEX(OFFSET(Arb!$H$2,,,Arb!$AJ$5,),BV110))</f>
        <v/>
      </c>
      <c r="BX110" s="3" t="str">
        <f t="shared" ca="1" si="34"/>
        <v/>
      </c>
      <c r="BY110" s="165" t="str">
        <f ca="1">IF(BV110="","",INDEX(OFFSET(Arb!$X$2,,,Arb!$AJ$5,),BV110)/BW110)</f>
        <v/>
      </c>
      <c r="BZ110" s="165" t="str">
        <f ca="1">IF(BV110="","",(INDEX(OFFSET(Arb!$U$2,,,Arb!$AJ$5,),BV110)+INDEX(OFFSET(Arb!$V$2,,,Arb!$AJ$5,),BV110))/BW110)</f>
        <v/>
      </c>
      <c r="CA110" s="51" t="str">
        <f t="shared" ca="1" si="44"/>
        <v/>
      </c>
      <c r="CB110" s="91" t="str">
        <f ca="1">IF(BV110="","",DATE(INDEX(OFFSET(Arb!$C$2,,,Arb!$AJ$5,),BV110),INDEX(OFFSET(Arb!$B$2,,,Arb!$AJ$5,),BV110),INDEX(OFFSET(Arb!$A$2,,,Arb!$AJ$5,),BV110))+ROW()*0.001)</f>
        <v/>
      </c>
    </row>
    <row r="111" spans="1:80" x14ac:dyDescent="0.25">
      <c r="A111" s="436">
        <v>86</v>
      </c>
      <c r="B111" s="1">
        <v>2399</v>
      </c>
      <c r="C111" s="52">
        <f ca="1">IF(B111="","",INDEX(OFFSET(Arb!$H$2,,,Arb!$AJ$5,),B111))</f>
        <v>27.92</v>
      </c>
      <c r="D111" s="3">
        <f t="shared" ca="1" si="25"/>
        <v>3.0802292263610314</v>
      </c>
      <c r="E111" s="165">
        <f ca="1">IF(B111="","",INDEX(OFFSET(Arb!$X$2,,,Arb!$AJ$5,),B111)/C111)</f>
        <v>3.2951289398280799</v>
      </c>
      <c r="F111" s="165">
        <f ca="1">IF(B111="","",(INDEX(OFFSET(Arb!$U$2,,,Arb!$AJ$5,),B111)+INDEX(OFFSET(Arb!$V$2,,,Arb!$AJ$5,),B111))/C111)</f>
        <v>3.6891117478510025</v>
      </c>
      <c r="G111" s="51">
        <f t="shared" ca="1" si="35"/>
        <v>46.04695058047718</v>
      </c>
      <c r="H111" s="355">
        <f ca="1">IF(B111="","",DATE(INDEX(OFFSET(Arb!$C$2,,,Arb!$AJ$5,),B111),INDEX(OFFSET(Arb!$B$2,,,Arb!$AJ$5,),B111),INDEX(OFFSET(Arb!$A$2,,,Arb!$AJ$5,),B111))+ROW()*0.001)</f>
        <v>44168.110999999997</v>
      </c>
      <c r="I111" s="436">
        <v>86</v>
      </c>
      <c r="J111" s="1">
        <v>2059</v>
      </c>
      <c r="K111" s="52">
        <f ca="1">IF(J111="","",INDEX(OFFSET(Arb!$H$2,,,Arb!$AJ$5,),J111))</f>
        <v>30.87</v>
      </c>
      <c r="L111" s="3">
        <f t="shared" ca="1" si="26"/>
        <v>2.7858762552640104</v>
      </c>
      <c r="M111" s="165">
        <f ca="1">IF(J111="","",INDEX(OFFSET(Arb!$X$2,,,Arb!$AJ$5,),J111)/K111)</f>
        <v>3.4661483641075477</v>
      </c>
      <c r="N111" s="165">
        <f ca="1">IF(J111="","",(INDEX(OFFSET(Arb!$U$2,,,Arb!$AJ$5,),J111)+INDEX(OFFSET(Arb!$V$2,,,Arb!$AJ$5,),J111))/K111)</f>
        <v>3.9844509232264333</v>
      </c>
      <c r="O111" s="51">
        <f t="shared" ca="1" si="36"/>
        <v>38.819041544605007</v>
      </c>
      <c r="P111" s="91">
        <f ca="1">IF(J111="","",DATE(INDEX(OFFSET(Arb!$C$2,,,Arb!$AJ$5,),J111),INDEX(OFFSET(Arb!$B$2,,,Arb!$AJ$5,),J111),INDEX(OFFSET(Arb!$A$2,,,Arb!$AJ$5,),J111))+ROW()*0.001)</f>
        <v>43800.110999999997</v>
      </c>
      <c r="Q111" s="442">
        <v>86</v>
      </c>
      <c r="R111" s="1">
        <v>2016</v>
      </c>
      <c r="S111" s="52">
        <f ca="1">IF(R111="","",INDEX(OFFSET(Arb!$H$2,,,Arb!$AJ$5,),R111))</f>
        <v>34.72</v>
      </c>
      <c r="T111" s="3">
        <f t="shared" ca="1" si="27"/>
        <v>2.4769585253456223</v>
      </c>
      <c r="U111" s="165">
        <f ca="1">IF(R111="","",INDEX(OFFSET(Arb!$X$2,,,Arb!$AJ$5,),R111)/S111)</f>
        <v>3.2258064516129035</v>
      </c>
      <c r="V111" s="165">
        <f ca="1">IF(R111="","",(INDEX(OFFSET(Arb!$U$2,,,Arb!$AJ$5,),R111)+INDEX(OFFSET(Arb!$V$2,,,Arb!$AJ$5,),R111))/S111)</f>
        <v>3.7154377880184333</v>
      </c>
      <c r="W111" s="51">
        <f t="shared" ca="1" si="37"/>
        <v>31.788611621417498</v>
      </c>
      <c r="X111" s="88">
        <f ca="1">IF(R111="","",DATE(INDEX(OFFSET(Arb!$C$2,,,Arb!$AJ$5,),R111),INDEX(OFFSET(Arb!$B$2,,,Arb!$AJ$5,),R111),INDEX(OFFSET(Arb!$A$2,,,Arb!$AJ$5,),R111))+ROW()*0.001)</f>
        <v>43790.110999999997</v>
      </c>
      <c r="Y111" s="436">
        <v>86</v>
      </c>
      <c r="Z111" s="1">
        <v>2012</v>
      </c>
      <c r="AA111" s="52">
        <f ca="1">IF(Z111="","",INDEX(OFFSET(Arb!$H$2,,,Arb!$AJ$5,),Z111))</f>
        <v>35.049999999999997</v>
      </c>
      <c r="AB111" s="3">
        <f t="shared" ca="1" si="28"/>
        <v>2.4536376604850214</v>
      </c>
      <c r="AC111" s="165">
        <f ca="1">IF(Z111="","",INDEX(OFFSET(Arb!$X$2,,,Arb!$AJ$5,),Z111)/AA111)</f>
        <v>3.081312410841655</v>
      </c>
      <c r="AD111" s="165">
        <f ca="1">IF(Z111="","",(INDEX(OFFSET(Arb!$U$2,,,Arb!$AJ$5,),Z111)+INDEX(OFFSET(Arb!$V$2,,,Arb!$AJ$5,),Z111))/AA111)</f>
        <v>3.5378031383737523</v>
      </c>
      <c r="AE111" s="51">
        <f t="shared" ca="1" si="38"/>
        <v>31.28149067090234</v>
      </c>
      <c r="AF111" s="91">
        <f ca="1">IF(Z111="","",DATE(INDEX(OFFSET(Arb!$C$2,,,Arb!$AJ$5,),Z111),INDEX(OFFSET(Arb!$B$2,,,Arb!$AJ$5,),Z111),INDEX(OFFSET(Arb!$A$2,,,Arb!$AJ$5,),Z111))+ROW()*0.001)</f>
        <v>43788.110999999997</v>
      </c>
      <c r="AG111" s="442">
        <v>86</v>
      </c>
      <c r="AI111" s="52" t="str">
        <f ca="1">IF(AH111="","",INDEX(OFFSET(Arb!$H$2,,,Arb!$AJ$5,),AH111))</f>
        <v/>
      </c>
      <c r="AJ111" s="3" t="str">
        <f t="shared" ca="1" si="29"/>
        <v/>
      </c>
      <c r="AK111" s="165" t="str">
        <f ca="1">IF(AH111="","",INDEX(OFFSET(Arb!$X$2,,,Arb!$AJ$5,),AH111)/AI111)</f>
        <v/>
      </c>
      <c r="AL111" s="165" t="str">
        <f ca="1">IF(AH111="","",(INDEX(OFFSET(Arb!$U$2,,,Arb!$AJ$5,),AH111)+INDEX(OFFSET(Arb!$V$2,,,Arb!$AJ$5,),AH111))/AI111)</f>
        <v/>
      </c>
      <c r="AM111" s="51" t="str">
        <f t="shared" ca="1" si="39"/>
        <v/>
      </c>
      <c r="AN111" s="88" t="str">
        <f ca="1">IF(AH111="","",DATE(INDEX(OFFSET(Arb!$C$2,,,Arb!$AJ$5,),AH111),INDEX(OFFSET(Arb!$B$2,,,Arb!$AJ$5,),AH111),INDEX(OFFSET(Arb!$A$2,,,Arb!$AJ$5,),AH111))+ROW()*0.001)</f>
        <v/>
      </c>
      <c r="AO111" s="436">
        <v>86</v>
      </c>
      <c r="AQ111" s="52" t="str">
        <f ca="1">IF(AP111="","",INDEX(OFFSET(Arb!$H$2,,,Arb!$AJ$5,),AP111))</f>
        <v/>
      </c>
      <c r="AR111" s="3" t="str">
        <f t="shared" ca="1" si="30"/>
        <v/>
      </c>
      <c r="AS111" s="165" t="str">
        <f ca="1">IF(AP111="","",INDEX(OFFSET(Arb!$X$2,,,Arb!$AJ$5,),AP111)/AQ111)</f>
        <v/>
      </c>
      <c r="AT111" s="165" t="str">
        <f ca="1">IF(AP111="","",(INDEX(OFFSET(Arb!$U$2,,,Arb!$AJ$5,),AP111)+INDEX(OFFSET(Arb!$V$2,,,Arb!$AJ$5,),AP111))/AQ111)</f>
        <v/>
      </c>
      <c r="AU111" s="51" t="str">
        <f t="shared" ca="1" si="40"/>
        <v/>
      </c>
      <c r="AV111" s="91" t="str">
        <f ca="1">IF(AP111="","",DATE(INDEX(OFFSET(Arb!$C$2,,,Arb!$AJ$5,),AP111),INDEX(OFFSET(Arb!$B$2,,,Arb!$AJ$5,),AP111),INDEX(OFFSET(Arb!$A$2,,,Arb!$AJ$5,),AP111))+ROW()*0.001)</f>
        <v/>
      </c>
      <c r="AW111" s="442">
        <v>86</v>
      </c>
      <c r="AY111" s="52" t="str">
        <f ca="1">IF(AX111="","",INDEX(OFFSET(Arb!$H$2,,,Arb!$AJ$5,),AX111))</f>
        <v/>
      </c>
      <c r="AZ111" s="3" t="str">
        <f t="shared" ca="1" si="31"/>
        <v/>
      </c>
      <c r="BA111" s="165" t="str">
        <f ca="1">IF(AX111="","",INDEX(OFFSET(Arb!$X$2,,,Arb!$AJ$5,),AX111)/AY111)</f>
        <v/>
      </c>
      <c r="BB111" s="165" t="str">
        <f ca="1">IF(AX111="","",(INDEX(OFFSET(Arb!$U$2,,,Arb!$AJ$5,),AX111)+INDEX(OFFSET(Arb!$V$2,,,Arb!$AJ$5,),AX111))/AY111)</f>
        <v/>
      </c>
      <c r="BC111" s="51" t="str">
        <f t="shared" ca="1" si="41"/>
        <v/>
      </c>
      <c r="BD111" s="88" t="str">
        <f ca="1">IF(AX111="","",DATE(INDEX(OFFSET(Arb!$C$2,,,Arb!$AJ$5,),AX111),INDEX(OFFSET(Arb!$B$2,,,Arb!$AJ$5,),AX111),INDEX(OFFSET(Arb!$A$2,,,Arb!$AJ$5,),AX111))+ROW()*0.001)</f>
        <v/>
      </c>
      <c r="BE111" s="436">
        <v>86</v>
      </c>
      <c r="BG111" s="52" t="str">
        <f ca="1">IF(BF111="","",INDEX(OFFSET(Arb!$H$2,,,Arb!$AJ$5,),BF111))</f>
        <v/>
      </c>
      <c r="BH111" s="3" t="str">
        <f t="shared" ca="1" si="32"/>
        <v/>
      </c>
      <c r="BI111" s="165" t="str">
        <f ca="1">IF(BF111="","",INDEX(OFFSET(Arb!$X$2,,,Arb!$AJ$5,),BF111)/BG111)</f>
        <v/>
      </c>
      <c r="BJ111" s="165" t="str">
        <f ca="1">IF(BF111="","",(INDEX(OFFSET(Arb!$U$2,,,Arb!$AJ$5,),BF111)+INDEX(OFFSET(Arb!$V$2,,,Arb!$AJ$5,),BF111))/BG111)</f>
        <v/>
      </c>
      <c r="BK111" s="51" t="str">
        <f t="shared" ca="1" si="42"/>
        <v/>
      </c>
      <c r="BL111" s="91" t="str">
        <f ca="1">IF(BF111="","",DATE(INDEX(OFFSET(Arb!$C$2,,,Arb!$AJ$5,),BF111),INDEX(OFFSET(Arb!$B$2,,,Arb!$AJ$5,),BF111),INDEX(OFFSET(Arb!$A$2,,,Arb!$AJ$5,),BF111))+ROW()*0.001)</f>
        <v/>
      </c>
      <c r="BM111" s="442">
        <v>86</v>
      </c>
      <c r="BO111" s="52" t="str">
        <f ca="1">IF(BN111="","",INDEX(OFFSET(Arb!$H$2,,,Arb!$AJ$5,),BN111))</f>
        <v/>
      </c>
      <c r="BP111" s="3" t="str">
        <f t="shared" ca="1" si="33"/>
        <v/>
      </c>
      <c r="BQ111" s="165" t="str">
        <f ca="1">IF(BN111="","",INDEX(OFFSET(Arb!$X$2,,,Arb!$AJ$5,),BN111)/BO111)</f>
        <v/>
      </c>
      <c r="BR111" s="165" t="str">
        <f ca="1">IF(BN111="","",(INDEX(OFFSET(Arb!$U$2,,,Arb!$AJ$5,),BN111)+INDEX(OFFSET(Arb!$V$2,,,Arb!$AJ$5,),BN111))/BO111)</f>
        <v/>
      </c>
      <c r="BS111" s="51" t="str">
        <f t="shared" ca="1" si="43"/>
        <v/>
      </c>
      <c r="BT111" s="88" t="str">
        <f ca="1">IF(BN111="","",DATE(INDEX(OFFSET(Arb!$C$2,,,Arb!$AJ$5,),BN111),INDEX(OFFSET(Arb!$B$2,,,Arb!$AJ$5,),BN111),INDEX(OFFSET(Arb!$A$2,,,Arb!$AJ$5,),BN111))+ROW()*0.001)</f>
        <v/>
      </c>
      <c r="BU111" s="436">
        <v>86</v>
      </c>
      <c r="BW111" s="52" t="str">
        <f ca="1">IF(BV111="","",INDEX(OFFSET(Arb!$H$2,,,Arb!$AJ$5,),BV111))</f>
        <v/>
      </c>
      <c r="BX111" s="3" t="str">
        <f t="shared" ca="1" si="34"/>
        <v/>
      </c>
      <c r="BY111" s="165" t="str">
        <f ca="1">IF(BV111="","",INDEX(OFFSET(Arb!$X$2,,,Arb!$AJ$5,),BV111)/BW111)</f>
        <v/>
      </c>
      <c r="BZ111" s="165" t="str">
        <f ca="1">IF(BV111="","",(INDEX(OFFSET(Arb!$U$2,,,Arb!$AJ$5,),BV111)+INDEX(OFFSET(Arb!$V$2,,,Arb!$AJ$5,),BV111))/BW111)</f>
        <v/>
      </c>
      <c r="CA111" s="51" t="str">
        <f t="shared" ca="1" si="44"/>
        <v/>
      </c>
      <c r="CB111" s="91" t="str">
        <f ca="1">IF(BV111="","",DATE(INDEX(OFFSET(Arb!$C$2,,,Arb!$AJ$5,),BV111),INDEX(OFFSET(Arb!$B$2,,,Arb!$AJ$5,),BV111),INDEX(OFFSET(Arb!$A$2,,,Arb!$AJ$5,),BV111))+ROW()*0.001)</f>
        <v/>
      </c>
    </row>
    <row r="112" spans="1:80" x14ac:dyDescent="0.25">
      <c r="A112" s="436">
        <v>87</v>
      </c>
      <c r="B112" s="1">
        <v>2064</v>
      </c>
      <c r="C112" s="52">
        <f ca="1">IF(B112="","",INDEX(OFFSET(Arb!$H$2,,,Arb!$AJ$5,),B112))</f>
        <v>32.11</v>
      </c>
      <c r="D112" s="3">
        <f t="shared" ca="1" si="25"/>
        <v>2.7094363126751793</v>
      </c>
      <c r="E112" s="165">
        <f ca="1">IF(B112="","",INDEX(OFFSET(Arb!$X$2,,,Arb!$AJ$5,),B112)/C112)</f>
        <v>3.5814388041108689</v>
      </c>
      <c r="F112" s="165">
        <f ca="1">IF(B112="","",(INDEX(OFFSET(Arb!$U$2,,,Arb!$AJ$5,),B112)+INDEX(OFFSET(Arb!$V$2,,,Arb!$AJ$5,),B112))/C112)</f>
        <v>4.2354406726876359</v>
      </c>
      <c r="G112" s="51">
        <f t="shared" ca="1" si="35"/>
        <v>36.727330265875366</v>
      </c>
      <c r="H112" s="355">
        <f ca="1">IF(B112="","",DATE(INDEX(OFFSET(Arb!$C$2,,,Arb!$AJ$5,),B112),INDEX(OFFSET(Arb!$B$2,,,Arb!$AJ$5,),B112),INDEX(OFFSET(Arb!$A$2,,,Arb!$AJ$5,),B112))+ROW()*0.001)</f>
        <v>43800.112000000001</v>
      </c>
      <c r="I112" s="436">
        <v>87</v>
      </c>
      <c r="K112" s="52" t="str">
        <f ca="1">IF(J112="","",INDEX(OFFSET(Arb!$H$2,,,Arb!$AJ$5,),J112))</f>
        <v/>
      </c>
      <c r="L112" s="3" t="str">
        <f t="shared" ca="1" si="26"/>
        <v/>
      </c>
      <c r="M112" s="165" t="str">
        <f ca="1">IF(J112="","",INDEX(OFFSET(Arb!$X$2,,,Arb!$AJ$5,),J112)/K112)</f>
        <v/>
      </c>
      <c r="N112" s="165" t="str">
        <f ca="1">IF(J112="","",(INDEX(OFFSET(Arb!$U$2,,,Arb!$AJ$5,),J112)+INDEX(OFFSET(Arb!$V$2,,,Arb!$AJ$5,),J112))/K112)</f>
        <v/>
      </c>
      <c r="O112" s="51" t="str">
        <f t="shared" ca="1" si="36"/>
        <v/>
      </c>
      <c r="P112" s="91" t="str">
        <f ca="1">IF(J112="","",DATE(INDEX(OFFSET(Arb!$C$2,,,Arb!$AJ$5,),J112),INDEX(OFFSET(Arb!$B$2,,,Arb!$AJ$5,),J112),INDEX(OFFSET(Arb!$A$2,,,Arb!$AJ$5,),J112))+ROW()*0.001)</f>
        <v/>
      </c>
      <c r="Q112" s="442">
        <v>87</v>
      </c>
      <c r="S112" s="52" t="str">
        <f ca="1">IF(R112="","",INDEX(OFFSET(Arb!$H$2,,,Arb!$AJ$5,),R112))</f>
        <v/>
      </c>
      <c r="T112" s="3" t="str">
        <f t="shared" ca="1" si="27"/>
        <v/>
      </c>
      <c r="U112" s="165" t="str">
        <f ca="1">IF(R112="","",INDEX(OFFSET(Arb!$X$2,,,Arb!$AJ$5,),R112)/S112)</f>
        <v/>
      </c>
      <c r="V112" s="165" t="str">
        <f ca="1">IF(R112="","",(INDEX(OFFSET(Arb!$U$2,,,Arb!$AJ$5,),R112)+INDEX(OFFSET(Arb!$V$2,,,Arb!$AJ$5,),R112))/S112)</f>
        <v/>
      </c>
      <c r="W112" s="51" t="str">
        <f t="shared" ca="1" si="37"/>
        <v/>
      </c>
      <c r="X112" s="88" t="str">
        <f ca="1">IF(R112="","",DATE(INDEX(OFFSET(Arb!$C$2,,,Arb!$AJ$5,),R112),INDEX(OFFSET(Arb!$B$2,,,Arb!$AJ$5,),R112),INDEX(OFFSET(Arb!$A$2,,,Arb!$AJ$5,),R112))+ROW()*0.001)</f>
        <v/>
      </c>
      <c r="Y112" s="436">
        <v>87</v>
      </c>
      <c r="AA112" s="52" t="str">
        <f ca="1">IF(Z112="","",INDEX(OFFSET(Arb!$H$2,,,Arb!$AJ$5,),Z112))</f>
        <v/>
      </c>
      <c r="AB112" s="3" t="str">
        <f t="shared" ca="1" si="28"/>
        <v/>
      </c>
      <c r="AC112" s="165" t="str">
        <f ca="1">IF(Z112="","",INDEX(OFFSET(Arb!$X$2,,,Arb!$AJ$5,),Z112)/AA112)</f>
        <v/>
      </c>
      <c r="AD112" s="165" t="str">
        <f ca="1">IF(Z112="","",(INDEX(OFFSET(Arb!$U$2,,,Arb!$AJ$5,),Z112)+INDEX(OFFSET(Arb!$V$2,,,Arb!$AJ$5,),Z112))/AA112)</f>
        <v/>
      </c>
      <c r="AE112" s="51" t="str">
        <f t="shared" ca="1" si="38"/>
        <v/>
      </c>
      <c r="AF112" s="91" t="str">
        <f ca="1">IF(Z112="","",DATE(INDEX(OFFSET(Arb!$C$2,,,Arb!$AJ$5,),Z112),INDEX(OFFSET(Arb!$B$2,,,Arb!$AJ$5,),Z112),INDEX(OFFSET(Arb!$A$2,,,Arb!$AJ$5,),Z112))+ROW()*0.001)</f>
        <v/>
      </c>
      <c r="AG112" s="442">
        <v>87</v>
      </c>
      <c r="AI112" s="52" t="str">
        <f ca="1">IF(AH112="","",INDEX(OFFSET(Arb!$H$2,,,Arb!$AJ$5,),AH112))</f>
        <v/>
      </c>
      <c r="AJ112" s="3" t="str">
        <f t="shared" ca="1" si="29"/>
        <v/>
      </c>
      <c r="AK112" s="165" t="str">
        <f ca="1">IF(AH112="","",INDEX(OFFSET(Arb!$X$2,,,Arb!$AJ$5,),AH112)/AI112)</f>
        <v/>
      </c>
      <c r="AL112" s="165" t="str">
        <f ca="1">IF(AH112="","",(INDEX(OFFSET(Arb!$U$2,,,Arb!$AJ$5,),AH112)+INDEX(OFFSET(Arb!$V$2,,,Arb!$AJ$5,),AH112))/AI112)</f>
        <v/>
      </c>
      <c r="AM112" s="51" t="str">
        <f t="shared" ca="1" si="39"/>
        <v/>
      </c>
      <c r="AN112" s="88" t="str">
        <f ca="1">IF(AH112="","",DATE(INDEX(OFFSET(Arb!$C$2,,,Arb!$AJ$5,),AH112),INDEX(OFFSET(Arb!$B$2,,,Arb!$AJ$5,),AH112),INDEX(OFFSET(Arb!$A$2,,,Arb!$AJ$5,),AH112))+ROW()*0.001)</f>
        <v/>
      </c>
      <c r="AO112" s="436">
        <v>87</v>
      </c>
      <c r="AQ112" s="52" t="str">
        <f ca="1">IF(AP112="","",INDEX(OFFSET(Arb!$H$2,,,Arb!$AJ$5,),AP112))</f>
        <v/>
      </c>
      <c r="AR112" s="3" t="str">
        <f t="shared" ca="1" si="30"/>
        <v/>
      </c>
      <c r="AS112" s="165" t="str">
        <f ca="1">IF(AP112="","",INDEX(OFFSET(Arb!$X$2,,,Arb!$AJ$5,),AP112)/AQ112)</f>
        <v/>
      </c>
      <c r="AT112" s="165" t="str">
        <f ca="1">IF(AP112="","",(INDEX(OFFSET(Arb!$U$2,,,Arb!$AJ$5,),AP112)+INDEX(OFFSET(Arb!$V$2,,,Arb!$AJ$5,),AP112))/AQ112)</f>
        <v/>
      </c>
      <c r="AU112" s="51" t="str">
        <f t="shared" ca="1" si="40"/>
        <v/>
      </c>
      <c r="AV112" s="91" t="str">
        <f ca="1">IF(AP112="","",DATE(INDEX(OFFSET(Arb!$C$2,,,Arb!$AJ$5,),AP112),INDEX(OFFSET(Arb!$B$2,,,Arb!$AJ$5,),AP112),INDEX(OFFSET(Arb!$A$2,,,Arb!$AJ$5,),AP112))+ROW()*0.001)</f>
        <v/>
      </c>
      <c r="AW112" s="442">
        <v>87</v>
      </c>
      <c r="AY112" s="52" t="str">
        <f ca="1">IF(AX112="","",INDEX(OFFSET(Arb!$H$2,,,Arb!$AJ$5,),AX112))</f>
        <v/>
      </c>
      <c r="AZ112" s="3" t="str">
        <f t="shared" ca="1" si="31"/>
        <v/>
      </c>
      <c r="BA112" s="165" t="str">
        <f ca="1">IF(AX112="","",INDEX(OFFSET(Arb!$X$2,,,Arb!$AJ$5,),AX112)/AY112)</f>
        <v/>
      </c>
      <c r="BB112" s="165" t="str">
        <f ca="1">IF(AX112="","",(INDEX(OFFSET(Arb!$U$2,,,Arb!$AJ$5,),AX112)+INDEX(OFFSET(Arb!$V$2,,,Arb!$AJ$5,),AX112))/AY112)</f>
        <v/>
      </c>
      <c r="BC112" s="51" t="str">
        <f t="shared" ca="1" si="41"/>
        <v/>
      </c>
      <c r="BD112" s="88" t="str">
        <f ca="1">IF(AX112="","",DATE(INDEX(OFFSET(Arb!$C$2,,,Arb!$AJ$5,),AX112),INDEX(OFFSET(Arb!$B$2,,,Arb!$AJ$5,),AX112),INDEX(OFFSET(Arb!$A$2,,,Arb!$AJ$5,),AX112))+ROW()*0.001)</f>
        <v/>
      </c>
      <c r="BE112" s="436">
        <v>87</v>
      </c>
      <c r="BG112" s="52" t="str">
        <f ca="1">IF(BF112="","",INDEX(OFFSET(Arb!$H$2,,,Arb!$AJ$5,),BF112))</f>
        <v/>
      </c>
      <c r="BH112" s="3" t="str">
        <f t="shared" ca="1" si="32"/>
        <v/>
      </c>
      <c r="BI112" s="165" t="str">
        <f ca="1">IF(BF112="","",INDEX(OFFSET(Arb!$X$2,,,Arb!$AJ$5,),BF112)/BG112)</f>
        <v/>
      </c>
      <c r="BJ112" s="165" t="str">
        <f ca="1">IF(BF112="","",(INDEX(OFFSET(Arb!$U$2,,,Arb!$AJ$5,),BF112)+INDEX(OFFSET(Arb!$V$2,,,Arb!$AJ$5,),BF112))/BG112)</f>
        <v/>
      </c>
      <c r="BK112" s="51" t="str">
        <f t="shared" ca="1" si="42"/>
        <v/>
      </c>
      <c r="BL112" s="91" t="str">
        <f ca="1">IF(BF112="","",DATE(INDEX(OFFSET(Arb!$C$2,,,Arb!$AJ$5,),BF112),INDEX(OFFSET(Arb!$B$2,,,Arb!$AJ$5,),BF112),INDEX(OFFSET(Arb!$A$2,,,Arb!$AJ$5,),BF112))+ROW()*0.001)</f>
        <v/>
      </c>
      <c r="BM112" s="442">
        <v>87</v>
      </c>
      <c r="BO112" s="52" t="str">
        <f ca="1">IF(BN112="","",INDEX(OFFSET(Arb!$H$2,,,Arb!$AJ$5,),BN112))</f>
        <v/>
      </c>
      <c r="BP112" s="3" t="str">
        <f t="shared" ca="1" si="33"/>
        <v/>
      </c>
      <c r="BQ112" s="165" t="str">
        <f ca="1">IF(BN112="","",INDEX(OFFSET(Arb!$X$2,,,Arb!$AJ$5,),BN112)/BO112)</f>
        <v/>
      </c>
      <c r="BR112" s="165" t="str">
        <f ca="1">IF(BN112="","",(INDEX(OFFSET(Arb!$U$2,,,Arb!$AJ$5,),BN112)+INDEX(OFFSET(Arb!$V$2,,,Arb!$AJ$5,),BN112))/BO112)</f>
        <v/>
      </c>
      <c r="BS112" s="51" t="str">
        <f t="shared" ca="1" si="43"/>
        <v/>
      </c>
      <c r="BT112" s="88" t="str">
        <f ca="1">IF(BN112="","",DATE(INDEX(OFFSET(Arb!$C$2,,,Arb!$AJ$5,),BN112),INDEX(OFFSET(Arb!$B$2,,,Arb!$AJ$5,),BN112),INDEX(OFFSET(Arb!$A$2,,,Arb!$AJ$5,),BN112))+ROW()*0.001)</f>
        <v/>
      </c>
      <c r="BU112" s="436">
        <v>87</v>
      </c>
      <c r="BW112" s="52" t="str">
        <f ca="1">IF(BV112="","",INDEX(OFFSET(Arb!$H$2,,,Arb!$AJ$5,),BV112))</f>
        <v/>
      </c>
      <c r="BX112" s="3" t="str">
        <f t="shared" ca="1" si="34"/>
        <v/>
      </c>
      <c r="BY112" s="165" t="str">
        <f ca="1">IF(BV112="","",INDEX(OFFSET(Arb!$X$2,,,Arb!$AJ$5,),BV112)/BW112)</f>
        <v/>
      </c>
      <c r="BZ112" s="165" t="str">
        <f ca="1">IF(BV112="","",(INDEX(OFFSET(Arb!$U$2,,,Arb!$AJ$5,),BV112)+INDEX(OFFSET(Arb!$V$2,,,Arb!$AJ$5,),BV112))/BW112)</f>
        <v/>
      </c>
      <c r="CA112" s="51" t="str">
        <f t="shared" ca="1" si="44"/>
        <v/>
      </c>
      <c r="CB112" s="91" t="str">
        <f ca="1">IF(BV112="","",DATE(INDEX(OFFSET(Arb!$C$2,,,Arb!$AJ$5,),BV112),INDEX(OFFSET(Arb!$B$2,,,Arb!$AJ$5,),BV112),INDEX(OFFSET(Arb!$A$2,,,Arb!$AJ$5,),BV112))+ROW()*0.001)</f>
        <v/>
      </c>
    </row>
    <row r="113" spans="1:80" x14ac:dyDescent="0.25">
      <c r="A113" s="436">
        <v>88</v>
      </c>
      <c r="B113" s="1">
        <v>2020</v>
      </c>
      <c r="C113" s="52">
        <f ca="1">IF(B113="","",INDEX(OFFSET(Arb!$H$2,,,Arb!$AJ$5,),B113))</f>
        <v>31.05</v>
      </c>
      <c r="D113" s="3">
        <f t="shared" ca="1" si="25"/>
        <v>2.8341384863123995</v>
      </c>
      <c r="E113" s="165">
        <f ca="1">IF(B113="","",INDEX(OFFSET(Arb!$X$2,,,Arb!$AJ$5,),B113)/C113)</f>
        <v>3.4782608695652173</v>
      </c>
      <c r="F113" s="165">
        <f ca="1">IF(B113="","",(INDEX(OFFSET(Arb!$U$2,,,Arb!$AJ$5,),B113)+INDEX(OFFSET(Arb!$V$2,,,Arb!$AJ$5,),B113))/C113)</f>
        <v>4.0257648953301128</v>
      </c>
      <c r="G113" s="51">
        <f t="shared" ca="1" si="35"/>
        <v>39.331143367795569</v>
      </c>
      <c r="H113" s="355">
        <f ca="1">IF(B113="","",DATE(INDEX(OFFSET(Arb!$C$2,,,Arb!$AJ$5,),B113),INDEX(OFFSET(Arb!$B$2,,,Arb!$AJ$5,),B113),INDEX(OFFSET(Arb!$A$2,,,Arb!$AJ$5,),B113))+ROW()*0.001)</f>
        <v>43795.112999999998</v>
      </c>
      <c r="I113" s="436">
        <v>88</v>
      </c>
      <c r="J113" s="1">
        <v>2026</v>
      </c>
      <c r="K113" s="52">
        <f ca="1">IF(J113="","",INDEX(OFFSET(Arb!$H$2,,,Arb!$AJ$5,),J113))</f>
        <v>33.090000000000003</v>
      </c>
      <c r="L113" s="3">
        <f t="shared" ca="1" si="26"/>
        <v>2.6594137201571471</v>
      </c>
      <c r="M113" s="165">
        <f ca="1">IF(J113="","",INDEX(OFFSET(Arb!$X$2,,,Arb!$AJ$5,),J113)/K113)</f>
        <v>3.3242671501964338</v>
      </c>
      <c r="N113" s="165">
        <f ca="1">IF(J113="","",(INDEX(OFFSET(Arb!$U$2,,,Arb!$AJ$5,),J113)+INDEX(OFFSET(Arb!$V$2,,,Arb!$AJ$5,),J113))/K113)</f>
        <v>3.7775763070414019</v>
      </c>
      <c r="O113" s="51">
        <f t="shared" ca="1" si="36"/>
        <v>35.29854426424702</v>
      </c>
      <c r="P113" s="91">
        <f ca="1">IF(J113="","",DATE(INDEX(OFFSET(Arb!$C$2,,,Arb!$AJ$5,),J113),INDEX(OFFSET(Arb!$B$2,,,Arb!$AJ$5,),J113),INDEX(OFFSET(Arb!$A$2,,,Arb!$AJ$5,),J113))+ROW()*0.001)</f>
        <v>43797.112999999998</v>
      </c>
      <c r="Q113" s="442">
        <v>88</v>
      </c>
      <c r="S113" s="52" t="str">
        <f ca="1">IF(R113="","",INDEX(OFFSET(Arb!$H$2,,,Arb!$AJ$5,),R113))</f>
        <v/>
      </c>
      <c r="T113" s="3" t="str">
        <f t="shared" ca="1" si="27"/>
        <v/>
      </c>
      <c r="U113" s="165" t="str">
        <f ca="1">IF(R113="","",INDEX(OFFSET(Arb!$X$2,,,Arb!$AJ$5,),R113)/S113)</f>
        <v/>
      </c>
      <c r="V113" s="165" t="str">
        <f ca="1">IF(R113="","",(INDEX(OFFSET(Arb!$U$2,,,Arb!$AJ$5,),R113)+INDEX(OFFSET(Arb!$V$2,,,Arb!$AJ$5,),R113))/S113)</f>
        <v/>
      </c>
      <c r="W113" s="51" t="str">
        <f t="shared" ca="1" si="37"/>
        <v/>
      </c>
      <c r="X113" s="88" t="str">
        <f ca="1">IF(R113="","",DATE(INDEX(OFFSET(Arb!$C$2,,,Arb!$AJ$5,),R113),INDEX(OFFSET(Arb!$B$2,,,Arb!$AJ$5,),R113),INDEX(OFFSET(Arb!$A$2,,,Arb!$AJ$5,),R113))+ROW()*0.001)</f>
        <v/>
      </c>
      <c r="Y113" s="436">
        <v>88</v>
      </c>
      <c r="AA113" s="52" t="str">
        <f ca="1">IF(Z113="","",INDEX(OFFSET(Arb!$H$2,,,Arb!$AJ$5,),Z113))</f>
        <v/>
      </c>
      <c r="AB113" s="3" t="str">
        <f t="shared" ca="1" si="28"/>
        <v/>
      </c>
      <c r="AC113" s="165" t="str">
        <f ca="1">IF(Z113="","",INDEX(OFFSET(Arb!$X$2,,,Arb!$AJ$5,),Z113)/AA113)</f>
        <v/>
      </c>
      <c r="AD113" s="165" t="str">
        <f ca="1">IF(Z113="","",(INDEX(OFFSET(Arb!$U$2,,,Arb!$AJ$5,),Z113)+INDEX(OFFSET(Arb!$V$2,,,Arb!$AJ$5,),Z113))/AA113)</f>
        <v/>
      </c>
      <c r="AE113" s="51" t="str">
        <f t="shared" ca="1" si="38"/>
        <v/>
      </c>
      <c r="AF113" s="91" t="str">
        <f ca="1">IF(Z113="","",DATE(INDEX(OFFSET(Arb!$C$2,,,Arb!$AJ$5,),Z113),INDEX(OFFSET(Arb!$B$2,,,Arb!$AJ$5,),Z113),INDEX(OFFSET(Arb!$A$2,,,Arb!$AJ$5,),Z113))+ROW()*0.001)</f>
        <v/>
      </c>
      <c r="AG113" s="442">
        <v>88</v>
      </c>
      <c r="AI113" s="52" t="str">
        <f ca="1">IF(AH113="","",INDEX(OFFSET(Arb!$H$2,,,Arb!$AJ$5,),AH113))</f>
        <v/>
      </c>
      <c r="AJ113" s="3" t="str">
        <f t="shared" ca="1" si="29"/>
        <v/>
      </c>
      <c r="AK113" s="165" t="str">
        <f ca="1">IF(AH113="","",INDEX(OFFSET(Arb!$X$2,,,Arb!$AJ$5,),AH113)/AI113)</f>
        <v/>
      </c>
      <c r="AL113" s="165" t="str">
        <f ca="1">IF(AH113="","",(INDEX(OFFSET(Arb!$U$2,,,Arb!$AJ$5,),AH113)+INDEX(OFFSET(Arb!$V$2,,,Arb!$AJ$5,),AH113))/AI113)</f>
        <v/>
      </c>
      <c r="AM113" s="51" t="str">
        <f t="shared" ca="1" si="39"/>
        <v/>
      </c>
      <c r="AN113" s="88" t="str">
        <f ca="1">IF(AH113="","",DATE(INDEX(OFFSET(Arb!$C$2,,,Arb!$AJ$5,),AH113),INDEX(OFFSET(Arb!$B$2,,,Arb!$AJ$5,),AH113),INDEX(OFFSET(Arb!$A$2,,,Arb!$AJ$5,),AH113))+ROW()*0.001)</f>
        <v/>
      </c>
      <c r="AO113" s="436">
        <v>88</v>
      </c>
      <c r="AQ113" s="52" t="str">
        <f ca="1">IF(AP113="","",INDEX(OFFSET(Arb!$H$2,,,Arb!$AJ$5,),AP113))</f>
        <v/>
      </c>
      <c r="AR113" s="3" t="str">
        <f t="shared" ca="1" si="30"/>
        <v/>
      </c>
      <c r="AS113" s="165" t="str">
        <f ca="1">IF(AP113="","",INDEX(OFFSET(Arb!$X$2,,,Arb!$AJ$5,),AP113)/AQ113)</f>
        <v/>
      </c>
      <c r="AT113" s="165" t="str">
        <f ca="1">IF(AP113="","",(INDEX(OFFSET(Arb!$U$2,,,Arb!$AJ$5,),AP113)+INDEX(OFFSET(Arb!$V$2,,,Arb!$AJ$5,),AP113))/AQ113)</f>
        <v/>
      </c>
      <c r="AU113" s="51" t="str">
        <f t="shared" ca="1" si="40"/>
        <v/>
      </c>
      <c r="AV113" s="91" t="str">
        <f ca="1">IF(AP113="","",DATE(INDEX(OFFSET(Arb!$C$2,,,Arb!$AJ$5,),AP113),INDEX(OFFSET(Arb!$B$2,,,Arb!$AJ$5,),AP113),INDEX(OFFSET(Arb!$A$2,,,Arb!$AJ$5,),AP113))+ROW()*0.001)</f>
        <v/>
      </c>
      <c r="AW113" s="442">
        <v>88</v>
      </c>
      <c r="AY113" s="52" t="str">
        <f ca="1">IF(AX113="","",INDEX(OFFSET(Arb!$H$2,,,Arb!$AJ$5,),AX113))</f>
        <v/>
      </c>
      <c r="AZ113" s="3" t="str">
        <f t="shared" ca="1" si="31"/>
        <v/>
      </c>
      <c r="BA113" s="165" t="str">
        <f ca="1">IF(AX113="","",INDEX(OFFSET(Arb!$X$2,,,Arb!$AJ$5,),AX113)/AY113)</f>
        <v/>
      </c>
      <c r="BB113" s="165" t="str">
        <f ca="1">IF(AX113="","",(INDEX(OFFSET(Arb!$U$2,,,Arb!$AJ$5,),AX113)+INDEX(OFFSET(Arb!$V$2,,,Arb!$AJ$5,),AX113))/AY113)</f>
        <v/>
      </c>
      <c r="BC113" s="51" t="str">
        <f t="shared" ca="1" si="41"/>
        <v/>
      </c>
      <c r="BD113" s="88" t="str">
        <f ca="1">IF(AX113="","",DATE(INDEX(OFFSET(Arb!$C$2,,,Arb!$AJ$5,),AX113),INDEX(OFFSET(Arb!$B$2,,,Arb!$AJ$5,),AX113),INDEX(OFFSET(Arb!$A$2,,,Arb!$AJ$5,),AX113))+ROW()*0.001)</f>
        <v/>
      </c>
      <c r="BE113" s="436">
        <v>88</v>
      </c>
      <c r="BG113" s="52" t="str">
        <f ca="1">IF(BF113="","",INDEX(OFFSET(Arb!$H$2,,,Arb!$AJ$5,),BF113))</f>
        <v/>
      </c>
      <c r="BH113" s="3" t="str">
        <f t="shared" ca="1" si="32"/>
        <v/>
      </c>
      <c r="BI113" s="165" t="str">
        <f ca="1">IF(BF113="","",INDEX(OFFSET(Arb!$X$2,,,Arb!$AJ$5,),BF113)/BG113)</f>
        <v/>
      </c>
      <c r="BJ113" s="165" t="str">
        <f ca="1">IF(BF113="","",(INDEX(OFFSET(Arb!$U$2,,,Arb!$AJ$5,),BF113)+INDEX(OFFSET(Arb!$V$2,,,Arb!$AJ$5,),BF113))/BG113)</f>
        <v/>
      </c>
      <c r="BK113" s="51" t="str">
        <f t="shared" ca="1" si="42"/>
        <v/>
      </c>
      <c r="BL113" s="91" t="str">
        <f ca="1">IF(BF113="","",DATE(INDEX(OFFSET(Arb!$C$2,,,Arb!$AJ$5,),BF113),INDEX(OFFSET(Arb!$B$2,,,Arb!$AJ$5,),BF113),INDEX(OFFSET(Arb!$A$2,,,Arb!$AJ$5,),BF113))+ROW()*0.001)</f>
        <v/>
      </c>
      <c r="BM113" s="442">
        <v>88</v>
      </c>
      <c r="BO113" s="52" t="str">
        <f ca="1">IF(BN113="","",INDEX(OFFSET(Arb!$H$2,,,Arb!$AJ$5,),BN113))</f>
        <v/>
      </c>
      <c r="BP113" s="3" t="str">
        <f t="shared" ca="1" si="33"/>
        <v/>
      </c>
      <c r="BQ113" s="165" t="str">
        <f ca="1">IF(BN113="","",INDEX(OFFSET(Arb!$X$2,,,Arb!$AJ$5,),BN113)/BO113)</f>
        <v/>
      </c>
      <c r="BR113" s="165" t="str">
        <f ca="1">IF(BN113="","",(INDEX(OFFSET(Arb!$U$2,,,Arb!$AJ$5,),BN113)+INDEX(OFFSET(Arb!$V$2,,,Arb!$AJ$5,),BN113))/BO113)</f>
        <v/>
      </c>
      <c r="BS113" s="51" t="str">
        <f t="shared" ca="1" si="43"/>
        <v/>
      </c>
      <c r="BT113" s="88" t="str">
        <f ca="1">IF(BN113="","",DATE(INDEX(OFFSET(Arb!$C$2,,,Arb!$AJ$5,),BN113),INDEX(OFFSET(Arb!$B$2,,,Arb!$AJ$5,),BN113),INDEX(OFFSET(Arb!$A$2,,,Arb!$AJ$5,),BN113))+ROW()*0.001)</f>
        <v/>
      </c>
      <c r="BU113" s="436">
        <v>88</v>
      </c>
      <c r="BW113" s="52" t="str">
        <f ca="1">IF(BV113="","",INDEX(OFFSET(Arb!$H$2,,,Arb!$AJ$5,),BV113))</f>
        <v/>
      </c>
      <c r="BX113" s="3" t="str">
        <f t="shared" ca="1" si="34"/>
        <v/>
      </c>
      <c r="BY113" s="165" t="str">
        <f ca="1">IF(BV113="","",INDEX(OFFSET(Arb!$X$2,,,Arb!$AJ$5,),BV113)/BW113)</f>
        <v/>
      </c>
      <c r="BZ113" s="165" t="str">
        <f ca="1">IF(BV113="","",(INDEX(OFFSET(Arb!$U$2,,,Arb!$AJ$5,),BV113)+INDEX(OFFSET(Arb!$V$2,,,Arb!$AJ$5,),BV113))/BW113)</f>
        <v/>
      </c>
      <c r="CA113" s="51" t="str">
        <f t="shared" ca="1" si="44"/>
        <v/>
      </c>
      <c r="CB113" s="91" t="str">
        <f ca="1">IF(BV113="","",DATE(INDEX(OFFSET(Arb!$C$2,,,Arb!$AJ$5,),BV113),INDEX(OFFSET(Arb!$B$2,,,Arb!$AJ$5,),BV113),INDEX(OFFSET(Arb!$A$2,,,Arb!$AJ$5,),BV113))+ROW()*0.001)</f>
        <v/>
      </c>
    </row>
    <row r="114" spans="1:80" x14ac:dyDescent="0.25">
      <c r="A114" s="436">
        <v>89</v>
      </c>
      <c r="B114" s="1">
        <v>1930</v>
      </c>
      <c r="C114" s="52">
        <f ca="1">IF(B114="","",INDEX(OFFSET(Arb!$H$2,,,Arb!$AJ$5,),B114))</f>
        <v>29.4</v>
      </c>
      <c r="D114" s="3">
        <f t="shared" ca="1" si="25"/>
        <v>3.0272108843537415</v>
      </c>
      <c r="E114" s="165">
        <f ca="1">IF(B114="","",INDEX(OFFSET(Arb!$X$2,,,Arb!$AJ$5,),B114)/C114)</f>
        <v>3.7414965986394559</v>
      </c>
      <c r="F114" s="165">
        <f ca="1">IF(B114="","",(INDEX(OFFSET(Arb!$U$2,,,Arb!$AJ$5,),B114)+INDEX(OFFSET(Arb!$V$2,,,Arb!$AJ$5,),B114))/C114)</f>
        <v>4.1836734693877551</v>
      </c>
      <c r="G114" s="51">
        <f t="shared" ca="1" si="35"/>
        <v>43.64737924473053</v>
      </c>
      <c r="H114" s="355">
        <f ca="1">IF(B114="","",DATE(INDEX(OFFSET(Arb!$C$2,,,Arb!$AJ$5,),B114),INDEX(OFFSET(Arb!$B$2,,,Arb!$AJ$5,),B114),INDEX(OFFSET(Arb!$A$2,,,Arb!$AJ$5,),B114))+ROW()*0.001)</f>
        <v>43771.114000000001</v>
      </c>
      <c r="I114" s="436">
        <v>89</v>
      </c>
      <c r="J114" s="1">
        <v>2398</v>
      </c>
      <c r="K114" s="52">
        <f ca="1">IF(J114="","",INDEX(OFFSET(Arb!$H$2,,,Arb!$AJ$5,),J114))</f>
        <v>30.26</v>
      </c>
      <c r="L114" s="3">
        <f t="shared" ca="1" si="26"/>
        <v>2.9411764705882351</v>
      </c>
      <c r="M114" s="165">
        <f ca="1">IF(J114="","",INDEX(OFFSET(Arb!$X$2,,,Arb!$AJ$5,),J114)/K114)</f>
        <v>3.1064111037673494</v>
      </c>
      <c r="N114" s="165">
        <f ca="1">IF(J114="","",(INDEX(OFFSET(Arb!$U$2,,,Arb!$AJ$5,),J114)+INDEX(OFFSET(Arb!$V$2,,,Arb!$AJ$5,),J114))/K114)</f>
        <v>3.5029742233972239</v>
      </c>
      <c r="O114" s="51">
        <f t="shared" ca="1" si="36"/>
        <v>41.559610011653078</v>
      </c>
      <c r="P114" s="91">
        <f ca="1">IF(J114="","",DATE(INDEX(OFFSET(Arb!$C$2,,,Arb!$AJ$5,),J114),INDEX(OFFSET(Arb!$B$2,,,Arb!$AJ$5,),J114),INDEX(OFFSET(Arb!$A$2,,,Arb!$AJ$5,),J114))+ROW()*0.001)</f>
        <v>44168.114000000001</v>
      </c>
      <c r="Q114" s="442">
        <v>89</v>
      </c>
      <c r="R114" s="1">
        <v>1923</v>
      </c>
      <c r="S114" s="52">
        <f ca="1">IF(R114="","",INDEX(OFFSET(Arb!$H$2,,,Arb!$AJ$5,),R114))</f>
        <v>31.74</v>
      </c>
      <c r="T114" s="3">
        <f t="shared" ca="1" si="27"/>
        <v>2.8040327662255828</v>
      </c>
      <c r="U114" s="165">
        <f ca="1">IF(R114="","",INDEX(OFFSET(Arb!$X$2,,,Arb!$AJ$5,),R114)/S114)</f>
        <v>3.4026465028355388</v>
      </c>
      <c r="V114" s="165">
        <f ca="1">IF(R114="","",(INDEX(OFFSET(Arb!$U$2,,,Arb!$AJ$5,),R114)+INDEX(OFFSET(Arb!$V$2,,,Arb!$AJ$5,),R114))/S114)</f>
        <v>3.9067422810333965</v>
      </c>
      <c r="W114" s="51">
        <f t="shared" ca="1" si="37"/>
        <v>38.319238125001441</v>
      </c>
      <c r="X114" s="88">
        <f ca="1">IF(R114="","",DATE(INDEX(OFFSET(Arb!$C$2,,,Arb!$AJ$5,),R114),INDEX(OFFSET(Arb!$B$2,,,Arb!$AJ$5,),R114),INDEX(OFFSET(Arb!$A$2,,,Arb!$AJ$5,),R114))+ROW()*0.001)</f>
        <v>43771.114000000001</v>
      </c>
      <c r="Y114" s="436">
        <v>89</v>
      </c>
      <c r="AA114" s="52" t="str">
        <f ca="1">IF(Z114="","",INDEX(OFFSET(Arb!$H$2,,,Arb!$AJ$5,),Z114))</f>
        <v/>
      </c>
      <c r="AB114" s="3" t="str">
        <f t="shared" ca="1" si="28"/>
        <v/>
      </c>
      <c r="AC114" s="165" t="str">
        <f ca="1">IF(Z114="","",INDEX(OFFSET(Arb!$X$2,,,Arb!$AJ$5,),Z114)/AA114)</f>
        <v/>
      </c>
      <c r="AD114" s="165" t="str">
        <f ca="1">IF(Z114="","",(INDEX(OFFSET(Arb!$U$2,,,Arb!$AJ$5,),Z114)+INDEX(OFFSET(Arb!$V$2,,,Arb!$AJ$5,),Z114))/AA114)</f>
        <v/>
      </c>
      <c r="AE114" s="51" t="str">
        <f t="shared" ca="1" si="38"/>
        <v/>
      </c>
      <c r="AF114" s="91" t="str">
        <f ca="1">IF(Z114="","",DATE(INDEX(OFFSET(Arb!$C$2,,,Arb!$AJ$5,),Z114),INDEX(OFFSET(Arb!$B$2,,,Arb!$AJ$5,),Z114),INDEX(OFFSET(Arb!$A$2,,,Arb!$AJ$5,),Z114))+ROW()*0.001)</f>
        <v/>
      </c>
      <c r="AG114" s="442">
        <v>89</v>
      </c>
      <c r="AI114" s="52" t="str">
        <f ca="1">IF(AH114="","",INDEX(OFFSET(Arb!$H$2,,,Arb!$AJ$5,),AH114))</f>
        <v/>
      </c>
      <c r="AJ114" s="3" t="str">
        <f t="shared" ca="1" si="29"/>
        <v/>
      </c>
      <c r="AK114" s="165" t="str">
        <f ca="1">IF(AH114="","",INDEX(OFFSET(Arb!$X$2,,,Arb!$AJ$5,),AH114)/AI114)</f>
        <v/>
      </c>
      <c r="AL114" s="165" t="str">
        <f ca="1">IF(AH114="","",(INDEX(OFFSET(Arb!$U$2,,,Arb!$AJ$5,),AH114)+INDEX(OFFSET(Arb!$V$2,,,Arb!$AJ$5,),AH114))/AI114)</f>
        <v/>
      </c>
      <c r="AM114" s="51" t="str">
        <f t="shared" ca="1" si="39"/>
        <v/>
      </c>
      <c r="AN114" s="88" t="str">
        <f ca="1">IF(AH114="","",DATE(INDEX(OFFSET(Arb!$C$2,,,Arb!$AJ$5,),AH114),INDEX(OFFSET(Arb!$B$2,,,Arb!$AJ$5,),AH114),INDEX(OFFSET(Arb!$A$2,,,Arb!$AJ$5,),AH114))+ROW()*0.001)</f>
        <v/>
      </c>
      <c r="AO114" s="436">
        <v>89</v>
      </c>
      <c r="AQ114" s="52" t="str">
        <f ca="1">IF(AP114="","",INDEX(OFFSET(Arb!$H$2,,,Arb!$AJ$5,),AP114))</f>
        <v/>
      </c>
      <c r="AR114" s="3" t="str">
        <f t="shared" ca="1" si="30"/>
        <v/>
      </c>
      <c r="AS114" s="165" t="str">
        <f ca="1">IF(AP114="","",INDEX(OFFSET(Arb!$X$2,,,Arb!$AJ$5,),AP114)/AQ114)</f>
        <v/>
      </c>
      <c r="AT114" s="165" t="str">
        <f ca="1">IF(AP114="","",(INDEX(OFFSET(Arb!$U$2,,,Arb!$AJ$5,),AP114)+INDEX(OFFSET(Arb!$V$2,,,Arb!$AJ$5,),AP114))/AQ114)</f>
        <v/>
      </c>
      <c r="AU114" s="51" t="str">
        <f t="shared" ca="1" si="40"/>
        <v/>
      </c>
      <c r="AV114" s="91" t="str">
        <f ca="1">IF(AP114="","",DATE(INDEX(OFFSET(Arb!$C$2,,,Arb!$AJ$5,),AP114),INDEX(OFFSET(Arb!$B$2,,,Arb!$AJ$5,),AP114),INDEX(OFFSET(Arb!$A$2,,,Arb!$AJ$5,),AP114))+ROW()*0.001)</f>
        <v/>
      </c>
      <c r="AW114" s="442">
        <v>89</v>
      </c>
      <c r="AY114" s="52" t="str">
        <f ca="1">IF(AX114="","",INDEX(OFFSET(Arb!$H$2,,,Arb!$AJ$5,),AX114))</f>
        <v/>
      </c>
      <c r="AZ114" s="3" t="str">
        <f t="shared" ca="1" si="31"/>
        <v/>
      </c>
      <c r="BA114" s="165" t="str">
        <f ca="1">IF(AX114="","",INDEX(OFFSET(Arb!$X$2,,,Arb!$AJ$5,),AX114)/AY114)</f>
        <v/>
      </c>
      <c r="BB114" s="165" t="str">
        <f ca="1">IF(AX114="","",(INDEX(OFFSET(Arb!$U$2,,,Arb!$AJ$5,),AX114)+INDEX(OFFSET(Arb!$V$2,,,Arb!$AJ$5,),AX114))/AY114)</f>
        <v/>
      </c>
      <c r="BC114" s="51" t="str">
        <f t="shared" ca="1" si="41"/>
        <v/>
      </c>
      <c r="BD114" s="88" t="str">
        <f ca="1">IF(AX114="","",DATE(INDEX(OFFSET(Arb!$C$2,,,Arb!$AJ$5,),AX114),INDEX(OFFSET(Arb!$B$2,,,Arb!$AJ$5,),AX114),INDEX(OFFSET(Arb!$A$2,,,Arb!$AJ$5,),AX114))+ROW()*0.001)</f>
        <v/>
      </c>
      <c r="BE114" s="436">
        <v>89</v>
      </c>
      <c r="BG114" s="52" t="str">
        <f ca="1">IF(BF114="","",INDEX(OFFSET(Arb!$H$2,,,Arb!$AJ$5,),BF114))</f>
        <v/>
      </c>
      <c r="BH114" s="3" t="str">
        <f t="shared" ca="1" si="32"/>
        <v/>
      </c>
      <c r="BI114" s="165" t="str">
        <f ca="1">IF(BF114="","",INDEX(OFFSET(Arb!$X$2,,,Arb!$AJ$5,),BF114)/BG114)</f>
        <v/>
      </c>
      <c r="BJ114" s="165" t="str">
        <f ca="1">IF(BF114="","",(INDEX(OFFSET(Arb!$U$2,,,Arb!$AJ$5,),BF114)+INDEX(OFFSET(Arb!$V$2,,,Arb!$AJ$5,),BF114))/BG114)</f>
        <v/>
      </c>
      <c r="BK114" s="51" t="str">
        <f t="shared" ca="1" si="42"/>
        <v/>
      </c>
      <c r="BL114" s="91" t="str">
        <f ca="1">IF(BF114="","",DATE(INDEX(OFFSET(Arb!$C$2,,,Arb!$AJ$5,),BF114),INDEX(OFFSET(Arb!$B$2,,,Arb!$AJ$5,),BF114),INDEX(OFFSET(Arb!$A$2,,,Arb!$AJ$5,),BF114))+ROW()*0.001)</f>
        <v/>
      </c>
      <c r="BM114" s="442">
        <v>89</v>
      </c>
      <c r="BO114" s="52" t="str">
        <f ca="1">IF(BN114="","",INDEX(OFFSET(Arb!$H$2,,,Arb!$AJ$5,),BN114))</f>
        <v/>
      </c>
      <c r="BP114" s="3" t="str">
        <f t="shared" ca="1" si="33"/>
        <v/>
      </c>
      <c r="BQ114" s="165" t="str">
        <f ca="1">IF(BN114="","",INDEX(OFFSET(Arb!$X$2,,,Arb!$AJ$5,),BN114)/BO114)</f>
        <v/>
      </c>
      <c r="BR114" s="165" t="str">
        <f ca="1">IF(BN114="","",(INDEX(OFFSET(Arb!$U$2,,,Arb!$AJ$5,),BN114)+INDEX(OFFSET(Arb!$V$2,,,Arb!$AJ$5,),BN114))/BO114)</f>
        <v/>
      </c>
      <c r="BS114" s="51" t="str">
        <f t="shared" ca="1" si="43"/>
        <v/>
      </c>
      <c r="BT114" s="88" t="str">
        <f ca="1">IF(BN114="","",DATE(INDEX(OFFSET(Arb!$C$2,,,Arb!$AJ$5,),BN114),INDEX(OFFSET(Arb!$B$2,,,Arb!$AJ$5,),BN114),INDEX(OFFSET(Arb!$A$2,,,Arb!$AJ$5,),BN114))+ROW()*0.001)</f>
        <v/>
      </c>
      <c r="BU114" s="436">
        <v>89</v>
      </c>
      <c r="BW114" s="52" t="str">
        <f ca="1">IF(BV114="","",INDEX(OFFSET(Arb!$H$2,,,Arb!$AJ$5,),BV114))</f>
        <v/>
      </c>
      <c r="BX114" s="3" t="str">
        <f t="shared" ca="1" si="34"/>
        <v/>
      </c>
      <c r="BY114" s="165" t="str">
        <f ca="1">IF(BV114="","",INDEX(OFFSET(Arb!$X$2,,,Arb!$AJ$5,),BV114)/BW114)</f>
        <v/>
      </c>
      <c r="BZ114" s="165" t="str">
        <f ca="1">IF(BV114="","",(INDEX(OFFSET(Arb!$U$2,,,Arb!$AJ$5,),BV114)+INDEX(OFFSET(Arb!$V$2,,,Arb!$AJ$5,),BV114))/BW114)</f>
        <v/>
      </c>
      <c r="CA114" s="51" t="str">
        <f t="shared" ca="1" si="44"/>
        <v/>
      </c>
      <c r="CB114" s="91" t="str">
        <f ca="1">IF(BV114="","",DATE(INDEX(OFFSET(Arb!$C$2,,,Arb!$AJ$5,),BV114),INDEX(OFFSET(Arb!$B$2,,,Arb!$AJ$5,),BV114),INDEX(OFFSET(Arb!$A$2,,,Arb!$AJ$5,),BV114))+ROW()*0.001)</f>
        <v/>
      </c>
    </row>
    <row r="115" spans="1:80" x14ac:dyDescent="0.25">
      <c r="A115" s="436">
        <v>90</v>
      </c>
      <c r="B115" s="1">
        <v>2181</v>
      </c>
      <c r="C115" s="52">
        <f ca="1">IF(B115="","",INDEX(OFFSET(Arb!$H$2,,,Arb!$AJ$5,),B115))</f>
        <v>34.68</v>
      </c>
      <c r="D115" s="3">
        <f t="shared" ca="1" si="25"/>
        <v>2.5951557093425608</v>
      </c>
      <c r="E115" s="165">
        <f ca="1">IF(B115="","",INDEX(OFFSET(Arb!$X$2,,,Arb!$AJ$5,),B115)/C115)</f>
        <v>3.1141868512110729</v>
      </c>
      <c r="F115" s="165">
        <f ca="1">IF(B115="","",(INDEX(OFFSET(Arb!$U$2,,,Arb!$AJ$5,),B115)+INDEX(OFFSET(Arb!$V$2,,,Arb!$AJ$5,),B115))/C115)</f>
        <v>3.5755478662053055</v>
      </c>
      <c r="G115" s="51">
        <f t="shared" ca="1" si="35"/>
        <v>33.332407735644928</v>
      </c>
      <c r="H115" s="355">
        <f ca="1">IF(B115="","",DATE(INDEX(OFFSET(Arb!$C$2,,,Arb!$AJ$5,),B115),INDEX(OFFSET(Arb!$B$2,,,Arb!$AJ$5,),B115),INDEX(OFFSET(Arb!$A$2,,,Arb!$AJ$5,),B115))+ROW()*0.001)</f>
        <v>43840.114999999998</v>
      </c>
      <c r="I115" s="436">
        <v>90</v>
      </c>
      <c r="K115" s="52" t="str">
        <f ca="1">IF(J115="","",INDEX(OFFSET(Arb!$H$2,,,Arb!$AJ$5,),J115))</f>
        <v/>
      </c>
      <c r="L115" s="3" t="str">
        <f t="shared" ca="1" si="26"/>
        <v/>
      </c>
      <c r="M115" s="165" t="str">
        <f ca="1">IF(J115="","",INDEX(OFFSET(Arb!$X$2,,,Arb!$AJ$5,),J115)/K115)</f>
        <v/>
      </c>
      <c r="N115" s="165" t="str">
        <f ca="1">IF(J115="","",(INDEX(OFFSET(Arb!$U$2,,,Arb!$AJ$5,),J115)+INDEX(OFFSET(Arb!$V$2,,,Arb!$AJ$5,),J115))/K115)</f>
        <v/>
      </c>
      <c r="O115" s="51" t="str">
        <f t="shared" ca="1" si="36"/>
        <v/>
      </c>
      <c r="P115" s="91" t="str">
        <f ca="1">IF(J115="","",DATE(INDEX(OFFSET(Arb!$C$2,,,Arb!$AJ$5,),J115),INDEX(OFFSET(Arb!$B$2,,,Arb!$AJ$5,),J115),INDEX(OFFSET(Arb!$A$2,,,Arb!$AJ$5,),J115))+ROW()*0.001)</f>
        <v/>
      </c>
      <c r="Q115" s="442">
        <v>90</v>
      </c>
      <c r="S115" s="52" t="str">
        <f ca="1">IF(R115="","",INDEX(OFFSET(Arb!$H$2,,,Arb!$AJ$5,),R115))</f>
        <v/>
      </c>
      <c r="T115" s="3" t="str">
        <f t="shared" ca="1" si="27"/>
        <v/>
      </c>
      <c r="U115" s="165" t="str">
        <f ca="1">IF(R115="","",INDEX(OFFSET(Arb!$X$2,,,Arb!$AJ$5,),R115)/S115)</f>
        <v/>
      </c>
      <c r="V115" s="165" t="str">
        <f ca="1">IF(R115="","",(INDEX(OFFSET(Arb!$U$2,,,Arb!$AJ$5,),R115)+INDEX(OFFSET(Arb!$V$2,,,Arb!$AJ$5,),R115))/S115)</f>
        <v/>
      </c>
      <c r="W115" s="51" t="str">
        <f t="shared" ca="1" si="37"/>
        <v/>
      </c>
      <c r="X115" s="88" t="str">
        <f ca="1">IF(R115="","",DATE(INDEX(OFFSET(Arb!$C$2,,,Arb!$AJ$5,),R115),INDEX(OFFSET(Arb!$B$2,,,Arb!$AJ$5,),R115),INDEX(OFFSET(Arb!$A$2,,,Arb!$AJ$5,),R115))+ROW()*0.001)</f>
        <v/>
      </c>
      <c r="Y115" s="436">
        <v>90</v>
      </c>
      <c r="AA115" s="52" t="str">
        <f ca="1">IF(Z115="","",INDEX(OFFSET(Arb!$H$2,,,Arb!$AJ$5,),Z115))</f>
        <v/>
      </c>
      <c r="AB115" s="3" t="str">
        <f t="shared" ca="1" si="28"/>
        <v/>
      </c>
      <c r="AC115" s="165" t="str">
        <f ca="1">IF(Z115="","",INDEX(OFFSET(Arb!$X$2,,,Arb!$AJ$5,),Z115)/AA115)</f>
        <v/>
      </c>
      <c r="AD115" s="165" t="str">
        <f ca="1">IF(Z115="","",(INDEX(OFFSET(Arb!$U$2,,,Arb!$AJ$5,),Z115)+INDEX(OFFSET(Arb!$V$2,,,Arb!$AJ$5,),Z115))/AA115)</f>
        <v/>
      </c>
      <c r="AE115" s="51" t="str">
        <f t="shared" ca="1" si="38"/>
        <v/>
      </c>
      <c r="AF115" s="91" t="str">
        <f ca="1">IF(Z115="","",DATE(INDEX(OFFSET(Arb!$C$2,,,Arb!$AJ$5,),Z115),INDEX(OFFSET(Arb!$B$2,,,Arb!$AJ$5,),Z115),INDEX(OFFSET(Arb!$A$2,,,Arb!$AJ$5,),Z115))+ROW()*0.001)</f>
        <v/>
      </c>
      <c r="AG115" s="442">
        <v>90</v>
      </c>
      <c r="AI115" s="52" t="str">
        <f ca="1">IF(AH115="","",INDEX(OFFSET(Arb!$H$2,,,Arb!$AJ$5,),AH115))</f>
        <v/>
      </c>
      <c r="AJ115" s="3" t="str">
        <f t="shared" ca="1" si="29"/>
        <v/>
      </c>
      <c r="AK115" s="165" t="str">
        <f ca="1">IF(AH115="","",INDEX(OFFSET(Arb!$X$2,,,Arb!$AJ$5,),AH115)/AI115)</f>
        <v/>
      </c>
      <c r="AL115" s="165" t="str">
        <f ca="1">IF(AH115="","",(INDEX(OFFSET(Arb!$U$2,,,Arb!$AJ$5,),AH115)+INDEX(OFFSET(Arb!$V$2,,,Arb!$AJ$5,),AH115))/AI115)</f>
        <v/>
      </c>
      <c r="AM115" s="51" t="str">
        <f t="shared" ca="1" si="39"/>
        <v/>
      </c>
      <c r="AN115" s="88" t="str">
        <f ca="1">IF(AH115="","",DATE(INDEX(OFFSET(Arb!$C$2,,,Arb!$AJ$5,),AH115),INDEX(OFFSET(Arb!$B$2,,,Arb!$AJ$5,),AH115),INDEX(OFFSET(Arb!$A$2,,,Arb!$AJ$5,),AH115))+ROW()*0.001)</f>
        <v/>
      </c>
      <c r="AO115" s="436">
        <v>90</v>
      </c>
      <c r="AQ115" s="52" t="str">
        <f ca="1">IF(AP115="","",INDEX(OFFSET(Arb!$H$2,,,Arb!$AJ$5,),AP115))</f>
        <v/>
      </c>
      <c r="AR115" s="3" t="str">
        <f t="shared" ca="1" si="30"/>
        <v/>
      </c>
      <c r="AS115" s="165" t="str">
        <f ca="1">IF(AP115="","",INDEX(OFFSET(Arb!$X$2,,,Arb!$AJ$5,),AP115)/AQ115)</f>
        <v/>
      </c>
      <c r="AT115" s="165" t="str">
        <f ca="1">IF(AP115="","",(INDEX(OFFSET(Arb!$U$2,,,Arb!$AJ$5,),AP115)+INDEX(OFFSET(Arb!$V$2,,,Arb!$AJ$5,),AP115))/AQ115)</f>
        <v/>
      </c>
      <c r="AU115" s="51" t="str">
        <f t="shared" ca="1" si="40"/>
        <v/>
      </c>
      <c r="AV115" s="91" t="str">
        <f ca="1">IF(AP115="","",DATE(INDEX(OFFSET(Arb!$C$2,,,Arb!$AJ$5,),AP115),INDEX(OFFSET(Arb!$B$2,,,Arb!$AJ$5,),AP115),INDEX(OFFSET(Arb!$A$2,,,Arb!$AJ$5,),AP115))+ROW()*0.001)</f>
        <v/>
      </c>
      <c r="AW115" s="442">
        <v>90</v>
      </c>
      <c r="AY115" s="52" t="str">
        <f ca="1">IF(AX115="","",INDEX(OFFSET(Arb!$H$2,,,Arb!$AJ$5,),AX115))</f>
        <v/>
      </c>
      <c r="AZ115" s="3" t="str">
        <f t="shared" ca="1" si="31"/>
        <v/>
      </c>
      <c r="BA115" s="165" t="str">
        <f ca="1">IF(AX115="","",INDEX(OFFSET(Arb!$X$2,,,Arb!$AJ$5,),AX115)/AY115)</f>
        <v/>
      </c>
      <c r="BB115" s="165" t="str">
        <f ca="1">IF(AX115="","",(INDEX(OFFSET(Arb!$U$2,,,Arb!$AJ$5,),AX115)+INDEX(OFFSET(Arb!$V$2,,,Arb!$AJ$5,),AX115))/AY115)</f>
        <v/>
      </c>
      <c r="BC115" s="51" t="str">
        <f t="shared" ca="1" si="41"/>
        <v/>
      </c>
      <c r="BD115" s="88" t="str">
        <f ca="1">IF(AX115="","",DATE(INDEX(OFFSET(Arb!$C$2,,,Arb!$AJ$5,),AX115),INDEX(OFFSET(Arb!$B$2,,,Arb!$AJ$5,),AX115),INDEX(OFFSET(Arb!$A$2,,,Arb!$AJ$5,),AX115))+ROW()*0.001)</f>
        <v/>
      </c>
      <c r="BE115" s="436">
        <v>90</v>
      </c>
      <c r="BG115" s="52" t="str">
        <f ca="1">IF(BF115="","",INDEX(OFFSET(Arb!$H$2,,,Arb!$AJ$5,),BF115))</f>
        <v/>
      </c>
      <c r="BH115" s="3" t="str">
        <f t="shared" ca="1" si="32"/>
        <v/>
      </c>
      <c r="BI115" s="165" t="str">
        <f ca="1">IF(BF115="","",INDEX(OFFSET(Arb!$X$2,,,Arb!$AJ$5,),BF115)/BG115)</f>
        <v/>
      </c>
      <c r="BJ115" s="165" t="str">
        <f ca="1">IF(BF115="","",(INDEX(OFFSET(Arb!$U$2,,,Arb!$AJ$5,),BF115)+INDEX(OFFSET(Arb!$V$2,,,Arb!$AJ$5,),BF115))/BG115)</f>
        <v/>
      </c>
      <c r="BK115" s="51" t="str">
        <f t="shared" ca="1" si="42"/>
        <v/>
      </c>
      <c r="BL115" s="91" t="str">
        <f ca="1">IF(BF115="","",DATE(INDEX(OFFSET(Arb!$C$2,,,Arb!$AJ$5,),BF115),INDEX(OFFSET(Arb!$B$2,,,Arb!$AJ$5,),BF115),INDEX(OFFSET(Arb!$A$2,,,Arb!$AJ$5,),BF115))+ROW()*0.001)</f>
        <v/>
      </c>
      <c r="BM115" s="442">
        <v>90</v>
      </c>
      <c r="BO115" s="52" t="str">
        <f ca="1">IF(BN115="","",INDEX(OFFSET(Arb!$H$2,,,Arb!$AJ$5,),BN115))</f>
        <v/>
      </c>
      <c r="BP115" s="3" t="str">
        <f t="shared" ca="1" si="33"/>
        <v/>
      </c>
      <c r="BQ115" s="165" t="str">
        <f ca="1">IF(BN115="","",INDEX(OFFSET(Arb!$X$2,,,Arb!$AJ$5,),BN115)/BO115)</f>
        <v/>
      </c>
      <c r="BR115" s="165" t="str">
        <f ca="1">IF(BN115="","",(INDEX(OFFSET(Arb!$U$2,,,Arb!$AJ$5,),BN115)+INDEX(OFFSET(Arb!$V$2,,,Arb!$AJ$5,),BN115))/BO115)</f>
        <v/>
      </c>
      <c r="BS115" s="51" t="str">
        <f t="shared" ca="1" si="43"/>
        <v/>
      </c>
      <c r="BT115" s="88" t="str">
        <f ca="1">IF(BN115="","",DATE(INDEX(OFFSET(Arb!$C$2,,,Arb!$AJ$5,),BN115),INDEX(OFFSET(Arb!$B$2,,,Arb!$AJ$5,),BN115),INDEX(OFFSET(Arb!$A$2,,,Arb!$AJ$5,),BN115))+ROW()*0.001)</f>
        <v/>
      </c>
      <c r="BU115" s="436">
        <v>90</v>
      </c>
      <c r="BW115" s="52" t="str">
        <f ca="1">IF(BV115="","",INDEX(OFFSET(Arb!$H$2,,,Arb!$AJ$5,),BV115))</f>
        <v/>
      </c>
      <c r="BX115" s="3" t="str">
        <f t="shared" ca="1" si="34"/>
        <v/>
      </c>
      <c r="BY115" s="165" t="str">
        <f ca="1">IF(BV115="","",INDEX(OFFSET(Arb!$X$2,,,Arb!$AJ$5,),BV115)/BW115)</f>
        <v/>
      </c>
      <c r="BZ115" s="165" t="str">
        <f ca="1">IF(BV115="","",(INDEX(OFFSET(Arb!$U$2,,,Arb!$AJ$5,),BV115)+INDEX(OFFSET(Arb!$V$2,,,Arb!$AJ$5,),BV115))/BW115)</f>
        <v/>
      </c>
      <c r="CA115" s="51" t="str">
        <f t="shared" ca="1" si="44"/>
        <v/>
      </c>
      <c r="CB115" s="91" t="str">
        <f ca="1">IF(BV115="","",DATE(INDEX(OFFSET(Arb!$C$2,,,Arb!$AJ$5,),BV115),INDEX(OFFSET(Arb!$B$2,,,Arb!$AJ$5,),BV115),INDEX(OFFSET(Arb!$A$2,,,Arb!$AJ$5,),BV115))+ROW()*0.001)</f>
        <v/>
      </c>
    </row>
    <row r="116" spans="1:80" x14ac:dyDescent="0.25">
      <c r="A116" s="436">
        <v>91</v>
      </c>
      <c r="B116" s="1">
        <v>1895</v>
      </c>
      <c r="C116" s="52">
        <f ca="1">IF(B116="","",INDEX(OFFSET(Arb!$H$2,,,Arb!$AJ$5,),B116))</f>
        <v>33.119999999999997</v>
      </c>
      <c r="D116" s="3">
        <f t="shared" ca="1" si="25"/>
        <v>2.7475845410628024</v>
      </c>
      <c r="E116" s="165">
        <f ca="1">IF(B116="","",INDEX(OFFSET(Arb!$X$2,,,Arb!$AJ$5,),B116)/C116)</f>
        <v>3.3514492753623193</v>
      </c>
      <c r="F116" s="165">
        <f ca="1">IF(B116="","",(INDEX(OFFSET(Arb!$U$2,,,Arb!$AJ$5,),B116)+INDEX(OFFSET(Arb!$V$2,,,Arb!$AJ$5,),B116))/C116)</f>
        <v>3.7741545893719808</v>
      </c>
      <c r="G116" s="51">
        <f t="shared" ca="1" si="35"/>
        <v>36.445713907257208</v>
      </c>
      <c r="H116" s="355">
        <f ca="1">IF(B116="","",DATE(INDEX(OFFSET(Arb!$C$2,,,Arb!$AJ$5,),B116),INDEX(OFFSET(Arb!$B$2,,,Arb!$AJ$5,),B116),INDEX(OFFSET(Arb!$A$2,,,Arb!$AJ$5,),B116))+ROW()*0.001)</f>
        <v>43765.116000000002</v>
      </c>
      <c r="I116" s="436">
        <v>91</v>
      </c>
      <c r="J116" s="1">
        <v>1998</v>
      </c>
      <c r="K116" s="52">
        <f ca="1">IF(J116="","",INDEX(OFFSET(Arb!$H$2,,,Arb!$AJ$5,),J116))</f>
        <v>34.49</v>
      </c>
      <c r="L116" s="3">
        <f t="shared" ca="1" si="26"/>
        <v>2.6384459263554652</v>
      </c>
      <c r="M116" s="165">
        <f ca="1">IF(J116="","",INDEX(OFFSET(Arb!$X$2,,,Arb!$AJ$5,),J116)/K116)</f>
        <v>3.044360684256306</v>
      </c>
      <c r="N116" s="165">
        <f ca="1">IF(J116="","",(INDEX(OFFSET(Arb!$U$2,,,Arb!$AJ$5,),J116)+INDEX(OFFSET(Arb!$V$2,,,Arb!$AJ$5,),J116))/K116)</f>
        <v>3.5952449985503043</v>
      </c>
      <c r="O116" s="51">
        <f t="shared" ca="1" si="36"/>
        <v>34.019003591271471</v>
      </c>
      <c r="P116" s="91">
        <f ca="1">IF(J116="","",DATE(INDEX(OFFSET(Arb!$C$2,,,Arb!$AJ$5,),J116),INDEX(OFFSET(Arb!$B$2,,,Arb!$AJ$5,),J116),INDEX(OFFSET(Arb!$A$2,,,Arb!$AJ$5,),J116))+ROW()*0.001)</f>
        <v>43786.116000000002</v>
      </c>
      <c r="Q116" s="442">
        <v>91</v>
      </c>
      <c r="S116" s="52" t="str">
        <f ca="1">IF(R116="","",INDEX(OFFSET(Arb!$H$2,,,Arb!$AJ$5,),R116))</f>
        <v/>
      </c>
      <c r="T116" s="3" t="str">
        <f t="shared" ca="1" si="27"/>
        <v/>
      </c>
      <c r="U116" s="165" t="str">
        <f ca="1">IF(R116="","",INDEX(OFFSET(Arb!$X$2,,,Arb!$AJ$5,),R116)/S116)</f>
        <v/>
      </c>
      <c r="V116" s="165" t="str">
        <f ca="1">IF(R116="","",(INDEX(OFFSET(Arb!$U$2,,,Arb!$AJ$5,),R116)+INDEX(OFFSET(Arb!$V$2,,,Arb!$AJ$5,),R116))/S116)</f>
        <v/>
      </c>
      <c r="W116" s="51" t="str">
        <f t="shared" ca="1" si="37"/>
        <v/>
      </c>
      <c r="X116" s="88" t="str">
        <f ca="1">IF(R116="","",DATE(INDEX(OFFSET(Arb!$C$2,,,Arb!$AJ$5,),R116),INDEX(OFFSET(Arb!$B$2,,,Arb!$AJ$5,),R116),INDEX(OFFSET(Arb!$A$2,,,Arb!$AJ$5,),R116))+ROW()*0.001)</f>
        <v/>
      </c>
      <c r="Y116" s="436">
        <v>91</v>
      </c>
      <c r="AA116" s="52" t="str">
        <f ca="1">IF(Z116="","",INDEX(OFFSET(Arb!$H$2,,,Arb!$AJ$5,),Z116))</f>
        <v/>
      </c>
      <c r="AB116" s="3" t="str">
        <f t="shared" ca="1" si="28"/>
        <v/>
      </c>
      <c r="AC116" s="165" t="str">
        <f ca="1">IF(Z116="","",INDEX(OFFSET(Arb!$X$2,,,Arb!$AJ$5,),Z116)/AA116)</f>
        <v/>
      </c>
      <c r="AD116" s="165" t="str">
        <f ca="1">IF(Z116="","",(INDEX(OFFSET(Arb!$U$2,,,Arb!$AJ$5,),Z116)+INDEX(OFFSET(Arb!$V$2,,,Arb!$AJ$5,),Z116))/AA116)</f>
        <v/>
      </c>
      <c r="AE116" s="51" t="str">
        <f t="shared" ca="1" si="38"/>
        <v/>
      </c>
      <c r="AF116" s="91" t="str">
        <f ca="1">IF(Z116="","",DATE(INDEX(OFFSET(Arb!$C$2,,,Arb!$AJ$5,),Z116),INDEX(OFFSET(Arb!$B$2,,,Arb!$AJ$5,),Z116),INDEX(OFFSET(Arb!$A$2,,,Arb!$AJ$5,),Z116))+ROW()*0.001)</f>
        <v/>
      </c>
      <c r="AG116" s="442">
        <v>91</v>
      </c>
      <c r="AI116" s="52" t="str">
        <f ca="1">IF(AH116="","",INDEX(OFFSET(Arb!$H$2,,,Arb!$AJ$5,),AH116))</f>
        <v/>
      </c>
      <c r="AJ116" s="3" t="str">
        <f t="shared" ca="1" si="29"/>
        <v/>
      </c>
      <c r="AK116" s="165" t="str">
        <f ca="1">IF(AH116="","",INDEX(OFFSET(Arb!$X$2,,,Arb!$AJ$5,),AH116)/AI116)</f>
        <v/>
      </c>
      <c r="AL116" s="165" t="str">
        <f ca="1">IF(AH116="","",(INDEX(OFFSET(Arb!$U$2,,,Arb!$AJ$5,),AH116)+INDEX(OFFSET(Arb!$V$2,,,Arb!$AJ$5,),AH116))/AI116)</f>
        <v/>
      </c>
      <c r="AM116" s="51" t="str">
        <f t="shared" ca="1" si="39"/>
        <v/>
      </c>
      <c r="AN116" s="88" t="str">
        <f ca="1">IF(AH116="","",DATE(INDEX(OFFSET(Arb!$C$2,,,Arb!$AJ$5,),AH116),INDEX(OFFSET(Arb!$B$2,,,Arb!$AJ$5,),AH116),INDEX(OFFSET(Arb!$A$2,,,Arb!$AJ$5,),AH116))+ROW()*0.001)</f>
        <v/>
      </c>
      <c r="AO116" s="436">
        <v>91</v>
      </c>
      <c r="AQ116" s="52" t="str">
        <f ca="1">IF(AP116="","",INDEX(OFFSET(Arb!$H$2,,,Arb!$AJ$5,),AP116))</f>
        <v/>
      </c>
      <c r="AR116" s="3" t="str">
        <f t="shared" ca="1" si="30"/>
        <v/>
      </c>
      <c r="AS116" s="165" t="str">
        <f ca="1">IF(AP116="","",INDEX(OFFSET(Arb!$X$2,,,Arb!$AJ$5,),AP116)/AQ116)</f>
        <v/>
      </c>
      <c r="AT116" s="165" t="str">
        <f ca="1">IF(AP116="","",(INDEX(OFFSET(Arb!$U$2,,,Arb!$AJ$5,),AP116)+INDEX(OFFSET(Arb!$V$2,,,Arb!$AJ$5,),AP116))/AQ116)</f>
        <v/>
      </c>
      <c r="AU116" s="51" t="str">
        <f t="shared" ca="1" si="40"/>
        <v/>
      </c>
      <c r="AV116" s="91" t="str">
        <f ca="1">IF(AP116="","",DATE(INDEX(OFFSET(Arb!$C$2,,,Arb!$AJ$5,),AP116),INDEX(OFFSET(Arb!$B$2,,,Arb!$AJ$5,),AP116),INDEX(OFFSET(Arb!$A$2,,,Arb!$AJ$5,),AP116))+ROW()*0.001)</f>
        <v/>
      </c>
      <c r="AW116" s="442">
        <v>91</v>
      </c>
      <c r="AY116" s="52" t="str">
        <f ca="1">IF(AX116="","",INDEX(OFFSET(Arb!$H$2,,,Arb!$AJ$5,),AX116))</f>
        <v/>
      </c>
      <c r="AZ116" s="3" t="str">
        <f t="shared" ca="1" si="31"/>
        <v/>
      </c>
      <c r="BA116" s="165" t="str">
        <f ca="1">IF(AX116="","",INDEX(OFFSET(Arb!$X$2,,,Arb!$AJ$5,),AX116)/AY116)</f>
        <v/>
      </c>
      <c r="BB116" s="165" t="str">
        <f ca="1">IF(AX116="","",(INDEX(OFFSET(Arb!$U$2,,,Arb!$AJ$5,),AX116)+INDEX(OFFSET(Arb!$V$2,,,Arb!$AJ$5,),AX116))/AY116)</f>
        <v/>
      </c>
      <c r="BC116" s="51" t="str">
        <f t="shared" ca="1" si="41"/>
        <v/>
      </c>
      <c r="BD116" s="88" t="str">
        <f ca="1">IF(AX116="","",DATE(INDEX(OFFSET(Arb!$C$2,,,Arb!$AJ$5,),AX116),INDEX(OFFSET(Arb!$B$2,,,Arb!$AJ$5,),AX116),INDEX(OFFSET(Arb!$A$2,,,Arb!$AJ$5,),AX116))+ROW()*0.001)</f>
        <v/>
      </c>
      <c r="BE116" s="436">
        <v>91</v>
      </c>
      <c r="BG116" s="52" t="str">
        <f ca="1">IF(BF116="","",INDEX(OFFSET(Arb!$H$2,,,Arb!$AJ$5,),BF116))</f>
        <v/>
      </c>
      <c r="BH116" s="3" t="str">
        <f t="shared" ca="1" si="32"/>
        <v/>
      </c>
      <c r="BI116" s="165" t="str">
        <f ca="1">IF(BF116="","",INDEX(OFFSET(Arb!$X$2,,,Arb!$AJ$5,),BF116)/BG116)</f>
        <v/>
      </c>
      <c r="BJ116" s="165" t="str">
        <f ca="1">IF(BF116="","",(INDEX(OFFSET(Arb!$U$2,,,Arb!$AJ$5,),BF116)+INDEX(OFFSET(Arb!$V$2,,,Arb!$AJ$5,),BF116))/BG116)</f>
        <v/>
      </c>
      <c r="BK116" s="51" t="str">
        <f t="shared" ca="1" si="42"/>
        <v/>
      </c>
      <c r="BL116" s="91" t="str">
        <f ca="1">IF(BF116="","",DATE(INDEX(OFFSET(Arb!$C$2,,,Arb!$AJ$5,),BF116),INDEX(OFFSET(Arb!$B$2,,,Arb!$AJ$5,),BF116),INDEX(OFFSET(Arb!$A$2,,,Arb!$AJ$5,),BF116))+ROW()*0.001)</f>
        <v/>
      </c>
      <c r="BM116" s="442">
        <v>91</v>
      </c>
      <c r="BO116" s="52" t="str">
        <f ca="1">IF(BN116="","",INDEX(OFFSET(Arb!$H$2,,,Arb!$AJ$5,),BN116))</f>
        <v/>
      </c>
      <c r="BP116" s="3" t="str">
        <f t="shared" ca="1" si="33"/>
        <v/>
      </c>
      <c r="BQ116" s="165" t="str">
        <f ca="1">IF(BN116="","",INDEX(OFFSET(Arb!$X$2,,,Arb!$AJ$5,),BN116)/BO116)</f>
        <v/>
      </c>
      <c r="BR116" s="165" t="str">
        <f ca="1">IF(BN116="","",(INDEX(OFFSET(Arb!$U$2,,,Arb!$AJ$5,),BN116)+INDEX(OFFSET(Arb!$V$2,,,Arb!$AJ$5,),BN116))/BO116)</f>
        <v/>
      </c>
      <c r="BS116" s="51" t="str">
        <f t="shared" ca="1" si="43"/>
        <v/>
      </c>
      <c r="BT116" s="88" t="str">
        <f ca="1">IF(BN116="","",DATE(INDEX(OFFSET(Arb!$C$2,,,Arb!$AJ$5,),BN116),INDEX(OFFSET(Arb!$B$2,,,Arb!$AJ$5,),BN116),INDEX(OFFSET(Arb!$A$2,,,Arb!$AJ$5,),BN116))+ROW()*0.001)</f>
        <v/>
      </c>
      <c r="BU116" s="436">
        <v>91</v>
      </c>
      <c r="BW116" s="52" t="str">
        <f ca="1">IF(BV116="","",INDEX(OFFSET(Arb!$H$2,,,Arb!$AJ$5,),BV116))</f>
        <v/>
      </c>
      <c r="BX116" s="3" t="str">
        <f t="shared" ca="1" si="34"/>
        <v/>
      </c>
      <c r="BY116" s="165" t="str">
        <f ca="1">IF(BV116="","",INDEX(OFFSET(Arb!$X$2,,,Arb!$AJ$5,),BV116)/BW116)</f>
        <v/>
      </c>
      <c r="BZ116" s="165" t="str">
        <f ca="1">IF(BV116="","",(INDEX(OFFSET(Arb!$U$2,,,Arb!$AJ$5,),BV116)+INDEX(OFFSET(Arb!$V$2,,,Arb!$AJ$5,),BV116))/BW116)</f>
        <v/>
      </c>
      <c r="CA116" s="51" t="str">
        <f t="shared" ca="1" si="44"/>
        <v/>
      </c>
      <c r="CB116" s="91" t="str">
        <f ca="1">IF(BV116="","",DATE(INDEX(OFFSET(Arb!$C$2,,,Arb!$AJ$5,),BV116),INDEX(OFFSET(Arb!$B$2,,,Arb!$AJ$5,),BV116),INDEX(OFFSET(Arb!$A$2,,,Arb!$AJ$5,),BV116))+ROW()*0.001)</f>
        <v/>
      </c>
    </row>
    <row r="117" spans="1:80" x14ac:dyDescent="0.25">
      <c r="A117" s="436">
        <v>92</v>
      </c>
      <c r="B117" s="1">
        <v>2341</v>
      </c>
      <c r="C117" s="52">
        <f ca="1">IF(B117="","",INDEX(OFFSET(Arb!$H$2,,,Arb!$AJ$5,),B117))</f>
        <v>36.229999999999997</v>
      </c>
      <c r="D117" s="3">
        <f t="shared" ca="1" si="25"/>
        <v>2.5393320452663541</v>
      </c>
      <c r="E117" s="165">
        <f ca="1">IF(B117="","",INDEX(OFFSET(Arb!$X$2,,,Arb!$AJ$5,),B117)/C117)</f>
        <v>2.8705492685619656</v>
      </c>
      <c r="F117" s="165">
        <f ca="1">IF(B117="","",(INDEX(OFFSET(Arb!$U$2,,,Arb!$AJ$5,),B117)+INDEX(OFFSET(Arb!$V$2,,,Arb!$AJ$5,),B117))/C117)</f>
        <v>3.5881865857024566</v>
      </c>
      <c r="G117" s="51">
        <f t="shared" ca="1" si="35"/>
        <v>31.632264735750145</v>
      </c>
      <c r="H117" s="355">
        <f ca="1">IF(B117="","",DATE(INDEX(OFFSET(Arb!$C$2,,,Arb!$AJ$5,),B117),INDEX(OFFSET(Arb!$B$2,,,Arb!$AJ$5,),B117),INDEX(OFFSET(Arb!$A$2,,,Arb!$AJ$5,),B117))+ROW()*0.001)</f>
        <v>44106.116999999998</v>
      </c>
      <c r="I117" s="436">
        <v>92</v>
      </c>
      <c r="K117" s="52" t="str">
        <f ca="1">IF(J117="","",INDEX(OFFSET(Arb!$H$2,,,Arb!$AJ$5,),J117))</f>
        <v/>
      </c>
      <c r="L117" s="3" t="str">
        <f t="shared" ca="1" si="26"/>
        <v/>
      </c>
      <c r="M117" s="165" t="str">
        <f ca="1">IF(J117="","",INDEX(OFFSET(Arb!$X$2,,,Arb!$AJ$5,),J117)/K117)</f>
        <v/>
      </c>
      <c r="N117" s="165" t="str">
        <f ca="1">IF(J117="","",(INDEX(OFFSET(Arb!$U$2,,,Arb!$AJ$5,),J117)+INDEX(OFFSET(Arb!$V$2,,,Arb!$AJ$5,),J117))/K117)</f>
        <v/>
      </c>
      <c r="O117" s="51" t="str">
        <f t="shared" ca="1" si="36"/>
        <v/>
      </c>
      <c r="P117" s="91" t="str">
        <f ca="1">IF(J117="","",DATE(INDEX(OFFSET(Arb!$C$2,,,Arb!$AJ$5,),J117),INDEX(OFFSET(Arb!$B$2,,,Arb!$AJ$5,),J117),INDEX(OFFSET(Arb!$A$2,,,Arb!$AJ$5,),J117))+ROW()*0.001)</f>
        <v/>
      </c>
      <c r="Q117" s="442">
        <v>92</v>
      </c>
      <c r="S117" s="52" t="str">
        <f ca="1">IF(R117="","",INDEX(OFFSET(Arb!$H$2,,,Arb!$AJ$5,),R117))</f>
        <v/>
      </c>
      <c r="T117" s="3" t="str">
        <f t="shared" ca="1" si="27"/>
        <v/>
      </c>
      <c r="U117" s="165" t="str">
        <f ca="1">IF(R117="","",INDEX(OFFSET(Arb!$X$2,,,Arb!$AJ$5,),R117)/S117)</f>
        <v/>
      </c>
      <c r="V117" s="165" t="str">
        <f ca="1">IF(R117="","",(INDEX(OFFSET(Arb!$U$2,,,Arb!$AJ$5,),R117)+INDEX(OFFSET(Arb!$V$2,,,Arb!$AJ$5,),R117))/S117)</f>
        <v/>
      </c>
      <c r="W117" s="51" t="str">
        <f t="shared" ca="1" si="37"/>
        <v/>
      </c>
      <c r="X117" s="88" t="str">
        <f ca="1">IF(R117="","",DATE(INDEX(OFFSET(Arb!$C$2,,,Arb!$AJ$5,),R117),INDEX(OFFSET(Arb!$B$2,,,Arb!$AJ$5,),R117),INDEX(OFFSET(Arb!$A$2,,,Arb!$AJ$5,),R117))+ROW()*0.001)</f>
        <v/>
      </c>
      <c r="Y117" s="436">
        <v>92</v>
      </c>
      <c r="AA117" s="52" t="str">
        <f ca="1">IF(Z117="","",INDEX(OFFSET(Arb!$H$2,,,Arb!$AJ$5,),Z117))</f>
        <v/>
      </c>
      <c r="AB117" s="3" t="str">
        <f t="shared" ca="1" si="28"/>
        <v/>
      </c>
      <c r="AC117" s="165" t="str">
        <f ca="1">IF(Z117="","",INDEX(OFFSET(Arb!$X$2,,,Arb!$AJ$5,),Z117)/AA117)</f>
        <v/>
      </c>
      <c r="AD117" s="165" t="str">
        <f ca="1">IF(Z117="","",(INDEX(OFFSET(Arb!$U$2,,,Arb!$AJ$5,),Z117)+INDEX(OFFSET(Arb!$V$2,,,Arb!$AJ$5,),Z117))/AA117)</f>
        <v/>
      </c>
      <c r="AE117" s="51" t="str">
        <f t="shared" ca="1" si="38"/>
        <v/>
      </c>
      <c r="AF117" s="91" t="str">
        <f ca="1">IF(Z117="","",DATE(INDEX(OFFSET(Arb!$C$2,,,Arb!$AJ$5,),Z117),INDEX(OFFSET(Arb!$B$2,,,Arb!$AJ$5,),Z117),INDEX(OFFSET(Arb!$A$2,,,Arb!$AJ$5,),Z117))+ROW()*0.001)</f>
        <v/>
      </c>
      <c r="AG117" s="442">
        <v>92</v>
      </c>
      <c r="AI117" s="52" t="str">
        <f ca="1">IF(AH117="","",INDEX(OFFSET(Arb!$H$2,,,Arb!$AJ$5,),AH117))</f>
        <v/>
      </c>
      <c r="AJ117" s="3" t="str">
        <f t="shared" ca="1" si="29"/>
        <v/>
      </c>
      <c r="AK117" s="165" t="str">
        <f ca="1">IF(AH117="","",INDEX(OFFSET(Arb!$X$2,,,Arb!$AJ$5,),AH117)/AI117)</f>
        <v/>
      </c>
      <c r="AL117" s="165" t="str">
        <f ca="1">IF(AH117="","",(INDEX(OFFSET(Arb!$U$2,,,Arb!$AJ$5,),AH117)+INDEX(OFFSET(Arb!$V$2,,,Arb!$AJ$5,),AH117))/AI117)</f>
        <v/>
      </c>
      <c r="AM117" s="51" t="str">
        <f t="shared" ca="1" si="39"/>
        <v/>
      </c>
      <c r="AN117" s="88" t="str">
        <f ca="1">IF(AH117="","",DATE(INDEX(OFFSET(Arb!$C$2,,,Arb!$AJ$5,),AH117),INDEX(OFFSET(Arb!$B$2,,,Arb!$AJ$5,),AH117),INDEX(OFFSET(Arb!$A$2,,,Arb!$AJ$5,),AH117))+ROW()*0.001)</f>
        <v/>
      </c>
      <c r="AO117" s="436">
        <v>92</v>
      </c>
      <c r="AQ117" s="52" t="str">
        <f ca="1">IF(AP117="","",INDEX(OFFSET(Arb!$H$2,,,Arb!$AJ$5,),AP117))</f>
        <v/>
      </c>
      <c r="AR117" s="3" t="str">
        <f t="shared" ca="1" si="30"/>
        <v/>
      </c>
      <c r="AS117" s="165" t="str">
        <f ca="1">IF(AP117="","",INDEX(OFFSET(Arb!$X$2,,,Arb!$AJ$5,),AP117)/AQ117)</f>
        <v/>
      </c>
      <c r="AT117" s="165" t="str">
        <f ca="1">IF(AP117="","",(INDEX(OFFSET(Arb!$U$2,,,Arb!$AJ$5,),AP117)+INDEX(OFFSET(Arb!$V$2,,,Arb!$AJ$5,),AP117))/AQ117)</f>
        <v/>
      </c>
      <c r="AU117" s="51" t="str">
        <f t="shared" ca="1" si="40"/>
        <v/>
      </c>
      <c r="AV117" s="91" t="str">
        <f ca="1">IF(AP117="","",DATE(INDEX(OFFSET(Arb!$C$2,,,Arb!$AJ$5,),AP117),INDEX(OFFSET(Arb!$B$2,,,Arb!$AJ$5,),AP117),INDEX(OFFSET(Arb!$A$2,,,Arb!$AJ$5,),AP117))+ROW()*0.001)</f>
        <v/>
      </c>
      <c r="AW117" s="442">
        <v>92</v>
      </c>
      <c r="AY117" s="52" t="str">
        <f ca="1">IF(AX117="","",INDEX(OFFSET(Arb!$H$2,,,Arb!$AJ$5,),AX117))</f>
        <v/>
      </c>
      <c r="AZ117" s="3" t="str">
        <f t="shared" ca="1" si="31"/>
        <v/>
      </c>
      <c r="BA117" s="165" t="str">
        <f ca="1">IF(AX117="","",INDEX(OFFSET(Arb!$X$2,,,Arb!$AJ$5,),AX117)/AY117)</f>
        <v/>
      </c>
      <c r="BB117" s="165" t="str">
        <f ca="1">IF(AX117="","",(INDEX(OFFSET(Arb!$U$2,,,Arb!$AJ$5,),AX117)+INDEX(OFFSET(Arb!$V$2,,,Arb!$AJ$5,),AX117))/AY117)</f>
        <v/>
      </c>
      <c r="BC117" s="51" t="str">
        <f t="shared" ca="1" si="41"/>
        <v/>
      </c>
      <c r="BD117" s="88" t="str">
        <f ca="1">IF(AX117="","",DATE(INDEX(OFFSET(Arb!$C$2,,,Arb!$AJ$5,),AX117),INDEX(OFFSET(Arb!$B$2,,,Arb!$AJ$5,),AX117),INDEX(OFFSET(Arb!$A$2,,,Arb!$AJ$5,),AX117))+ROW()*0.001)</f>
        <v/>
      </c>
      <c r="BE117" s="436">
        <v>92</v>
      </c>
      <c r="BG117" s="52" t="str">
        <f ca="1">IF(BF117="","",INDEX(OFFSET(Arb!$H$2,,,Arb!$AJ$5,),BF117))</f>
        <v/>
      </c>
      <c r="BH117" s="3" t="str">
        <f t="shared" ca="1" si="32"/>
        <v/>
      </c>
      <c r="BI117" s="165" t="str">
        <f ca="1">IF(BF117="","",INDEX(OFFSET(Arb!$X$2,,,Arb!$AJ$5,),BF117)/BG117)</f>
        <v/>
      </c>
      <c r="BJ117" s="165" t="str">
        <f ca="1">IF(BF117="","",(INDEX(OFFSET(Arb!$U$2,,,Arb!$AJ$5,),BF117)+INDEX(OFFSET(Arb!$V$2,,,Arb!$AJ$5,),BF117))/BG117)</f>
        <v/>
      </c>
      <c r="BK117" s="51" t="str">
        <f t="shared" ca="1" si="42"/>
        <v/>
      </c>
      <c r="BL117" s="91" t="str">
        <f ca="1">IF(BF117="","",DATE(INDEX(OFFSET(Arb!$C$2,,,Arb!$AJ$5,),BF117),INDEX(OFFSET(Arb!$B$2,,,Arb!$AJ$5,),BF117),INDEX(OFFSET(Arb!$A$2,,,Arb!$AJ$5,),BF117))+ROW()*0.001)</f>
        <v/>
      </c>
      <c r="BM117" s="442">
        <v>92</v>
      </c>
      <c r="BO117" s="52" t="str">
        <f ca="1">IF(BN117="","",INDEX(OFFSET(Arb!$H$2,,,Arb!$AJ$5,),BN117))</f>
        <v/>
      </c>
      <c r="BP117" s="3" t="str">
        <f t="shared" ca="1" si="33"/>
        <v/>
      </c>
      <c r="BQ117" s="165" t="str">
        <f ca="1">IF(BN117="","",INDEX(OFFSET(Arb!$X$2,,,Arb!$AJ$5,),BN117)/BO117)</f>
        <v/>
      </c>
      <c r="BR117" s="165" t="str">
        <f ca="1">IF(BN117="","",(INDEX(OFFSET(Arb!$U$2,,,Arb!$AJ$5,),BN117)+INDEX(OFFSET(Arb!$V$2,,,Arb!$AJ$5,),BN117))/BO117)</f>
        <v/>
      </c>
      <c r="BS117" s="51" t="str">
        <f t="shared" ca="1" si="43"/>
        <v/>
      </c>
      <c r="BT117" s="88" t="str">
        <f ca="1">IF(BN117="","",DATE(INDEX(OFFSET(Arb!$C$2,,,Arb!$AJ$5,),BN117),INDEX(OFFSET(Arb!$B$2,,,Arb!$AJ$5,),BN117),INDEX(OFFSET(Arb!$A$2,,,Arb!$AJ$5,),BN117))+ROW()*0.001)</f>
        <v/>
      </c>
      <c r="BU117" s="436">
        <v>92</v>
      </c>
      <c r="BW117" s="52" t="str">
        <f ca="1">IF(BV117="","",INDEX(OFFSET(Arb!$H$2,,,Arb!$AJ$5,),BV117))</f>
        <v/>
      </c>
      <c r="BX117" s="3" t="str">
        <f t="shared" ca="1" si="34"/>
        <v/>
      </c>
      <c r="BY117" s="165" t="str">
        <f ca="1">IF(BV117="","",INDEX(OFFSET(Arb!$X$2,,,Arb!$AJ$5,),BV117)/BW117)</f>
        <v/>
      </c>
      <c r="BZ117" s="165" t="str">
        <f ca="1">IF(BV117="","",(INDEX(OFFSET(Arb!$U$2,,,Arb!$AJ$5,),BV117)+INDEX(OFFSET(Arb!$V$2,,,Arb!$AJ$5,),BV117))/BW117)</f>
        <v/>
      </c>
      <c r="CA117" s="51" t="str">
        <f t="shared" ca="1" si="44"/>
        <v/>
      </c>
      <c r="CB117" s="91" t="str">
        <f ca="1">IF(BV117="","",DATE(INDEX(OFFSET(Arb!$C$2,,,Arb!$AJ$5,),BV117),INDEX(OFFSET(Arb!$B$2,,,Arb!$AJ$5,),BV117),INDEX(OFFSET(Arb!$A$2,,,Arb!$AJ$5,),BV117))+ROW()*0.001)</f>
        <v/>
      </c>
    </row>
    <row r="118" spans="1:80" x14ac:dyDescent="0.25">
      <c r="A118" s="436">
        <v>93</v>
      </c>
      <c r="B118" s="1">
        <v>2265</v>
      </c>
      <c r="C118" s="52">
        <f ca="1">IF(B118="","",INDEX(OFFSET(Arb!$H$2,,,Arb!$AJ$5,),B118))</f>
        <v>30.15</v>
      </c>
      <c r="D118" s="3">
        <f t="shared" ref="D118:D159" ca="1" si="45">IFERROR(A118/C118,"")</f>
        <v>3.0845771144278609</v>
      </c>
      <c r="E118" s="165">
        <f ca="1">IF(B118="","",INDEX(OFFSET(Arb!$X$2,,,Arb!$AJ$5,),B118)/C118)</f>
        <v>3.5820895522388061</v>
      </c>
      <c r="F118" s="165">
        <f ca="1">IF(B118="","",(INDEX(OFFSET(Arb!$U$2,,,Arb!$AJ$5,),B118)+INDEX(OFFSET(Arb!$V$2,,,Arb!$AJ$5,),B118))/C118)</f>
        <v>3.9469320066334994</v>
      </c>
      <c r="G118" s="51">
        <f t="shared" ca="1" si="35"/>
        <v>43.697152538797489</v>
      </c>
      <c r="H118" s="355">
        <f ca="1">IF(B118="","",DATE(INDEX(OFFSET(Arb!$C$2,,,Arb!$AJ$5,),B118),INDEX(OFFSET(Arb!$B$2,,,Arb!$AJ$5,),B118),INDEX(OFFSET(Arb!$A$2,,,Arb!$AJ$5,),B118))+ROW()*0.001)</f>
        <v>43906.118000000002</v>
      </c>
      <c r="I118" s="436">
        <v>93</v>
      </c>
      <c r="J118" s="1">
        <v>2138</v>
      </c>
      <c r="K118" s="52">
        <f ca="1">IF(J118="","",INDEX(OFFSET(Arb!$H$2,,,Arb!$AJ$5,),J118))</f>
        <v>30.3</v>
      </c>
      <c r="L118" s="3">
        <f t="shared" ref="L118:L159" ca="1" si="46">IFERROR(I118/K118,"")</f>
        <v>3.0693069306930694</v>
      </c>
      <c r="M118" s="165">
        <f ca="1">IF(J118="","",INDEX(OFFSET(Arb!$X$2,,,Arb!$AJ$5,),J118)/K118)</f>
        <v>3.8613861386138613</v>
      </c>
      <c r="N118" s="165">
        <f ca="1">IF(J118="","",(INDEX(OFFSET(Arb!$U$2,,,Arb!$AJ$5,),J118)+INDEX(OFFSET(Arb!$V$2,,,Arb!$AJ$5,),J118))/K118)</f>
        <v>4.455445544554455</v>
      </c>
      <c r="O118" s="51">
        <f t="shared" ca="1" si="36"/>
        <v>43.330041728972105</v>
      </c>
      <c r="P118" s="91">
        <f ca="1">IF(J118="","",DATE(INDEX(OFFSET(Arb!$C$2,,,Arb!$AJ$5,),J118),INDEX(OFFSET(Arb!$B$2,,,Arb!$AJ$5,),J118),INDEX(OFFSET(Arb!$A$2,,,Arb!$AJ$5,),J118))+ROW()*0.001)</f>
        <v>43817.118000000002</v>
      </c>
      <c r="Q118" s="442">
        <v>93</v>
      </c>
      <c r="S118" s="52" t="str">
        <f ca="1">IF(R118="","",INDEX(OFFSET(Arb!$H$2,,,Arb!$AJ$5,),R118))</f>
        <v/>
      </c>
      <c r="T118" s="3" t="str">
        <f t="shared" ref="T118:T159" ca="1" si="47">IFERROR(Q118/S118,"")</f>
        <v/>
      </c>
      <c r="U118" s="165" t="str">
        <f ca="1">IF(R118="","",INDEX(OFFSET(Arb!$X$2,,,Arb!$AJ$5,),R118)/S118)</f>
        <v/>
      </c>
      <c r="V118" s="165" t="str">
        <f ca="1">IF(R118="","",(INDEX(OFFSET(Arb!$U$2,,,Arb!$AJ$5,),R118)+INDEX(OFFSET(Arb!$V$2,,,Arb!$AJ$5,),R118))/S118)</f>
        <v/>
      </c>
      <c r="W118" s="51" t="str">
        <f t="shared" ca="1" si="37"/>
        <v/>
      </c>
      <c r="X118" s="88" t="str">
        <f ca="1">IF(R118="","",DATE(INDEX(OFFSET(Arb!$C$2,,,Arb!$AJ$5,),R118),INDEX(OFFSET(Arb!$B$2,,,Arb!$AJ$5,),R118),INDEX(OFFSET(Arb!$A$2,,,Arb!$AJ$5,),R118))+ROW()*0.001)</f>
        <v/>
      </c>
      <c r="Y118" s="436">
        <v>93</v>
      </c>
      <c r="AA118" s="52" t="str">
        <f ca="1">IF(Z118="","",INDEX(OFFSET(Arb!$H$2,,,Arb!$AJ$5,),Z118))</f>
        <v/>
      </c>
      <c r="AB118" s="3" t="str">
        <f t="shared" ref="AB118:AB159" ca="1" si="48">IFERROR(Y118/AA118,"")</f>
        <v/>
      </c>
      <c r="AC118" s="165" t="str">
        <f ca="1">IF(Z118="","",INDEX(OFFSET(Arb!$X$2,,,Arb!$AJ$5,),Z118)/AA118)</f>
        <v/>
      </c>
      <c r="AD118" s="165" t="str">
        <f ca="1">IF(Z118="","",(INDEX(OFFSET(Arb!$U$2,,,Arb!$AJ$5,),Z118)+INDEX(OFFSET(Arb!$V$2,,,Arb!$AJ$5,),Z118))/AA118)</f>
        <v/>
      </c>
      <c r="AE118" s="51" t="str">
        <f t="shared" ca="1" si="38"/>
        <v/>
      </c>
      <c r="AF118" s="91" t="str">
        <f ca="1">IF(Z118="","",DATE(INDEX(OFFSET(Arb!$C$2,,,Arb!$AJ$5,),Z118),INDEX(OFFSET(Arb!$B$2,,,Arb!$AJ$5,),Z118),INDEX(OFFSET(Arb!$A$2,,,Arb!$AJ$5,),Z118))+ROW()*0.001)</f>
        <v/>
      </c>
      <c r="AG118" s="442">
        <v>93</v>
      </c>
      <c r="AI118" s="52" t="str">
        <f ca="1">IF(AH118="","",INDEX(OFFSET(Arb!$H$2,,,Arb!$AJ$5,),AH118))</f>
        <v/>
      </c>
      <c r="AJ118" s="3" t="str">
        <f t="shared" ref="AJ118:AJ159" ca="1" si="49">IFERROR(AG118/AI118,"")</f>
        <v/>
      </c>
      <c r="AK118" s="165" t="str">
        <f ca="1">IF(AH118="","",INDEX(OFFSET(Arb!$X$2,,,Arb!$AJ$5,),AH118)/AI118)</f>
        <v/>
      </c>
      <c r="AL118" s="165" t="str">
        <f ca="1">IF(AH118="","",(INDEX(OFFSET(Arb!$U$2,,,Arb!$AJ$5,),AH118)+INDEX(OFFSET(Arb!$V$2,,,Arb!$AJ$5,),AH118))/AI118)</f>
        <v/>
      </c>
      <c r="AM118" s="51" t="str">
        <f t="shared" ca="1" si="39"/>
        <v/>
      </c>
      <c r="AN118" s="88" t="str">
        <f ca="1">IF(AH118="","",DATE(INDEX(OFFSET(Arb!$C$2,,,Arb!$AJ$5,),AH118),INDEX(OFFSET(Arb!$B$2,,,Arb!$AJ$5,),AH118),INDEX(OFFSET(Arb!$A$2,,,Arb!$AJ$5,),AH118))+ROW()*0.001)</f>
        <v/>
      </c>
      <c r="AO118" s="436">
        <v>93</v>
      </c>
      <c r="AQ118" s="52" t="str">
        <f ca="1">IF(AP118="","",INDEX(OFFSET(Arb!$H$2,,,Arb!$AJ$5,),AP118))</f>
        <v/>
      </c>
      <c r="AR118" s="3" t="str">
        <f t="shared" ref="AR118:AR159" ca="1" si="50">IFERROR(AO118/AQ118,"")</f>
        <v/>
      </c>
      <c r="AS118" s="165" t="str">
        <f ca="1">IF(AP118="","",INDEX(OFFSET(Arb!$X$2,,,Arb!$AJ$5,),AP118)/AQ118)</f>
        <v/>
      </c>
      <c r="AT118" s="165" t="str">
        <f ca="1">IF(AP118="","",(INDEX(OFFSET(Arb!$U$2,,,Arb!$AJ$5,),AP118)+INDEX(OFFSET(Arb!$V$2,,,Arb!$AJ$5,),AP118))/AQ118)</f>
        <v/>
      </c>
      <c r="AU118" s="51" t="str">
        <f t="shared" ca="1" si="40"/>
        <v/>
      </c>
      <c r="AV118" s="91" t="str">
        <f ca="1">IF(AP118="","",DATE(INDEX(OFFSET(Arb!$C$2,,,Arb!$AJ$5,),AP118),INDEX(OFFSET(Arb!$B$2,,,Arb!$AJ$5,),AP118),INDEX(OFFSET(Arb!$A$2,,,Arb!$AJ$5,),AP118))+ROW()*0.001)</f>
        <v/>
      </c>
      <c r="AW118" s="442">
        <v>93</v>
      </c>
      <c r="AY118" s="52" t="str">
        <f ca="1">IF(AX118="","",INDEX(OFFSET(Arb!$H$2,,,Arb!$AJ$5,),AX118))</f>
        <v/>
      </c>
      <c r="AZ118" s="3" t="str">
        <f t="shared" ref="AZ118:AZ159" ca="1" si="51">IFERROR(AW118/AY118,"")</f>
        <v/>
      </c>
      <c r="BA118" s="165" t="str">
        <f ca="1">IF(AX118="","",INDEX(OFFSET(Arb!$X$2,,,Arb!$AJ$5,),AX118)/AY118)</f>
        <v/>
      </c>
      <c r="BB118" s="165" t="str">
        <f ca="1">IF(AX118="","",(INDEX(OFFSET(Arb!$U$2,,,Arb!$AJ$5,),AX118)+INDEX(OFFSET(Arb!$V$2,,,Arb!$AJ$5,),AX118))/AY118)</f>
        <v/>
      </c>
      <c r="BC118" s="51" t="str">
        <f t="shared" ca="1" si="41"/>
        <v/>
      </c>
      <c r="BD118" s="88" t="str">
        <f ca="1">IF(AX118="","",DATE(INDEX(OFFSET(Arb!$C$2,,,Arb!$AJ$5,),AX118),INDEX(OFFSET(Arb!$B$2,,,Arb!$AJ$5,),AX118),INDEX(OFFSET(Arb!$A$2,,,Arb!$AJ$5,),AX118))+ROW()*0.001)</f>
        <v/>
      </c>
      <c r="BE118" s="436">
        <v>93</v>
      </c>
      <c r="BG118" s="52" t="str">
        <f ca="1">IF(BF118="","",INDEX(OFFSET(Arb!$H$2,,,Arb!$AJ$5,),BF118))</f>
        <v/>
      </c>
      <c r="BH118" s="3" t="str">
        <f t="shared" ref="BH118:BH159" ca="1" si="52">IFERROR(BE118/BG118,"")</f>
        <v/>
      </c>
      <c r="BI118" s="165" t="str">
        <f ca="1">IF(BF118="","",INDEX(OFFSET(Arb!$X$2,,,Arb!$AJ$5,),BF118)/BG118)</f>
        <v/>
      </c>
      <c r="BJ118" s="165" t="str">
        <f ca="1">IF(BF118="","",(INDEX(OFFSET(Arb!$U$2,,,Arb!$AJ$5,),BF118)+INDEX(OFFSET(Arb!$V$2,,,Arb!$AJ$5,),BF118))/BG118)</f>
        <v/>
      </c>
      <c r="BK118" s="51" t="str">
        <f t="shared" ca="1" si="42"/>
        <v/>
      </c>
      <c r="BL118" s="91" t="str">
        <f ca="1">IF(BF118="","",DATE(INDEX(OFFSET(Arb!$C$2,,,Arb!$AJ$5,),BF118),INDEX(OFFSET(Arb!$B$2,,,Arb!$AJ$5,),BF118),INDEX(OFFSET(Arb!$A$2,,,Arb!$AJ$5,),BF118))+ROW()*0.001)</f>
        <v/>
      </c>
      <c r="BM118" s="442">
        <v>93</v>
      </c>
      <c r="BO118" s="52" t="str">
        <f ca="1">IF(BN118="","",INDEX(OFFSET(Arb!$H$2,,,Arb!$AJ$5,),BN118))</f>
        <v/>
      </c>
      <c r="BP118" s="3" t="str">
        <f t="shared" ref="BP118:BP159" ca="1" si="53">IFERROR(BM118/BO118,"")</f>
        <v/>
      </c>
      <c r="BQ118" s="165" t="str">
        <f ca="1">IF(BN118="","",INDEX(OFFSET(Arb!$X$2,,,Arb!$AJ$5,),BN118)/BO118)</f>
        <v/>
      </c>
      <c r="BR118" s="165" t="str">
        <f ca="1">IF(BN118="","",(INDEX(OFFSET(Arb!$U$2,,,Arb!$AJ$5,),BN118)+INDEX(OFFSET(Arb!$V$2,,,Arb!$AJ$5,),BN118))/BO118)</f>
        <v/>
      </c>
      <c r="BS118" s="51" t="str">
        <f t="shared" ca="1" si="43"/>
        <v/>
      </c>
      <c r="BT118" s="88" t="str">
        <f ca="1">IF(BN118="","",DATE(INDEX(OFFSET(Arb!$C$2,,,Arb!$AJ$5,),BN118),INDEX(OFFSET(Arb!$B$2,,,Arb!$AJ$5,),BN118),INDEX(OFFSET(Arb!$A$2,,,Arb!$AJ$5,),BN118))+ROW()*0.001)</f>
        <v/>
      </c>
      <c r="BU118" s="436">
        <v>93</v>
      </c>
      <c r="BW118" s="52" t="str">
        <f ca="1">IF(BV118="","",INDEX(OFFSET(Arb!$H$2,,,Arb!$AJ$5,),BV118))</f>
        <v/>
      </c>
      <c r="BX118" s="3" t="str">
        <f t="shared" ref="BX118:BX159" ca="1" si="54">IFERROR(BU118/BW118,"")</f>
        <v/>
      </c>
      <c r="BY118" s="165" t="str">
        <f ca="1">IF(BV118="","",INDEX(OFFSET(Arb!$X$2,,,Arb!$AJ$5,),BV118)/BW118)</f>
        <v/>
      </c>
      <c r="BZ118" s="165" t="str">
        <f ca="1">IF(BV118="","",(INDEX(OFFSET(Arb!$U$2,,,Arb!$AJ$5,),BV118)+INDEX(OFFSET(Arb!$V$2,,,Arb!$AJ$5,),BV118))/BW118)</f>
        <v/>
      </c>
      <c r="CA118" s="51" t="str">
        <f t="shared" ca="1" si="44"/>
        <v/>
      </c>
      <c r="CB118" s="91" t="str">
        <f ca="1">IF(BV118="","",DATE(INDEX(OFFSET(Arb!$C$2,,,Arb!$AJ$5,),BV118),INDEX(OFFSET(Arb!$B$2,,,Arb!$AJ$5,),BV118),INDEX(OFFSET(Arb!$A$2,,,Arb!$AJ$5,),BV118))+ROW()*0.001)</f>
        <v/>
      </c>
    </row>
    <row r="119" spans="1:80" x14ac:dyDescent="0.25">
      <c r="A119" s="436">
        <v>94</v>
      </c>
      <c r="C119" s="52" t="str">
        <f ca="1">IF(B119="","",INDEX(OFFSET(Arb!$H$2,,,Arb!$AJ$5,),B119))</f>
        <v/>
      </c>
      <c r="D119" s="3" t="str">
        <f t="shared" ca="1" si="45"/>
        <v/>
      </c>
      <c r="E119" s="165" t="str">
        <f ca="1">IF(B119="","",INDEX(OFFSET(Arb!$X$2,,,Arb!$AJ$5,),B119)/C119)</f>
        <v/>
      </c>
      <c r="F119" s="165" t="str">
        <f ca="1">IF(B119="","",(INDEX(OFFSET(Arb!$U$2,,,Arb!$AJ$5,),B119)+INDEX(OFFSET(Arb!$V$2,,,Arb!$AJ$5,),B119))/C119)</f>
        <v/>
      </c>
      <c r="G119" s="51" t="str">
        <f t="shared" ca="1" si="35"/>
        <v/>
      </c>
      <c r="H119" s="355" t="str">
        <f ca="1">IF(B119="","",DATE(INDEX(OFFSET(Arb!$C$2,,,Arb!$AJ$5,),B119),INDEX(OFFSET(Arb!$B$2,,,Arb!$AJ$5,),B119),INDEX(OFFSET(Arb!$A$2,,,Arb!$AJ$5,),B119))+ROW()*0.001)</f>
        <v/>
      </c>
      <c r="I119" s="436">
        <v>94</v>
      </c>
      <c r="K119" s="52" t="str">
        <f ca="1">IF(J119="","",INDEX(OFFSET(Arb!$H$2,,,Arb!$AJ$5,),J119))</f>
        <v/>
      </c>
      <c r="L119" s="3" t="str">
        <f t="shared" ca="1" si="46"/>
        <v/>
      </c>
      <c r="M119" s="165" t="str">
        <f ca="1">IF(J119="","",INDEX(OFFSET(Arb!$X$2,,,Arb!$AJ$5,),J119)/K119)</f>
        <v/>
      </c>
      <c r="N119" s="165" t="str">
        <f ca="1">IF(J119="","",(INDEX(OFFSET(Arb!$U$2,,,Arb!$AJ$5,),J119)+INDEX(OFFSET(Arb!$V$2,,,Arb!$AJ$5,),J119))/K119)</f>
        <v/>
      </c>
      <c r="O119" s="51" t="str">
        <f t="shared" ca="1" si="36"/>
        <v/>
      </c>
      <c r="P119" s="91" t="str">
        <f ca="1">IF(J119="","",DATE(INDEX(OFFSET(Arb!$C$2,,,Arb!$AJ$5,),J119),INDEX(OFFSET(Arb!$B$2,,,Arb!$AJ$5,),J119),INDEX(OFFSET(Arb!$A$2,,,Arb!$AJ$5,),J119))+ROW()*0.001)</f>
        <v/>
      </c>
      <c r="Q119" s="442">
        <v>94</v>
      </c>
      <c r="S119" s="52" t="str">
        <f ca="1">IF(R119="","",INDEX(OFFSET(Arb!$H$2,,,Arb!$AJ$5,),R119))</f>
        <v/>
      </c>
      <c r="T119" s="3" t="str">
        <f t="shared" ca="1" si="47"/>
        <v/>
      </c>
      <c r="U119" s="165" t="str">
        <f ca="1">IF(R119="","",INDEX(OFFSET(Arb!$X$2,,,Arb!$AJ$5,),R119)/S119)</f>
        <v/>
      </c>
      <c r="V119" s="165" t="str">
        <f ca="1">IF(R119="","",(INDEX(OFFSET(Arb!$U$2,,,Arb!$AJ$5,),R119)+INDEX(OFFSET(Arb!$V$2,,,Arb!$AJ$5,),R119))/S119)</f>
        <v/>
      </c>
      <c r="W119" s="51" t="str">
        <f t="shared" ca="1" si="37"/>
        <v/>
      </c>
      <c r="X119" s="88" t="str">
        <f ca="1">IF(R119="","",DATE(INDEX(OFFSET(Arb!$C$2,,,Arb!$AJ$5,),R119),INDEX(OFFSET(Arb!$B$2,,,Arb!$AJ$5,),R119),INDEX(OFFSET(Arb!$A$2,,,Arb!$AJ$5,),R119))+ROW()*0.001)</f>
        <v/>
      </c>
      <c r="Y119" s="436">
        <v>94</v>
      </c>
      <c r="AA119" s="52" t="str">
        <f ca="1">IF(Z119="","",INDEX(OFFSET(Arb!$H$2,,,Arb!$AJ$5,),Z119))</f>
        <v/>
      </c>
      <c r="AB119" s="3" t="str">
        <f t="shared" ca="1" si="48"/>
        <v/>
      </c>
      <c r="AC119" s="165" t="str">
        <f ca="1">IF(Z119="","",INDEX(OFFSET(Arb!$X$2,,,Arb!$AJ$5,),Z119)/AA119)</f>
        <v/>
      </c>
      <c r="AD119" s="165" t="str">
        <f ca="1">IF(Z119="","",(INDEX(OFFSET(Arb!$U$2,,,Arb!$AJ$5,),Z119)+INDEX(OFFSET(Arb!$V$2,,,Arb!$AJ$5,),Z119))/AA119)</f>
        <v/>
      </c>
      <c r="AE119" s="51" t="str">
        <f t="shared" ca="1" si="38"/>
        <v/>
      </c>
      <c r="AF119" s="91" t="str">
        <f ca="1">IF(Z119="","",DATE(INDEX(OFFSET(Arb!$C$2,,,Arb!$AJ$5,),Z119),INDEX(OFFSET(Arb!$B$2,,,Arb!$AJ$5,),Z119),INDEX(OFFSET(Arb!$A$2,,,Arb!$AJ$5,),Z119))+ROW()*0.001)</f>
        <v/>
      </c>
      <c r="AG119" s="442">
        <v>94</v>
      </c>
      <c r="AI119" s="52" t="str">
        <f ca="1">IF(AH119="","",INDEX(OFFSET(Arb!$H$2,,,Arb!$AJ$5,),AH119))</f>
        <v/>
      </c>
      <c r="AJ119" s="3" t="str">
        <f t="shared" ca="1" si="49"/>
        <v/>
      </c>
      <c r="AK119" s="165" t="str">
        <f ca="1">IF(AH119="","",INDEX(OFFSET(Arb!$X$2,,,Arb!$AJ$5,),AH119)/AI119)</f>
        <v/>
      </c>
      <c r="AL119" s="165" t="str">
        <f ca="1">IF(AH119="","",(INDEX(OFFSET(Arb!$U$2,,,Arb!$AJ$5,),AH119)+INDEX(OFFSET(Arb!$V$2,,,Arb!$AJ$5,),AH119))/AI119)</f>
        <v/>
      </c>
      <c r="AM119" s="51" t="str">
        <f t="shared" ca="1" si="39"/>
        <v/>
      </c>
      <c r="AN119" s="88" t="str">
        <f ca="1">IF(AH119="","",DATE(INDEX(OFFSET(Arb!$C$2,,,Arb!$AJ$5,),AH119),INDEX(OFFSET(Arb!$B$2,,,Arb!$AJ$5,),AH119),INDEX(OFFSET(Arb!$A$2,,,Arb!$AJ$5,),AH119))+ROW()*0.001)</f>
        <v/>
      </c>
      <c r="AO119" s="436">
        <v>94</v>
      </c>
      <c r="AQ119" s="52" t="str">
        <f ca="1">IF(AP119="","",INDEX(OFFSET(Arb!$H$2,,,Arb!$AJ$5,),AP119))</f>
        <v/>
      </c>
      <c r="AR119" s="3" t="str">
        <f t="shared" ca="1" si="50"/>
        <v/>
      </c>
      <c r="AS119" s="165" t="str">
        <f ca="1">IF(AP119="","",INDEX(OFFSET(Arb!$X$2,,,Arb!$AJ$5,),AP119)/AQ119)</f>
        <v/>
      </c>
      <c r="AT119" s="165" t="str">
        <f ca="1">IF(AP119="","",(INDEX(OFFSET(Arb!$U$2,,,Arb!$AJ$5,),AP119)+INDEX(OFFSET(Arb!$V$2,,,Arb!$AJ$5,),AP119))/AQ119)</f>
        <v/>
      </c>
      <c r="AU119" s="51" t="str">
        <f t="shared" ca="1" si="40"/>
        <v/>
      </c>
      <c r="AV119" s="91" t="str">
        <f ca="1">IF(AP119="","",DATE(INDEX(OFFSET(Arb!$C$2,,,Arb!$AJ$5,),AP119),INDEX(OFFSET(Arb!$B$2,,,Arb!$AJ$5,),AP119),INDEX(OFFSET(Arb!$A$2,,,Arb!$AJ$5,),AP119))+ROW()*0.001)</f>
        <v/>
      </c>
      <c r="AW119" s="442">
        <v>94</v>
      </c>
      <c r="AY119" s="52" t="str">
        <f ca="1">IF(AX119="","",INDEX(OFFSET(Arb!$H$2,,,Arb!$AJ$5,),AX119))</f>
        <v/>
      </c>
      <c r="AZ119" s="3" t="str">
        <f t="shared" ca="1" si="51"/>
        <v/>
      </c>
      <c r="BA119" s="165" t="str">
        <f ca="1">IF(AX119="","",INDEX(OFFSET(Arb!$X$2,,,Arb!$AJ$5,),AX119)/AY119)</f>
        <v/>
      </c>
      <c r="BB119" s="165" t="str">
        <f ca="1">IF(AX119="","",(INDEX(OFFSET(Arb!$U$2,,,Arb!$AJ$5,),AX119)+INDEX(OFFSET(Arb!$V$2,,,Arb!$AJ$5,),AX119))/AY119)</f>
        <v/>
      </c>
      <c r="BC119" s="51" t="str">
        <f t="shared" ca="1" si="41"/>
        <v/>
      </c>
      <c r="BD119" s="88" t="str">
        <f ca="1">IF(AX119="","",DATE(INDEX(OFFSET(Arb!$C$2,,,Arb!$AJ$5,),AX119),INDEX(OFFSET(Arb!$B$2,,,Arb!$AJ$5,),AX119),INDEX(OFFSET(Arb!$A$2,,,Arb!$AJ$5,),AX119))+ROW()*0.001)</f>
        <v/>
      </c>
      <c r="BE119" s="436">
        <v>94</v>
      </c>
      <c r="BG119" s="52" t="str">
        <f ca="1">IF(BF119="","",INDEX(OFFSET(Arb!$H$2,,,Arb!$AJ$5,),BF119))</f>
        <v/>
      </c>
      <c r="BH119" s="3" t="str">
        <f t="shared" ca="1" si="52"/>
        <v/>
      </c>
      <c r="BI119" s="165" t="str">
        <f ca="1">IF(BF119="","",INDEX(OFFSET(Arb!$X$2,,,Arb!$AJ$5,),BF119)/BG119)</f>
        <v/>
      </c>
      <c r="BJ119" s="165" t="str">
        <f ca="1">IF(BF119="","",(INDEX(OFFSET(Arb!$U$2,,,Arb!$AJ$5,),BF119)+INDEX(OFFSET(Arb!$V$2,,,Arb!$AJ$5,),BF119))/BG119)</f>
        <v/>
      </c>
      <c r="BK119" s="51" t="str">
        <f t="shared" ca="1" si="42"/>
        <v/>
      </c>
      <c r="BL119" s="91" t="str">
        <f ca="1">IF(BF119="","",DATE(INDEX(OFFSET(Arb!$C$2,,,Arb!$AJ$5,),BF119),INDEX(OFFSET(Arb!$B$2,,,Arb!$AJ$5,),BF119),INDEX(OFFSET(Arb!$A$2,,,Arb!$AJ$5,),BF119))+ROW()*0.001)</f>
        <v/>
      </c>
      <c r="BM119" s="442">
        <v>94</v>
      </c>
      <c r="BO119" s="52" t="str">
        <f ca="1">IF(BN119="","",INDEX(OFFSET(Arb!$H$2,,,Arb!$AJ$5,),BN119))</f>
        <v/>
      </c>
      <c r="BP119" s="3" t="str">
        <f t="shared" ca="1" si="53"/>
        <v/>
      </c>
      <c r="BQ119" s="165" t="str">
        <f ca="1">IF(BN119="","",INDEX(OFFSET(Arb!$X$2,,,Arb!$AJ$5,),BN119)/BO119)</f>
        <v/>
      </c>
      <c r="BR119" s="165" t="str">
        <f ca="1">IF(BN119="","",(INDEX(OFFSET(Arb!$U$2,,,Arb!$AJ$5,),BN119)+INDEX(OFFSET(Arb!$V$2,,,Arb!$AJ$5,),BN119))/BO119)</f>
        <v/>
      </c>
      <c r="BS119" s="51" t="str">
        <f t="shared" ca="1" si="43"/>
        <v/>
      </c>
      <c r="BT119" s="88" t="str">
        <f ca="1">IF(BN119="","",DATE(INDEX(OFFSET(Arb!$C$2,,,Arb!$AJ$5,),BN119),INDEX(OFFSET(Arb!$B$2,,,Arb!$AJ$5,),BN119),INDEX(OFFSET(Arb!$A$2,,,Arb!$AJ$5,),BN119))+ROW()*0.001)</f>
        <v/>
      </c>
      <c r="BU119" s="436">
        <v>94</v>
      </c>
      <c r="BW119" s="52" t="str">
        <f ca="1">IF(BV119="","",INDEX(OFFSET(Arb!$H$2,,,Arb!$AJ$5,),BV119))</f>
        <v/>
      </c>
      <c r="BX119" s="3" t="str">
        <f t="shared" ca="1" si="54"/>
        <v/>
      </c>
      <c r="BY119" s="165" t="str">
        <f ca="1">IF(BV119="","",INDEX(OFFSET(Arb!$X$2,,,Arb!$AJ$5,),BV119)/BW119)</f>
        <v/>
      </c>
      <c r="BZ119" s="165" t="str">
        <f ca="1">IF(BV119="","",(INDEX(OFFSET(Arb!$U$2,,,Arb!$AJ$5,),BV119)+INDEX(OFFSET(Arb!$V$2,,,Arb!$AJ$5,),BV119))/BW119)</f>
        <v/>
      </c>
      <c r="CA119" s="51" t="str">
        <f t="shared" ca="1" si="44"/>
        <v/>
      </c>
      <c r="CB119" s="91" t="str">
        <f ca="1">IF(BV119="","",DATE(INDEX(OFFSET(Arb!$C$2,,,Arb!$AJ$5,),BV119),INDEX(OFFSET(Arb!$B$2,,,Arb!$AJ$5,),BV119),INDEX(OFFSET(Arb!$A$2,,,Arb!$AJ$5,),BV119))+ROW()*0.001)</f>
        <v/>
      </c>
    </row>
    <row r="120" spans="1:80" x14ac:dyDescent="0.25">
      <c r="A120" s="436">
        <v>95</v>
      </c>
      <c r="B120" s="1">
        <v>1978</v>
      </c>
      <c r="C120" s="52">
        <f ca="1">IF(B120="","",INDEX(OFFSET(Arb!$H$2,,,Arb!$AJ$5,),B120))</f>
        <v>37.42</v>
      </c>
      <c r="D120" s="3">
        <f t="shared" ca="1" si="45"/>
        <v>2.5387493319080705</v>
      </c>
      <c r="E120" s="165">
        <f ca="1">IF(B120="","",INDEX(OFFSET(Arb!$X$2,,,Arb!$AJ$5,),B120)/C120)</f>
        <v>3.019775521111705</v>
      </c>
      <c r="F120" s="165">
        <f ca="1">IF(B120="","",(INDEX(OFFSET(Arb!$U$2,,,Arb!$AJ$5,),B120)+INDEX(OFFSET(Arb!$V$2,,,Arb!$AJ$5,),B120))/C120)</f>
        <v>3.4206306787814</v>
      </c>
      <c r="G120" s="51">
        <f t="shared" ref="G120:G167" ca="1" si="55">IFERROR(153.73/(C120^1.7/A120),"")</f>
        <v>30.917601918249588</v>
      </c>
      <c r="H120" s="355">
        <f ca="1">IF(B120="","",DATE(INDEX(OFFSET(Arb!$C$2,,,Arb!$AJ$5,),B120),INDEX(OFFSET(Arb!$B$2,,,Arb!$AJ$5,),B120),INDEX(OFFSET(Arb!$A$2,,,Arb!$AJ$5,),B120))+ROW()*0.001)</f>
        <v>43781.120000000003</v>
      </c>
      <c r="I120" s="436">
        <v>95</v>
      </c>
      <c r="K120" s="52" t="str">
        <f ca="1">IF(J120="","",INDEX(OFFSET(Arb!$H$2,,,Arb!$AJ$5,),J120))</f>
        <v/>
      </c>
      <c r="L120" s="3" t="str">
        <f t="shared" ca="1" si="46"/>
        <v/>
      </c>
      <c r="M120" s="165" t="str">
        <f ca="1">IF(J120="","",INDEX(OFFSET(Arb!$X$2,,,Arb!$AJ$5,),J120)/K120)</f>
        <v/>
      </c>
      <c r="N120" s="165" t="str">
        <f ca="1">IF(J120="","",(INDEX(OFFSET(Arb!$U$2,,,Arb!$AJ$5,),J120)+INDEX(OFFSET(Arb!$V$2,,,Arb!$AJ$5,),J120))/K120)</f>
        <v/>
      </c>
      <c r="O120" s="51" t="str">
        <f t="shared" ref="O120:O167" ca="1" si="56">IFERROR(153.73/(K120^1.7/I120),"")</f>
        <v/>
      </c>
      <c r="P120" s="91" t="str">
        <f ca="1">IF(J120="","",DATE(INDEX(OFFSET(Arb!$C$2,,,Arb!$AJ$5,),J120),INDEX(OFFSET(Arb!$B$2,,,Arb!$AJ$5,),J120),INDEX(OFFSET(Arb!$A$2,,,Arb!$AJ$5,),J120))+ROW()*0.001)</f>
        <v/>
      </c>
      <c r="Q120" s="442">
        <v>95</v>
      </c>
      <c r="S120" s="52" t="str">
        <f ca="1">IF(R120="","",INDEX(OFFSET(Arb!$H$2,,,Arb!$AJ$5,),R120))</f>
        <v/>
      </c>
      <c r="T120" s="3" t="str">
        <f t="shared" ca="1" si="47"/>
        <v/>
      </c>
      <c r="U120" s="165" t="str">
        <f ca="1">IF(R120="","",INDEX(OFFSET(Arb!$X$2,,,Arb!$AJ$5,),R120)/S120)</f>
        <v/>
      </c>
      <c r="V120" s="165" t="str">
        <f ca="1">IF(R120="","",(INDEX(OFFSET(Arb!$U$2,,,Arb!$AJ$5,),R120)+INDEX(OFFSET(Arb!$V$2,,,Arb!$AJ$5,),R120))/S120)</f>
        <v/>
      </c>
      <c r="W120" s="51" t="str">
        <f t="shared" ref="W120:W167" ca="1" si="57">IFERROR(153.73/(S120^1.7/Q120),"")</f>
        <v/>
      </c>
      <c r="X120" s="88" t="str">
        <f ca="1">IF(R120="","",DATE(INDEX(OFFSET(Arb!$C$2,,,Arb!$AJ$5,),R120),INDEX(OFFSET(Arb!$B$2,,,Arb!$AJ$5,),R120),INDEX(OFFSET(Arb!$A$2,,,Arb!$AJ$5,),R120))+ROW()*0.001)</f>
        <v/>
      </c>
      <c r="Y120" s="436">
        <v>95</v>
      </c>
      <c r="AA120" s="52" t="str">
        <f ca="1">IF(Z120="","",INDEX(OFFSET(Arb!$H$2,,,Arb!$AJ$5,),Z120))</f>
        <v/>
      </c>
      <c r="AB120" s="3" t="str">
        <f t="shared" ca="1" si="48"/>
        <v/>
      </c>
      <c r="AC120" s="165" t="str">
        <f ca="1">IF(Z120="","",INDEX(OFFSET(Arb!$X$2,,,Arb!$AJ$5,),Z120)/AA120)</f>
        <v/>
      </c>
      <c r="AD120" s="165" t="str">
        <f ca="1">IF(Z120="","",(INDEX(OFFSET(Arb!$U$2,,,Arb!$AJ$5,),Z120)+INDEX(OFFSET(Arb!$V$2,,,Arb!$AJ$5,),Z120))/AA120)</f>
        <v/>
      </c>
      <c r="AE120" s="51" t="str">
        <f t="shared" ref="AE120:AE167" ca="1" si="58">IFERROR(153.73/(AA120^1.7/Y120),"")</f>
        <v/>
      </c>
      <c r="AF120" s="91" t="str">
        <f ca="1">IF(Z120="","",DATE(INDEX(OFFSET(Arb!$C$2,,,Arb!$AJ$5,),Z120),INDEX(OFFSET(Arb!$B$2,,,Arb!$AJ$5,),Z120),INDEX(OFFSET(Arb!$A$2,,,Arb!$AJ$5,),Z120))+ROW()*0.001)</f>
        <v/>
      </c>
      <c r="AG120" s="442">
        <v>95</v>
      </c>
      <c r="AI120" s="52" t="str">
        <f ca="1">IF(AH120="","",INDEX(OFFSET(Arb!$H$2,,,Arb!$AJ$5,),AH120))</f>
        <v/>
      </c>
      <c r="AJ120" s="3" t="str">
        <f t="shared" ca="1" si="49"/>
        <v/>
      </c>
      <c r="AK120" s="165" t="str">
        <f ca="1">IF(AH120="","",INDEX(OFFSET(Arb!$X$2,,,Arb!$AJ$5,),AH120)/AI120)</f>
        <v/>
      </c>
      <c r="AL120" s="165" t="str">
        <f ca="1">IF(AH120="","",(INDEX(OFFSET(Arb!$U$2,,,Arb!$AJ$5,),AH120)+INDEX(OFFSET(Arb!$V$2,,,Arb!$AJ$5,),AH120))/AI120)</f>
        <v/>
      </c>
      <c r="AM120" s="51" t="str">
        <f t="shared" ref="AM120:AM167" ca="1" si="59">IFERROR(153.73/(AI120^1.7/AG120),"")</f>
        <v/>
      </c>
      <c r="AN120" s="88" t="str">
        <f ca="1">IF(AH120="","",DATE(INDEX(OFFSET(Arb!$C$2,,,Arb!$AJ$5,),AH120),INDEX(OFFSET(Arb!$B$2,,,Arb!$AJ$5,),AH120),INDEX(OFFSET(Arb!$A$2,,,Arb!$AJ$5,),AH120))+ROW()*0.001)</f>
        <v/>
      </c>
      <c r="AO120" s="436">
        <v>95</v>
      </c>
      <c r="AQ120" s="52" t="str">
        <f ca="1">IF(AP120="","",INDEX(OFFSET(Arb!$H$2,,,Arb!$AJ$5,),AP120))</f>
        <v/>
      </c>
      <c r="AR120" s="3" t="str">
        <f t="shared" ca="1" si="50"/>
        <v/>
      </c>
      <c r="AS120" s="165" t="str">
        <f ca="1">IF(AP120="","",INDEX(OFFSET(Arb!$X$2,,,Arb!$AJ$5,),AP120)/AQ120)</f>
        <v/>
      </c>
      <c r="AT120" s="165" t="str">
        <f ca="1">IF(AP120="","",(INDEX(OFFSET(Arb!$U$2,,,Arb!$AJ$5,),AP120)+INDEX(OFFSET(Arb!$V$2,,,Arb!$AJ$5,),AP120))/AQ120)</f>
        <v/>
      </c>
      <c r="AU120" s="51" t="str">
        <f t="shared" ref="AU120:AU167" ca="1" si="60">IFERROR(153.73/(AQ120^1.7/AO120),"")</f>
        <v/>
      </c>
      <c r="AV120" s="91" t="str">
        <f ca="1">IF(AP120="","",DATE(INDEX(OFFSET(Arb!$C$2,,,Arb!$AJ$5,),AP120),INDEX(OFFSET(Arb!$B$2,,,Arb!$AJ$5,),AP120),INDEX(OFFSET(Arb!$A$2,,,Arb!$AJ$5,),AP120))+ROW()*0.001)</f>
        <v/>
      </c>
      <c r="AW120" s="442">
        <v>95</v>
      </c>
      <c r="AY120" s="52" t="str">
        <f ca="1">IF(AX120="","",INDEX(OFFSET(Arb!$H$2,,,Arb!$AJ$5,),AX120))</f>
        <v/>
      </c>
      <c r="AZ120" s="3" t="str">
        <f t="shared" ca="1" si="51"/>
        <v/>
      </c>
      <c r="BA120" s="165" t="str">
        <f ca="1">IF(AX120="","",INDEX(OFFSET(Arb!$X$2,,,Arb!$AJ$5,),AX120)/AY120)</f>
        <v/>
      </c>
      <c r="BB120" s="165" t="str">
        <f ca="1">IF(AX120="","",(INDEX(OFFSET(Arb!$U$2,,,Arb!$AJ$5,),AX120)+INDEX(OFFSET(Arb!$V$2,,,Arb!$AJ$5,),AX120))/AY120)</f>
        <v/>
      </c>
      <c r="BC120" s="51" t="str">
        <f t="shared" ref="BC120:BC167" ca="1" si="61">IFERROR(153.73/(AY120^1.7/AW120),"")</f>
        <v/>
      </c>
      <c r="BD120" s="88" t="str">
        <f ca="1">IF(AX120="","",DATE(INDEX(OFFSET(Arb!$C$2,,,Arb!$AJ$5,),AX120),INDEX(OFFSET(Arb!$B$2,,,Arb!$AJ$5,),AX120),INDEX(OFFSET(Arb!$A$2,,,Arb!$AJ$5,),AX120))+ROW()*0.001)</f>
        <v/>
      </c>
      <c r="BE120" s="436">
        <v>95</v>
      </c>
      <c r="BG120" s="52" t="str">
        <f ca="1">IF(BF120="","",INDEX(OFFSET(Arb!$H$2,,,Arb!$AJ$5,),BF120))</f>
        <v/>
      </c>
      <c r="BH120" s="3" t="str">
        <f t="shared" ca="1" si="52"/>
        <v/>
      </c>
      <c r="BI120" s="165" t="str">
        <f ca="1">IF(BF120="","",INDEX(OFFSET(Arb!$X$2,,,Arb!$AJ$5,),BF120)/BG120)</f>
        <v/>
      </c>
      <c r="BJ120" s="165" t="str">
        <f ca="1">IF(BF120="","",(INDEX(OFFSET(Arb!$U$2,,,Arb!$AJ$5,),BF120)+INDEX(OFFSET(Arb!$V$2,,,Arb!$AJ$5,),BF120))/BG120)</f>
        <v/>
      </c>
      <c r="BK120" s="51" t="str">
        <f t="shared" ref="BK120:BK167" ca="1" si="62">IFERROR(153.73/(BG120^1.7/BE120),"")</f>
        <v/>
      </c>
      <c r="BL120" s="91" t="str">
        <f ca="1">IF(BF120="","",DATE(INDEX(OFFSET(Arb!$C$2,,,Arb!$AJ$5,),BF120),INDEX(OFFSET(Arb!$B$2,,,Arb!$AJ$5,),BF120),INDEX(OFFSET(Arb!$A$2,,,Arb!$AJ$5,),BF120))+ROW()*0.001)</f>
        <v/>
      </c>
      <c r="BM120" s="442">
        <v>95</v>
      </c>
      <c r="BO120" s="52" t="str">
        <f ca="1">IF(BN120="","",INDEX(OFFSET(Arb!$H$2,,,Arb!$AJ$5,),BN120))</f>
        <v/>
      </c>
      <c r="BP120" s="3" t="str">
        <f t="shared" ca="1" si="53"/>
        <v/>
      </c>
      <c r="BQ120" s="165" t="str">
        <f ca="1">IF(BN120="","",INDEX(OFFSET(Arb!$X$2,,,Arb!$AJ$5,),BN120)/BO120)</f>
        <v/>
      </c>
      <c r="BR120" s="165" t="str">
        <f ca="1">IF(BN120="","",(INDEX(OFFSET(Arb!$U$2,,,Arb!$AJ$5,),BN120)+INDEX(OFFSET(Arb!$V$2,,,Arb!$AJ$5,),BN120))/BO120)</f>
        <v/>
      </c>
      <c r="BS120" s="51" t="str">
        <f t="shared" ref="BS120:BS167" ca="1" si="63">IFERROR(153.73/(BO120^1.7/BM120),"")</f>
        <v/>
      </c>
      <c r="BT120" s="88" t="str">
        <f ca="1">IF(BN120="","",DATE(INDEX(OFFSET(Arb!$C$2,,,Arb!$AJ$5,),BN120),INDEX(OFFSET(Arb!$B$2,,,Arb!$AJ$5,),BN120),INDEX(OFFSET(Arb!$A$2,,,Arb!$AJ$5,),BN120))+ROW()*0.001)</f>
        <v/>
      </c>
      <c r="BU120" s="436">
        <v>95</v>
      </c>
      <c r="BW120" s="52" t="str">
        <f ca="1">IF(BV120="","",INDEX(OFFSET(Arb!$H$2,,,Arb!$AJ$5,),BV120))</f>
        <v/>
      </c>
      <c r="BX120" s="3" t="str">
        <f t="shared" ca="1" si="54"/>
        <v/>
      </c>
      <c r="BY120" s="165" t="str">
        <f ca="1">IF(BV120="","",INDEX(OFFSET(Arb!$X$2,,,Arb!$AJ$5,),BV120)/BW120)</f>
        <v/>
      </c>
      <c r="BZ120" s="165" t="str">
        <f ca="1">IF(BV120="","",(INDEX(OFFSET(Arb!$U$2,,,Arb!$AJ$5,),BV120)+INDEX(OFFSET(Arb!$V$2,,,Arb!$AJ$5,),BV120))/BW120)</f>
        <v/>
      </c>
      <c r="CA120" s="51" t="str">
        <f t="shared" ref="CA120:CA167" ca="1" si="64">IFERROR(153.73/(BW120^1.7/BU120),"")</f>
        <v/>
      </c>
      <c r="CB120" s="91" t="str">
        <f ca="1">IF(BV120="","",DATE(INDEX(OFFSET(Arb!$C$2,,,Arb!$AJ$5,),BV120),INDEX(OFFSET(Arb!$B$2,,,Arb!$AJ$5,),BV120),INDEX(OFFSET(Arb!$A$2,,,Arb!$AJ$5,),BV120))+ROW()*0.001)</f>
        <v/>
      </c>
    </row>
    <row r="121" spans="1:80" x14ac:dyDescent="0.25">
      <c r="A121" s="436">
        <v>96</v>
      </c>
      <c r="C121" s="52" t="str">
        <f ca="1">IF(B121="","",INDEX(OFFSET(Arb!$H$2,,,Arb!$AJ$5,),B121))</f>
        <v/>
      </c>
      <c r="D121" s="3" t="str">
        <f t="shared" ca="1" si="45"/>
        <v/>
      </c>
      <c r="E121" s="165" t="str">
        <f ca="1">IF(B121="","",INDEX(OFFSET(Arb!$X$2,,,Arb!$AJ$5,),B121)/C121)</f>
        <v/>
      </c>
      <c r="F121" s="165" t="str">
        <f ca="1">IF(B121="","",(INDEX(OFFSET(Arb!$U$2,,,Arb!$AJ$5,),B121)+INDEX(OFFSET(Arb!$V$2,,,Arb!$AJ$5,),B121))/C121)</f>
        <v/>
      </c>
      <c r="G121" s="51" t="str">
        <f t="shared" ca="1" si="55"/>
        <v/>
      </c>
      <c r="H121" s="355" t="str">
        <f ca="1">IF(B121="","",DATE(INDEX(OFFSET(Arb!$C$2,,,Arb!$AJ$5,),B121),INDEX(OFFSET(Arb!$B$2,,,Arb!$AJ$5,),B121),INDEX(OFFSET(Arb!$A$2,,,Arb!$AJ$5,),B121))+ROW()*0.001)</f>
        <v/>
      </c>
      <c r="I121" s="436">
        <v>96</v>
      </c>
      <c r="K121" s="52" t="str">
        <f ca="1">IF(J121="","",INDEX(OFFSET(Arb!$H$2,,,Arb!$AJ$5,),J121))</f>
        <v/>
      </c>
      <c r="L121" s="3" t="str">
        <f t="shared" ca="1" si="46"/>
        <v/>
      </c>
      <c r="M121" s="165" t="str">
        <f ca="1">IF(J121="","",INDEX(OFFSET(Arb!$X$2,,,Arb!$AJ$5,),J121)/K121)</f>
        <v/>
      </c>
      <c r="N121" s="165" t="str">
        <f ca="1">IF(J121="","",(INDEX(OFFSET(Arb!$U$2,,,Arb!$AJ$5,),J121)+INDEX(OFFSET(Arb!$V$2,,,Arb!$AJ$5,),J121))/K121)</f>
        <v/>
      </c>
      <c r="O121" s="51" t="str">
        <f t="shared" ca="1" si="56"/>
        <v/>
      </c>
      <c r="P121" s="91" t="str">
        <f ca="1">IF(J121="","",DATE(INDEX(OFFSET(Arb!$C$2,,,Arb!$AJ$5,),J121),INDEX(OFFSET(Arb!$B$2,,,Arb!$AJ$5,),J121),INDEX(OFFSET(Arb!$A$2,,,Arb!$AJ$5,),J121))+ROW()*0.001)</f>
        <v/>
      </c>
      <c r="Q121" s="442">
        <v>96</v>
      </c>
      <c r="S121" s="52" t="str">
        <f ca="1">IF(R121="","",INDEX(OFFSET(Arb!$H$2,,,Arb!$AJ$5,),R121))</f>
        <v/>
      </c>
      <c r="T121" s="3" t="str">
        <f t="shared" ca="1" si="47"/>
        <v/>
      </c>
      <c r="U121" s="165" t="str">
        <f ca="1">IF(R121="","",INDEX(OFFSET(Arb!$X$2,,,Arb!$AJ$5,),R121)/S121)</f>
        <v/>
      </c>
      <c r="V121" s="165" t="str">
        <f ca="1">IF(R121="","",(INDEX(OFFSET(Arb!$U$2,,,Arb!$AJ$5,),R121)+INDEX(OFFSET(Arb!$V$2,,,Arb!$AJ$5,),R121))/S121)</f>
        <v/>
      </c>
      <c r="W121" s="51" t="str">
        <f t="shared" ca="1" si="57"/>
        <v/>
      </c>
      <c r="X121" s="88" t="str">
        <f ca="1">IF(R121="","",DATE(INDEX(OFFSET(Arb!$C$2,,,Arb!$AJ$5,),R121),INDEX(OFFSET(Arb!$B$2,,,Arb!$AJ$5,),R121),INDEX(OFFSET(Arb!$A$2,,,Arb!$AJ$5,),R121))+ROW()*0.001)</f>
        <v/>
      </c>
      <c r="Y121" s="436">
        <v>96</v>
      </c>
      <c r="AA121" s="52" t="str">
        <f ca="1">IF(Z121="","",INDEX(OFFSET(Arb!$H$2,,,Arb!$AJ$5,),Z121))</f>
        <v/>
      </c>
      <c r="AB121" s="3" t="str">
        <f t="shared" ca="1" si="48"/>
        <v/>
      </c>
      <c r="AC121" s="165" t="str">
        <f ca="1">IF(Z121="","",INDEX(OFFSET(Arb!$X$2,,,Arb!$AJ$5,),Z121)/AA121)</f>
        <v/>
      </c>
      <c r="AD121" s="165" t="str">
        <f ca="1">IF(Z121="","",(INDEX(OFFSET(Arb!$U$2,,,Arb!$AJ$5,),Z121)+INDEX(OFFSET(Arb!$V$2,,,Arb!$AJ$5,),Z121))/AA121)</f>
        <v/>
      </c>
      <c r="AE121" s="51" t="str">
        <f t="shared" ca="1" si="58"/>
        <v/>
      </c>
      <c r="AF121" s="91" t="str">
        <f ca="1">IF(Z121="","",DATE(INDEX(OFFSET(Arb!$C$2,,,Arb!$AJ$5,),Z121),INDEX(OFFSET(Arb!$B$2,,,Arb!$AJ$5,),Z121),INDEX(OFFSET(Arb!$A$2,,,Arb!$AJ$5,),Z121))+ROW()*0.001)</f>
        <v/>
      </c>
      <c r="AG121" s="442">
        <v>96</v>
      </c>
      <c r="AI121" s="52" t="str">
        <f ca="1">IF(AH121="","",INDEX(OFFSET(Arb!$H$2,,,Arb!$AJ$5,),AH121))</f>
        <v/>
      </c>
      <c r="AJ121" s="3" t="str">
        <f t="shared" ca="1" si="49"/>
        <v/>
      </c>
      <c r="AK121" s="165" t="str">
        <f ca="1">IF(AH121="","",INDEX(OFFSET(Arb!$X$2,,,Arb!$AJ$5,),AH121)/AI121)</f>
        <v/>
      </c>
      <c r="AL121" s="165" t="str">
        <f ca="1">IF(AH121="","",(INDEX(OFFSET(Arb!$U$2,,,Arb!$AJ$5,),AH121)+INDEX(OFFSET(Arb!$V$2,,,Arb!$AJ$5,),AH121))/AI121)</f>
        <v/>
      </c>
      <c r="AM121" s="51" t="str">
        <f t="shared" ca="1" si="59"/>
        <v/>
      </c>
      <c r="AN121" s="88" t="str">
        <f ca="1">IF(AH121="","",DATE(INDEX(OFFSET(Arb!$C$2,,,Arb!$AJ$5,),AH121),INDEX(OFFSET(Arb!$B$2,,,Arb!$AJ$5,),AH121),INDEX(OFFSET(Arb!$A$2,,,Arb!$AJ$5,),AH121))+ROW()*0.001)</f>
        <v/>
      </c>
      <c r="AO121" s="436">
        <v>96</v>
      </c>
      <c r="AQ121" s="52" t="str">
        <f ca="1">IF(AP121="","",INDEX(OFFSET(Arb!$H$2,,,Arb!$AJ$5,),AP121))</f>
        <v/>
      </c>
      <c r="AR121" s="3" t="str">
        <f t="shared" ca="1" si="50"/>
        <v/>
      </c>
      <c r="AS121" s="165" t="str">
        <f ca="1">IF(AP121="","",INDEX(OFFSET(Arb!$X$2,,,Arb!$AJ$5,),AP121)/AQ121)</f>
        <v/>
      </c>
      <c r="AT121" s="165" t="str">
        <f ca="1">IF(AP121="","",(INDEX(OFFSET(Arb!$U$2,,,Arb!$AJ$5,),AP121)+INDEX(OFFSET(Arb!$V$2,,,Arb!$AJ$5,),AP121))/AQ121)</f>
        <v/>
      </c>
      <c r="AU121" s="51" t="str">
        <f t="shared" ca="1" si="60"/>
        <v/>
      </c>
      <c r="AV121" s="91" t="str">
        <f ca="1">IF(AP121="","",DATE(INDEX(OFFSET(Arb!$C$2,,,Arb!$AJ$5,),AP121),INDEX(OFFSET(Arb!$B$2,,,Arb!$AJ$5,),AP121),INDEX(OFFSET(Arb!$A$2,,,Arb!$AJ$5,),AP121))+ROW()*0.001)</f>
        <v/>
      </c>
      <c r="AW121" s="442">
        <v>96</v>
      </c>
      <c r="AY121" s="52" t="str">
        <f ca="1">IF(AX121="","",INDEX(OFFSET(Arb!$H$2,,,Arb!$AJ$5,),AX121))</f>
        <v/>
      </c>
      <c r="AZ121" s="3" t="str">
        <f t="shared" ca="1" si="51"/>
        <v/>
      </c>
      <c r="BA121" s="165" t="str">
        <f ca="1">IF(AX121="","",INDEX(OFFSET(Arb!$X$2,,,Arb!$AJ$5,),AX121)/AY121)</f>
        <v/>
      </c>
      <c r="BB121" s="165" t="str">
        <f ca="1">IF(AX121="","",(INDEX(OFFSET(Arb!$U$2,,,Arb!$AJ$5,),AX121)+INDEX(OFFSET(Arb!$V$2,,,Arb!$AJ$5,),AX121))/AY121)</f>
        <v/>
      </c>
      <c r="BC121" s="51" t="str">
        <f t="shared" ca="1" si="61"/>
        <v/>
      </c>
      <c r="BD121" s="88" t="str">
        <f ca="1">IF(AX121="","",DATE(INDEX(OFFSET(Arb!$C$2,,,Arb!$AJ$5,),AX121),INDEX(OFFSET(Arb!$B$2,,,Arb!$AJ$5,),AX121),INDEX(OFFSET(Arb!$A$2,,,Arb!$AJ$5,),AX121))+ROW()*0.001)</f>
        <v/>
      </c>
      <c r="BE121" s="436">
        <v>96</v>
      </c>
      <c r="BG121" s="52" t="str">
        <f ca="1">IF(BF121="","",INDEX(OFFSET(Arb!$H$2,,,Arb!$AJ$5,),BF121))</f>
        <v/>
      </c>
      <c r="BH121" s="3" t="str">
        <f t="shared" ca="1" si="52"/>
        <v/>
      </c>
      <c r="BI121" s="165" t="str">
        <f ca="1">IF(BF121="","",INDEX(OFFSET(Arb!$X$2,,,Arb!$AJ$5,),BF121)/BG121)</f>
        <v/>
      </c>
      <c r="BJ121" s="165" t="str">
        <f ca="1">IF(BF121="","",(INDEX(OFFSET(Arb!$U$2,,,Arb!$AJ$5,),BF121)+INDEX(OFFSET(Arb!$V$2,,,Arb!$AJ$5,),BF121))/BG121)</f>
        <v/>
      </c>
      <c r="BK121" s="51" t="str">
        <f t="shared" ca="1" si="62"/>
        <v/>
      </c>
      <c r="BL121" s="91" t="str">
        <f ca="1">IF(BF121="","",DATE(INDEX(OFFSET(Arb!$C$2,,,Arb!$AJ$5,),BF121),INDEX(OFFSET(Arb!$B$2,,,Arb!$AJ$5,),BF121),INDEX(OFFSET(Arb!$A$2,,,Arb!$AJ$5,),BF121))+ROW()*0.001)</f>
        <v/>
      </c>
      <c r="BM121" s="442">
        <v>96</v>
      </c>
      <c r="BO121" s="52" t="str">
        <f ca="1">IF(BN121="","",INDEX(OFFSET(Arb!$H$2,,,Arb!$AJ$5,),BN121))</f>
        <v/>
      </c>
      <c r="BP121" s="3" t="str">
        <f t="shared" ca="1" si="53"/>
        <v/>
      </c>
      <c r="BQ121" s="165" t="str">
        <f ca="1">IF(BN121="","",INDEX(OFFSET(Arb!$X$2,,,Arb!$AJ$5,),BN121)/BO121)</f>
        <v/>
      </c>
      <c r="BR121" s="165" t="str">
        <f ca="1">IF(BN121="","",(INDEX(OFFSET(Arb!$U$2,,,Arb!$AJ$5,),BN121)+INDEX(OFFSET(Arb!$V$2,,,Arb!$AJ$5,),BN121))/BO121)</f>
        <v/>
      </c>
      <c r="BS121" s="51" t="str">
        <f t="shared" ca="1" si="63"/>
        <v/>
      </c>
      <c r="BT121" s="88" t="str">
        <f ca="1">IF(BN121="","",DATE(INDEX(OFFSET(Arb!$C$2,,,Arb!$AJ$5,),BN121),INDEX(OFFSET(Arb!$B$2,,,Arb!$AJ$5,),BN121),INDEX(OFFSET(Arb!$A$2,,,Arb!$AJ$5,),BN121))+ROW()*0.001)</f>
        <v/>
      </c>
      <c r="BU121" s="436">
        <v>96</v>
      </c>
      <c r="BW121" s="52" t="str">
        <f ca="1">IF(BV121="","",INDEX(OFFSET(Arb!$H$2,,,Arb!$AJ$5,),BV121))</f>
        <v/>
      </c>
      <c r="BX121" s="3" t="str">
        <f t="shared" ca="1" si="54"/>
        <v/>
      </c>
      <c r="BY121" s="165" t="str">
        <f ca="1">IF(BV121="","",INDEX(OFFSET(Arb!$X$2,,,Arb!$AJ$5,),BV121)/BW121)</f>
        <v/>
      </c>
      <c r="BZ121" s="165" t="str">
        <f ca="1">IF(BV121="","",(INDEX(OFFSET(Arb!$U$2,,,Arb!$AJ$5,),BV121)+INDEX(OFFSET(Arb!$V$2,,,Arb!$AJ$5,),BV121))/BW121)</f>
        <v/>
      </c>
      <c r="CA121" s="51" t="str">
        <f t="shared" ca="1" si="64"/>
        <v/>
      </c>
      <c r="CB121" s="91" t="str">
        <f ca="1">IF(BV121="","",DATE(INDEX(OFFSET(Arb!$C$2,,,Arb!$AJ$5,),BV121),INDEX(OFFSET(Arb!$B$2,,,Arb!$AJ$5,),BV121),INDEX(OFFSET(Arb!$A$2,,,Arb!$AJ$5,),BV121))+ROW()*0.001)</f>
        <v/>
      </c>
    </row>
    <row r="122" spans="1:80" x14ac:dyDescent="0.25">
      <c r="A122" s="436">
        <v>97</v>
      </c>
      <c r="B122" s="1">
        <v>2247</v>
      </c>
      <c r="C122" s="52">
        <f ca="1">IF(B122="","",INDEX(OFFSET(Arb!$H$2,,,Arb!$AJ$5,),B122))</f>
        <v>27.97</v>
      </c>
      <c r="D122" s="3">
        <f t="shared" ca="1" si="45"/>
        <v>3.4680014301036826</v>
      </c>
      <c r="E122" s="165">
        <f ca="1">IF(B122="","",INDEX(OFFSET(Arb!$X$2,,,Arb!$AJ$5,),B122)/C122)</f>
        <v>3.8255273507329282</v>
      </c>
      <c r="F122" s="165">
        <f ca="1">IF(B122="","",(INDEX(OFFSET(Arb!$U$2,,,Arb!$AJ$5,),B122)+INDEX(OFFSET(Arb!$V$2,,,Arb!$AJ$5,),B122))/C122)</f>
        <v>4.1115480872363248</v>
      </c>
      <c r="G122" s="51">
        <f t="shared" ca="1" si="55"/>
        <v>51.778941567600796</v>
      </c>
      <c r="H122" s="355">
        <f ca="1">IF(B122="","",DATE(INDEX(OFFSET(Arb!$C$2,,,Arb!$AJ$5,),B122),INDEX(OFFSET(Arb!$B$2,,,Arb!$AJ$5,),B122),INDEX(OFFSET(Arb!$A$2,,,Arb!$AJ$5,),B122))+ROW()*0.001)</f>
        <v>43892.122000000003</v>
      </c>
      <c r="I122" s="436">
        <v>97</v>
      </c>
      <c r="J122" s="1">
        <v>1962</v>
      </c>
      <c r="K122" s="52">
        <f ca="1">IF(J122="","",INDEX(OFFSET(Arb!$H$2,,,Arb!$AJ$5,),J122))</f>
        <v>31.46</v>
      </c>
      <c r="L122" s="3">
        <f t="shared" ca="1" si="46"/>
        <v>3.0832803560076285</v>
      </c>
      <c r="M122" s="165">
        <f ca="1">IF(J122="","",INDEX(OFFSET(Arb!$X$2,,,Arb!$AJ$5,),J122)/K122)</f>
        <v>3.4965034965034962</v>
      </c>
      <c r="N122" s="165">
        <f ca="1">IF(J122="","",(INDEX(OFFSET(Arb!$U$2,,,Arb!$AJ$5,),J122)+INDEX(OFFSET(Arb!$V$2,,,Arb!$AJ$5,),J122))/K122)</f>
        <v>3.909726636999364</v>
      </c>
      <c r="O122" s="51">
        <f t="shared" ca="1" si="56"/>
        <v>42.397528458112447</v>
      </c>
      <c r="P122" s="91">
        <f ca="1">IF(J122="","",DATE(INDEX(OFFSET(Arb!$C$2,,,Arb!$AJ$5,),J122),INDEX(OFFSET(Arb!$B$2,,,Arb!$AJ$5,),J122),INDEX(OFFSET(Arb!$A$2,,,Arb!$AJ$5,),J122))+ROW()*0.001)</f>
        <v>43779.122000000003</v>
      </c>
      <c r="Q122" s="442">
        <v>97</v>
      </c>
      <c r="S122" s="52" t="str">
        <f ca="1">IF(R122="","",INDEX(OFFSET(Arb!$H$2,,,Arb!$AJ$5,),R122))</f>
        <v/>
      </c>
      <c r="T122" s="3" t="str">
        <f t="shared" ca="1" si="47"/>
        <v/>
      </c>
      <c r="U122" s="165" t="str">
        <f ca="1">IF(R122="","",INDEX(OFFSET(Arb!$X$2,,,Arb!$AJ$5,),R122)/S122)</f>
        <v/>
      </c>
      <c r="V122" s="165" t="str">
        <f ca="1">IF(R122="","",(INDEX(OFFSET(Arb!$U$2,,,Arb!$AJ$5,),R122)+INDEX(OFFSET(Arb!$V$2,,,Arb!$AJ$5,),R122))/S122)</f>
        <v/>
      </c>
      <c r="W122" s="51" t="str">
        <f t="shared" ca="1" si="57"/>
        <v/>
      </c>
      <c r="X122" s="88" t="str">
        <f ca="1">IF(R122="","",DATE(INDEX(OFFSET(Arb!$C$2,,,Arb!$AJ$5,),R122),INDEX(OFFSET(Arb!$B$2,,,Arb!$AJ$5,),R122),INDEX(OFFSET(Arb!$A$2,,,Arb!$AJ$5,),R122))+ROW()*0.001)</f>
        <v/>
      </c>
      <c r="Y122" s="436">
        <v>97</v>
      </c>
      <c r="AA122" s="52" t="str">
        <f ca="1">IF(Z122="","",INDEX(OFFSET(Arb!$H$2,,,Arb!$AJ$5,),Z122))</f>
        <v/>
      </c>
      <c r="AB122" s="3" t="str">
        <f t="shared" ca="1" si="48"/>
        <v/>
      </c>
      <c r="AC122" s="165" t="str">
        <f ca="1">IF(Z122="","",INDEX(OFFSET(Arb!$X$2,,,Arb!$AJ$5,),Z122)/AA122)</f>
        <v/>
      </c>
      <c r="AD122" s="165" t="str">
        <f ca="1">IF(Z122="","",(INDEX(OFFSET(Arb!$U$2,,,Arb!$AJ$5,),Z122)+INDEX(OFFSET(Arb!$V$2,,,Arb!$AJ$5,),Z122))/AA122)</f>
        <v/>
      </c>
      <c r="AE122" s="51" t="str">
        <f t="shared" ca="1" si="58"/>
        <v/>
      </c>
      <c r="AF122" s="91" t="str">
        <f ca="1">IF(Z122="","",DATE(INDEX(OFFSET(Arb!$C$2,,,Arb!$AJ$5,),Z122),INDEX(OFFSET(Arb!$B$2,,,Arb!$AJ$5,),Z122),INDEX(OFFSET(Arb!$A$2,,,Arb!$AJ$5,),Z122))+ROW()*0.001)</f>
        <v/>
      </c>
      <c r="AG122" s="442">
        <v>97</v>
      </c>
      <c r="AI122" s="52" t="str">
        <f ca="1">IF(AH122="","",INDEX(OFFSET(Arb!$H$2,,,Arb!$AJ$5,),AH122))</f>
        <v/>
      </c>
      <c r="AJ122" s="3" t="str">
        <f t="shared" ca="1" si="49"/>
        <v/>
      </c>
      <c r="AK122" s="165" t="str">
        <f ca="1">IF(AH122="","",INDEX(OFFSET(Arb!$X$2,,,Arb!$AJ$5,),AH122)/AI122)</f>
        <v/>
      </c>
      <c r="AL122" s="165" t="str">
        <f ca="1">IF(AH122="","",(INDEX(OFFSET(Arb!$U$2,,,Arb!$AJ$5,),AH122)+INDEX(OFFSET(Arb!$V$2,,,Arb!$AJ$5,),AH122))/AI122)</f>
        <v/>
      </c>
      <c r="AM122" s="51" t="str">
        <f t="shared" ca="1" si="59"/>
        <v/>
      </c>
      <c r="AN122" s="88" t="str">
        <f ca="1">IF(AH122="","",DATE(INDEX(OFFSET(Arb!$C$2,,,Arb!$AJ$5,),AH122),INDEX(OFFSET(Arb!$B$2,,,Arb!$AJ$5,),AH122),INDEX(OFFSET(Arb!$A$2,,,Arb!$AJ$5,),AH122))+ROW()*0.001)</f>
        <v/>
      </c>
      <c r="AO122" s="436">
        <v>97</v>
      </c>
      <c r="AQ122" s="52" t="str">
        <f ca="1">IF(AP122="","",INDEX(OFFSET(Arb!$H$2,,,Arb!$AJ$5,),AP122))</f>
        <v/>
      </c>
      <c r="AR122" s="3" t="str">
        <f t="shared" ca="1" si="50"/>
        <v/>
      </c>
      <c r="AS122" s="165" t="str">
        <f ca="1">IF(AP122="","",INDEX(OFFSET(Arb!$X$2,,,Arb!$AJ$5,),AP122)/AQ122)</f>
        <v/>
      </c>
      <c r="AT122" s="165" t="str">
        <f ca="1">IF(AP122="","",(INDEX(OFFSET(Arb!$U$2,,,Arb!$AJ$5,),AP122)+INDEX(OFFSET(Arb!$V$2,,,Arb!$AJ$5,),AP122))/AQ122)</f>
        <v/>
      </c>
      <c r="AU122" s="51" t="str">
        <f t="shared" ca="1" si="60"/>
        <v/>
      </c>
      <c r="AV122" s="91" t="str">
        <f ca="1">IF(AP122="","",DATE(INDEX(OFFSET(Arb!$C$2,,,Arb!$AJ$5,),AP122),INDEX(OFFSET(Arb!$B$2,,,Arb!$AJ$5,),AP122),INDEX(OFFSET(Arb!$A$2,,,Arb!$AJ$5,),AP122))+ROW()*0.001)</f>
        <v/>
      </c>
      <c r="AW122" s="442">
        <v>97</v>
      </c>
      <c r="AY122" s="52" t="str">
        <f ca="1">IF(AX122="","",INDEX(OFFSET(Arb!$H$2,,,Arb!$AJ$5,),AX122))</f>
        <v/>
      </c>
      <c r="AZ122" s="3" t="str">
        <f t="shared" ca="1" si="51"/>
        <v/>
      </c>
      <c r="BA122" s="165" t="str">
        <f ca="1">IF(AX122="","",INDEX(OFFSET(Arb!$X$2,,,Arb!$AJ$5,),AX122)/AY122)</f>
        <v/>
      </c>
      <c r="BB122" s="165" t="str">
        <f ca="1">IF(AX122="","",(INDEX(OFFSET(Arb!$U$2,,,Arb!$AJ$5,),AX122)+INDEX(OFFSET(Arb!$V$2,,,Arb!$AJ$5,),AX122))/AY122)</f>
        <v/>
      </c>
      <c r="BC122" s="51" t="str">
        <f t="shared" ca="1" si="61"/>
        <v/>
      </c>
      <c r="BD122" s="88" t="str">
        <f ca="1">IF(AX122="","",DATE(INDEX(OFFSET(Arb!$C$2,,,Arb!$AJ$5,),AX122),INDEX(OFFSET(Arb!$B$2,,,Arb!$AJ$5,),AX122),INDEX(OFFSET(Arb!$A$2,,,Arb!$AJ$5,),AX122))+ROW()*0.001)</f>
        <v/>
      </c>
      <c r="BE122" s="436">
        <v>97</v>
      </c>
      <c r="BG122" s="52" t="str">
        <f ca="1">IF(BF122="","",INDEX(OFFSET(Arb!$H$2,,,Arb!$AJ$5,),BF122))</f>
        <v/>
      </c>
      <c r="BH122" s="3" t="str">
        <f t="shared" ca="1" si="52"/>
        <v/>
      </c>
      <c r="BI122" s="165" t="str">
        <f ca="1">IF(BF122="","",INDEX(OFFSET(Arb!$X$2,,,Arb!$AJ$5,),BF122)/BG122)</f>
        <v/>
      </c>
      <c r="BJ122" s="165" t="str">
        <f ca="1">IF(BF122="","",(INDEX(OFFSET(Arb!$U$2,,,Arb!$AJ$5,),BF122)+INDEX(OFFSET(Arb!$V$2,,,Arb!$AJ$5,),BF122))/BG122)</f>
        <v/>
      </c>
      <c r="BK122" s="51" t="str">
        <f t="shared" ca="1" si="62"/>
        <v/>
      </c>
      <c r="BL122" s="91" t="str">
        <f ca="1">IF(BF122="","",DATE(INDEX(OFFSET(Arb!$C$2,,,Arb!$AJ$5,),BF122),INDEX(OFFSET(Arb!$B$2,,,Arb!$AJ$5,),BF122),INDEX(OFFSET(Arb!$A$2,,,Arb!$AJ$5,),BF122))+ROW()*0.001)</f>
        <v/>
      </c>
      <c r="BM122" s="442">
        <v>97</v>
      </c>
      <c r="BO122" s="52" t="str">
        <f ca="1">IF(BN122="","",INDEX(OFFSET(Arb!$H$2,,,Arb!$AJ$5,),BN122))</f>
        <v/>
      </c>
      <c r="BP122" s="3" t="str">
        <f t="shared" ca="1" si="53"/>
        <v/>
      </c>
      <c r="BQ122" s="165" t="str">
        <f ca="1">IF(BN122="","",INDEX(OFFSET(Arb!$X$2,,,Arb!$AJ$5,),BN122)/BO122)</f>
        <v/>
      </c>
      <c r="BR122" s="165" t="str">
        <f ca="1">IF(BN122="","",(INDEX(OFFSET(Arb!$U$2,,,Arb!$AJ$5,),BN122)+INDEX(OFFSET(Arb!$V$2,,,Arb!$AJ$5,),BN122))/BO122)</f>
        <v/>
      </c>
      <c r="BS122" s="51" t="str">
        <f t="shared" ca="1" si="63"/>
        <v/>
      </c>
      <c r="BT122" s="88" t="str">
        <f ca="1">IF(BN122="","",DATE(INDEX(OFFSET(Arb!$C$2,,,Arb!$AJ$5,),BN122),INDEX(OFFSET(Arb!$B$2,,,Arb!$AJ$5,),BN122),INDEX(OFFSET(Arb!$A$2,,,Arb!$AJ$5,),BN122))+ROW()*0.001)</f>
        <v/>
      </c>
      <c r="BU122" s="436">
        <v>97</v>
      </c>
      <c r="BW122" s="52" t="str">
        <f ca="1">IF(BV122="","",INDEX(OFFSET(Arb!$H$2,,,Arb!$AJ$5,),BV122))</f>
        <v/>
      </c>
      <c r="BX122" s="3" t="str">
        <f t="shared" ca="1" si="54"/>
        <v/>
      </c>
      <c r="BY122" s="165" t="str">
        <f ca="1">IF(BV122="","",INDEX(OFFSET(Arb!$X$2,,,Arb!$AJ$5,),BV122)/BW122)</f>
        <v/>
      </c>
      <c r="BZ122" s="165" t="str">
        <f ca="1">IF(BV122="","",(INDEX(OFFSET(Arb!$U$2,,,Arb!$AJ$5,),BV122)+INDEX(OFFSET(Arb!$V$2,,,Arb!$AJ$5,),BV122))/BW122)</f>
        <v/>
      </c>
      <c r="CA122" s="51" t="str">
        <f t="shared" ca="1" si="64"/>
        <v/>
      </c>
      <c r="CB122" s="91" t="str">
        <f ca="1">IF(BV122="","",DATE(INDEX(OFFSET(Arb!$C$2,,,Arb!$AJ$5,),BV122),INDEX(OFFSET(Arb!$B$2,,,Arb!$AJ$5,),BV122),INDEX(OFFSET(Arb!$A$2,,,Arb!$AJ$5,),BV122))+ROW()*0.001)</f>
        <v/>
      </c>
    </row>
    <row r="123" spans="1:80" x14ac:dyDescent="0.25">
      <c r="A123" s="436">
        <v>98</v>
      </c>
      <c r="C123" s="52" t="str">
        <f ca="1">IF(B123="","",INDEX(OFFSET(Arb!$H$2,,,Arb!$AJ$5,),B123))</f>
        <v/>
      </c>
      <c r="D123" s="3" t="str">
        <f t="shared" ca="1" si="45"/>
        <v/>
      </c>
      <c r="E123" s="165" t="str">
        <f ca="1">IF(B123="","",INDEX(OFFSET(Arb!$X$2,,,Arb!$AJ$5,),B123)/C123)</f>
        <v/>
      </c>
      <c r="F123" s="165" t="str">
        <f ca="1">IF(B123="","",(INDEX(OFFSET(Arb!$U$2,,,Arb!$AJ$5,),B123)+INDEX(OFFSET(Arb!$V$2,,,Arb!$AJ$5,),B123))/C123)</f>
        <v/>
      </c>
      <c r="G123" s="51" t="str">
        <f t="shared" ca="1" si="55"/>
        <v/>
      </c>
      <c r="H123" s="355" t="str">
        <f ca="1">IF(B123="","",DATE(INDEX(OFFSET(Arb!$C$2,,,Arb!$AJ$5,),B123),INDEX(OFFSET(Arb!$B$2,,,Arb!$AJ$5,),B123),INDEX(OFFSET(Arb!$A$2,,,Arb!$AJ$5,),B123))+ROW()*0.001)</f>
        <v/>
      </c>
      <c r="I123" s="436">
        <v>98</v>
      </c>
      <c r="K123" s="52" t="str">
        <f ca="1">IF(J123="","",INDEX(OFFSET(Arb!$H$2,,,Arb!$AJ$5,),J123))</f>
        <v/>
      </c>
      <c r="L123" s="3" t="str">
        <f t="shared" ca="1" si="46"/>
        <v/>
      </c>
      <c r="M123" s="165" t="str">
        <f ca="1">IF(J123="","",INDEX(OFFSET(Arb!$X$2,,,Arb!$AJ$5,),J123)/K123)</f>
        <v/>
      </c>
      <c r="N123" s="165" t="str">
        <f ca="1">IF(J123="","",(INDEX(OFFSET(Arb!$U$2,,,Arb!$AJ$5,),J123)+INDEX(OFFSET(Arb!$V$2,,,Arb!$AJ$5,),J123))/K123)</f>
        <v/>
      </c>
      <c r="O123" s="51" t="str">
        <f t="shared" ca="1" si="56"/>
        <v/>
      </c>
      <c r="P123" s="91" t="str">
        <f ca="1">IF(J123="","",DATE(INDEX(OFFSET(Arb!$C$2,,,Arb!$AJ$5,),J123),INDEX(OFFSET(Arb!$B$2,,,Arb!$AJ$5,),J123),INDEX(OFFSET(Arb!$A$2,,,Arb!$AJ$5,),J123))+ROW()*0.001)</f>
        <v/>
      </c>
      <c r="Q123" s="442">
        <v>98</v>
      </c>
      <c r="S123" s="52" t="str">
        <f ca="1">IF(R123="","",INDEX(OFFSET(Arb!$H$2,,,Arb!$AJ$5,),R123))</f>
        <v/>
      </c>
      <c r="T123" s="3" t="str">
        <f t="shared" ca="1" si="47"/>
        <v/>
      </c>
      <c r="U123" s="165" t="str">
        <f ca="1">IF(R123="","",INDEX(OFFSET(Arb!$X$2,,,Arb!$AJ$5,),R123)/S123)</f>
        <v/>
      </c>
      <c r="V123" s="165" t="str">
        <f ca="1">IF(R123="","",(INDEX(OFFSET(Arb!$U$2,,,Arb!$AJ$5,),R123)+INDEX(OFFSET(Arb!$V$2,,,Arb!$AJ$5,),R123))/S123)</f>
        <v/>
      </c>
      <c r="W123" s="51" t="str">
        <f t="shared" ca="1" si="57"/>
        <v/>
      </c>
      <c r="X123" s="88" t="str">
        <f ca="1">IF(R123="","",DATE(INDEX(OFFSET(Arb!$C$2,,,Arb!$AJ$5,),R123),INDEX(OFFSET(Arb!$B$2,,,Arb!$AJ$5,),R123),INDEX(OFFSET(Arb!$A$2,,,Arb!$AJ$5,),R123))+ROW()*0.001)</f>
        <v/>
      </c>
      <c r="Y123" s="436">
        <v>98</v>
      </c>
      <c r="AA123" s="52" t="str">
        <f ca="1">IF(Z123="","",INDEX(OFFSET(Arb!$H$2,,,Arb!$AJ$5,),Z123))</f>
        <v/>
      </c>
      <c r="AB123" s="3" t="str">
        <f t="shared" ca="1" si="48"/>
        <v/>
      </c>
      <c r="AC123" s="165" t="str">
        <f ca="1">IF(Z123="","",INDEX(OFFSET(Arb!$X$2,,,Arb!$AJ$5,),Z123)/AA123)</f>
        <v/>
      </c>
      <c r="AD123" s="165" t="str">
        <f ca="1">IF(Z123="","",(INDEX(OFFSET(Arb!$U$2,,,Arb!$AJ$5,),Z123)+INDEX(OFFSET(Arb!$V$2,,,Arb!$AJ$5,),Z123))/AA123)</f>
        <v/>
      </c>
      <c r="AE123" s="51" t="str">
        <f t="shared" ca="1" si="58"/>
        <v/>
      </c>
      <c r="AF123" s="91" t="str">
        <f ca="1">IF(Z123="","",DATE(INDEX(OFFSET(Arb!$C$2,,,Arb!$AJ$5,),Z123),INDEX(OFFSET(Arb!$B$2,,,Arb!$AJ$5,),Z123),INDEX(OFFSET(Arb!$A$2,,,Arb!$AJ$5,),Z123))+ROW()*0.001)</f>
        <v/>
      </c>
      <c r="AG123" s="442">
        <v>98</v>
      </c>
      <c r="AI123" s="52" t="str">
        <f ca="1">IF(AH123="","",INDEX(OFFSET(Arb!$H$2,,,Arb!$AJ$5,),AH123))</f>
        <v/>
      </c>
      <c r="AJ123" s="3" t="str">
        <f t="shared" ca="1" si="49"/>
        <v/>
      </c>
      <c r="AK123" s="165" t="str">
        <f ca="1">IF(AH123="","",INDEX(OFFSET(Arb!$X$2,,,Arb!$AJ$5,),AH123)/AI123)</f>
        <v/>
      </c>
      <c r="AL123" s="165" t="str">
        <f ca="1">IF(AH123="","",(INDEX(OFFSET(Arb!$U$2,,,Arb!$AJ$5,),AH123)+INDEX(OFFSET(Arb!$V$2,,,Arb!$AJ$5,),AH123))/AI123)</f>
        <v/>
      </c>
      <c r="AM123" s="51" t="str">
        <f t="shared" ca="1" si="59"/>
        <v/>
      </c>
      <c r="AN123" s="88" t="str">
        <f ca="1">IF(AH123="","",DATE(INDEX(OFFSET(Arb!$C$2,,,Arb!$AJ$5,),AH123),INDEX(OFFSET(Arb!$B$2,,,Arb!$AJ$5,),AH123),INDEX(OFFSET(Arb!$A$2,,,Arb!$AJ$5,),AH123))+ROW()*0.001)</f>
        <v/>
      </c>
      <c r="AO123" s="436">
        <v>98</v>
      </c>
      <c r="AQ123" s="52" t="str">
        <f ca="1">IF(AP123="","",INDEX(OFFSET(Arb!$H$2,,,Arb!$AJ$5,),AP123))</f>
        <v/>
      </c>
      <c r="AR123" s="3" t="str">
        <f t="shared" ca="1" si="50"/>
        <v/>
      </c>
      <c r="AS123" s="165" t="str">
        <f ca="1">IF(AP123="","",INDEX(OFFSET(Arb!$X$2,,,Arb!$AJ$5,),AP123)/AQ123)</f>
        <v/>
      </c>
      <c r="AT123" s="165" t="str">
        <f ca="1">IF(AP123="","",(INDEX(OFFSET(Arb!$U$2,,,Arb!$AJ$5,),AP123)+INDEX(OFFSET(Arb!$V$2,,,Arb!$AJ$5,),AP123))/AQ123)</f>
        <v/>
      </c>
      <c r="AU123" s="51" t="str">
        <f t="shared" ca="1" si="60"/>
        <v/>
      </c>
      <c r="AV123" s="91" t="str">
        <f ca="1">IF(AP123="","",DATE(INDEX(OFFSET(Arb!$C$2,,,Arb!$AJ$5,),AP123),INDEX(OFFSET(Arb!$B$2,,,Arb!$AJ$5,),AP123),INDEX(OFFSET(Arb!$A$2,,,Arb!$AJ$5,),AP123))+ROW()*0.001)</f>
        <v/>
      </c>
      <c r="AW123" s="442">
        <v>98</v>
      </c>
      <c r="AY123" s="52" t="str">
        <f ca="1">IF(AX123="","",INDEX(OFFSET(Arb!$H$2,,,Arb!$AJ$5,),AX123))</f>
        <v/>
      </c>
      <c r="AZ123" s="3" t="str">
        <f t="shared" ca="1" si="51"/>
        <v/>
      </c>
      <c r="BA123" s="165" t="str">
        <f ca="1">IF(AX123="","",INDEX(OFFSET(Arb!$X$2,,,Arb!$AJ$5,),AX123)/AY123)</f>
        <v/>
      </c>
      <c r="BB123" s="165" t="str">
        <f ca="1">IF(AX123="","",(INDEX(OFFSET(Arb!$U$2,,,Arb!$AJ$5,),AX123)+INDEX(OFFSET(Arb!$V$2,,,Arb!$AJ$5,),AX123))/AY123)</f>
        <v/>
      </c>
      <c r="BC123" s="51" t="str">
        <f t="shared" ca="1" si="61"/>
        <v/>
      </c>
      <c r="BD123" s="88" t="str">
        <f ca="1">IF(AX123="","",DATE(INDEX(OFFSET(Arb!$C$2,,,Arb!$AJ$5,),AX123),INDEX(OFFSET(Arb!$B$2,,,Arb!$AJ$5,),AX123),INDEX(OFFSET(Arb!$A$2,,,Arb!$AJ$5,),AX123))+ROW()*0.001)</f>
        <v/>
      </c>
      <c r="BE123" s="436">
        <v>98</v>
      </c>
      <c r="BG123" s="52" t="str">
        <f ca="1">IF(BF123="","",INDEX(OFFSET(Arb!$H$2,,,Arb!$AJ$5,),BF123))</f>
        <v/>
      </c>
      <c r="BH123" s="3" t="str">
        <f t="shared" ca="1" si="52"/>
        <v/>
      </c>
      <c r="BI123" s="165" t="str">
        <f ca="1">IF(BF123="","",INDEX(OFFSET(Arb!$X$2,,,Arb!$AJ$5,),BF123)/BG123)</f>
        <v/>
      </c>
      <c r="BJ123" s="165" t="str">
        <f ca="1">IF(BF123="","",(INDEX(OFFSET(Arb!$U$2,,,Arb!$AJ$5,),BF123)+INDEX(OFFSET(Arb!$V$2,,,Arb!$AJ$5,),BF123))/BG123)</f>
        <v/>
      </c>
      <c r="BK123" s="51" t="str">
        <f t="shared" ca="1" si="62"/>
        <v/>
      </c>
      <c r="BL123" s="91" t="str">
        <f ca="1">IF(BF123="","",DATE(INDEX(OFFSET(Arb!$C$2,,,Arb!$AJ$5,),BF123),INDEX(OFFSET(Arb!$B$2,,,Arb!$AJ$5,),BF123),INDEX(OFFSET(Arb!$A$2,,,Arb!$AJ$5,),BF123))+ROW()*0.001)</f>
        <v/>
      </c>
      <c r="BM123" s="442">
        <v>98</v>
      </c>
      <c r="BO123" s="52" t="str">
        <f ca="1">IF(BN123="","",INDEX(OFFSET(Arb!$H$2,,,Arb!$AJ$5,),BN123))</f>
        <v/>
      </c>
      <c r="BP123" s="3" t="str">
        <f t="shared" ca="1" si="53"/>
        <v/>
      </c>
      <c r="BQ123" s="165" t="str">
        <f ca="1">IF(BN123="","",INDEX(OFFSET(Arb!$X$2,,,Arb!$AJ$5,),BN123)/BO123)</f>
        <v/>
      </c>
      <c r="BR123" s="165" t="str">
        <f ca="1">IF(BN123="","",(INDEX(OFFSET(Arb!$U$2,,,Arb!$AJ$5,),BN123)+INDEX(OFFSET(Arb!$V$2,,,Arb!$AJ$5,),BN123))/BO123)</f>
        <v/>
      </c>
      <c r="BS123" s="51" t="str">
        <f t="shared" ca="1" si="63"/>
        <v/>
      </c>
      <c r="BT123" s="88" t="str">
        <f ca="1">IF(BN123="","",DATE(INDEX(OFFSET(Arb!$C$2,,,Arb!$AJ$5,),BN123),INDEX(OFFSET(Arb!$B$2,,,Arb!$AJ$5,),BN123),INDEX(OFFSET(Arb!$A$2,,,Arb!$AJ$5,),BN123))+ROW()*0.001)</f>
        <v/>
      </c>
      <c r="BU123" s="436">
        <v>98</v>
      </c>
      <c r="BW123" s="52" t="str">
        <f ca="1">IF(BV123="","",INDEX(OFFSET(Arb!$H$2,,,Arb!$AJ$5,),BV123))</f>
        <v/>
      </c>
      <c r="BX123" s="3" t="str">
        <f t="shared" ca="1" si="54"/>
        <v/>
      </c>
      <c r="BY123" s="165" t="str">
        <f ca="1">IF(BV123="","",INDEX(OFFSET(Arb!$X$2,,,Arb!$AJ$5,),BV123)/BW123)</f>
        <v/>
      </c>
      <c r="BZ123" s="165" t="str">
        <f ca="1">IF(BV123="","",(INDEX(OFFSET(Arb!$U$2,,,Arb!$AJ$5,),BV123)+INDEX(OFFSET(Arb!$V$2,,,Arb!$AJ$5,),BV123))/BW123)</f>
        <v/>
      </c>
      <c r="CA123" s="51" t="str">
        <f t="shared" ca="1" si="64"/>
        <v/>
      </c>
      <c r="CB123" s="91" t="str">
        <f ca="1">IF(BV123="","",DATE(INDEX(OFFSET(Arb!$C$2,,,Arb!$AJ$5,),BV123),INDEX(OFFSET(Arb!$B$2,,,Arb!$AJ$5,),BV123),INDEX(OFFSET(Arb!$A$2,,,Arb!$AJ$5,),BV123))+ROW()*0.001)</f>
        <v/>
      </c>
    </row>
    <row r="124" spans="1:80" x14ac:dyDescent="0.25">
      <c r="A124" s="436">
        <v>99</v>
      </c>
      <c r="B124" s="1">
        <v>1994</v>
      </c>
      <c r="C124" s="52">
        <f ca="1">IF(B124="","",INDEX(OFFSET(Arb!$H$2,,,Arb!$AJ$5,),B124))</f>
        <v>32.950000000000003</v>
      </c>
      <c r="D124" s="3">
        <f t="shared" ca="1" si="45"/>
        <v>3.0045523520485582</v>
      </c>
      <c r="E124" s="165">
        <f ca="1">IF(B124="","",INDEX(OFFSET(Arb!$X$2,,,Arb!$AJ$5,),B124)/C124)</f>
        <v>3.3080424886191198</v>
      </c>
      <c r="F124" s="165">
        <f ca="1">IF(B124="","",(INDEX(OFFSET(Arb!$U$2,,,Arb!$AJ$5,),B124)+INDEX(OFFSET(Arb!$V$2,,,Arb!$AJ$5,),B124))/C124)</f>
        <v>3.641881638846737</v>
      </c>
      <c r="G124" s="51">
        <f t="shared" ca="1" si="55"/>
        <v>39.998122817356418</v>
      </c>
      <c r="H124" s="355">
        <f ca="1">IF(B124="","",DATE(INDEX(OFFSET(Arb!$C$2,,,Arb!$AJ$5,),B124),INDEX(OFFSET(Arb!$B$2,,,Arb!$AJ$5,),B124),INDEX(OFFSET(Arb!$A$2,,,Arb!$AJ$5,),B124))+ROW()*0.001)</f>
        <v>43785.124000000003</v>
      </c>
      <c r="I124" s="436">
        <v>99</v>
      </c>
      <c r="K124" s="52" t="str">
        <f ca="1">IF(J124="","",INDEX(OFFSET(Arb!$H$2,,,Arb!$AJ$5,),J124))</f>
        <v/>
      </c>
      <c r="L124" s="3" t="str">
        <f t="shared" ca="1" si="46"/>
        <v/>
      </c>
      <c r="M124" s="165" t="str">
        <f ca="1">IF(J124="","",INDEX(OFFSET(Arb!$X$2,,,Arb!$AJ$5,),J124)/K124)</f>
        <v/>
      </c>
      <c r="N124" s="165" t="str">
        <f ca="1">IF(J124="","",(INDEX(OFFSET(Arb!$U$2,,,Arb!$AJ$5,),J124)+INDEX(OFFSET(Arb!$V$2,,,Arb!$AJ$5,),J124))/K124)</f>
        <v/>
      </c>
      <c r="O124" s="51" t="str">
        <f t="shared" ca="1" si="56"/>
        <v/>
      </c>
      <c r="P124" s="91" t="str">
        <f ca="1">IF(J124="","",DATE(INDEX(OFFSET(Arb!$C$2,,,Arb!$AJ$5,),J124),INDEX(OFFSET(Arb!$B$2,,,Arb!$AJ$5,),J124),INDEX(OFFSET(Arb!$A$2,,,Arb!$AJ$5,),J124))+ROW()*0.001)</f>
        <v/>
      </c>
      <c r="Q124" s="442">
        <v>99</v>
      </c>
      <c r="S124" s="52" t="str">
        <f ca="1">IF(R124="","",INDEX(OFFSET(Arb!$H$2,,,Arb!$AJ$5,),R124))</f>
        <v/>
      </c>
      <c r="T124" s="3" t="str">
        <f t="shared" ca="1" si="47"/>
        <v/>
      </c>
      <c r="U124" s="165" t="str">
        <f ca="1">IF(R124="","",INDEX(OFFSET(Arb!$X$2,,,Arb!$AJ$5,),R124)/S124)</f>
        <v/>
      </c>
      <c r="V124" s="165" t="str">
        <f ca="1">IF(R124="","",(INDEX(OFFSET(Arb!$U$2,,,Arb!$AJ$5,),R124)+INDEX(OFFSET(Arb!$V$2,,,Arb!$AJ$5,),R124))/S124)</f>
        <v/>
      </c>
      <c r="W124" s="51" t="str">
        <f t="shared" ca="1" si="57"/>
        <v/>
      </c>
      <c r="X124" s="88" t="str">
        <f ca="1">IF(R124="","",DATE(INDEX(OFFSET(Arb!$C$2,,,Arb!$AJ$5,),R124),INDEX(OFFSET(Arb!$B$2,,,Arb!$AJ$5,),R124),INDEX(OFFSET(Arb!$A$2,,,Arb!$AJ$5,),R124))+ROW()*0.001)</f>
        <v/>
      </c>
      <c r="Y124" s="436">
        <v>99</v>
      </c>
      <c r="AA124" s="52" t="str">
        <f ca="1">IF(Z124="","",INDEX(OFFSET(Arb!$H$2,,,Arb!$AJ$5,),Z124))</f>
        <v/>
      </c>
      <c r="AB124" s="3" t="str">
        <f t="shared" ca="1" si="48"/>
        <v/>
      </c>
      <c r="AC124" s="165" t="str">
        <f ca="1">IF(Z124="","",INDEX(OFFSET(Arb!$X$2,,,Arb!$AJ$5,),Z124)/AA124)</f>
        <v/>
      </c>
      <c r="AD124" s="165" t="str">
        <f ca="1">IF(Z124="","",(INDEX(OFFSET(Arb!$U$2,,,Arb!$AJ$5,),Z124)+INDEX(OFFSET(Arb!$V$2,,,Arb!$AJ$5,),Z124))/AA124)</f>
        <v/>
      </c>
      <c r="AE124" s="51" t="str">
        <f t="shared" ca="1" si="58"/>
        <v/>
      </c>
      <c r="AF124" s="91" t="str">
        <f ca="1">IF(Z124="","",DATE(INDEX(OFFSET(Arb!$C$2,,,Arb!$AJ$5,),Z124),INDEX(OFFSET(Arb!$B$2,,,Arb!$AJ$5,),Z124),INDEX(OFFSET(Arb!$A$2,,,Arb!$AJ$5,),Z124))+ROW()*0.001)</f>
        <v/>
      </c>
      <c r="AG124" s="442">
        <v>99</v>
      </c>
      <c r="AI124" s="52" t="str">
        <f ca="1">IF(AH124="","",INDEX(OFFSET(Arb!$H$2,,,Arb!$AJ$5,),AH124))</f>
        <v/>
      </c>
      <c r="AJ124" s="3" t="str">
        <f t="shared" ca="1" si="49"/>
        <v/>
      </c>
      <c r="AK124" s="165" t="str">
        <f ca="1">IF(AH124="","",INDEX(OFFSET(Arb!$X$2,,,Arb!$AJ$5,),AH124)/AI124)</f>
        <v/>
      </c>
      <c r="AL124" s="165" t="str">
        <f ca="1">IF(AH124="","",(INDEX(OFFSET(Arb!$U$2,,,Arb!$AJ$5,),AH124)+INDEX(OFFSET(Arb!$V$2,,,Arb!$AJ$5,),AH124))/AI124)</f>
        <v/>
      </c>
      <c r="AM124" s="51" t="str">
        <f t="shared" ca="1" si="59"/>
        <v/>
      </c>
      <c r="AN124" s="88" t="str">
        <f ca="1">IF(AH124="","",DATE(INDEX(OFFSET(Arb!$C$2,,,Arb!$AJ$5,),AH124),INDEX(OFFSET(Arb!$B$2,,,Arb!$AJ$5,),AH124),INDEX(OFFSET(Arb!$A$2,,,Arb!$AJ$5,),AH124))+ROW()*0.001)</f>
        <v/>
      </c>
      <c r="AO124" s="436">
        <v>99</v>
      </c>
      <c r="AQ124" s="52" t="str">
        <f ca="1">IF(AP124="","",INDEX(OFFSET(Arb!$H$2,,,Arb!$AJ$5,),AP124))</f>
        <v/>
      </c>
      <c r="AR124" s="3" t="str">
        <f t="shared" ca="1" si="50"/>
        <v/>
      </c>
      <c r="AS124" s="165" t="str">
        <f ca="1">IF(AP124="","",INDEX(OFFSET(Arb!$X$2,,,Arb!$AJ$5,),AP124)/AQ124)</f>
        <v/>
      </c>
      <c r="AT124" s="165" t="str">
        <f ca="1">IF(AP124="","",(INDEX(OFFSET(Arb!$U$2,,,Arb!$AJ$5,),AP124)+INDEX(OFFSET(Arb!$V$2,,,Arb!$AJ$5,),AP124))/AQ124)</f>
        <v/>
      </c>
      <c r="AU124" s="51" t="str">
        <f t="shared" ca="1" si="60"/>
        <v/>
      </c>
      <c r="AV124" s="91" t="str">
        <f ca="1">IF(AP124="","",DATE(INDEX(OFFSET(Arb!$C$2,,,Arb!$AJ$5,),AP124),INDEX(OFFSET(Arb!$B$2,,,Arb!$AJ$5,),AP124),INDEX(OFFSET(Arb!$A$2,,,Arb!$AJ$5,),AP124))+ROW()*0.001)</f>
        <v/>
      </c>
      <c r="AW124" s="442">
        <v>99</v>
      </c>
      <c r="AY124" s="52" t="str">
        <f ca="1">IF(AX124="","",INDEX(OFFSET(Arb!$H$2,,,Arb!$AJ$5,),AX124))</f>
        <v/>
      </c>
      <c r="AZ124" s="3" t="str">
        <f t="shared" ca="1" si="51"/>
        <v/>
      </c>
      <c r="BA124" s="165" t="str">
        <f ca="1">IF(AX124="","",INDEX(OFFSET(Arb!$X$2,,,Arb!$AJ$5,),AX124)/AY124)</f>
        <v/>
      </c>
      <c r="BB124" s="165" t="str">
        <f ca="1">IF(AX124="","",(INDEX(OFFSET(Arb!$U$2,,,Arb!$AJ$5,),AX124)+INDEX(OFFSET(Arb!$V$2,,,Arb!$AJ$5,),AX124))/AY124)</f>
        <v/>
      </c>
      <c r="BC124" s="51" t="str">
        <f t="shared" ca="1" si="61"/>
        <v/>
      </c>
      <c r="BD124" s="88" t="str">
        <f ca="1">IF(AX124="","",DATE(INDEX(OFFSET(Arb!$C$2,,,Arb!$AJ$5,),AX124),INDEX(OFFSET(Arb!$B$2,,,Arb!$AJ$5,),AX124),INDEX(OFFSET(Arb!$A$2,,,Arb!$AJ$5,),AX124))+ROW()*0.001)</f>
        <v/>
      </c>
      <c r="BE124" s="436">
        <v>99</v>
      </c>
      <c r="BG124" s="52" t="str">
        <f ca="1">IF(BF124="","",INDEX(OFFSET(Arb!$H$2,,,Arb!$AJ$5,),BF124))</f>
        <v/>
      </c>
      <c r="BH124" s="3" t="str">
        <f t="shared" ca="1" si="52"/>
        <v/>
      </c>
      <c r="BI124" s="165" t="str">
        <f ca="1">IF(BF124="","",INDEX(OFFSET(Arb!$X$2,,,Arb!$AJ$5,),BF124)/BG124)</f>
        <v/>
      </c>
      <c r="BJ124" s="165" t="str">
        <f ca="1">IF(BF124="","",(INDEX(OFFSET(Arb!$U$2,,,Arb!$AJ$5,),BF124)+INDEX(OFFSET(Arb!$V$2,,,Arb!$AJ$5,),BF124))/BG124)</f>
        <v/>
      </c>
      <c r="BK124" s="51" t="str">
        <f t="shared" ca="1" si="62"/>
        <v/>
      </c>
      <c r="BL124" s="91" t="str">
        <f ca="1">IF(BF124="","",DATE(INDEX(OFFSET(Arb!$C$2,,,Arb!$AJ$5,),BF124),INDEX(OFFSET(Arb!$B$2,,,Arb!$AJ$5,),BF124),INDEX(OFFSET(Arb!$A$2,,,Arb!$AJ$5,),BF124))+ROW()*0.001)</f>
        <v/>
      </c>
      <c r="BM124" s="442">
        <v>99</v>
      </c>
      <c r="BO124" s="52" t="str">
        <f ca="1">IF(BN124="","",INDEX(OFFSET(Arb!$H$2,,,Arb!$AJ$5,),BN124))</f>
        <v/>
      </c>
      <c r="BP124" s="3" t="str">
        <f t="shared" ca="1" si="53"/>
        <v/>
      </c>
      <c r="BQ124" s="165" t="str">
        <f ca="1">IF(BN124="","",INDEX(OFFSET(Arb!$X$2,,,Arb!$AJ$5,),BN124)/BO124)</f>
        <v/>
      </c>
      <c r="BR124" s="165" t="str">
        <f ca="1">IF(BN124="","",(INDEX(OFFSET(Arb!$U$2,,,Arb!$AJ$5,),BN124)+INDEX(OFFSET(Arb!$V$2,,,Arb!$AJ$5,),BN124))/BO124)</f>
        <v/>
      </c>
      <c r="BS124" s="51" t="str">
        <f t="shared" ca="1" si="63"/>
        <v/>
      </c>
      <c r="BT124" s="88" t="str">
        <f ca="1">IF(BN124="","",DATE(INDEX(OFFSET(Arb!$C$2,,,Arb!$AJ$5,),BN124),INDEX(OFFSET(Arb!$B$2,,,Arb!$AJ$5,),BN124),INDEX(OFFSET(Arb!$A$2,,,Arb!$AJ$5,),BN124))+ROW()*0.001)</f>
        <v/>
      </c>
      <c r="BU124" s="436">
        <v>99</v>
      </c>
      <c r="BW124" s="52" t="str">
        <f ca="1">IF(BV124="","",INDEX(OFFSET(Arb!$H$2,,,Arb!$AJ$5,),BV124))</f>
        <v/>
      </c>
      <c r="BX124" s="3" t="str">
        <f t="shared" ca="1" si="54"/>
        <v/>
      </c>
      <c r="BY124" s="165" t="str">
        <f ca="1">IF(BV124="","",INDEX(OFFSET(Arb!$X$2,,,Arb!$AJ$5,),BV124)/BW124)</f>
        <v/>
      </c>
      <c r="BZ124" s="165" t="str">
        <f ca="1">IF(BV124="","",(INDEX(OFFSET(Arb!$U$2,,,Arb!$AJ$5,),BV124)+INDEX(OFFSET(Arb!$V$2,,,Arb!$AJ$5,),BV124))/BW124)</f>
        <v/>
      </c>
      <c r="CA124" s="51" t="str">
        <f t="shared" ca="1" si="64"/>
        <v/>
      </c>
      <c r="CB124" s="91" t="str">
        <f ca="1">IF(BV124="","",DATE(INDEX(OFFSET(Arb!$C$2,,,Arb!$AJ$5,),BV124),INDEX(OFFSET(Arb!$B$2,,,Arb!$AJ$5,),BV124),INDEX(OFFSET(Arb!$A$2,,,Arb!$AJ$5,),BV124))+ROW()*0.001)</f>
        <v/>
      </c>
    </row>
    <row r="125" spans="1:80" x14ac:dyDescent="0.25">
      <c r="A125" s="436">
        <v>100</v>
      </c>
      <c r="C125" s="52" t="str">
        <f ca="1">IF(B125="","",INDEX(OFFSET(Arb!$H$2,,,Arb!$AJ$5,),B125))</f>
        <v/>
      </c>
      <c r="D125" s="3" t="str">
        <f t="shared" ca="1" si="45"/>
        <v/>
      </c>
      <c r="E125" s="165" t="str">
        <f ca="1">IF(B125="","",INDEX(OFFSET(Arb!$X$2,,,Arb!$AJ$5,),B125)/C125)</f>
        <v/>
      </c>
      <c r="F125" s="165" t="str">
        <f ca="1">IF(B125="","",(INDEX(OFFSET(Arb!$U$2,,,Arb!$AJ$5,),B125)+INDEX(OFFSET(Arb!$V$2,,,Arb!$AJ$5,),B125))/C125)</f>
        <v/>
      </c>
      <c r="G125" s="51" t="str">
        <f t="shared" ca="1" si="55"/>
        <v/>
      </c>
      <c r="H125" s="355" t="str">
        <f ca="1">IF(B125="","",DATE(INDEX(OFFSET(Arb!$C$2,,,Arb!$AJ$5,),B125),INDEX(OFFSET(Arb!$B$2,,,Arb!$AJ$5,),B125),INDEX(OFFSET(Arb!$A$2,,,Arb!$AJ$5,),B125))+ROW()*0.001)</f>
        <v/>
      </c>
      <c r="I125" s="436">
        <v>100</v>
      </c>
      <c r="K125" s="52" t="str">
        <f ca="1">IF(J125="","",INDEX(OFFSET(Arb!$H$2,,,Arb!$AJ$5,),J125))</f>
        <v/>
      </c>
      <c r="L125" s="3" t="str">
        <f t="shared" ca="1" si="46"/>
        <v/>
      </c>
      <c r="M125" s="165" t="str">
        <f ca="1">IF(J125="","",INDEX(OFFSET(Arb!$X$2,,,Arb!$AJ$5,),J125)/K125)</f>
        <v/>
      </c>
      <c r="N125" s="165" t="str">
        <f ca="1">IF(J125="","",(INDEX(OFFSET(Arb!$U$2,,,Arb!$AJ$5,),J125)+INDEX(OFFSET(Arb!$V$2,,,Arb!$AJ$5,),J125))/K125)</f>
        <v/>
      </c>
      <c r="O125" s="51" t="str">
        <f t="shared" ca="1" si="56"/>
        <v/>
      </c>
      <c r="P125" s="91" t="str">
        <f ca="1">IF(J125="","",DATE(INDEX(OFFSET(Arb!$C$2,,,Arb!$AJ$5,),J125),INDEX(OFFSET(Arb!$B$2,,,Arb!$AJ$5,),J125),INDEX(OFFSET(Arb!$A$2,,,Arb!$AJ$5,),J125))+ROW()*0.001)</f>
        <v/>
      </c>
      <c r="Q125" s="442">
        <v>100</v>
      </c>
      <c r="S125" s="52" t="str">
        <f ca="1">IF(R125="","",INDEX(OFFSET(Arb!$H$2,,,Arb!$AJ$5,),R125))</f>
        <v/>
      </c>
      <c r="T125" s="3" t="str">
        <f t="shared" ca="1" si="47"/>
        <v/>
      </c>
      <c r="U125" s="165" t="str">
        <f ca="1">IF(R125="","",INDEX(OFFSET(Arb!$X$2,,,Arb!$AJ$5,),R125)/S125)</f>
        <v/>
      </c>
      <c r="V125" s="165" t="str">
        <f ca="1">IF(R125="","",(INDEX(OFFSET(Arb!$U$2,,,Arb!$AJ$5,),R125)+INDEX(OFFSET(Arb!$V$2,,,Arb!$AJ$5,),R125))/S125)</f>
        <v/>
      </c>
      <c r="W125" s="51" t="str">
        <f t="shared" ca="1" si="57"/>
        <v/>
      </c>
      <c r="X125" s="88" t="str">
        <f ca="1">IF(R125="","",DATE(INDEX(OFFSET(Arb!$C$2,,,Arb!$AJ$5,),R125),INDEX(OFFSET(Arb!$B$2,,,Arb!$AJ$5,),R125),INDEX(OFFSET(Arb!$A$2,,,Arb!$AJ$5,),R125))+ROW()*0.001)</f>
        <v/>
      </c>
      <c r="Y125" s="436">
        <v>100</v>
      </c>
      <c r="AA125" s="52" t="str">
        <f ca="1">IF(Z125="","",INDEX(OFFSET(Arb!$H$2,,,Arb!$AJ$5,),Z125))</f>
        <v/>
      </c>
      <c r="AB125" s="3" t="str">
        <f t="shared" ca="1" si="48"/>
        <v/>
      </c>
      <c r="AC125" s="165" t="str">
        <f ca="1">IF(Z125="","",INDEX(OFFSET(Arb!$X$2,,,Arb!$AJ$5,),Z125)/AA125)</f>
        <v/>
      </c>
      <c r="AD125" s="165" t="str">
        <f ca="1">IF(Z125="","",(INDEX(OFFSET(Arb!$U$2,,,Arb!$AJ$5,),Z125)+INDEX(OFFSET(Arb!$V$2,,,Arb!$AJ$5,),Z125))/AA125)</f>
        <v/>
      </c>
      <c r="AE125" s="51" t="str">
        <f t="shared" ca="1" si="58"/>
        <v/>
      </c>
      <c r="AF125" s="91" t="str">
        <f ca="1">IF(Z125="","",DATE(INDEX(OFFSET(Arb!$C$2,,,Arb!$AJ$5,),Z125),INDEX(OFFSET(Arb!$B$2,,,Arb!$AJ$5,),Z125),INDEX(OFFSET(Arb!$A$2,,,Arb!$AJ$5,),Z125))+ROW()*0.001)</f>
        <v/>
      </c>
      <c r="AG125" s="442">
        <v>100</v>
      </c>
      <c r="AI125" s="52" t="str">
        <f ca="1">IF(AH125="","",INDEX(OFFSET(Arb!$H$2,,,Arb!$AJ$5,),AH125))</f>
        <v/>
      </c>
      <c r="AJ125" s="3" t="str">
        <f t="shared" ca="1" si="49"/>
        <v/>
      </c>
      <c r="AK125" s="165" t="str">
        <f ca="1">IF(AH125="","",INDEX(OFFSET(Arb!$X$2,,,Arb!$AJ$5,),AH125)/AI125)</f>
        <v/>
      </c>
      <c r="AL125" s="165" t="str">
        <f ca="1">IF(AH125="","",(INDEX(OFFSET(Arb!$U$2,,,Arb!$AJ$5,),AH125)+INDEX(OFFSET(Arb!$V$2,,,Arb!$AJ$5,),AH125))/AI125)</f>
        <v/>
      </c>
      <c r="AM125" s="51" t="str">
        <f t="shared" ca="1" si="59"/>
        <v/>
      </c>
      <c r="AN125" s="88" t="str">
        <f ca="1">IF(AH125="","",DATE(INDEX(OFFSET(Arb!$C$2,,,Arb!$AJ$5,),AH125),INDEX(OFFSET(Arb!$B$2,,,Arb!$AJ$5,),AH125),INDEX(OFFSET(Arb!$A$2,,,Arb!$AJ$5,),AH125))+ROW()*0.001)</f>
        <v/>
      </c>
      <c r="AO125" s="436">
        <v>100</v>
      </c>
      <c r="AQ125" s="52" t="str">
        <f ca="1">IF(AP125="","",INDEX(OFFSET(Arb!$H$2,,,Arb!$AJ$5,),AP125))</f>
        <v/>
      </c>
      <c r="AR125" s="3" t="str">
        <f t="shared" ca="1" si="50"/>
        <v/>
      </c>
      <c r="AS125" s="165" t="str">
        <f ca="1">IF(AP125="","",INDEX(OFFSET(Arb!$X$2,,,Arb!$AJ$5,),AP125)/AQ125)</f>
        <v/>
      </c>
      <c r="AT125" s="165" t="str">
        <f ca="1">IF(AP125="","",(INDEX(OFFSET(Arb!$U$2,,,Arb!$AJ$5,),AP125)+INDEX(OFFSET(Arb!$V$2,,,Arb!$AJ$5,),AP125))/AQ125)</f>
        <v/>
      </c>
      <c r="AU125" s="51" t="str">
        <f t="shared" ca="1" si="60"/>
        <v/>
      </c>
      <c r="AV125" s="91" t="str">
        <f ca="1">IF(AP125="","",DATE(INDEX(OFFSET(Arb!$C$2,,,Arb!$AJ$5,),AP125),INDEX(OFFSET(Arb!$B$2,,,Arb!$AJ$5,),AP125),INDEX(OFFSET(Arb!$A$2,,,Arb!$AJ$5,),AP125))+ROW()*0.001)</f>
        <v/>
      </c>
      <c r="AW125" s="442">
        <v>100</v>
      </c>
      <c r="AY125" s="52" t="str">
        <f ca="1">IF(AX125="","",INDEX(OFFSET(Arb!$H$2,,,Arb!$AJ$5,),AX125))</f>
        <v/>
      </c>
      <c r="AZ125" s="3" t="str">
        <f t="shared" ca="1" si="51"/>
        <v/>
      </c>
      <c r="BA125" s="165" t="str">
        <f ca="1">IF(AX125="","",INDEX(OFFSET(Arb!$X$2,,,Arb!$AJ$5,),AX125)/AY125)</f>
        <v/>
      </c>
      <c r="BB125" s="165" t="str">
        <f ca="1">IF(AX125="","",(INDEX(OFFSET(Arb!$U$2,,,Arb!$AJ$5,),AX125)+INDEX(OFFSET(Arb!$V$2,,,Arb!$AJ$5,),AX125))/AY125)</f>
        <v/>
      </c>
      <c r="BC125" s="51" t="str">
        <f t="shared" ca="1" si="61"/>
        <v/>
      </c>
      <c r="BD125" s="88" t="str">
        <f ca="1">IF(AX125="","",DATE(INDEX(OFFSET(Arb!$C$2,,,Arb!$AJ$5,),AX125),INDEX(OFFSET(Arb!$B$2,,,Arb!$AJ$5,),AX125),INDEX(OFFSET(Arb!$A$2,,,Arb!$AJ$5,),AX125))+ROW()*0.001)</f>
        <v/>
      </c>
      <c r="BE125" s="436">
        <v>100</v>
      </c>
      <c r="BG125" s="52" t="str">
        <f ca="1">IF(BF125="","",INDEX(OFFSET(Arb!$H$2,,,Arb!$AJ$5,),BF125))</f>
        <v/>
      </c>
      <c r="BH125" s="3" t="str">
        <f t="shared" ca="1" si="52"/>
        <v/>
      </c>
      <c r="BI125" s="165" t="str">
        <f ca="1">IF(BF125="","",INDEX(OFFSET(Arb!$X$2,,,Arb!$AJ$5,),BF125)/BG125)</f>
        <v/>
      </c>
      <c r="BJ125" s="165" t="str">
        <f ca="1">IF(BF125="","",(INDEX(OFFSET(Arb!$U$2,,,Arb!$AJ$5,),BF125)+INDEX(OFFSET(Arb!$V$2,,,Arb!$AJ$5,),BF125))/BG125)</f>
        <v/>
      </c>
      <c r="BK125" s="51" t="str">
        <f t="shared" ca="1" si="62"/>
        <v/>
      </c>
      <c r="BL125" s="91" t="str">
        <f ca="1">IF(BF125="","",DATE(INDEX(OFFSET(Arb!$C$2,,,Arb!$AJ$5,),BF125),INDEX(OFFSET(Arb!$B$2,,,Arb!$AJ$5,),BF125),INDEX(OFFSET(Arb!$A$2,,,Arb!$AJ$5,),BF125))+ROW()*0.001)</f>
        <v/>
      </c>
      <c r="BM125" s="442">
        <v>100</v>
      </c>
      <c r="BO125" s="52" t="str">
        <f ca="1">IF(BN125="","",INDEX(OFFSET(Arb!$H$2,,,Arb!$AJ$5,),BN125))</f>
        <v/>
      </c>
      <c r="BP125" s="3" t="str">
        <f t="shared" ca="1" si="53"/>
        <v/>
      </c>
      <c r="BQ125" s="165" t="str">
        <f ca="1">IF(BN125="","",INDEX(OFFSET(Arb!$X$2,,,Arb!$AJ$5,),BN125)/BO125)</f>
        <v/>
      </c>
      <c r="BR125" s="165" t="str">
        <f ca="1">IF(BN125="","",(INDEX(OFFSET(Arb!$U$2,,,Arb!$AJ$5,),BN125)+INDEX(OFFSET(Arb!$V$2,,,Arb!$AJ$5,),BN125))/BO125)</f>
        <v/>
      </c>
      <c r="BS125" s="51" t="str">
        <f t="shared" ca="1" si="63"/>
        <v/>
      </c>
      <c r="BT125" s="88" t="str">
        <f ca="1">IF(BN125="","",DATE(INDEX(OFFSET(Arb!$C$2,,,Arb!$AJ$5,),BN125),INDEX(OFFSET(Arb!$B$2,,,Arb!$AJ$5,),BN125),INDEX(OFFSET(Arb!$A$2,,,Arb!$AJ$5,),BN125))+ROW()*0.001)</f>
        <v/>
      </c>
      <c r="BU125" s="436">
        <v>100</v>
      </c>
      <c r="BW125" s="52" t="str">
        <f ca="1">IF(BV125="","",INDEX(OFFSET(Arb!$H$2,,,Arb!$AJ$5,),BV125))</f>
        <v/>
      </c>
      <c r="BX125" s="3" t="str">
        <f t="shared" ca="1" si="54"/>
        <v/>
      </c>
      <c r="BY125" s="165" t="str">
        <f ca="1">IF(BV125="","",INDEX(OFFSET(Arb!$X$2,,,Arb!$AJ$5,),BV125)/BW125)</f>
        <v/>
      </c>
      <c r="BZ125" s="165" t="str">
        <f ca="1">IF(BV125="","",(INDEX(OFFSET(Arb!$U$2,,,Arb!$AJ$5,),BV125)+INDEX(OFFSET(Arb!$V$2,,,Arb!$AJ$5,),BV125))/BW125)</f>
        <v/>
      </c>
      <c r="CA125" s="51" t="str">
        <f t="shared" ca="1" si="64"/>
        <v/>
      </c>
      <c r="CB125" s="91" t="str">
        <f ca="1">IF(BV125="","",DATE(INDEX(OFFSET(Arb!$C$2,,,Arb!$AJ$5,),BV125),INDEX(OFFSET(Arb!$B$2,,,Arb!$AJ$5,),BV125),INDEX(OFFSET(Arb!$A$2,,,Arb!$AJ$5,),BV125))+ROW()*0.001)</f>
        <v/>
      </c>
    </row>
    <row r="126" spans="1:80" x14ac:dyDescent="0.25">
      <c r="A126" s="436">
        <v>101</v>
      </c>
      <c r="C126" s="52" t="str">
        <f ca="1">IF(B126="","",INDEX(OFFSET(Arb!$H$2,,,Arb!$AJ$5,),B126))</f>
        <v/>
      </c>
      <c r="D126" s="3" t="str">
        <f t="shared" ca="1" si="45"/>
        <v/>
      </c>
      <c r="E126" s="165" t="str">
        <f ca="1">IF(B126="","",INDEX(OFFSET(Arb!$X$2,,,Arb!$AJ$5,),B126)/C126)</f>
        <v/>
      </c>
      <c r="F126" s="165" t="str">
        <f ca="1">IF(B126="","",(INDEX(OFFSET(Arb!$U$2,,,Arb!$AJ$5,),B126)+INDEX(OFFSET(Arb!$V$2,,,Arb!$AJ$5,),B126))/C126)</f>
        <v/>
      </c>
      <c r="G126" s="51" t="str">
        <f t="shared" ca="1" si="55"/>
        <v/>
      </c>
      <c r="H126" s="355" t="str">
        <f ca="1">IF(B126="","",DATE(INDEX(OFFSET(Arb!$C$2,,,Arb!$AJ$5,),B126),INDEX(OFFSET(Arb!$B$2,,,Arb!$AJ$5,),B126),INDEX(OFFSET(Arb!$A$2,,,Arb!$AJ$5,),B126))+ROW()*0.001)</f>
        <v/>
      </c>
      <c r="I126" s="436">
        <v>101</v>
      </c>
      <c r="K126" s="52" t="str">
        <f ca="1">IF(J126="","",INDEX(OFFSET(Arb!$H$2,,,Arb!$AJ$5,),J126))</f>
        <v/>
      </c>
      <c r="L126" s="3" t="str">
        <f t="shared" ca="1" si="46"/>
        <v/>
      </c>
      <c r="M126" s="165" t="str">
        <f ca="1">IF(J126="","",INDEX(OFFSET(Arb!$X$2,,,Arb!$AJ$5,),J126)/K126)</f>
        <v/>
      </c>
      <c r="N126" s="165" t="str">
        <f ca="1">IF(J126="","",(INDEX(OFFSET(Arb!$U$2,,,Arb!$AJ$5,),J126)+INDEX(OFFSET(Arb!$V$2,,,Arb!$AJ$5,),J126))/K126)</f>
        <v/>
      </c>
      <c r="O126" s="51" t="str">
        <f t="shared" ca="1" si="56"/>
        <v/>
      </c>
      <c r="P126" s="91" t="str">
        <f ca="1">IF(J126="","",DATE(INDEX(OFFSET(Arb!$C$2,,,Arb!$AJ$5,),J126),INDEX(OFFSET(Arb!$B$2,,,Arb!$AJ$5,),J126),INDEX(OFFSET(Arb!$A$2,,,Arb!$AJ$5,),J126))+ROW()*0.001)</f>
        <v/>
      </c>
      <c r="Q126" s="442">
        <v>101</v>
      </c>
      <c r="S126" s="52" t="str">
        <f ca="1">IF(R126="","",INDEX(OFFSET(Arb!$H$2,,,Arb!$AJ$5,),R126))</f>
        <v/>
      </c>
      <c r="T126" s="3" t="str">
        <f t="shared" ca="1" si="47"/>
        <v/>
      </c>
      <c r="U126" s="165" t="str">
        <f ca="1">IF(R126="","",INDEX(OFFSET(Arb!$X$2,,,Arb!$AJ$5,),R126)/S126)</f>
        <v/>
      </c>
      <c r="V126" s="165" t="str">
        <f ca="1">IF(R126="","",(INDEX(OFFSET(Arb!$U$2,,,Arb!$AJ$5,),R126)+INDEX(OFFSET(Arb!$V$2,,,Arb!$AJ$5,),R126))/S126)</f>
        <v/>
      </c>
      <c r="W126" s="51" t="str">
        <f t="shared" ca="1" si="57"/>
        <v/>
      </c>
      <c r="X126" s="88" t="str">
        <f ca="1">IF(R126="","",DATE(INDEX(OFFSET(Arb!$C$2,,,Arb!$AJ$5,),R126),INDEX(OFFSET(Arb!$B$2,,,Arb!$AJ$5,),R126),INDEX(OFFSET(Arb!$A$2,,,Arb!$AJ$5,),R126))+ROW()*0.001)</f>
        <v/>
      </c>
      <c r="Y126" s="436">
        <v>101</v>
      </c>
      <c r="AA126" s="52" t="str">
        <f ca="1">IF(Z126="","",INDEX(OFFSET(Arb!$H$2,,,Arb!$AJ$5,),Z126))</f>
        <v/>
      </c>
      <c r="AB126" s="3" t="str">
        <f t="shared" ca="1" si="48"/>
        <v/>
      </c>
      <c r="AC126" s="165" t="str">
        <f ca="1">IF(Z126="","",INDEX(OFFSET(Arb!$X$2,,,Arb!$AJ$5,),Z126)/AA126)</f>
        <v/>
      </c>
      <c r="AD126" s="165" t="str">
        <f ca="1">IF(Z126="","",(INDEX(OFFSET(Arb!$U$2,,,Arb!$AJ$5,),Z126)+INDEX(OFFSET(Arb!$V$2,,,Arb!$AJ$5,),Z126))/AA126)</f>
        <v/>
      </c>
      <c r="AE126" s="51" t="str">
        <f t="shared" ca="1" si="58"/>
        <v/>
      </c>
      <c r="AF126" s="91" t="str">
        <f ca="1">IF(Z126="","",DATE(INDEX(OFFSET(Arb!$C$2,,,Arb!$AJ$5,),Z126),INDEX(OFFSET(Arb!$B$2,,,Arb!$AJ$5,),Z126),INDEX(OFFSET(Arb!$A$2,,,Arb!$AJ$5,),Z126))+ROW()*0.001)</f>
        <v/>
      </c>
      <c r="AG126" s="442">
        <v>101</v>
      </c>
      <c r="AI126" s="52" t="str">
        <f ca="1">IF(AH126="","",INDEX(OFFSET(Arb!$H$2,,,Arb!$AJ$5,),AH126))</f>
        <v/>
      </c>
      <c r="AJ126" s="3" t="str">
        <f t="shared" ca="1" si="49"/>
        <v/>
      </c>
      <c r="AK126" s="165" t="str">
        <f ca="1">IF(AH126="","",INDEX(OFFSET(Arb!$X$2,,,Arb!$AJ$5,),AH126)/AI126)</f>
        <v/>
      </c>
      <c r="AL126" s="165" t="str">
        <f ca="1">IF(AH126="","",(INDEX(OFFSET(Arb!$U$2,,,Arb!$AJ$5,),AH126)+INDEX(OFFSET(Arb!$V$2,,,Arb!$AJ$5,),AH126))/AI126)</f>
        <v/>
      </c>
      <c r="AM126" s="51" t="str">
        <f t="shared" ca="1" si="59"/>
        <v/>
      </c>
      <c r="AN126" s="88" t="str">
        <f ca="1">IF(AH126="","",DATE(INDEX(OFFSET(Arb!$C$2,,,Arb!$AJ$5,),AH126),INDEX(OFFSET(Arb!$B$2,,,Arb!$AJ$5,),AH126),INDEX(OFFSET(Arb!$A$2,,,Arb!$AJ$5,),AH126))+ROW()*0.001)</f>
        <v/>
      </c>
      <c r="AO126" s="436">
        <v>101</v>
      </c>
      <c r="AQ126" s="52" t="str">
        <f ca="1">IF(AP126="","",INDEX(OFFSET(Arb!$H$2,,,Arb!$AJ$5,),AP126))</f>
        <v/>
      </c>
      <c r="AR126" s="3" t="str">
        <f t="shared" ca="1" si="50"/>
        <v/>
      </c>
      <c r="AS126" s="165" t="str">
        <f ca="1">IF(AP126="","",INDEX(OFFSET(Arb!$X$2,,,Arb!$AJ$5,),AP126)/AQ126)</f>
        <v/>
      </c>
      <c r="AT126" s="165" t="str">
        <f ca="1">IF(AP126="","",(INDEX(OFFSET(Arb!$U$2,,,Arb!$AJ$5,),AP126)+INDEX(OFFSET(Arb!$V$2,,,Arb!$AJ$5,),AP126))/AQ126)</f>
        <v/>
      </c>
      <c r="AU126" s="51" t="str">
        <f t="shared" ca="1" si="60"/>
        <v/>
      </c>
      <c r="AV126" s="91" t="str">
        <f ca="1">IF(AP126="","",DATE(INDEX(OFFSET(Arb!$C$2,,,Arb!$AJ$5,),AP126),INDEX(OFFSET(Arb!$B$2,,,Arb!$AJ$5,),AP126),INDEX(OFFSET(Arb!$A$2,,,Arb!$AJ$5,),AP126))+ROW()*0.001)</f>
        <v/>
      </c>
      <c r="AW126" s="442">
        <v>101</v>
      </c>
      <c r="AY126" s="52" t="str">
        <f ca="1">IF(AX126="","",INDEX(OFFSET(Arb!$H$2,,,Arb!$AJ$5,),AX126))</f>
        <v/>
      </c>
      <c r="AZ126" s="3" t="str">
        <f t="shared" ca="1" si="51"/>
        <v/>
      </c>
      <c r="BA126" s="165" t="str">
        <f ca="1">IF(AX126="","",INDEX(OFFSET(Arb!$X$2,,,Arb!$AJ$5,),AX126)/AY126)</f>
        <v/>
      </c>
      <c r="BB126" s="165" t="str">
        <f ca="1">IF(AX126="","",(INDEX(OFFSET(Arb!$U$2,,,Arb!$AJ$5,),AX126)+INDEX(OFFSET(Arb!$V$2,,,Arb!$AJ$5,),AX126))/AY126)</f>
        <v/>
      </c>
      <c r="BC126" s="51" t="str">
        <f t="shared" ca="1" si="61"/>
        <v/>
      </c>
      <c r="BD126" s="88" t="str">
        <f ca="1">IF(AX126="","",DATE(INDEX(OFFSET(Arb!$C$2,,,Arb!$AJ$5,),AX126),INDEX(OFFSET(Arb!$B$2,,,Arb!$AJ$5,),AX126),INDEX(OFFSET(Arb!$A$2,,,Arb!$AJ$5,),AX126))+ROW()*0.001)</f>
        <v/>
      </c>
      <c r="BE126" s="436">
        <v>101</v>
      </c>
      <c r="BG126" s="52" t="str">
        <f ca="1">IF(BF126="","",INDEX(OFFSET(Arb!$H$2,,,Arb!$AJ$5,),BF126))</f>
        <v/>
      </c>
      <c r="BH126" s="3" t="str">
        <f t="shared" ca="1" si="52"/>
        <v/>
      </c>
      <c r="BI126" s="165" t="str">
        <f ca="1">IF(BF126="","",INDEX(OFFSET(Arb!$X$2,,,Arb!$AJ$5,),BF126)/BG126)</f>
        <v/>
      </c>
      <c r="BJ126" s="165" t="str">
        <f ca="1">IF(BF126="","",(INDEX(OFFSET(Arb!$U$2,,,Arb!$AJ$5,),BF126)+INDEX(OFFSET(Arb!$V$2,,,Arb!$AJ$5,),BF126))/BG126)</f>
        <v/>
      </c>
      <c r="BK126" s="51" t="str">
        <f t="shared" ca="1" si="62"/>
        <v/>
      </c>
      <c r="BL126" s="91" t="str">
        <f ca="1">IF(BF126="","",DATE(INDEX(OFFSET(Arb!$C$2,,,Arb!$AJ$5,),BF126),INDEX(OFFSET(Arb!$B$2,,,Arb!$AJ$5,),BF126),INDEX(OFFSET(Arb!$A$2,,,Arb!$AJ$5,),BF126))+ROW()*0.001)</f>
        <v/>
      </c>
      <c r="BM126" s="442">
        <v>101</v>
      </c>
      <c r="BO126" s="52" t="str">
        <f ca="1">IF(BN126="","",INDEX(OFFSET(Arb!$H$2,,,Arb!$AJ$5,),BN126))</f>
        <v/>
      </c>
      <c r="BP126" s="3" t="str">
        <f t="shared" ca="1" si="53"/>
        <v/>
      </c>
      <c r="BQ126" s="165" t="str">
        <f ca="1">IF(BN126="","",INDEX(OFFSET(Arb!$X$2,,,Arb!$AJ$5,),BN126)/BO126)</f>
        <v/>
      </c>
      <c r="BR126" s="165" t="str">
        <f ca="1">IF(BN126="","",(INDEX(OFFSET(Arb!$U$2,,,Arb!$AJ$5,),BN126)+INDEX(OFFSET(Arb!$V$2,,,Arb!$AJ$5,),BN126))/BO126)</f>
        <v/>
      </c>
      <c r="BS126" s="51" t="str">
        <f t="shared" ca="1" si="63"/>
        <v/>
      </c>
      <c r="BT126" s="88" t="str">
        <f ca="1">IF(BN126="","",DATE(INDEX(OFFSET(Arb!$C$2,,,Arb!$AJ$5,),BN126),INDEX(OFFSET(Arb!$B$2,,,Arb!$AJ$5,),BN126),INDEX(OFFSET(Arb!$A$2,,,Arb!$AJ$5,),BN126))+ROW()*0.001)</f>
        <v/>
      </c>
      <c r="BU126" s="436">
        <v>101</v>
      </c>
      <c r="BW126" s="52" t="str">
        <f ca="1">IF(BV126="","",INDEX(OFFSET(Arb!$H$2,,,Arb!$AJ$5,),BV126))</f>
        <v/>
      </c>
      <c r="BX126" s="3" t="str">
        <f t="shared" ca="1" si="54"/>
        <v/>
      </c>
      <c r="BY126" s="165" t="str">
        <f ca="1">IF(BV126="","",INDEX(OFFSET(Arb!$X$2,,,Arb!$AJ$5,),BV126)/BW126)</f>
        <v/>
      </c>
      <c r="BZ126" s="165" t="str">
        <f ca="1">IF(BV126="","",(INDEX(OFFSET(Arb!$U$2,,,Arb!$AJ$5,),BV126)+INDEX(OFFSET(Arb!$V$2,,,Arb!$AJ$5,),BV126))/BW126)</f>
        <v/>
      </c>
      <c r="CA126" s="51" t="str">
        <f t="shared" ca="1" si="64"/>
        <v/>
      </c>
      <c r="CB126" s="91" t="str">
        <f ca="1">IF(BV126="","",DATE(INDEX(OFFSET(Arb!$C$2,,,Arb!$AJ$5,),BV126),INDEX(OFFSET(Arb!$B$2,,,Arb!$AJ$5,),BV126),INDEX(OFFSET(Arb!$A$2,,,Arb!$AJ$5,),BV126))+ROW()*0.001)</f>
        <v/>
      </c>
    </row>
    <row r="127" spans="1:80" x14ac:dyDescent="0.25">
      <c r="A127" s="436">
        <v>102</v>
      </c>
      <c r="C127" s="52" t="str">
        <f ca="1">IF(B127="","",INDEX(OFFSET(Arb!$H$2,,,Arb!$AJ$5,),B127))</f>
        <v/>
      </c>
      <c r="D127" s="3" t="str">
        <f t="shared" ca="1" si="45"/>
        <v/>
      </c>
      <c r="E127" s="165" t="str">
        <f ca="1">IF(B127="","",INDEX(OFFSET(Arb!$X$2,,,Arb!$AJ$5,),B127)/C127)</f>
        <v/>
      </c>
      <c r="F127" s="165" t="str">
        <f ca="1">IF(B127="","",(INDEX(OFFSET(Arb!$U$2,,,Arb!$AJ$5,),B127)+INDEX(OFFSET(Arb!$V$2,,,Arb!$AJ$5,),B127))/C127)</f>
        <v/>
      </c>
      <c r="G127" s="51" t="str">
        <f t="shared" ca="1" si="55"/>
        <v/>
      </c>
      <c r="H127" s="355" t="str">
        <f ca="1">IF(B127="","",DATE(INDEX(OFFSET(Arb!$C$2,,,Arb!$AJ$5,),B127),INDEX(OFFSET(Arb!$B$2,,,Arb!$AJ$5,),B127),INDEX(OFFSET(Arb!$A$2,,,Arb!$AJ$5,),B127))+ROW()*0.001)</f>
        <v/>
      </c>
      <c r="I127" s="436">
        <v>102</v>
      </c>
      <c r="K127" s="52" t="str">
        <f ca="1">IF(J127="","",INDEX(OFFSET(Arb!$H$2,,,Arb!$AJ$5,),J127))</f>
        <v/>
      </c>
      <c r="L127" s="3" t="str">
        <f t="shared" ca="1" si="46"/>
        <v/>
      </c>
      <c r="M127" s="165" t="str">
        <f ca="1">IF(J127="","",INDEX(OFFSET(Arb!$X$2,,,Arb!$AJ$5,),J127)/K127)</f>
        <v/>
      </c>
      <c r="N127" s="165" t="str">
        <f ca="1">IF(J127="","",(INDEX(OFFSET(Arb!$U$2,,,Arb!$AJ$5,),J127)+INDEX(OFFSET(Arb!$V$2,,,Arb!$AJ$5,),J127))/K127)</f>
        <v/>
      </c>
      <c r="O127" s="51" t="str">
        <f t="shared" ca="1" si="56"/>
        <v/>
      </c>
      <c r="P127" s="91" t="str">
        <f ca="1">IF(J127="","",DATE(INDEX(OFFSET(Arb!$C$2,,,Arb!$AJ$5,),J127),INDEX(OFFSET(Arb!$B$2,,,Arb!$AJ$5,),J127),INDEX(OFFSET(Arb!$A$2,,,Arb!$AJ$5,),J127))+ROW()*0.001)</f>
        <v/>
      </c>
      <c r="Q127" s="442">
        <v>102</v>
      </c>
      <c r="S127" s="52" t="str">
        <f ca="1">IF(R127="","",INDEX(OFFSET(Arb!$H$2,,,Arb!$AJ$5,),R127))</f>
        <v/>
      </c>
      <c r="T127" s="3" t="str">
        <f t="shared" ca="1" si="47"/>
        <v/>
      </c>
      <c r="U127" s="165" t="str">
        <f ca="1">IF(R127="","",INDEX(OFFSET(Arb!$X$2,,,Arb!$AJ$5,),R127)/S127)</f>
        <v/>
      </c>
      <c r="V127" s="165" t="str">
        <f ca="1">IF(R127="","",(INDEX(OFFSET(Arb!$U$2,,,Arb!$AJ$5,),R127)+INDEX(OFFSET(Arb!$V$2,,,Arb!$AJ$5,),R127))/S127)</f>
        <v/>
      </c>
      <c r="W127" s="51" t="str">
        <f t="shared" ca="1" si="57"/>
        <v/>
      </c>
      <c r="X127" s="88" t="str">
        <f ca="1">IF(R127="","",DATE(INDEX(OFFSET(Arb!$C$2,,,Arb!$AJ$5,),R127),INDEX(OFFSET(Arb!$B$2,,,Arb!$AJ$5,),R127),INDEX(OFFSET(Arb!$A$2,,,Arb!$AJ$5,),R127))+ROW()*0.001)</f>
        <v/>
      </c>
      <c r="Y127" s="436">
        <v>102</v>
      </c>
      <c r="AA127" s="52" t="str">
        <f ca="1">IF(Z127="","",INDEX(OFFSET(Arb!$H$2,,,Arb!$AJ$5,),Z127))</f>
        <v/>
      </c>
      <c r="AB127" s="3" t="str">
        <f t="shared" ca="1" si="48"/>
        <v/>
      </c>
      <c r="AC127" s="165" t="str">
        <f ca="1">IF(Z127="","",INDEX(OFFSET(Arb!$X$2,,,Arb!$AJ$5,),Z127)/AA127)</f>
        <v/>
      </c>
      <c r="AD127" s="165" t="str">
        <f ca="1">IF(Z127="","",(INDEX(OFFSET(Arb!$U$2,,,Arb!$AJ$5,),Z127)+INDEX(OFFSET(Arb!$V$2,,,Arb!$AJ$5,),Z127))/AA127)</f>
        <v/>
      </c>
      <c r="AE127" s="51" t="str">
        <f t="shared" ca="1" si="58"/>
        <v/>
      </c>
      <c r="AF127" s="91" t="str">
        <f ca="1">IF(Z127="","",DATE(INDEX(OFFSET(Arb!$C$2,,,Arb!$AJ$5,),Z127),INDEX(OFFSET(Arb!$B$2,,,Arb!$AJ$5,),Z127),INDEX(OFFSET(Arb!$A$2,,,Arb!$AJ$5,),Z127))+ROW()*0.001)</f>
        <v/>
      </c>
      <c r="AG127" s="442">
        <v>102</v>
      </c>
      <c r="AI127" s="52" t="str">
        <f ca="1">IF(AH127="","",INDEX(OFFSET(Arb!$H$2,,,Arb!$AJ$5,),AH127))</f>
        <v/>
      </c>
      <c r="AJ127" s="3" t="str">
        <f t="shared" ca="1" si="49"/>
        <v/>
      </c>
      <c r="AK127" s="165" t="str">
        <f ca="1">IF(AH127="","",INDEX(OFFSET(Arb!$X$2,,,Arb!$AJ$5,),AH127)/AI127)</f>
        <v/>
      </c>
      <c r="AL127" s="165" t="str">
        <f ca="1">IF(AH127="","",(INDEX(OFFSET(Arb!$U$2,,,Arb!$AJ$5,),AH127)+INDEX(OFFSET(Arb!$V$2,,,Arb!$AJ$5,),AH127))/AI127)</f>
        <v/>
      </c>
      <c r="AM127" s="51" t="str">
        <f t="shared" ca="1" si="59"/>
        <v/>
      </c>
      <c r="AN127" s="88" t="str">
        <f ca="1">IF(AH127="","",DATE(INDEX(OFFSET(Arb!$C$2,,,Arb!$AJ$5,),AH127),INDEX(OFFSET(Arb!$B$2,,,Arb!$AJ$5,),AH127),INDEX(OFFSET(Arb!$A$2,,,Arb!$AJ$5,),AH127))+ROW()*0.001)</f>
        <v/>
      </c>
      <c r="AO127" s="436">
        <v>102</v>
      </c>
      <c r="AQ127" s="52" t="str">
        <f ca="1">IF(AP127="","",INDEX(OFFSET(Arb!$H$2,,,Arb!$AJ$5,),AP127))</f>
        <v/>
      </c>
      <c r="AR127" s="3" t="str">
        <f t="shared" ca="1" si="50"/>
        <v/>
      </c>
      <c r="AS127" s="165" t="str">
        <f ca="1">IF(AP127="","",INDEX(OFFSET(Arb!$X$2,,,Arb!$AJ$5,),AP127)/AQ127)</f>
        <v/>
      </c>
      <c r="AT127" s="165" t="str">
        <f ca="1">IF(AP127="","",(INDEX(OFFSET(Arb!$U$2,,,Arb!$AJ$5,),AP127)+INDEX(OFFSET(Arb!$V$2,,,Arb!$AJ$5,),AP127))/AQ127)</f>
        <v/>
      </c>
      <c r="AU127" s="51" t="str">
        <f t="shared" ca="1" si="60"/>
        <v/>
      </c>
      <c r="AV127" s="91" t="str">
        <f ca="1">IF(AP127="","",DATE(INDEX(OFFSET(Arb!$C$2,,,Arb!$AJ$5,),AP127),INDEX(OFFSET(Arb!$B$2,,,Arb!$AJ$5,),AP127),INDEX(OFFSET(Arb!$A$2,,,Arb!$AJ$5,),AP127))+ROW()*0.001)</f>
        <v/>
      </c>
      <c r="AW127" s="442">
        <v>102</v>
      </c>
      <c r="AY127" s="52" t="str">
        <f ca="1">IF(AX127="","",INDEX(OFFSET(Arb!$H$2,,,Arb!$AJ$5,),AX127))</f>
        <v/>
      </c>
      <c r="AZ127" s="3" t="str">
        <f t="shared" ca="1" si="51"/>
        <v/>
      </c>
      <c r="BA127" s="165" t="str">
        <f ca="1">IF(AX127="","",INDEX(OFFSET(Arb!$X$2,,,Arb!$AJ$5,),AX127)/AY127)</f>
        <v/>
      </c>
      <c r="BB127" s="165" t="str">
        <f ca="1">IF(AX127="","",(INDEX(OFFSET(Arb!$U$2,,,Arb!$AJ$5,),AX127)+INDEX(OFFSET(Arb!$V$2,,,Arb!$AJ$5,),AX127))/AY127)</f>
        <v/>
      </c>
      <c r="BC127" s="51" t="str">
        <f t="shared" ca="1" si="61"/>
        <v/>
      </c>
      <c r="BD127" s="88" t="str">
        <f ca="1">IF(AX127="","",DATE(INDEX(OFFSET(Arb!$C$2,,,Arb!$AJ$5,),AX127),INDEX(OFFSET(Arb!$B$2,,,Arb!$AJ$5,),AX127),INDEX(OFFSET(Arb!$A$2,,,Arb!$AJ$5,),AX127))+ROW()*0.001)</f>
        <v/>
      </c>
      <c r="BE127" s="436">
        <v>102</v>
      </c>
      <c r="BG127" s="52" t="str">
        <f ca="1">IF(BF127="","",INDEX(OFFSET(Arb!$H$2,,,Arb!$AJ$5,),BF127))</f>
        <v/>
      </c>
      <c r="BH127" s="3" t="str">
        <f t="shared" ca="1" si="52"/>
        <v/>
      </c>
      <c r="BI127" s="165" t="str">
        <f ca="1">IF(BF127="","",INDEX(OFFSET(Arb!$X$2,,,Arb!$AJ$5,),BF127)/BG127)</f>
        <v/>
      </c>
      <c r="BJ127" s="165" t="str">
        <f ca="1">IF(BF127="","",(INDEX(OFFSET(Arb!$U$2,,,Arb!$AJ$5,),BF127)+INDEX(OFFSET(Arb!$V$2,,,Arb!$AJ$5,),BF127))/BG127)</f>
        <v/>
      </c>
      <c r="BK127" s="51" t="str">
        <f t="shared" ca="1" si="62"/>
        <v/>
      </c>
      <c r="BL127" s="91" t="str">
        <f ca="1">IF(BF127="","",DATE(INDEX(OFFSET(Arb!$C$2,,,Arb!$AJ$5,),BF127),INDEX(OFFSET(Arb!$B$2,,,Arb!$AJ$5,),BF127),INDEX(OFFSET(Arb!$A$2,,,Arb!$AJ$5,),BF127))+ROW()*0.001)</f>
        <v/>
      </c>
      <c r="BM127" s="442">
        <v>102</v>
      </c>
      <c r="BO127" s="52" t="str">
        <f ca="1">IF(BN127="","",INDEX(OFFSET(Arb!$H$2,,,Arb!$AJ$5,),BN127))</f>
        <v/>
      </c>
      <c r="BP127" s="3" t="str">
        <f t="shared" ca="1" si="53"/>
        <v/>
      </c>
      <c r="BQ127" s="165" t="str">
        <f ca="1">IF(BN127="","",INDEX(OFFSET(Arb!$X$2,,,Arb!$AJ$5,),BN127)/BO127)</f>
        <v/>
      </c>
      <c r="BR127" s="165" t="str">
        <f ca="1">IF(BN127="","",(INDEX(OFFSET(Arb!$U$2,,,Arb!$AJ$5,),BN127)+INDEX(OFFSET(Arb!$V$2,,,Arb!$AJ$5,),BN127))/BO127)</f>
        <v/>
      </c>
      <c r="BS127" s="51" t="str">
        <f t="shared" ca="1" si="63"/>
        <v/>
      </c>
      <c r="BT127" s="88" t="str">
        <f ca="1">IF(BN127="","",DATE(INDEX(OFFSET(Arb!$C$2,,,Arb!$AJ$5,),BN127),INDEX(OFFSET(Arb!$B$2,,,Arb!$AJ$5,),BN127),INDEX(OFFSET(Arb!$A$2,,,Arb!$AJ$5,),BN127))+ROW()*0.001)</f>
        <v/>
      </c>
      <c r="BU127" s="436">
        <v>102</v>
      </c>
      <c r="BW127" s="52" t="str">
        <f ca="1">IF(BV127="","",INDEX(OFFSET(Arb!$H$2,,,Arb!$AJ$5,),BV127))</f>
        <v/>
      </c>
      <c r="BX127" s="3" t="str">
        <f t="shared" ca="1" si="54"/>
        <v/>
      </c>
      <c r="BY127" s="165" t="str">
        <f ca="1">IF(BV127="","",INDEX(OFFSET(Arb!$X$2,,,Arb!$AJ$5,),BV127)/BW127)</f>
        <v/>
      </c>
      <c r="BZ127" s="165" t="str">
        <f ca="1">IF(BV127="","",(INDEX(OFFSET(Arb!$U$2,,,Arb!$AJ$5,),BV127)+INDEX(OFFSET(Arb!$V$2,,,Arb!$AJ$5,),BV127))/BW127)</f>
        <v/>
      </c>
      <c r="CA127" s="51" t="str">
        <f t="shared" ca="1" si="64"/>
        <v/>
      </c>
      <c r="CB127" s="91" t="str">
        <f ca="1">IF(BV127="","",DATE(INDEX(OFFSET(Arb!$C$2,,,Arb!$AJ$5,),BV127),INDEX(OFFSET(Arb!$B$2,,,Arb!$AJ$5,),BV127),INDEX(OFFSET(Arb!$A$2,,,Arb!$AJ$5,),BV127))+ROW()*0.001)</f>
        <v/>
      </c>
    </row>
    <row r="128" spans="1:80" x14ac:dyDescent="0.25">
      <c r="A128" s="436">
        <v>103</v>
      </c>
      <c r="C128" s="52" t="str">
        <f ca="1">IF(B128="","",INDEX(OFFSET(Arb!$H$2,,,Arb!$AJ$5,),B128))</f>
        <v/>
      </c>
      <c r="D128" s="3" t="str">
        <f t="shared" ca="1" si="45"/>
        <v/>
      </c>
      <c r="E128" s="165" t="str">
        <f ca="1">IF(B128="","",INDEX(OFFSET(Arb!$X$2,,,Arb!$AJ$5,),B128)/C128)</f>
        <v/>
      </c>
      <c r="F128" s="165" t="str">
        <f ca="1">IF(B128="","",(INDEX(OFFSET(Arb!$U$2,,,Arb!$AJ$5,),B128)+INDEX(OFFSET(Arb!$V$2,,,Arb!$AJ$5,),B128))/C128)</f>
        <v/>
      </c>
      <c r="G128" s="51" t="str">
        <f t="shared" ca="1" si="55"/>
        <v/>
      </c>
      <c r="H128" s="355" t="str">
        <f ca="1">IF(B128="","",DATE(INDEX(OFFSET(Arb!$C$2,,,Arb!$AJ$5,),B128),INDEX(OFFSET(Arb!$B$2,,,Arb!$AJ$5,),B128),INDEX(OFFSET(Arb!$A$2,,,Arb!$AJ$5,),B128))+ROW()*0.001)</f>
        <v/>
      </c>
      <c r="I128" s="436">
        <v>103</v>
      </c>
      <c r="K128" s="52" t="str">
        <f ca="1">IF(J128="","",INDEX(OFFSET(Arb!$H$2,,,Arb!$AJ$5,),J128))</f>
        <v/>
      </c>
      <c r="L128" s="3" t="str">
        <f t="shared" ca="1" si="46"/>
        <v/>
      </c>
      <c r="M128" s="165" t="str">
        <f ca="1">IF(J128="","",INDEX(OFFSET(Arb!$X$2,,,Arb!$AJ$5,),J128)/K128)</f>
        <v/>
      </c>
      <c r="N128" s="165" t="str">
        <f ca="1">IF(J128="","",(INDEX(OFFSET(Arb!$U$2,,,Arb!$AJ$5,),J128)+INDEX(OFFSET(Arb!$V$2,,,Arb!$AJ$5,),J128))/K128)</f>
        <v/>
      </c>
      <c r="O128" s="51" t="str">
        <f t="shared" ca="1" si="56"/>
        <v/>
      </c>
      <c r="P128" s="91" t="str">
        <f ca="1">IF(J128="","",DATE(INDEX(OFFSET(Arb!$C$2,,,Arb!$AJ$5,),J128),INDEX(OFFSET(Arb!$B$2,,,Arb!$AJ$5,),J128),INDEX(OFFSET(Arb!$A$2,,,Arb!$AJ$5,),J128))+ROW()*0.001)</f>
        <v/>
      </c>
      <c r="Q128" s="442">
        <v>103</v>
      </c>
      <c r="S128" s="52" t="str">
        <f ca="1">IF(R128="","",INDEX(OFFSET(Arb!$H$2,,,Arb!$AJ$5,),R128))</f>
        <v/>
      </c>
      <c r="T128" s="3" t="str">
        <f t="shared" ca="1" si="47"/>
        <v/>
      </c>
      <c r="U128" s="165" t="str">
        <f ca="1">IF(R128="","",INDEX(OFFSET(Arb!$X$2,,,Arb!$AJ$5,),R128)/S128)</f>
        <v/>
      </c>
      <c r="V128" s="165" t="str">
        <f ca="1">IF(R128="","",(INDEX(OFFSET(Arb!$U$2,,,Arb!$AJ$5,),R128)+INDEX(OFFSET(Arb!$V$2,,,Arb!$AJ$5,),R128))/S128)</f>
        <v/>
      </c>
      <c r="W128" s="51" t="str">
        <f t="shared" ca="1" si="57"/>
        <v/>
      </c>
      <c r="X128" s="88" t="str">
        <f ca="1">IF(R128="","",DATE(INDEX(OFFSET(Arb!$C$2,,,Arb!$AJ$5,),R128),INDEX(OFFSET(Arb!$B$2,,,Arb!$AJ$5,),R128),INDEX(OFFSET(Arb!$A$2,,,Arb!$AJ$5,),R128))+ROW()*0.001)</f>
        <v/>
      </c>
      <c r="Y128" s="436">
        <v>103</v>
      </c>
      <c r="AA128" s="52" t="str">
        <f ca="1">IF(Z128="","",INDEX(OFFSET(Arb!$H$2,,,Arb!$AJ$5,),Z128))</f>
        <v/>
      </c>
      <c r="AB128" s="3" t="str">
        <f t="shared" ca="1" si="48"/>
        <v/>
      </c>
      <c r="AC128" s="165" t="str">
        <f ca="1">IF(Z128="","",INDEX(OFFSET(Arb!$X$2,,,Arb!$AJ$5,),Z128)/AA128)</f>
        <v/>
      </c>
      <c r="AD128" s="165" t="str">
        <f ca="1">IF(Z128="","",(INDEX(OFFSET(Arb!$U$2,,,Arb!$AJ$5,),Z128)+INDEX(OFFSET(Arb!$V$2,,,Arb!$AJ$5,),Z128))/AA128)</f>
        <v/>
      </c>
      <c r="AE128" s="51" t="str">
        <f t="shared" ca="1" si="58"/>
        <v/>
      </c>
      <c r="AF128" s="91" t="str">
        <f ca="1">IF(Z128="","",DATE(INDEX(OFFSET(Arb!$C$2,,,Arb!$AJ$5,),Z128),INDEX(OFFSET(Arb!$B$2,,,Arb!$AJ$5,),Z128),INDEX(OFFSET(Arb!$A$2,,,Arb!$AJ$5,),Z128))+ROW()*0.001)</f>
        <v/>
      </c>
      <c r="AG128" s="442">
        <v>103</v>
      </c>
      <c r="AI128" s="52" t="str">
        <f ca="1">IF(AH128="","",INDEX(OFFSET(Arb!$H$2,,,Arb!$AJ$5,),AH128))</f>
        <v/>
      </c>
      <c r="AJ128" s="3" t="str">
        <f t="shared" ca="1" si="49"/>
        <v/>
      </c>
      <c r="AK128" s="165" t="str">
        <f ca="1">IF(AH128="","",INDEX(OFFSET(Arb!$X$2,,,Arb!$AJ$5,),AH128)/AI128)</f>
        <v/>
      </c>
      <c r="AL128" s="165" t="str">
        <f ca="1">IF(AH128="","",(INDEX(OFFSET(Arb!$U$2,,,Arb!$AJ$5,),AH128)+INDEX(OFFSET(Arb!$V$2,,,Arb!$AJ$5,),AH128))/AI128)</f>
        <v/>
      </c>
      <c r="AM128" s="51" t="str">
        <f t="shared" ca="1" si="59"/>
        <v/>
      </c>
      <c r="AN128" s="88" t="str">
        <f ca="1">IF(AH128="","",DATE(INDEX(OFFSET(Arb!$C$2,,,Arb!$AJ$5,),AH128),INDEX(OFFSET(Arb!$B$2,,,Arb!$AJ$5,),AH128),INDEX(OFFSET(Arb!$A$2,,,Arb!$AJ$5,),AH128))+ROW()*0.001)</f>
        <v/>
      </c>
      <c r="AO128" s="436">
        <v>103</v>
      </c>
      <c r="AQ128" s="52" t="str">
        <f ca="1">IF(AP128="","",INDEX(OFFSET(Arb!$H$2,,,Arb!$AJ$5,),AP128))</f>
        <v/>
      </c>
      <c r="AR128" s="3" t="str">
        <f t="shared" ca="1" si="50"/>
        <v/>
      </c>
      <c r="AS128" s="165" t="str">
        <f ca="1">IF(AP128="","",INDEX(OFFSET(Arb!$X$2,,,Arb!$AJ$5,),AP128)/AQ128)</f>
        <v/>
      </c>
      <c r="AT128" s="165" t="str">
        <f ca="1">IF(AP128="","",(INDEX(OFFSET(Arb!$U$2,,,Arb!$AJ$5,),AP128)+INDEX(OFFSET(Arb!$V$2,,,Arb!$AJ$5,),AP128))/AQ128)</f>
        <v/>
      </c>
      <c r="AU128" s="51" t="str">
        <f t="shared" ca="1" si="60"/>
        <v/>
      </c>
      <c r="AV128" s="91" t="str">
        <f ca="1">IF(AP128="","",DATE(INDEX(OFFSET(Arb!$C$2,,,Arb!$AJ$5,),AP128),INDEX(OFFSET(Arb!$B$2,,,Arb!$AJ$5,),AP128),INDEX(OFFSET(Arb!$A$2,,,Arb!$AJ$5,),AP128))+ROW()*0.001)</f>
        <v/>
      </c>
      <c r="AW128" s="442">
        <v>103</v>
      </c>
      <c r="AY128" s="52" t="str">
        <f ca="1">IF(AX128="","",INDEX(OFFSET(Arb!$H$2,,,Arb!$AJ$5,),AX128))</f>
        <v/>
      </c>
      <c r="AZ128" s="3" t="str">
        <f t="shared" ca="1" si="51"/>
        <v/>
      </c>
      <c r="BA128" s="165" t="str">
        <f ca="1">IF(AX128="","",INDEX(OFFSET(Arb!$X$2,,,Arb!$AJ$5,),AX128)/AY128)</f>
        <v/>
      </c>
      <c r="BB128" s="165" t="str">
        <f ca="1">IF(AX128="","",(INDEX(OFFSET(Arb!$U$2,,,Arb!$AJ$5,),AX128)+INDEX(OFFSET(Arb!$V$2,,,Arb!$AJ$5,),AX128))/AY128)</f>
        <v/>
      </c>
      <c r="BC128" s="51" t="str">
        <f t="shared" ca="1" si="61"/>
        <v/>
      </c>
      <c r="BD128" s="88" t="str">
        <f ca="1">IF(AX128="","",DATE(INDEX(OFFSET(Arb!$C$2,,,Arb!$AJ$5,),AX128),INDEX(OFFSET(Arb!$B$2,,,Arb!$AJ$5,),AX128),INDEX(OFFSET(Arb!$A$2,,,Arb!$AJ$5,),AX128))+ROW()*0.001)</f>
        <v/>
      </c>
      <c r="BE128" s="436">
        <v>103</v>
      </c>
      <c r="BG128" s="52" t="str">
        <f ca="1">IF(BF128="","",INDEX(OFFSET(Arb!$H$2,,,Arb!$AJ$5,),BF128))</f>
        <v/>
      </c>
      <c r="BH128" s="3" t="str">
        <f t="shared" ca="1" si="52"/>
        <v/>
      </c>
      <c r="BI128" s="165" t="str">
        <f ca="1">IF(BF128="","",INDEX(OFFSET(Arb!$X$2,,,Arb!$AJ$5,),BF128)/BG128)</f>
        <v/>
      </c>
      <c r="BJ128" s="165" t="str">
        <f ca="1">IF(BF128="","",(INDEX(OFFSET(Arb!$U$2,,,Arb!$AJ$5,),BF128)+INDEX(OFFSET(Arb!$V$2,,,Arb!$AJ$5,),BF128))/BG128)</f>
        <v/>
      </c>
      <c r="BK128" s="51" t="str">
        <f t="shared" ca="1" si="62"/>
        <v/>
      </c>
      <c r="BL128" s="91" t="str">
        <f ca="1">IF(BF128="","",DATE(INDEX(OFFSET(Arb!$C$2,,,Arb!$AJ$5,),BF128),INDEX(OFFSET(Arb!$B$2,,,Arb!$AJ$5,),BF128),INDEX(OFFSET(Arb!$A$2,,,Arb!$AJ$5,),BF128))+ROW()*0.001)</f>
        <v/>
      </c>
      <c r="BM128" s="442">
        <v>103</v>
      </c>
      <c r="BO128" s="52" t="str">
        <f ca="1">IF(BN128="","",INDEX(OFFSET(Arb!$H$2,,,Arb!$AJ$5,),BN128))</f>
        <v/>
      </c>
      <c r="BP128" s="3" t="str">
        <f t="shared" ca="1" si="53"/>
        <v/>
      </c>
      <c r="BQ128" s="165" t="str">
        <f ca="1">IF(BN128="","",INDEX(OFFSET(Arb!$X$2,,,Arb!$AJ$5,),BN128)/BO128)</f>
        <v/>
      </c>
      <c r="BR128" s="165" t="str">
        <f ca="1">IF(BN128="","",(INDEX(OFFSET(Arb!$U$2,,,Arb!$AJ$5,),BN128)+INDEX(OFFSET(Arb!$V$2,,,Arb!$AJ$5,),BN128))/BO128)</f>
        <v/>
      </c>
      <c r="BS128" s="51" t="str">
        <f t="shared" ca="1" si="63"/>
        <v/>
      </c>
      <c r="BT128" s="88" t="str">
        <f ca="1">IF(BN128="","",DATE(INDEX(OFFSET(Arb!$C$2,,,Arb!$AJ$5,),BN128),INDEX(OFFSET(Arb!$B$2,,,Arb!$AJ$5,),BN128),INDEX(OFFSET(Arb!$A$2,,,Arb!$AJ$5,),BN128))+ROW()*0.001)</f>
        <v/>
      </c>
      <c r="BU128" s="436">
        <v>103</v>
      </c>
      <c r="BW128" s="52" t="str">
        <f ca="1">IF(BV128="","",INDEX(OFFSET(Arb!$H$2,,,Arb!$AJ$5,),BV128))</f>
        <v/>
      </c>
      <c r="BX128" s="3" t="str">
        <f t="shared" ca="1" si="54"/>
        <v/>
      </c>
      <c r="BY128" s="165" t="str">
        <f ca="1">IF(BV128="","",INDEX(OFFSET(Arb!$X$2,,,Arb!$AJ$5,),BV128)/BW128)</f>
        <v/>
      </c>
      <c r="BZ128" s="165" t="str">
        <f ca="1">IF(BV128="","",(INDEX(OFFSET(Arb!$U$2,,,Arb!$AJ$5,),BV128)+INDEX(OFFSET(Arb!$V$2,,,Arb!$AJ$5,),BV128))/BW128)</f>
        <v/>
      </c>
      <c r="CA128" s="51" t="str">
        <f t="shared" ca="1" si="64"/>
        <v/>
      </c>
      <c r="CB128" s="91" t="str">
        <f ca="1">IF(BV128="","",DATE(INDEX(OFFSET(Arb!$C$2,,,Arb!$AJ$5,),BV128),INDEX(OFFSET(Arb!$B$2,,,Arb!$AJ$5,),BV128),INDEX(OFFSET(Arb!$A$2,,,Arb!$AJ$5,),BV128))+ROW()*0.001)</f>
        <v/>
      </c>
    </row>
    <row r="129" spans="1:80" x14ac:dyDescent="0.25">
      <c r="A129" s="436">
        <v>104</v>
      </c>
      <c r="C129" s="52" t="str">
        <f ca="1">IF(B129="","",INDEX(OFFSET(Arb!$H$2,,,Arb!$AJ$5,),B129))</f>
        <v/>
      </c>
      <c r="D129" s="3" t="str">
        <f t="shared" ca="1" si="45"/>
        <v/>
      </c>
      <c r="E129" s="165" t="str">
        <f ca="1">IF(B129="","",INDEX(OFFSET(Arb!$X$2,,,Arb!$AJ$5,),B129)/C129)</f>
        <v/>
      </c>
      <c r="F129" s="165" t="str">
        <f ca="1">IF(B129="","",(INDEX(OFFSET(Arb!$U$2,,,Arb!$AJ$5,),B129)+INDEX(OFFSET(Arb!$V$2,,,Arb!$AJ$5,),B129))/C129)</f>
        <v/>
      </c>
      <c r="G129" s="51" t="str">
        <f t="shared" ca="1" si="55"/>
        <v/>
      </c>
      <c r="H129" s="355" t="str">
        <f ca="1">IF(B129="","",DATE(INDEX(OFFSET(Arb!$C$2,,,Arb!$AJ$5,),B129),INDEX(OFFSET(Arb!$B$2,,,Arb!$AJ$5,),B129),INDEX(OFFSET(Arb!$A$2,,,Arb!$AJ$5,),B129))+ROW()*0.001)</f>
        <v/>
      </c>
      <c r="I129" s="436">
        <v>104</v>
      </c>
      <c r="K129" s="52" t="str">
        <f ca="1">IF(J129="","",INDEX(OFFSET(Arb!$H$2,,,Arb!$AJ$5,),J129))</f>
        <v/>
      </c>
      <c r="L129" s="3" t="str">
        <f t="shared" ca="1" si="46"/>
        <v/>
      </c>
      <c r="M129" s="165" t="str">
        <f ca="1">IF(J129="","",INDEX(OFFSET(Arb!$X$2,,,Arb!$AJ$5,),J129)/K129)</f>
        <v/>
      </c>
      <c r="N129" s="165" t="str">
        <f ca="1">IF(J129="","",(INDEX(OFFSET(Arb!$U$2,,,Arb!$AJ$5,),J129)+INDEX(OFFSET(Arb!$V$2,,,Arb!$AJ$5,),J129))/K129)</f>
        <v/>
      </c>
      <c r="O129" s="51" t="str">
        <f t="shared" ca="1" si="56"/>
        <v/>
      </c>
      <c r="P129" s="91" t="str">
        <f ca="1">IF(J129="","",DATE(INDEX(OFFSET(Arb!$C$2,,,Arb!$AJ$5,),J129),INDEX(OFFSET(Arb!$B$2,,,Arb!$AJ$5,),J129),INDEX(OFFSET(Arb!$A$2,,,Arb!$AJ$5,),J129))+ROW()*0.001)</f>
        <v/>
      </c>
      <c r="Q129" s="442">
        <v>104</v>
      </c>
      <c r="S129" s="52" t="str">
        <f ca="1">IF(R129="","",INDEX(OFFSET(Arb!$H$2,,,Arb!$AJ$5,),R129))</f>
        <v/>
      </c>
      <c r="T129" s="3" t="str">
        <f t="shared" ca="1" si="47"/>
        <v/>
      </c>
      <c r="U129" s="165" t="str">
        <f ca="1">IF(R129="","",INDEX(OFFSET(Arb!$X$2,,,Arb!$AJ$5,),R129)/S129)</f>
        <v/>
      </c>
      <c r="V129" s="165" t="str">
        <f ca="1">IF(R129="","",(INDEX(OFFSET(Arb!$U$2,,,Arb!$AJ$5,),R129)+INDEX(OFFSET(Arb!$V$2,,,Arb!$AJ$5,),R129))/S129)</f>
        <v/>
      </c>
      <c r="W129" s="51" t="str">
        <f t="shared" ca="1" si="57"/>
        <v/>
      </c>
      <c r="X129" s="88" t="str">
        <f ca="1">IF(R129="","",DATE(INDEX(OFFSET(Arb!$C$2,,,Arb!$AJ$5,),R129),INDEX(OFFSET(Arb!$B$2,,,Arb!$AJ$5,),R129),INDEX(OFFSET(Arb!$A$2,,,Arb!$AJ$5,),R129))+ROW()*0.001)</f>
        <v/>
      </c>
      <c r="Y129" s="436">
        <v>104</v>
      </c>
      <c r="AA129" s="52" t="str">
        <f ca="1">IF(Z129="","",INDEX(OFFSET(Arb!$H$2,,,Arb!$AJ$5,),Z129))</f>
        <v/>
      </c>
      <c r="AB129" s="3" t="str">
        <f t="shared" ca="1" si="48"/>
        <v/>
      </c>
      <c r="AC129" s="165" t="str">
        <f ca="1">IF(Z129="","",INDEX(OFFSET(Arb!$X$2,,,Arb!$AJ$5,),Z129)/AA129)</f>
        <v/>
      </c>
      <c r="AD129" s="165" t="str">
        <f ca="1">IF(Z129="","",(INDEX(OFFSET(Arb!$U$2,,,Arb!$AJ$5,),Z129)+INDEX(OFFSET(Arb!$V$2,,,Arb!$AJ$5,),Z129))/AA129)</f>
        <v/>
      </c>
      <c r="AE129" s="51" t="str">
        <f t="shared" ca="1" si="58"/>
        <v/>
      </c>
      <c r="AF129" s="91" t="str">
        <f ca="1">IF(Z129="","",DATE(INDEX(OFFSET(Arb!$C$2,,,Arb!$AJ$5,),Z129),INDEX(OFFSET(Arb!$B$2,,,Arb!$AJ$5,),Z129),INDEX(OFFSET(Arb!$A$2,,,Arb!$AJ$5,),Z129))+ROW()*0.001)</f>
        <v/>
      </c>
      <c r="AG129" s="442">
        <v>104</v>
      </c>
      <c r="AI129" s="52" t="str">
        <f ca="1">IF(AH129="","",INDEX(OFFSET(Arb!$H$2,,,Arb!$AJ$5,),AH129))</f>
        <v/>
      </c>
      <c r="AJ129" s="3" t="str">
        <f t="shared" ca="1" si="49"/>
        <v/>
      </c>
      <c r="AK129" s="165" t="str">
        <f ca="1">IF(AH129="","",INDEX(OFFSET(Arb!$X$2,,,Arb!$AJ$5,),AH129)/AI129)</f>
        <v/>
      </c>
      <c r="AL129" s="165" t="str">
        <f ca="1">IF(AH129="","",(INDEX(OFFSET(Arb!$U$2,,,Arb!$AJ$5,),AH129)+INDEX(OFFSET(Arb!$V$2,,,Arb!$AJ$5,),AH129))/AI129)</f>
        <v/>
      </c>
      <c r="AM129" s="51" t="str">
        <f t="shared" ca="1" si="59"/>
        <v/>
      </c>
      <c r="AN129" s="88" t="str">
        <f ca="1">IF(AH129="","",DATE(INDEX(OFFSET(Arb!$C$2,,,Arb!$AJ$5,),AH129),INDEX(OFFSET(Arb!$B$2,,,Arb!$AJ$5,),AH129),INDEX(OFFSET(Arb!$A$2,,,Arb!$AJ$5,),AH129))+ROW()*0.001)</f>
        <v/>
      </c>
      <c r="AO129" s="436">
        <v>104</v>
      </c>
      <c r="AQ129" s="52" t="str">
        <f ca="1">IF(AP129="","",INDEX(OFFSET(Arb!$H$2,,,Arb!$AJ$5,),AP129))</f>
        <v/>
      </c>
      <c r="AR129" s="3" t="str">
        <f t="shared" ca="1" si="50"/>
        <v/>
      </c>
      <c r="AS129" s="165" t="str">
        <f ca="1">IF(AP129="","",INDEX(OFFSET(Arb!$X$2,,,Arb!$AJ$5,),AP129)/AQ129)</f>
        <v/>
      </c>
      <c r="AT129" s="165" t="str">
        <f ca="1">IF(AP129="","",(INDEX(OFFSET(Arb!$U$2,,,Arb!$AJ$5,),AP129)+INDEX(OFFSET(Arb!$V$2,,,Arb!$AJ$5,),AP129))/AQ129)</f>
        <v/>
      </c>
      <c r="AU129" s="51" t="str">
        <f t="shared" ca="1" si="60"/>
        <v/>
      </c>
      <c r="AV129" s="91" t="str">
        <f ca="1">IF(AP129="","",DATE(INDEX(OFFSET(Arb!$C$2,,,Arb!$AJ$5,),AP129),INDEX(OFFSET(Arb!$B$2,,,Arb!$AJ$5,),AP129),INDEX(OFFSET(Arb!$A$2,,,Arb!$AJ$5,),AP129))+ROW()*0.001)</f>
        <v/>
      </c>
      <c r="AW129" s="442">
        <v>104</v>
      </c>
      <c r="AY129" s="52" t="str">
        <f ca="1">IF(AX129="","",INDEX(OFFSET(Arb!$H$2,,,Arb!$AJ$5,),AX129))</f>
        <v/>
      </c>
      <c r="AZ129" s="3" t="str">
        <f t="shared" ca="1" si="51"/>
        <v/>
      </c>
      <c r="BA129" s="165" t="str">
        <f ca="1">IF(AX129="","",INDEX(OFFSET(Arb!$X$2,,,Arb!$AJ$5,),AX129)/AY129)</f>
        <v/>
      </c>
      <c r="BB129" s="165" t="str">
        <f ca="1">IF(AX129="","",(INDEX(OFFSET(Arb!$U$2,,,Arb!$AJ$5,),AX129)+INDEX(OFFSET(Arb!$V$2,,,Arb!$AJ$5,),AX129))/AY129)</f>
        <v/>
      </c>
      <c r="BC129" s="51" t="str">
        <f t="shared" ca="1" si="61"/>
        <v/>
      </c>
      <c r="BD129" s="88" t="str">
        <f ca="1">IF(AX129="","",DATE(INDEX(OFFSET(Arb!$C$2,,,Arb!$AJ$5,),AX129),INDEX(OFFSET(Arb!$B$2,,,Arb!$AJ$5,),AX129),INDEX(OFFSET(Arb!$A$2,,,Arb!$AJ$5,),AX129))+ROW()*0.001)</f>
        <v/>
      </c>
      <c r="BE129" s="436">
        <v>104</v>
      </c>
      <c r="BG129" s="52" t="str">
        <f ca="1">IF(BF129="","",INDEX(OFFSET(Arb!$H$2,,,Arb!$AJ$5,),BF129))</f>
        <v/>
      </c>
      <c r="BH129" s="3" t="str">
        <f t="shared" ca="1" si="52"/>
        <v/>
      </c>
      <c r="BI129" s="165" t="str">
        <f ca="1">IF(BF129="","",INDEX(OFFSET(Arb!$X$2,,,Arb!$AJ$5,),BF129)/BG129)</f>
        <v/>
      </c>
      <c r="BJ129" s="165" t="str">
        <f ca="1">IF(BF129="","",(INDEX(OFFSET(Arb!$U$2,,,Arb!$AJ$5,),BF129)+INDEX(OFFSET(Arb!$V$2,,,Arb!$AJ$5,),BF129))/BG129)</f>
        <v/>
      </c>
      <c r="BK129" s="51" t="str">
        <f t="shared" ca="1" si="62"/>
        <v/>
      </c>
      <c r="BL129" s="91" t="str">
        <f ca="1">IF(BF129="","",DATE(INDEX(OFFSET(Arb!$C$2,,,Arb!$AJ$5,),BF129),INDEX(OFFSET(Arb!$B$2,,,Arb!$AJ$5,),BF129),INDEX(OFFSET(Arb!$A$2,,,Arb!$AJ$5,),BF129))+ROW()*0.001)</f>
        <v/>
      </c>
      <c r="BM129" s="442">
        <v>104</v>
      </c>
      <c r="BO129" s="52" t="str">
        <f ca="1">IF(BN129="","",INDEX(OFFSET(Arb!$H$2,,,Arb!$AJ$5,),BN129))</f>
        <v/>
      </c>
      <c r="BP129" s="3" t="str">
        <f t="shared" ca="1" si="53"/>
        <v/>
      </c>
      <c r="BQ129" s="165" t="str">
        <f ca="1">IF(BN129="","",INDEX(OFFSET(Arb!$X$2,,,Arb!$AJ$5,),BN129)/BO129)</f>
        <v/>
      </c>
      <c r="BR129" s="165" t="str">
        <f ca="1">IF(BN129="","",(INDEX(OFFSET(Arb!$U$2,,,Arb!$AJ$5,),BN129)+INDEX(OFFSET(Arb!$V$2,,,Arb!$AJ$5,),BN129))/BO129)</f>
        <v/>
      </c>
      <c r="BS129" s="51" t="str">
        <f t="shared" ca="1" si="63"/>
        <v/>
      </c>
      <c r="BT129" s="88" t="str">
        <f ca="1">IF(BN129="","",DATE(INDEX(OFFSET(Arb!$C$2,,,Arb!$AJ$5,),BN129),INDEX(OFFSET(Arb!$B$2,,,Arb!$AJ$5,),BN129),INDEX(OFFSET(Arb!$A$2,,,Arb!$AJ$5,),BN129))+ROW()*0.001)</f>
        <v/>
      </c>
      <c r="BU129" s="436">
        <v>104</v>
      </c>
      <c r="BW129" s="52" t="str">
        <f ca="1">IF(BV129="","",INDEX(OFFSET(Arb!$H$2,,,Arb!$AJ$5,),BV129))</f>
        <v/>
      </c>
      <c r="BX129" s="3" t="str">
        <f t="shared" ca="1" si="54"/>
        <v/>
      </c>
      <c r="BY129" s="165" t="str">
        <f ca="1">IF(BV129="","",INDEX(OFFSET(Arb!$X$2,,,Arb!$AJ$5,),BV129)/BW129)</f>
        <v/>
      </c>
      <c r="BZ129" s="165" t="str">
        <f ca="1">IF(BV129="","",(INDEX(OFFSET(Arb!$U$2,,,Arb!$AJ$5,),BV129)+INDEX(OFFSET(Arb!$V$2,,,Arb!$AJ$5,),BV129))/BW129)</f>
        <v/>
      </c>
      <c r="CA129" s="51" t="str">
        <f t="shared" ca="1" si="64"/>
        <v/>
      </c>
      <c r="CB129" s="91" t="str">
        <f ca="1">IF(BV129="","",DATE(INDEX(OFFSET(Arb!$C$2,,,Arb!$AJ$5,),BV129),INDEX(OFFSET(Arb!$B$2,,,Arb!$AJ$5,),BV129),INDEX(OFFSET(Arb!$A$2,,,Arb!$AJ$5,),BV129))+ROW()*0.001)</f>
        <v/>
      </c>
    </row>
    <row r="130" spans="1:80" x14ac:dyDescent="0.25">
      <c r="A130" s="436">
        <v>105</v>
      </c>
      <c r="C130" s="52" t="str">
        <f ca="1">IF(B130="","",INDEX(OFFSET(Arb!$H$2,,,Arb!$AJ$5,),B130))</f>
        <v/>
      </c>
      <c r="D130" s="3" t="str">
        <f t="shared" ca="1" si="45"/>
        <v/>
      </c>
      <c r="E130" s="165" t="str">
        <f ca="1">IF(B130="","",INDEX(OFFSET(Arb!$X$2,,,Arb!$AJ$5,),B130)/C130)</f>
        <v/>
      </c>
      <c r="F130" s="165" t="str">
        <f ca="1">IF(B130="","",(INDEX(OFFSET(Arb!$U$2,,,Arb!$AJ$5,),B130)+INDEX(OFFSET(Arb!$V$2,,,Arb!$AJ$5,),B130))/C130)</f>
        <v/>
      </c>
      <c r="G130" s="51" t="str">
        <f t="shared" ca="1" si="55"/>
        <v/>
      </c>
      <c r="H130" s="355" t="str">
        <f ca="1">IF(B130="","",DATE(INDEX(OFFSET(Arb!$C$2,,,Arb!$AJ$5,),B130),INDEX(OFFSET(Arb!$B$2,,,Arb!$AJ$5,),B130),INDEX(OFFSET(Arb!$A$2,,,Arb!$AJ$5,),B130))+ROW()*0.001)</f>
        <v/>
      </c>
      <c r="I130" s="436">
        <v>105</v>
      </c>
      <c r="K130" s="52" t="str">
        <f ca="1">IF(J130="","",INDEX(OFFSET(Arb!$H$2,,,Arb!$AJ$5,),J130))</f>
        <v/>
      </c>
      <c r="L130" s="3" t="str">
        <f t="shared" ca="1" si="46"/>
        <v/>
      </c>
      <c r="M130" s="165" t="str">
        <f ca="1">IF(J130="","",INDEX(OFFSET(Arb!$X$2,,,Arb!$AJ$5,),J130)/K130)</f>
        <v/>
      </c>
      <c r="N130" s="165" t="str">
        <f ca="1">IF(J130="","",(INDEX(OFFSET(Arb!$U$2,,,Arb!$AJ$5,),J130)+INDEX(OFFSET(Arb!$V$2,,,Arb!$AJ$5,),J130))/K130)</f>
        <v/>
      </c>
      <c r="O130" s="51" t="str">
        <f t="shared" ca="1" si="56"/>
        <v/>
      </c>
      <c r="P130" s="91" t="str">
        <f ca="1">IF(J130="","",DATE(INDEX(OFFSET(Arb!$C$2,,,Arb!$AJ$5,),J130),INDEX(OFFSET(Arb!$B$2,,,Arb!$AJ$5,),J130),INDEX(OFFSET(Arb!$A$2,,,Arb!$AJ$5,),J130))+ROW()*0.001)</f>
        <v/>
      </c>
      <c r="Q130" s="442">
        <v>105</v>
      </c>
      <c r="S130" s="52" t="str">
        <f ca="1">IF(R130="","",INDEX(OFFSET(Arb!$H$2,,,Arb!$AJ$5,),R130))</f>
        <v/>
      </c>
      <c r="T130" s="3" t="str">
        <f t="shared" ca="1" si="47"/>
        <v/>
      </c>
      <c r="U130" s="165" t="str">
        <f ca="1">IF(R130="","",INDEX(OFFSET(Arb!$X$2,,,Arb!$AJ$5,),R130)/S130)</f>
        <v/>
      </c>
      <c r="V130" s="165" t="str">
        <f ca="1">IF(R130="","",(INDEX(OFFSET(Arb!$U$2,,,Arb!$AJ$5,),R130)+INDEX(OFFSET(Arb!$V$2,,,Arb!$AJ$5,),R130))/S130)</f>
        <v/>
      </c>
      <c r="W130" s="51" t="str">
        <f t="shared" ca="1" si="57"/>
        <v/>
      </c>
      <c r="X130" s="88" t="str">
        <f ca="1">IF(R130="","",DATE(INDEX(OFFSET(Arb!$C$2,,,Arb!$AJ$5,),R130),INDEX(OFFSET(Arb!$B$2,,,Arb!$AJ$5,),R130),INDEX(OFFSET(Arb!$A$2,,,Arb!$AJ$5,),R130))+ROW()*0.001)</f>
        <v/>
      </c>
      <c r="Y130" s="436">
        <v>105</v>
      </c>
      <c r="AA130" s="52" t="str">
        <f ca="1">IF(Z130="","",INDEX(OFFSET(Arb!$H$2,,,Arb!$AJ$5,),Z130))</f>
        <v/>
      </c>
      <c r="AB130" s="3" t="str">
        <f t="shared" ca="1" si="48"/>
        <v/>
      </c>
      <c r="AC130" s="165" t="str">
        <f ca="1">IF(Z130="","",INDEX(OFFSET(Arb!$X$2,,,Arb!$AJ$5,),Z130)/AA130)</f>
        <v/>
      </c>
      <c r="AD130" s="165" t="str">
        <f ca="1">IF(Z130="","",(INDEX(OFFSET(Arb!$U$2,,,Arb!$AJ$5,),Z130)+INDEX(OFFSET(Arb!$V$2,,,Arb!$AJ$5,),Z130))/AA130)</f>
        <v/>
      </c>
      <c r="AE130" s="51" t="str">
        <f t="shared" ca="1" si="58"/>
        <v/>
      </c>
      <c r="AF130" s="91" t="str">
        <f ca="1">IF(Z130="","",DATE(INDEX(OFFSET(Arb!$C$2,,,Arb!$AJ$5,),Z130),INDEX(OFFSET(Arb!$B$2,,,Arb!$AJ$5,),Z130),INDEX(OFFSET(Arb!$A$2,,,Arb!$AJ$5,),Z130))+ROW()*0.001)</f>
        <v/>
      </c>
      <c r="AG130" s="442">
        <v>105</v>
      </c>
      <c r="AI130" s="52" t="str">
        <f ca="1">IF(AH130="","",INDEX(OFFSET(Arb!$H$2,,,Arb!$AJ$5,),AH130))</f>
        <v/>
      </c>
      <c r="AJ130" s="3" t="str">
        <f t="shared" ca="1" si="49"/>
        <v/>
      </c>
      <c r="AK130" s="165" t="str">
        <f ca="1">IF(AH130="","",INDEX(OFFSET(Arb!$X$2,,,Arb!$AJ$5,),AH130)/AI130)</f>
        <v/>
      </c>
      <c r="AL130" s="165" t="str">
        <f ca="1">IF(AH130="","",(INDEX(OFFSET(Arb!$U$2,,,Arb!$AJ$5,),AH130)+INDEX(OFFSET(Arb!$V$2,,,Arb!$AJ$5,),AH130))/AI130)</f>
        <v/>
      </c>
      <c r="AM130" s="51" t="str">
        <f t="shared" ca="1" si="59"/>
        <v/>
      </c>
      <c r="AN130" s="88" t="str">
        <f ca="1">IF(AH130="","",DATE(INDEX(OFFSET(Arb!$C$2,,,Arb!$AJ$5,),AH130),INDEX(OFFSET(Arb!$B$2,,,Arb!$AJ$5,),AH130),INDEX(OFFSET(Arb!$A$2,,,Arb!$AJ$5,),AH130))+ROW()*0.001)</f>
        <v/>
      </c>
      <c r="AO130" s="436">
        <v>105</v>
      </c>
      <c r="AQ130" s="52" t="str">
        <f ca="1">IF(AP130="","",INDEX(OFFSET(Arb!$H$2,,,Arb!$AJ$5,),AP130))</f>
        <v/>
      </c>
      <c r="AR130" s="3" t="str">
        <f t="shared" ca="1" si="50"/>
        <v/>
      </c>
      <c r="AS130" s="165" t="str">
        <f ca="1">IF(AP130="","",INDEX(OFFSET(Arb!$X$2,,,Arb!$AJ$5,),AP130)/AQ130)</f>
        <v/>
      </c>
      <c r="AT130" s="165" t="str">
        <f ca="1">IF(AP130="","",(INDEX(OFFSET(Arb!$U$2,,,Arb!$AJ$5,),AP130)+INDEX(OFFSET(Arb!$V$2,,,Arb!$AJ$5,),AP130))/AQ130)</f>
        <v/>
      </c>
      <c r="AU130" s="51" t="str">
        <f t="shared" ca="1" si="60"/>
        <v/>
      </c>
      <c r="AV130" s="91" t="str">
        <f ca="1">IF(AP130="","",DATE(INDEX(OFFSET(Arb!$C$2,,,Arb!$AJ$5,),AP130),INDEX(OFFSET(Arb!$B$2,,,Arb!$AJ$5,),AP130),INDEX(OFFSET(Arb!$A$2,,,Arb!$AJ$5,),AP130))+ROW()*0.001)</f>
        <v/>
      </c>
      <c r="AW130" s="442">
        <v>105</v>
      </c>
      <c r="AY130" s="52" t="str">
        <f ca="1">IF(AX130="","",INDEX(OFFSET(Arb!$H$2,,,Arb!$AJ$5,),AX130))</f>
        <v/>
      </c>
      <c r="AZ130" s="3" t="str">
        <f t="shared" ca="1" si="51"/>
        <v/>
      </c>
      <c r="BA130" s="165" t="str">
        <f ca="1">IF(AX130="","",INDEX(OFFSET(Arb!$X$2,,,Arb!$AJ$5,),AX130)/AY130)</f>
        <v/>
      </c>
      <c r="BB130" s="165" t="str">
        <f ca="1">IF(AX130="","",(INDEX(OFFSET(Arb!$U$2,,,Arb!$AJ$5,),AX130)+INDEX(OFFSET(Arb!$V$2,,,Arb!$AJ$5,),AX130))/AY130)</f>
        <v/>
      </c>
      <c r="BC130" s="51" t="str">
        <f t="shared" ca="1" si="61"/>
        <v/>
      </c>
      <c r="BD130" s="88" t="str">
        <f ca="1">IF(AX130="","",DATE(INDEX(OFFSET(Arb!$C$2,,,Arb!$AJ$5,),AX130),INDEX(OFFSET(Arb!$B$2,,,Arb!$AJ$5,),AX130),INDEX(OFFSET(Arb!$A$2,,,Arb!$AJ$5,),AX130))+ROW()*0.001)</f>
        <v/>
      </c>
      <c r="BE130" s="436">
        <v>105</v>
      </c>
      <c r="BG130" s="52" t="str">
        <f ca="1">IF(BF130="","",INDEX(OFFSET(Arb!$H$2,,,Arb!$AJ$5,),BF130))</f>
        <v/>
      </c>
      <c r="BH130" s="3" t="str">
        <f t="shared" ca="1" si="52"/>
        <v/>
      </c>
      <c r="BI130" s="165" t="str">
        <f ca="1">IF(BF130="","",INDEX(OFFSET(Arb!$X$2,,,Arb!$AJ$5,),BF130)/BG130)</f>
        <v/>
      </c>
      <c r="BJ130" s="165" t="str">
        <f ca="1">IF(BF130="","",(INDEX(OFFSET(Arb!$U$2,,,Arb!$AJ$5,),BF130)+INDEX(OFFSET(Arb!$V$2,,,Arb!$AJ$5,),BF130))/BG130)</f>
        <v/>
      </c>
      <c r="BK130" s="51" t="str">
        <f t="shared" ca="1" si="62"/>
        <v/>
      </c>
      <c r="BL130" s="91" t="str">
        <f ca="1">IF(BF130="","",DATE(INDEX(OFFSET(Arb!$C$2,,,Arb!$AJ$5,),BF130),INDEX(OFFSET(Arb!$B$2,,,Arb!$AJ$5,),BF130),INDEX(OFFSET(Arb!$A$2,,,Arb!$AJ$5,),BF130))+ROW()*0.001)</f>
        <v/>
      </c>
      <c r="BM130" s="442">
        <v>105</v>
      </c>
      <c r="BO130" s="52" t="str">
        <f ca="1">IF(BN130="","",INDEX(OFFSET(Arb!$H$2,,,Arb!$AJ$5,),BN130))</f>
        <v/>
      </c>
      <c r="BP130" s="3" t="str">
        <f t="shared" ca="1" si="53"/>
        <v/>
      </c>
      <c r="BQ130" s="165" t="str">
        <f ca="1">IF(BN130="","",INDEX(OFFSET(Arb!$X$2,,,Arb!$AJ$5,),BN130)/BO130)</f>
        <v/>
      </c>
      <c r="BR130" s="165" t="str">
        <f ca="1">IF(BN130="","",(INDEX(OFFSET(Arb!$U$2,,,Arb!$AJ$5,),BN130)+INDEX(OFFSET(Arb!$V$2,,,Arb!$AJ$5,),BN130))/BO130)</f>
        <v/>
      </c>
      <c r="BS130" s="51" t="str">
        <f t="shared" ca="1" si="63"/>
        <v/>
      </c>
      <c r="BT130" s="88" t="str">
        <f ca="1">IF(BN130="","",DATE(INDEX(OFFSET(Arb!$C$2,,,Arb!$AJ$5,),BN130),INDEX(OFFSET(Arb!$B$2,,,Arb!$AJ$5,),BN130),INDEX(OFFSET(Arb!$A$2,,,Arb!$AJ$5,),BN130))+ROW()*0.001)</f>
        <v/>
      </c>
      <c r="BU130" s="436">
        <v>105</v>
      </c>
      <c r="BW130" s="52" t="str">
        <f ca="1">IF(BV130="","",INDEX(OFFSET(Arb!$H$2,,,Arb!$AJ$5,),BV130))</f>
        <v/>
      </c>
      <c r="BX130" s="3" t="str">
        <f t="shared" ca="1" si="54"/>
        <v/>
      </c>
      <c r="BY130" s="165" t="str">
        <f ca="1">IF(BV130="","",INDEX(OFFSET(Arb!$X$2,,,Arb!$AJ$5,),BV130)/BW130)</f>
        <v/>
      </c>
      <c r="BZ130" s="165" t="str">
        <f ca="1">IF(BV130="","",(INDEX(OFFSET(Arb!$U$2,,,Arb!$AJ$5,),BV130)+INDEX(OFFSET(Arb!$V$2,,,Arb!$AJ$5,),BV130))/BW130)</f>
        <v/>
      </c>
      <c r="CA130" s="51" t="str">
        <f t="shared" ca="1" si="64"/>
        <v/>
      </c>
      <c r="CB130" s="91" t="str">
        <f ca="1">IF(BV130="","",DATE(INDEX(OFFSET(Arb!$C$2,,,Arb!$AJ$5,),BV130),INDEX(OFFSET(Arb!$B$2,,,Arb!$AJ$5,),BV130),INDEX(OFFSET(Arb!$A$2,,,Arb!$AJ$5,),BV130))+ROW()*0.001)</f>
        <v/>
      </c>
    </row>
    <row r="131" spans="1:80" x14ac:dyDescent="0.25">
      <c r="A131" s="436">
        <v>106</v>
      </c>
      <c r="C131" s="52" t="str">
        <f ca="1">IF(B131="","",INDEX(OFFSET(Arb!$H$2,,,Arb!$AJ$5,),B131))</f>
        <v/>
      </c>
      <c r="D131" s="3" t="str">
        <f t="shared" ca="1" si="45"/>
        <v/>
      </c>
      <c r="E131" s="165" t="str">
        <f ca="1">IF(B131="","",INDEX(OFFSET(Arb!$X$2,,,Arb!$AJ$5,),B131)/C131)</f>
        <v/>
      </c>
      <c r="F131" s="165" t="str">
        <f ca="1">IF(B131="","",(INDEX(OFFSET(Arb!$U$2,,,Arb!$AJ$5,),B131)+INDEX(OFFSET(Arb!$V$2,,,Arb!$AJ$5,),B131))/C131)</f>
        <v/>
      </c>
      <c r="G131" s="51" t="str">
        <f t="shared" ca="1" si="55"/>
        <v/>
      </c>
      <c r="H131" s="355" t="str">
        <f ca="1">IF(B131="","",DATE(INDEX(OFFSET(Arb!$C$2,,,Arb!$AJ$5,),B131),INDEX(OFFSET(Arb!$B$2,,,Arb!$AJ$5,),B131),INDEX(OFFSET(Arb!$A$2,,,Arb!$AJ$5,),B131))+ROW()*0.001)</f>
        <v/>
      </c>
      <c r="I131" s="436">
        <v>106</v>
      </c>
      <c r="K131" s="52" t="str">
        <f ca="1">IF(J131="","",INDEX(OFFSET(Arb!$H$2,,,Arb!$AJ$5,),J131))</f>
        <v/>
      </c>
      <c r="L131" s="3" t="str">
        <f t="shared" ca="1" si="46"/>
        <v/>
      </c>
      <c r="M131" s="165" t="str">
        <f ca="1">IF(J131="","",INDEX(OFFSET(Arb!$X$2,,,Arb!$AJ$5,),J131)/K131)</f>
        <v/>
      </c>
      <c r="N131" s="165" t="str">
        <f ca="1">IF(J131="","",(INDEX(OFFSET(Arb!$U$2,,,Arb!$AJ$5,),J131)+INDEX(OFFSET(Arb!$V$2,,,Arb!$AJ$5,),J131))/K131)</f>
        <v/>
      </c>
      <c r="O131" s="51" t="str">
        <f t="shared" ca="1" si="56"/>
        <v/>
      </c>
      <c r="P131" s="91" t="str">
        <f ca="1">IF(J131="","",DATE(INDEX(OFFSET(Arb!$C$2,,,Arb!$AJ$5,),J131),INDEX(OFFSET(Arb!$B$2,,,Arb!$AJ$5,),J131),INDEX(OFFSET(Arb!$A$2,,,Arb!$AJ$5,),J131))+ROW()*0.001)</f>
        <v/>
      </c>
      <c r="Q131" s="442">
        <v>106</v>
      </c>
      <c r="S131" s="52" t="str">
        <f ca="1">IF(R131="","",INDEX(OFFSET(Arb!$H$2,,,Arb!$AJ$5,),R131))</f>
        <v/>
      </c>
      <c r="T131" s="3" t="str">
        <f t="shared" ca="1" si="47"/>
        <v/>
      </c>
      <c r="U131" s="165" t="str">
        <f ca="1">IF(R131="","",INDEX(OFFSET(Arb!$X$2,,,Arb!$AJ$5,),R131)/S131)</f>
        <v/>
      </c>
      <c r="V131" s="165" t="str">
        <f ca="1">IF(R131="","",(INDEX(OFFSET(Arb!$U$2,,,Arb!$AJ$5,),R131)+INDEX(OFFSET(Arb!$V$2,,,Arb!$AJ$5,),R131))/S131)</f>
        <v/>
      </c>
      <c r="W131" s="51" t="str">
        <f t="shared" ca="1" si="57"/>
        <v/>
      </c>
      <c r="X131" s="88" t="str">
        <f ca="1">IF(R131="","",DATE(INDEX(OFFSET(Arb!$C$2,,,Arb!$AJ$5,),R131),INDEX(OFFSET(Arb!$B$2,,,Arb!$AJ$5,),R131),INDEX(OFFSET(Arb!$A$2,,,Arb!$AJ$5,),R131))+ROW()*0.001)</f>
        <v/>
      </c>
      <c r="Y131" s="436">
        <v>106</v>
      </c>
      <c r="AA131" s="52" t="str">
        <f ca="1">IF(Z131="","",INDEX(OFFSET(Arb!$H$2,,,Arb!$AJ$5,),Z131))</f>
        <v/>
      </c>
      <c r="AB131" s="3" t="str">
        <f t="shared" ca="1" si="48"/>
        <v/>
      </c>
      <c r="AC131" s="165" t="str">
        <f ca="1">IF(Z131="","",INDEX(OFFSET(Arb!$X$2,,,Arb!$AJ$5,),Z131)/AA131)</f>
        <v/>
      </c>
      <c r="AD131" s="165" t="str">
        <f ca="1">IF(Z131="","",(INDEX(OFFSET(Arb!$U$2,,,Arb!$AJ$5,),Z131)+INDEX(OFFSET(Arb!$V$2,,,Arb!$AJ$5,),Z131))/AA131)</f>
        <v/>
      </c>
      <c r="AE131" s="51" t="str">
        <f t="shared" ca="1" si="58"/>
        <v/>
      </c>
      <c r="AF131" s="91" t="str">
        <f ca="1">IF(Z131="","",DATE(INDEX(OFFSET(Arb!$C$2,,,Arb!$AJ$5,),Z131),INDEX(OFFSET(Arb!$B$2,,,Arb!$AJ$5,),Z131),INDEX(OFFSET(Arb!$A$2,,,Arb!$AJ$5,),Z131))+ROW()*0.001)</f>
        <v/>
      </c>
      <c r="AG131" s="442">
        <v>106</v>
      </c>
      <c r="AI131" s="52" t="str">
        <f ca="1">IF(AH131="","",INDEX(OFFSET(Arb!$H$2,,,Arb!$AJ$5,),AH131))</f>
        <v/>
      </c>
      <c r="AJ131" s="3" t="str">
        <f t="shared" ca="1" si="49"/>
        <v/>
      </c>
      <c r="AK131" s="165" t="str">
        <f ca="1">IF(AH131="","",INDEX(OFFSET(Arb!$X$2,,,Arb!$AJ$5,),AH131)/AI131)</f>
        <v/>
      </c>
      <c r="AL131" s="165" t="str">
        <f ca="1">IF(AH131="","",(INDEX(OFFSET(Arb!$U$2,,,Arb!$AJ$5,),AH131)+INDEX(OFFSET(Arb!$V$2,,,Arb!$AJ$5,),AH131))/AI131)</f>
        <v/>
      </c>
      <c r="AM131" s="51" t="str">
        <f t="shared" ca="1" si="59"/>
        <v/>
      </c>
      <c r="AN131" s="88" t="str">
        <f ca="1">IF(AH131="","",DATE(INDEX(OFFSET(Arb!$C$2,,,Arb!$AJ$5,),AH131),INDEX(OFFSET(Arb!$B$2,,,Arb!$AJ$5,),AH131),INDEX(OFFSET(Arb!$A$2,,,Arb!$AJ$5,),AH131))+ROW()*0.001)</f>
        <v/>
      </c>
      <c r="AO131" s="436">
        <v>106</v>
      </c>
      <c r="AQ131" s="52" t="str">
        <f ca="1">IF(AP131="","",INDEX(OFFSET(Arb!$H$2,,,Arb!$AJ$5,),AP131))</f>
        <v/>
      </c>
      <c r="AR131" s="3" t="str">
        <f t="shared" ca="1" si="50"/>
        <v/>
      </c>
      <c r="AS131" s="165" t="str">
        <f ca="1">IF(AP131="","",INDEX(OFFSET(Arb!$X$2,,,Arb!$AJ$5,),AP131)/AQ131)</f>
        <v/>
      </c>
      <c r="AT131" s="165" t="str">
        <f ca="1">IF(AP131="","",(INDEX(OFFSET(Arb!$U$2,,,Arb!$AJ$5,),AP131)+INDEX(OFFSET(Arb!$V$2,,,Arb!$AJ$5,),AP131))/AQ131)</f>
        <v/>
      </c>
      <c r="AU131" s="51" t="str">
        <f t="shared" ca="1" si="60"/>
        <v/>
      </c>
      <c r="AV131" s="91" t="str">
        <f ca="1">IF(AP131="","",DATE(INDEX(OFFSET(Arb!$C$2,,,Arb!$AJ$5,),AP131),INDEX(OFFSET(Arb!$B$2,,,Arb!$AJ$5,),AP131),INDEX(OFFSET(Arb!$A$2,,,Arb!$AJ$5,),AP131))+ROW()*0.001)</f>
        <v/>
      </c>
      <c r="AW131" s="442">
        <v>106</v>
      </c>
      <c r="AY131" s="52" t="str">
        <f ca="1">IF(AX131="","",INDEX(OFFSET(Arb!$H$2,,,Arb!$AJ$5,),AX131))</f>
        <v/>
      </c>
      <c r="AZ131" s="3" t="str">
        <f t="shared" ca="1" si="51"/>
        <v/>
      </c>
      <c r="BA131" s="165" t="str">
        <f ca="1">IF(AX131="","",INDEX(OFFSET(Arb!$X$2,,,Arb!$AJ$5,),AX131)/AY131)</f>
        <v/>
      </c>
      <c r="BB131" s="165" t="str">
        <f ca="1">IF(AX131="","",(INDEX(OFFSET(Arb!$U$2,,,Arb!$AJ$5,),AX131)+INDEX(OFFSET(Arb!$V$2,,,Arb!$AJ$5,),AX131))/AY131)</f>
        <v/>
      </c>
      <c r="BC131" s="51" t="str">
        <f t="shared" ca="1" si="61"/>
        <v/>
      </c>
      <c r="BD131" s="88" t="str">
        <f ca="1">IF(AX131="","",DATE(INDEX(OFFSET(Arb!$C$2,,,Arb!$AJ$5,),AX131),INDEX(OFFSET(Arb!$B$2,,,Arb!$AJ$5,),AX131),INDEX(OFFSET(Arb!$A$2,,,Arb!$AJ$5,),AX131))+ROW()*0.001)</f>
        <v/>
      </c>
      <c r="BE131" s="436">
        <v>106</v>
      </c>
      <c r="BG131" s="52" t="str">
        <f ca="1">IF(BF131="","",INDEX(OFFSET(Arb!$H$2,,,Arb!$AJ$5,),BF131))</f>
        <v/>
      </c>
      <c r="BH131" s="3" t="str">
        <f t="shared" ca="1" si="52"/>
        <v/>
      </c>
      <c r="BI131" s="165" t="str">
        <f ca="1">IF(BF131="","",INDEX(OFFSET(Arb!$X$2,,,Arb!$AJ$5,),BF131)/BG131)</f>
        <v/>
      </c>
      <c r="BJ131" s="165" t="str">
        <f ca="1">IF(BF131="","",(INDEX(OFFSET(Arb!$U$2,,,Arb!$AJ$5,),BF131)+INDEX(OFFSET(Arb!$V$2,,,Arb!$AJ$5,),BF131))/BG131)</f>
        <v/>
      </c>
      <c r="BK131" s="51" t="str">
        <f t="shared" ca="1" si="62"/>
        <v/>
      </c>
      <c r="BL131" s="91" t="str">
        <f ca="1">IF(BF131="","",DATE(INDEX(OFFSET(Arb!$C$2,,,Arb!$AJ$5,),BF131),INDEX(OFFSET(Arb!$B$2,,,Arb!$AJ$5,),BF131),INDEX(OFFSET(Arb!$A$2,,,Arb!$AJ$5,),BF131))+ROW()*0.001)</f>
        <v/>
      </c>
      <c r="BM131" s="442">
        <v>106</v>
      </c>
      <c r="BO131" s="52" t="str">
        <f ca="1">IF(BN131="","",INDEX(OFFSET(Arb!$H$2,,,Arb!$AJ$5,),BN131))</f>
        <v/>
      </c>
      <c r="BP131" s="3" t="str">
        <f t="shared" ca="1" si="53"/>
        <v/>
      </c>
      <c r="BQ131" s="165" t="str">
        <f ca="1">IF(BN131="","",INDEX(OFFSET(Arb!$X$2,,,Arb!$AJ$5,),BN131)/BO131)</f>
        <v/>
      </c>
      <c r="BR131" s="165" t="str">
        <f ca="1">IF(BN131="","",(INDEX(OFFSET(Arb!$U$2,,,Arb!$AJ$5,),BN131)+INDEX(OFFSET(Arb!$V$2,,,Arb!$AJ$5,),BN131))/BO131)</f>
        <v/>
      </c>
      <c r="BS131" s="51" t="str">
        <f t="shared" ca="1" si="63"/>
        <v/>
      </c>
      <c r="BT131" s="88" t="str">
        <f ca="1">IF(BN131="","",DATE(INDEX(OFFSET(Arb!$C$2,,,Arb!$AJ$5,),BN131),INDEX(OFFSET(Arb!$B$2,,,Arb!$AJ$5,),BN131),INDEX(OFFSET(Arb!$A$2,,,Arb!$AJ$5,),BN131))+ROW()*0.001)</f>
        <v/>
      </c>
      <c r="BU131" s="436">
        <v>106</v>
      </c>
      <c r="BW131" s="52" t="str">
        <f ca="1">IF(BV131="","",INDEX(OFFSET(Arb!$H$2,,,Arb!$AJ$5,),BV131))</f>
        <v/>
      </c>
      <c r="BX131" s="3" t="str">
        <f t="shared" ca="1" si="54"/>
        <v/>
      </c>
      <c r="BY131" s="165" t="str">
        <f ca="1">IF(BV131="","",INDEX(OFFSET(Arb!$X$2,,,Arb!$AJ$5,),BV131)/BW131)</f>
        <v/>
      </c>
      <c r="BZ131" s="165" t="str">
        <f ca="1">IF(BV131="","",(INDEX(OFFSET(Arb!$U$2,,,Arb!$AJ$5,),BV131)+INDEX(OFFSET(Arb!$V$2,,,Arb!$AJ$5,),BV131))/BW131)</f>
        <v/>
      </c>
      <c r="CA131" s="51" t="str">
        <f t="shared" ca="1" si="64"/>
        <v/>
      </c>
      <c r="CB131" s="91" t="str">
        <f ca="1">IF(BV131="","",DATE(INDEX(OFFSET(Arb!$C$2,,,Arb!$AJ$5,),BV131),INDEX(OFFSET(Arb!$B$2,,,Arb!$AJ$5,),BV131),INDEX(OFFSET(Arb!$A$2,,,Arb!$AJ$5,),BV131))+ROW()*0.001)</f>
        <v/>
      </c>
    </row>
    <row r="132" spans="1:80" x14ac:dyDescent="0.25">
      <c r="A132" s="436">
        <v>107</v>
      </c>
      <c r="C132" s="52" t="str">
        <f ca="1">IF(B132="","",INDEX(OFFSET(Arb!$H$2,,,Arb!$AJ$5,),B132))</f>
        <v/>
      </c>
      <c r="D132" s="3" t="str">
        <f t="shared" ca="1" si="45"/>
        <v/>
      </c>
      <c r="E132" s="165" t="str">
        <f ca="1">IF(B132="","",INDEX(OFFSET(Arb!$X$2,,,Arb!$AJ$5,),B132)/C132)</f>
        <v/>
      </c>
      <c r="F132" s="165" t="str">
        <f ca="1">IF(B132="","",(INDEX(OFFSET(Arb!$U$2,,,Arb!$AJ$5,),B132)+INDEX(OFFSET(Arb!$V$2,,,Arb!$AJ$5,),B132))/C132)</f>
        <v/>
      </c>
      <c r="G132" s="51" t="str">
        <f t="shared" ca="1" si="55"/>
        <v/>
      </c>
      <c r="H132" s="355" t="str">
        <f ca="1">IF(B132="","",DATE(INDEX(OFFSET(Arb!$C$2,,,Arb!$AJ$5,),B132),INDEX(OFFSET(Arb!$B$2,,,Arb!$AJ$5,),B132),INDEX(OFFSET(Arb!$A$2,,,Arb!$AJ$5,),B132))+ROW()*0.001)</f>
        <v/>
      </c>
      <c r="I132" s="436">
        <v>107</v>
      </c>
      <c r="K132" s="52" t="str">
        <f ca="1">IF(J132="","",INDEX(OFFSET(Arb!$H$2,,,Arb!$AJ$5,),J132))</f>
        <v/>
      </c>
      <c r="L132" s="3" t="str">
        <f t="shared" ca="1" si="46"/>
        <v/>
      </c>
      <c r="M132" s="165" t="str">
        <f ca="1">IF(J132="","",INDEX(OFFSET(Arb!$X$2,,,Arb!$AJ$5,),J132)/K132)</f>
        <v/>
      </c>
      <c r="N132" s="165" t="str">
        <f ca="1">IF(J132="","",(INDEX(OFFSET(Arb!$U$2,,,Arb!$AJ$5,),J132)+INDEX(OFFSET(Arb!$V$2,,,Arb!$AJ$5,),J132))/K132)</f>
        <v/>
      </c>
      <c r="O132" s="51" t="str">
        <f t="shared" ca="1" si="56"/>
        <v/>
      </c>
      <c r="P132" s="91" t="str">
        <f ca="1">IF(J132="","",DATE(INDEX(OFFSET(Arb!$C$2,,,Arb!$AJ$5,),J132),INDEX(OFFSET(Arb!$B$2,,,Arb!$AJ$5,),J132),INDEX(OFFSET(Arb!$A$2,,,Arb!$AJ$5,),J132))+ROW()*0.001)</f>
        <v/>
      </c>
      <c r="Q132" s="442">
        <v>107</v>
      </c>
      <c r="S132" s="52" t="str">
        <f ca="1">IF(R132="","",INDEX(OFFSET(Arb!$H$2,,,Arb!$AJ$5,),R132))</f>
        <v/>
      </c>
      <c r="T132" s="3" t="str">
        <f t="shared" ca="1" si="47"/>
        <v/>
      </c>
      <c r="U132" s="165" t="str">
        <f ca="1">IF(R132="","",INDEX(OFFSET(Arb!$X$2,,,Arb!$AJ$5,),R132)/S132)</f>
        <v/>
      </c>
      <c r="V132" s="165" t="str">
        <f ca="1">IF(R132="","",(INDEX(OFFSET(Arb!$U$2,,,Arb!$AJ$5,),R132)+INDEX(OFFSET(Arb!$V$2,,,Arb!$AJ$5,),R132))/S132)</f>
        <v/>
      </c>
      <c r="W132" s="51" t="str">
        <f t="shared" ca="1" si="57"/>
        <v/>
      </c>
      <c r="X132" s="88" t="str">
        <f ca="1">IF(R132="","",DATE(INDEX(OFFSET(Arb!$C$2,,,Arb!$AJ$5,),R132),INDEX(OFFSET(Arb!$B$2,,,Arb!$AJ$5,),R132),INDEX(OFFSET(Arb!$A$2,,,Arb!$AJ$5,),R132))+ROW()*0.001)</f>
        <v/>
      </c>
      <c r="Y132" s="436">
        <v>107</v>
      </c>
      <c r="AA132" s="52" t="str">
        <f ca="1">IF(Z132="","",INDEX(OFFSET(Arb!$H$2,,,Arb!$AJ$5,),Z132))</f>
        <v/>
      </c>
      <c r="AB132" s="3" t="str">
        <f t="shared" ca="1" si="48"/>
        <v/>
      </c>
      <c r="AC132" s="165" t="str">
        <f ca="1">IF(Z132="","",INDEX(OFFSET(Arb!$X$2,,,Arb!$AJ$5,),Z132)/AA132)</f>
        <v/>
      </c>
      <c r="AD132" s="165" t="str">
        <f ca="1">IF(Z132="","",(INDEX(OFFSET(Arb!$U$2,,,Arb!$AJ$5,),Z132)+INDEX(OFFSET(Arb!$V$2,,,Arb!$AJ$5,),Z132))/AA132)</f>
        <v/>
      </c>
      <c r="AE132" s="51" t="str">
        <f t="shared" ca="1" si="58"/>
        <v/>
      </c>
      <c r="AF132" s="91" t="str">
        <f ca="1">IF(Z132="","",DATE(INDEX(OFFSET(Arb!$C$2,,,Arb!$AJ$5,),Z132),INDEX(OFFSET(Arb!$B$2,,,Arb!$AJ$5,),Z132),INDEX(OFFSET(Arb!$A$2,,,Arb!$AJ$5,),Z132))+ROW()*0.001)</f>
        <v/>
      </c>
      <c r="AG132" s="442">
        <v>107</v>
      </c>
      <c r="AI132" s="52" t="str">
        <f ca="1">IF(AH132="","",INDEX(OFFSET(Arb!$H$2,,,Arb!$AJ$5,),AH132))</f>
        <v/>
      </c>
      <c r="AJ132" s="3" t="str">
        <f t="shared" ca="1" si="49"/>
        <v/>
      </c>
      <c r="AK132" s="165" t="str">
        <f ca="1">IF(AH132="","",INDEX(OFFSET(Arb!$X$2,,,Arb!$AJ$5,),AH132)/AI132)</f>
        <v/>
      </c>
      <c r="AL132" s="165" t="str">
        <f ca="1">IF(AH132="","",(INDEX(OFFSET(Arb!$U$2,,,Arb!$AJ$5,),AH132)+INDEX(OFFSET(Arb!$V$2,,,Arb!$AJ$5,),AH132))/AI132)</f>
        <v/>
      </c>
      <c r="AM132" s="51" t="str">
        <f t="shared" ca="1" si="59"/>
        <v/>
      </c>
      <c r="AN132" s="88" t="str">
        <f ca="1">IF(AH132="","",DATE(INDEX(OFFSET(Arb!$C$2,,,Arb!$AJ$5,),AH132),INDEX(OFFSET(Arb!$B$2,,,Arb!$AJ$5,),AH132),INDEX(OFFSET(Arb!$A$2,,,Arb!$AJ$5,),AH132))+ROW()*0.001)</f>
        <v/>
      </c>
      <c r="AO132" s="436">
        <v>107</v>
      </c>
      <c r="AQ132" s="52" t="str">
        <f ca="1">IF(AP132="","",INDEX(OFFSET(Arb!$H$2,,,Arb!$AJ$5,),AP132))</f>
        <v/>
      </c>
      <c r="AR132" s="3" t="str">
        <f t="shared" ca="1" si="50"/>
        <v/>
      </c>
      <c r="AS132" s="165" t="str">
        <f ca="1">IF(AP132="","",INDEX(OFFSET(Arb!$X$2,,,Arb!$AJ$5,),AP132)/AQ132)</f>
        <v/>
      </c>
      <c r="AT132" s="165" t="str">
        <f ca="1">IF(AP132="","",(INDEX(OFFSET(Arb!$U$2,,,Arb!$AJ$5,),AP132)+INDEX(OFFSET(Arb!$V$2,,,Arb!$AJ$5,),AP132))/AQ132)</f>
        <v/>
      </c>
      <c r="AU132" s="51" t="str">
        <f t="shared" ca="1" si="60"/>
        <v/>
      </c>
      <c r="AV132" s="91" t="str">
        <f ca="1">IF(AP132="","",DATE(INDEX(OFFSET(Arb!$C$2,,,Arb!$AJ$5,),AP132),INDEX(OFFSET(Arb!$B$2,,,Arb!$AJ$5,),AP132),INDEX(OFFSET(Arb!$A$2,,,Arb!$AJ$5,),AP132))+ROW()*0.001)</f>
        <v/>
      </c>
      <c r="AW132" s="442">
        <v>107</v>
      </c>
      <c r="AY132" s="52" t="str">
        <f ca="1">IF(AX132="","",INDEX(OFFSET(Arb!$H$2,,,Arb!$AJ$5,),AX132))</f>
        <v/>
      </c>
      <c r="AZ132" s="3" t="str">
        <f t="shared" ca="1" si="51"/>
        <v/>
      </c>
      <c r="BA132" s="165" t="str">
        <f ca="1">IF(AX132="","",INDEX(OFFSET(Arb!$X$2,,,Arb!$AJ$5,),AX132)/AY132)</f>
        <v/>
      </c>
      <c r="BB132" s="165" t="str">
        <f ca="1">IF(AX132="","",(INDEX(OFFSET(Arb!$U$2,,,Arb!$AJ$5,),AX132)+INDEX(OFFSET(Arb!$V$2,,,Arb!$AJ$5,),AX132))/AY132)</f>
        <v/>
      </c>
      <c r="BC132" s="51" t="str">
        <f t="shared" ca="1" si="61"/>
        <v/>
      </c>
      <c r="BD132" s="88" t="str">
        <f ca="1">IF(AX132="","",DATE(INDEX(OFFSET(Arb!$C$2,,,Arb!$AJ$5,),AX132),INDEX(OFFSET(Arb!$B$2,,,Arb!$AJ$5,),AX132),INDEX(OFFSET(Arb!$A$2,,,Arb!$AJ$5,),AX132))+ROW()*0.001)</f>
        <v/>
      </c>
      <c r="BE132" s="436">
        <v>107</v>
      </c>
      <c r="BG132" s="52" t="str">
        <f ca="1">IF(BF132="","",INDEX(OFFSET(Arb!$H$2,,,Arb!$AJ$5,),BF132))</f>
        <v/>
      </c>
      <c r="BH132" s="3" t="str">
        <f t="shared" ca="1" si="52"/>
        <v/>
      </c>
      <c r="BI132" s="165" t="str">
        <f ca="1">IF(BF132="","",INDEX(OFFSET(Arb!$X$2,,,Arb!$AJ$5,),BF132)/BG132)</f>
        <v/>
      </c>
      <c r="BJ132" s="165" t="str">
        <f ca="1">IF(BF132="","",(INDEX(OFFSET(Arb!$U$2,,,Arb!$AJ$5,),BF132)+INDEX(OFFSET(Arb!$V$2,,,Arb!$AJ$5,),BF132))/BG132)</f>
        <v/>
      </c>
      <c r="BK132" s="51" t="str">
        <f t="shared" ca="1" si="62"/>
        <v/>
      </c>
      <c r="BL132" s="91" t="str">
        <f ca="1">IF(BF132="","",DATE(INDEX(OFFSET(Arb!$C$2,,,Arb!$AJ$5,),BF132),INDEX(OFFSET(Arb!$B$2,,,Arb!$AJ$5,),BF132),INDEX(OFFSET(Arb!$A$2,,,Arb!$AJ$5,),BF132))+ROW()*0.001)</f>
        <v/>
      </c>
      <c r="BM132" s="442">
        <v>107</v>
      </c>
      <c r="BO132" s="52" t="str">
        <f ca="1">IF(BN132="","",INDEX(OFFSET(Arb!$H$2,,,Arb!$AJ$5,),BN132))</f>
        <v/>
      </c>
      <c r="BP132" s="3" t="str">
        <f t="shared" ca="1" si="53"/>
        <v/>
      </c>
      <c r="BQ132" s="165" t="str">
        <f ca="1">IF(BN132="","",INDEX(OFFSET(Arb!$X$2,,,Arb!$AJ$5,),BN132)/BO132)</f>
        <v/>
      </c>
      <c r="BR132" s="165" t="str">
        <f ca="1">IF(BN132="","",(INDEX(OFFSET(Arb!$U$2,,,Arb!$AJ$5,),BN132)+INDEX(OFFSET(Arb!$V$2,,,Arb!$AJ$5,),BN132))/BO132)</f>
        <v/>
      </c>
      <c r="BS132" s="51" t="str">
        <f t="shared" ca="1" si="63"/>
        <v/>
      </c>
      <c r="BT132" s="88" t="str">
        <f ca="1">IF(BN132="","",DATE(INDEX(OFFSET(Arb!$C$2,,,Arb!$AJ$5,),BN132),INDEX(OFFSET(Arb!$B$2,,,Arb!$AJ$5,),BN132),INDEX(OFFSET(Arb!$A$2,,,Arb!$AJ$5,),BN132))+ROW()*0.001)</f>
        <v/>
      </c>
      <c r="BU132" s="436">
        <v>107</v>
      </c>
      <c r="BW132" s="52" t="str">
        <f ca="1">IF(BV132="","",INDEX(OFFSET(Arb!$H$2,,,Arb!$AJ$5,),BV132))</f>
        <v/>
      </c>
      <c r="BX132" s="3" t="str">
        <f t="shared" ca="1" si="54"/>
        <v/>
      </c>
      <c r="BY132" s="165" t="str">
        <f ca="1">IF(BV132="","",INDEX(OFFSET(Arb!$X$2,,,Arb!$AJ$5,),BV132)/BW132)</f>
        <v/>
      </c>
      <c r="BZ132" s="165" t="str">
        <f ca="1">IF(BV132="","",(INDEX(OFFSET(Arb!$U$2,,,Arb!$AJ$5,),BV132)+INDEX(OFFSET(Arb!$V$2,,,Arb!$AJ$5,),BV132))/BW132)</f>
        <v/>
      </c>
      <c r="CA132" s="51" t="str">
        <f t="shared" ca="1" si="64"/>
        <v/>
      </c>
      <c r="CB132" s="91" t="str">
        <f ca="1">IF(BV132="","",DATE(INDEX(OFFSET(Arb!$C$2,,,Arb!$AJ$5,),BV132),INDEX(OFFSET(Arb!$B$2,,,Arb!$AJ$5,),BV132),INDEX(OFFSET(Arb!$A$2,,,Arb!$AJ$5,),BV132))+ROW()*0.001)</f>
        <v/>
      </c>
    </row>
    <row r="133" spans="1:80" x14ac:dyDescent="0.25">
      <c r="A133" s="436">
        <v>108</v>
      </c>
      <c r="C133" s="52" t="str">
        <f ca="1">IF(B133="","",INDEX(OFFSET(Arb!$H$2,,,Arb!$AJ$5,),B133))</f>
        <v/>
      </c>
      <c r="D133" s="3" t="str">
        <f t="shared" ca="1" si="45"/>
        <v/>
      </c>
      <c r="E133" s="165" t="str">
        <f ca="1">IF(B133="","",INDEX(OFFSET(Arb!$X$2,,,Arb!$AJ$5,),B133)/C133)</f>
        <v/>
      </c>
      <c r="F133" s="165" t="str">
        <f ca="1">IF(B133="","",(INDEX(OFFSET(Arb!$U$2,,,Arb!$AJ$5,),B133)+INDEX(OFFSET(Arb!$V$2,,,Arb!$AJ$5,),B133))/C133)</f>
        <v/>
      </c>
      <c r="G133" s="51" t="str">
        <f t="shared" ca="1" si="55"/>
        <v/>
      </c>
      <c r="H133" s="355" t="str">
        <f ca="1">IF(B133="","",DATE(INDEX(OFFSET(Arb!$C$2,,,Arb!$AJ$5,),B133),INDEX(OFFSET(Arb!$B$2,,,Arb!$AJ$5,),B133),INDEX(OFFSET(Arb!$A$2,,,Arb!$AJ$5,),B133))+ROW()*0.001)</f>
        <v/>
      </c>
      <c r="I133" s="436">
        <v>108</v>
      </c>
      <c r="K133" s="52" t="str">
        <f ca="1">IF(J133="","",INDEX(OFFSET(Arb!$H$2,,,Arb!$AJ$5,),J133))</f>
        <v/>
      </c>
      <c r="L133" s="3" t="str">
        <f t="shared" ca="1" si="46"/>
        <v/>
      </c>
      <c r="M133" s="165" t="str">
        <f ca="1">IF(J133="","",INDEX(OFFSET(Arb!$X$2,,,Arb!$AJ$5,),J133)/K133)</f>
        <v/>
      </c>
      <c r="N133" s="165" t="str">
        <f ca="1">IF(J133="","",(INDEX(OFFSET(Arb!$U$2,,,Arb!$AJ$5,),J133)+INDEX(OFFSET(Arb!$V$2,,,Arb!$AJ$5,),J133))/K133)</f>
        <v/>
      </c>
      <c r="O133" s="51" t="str">
        <f t="shared" ca="1" si="56"/>
        <v/>
      </c>
      <c r="P133" s="91" t="str">
        <f ca="1">IF(J133="","",DATE(INDEX(OFFSET(Arb!$C$2,,,Arb!$AJ$5,),J133),INDEX(OFFSET(Arb!$B$2,,,Arb!$AJ$5,),J133),INDEX(OFFSET(Arb!$A$2,,,Arb!$AJ$5,),J133))+ROW()*0.001)</f>
        <v/>
      </c>
      <c r="Q133" s="442">
        <v>108</v>
      </c>
      <c r="S133" s="52" t="str">
        <f ca="1">IF(R133="","",INDEX(OFFSET(Arb!$H$2,,,Arb!$AJ$5,),R133))</f>
        <v/>
      </c>
      <c r="T133" s="3" t="str">
        <f t="shared" ca="1" si="47"/>
        <v/>
      </c>
      <c r="U133" s="165" t="str">
        <f ca="1">IF(R133="","",INDEX(OFFSET(Arb!$X$2,,,Arb!$AJ$5,),R133)/S133)</f>
        <v/>
      </c>
      <c r="V133" s="165" t="str">
        <f ca="1">IF(R133="","",(INDEX(OFFSET(Arb!$U$2,,,Arb!$AJ$5,),R133)+INDEX(OFFSET(Arb!$V$2,,,Arb!$AJ$5,),R133))/S133)</f>
        <v/>
      </c>
      <c r="W133" s="51" t="str">
        <f t="shared" ca="1" si="57"/>
        <v/>
      </c>
      <c r="X133" s="88" t="str">
        <f ca="1">IF(R133="","",DATE(INDEX(OFFSET(Arb!$C$2,,,Arb!$AJ$5,),R133),INDEX(OFFSET(Arb!$B$2,,,Arb!$AJ$5,),R133),INDEX(OFFSET(Arb!$A$2,,,Arb!$AJ$5,),R133))+ROW()*0.001)</f>
        <v/>
      </c>
      <c r="Y133" s="436">
        <v>108</v>
      </c>
      <c r="AA133" s="52" t="str">
        <f ca="1">IF(Z133="","",INDEX(OFFSET(Arb!$H$2,,,Arb!$AJ$5,),Z133))</f>
        <v/>
      </c>
      <c r="AB133" s="3" t="str">
        <f t="shared" ca="1" si="48"/>
        <v/>
      </c>
      <c r="AC133" s="165" t="str">
        <f ca="1">IF(Z133="","",INDEX(OFFSET(Arb!$X$2,,,Arb!$AJ$5,),Z133)/AA133)</f>
        <v/>
      </c>
      <c r="AD133" s="165" t="str">
        <f ca="1">IF(Z133="","",(INDEX(OFFSET(Arb!$U$2,,,Arb!$AJ$5,),Z133)+INDEX(OFFSET(Arb!$V$2,,,Arb!$AJ$5,),Z133))/AA133)</f>
        <v/>
      </c>
      <c r="AE133" s="51" t="str">
        <f t="shared" ca="1" si="58"/>
        <v/>
      </c>
      <c r="AF133" s="91" t="str">
        <f ca="1">IF(Z133="","",DATE(INDEX(OFFSET(Arb!$C$2,,,Arb!$AJ$5,),Z133),INDEX(OFFSET(Arb!$B$2,,,Arb!$AJ$5,),Z133),INDEX(OFFSET(Arb!$A$2,,,Arb!$AJ$5,),Z133))+ROW()*0.001)</f>
        <v/>
      </c>
      <c r="AG133" s="442">
        <v>108</v>
      </c>
      <c r="AI133" s="52" t="str">
        <f ca="1">IF(AH133="","",INDEX(OFFSET(Arb!$H$2,,,Arb!$AJ$5,),AH133))</f>
        <v/>
      </c>
      <c r="AJ133" s="3" t="str">
        <f t="shared" ca="1" si="49"/>
        <v/>
      </c>
      <c r="AK133" s="165" t="str">
        <f ca="1">IF(AH133="","",INDEX(OFFSET(Arb!$X$2,,,Arb!$AJ$5,),AH133)/AI133)</f>
        <v/>
      </c>
      <c r="AL133" s="165" t="str">
        <f ca="1">IF(AH133="","",(INDEX(OFFSET(Arb!$U$2,,,Arb!$AJ$5,),AH133)+INDEX(OFFSET(Arb!$V$2,,,Arb!$AJ$5,),AH133))/AI133)</f>
        <v/>
      </c>
      <c r="AM133" s="51" t="str">
        <f t="shared" ca="1" si="59"/>
        <v/>
      </c>
      <c r="AN133" s="88" t="str">
        <f ca="1">IF(AH133="","",DATE(INDEX(OFFSET(Arb!$C$2,,,Arb!$AJ$5,),AH133),INDEX(OFFSET(Arb!$B$2,,,Arb!$AJ$5,),AH133),INDEX(OFFSET(Arb!$A$2,,,Arb!$AJ$5,),AH133))+ROW()*0.001)</f>
        <v/>
      </c>
      <c r="AO133" s="436">
        <v>108</v>
      </c>
      <c r="AQ133" s="52" t="str">
        <f ca="1">IF(AP133="","",INDEX(OFFSET(Arb!$H$2,,,Arb!$AJ$5,),AP133))</f>
        <v/>
      </c>
      <c r="AR133" s="3" t="str">
        <f t="shared" ca="1" si="50"/>
        <v/>
      </c>
      <c r="AS133" s="165" t="str">
        <f ca="1">IF(AP133="","",INDEX(OFFSET(Arb!$X$2,,,Arb!$AJ$5,),AP133)/AQ133)</f>
        <v/>
      </c>
      <c r="AT133" s="165" t="str">
        <f ca="1">IF(AP133="","",(INDEX(OFFSET(Arb!$U$2,,,Arb!$AJ$5,),AP133)+INDEX(OFFSET(Arb!$V$2,,,Arb!$AJ$5,),AP133))/AQ133)</f>
        <v/>
      </c>
      <c r="AU133" s="51" t="str">
        <f t="shared" ca="1" si="60"/>
        <v/>
      </c>
      <c r="AV133" s="91" t="str">
        <f ca="1">IF(AP133="","",DATE(INDEX(OFFSET(Arb!$C$2,,,Arb!$AJ$5,),AP133),INDEX(OFFSET(Arb!$B$2,,,Arb!$AJ$5,),AP133),INDEX(OFFSET(Arb!$A$2,,,Arb!$AJ$5,),AP133))+ROW()*0.001)</f>
        <v/>
      </c>
      <c r="AW133" s="442">
        <v>108</v>
      </c>
      <c r="AY133" s="52" t="str">
        <f ca="1">IF(AX133="","",INDEX(OFFSET(Arb!$H$2,,,Arb!$AJ$5,),AX133))</f>
        <v/>
      </c>
      <c r="AZ133" s="3" t="str">
        <f t="shared" ca="1" si="51"/>
        <v/>
      </c>
      <c r="BA133" s="165" t="str">
        <f ca="1">IF(AX133="","",INDEX(OFFSET(Arb!$X$2,,,Arb!$AJ$5,),AX133)/AY133)</f>
        <v/>
      </c>
      <c r="BB133" s="165" t="str">
        <f ca="1">IF(AX133="","",(INDEX(OFFSET(Arb!$U$2,,,Arb!$AJ$5,),AX133)+INDEX(OFFSET(Arb!$V$2,,,Arb!$AJ$5,),AX133))/AY133)</f>
        <v/>
      </c>
      <c r="BC133" s="51" t="str">
        <f t="shared" ca="1" si="61"/>
        <v/>
      </c>
      <c r="BD133" s="88" t="str">
        <f ca="1">IF(AX133="","",DATE(INDEX(OFFSET(Arb!$C$2,,,Arb!$AJ$5,),AX133),INDEX(OFFSET(Arb!$B$2,,,Arb!$AJ$5,),AX133),INDEX(OFFSET(Arb!$A$2,,,Arb!$AJ$5,),AX133))+ROW()*0.001)</f>
        <v/>
      </c>
      <c r="BE133" s="436">
        <v>108</v>
      </c>
      <c r="BG133" s="52" t="str">
        <f ca="1">IF(BF133="","",INDEX(OFFSET(Arb!$H$2,,,Arb!$AJ$5,),BF133))</f>
        <v/>
      </c>
      <c r="BH133" s="3" t="str">
        <f t="shared" ca="1" si="52"/>
        <v/>
      </c>
      <c r="BI133" s="165" t="str">
        <f ca="1">IF(BF133="","",INDEX(OFFSET(Arb!$X$2,,,Arb!$AJ$5,),BF133)/BG133)</f>
        <v/>
      </c>
      <c r="BJ133" s="165" t="str">
        <f ca="1">IF(BF133="","",(INDEX(OFFSET(Arb!$U$2,,,Arb!$AJ$5,),BF133)+INDEX(OFFSET(Arb!$V$2,,,Arb!$AJ$5,),BF133))/BG133)</f>
        <v/>
      </c>
      <c r="BK133" s="51" t="str">
        <f t="shared" ca="1" si="62"/>
        <v/>
      </c>
      <c r="BL133" s="91" t="str">
        <f ca="1">IF(BF133="","",DATE(INDEX(OFFSET(Arb!$C$2,,,Arb!$AJ$5,),BF133),INDEX(OFFSET(Arb!$B$2,,,Arb!$AJ$5,),BF133),INDEX(OFFSET(Arb!$A$2,,,Arb!$AJ$5,),BF133))+ROW()*0.001)</f>
        <v/>
      </c>
      <c r="BM133" s="442">
        <v>108</v>
      </c>
      <c r="BO133" s="52" t="str">
        <f ca="1">IF(BN133="","",INDEX(OFFSET(Arb!$H$2,,,Arb!$AJ$5,),BN133))</f>
        <v/>
      </c>
      <c r="BP133" s="3" t="str">
        <f t="shared" ca="1" si="53"/>
        <v/>
      </c>
      <c r="BQ133" s="165" t="str">
        <f ca="1">IF(BN133="","",INDEX(OFFSET(Arb!$X$2,,,Arb!$AJ$5,),BN133)/BO133)</f>
        <v/>
      </c>
      <c r="BR133" s="165" t="str">
        <f ca="1">IF(BN133="","",(INDEX(OFFSET(Arb!$U$2,,,Arb!$AJ$5,),BN133)+INDEX(OFFSET(Arb!$V$2,,,Arb!$AJ$5,),BN133))/BO133)</f>
        <v/>
      </c>
      <c r="BS133" s="51" t="str">
        <f t="shared" ca="1" si="63"/>
        <v/>
      </c>
      <c r="BT133" s="88" t="str">
        <f ca="1">IF(BN133="","",DATE(INDEX(OFFSET(Arb!$C$2,,,Arb!$AJ$5,),BN133),INDEX(OFFSET(Arb!$B$2,,,Arb!$AJ$5,),BN133),INDEX(OFFSET(Arb!$A$2,,,Arb!$AJ$5,),BN133))+ROW()*0.001)</f>
        <v/>
      </c>
      <c r="BU133" s="436">
        <v>108</v>
      </c>
      <c r="BW133" s="52" t="str">
        <f ca="1">IF(BV133="","",INDEX(OFFSET(Arb!$H$2,,,Arb!$AJ$5,),BV133))</f>
        <v/>
      </c>
      <c r="BX133" s="3" t="str">
        <f t="shared" ca="1" si="54"/>
        <v/>
      </c>
      <c r="BY133" s="165" t="str">
        <f ca="1">IF(BV133="","",INDEX(OFFSET(Arb!$X$2,,,Arb!$AJ$5,),BV133)/BW133)</f>
        <v/>
      </c>
      <c r="BZ133" s="165" t="str">
        <f ca="1">IF(BV133="","",(INDEX(OFFSET(Arb!$U$2,,,Arb!$AJ$5,),BV133)+INDEX(OFFSET(Arb!$V$2,,,Arb!$AJ$5,),BV133))/BW133)</f>
        <v/>
      </c>
      <c r="CA133" s="51" t="str">
        <f t="shared" ca="1" si="64"/>
        <v/>
      </c>
      <c r="CB133" s="91" t="str">
        <f ca="1">IF(BV133="","",DATE(INDEX(OFFSET(Arb!$C$2,,,Arb!$AJ$5,),BV133),INDEX(OFFSET(Arb!$B$2,,,Arb!$AJ$5,),BV133),INDEX(OFFSET(Arb!$A$2,,,Arb!$AJ$5,),BV133))+ROW()*0.001)</f>
        <v/>
      </c>
    </row>
    <row r="134" spans="1:80" x14ac:dyDescent="0.25">
      <c r="A134" s="436">
        <v>109</v>
      </c>
      <c r="C134" s="52" t="str">
        <f ca="1">IF(B134="","",INDEX(OFFSET(Arb!$H$2,,,Arb!$AJ$5,),B134))</f>
        <v/>
      </c>
      <c r="D134" s="3" t="str">
        <f t="shared" ca="1" si="45"/>
        <v/>
      </c>
      <c r="E134" s="165" t="str">
        <f ca="1">IF(B134="","",INDEX(OFFSET(Arb!$X$2,,,Arb!$AJ$5,),B134)/C134)</f>
        <v/>
      </c>
      <c r="F134" s="165" t="str">
        <f ca="1">IF(B134="","",(INDEX(OFFSET(Arb!$U$2,,,Arb!$AJ$5,),B134)+INDEX(OFFSET(Arb!$V$2,,,Arb!$AJ$5,),B134))/C134)</f>
        <v/>
      </c>
      <c r="G134" s="51" t="str">
        <f t="shared" ca="1" si="55"/>
        <v/>
      </c>
      <c r="H134" s="355" t="str">
        <f ca="1">IF(B134="","",DATE(INDEX(OFFSET(Arb!$C$2,,,Arb!$AJ$5,),B134),INDEX(OFFSET(Arb!$B$2,,,Arb!$AJ$5,),B134),INDEX(OFFSET(Arb!$A$2,,,Arb!$AJ$5,),B134))+ROW()*0.001)</f>
        <v/>
      </c>
      <c r="I134" s="436">
        <v>109</v>
      </c>
      <c r="K134" s="52" t="str">
        <f ca="1">IF(J134="","",INDEX(OFFSET(Arb!$H$2,,,Arb!$AJ$5,),J134))</f>
        <v/>
      </c>
      <c r="L134" s="3" t="str">
        <f t="shared" ca="1" si="46"/>
        <v/>
      </c>
      <c r="M134" s="165" t="str">
        <f ca="1">IF(J134="","",INDEX(OFFSET(Arb!$X$2,,,Arb!$AJ$5,),J134)/K134)</f>
        <v/>
      </c>
      <c r="N134" s="165" t="str">
        <f ca="1">IF(J134="","",(INDEX(OFFSET(Arb!$U$2,,,Arb!$AJ$5,),J134)+INDEX(OFFSET(Arb!$V$2,,,Arb!$AJ$5,),J134))/K134)</f>
        <v/>
      </c>
      <c r="O134" s="51" t="str">
        <f t="shared" ca="1" si="56"/>
        <v/>
      </c>
      <c r="P134" s="91" t="str">
        <f ca="1">IF(J134="","",DATE(INDEX(OFFSET(Arb!$C$2,,,Arb!$AJ$5,),J134),INDEX(OFFSET(Arb!$B$2,,,Arb!$AJ$5,),J134),INDEX(OFFSET(Arb!$A$2,,,Arb!$AJ$5,),J134))+ROW()*0.001)</f>
        <v/>
      </c>
      <c r="Q134" s="442">
        <v>109</v>
      </c>
      <c r="S134" s="52" t="str">
        <f ca="1">IF(R134="","",INDEX(OFFSET(Arb!$H$2,,,Arb!$AJ$5,),R134))</f>
        <v/>
      </c>
      <c r="T134" s="3" t="str">
        <f t="shared" ca="1" si="47"/>
        <v/>
      </c>
      <c r="U134" s="165" t="str">
        <f ca="1">IF(R134="","",INDEX(OFFSET(Arb!$X$2,,,Arb!$AJ$5,),R134)/S134)</f>
        <v/>
      </c>
      <c r="V134" s="165" t="str">
        <f ca="1">IF(R134="","",(INDEX(OFFSET(Arb!$U$2,,,Arb!$AJ$5,),R134)+INDEX(OFFSET(Arb!$V$2,,,Arb!$AJ$5,),R134))/S134)</f>
        <v/>
      </c>
      <c r="W134" s="51" t="str">
        <f t="shared" ca="1" si="57"/>
        <v/>
      </c>
      <c r="X134" s="88" t="str">
        <f ca="1">IF(R134="","",DATE(INDEX(OFFSET(Arb!$C$2,,,Arb!$AJ$5,),R134),INDEX(OFFSET(Arb!$B$2,,,Arb!$AJ$5,),R134),INDEX(OFFSET(Arb!$A$2,,,Arb!$AJ$5,),R134))+ROW()*0.001)</f>
        <v/>
      </c>
      <c r="Y134" s="436">
        <v>109</v>
      </c>
      <c r="AA134" s="52" t="str">
        <f ca="1">IF(Z134="","",INDEX(OFFSET(Arb!$H$2,,,Arb!$AJ$5,),Z134))</f>
        <v/>
      </c>
      <c r="AB134" s="3" t="str">
        <f t="shared" ca="1" si="48"/>
        <v/>
      </c>
      <c r="AC134" s="165" t="str">
        <f ca="1">IF(Z134="","",INDEX(OFFSET(Arb!$X$2,,,Arb!$AJ$5,),Z134)/AA134)</f>
        <v/>
      </c>
      <c r="AD134" s="165" t="str">
        <f ca="1">IF(Z134="","",(INDEX(OFFSET(Arb!$U$2,,,Arb!$AJ$5,),Z134)+INDEX(OFFSET(Arb!$V$2,,,Arb!$AJ$5,),Z134))/AA134)</f>
        <v/>
      </c>
      <c r="AE134" s="51" t="str">
        <f t="shared" ca="1" si="58"/>
        <v/>
      </c>
      <c r="AF134" s="91" t="str">
        <f ca="1">IF(Z134="","",DATE(INDEX(OFFSET(Arb!$C$2,,,Arb!$AJ$5,),Z134),INDEX(OFFSET(Arb!$B$2,,,Arb!$AJ$5,),Z134),INDEX(OFFSET(Arb!$A$2,,,Arb!$AJ$5,),Z134))+ROW()*0.001)</f>
        <v/>
      </c>
      <c r="AG134" s="442">
        <v>109</v>
      </c>
      <c r="AI134" s="52" t="str">
        <f ca="1">IF(AH134="","",INDEX(OFFSET(Arb!$H$2,,,Arb!$AJ$5,),AH134))</f>
        <v/>
      </c>
      <c r="AJ134" s="3" t="str">
        <f t="shared" ca="1" si="49"/>
        <v/>
      </c>
      <c r="AK134" s="165" t="str">
        <f ca="1">IF(AH134="","",INDEX(OFFSET(Arb!$X$2,,,Arb!$AJ$5,),AH134)/AI134)</f>
        <v/>
      </c>
      <c r="AL134" s="165" t="str">
        <f ca="1">IF(AH134="","",(INDEX(OFFSET(Arb!$U$2,,,Arb!$AJ$5,),AH134)+INDEX(OFFSET(Arb!$V$2,,,Arb!$AJ$5,),AH134))/AI134)</f>
        <v/>
      </c>
      <c r="AM134" s="51" t="str">
        <f t="shared" ca="1" si="59"/>
        <v/>
      </c>
      <c r="AN134" s="88" t="str">
        <f ca="1">IF(AH134="","",DATE(INDEX(OFFSET(Arb!$C$2,,,Arb!$AJ$5,),AH134),INDEX(OFFSET(Arb!$B$2,,,Arb!$AJ$5,),AH134),INDEX(OFFSET(Arb!$A$2,,,Arb!$AJ$5,),AH134))+ROW()*0.001)</f>
        <v/>
      </c>
      <c r="AO134" s="436">
        <v>109</v>
      </c>
      <c r="AQ134" s="52" t="str">
        <f ca="1">IF(AP134="","",INDEX(OFFSET(Arb!$H$2,,,Arb!$AJ$5,),AP134))</f>
        <v/>
      </c>
      <c r="AR134" s="3" t="str">
        <f t="shared" ca="1" si="50"/>
        <v/>
      </c>
      <c r="AS134" s="165" t="str">
        <f ca="1">IF(AP134="","",INDEX(OFFSET(Arb!$X$2,,,Arb!$AJ$5,),AP134)/AQ134)</f>
        <v/>
      </c>
      <c r="AT134" s="165" t="str">
        <f ca="1">IF(AP134="","",(INDEX(OFFSET(Arb!$U$2,,,Arb!$AJ$5,),AP134)+INDEX(OFFSET(Arb!$V$2,,,Arb!$AJ$5,),AP134))/AQ134)</f>
        <v/>
      </c>
      <c r="AU134" s="51" t="str">
        <f t="shared" ca="1" si="60"/>
        <v/>
      </c>
      <c r="AV134" s="91" t="str">
        <f ca="1">IF(AP134="","",DATE(INDEX(OFFSET(Arb!$C$2,,,Arb!$AJ$5,),AP134),INDEX(OFFSET(Arb!$B$2,,,Arb!$AJ$5,),AP134),INDEX(OFFSET(Arb!$A$2,,,Arb!$AJ$5,),AP134))+ROW()*0.001)</f>
        <v/>
      </c>
      <c r="AW134" s="442">
        <v>109</v>
      </c>
      <c r="AY134" s="52" t="str">
        <f ca="1">IF(AX134="","",INDEX(OFFSET(Arb!$H$2,,,Arb!$AJ$5,),AX134))</f>
        <v/>
      </c>
      <c r="AZ134" s="3" t="str">
        <f t="shared" ca="1" si="51"/>
        <v/>
      </c>
      <c r="BA134" s="165" t="str">
        <f ca="1">IF(AX134="","",INDEX(OFFSET(Arb!$X$2,,,Arb!$AJ$5,),AX134)/AY134)</f>
        <v/>
      </c>
      <c r="BB134" s="165" t="str">
        <f ca="1">IF(AX134="","",(INDEX(OFFSET(Arb!$U$2,,,Arb!$AJ$5,),AX134)+INDEX(OFFSET(Arb!$V$2,,,Arb!$AJ$5,),AX134))/AY134)</f>
        <v/>
      </c>
      <c r="BC134" s="51" t="str">
        <f t="shared" ca="1" si="61"/>
        <v/>
      </c>
      <c r="BD134" s="88" t="str">
        <f ca="1">IF(AX134="","",DATE(INDEX(OFFSET(Arb!$C$2,,,Arb!$AJ$5,),AX134),INDEX(OFFSET(Arb!$B$2,,,Arb!$AJ$5,),AX134),INDEX(OFFSET(Arb!$A$2,,,Arb!$AJ$5,),AX134))+ROW()*0.001)</f>
        <v/>
      </c>
      <c r="BE134" s="436">
        <v>109</v>
      </c>
      <c r="BG134" s="52" t="str">
        <f ca="1">IF(BF134="","",INDEX(OFFSET(Arb!$H$2,,,Arb!$AJ$5,),BF134))</f>
        <v/>
      </c>
      <c r="BH134" s="3" t="str">
        <f t="shared" ca="1" si="52"/>
        <v/>
      </c>
      <c r="BI134" s="165" t="str">
        <f ca="1">IF(BF134="","",INDEX(OFFSET(Arb!$X$2,,,Arb!$AJ$5,),BF134)/BG134)</f>
        <v/>
      </c>
      <c r="BJ134" s="165" t="str">
        <f ca="1">IF(BF134="","",(INDEX(OFFSET(Arb!$U$2,,,Arb!$AJ$5,),BF134)+INDEX(OFFSET(Arb!$V$2,,,Arb!$AJ$5,),BF134))/BG134)</f>
        <v/>
      </c>
      <c r="BK134" s="51" t="str">
        <f t="shared" ca="1" si="62"/>
        <v/>
      </c>
      <c r="BL134" s="91" t="str">
        <f ca="1">IF(BF134="","",DATE(INDEX(OFFSET(Arb!$C$2,,,Arb!$AJ$5,),BF134),INDEX(OFFSET(Arb!$B$2,,,Arb!$AJ$5,),BF134),INDEX(OFFSET(Arb!$A$2,,,Arb!$AJ$5,),BF134))+ROW()*0.001)</f>
        <v/>
      </c>
      <c r="BM134" s="442">
        <v>109</v>
      </c>
      <c r="BO134" s="52" t="str">
        <f ca="1">IF(BN134="","",INDEX(OFFSET(Arb!$H$2,,,Arb!$AJ$5,),BN134))</f>
        <v/>
      </c>
      <c r="BP134" s="3" t="str">
        <f t="shared" ca="1" si="53"/>
        <v/>
      </c>
      <c r="BQ134" s="165" t="str">
        <f ca="1">IF(BN134="","",INDEX(OFFSET(Arb!$X$2,,,Arb!$AJ$5,),BN134)/BO134)</f>
        <v/>
      </c>
      <c r="BR134" s="165" t="str">
        <f ca="1">IF(BN134="","",(INDEX(OFFSET(Arb!$U$2,,,Arb!$AJ$5,),BN134)+INDEX(OFFSET(Arb!$V$2,,,Arb!$AJ$5,),BN134))/BO134)</f>
        <v/>
      </c>
      <c r="BS134" s="51" t="str">
        <f t="shared" ca="1" si="63"/>
        <v/>
      </c>
      <c r="BT134" s="88" t="str">
        <f ca="1">IF(BN134="","",DATE(INDEX(OFFSET(Arb!$C$2,,,Arb!$AJ$5,),BN134),INDEX(OFFSET(Arb!$B$2,,,Arb!$AJ$5,),BN134),INDEX(OFFSET(Arb!$A$2,,,Arb!$AJ$5,),BN134))+ROW()*0.001)</f>
        <v/>
      </c>
      <c r="BU134" s="436">
        <v>109</v>
      </c>
      <c r="BW134" s="52" t="str">
        <f ca="1">IF(BV134="","",INDEX(OFFSET(Arb!$H$2,,,Arb!$AJ$5,),BV134))</f>
        <v/>
      </c>
      <c r="BX134" s="3" t="str">
        <f t="shared" ca="1" si="54"/>
        <v/>
      </c>
      <c r="BY134" s="165" t="str">
        <f ca="1">IF(BV134="","",INDEX(OFFSET(Arb!$X$2,,,Arb!$AJ$5,),BV134)/BW134)</f>
        <v/>
      </c>
      <c r="BZ134" s="165" t="str">
        <f ca="1">IF(BV134="","",(INDEX(OFFSET(Arb!$U$2,,,Arb!$AJ$5,),BV134)+INDEX(OFFSET(Arb!$V$2,,,Arb!$AJ$5,),BV134))/BW134)</f>
        <v/>
      </c>
      <c r="CA134" s="51" t="str">
        <f t="shared" ca="1" si="64"/>
        <v/>
      </c>
      <c r="CB134" s="91" t="str">
        <f ca="1">IF(BV134="","",DATE(INDEX(OFFSET(Arb!$C$2,,,Arb!$AJ$5,),BV134),INDEX(OFFSET(Arb!$B$2,,,Arb!$AJ$5,),BV134),INDEX(OFFSET(Arb!$A$2,,,Arb!$AJ$5,),BV134))+ROW()*0.001)</f>
        <v/>
      </c>
    </row>
    <row r="135" spans="1:80" x14ac:dyDescent="0.25">
      <c r="A135" s="436">
        <v>110</v>
      </c>
      <c r="C135" s="52" t="str">
        <f ca="1">IF(B135="","",INDEX(OFFSET(Arb!$H$2,,,Arb!$AJ$5,),B135))</f>
        <v/>
      </c>
      <c r="D135" s="3" t="str">
        <f t="shared" ca="1" si="45"/>
        <v/>
      </c>
      <c r="E135" s="165" t="str">
        <f ca="1">IF(B135="","",INDEX(OFFSET(Arb!$X$2,,,Arb!$AJ$5,),B135)/C135)</f>
        <v/>
      </c>
      <c r="F135" s="165" t="str">
        <f ca="1">IF(B135="","",(INDEX(OFFSET(Arb!$U$2,,,Arb!$AJ$5,),B135)+INDEX(OFFSET(Arb!$V$2,,,Arb!$AJ$5,),B135))/C135)</f>
        <v/>
      </c>
      <c r="G135" s="51" t="str">
        <f t="shared" ca="1" si="55"/>
        <v/>
      </c>
      <c r="H135" s="355" t="str">
        <f ca="1">IF(B135="","",DATE(INDEX(OFFSET(Arb!$C$2,,,Arb!$AJ$5,),B135),INDEX(OFFSET(Arb!$B$2,,,Arb!$AJ$5,),B135),INDEX(OFFSET(Arb!$A$2,,,Arb!$AJ$5,),B135))+ROW()*0.001)</f>
        <v/>
      </c>
      <c r="I135" s="436">
        <v>110</v>
      </c>
      <c r="K135" s="52" t="str">
        <f ca="1">IF(J135="","",INDEX(OFFSET(Arb!$H$2,,,Arb!$AJ$5,),J135))</f>
        <v/>
      </c>
      <c r="L135" s="3" t="str">
        <f t="shared" ca="1" si="46"/>
        <v/>
      </c>
      <c r="M135" s="165" t="str">
        <f ca="1">IF(J135="","",INDEX(OFFSET(Arb!$X$2,,,Arb!$AJ$5,),J135)/K135)</f>
        <v/>
      </c>
      <c r="N135" s="165" t="str">
        <f ca="1">IF(J135="","",(INDEX(OFFSET(Arb!$U$2,,,Arb!$AJ$5,),J135)+INDEX(OFFSET(Arb!$V$2,,,Arb!$AJ$5,),J135))/K135)</f>
        <v/>
      </c>
      <c r="O135" s="51" t="str">
        <f t="shared" ca="1" si="56"/>
        <v/>
      </c>
      <c r="P135" s="91" t="str">
        <f ca="1">IF(J135="","",DATE(INDEX(OFFSET(Arb!$C$2,,,Arb!$AJ$5,),J135),INDEX(OFFSET(Arb!$B$2,,,Arb!$AJ$5,),J135),INDEX(OFFSET(Arb!$A$2,,,Arb!$AJ$5,),J135))+ROW()*0.001)</f>
        <v/>
      </c>
      <c r="Q135" s="442">
        <v>110</v>
      </c>
      <c r="S135" s="52" t="str">
        <f ca="1">IF(R135="","",INDEX(OFFSET(Arb!$H$2,,,Arb!$AJ$5,),R135))</f>
        <v/>
      </c>
      <c r="T135" s="3" t="str">
        <f t="shared" ca="1" si="47"/>
        <v/>
      </c>
      <c r="U135" s="165" t="str">
        <f ca="1">IF(R135="","",INDEX(OFFSET(Arb!$X$2,,,Arb!$AJ$5,),R135)/S135)</f>
        <v/>
      </c>
      <c r="V135" s="165" t="str">
        <f ca="1">IF(R135="","",(INDEX(OFFSET(Arb!$U$2,,,Arb!$AJ$5,),R135)+INDEX(OFFSET(Arb!$V$2,,,Arb!$AJ$5,),R135))/S135)</f>
        <v/>
      </c>
      <c r="W135" s="51" t="str">
        <f t="shared" ca="1" si="57"/>
        <v/>
      </c>
      <c r="X135" s="88" t="str">
        <f ca="1">IF(R135="","",DATE(INDEX(OFFSET(Arb!$C$2,,,Arb!$AJ$5,),R135),INDEX(OFFSET(Arb!$B$2,,,Arb!$AJ$5,),R135),INDEX(OFFSET(Arb!$A$2,,,Arb!$AJ$5,),R135))+ROW()*0.001)</f>
        <v/>
      </c>
      <c r="Y135" s="436">
        <v>110</v>
      </c>
      <c r="AA135" s="52" t="str">
        <f ca="1">IF(Z135="","",INDEX(OFFSET(Arb!$H$2,,,Arb!$AJ$5,),Z135))</f>
        <v/>
      </c>
      <c r="AB135" s="3" t="str">
        <f t="shared" ca="1" si="48"/>
        <v/>
      </c>
      <c r="AC135" s="165" t="str">
        <f ca="1">IF(Z135="","",INDEX(OFFSET(Arb!$X$2,,,Arb!$AJ$5,),Z135)/AA135)</f>
        <v/>
      </c>
      <c r="AD135" s="165" t="str">
        <f ca="1">IF(Z135="","",(INDEX(OFFSET(Arb!$U$2,,,Arb!$AJ$5,),Z135)+INDEX(OFFSET(Arb!$V$2,,,Arb!$AJ$5,),Z135))/AA135)</f>
        <v/>
      </c>
      <c r="AE135" s="51" t="str">
        <f t="shared" ca="1" si="58"/>
        <v/>
      </c>
      <c r="AF135" s="91" t="str">
        <f ca="1">IF(Z135="","",DATE(INDEX(OFFSET(Arb!$C$2,,,Arb!$AJ$5,),Z135),INDEX(OFFSET(Arb!$B$2,,,Arb!$AJ$5,),Z135),INDEX(OFFSET(Arb!$A$2,,,Arb!$AJ$5,),Z135))+ROW()*0.001)</f>
        <v/>
      </c>
      <c r="AG135" s="442">
        <v>110</v>
      </c>
      <c r="AI135" s="52" t="str">
        <f ca="1">IF(AH135="","",INDEX(OFFSET(Arb!$H$2,,,Arb!$AJ$5,),AH135))</f>
        <v/>
      </c>
      <c r="AJ135" s="3" t="str">
        <f t="shared" ca="1" si="49"/>
        <v/>
      </c>
      <c r="AK135" s="165" t="str">
        <f ca="1">IF(AH135="","",INDEX(OFFSET(Arb!$X$2,,,Arb!$AJ$5,),AH135)/AI135)</f>
        <v/>
      </c>
      <c r="AL135" s="165" t="str">
        <f ca="1">IF(AH135="","",(INDEX(OFFSET(Arb!$U$2,,,Arb!$AJ$5,),AH135)+INDEX(OFFSET(Arb!$V$2,,,Arb!$AJ$5,),AH135))/AI135)</f>
        <v/>
      </c>
      <c r="AM135" s="51" t="str">
        <f t="shared" ca="1" si="59"/>
        <v/>
      </c>
      <c r="AN135" s="88" t="str">
        <f ca="1">IF(AH135="","",DATE(INDEX(OFFSET(Arb!$C$2,,,Arb!$AJ$5,),AH135),INDEX(OFFSET(Arb!$B$2,,,Arb!$AJ$5,),AH135),INDEX(OFFSET(Arb!$A$2,,,Arb!$AJ$5,),AH135))+ROW()*0.001)</f>
        <v/>
      </c>
      <c r="AO135" s="436">
        <v>110</v>
      </c>
      <c r="AQ135" s="52" t="str">
        <f ca="1">IF(AP135="","",INDEX(OFFSET(Arb!$H$2,,,Arb!$AJ$5,),AP135))</f>
        <v/>
      </c>
      <c r="AR135" s="3" t="str">
        <f t="shared" ca="1" si="50"/>
        <v/>
      </c>
      <c r="AS135" s="165" t="str">
        <f ca="1">IF(AP135="","",INDEX(OFFSET(Arb!$X$2,,,Arb!$AJ$5,),AP135)/AQ135)</f>
        <v/>
      </c>
      <c r="AT135" s="165" t="str">
        <f ca="1">IF(AP135="","",(INDEX(OFFSET(Arb!$U$2,,,Arb!$AJ$5,),AP135)+INDEX(OFFSET(Arb!$V$2,,,Arb!$AJ$5,),AP135))/AQ135)</f>
        <v/>
      </c>
      <c r="AU135" s="51" t="str">
        <f t="shared" ca="1" si="60"/>
        <v/>
      </c>
      <c r="AV135" s="91" t="str">
        <f ca="1">IF(AP135="","",DATE(INDEX(OFFSET(Arb!$C$2,,,Arb!$AJ$5,),AP135),INDEX(OFFSET(Arb!$B$2,,,Arb!$AJ$5,),AP135),INDEX(OFFSET(Arb!$A$2,,,Arb!$AJ$5,),AP135))+ROW()*0.001)</f>
        <v/>
      </c>
      <c r="AW135" s="442">
        <v>110</v>
      </c>
      <c r="AY135" s="52" t="str">
        <f ca="1">IF(AX135="","",INDEX(OFFSET(Arb!$H$2,,,Arb!$AJ$5,),AX135))</f>
        <v/>
      </c>
      <c r="AZ135" s="3" t="str">
        <f t="shared" ca="1" si="51"/>
        <v/>
      </c>
      <c r="BA135" s="165" t="str">
        <f ca="1">IF(AX135="","",INDEX(OFFSET(Arb!$X$2,,,Arb!$AJ$5,),AX135)/AY135)</f>
        <v/>
      </c>
      <c r="BB135" s="165" t="str">
        <f ca="1">IF(AX135="","",(INDEX(OFFSET(Arb!$U$2,,,Arb!$AJ$5,),AX135)+INDEX(OFFSET(Arb!$V$2,,,Arb!$AJ$5,),AX135))/AY135)</f>
        <v/>
      </c>
      <c r="BC135" s="51" t="str">
        <f t="shared" ca="1" si="61"/>
        <v/>
      </c>
      <c r="BD135" s="88" t="str">
        <f ca="1">IF(AX135="","",DATE(INDEX(OFFSET(Arb!$C$2,,,Arb!$AJ$5,),AX135),INDEX(OFFSET(Arb!$B$2,,,Arb!$AJ$5,),AX135),INDEX(OFFSET(Arb!$A$2,,,Arb!$AJ$5,),AX135))+ROW()*0.001)</f>
        <v/>
      </c>
      <c r="BE135" s="436">
        <v>110</v>
      </c>
      <c r="BG135" s="52" t="str">
        <f ca="1">IF(BF135="","",INDEX(OFFSET(Arb!$H$2,,,Arb!$AJ$5,),BF135))</f>
        <v/>
      </c>
      <c r="BH135" s="3" t="str">
        <f t="shared" ca="1" si="52"/>
        <v/>
      </c>
      <c r="BI135" s="165" t="str">
        <f ca="1">IF(BF135="","",INDEX(OFFSET(Arb!$X$2,,,Arb!$AJ$5,),BF135)/BG135)</f>
        <v/>
      </c>
      <c r="BJ135" s="165" t="str">
        <f ca="1">IF(BF135="","",(INDEX(OFFSET(Arb!$U$2,,,Arb!$AJ$5,),BF135)+INDEX(OFFSET(Arb!$V$2,,,Arb!$AJ$5,),BF135))/BG135)</f>
        <v/>
      </c>
      <c r="BK135" s="51" t="str">
        <f t="shared" ca="1" si="62"/>
        <v/>
      </c>
      <c r="BL135" s="91" t="str">
        <f ca="1">IF(BF135="","",DATE(INDEX(OFFSET(Arb!$C$2,,,Arb!$AJ$5,),BF135),INDEX(OFFSET(Arb!$B$2,,,Arb!$AJ$5,),BF135),INDEX(OFFSET(Arb!$A$2,,,Arb!$AJ$5,),BF135))+ROW()*0.001)</f>
        <v/>
      </c>
      <c r="BM135" s="442">
        <v>110</v>
      </c>
      <c r="BO135" s="52" t="str">
        <f ca="1">IF(BN135="","",INDEX(OFFSET(Arb!$H$2,,,Arb!$AJ$5,),BN135))</f>
        <v/>
      </c>
      <c r="BP135" s="3" t="str">
        <f t="shared" ca="1" si="53"/>
        <v/>
      </c>
      <c r="BQ135" s="165" t="str">
        <f ca="1">IF(BN135="","",INDEX(OFFSET(Arb!$X$2,,,Arb!$AJ$5,),BN135)/BO135)</f>
        <v/>
      </c>
      <c r="BR135" s="165" t="str">
        <f ca="1">IF(BN135="","",(INDEX(OFFSET(Arb!$U$2,,,Arb!$AJ$5,),BN135)+INDEX(OFFSET(Arb!$V$2,,,Arb!$AJ$5,),BN135))/BO135)</f>
        <v/>
      </c>
      <c r="BS135" s="51" t="str">
        <f t="shared" ca="1" si="63"/>
        <v/>
      </c>
      <c r="BT135" s="88" t="str">
        <f ca="1">IF(BN135="","",DATE(INDEX(OFFSET(Arb!$C$2,,,Arb!$AJ$5,),BN135),INDEX(OFFSET(Arb!$B$2,,,Arb!$AJ$5,),BN135),INDEX(OFFSET(Arb!$A$2,,,Arb!$AJ$5,),BN135))+ROW()*0.001)</f>
        <v/>
      </c>
      <c r="BU135" s="436">
        <v>110</v>
      </c>
      <c r="BW135" s="52" t="str">
        <f ca="1">IF(BV135="","",INDEX(OFFSET(Arb!$H$2,,,Arb!$AJ$5,),BV135))</f>
        <v/>
      </c>
      <c r="BX135" s="3" t="str">
        <f t="shared" ca="1" si="54"/>
        <v/>
      </c>
      <c r="BY135" s="165" t="str">
        <f ca="1">IF(BV135="","",INDEX(OFFSET(Arb!$X$2,,,Arb!$AJ$5,),BV135)/BW135)</f>
        <v/>
      </c>
      <c r="BZ135" s="165" t="str">
        <f ca="1">IF(BV135="","",(INDEX(OFFSET(Arb!$U$2,,,Arb!$AJ$5,),BV135)+INDEX(OFFSET(Arb!$V$2,,,Arb!$AJ$5,),BV135))/BW135)</f>
        <v/>
      </c>
      <c r="CA135" s="51" t="str">
        <f t="shared" ca="1" si="64"/>
        <v/>
      </c>
      <c r="CB135" s="91" t="str">
        <f ca="1">IF(BV135="","",DATE(INDEX(OFFSET(Arb!$C$2,,,Arb!$AJ$5,),BV135),INDEX(OFFSET(Arb!$B$2,,,Arb!$AJ$5,),BV135),INDEX(OFFSET(Arb!$A$2,,,Arb!$AJ$5,),BV135))+ROW()*0.001)</f>
        <v/>
      </c>
    </row>
    <row r="136" spans="1:80" x14ac:dyDescent="0.25">
      <c r="A136" s="436">
        <v>111</v>
      </c>
      <c r="C136" s="52" t="str">
        <f ca="1">IF(B136="","",INDEX(OFFSET(Arb!$H$2,,,Arb!$AJ$5,),B136))</f>
        <v/>
      </c>
      <c r="D136" s="3" t="str">
        <f t="shared" ca="1" si="45"/>
        <v/>
      </c>
      <c r="E136" s="165" t="str">
        <f ca="1">IF(B136="","",INDEX(OFFSET(Arb!$X$2,,,Arb!$AJ$5,),B136)/C136)</f>
        <v/>
      </c>
      <c r="F136" s="165" t="str">
        <f ca="1">IF(B136="","",(INDEX(OFFSET(Arb!$U$2,,,Arb!$AJ$5,),B136)+INDEX(OFFSET(Arb!$V$2,,,Arb!$AJ$5,),B136))/C136)</f>
        <v/>
      </c>
      <c r="G136" s="51" t="str">
        <f t="shared" ca="1" si="55"/>
        <v/>
      </c>
      <c r="H136" s="355" t="str">
        <f ca="1">IF(B136="","",DATE(INDEX(OFFSET(Arb!$C$2,,,Arb!$AJ$5,),B136),INDEX(OFFSET(Arb!$B$2,,,Arb!$AJ$5,),B136),INDEX(OFFSET(Arb!$A$2,,,Arb!$AJ$5,),B136))+ROW()*0.001)</f>
        <v/>
      </c>
      <c r="I136" s="436">
        <v>111</v>
      </c>
      <c r="K136" s="52" t="str">
        <f ca="1">IF(J136="","",INDEX(OFFSET(Arb!$H$2,,,Arb!$AJ$5,),J136))</f>
        <v/>
      </c>
      <c r="L136" s="3" t="str">
        <f t="shared" ca="1" si="46"/>
        <v/>
      </c>
      <c r="M136" s="165" t="str">
        <f ca="1">IF(J136="","",INDEX(OFFSET(Arb!$X$2,,,Arb!$AJ$5,),J136)/K136)</f>
        <v/>
      </c>
      <c r="N136" s="165" t="str">
        <f ca="1">IF(J136="","",(INDEX(OFFSET(Arb!$U$2,,,Arb!$AJ$5,),J136)+INDEX(OFFSET(Arb!$V$2,,,Arb!$AJ$5,),J136))/K136)</f>
        <v/>
      </c>
      <c r="O136" s="51" t="str">
        <f t="shared" ca="1" si="56"/>
        <v/>
      </c>
      <c r="P136" s="91" t="str">
        <f ca="1">IF(J136="","",DATE(INDEX(OFFSET(Arb!$C$2,,,Arb!$AJ$5,),J136),INDEX(OFFSET(Arb!$B$2,,,Arb!$AJ$5,),J136),INDEX(OFFSET(Arb!$A$2,,,Arb!$AJ$5,),J136))+ROW()*0.001)</f>
        <v/>
      </c>
      <c r="Q136" s="442">
        <v>111</v>
      </c>
      <c r="S136" s="52" t="str">
        <f ca="1">IF(R136="","",INDEX(OFFSET(Arb!$H$2,,,Arb!$AJ$5,),R136))</f>
        <v/>
      </c>
      <c r="T136" s="3" t="str">
        <f t="shared" ca="1" si="47"/>
        <v/>
      </c>
      <c r="U136" s="165" t="str">
        <f ca="1">IF(R136="","",INDEX(OFFSET(Arb!$X$2,,,Arb!$AJ$5,),R136)/S136)</f>
        <v/>
      </c>
      <c r="V136" s="165" t="str">
        <f ca="1">IF(R136="","",(INDEX(OFFSET(Arb!$U$2,,,Arb!$AJ$5,),R136)+INDEX(OFFSET(Arb!$V$2,,,Arb!$AJ$5,),R136))/S136)</f>
        <v/>
      </c>
      <c r="W136" s="51" t="str">
        <f t="shared" ca="1" si="57"/>
        <v/>
      </c>
      <c r="X136" s="88" t="str">
        <f ca="1">IF(R136="","",DATE(INDEX(OFFSET(Arb!$C$2,,,Arb!$AJ$5,),R136),INDEX(OFFSET(Arb!$B$2,,,Arb!$AJ$5,),R136),INDEX(OFFSET(Arb!$A$2,,,Arb!$AJ$5,),R136))+ROW()*0.001)</f>
        <v/>
      </c>
      <c r="Y136" s="436">
        <v>111</v>
      </c>
      <c r="AA136" s="52" t="str">
        <f ca="1">IF(Z136="","",INDEX(OFFSET(Arb!$H$2,,,Arb!$AJ$5,),Z136))</f>
        <v/>
      </c>
      <c r="AB136" s="3" t="str">
        <f t="shared" ca="1" si="48"/>
        <v/>
      </c>
      <c r="AC136" s="165" t="str">
        <f ca="1">IF(Z136="","",INDEX(OFFSET(Arb!$X$2,,,Arb!$AJ$5,),Z136)/AA136)</f>
        <v/>
      </c>
      <c r="AD136" s="165" t="str">
        <f ca="1">IF(Z136="","",(INDEX(OFFSET(Arb!$U$2,,,Arb!$AJ$5,),Z136)+INDEX(OFFSET(Arb!$V$2,,,Arb!$AJ$5,),Z136))/AA136)</f>
        <v/>
      </c>
      <c r="AE136" s="51" t="str">
        <f t="shared" ca="1" si="58"/>
        <v/>
      </c>
      <c r="AF136" s="91" t="str">
        <f ca="1">IF(Z136="","",DATE(INDEX(OFFSET(Arb!$C$2,,,Arb!$AJ$5,),Z136),INDEX(OFFSET(Arb!$B$2,,,Arb!$AJ$5,),Z136),INDEX(OFFSET(Arb!$A$2,,,Arb!$AJ$5,),Z136))+ROW()*0.001)</f>
        <v/>
      </c>
      <c r="AG136" s="442">
        <v>111</v>
      </c>
      <c r="AI136" s="52" t="str">
        <f ca="1">IF(AH136="","",INDEX(OFFSET(Arb!$H$2,,,Arb!$AJ$5,),AH136))</f>
        <v/>
      </c>
      <c r="AJ136" s="3" t="str">
        <f t="shared" ca="1" si="49"/>
        <v/>
      </c>
      <c r="AK136" s="165" t="str">
        <f ca="1">IF(AH136="","",INDEX(OFFSET(Arb!$X$2,,,Arb!$AJ$5,),AH136)/AI136)</f>
        <v/>
      </c>
      <c r="AL136" s="165" t="str">
        <f ca="1">IF(AH136="","",(INDEX(OFFSET(Arb!$U$2,,,Arb!$AJ$5,),AH136)+INDEX(OFFSET(Arb!$V$2,,,Arb!$AJ$5,),AH136))/AI136)</f>
        <v/>
      </c>
      <c r="AM136" s="51" t="str">
        <f t="shared" ca="1" si="59"/>
        <v/>
      </c>
      <c r="AN136" s="88" t="str">
        <f ca="1">IF(AH136="","",DATE(INDEX(OFFSET(Arb!$C$2,,,Arb!$AJ$5,),AH136),INDEX(OFFSET(Arb!$B$2,,,Arb!$AJ$5,),AH136),INDEX(OFFSET(Arb!$A$2,,,Arb!$AJ$5,),AH136))+ROW()*0.001)</f>
        <v/>
      </c>
      <c r="AO136" s="436">
        <v>111</v>
      </c>
      <c r="AQ136" s="52" t="str">
        <f ca="1">IF(AP136="","",INDEX(OFFSET(Arb!$H$2,,,Arb!$AJ$5,),AP136))</f>
        <v/>
      </c>
      <c r="AR136" s="3" t="str">
        <f t="shared" ca="1" si="50"/>
        <v/>
      </c>
      <c r="AS136" s="165" t="str">
        <f ca="1">IF(AP136="","",INDEX(OFFSET(Arb!$X$2,,,Arb!$AJ$5,),AP136)/AQ136)</f>
        <v/>
      </c>
      <c r="AT136" s="165" t="str">
        <f ca="1">IF(AP136="","",(INDEX(OFFSET(Arb!$U$2,,,Arb!$AJ$5,),AP136)+INDEX(OFFSET(Arb!$V$2,,,Arb!$AJ$5,),AP136))/AQ136)</f>
        <v/>
      </c>
      <c r="AU136" s="51" t="str">
        <f t="shared" ca="1" si="60"/>
        <v/>
      </c>
      <c r="AV136" s="91" t="str">
        <f ca="1">IF(AP136="","",DATE(INDEX(OFFSET(Arb!$C$2,,,Arb!$AJ$5,),AP136),INDEX(OFFSET(Arb!$B$2,,,Arb!$AJ$5,),AP136),INDEX(OFFSET(Arb!$A$2,,,Arb!$AJ$5,),AP136))+ROW()*0.001)</f>
        <v/>
      </c>
      <c r="AW136" s="442">
        <v>111</v>
      </c>
      <c r="AY136" s="52" t="str">
        <f ca="1">IF(AX136="","",INDEX(OFFSET(Arb!$H$2,,,Arb!$AJ$5,),AX136))</f>
        <v/>
      </c>
      <c r="AZ136" s="3" t="str">
        <f t="shared" ca="1" si="51"/>
        <v/>
      </c>
      <c r="BA136" s="165" t="str">
        <f ca="1">IF(AX136="","",INDEX(OFFSET(Arb!$X$2,,,Arb!$AJ$5,),AX136)/AY136)</f>
        <v/>
      </c>
      <c r="BB136" s="165" t="str">
        <f ca="1">IF(AX136="","",(INDEX(OFFSET(Arb!$U$2,,,Arb!$AJ$5,),AX136)+INDEX(OFFSET(Arb!$V$2,,,Arb!$AJ$5,),AX136))/AY136)</f>
        <v/>
      </c>
      <c r="BC136" s="51" t="str">
        <f t="shared" ca="1" si="61"/>
        <v/>
      </c>
      <c r="BD136" s="88" t="str">
        <f ca="1">IF(AX136="","",DATE(INDEX(OFFSET(Arb!$C$2,,,Arb!$AJ$5,),AX136),INDEX(OFFSET(Arb!$B$2,,,Arb!$AJ$5,),AX136),INDEX(OFFSET(Arb!$A$2,,,Arb!$AJ$5,),AX136))+ROW()*0.001)</f>
        <v/>
      </c>
      <c r="BE136" s="436">
        <v>111</v>
      </c>
      <c r="BG136" s="52" t="str">
        <f ca="1">IF(BF136="","",INDEX(OFFSET(Arb!$H$2,,,Arb!$AJ$5,),BF136))</f>
        <v/>
      </c>
      <c r="BH136" s="3" t="str">
        <f t="shared" ca="1" si="52"/>
        <v/>
      </c>
      <c r="BI136" s="165" t="str">
        <f ca="1">IF(BF136="","",INDEX(OFFSET(Arb!$X$2,,,Arb!$AJ$5,),BF136)/BG136)</f>
        <v/>
      </c>
      <c r="BJ136" s="165" t="str">
        <f ca="1">IF(BF136="","",(INDEX(OFFSET(Arb!$U$2,,,Arb!$AJ$5,),BF136)+INDEX(OFFSET(Arb!$V$2,,,Arb!$AJ$5,),BF136))/BG136)</f>
        <v/>
      </c>
      <c r="BK136" s="51" t="str">
        <f t="shared" ca="1" si="62"/>
        <v/>
      </c>
      <c r="BL136" s="91" t="str">
        <f ca="1">IF(BF136="","",DATE(INDEX(OFFSET(Arb!$C$2,,,Arb!$AJ$5,),BF136),INDEX(OFFSET(Arb!$B$2,,,Arb!$AJ$5,),BF136),INDEX(OFFSET(Arb!$A$2,,,Arb!$AJ$5,),BF136))+ROW()*0.001)</f>
        <v/>
      </c>
      <c r="BM136" s="442">
        <v>111</v>
      </c>
      <c r="BO136" s="52" t="str">
        <f ca="1">IF(BN136="","",INDEX(OFFSET(Arb!$H$2,,,Arb!$AJ$5,),BN136))</f>
        <v/>
      </c>
      <c r="BP136" s="3" t="str">
        <f t="shared" ca="1" si="53"/>
        <v/>
      </c>
      <c r="BQ136" s="165" t="str">
        <f ca="1">IF(BN136="","",INDEX(OFFSET(Arb!$X$2,,,Arb!$AJ$5,),BN136)/BO136)</f>
        <v/>
      </c>
      <c r="BR136" s="165" t="str">
        <f ca="1">IF(BN136="","",(INDEX(OFFSET(Arb!$U$2,,,Arb!$AJ$5,),BN136)+INDEX(OFFSET(Arb!$V$2,,,Arb!$AJ$5,),BN136))/BO136)</f>
        <v/>
      </c>
      <c r="BS136" s="51" t="str">
        <f t="shared" ca="1" si="63"/>
        <v/>
      </c>
      <c r="BT136" s="88" t="str">
        <f ca="1">IF(BN136="","",DATE(INDEX(OFFSET(Arb!$C$2,,,Arb!$AJ$5,),BN136),INDEX(OFFSET(Arb!$B$2,,,Arb!$AJ$5,),BN136),INDEX(OFFSET(Arb!$A$2,,,Arb!$AJ$5,),BN136))+ROW()*0.001)</f>
        <v/>
      </c>
      <c r="BU136" s="436">
        <v>111</v>
      </c>
      <c r="BW136" s="52" t="str">
        <f ca="1">IF(BV136="","",INDEX(OFFSET(Arb!$H$2,,,Arb!$AJ$5,),BV136))</f>
        <v/>
      </c>
      <c r="BX136" s="3" t="str">
        <f t="shared" ca="1" si="54"/>
        <v/>
      </c>
      <c r="BY136" s="165" t="str">
        <f ca="1">IF(BV136="","",INDEX(OFFSET(Arb!$X$2,,,Arb!$AJ$5,),BV136)/BW136)</f>
        <v/>
      </c>
      <c r="BZ136" s="165" t="str">
        <f ca="1">IF(BV136="","",(INDEX(OFFSET(Arb!$U$2,,,Arb!$AJ$5,),BV136)+INDEX(OFFSET(Arb!$V$2,,,Arb!$AJ$5,),BV136))/BW136)</f>
        <v/>
      </c>
      <c r="CA136" s="51" t="str">
        <f t="shared" ca="1" si="64"/>
        <v/>
      </c>
      <c r="CB136" s="91" t="str">
        <f ca="1">IF(BV136="","",DATE(INDEX(OFFSET(Arb!$C$2,,,Arb!$AJ$5,),BV136),INDEX(OFFSET(Arb!$B$2,,,Arb!$AJ$5,),BV136),INDEX(OFFSET(Arb!$A$2,,,Arb!$AJ$5,),BV136))+ROW()*0.001)</f>
        <v/>
      </c>
    </row>
    <row r="137" spans="1:80" x14ac:dyDescent="0.25">
      <c r="A137" s="436">
        <v>112</v>
      </c>
      <c r="C137" s="52" t="str">
        <f ca="1">IF(B137="","",INDEX(OFFSET(Arb!$H$2,,,Arb!$AJ$5,),B137))</f>
        <v/>
      </c>
      <c r="D137" s="3" t="str">
        <f t="shared" ca="1" si="45"/>
        <v/>
      </c>
      <c r="E137" s="165" t="str">
        <f ca="1">IF(B137="","",INDEX(OFFSET(Arb!$X$2,,,Arb!$AJ$5,),B137)/C137)</f>
        <v/>
      </c>
      <c r="F137" s="165" t="str">
        <f ca="1">IF(B137="","",(INDEX(OFFSET(Arb!$U$2,,,Arb!$AJ$5,),B137)+INDEX(OFFSET(Arb!$V$2,,,Arb!$AJ$5,),B137))/C137)</f>
        <v/>
      </c>
      <c r="G137" s="51" t="str">
        <f t="shared" ca="1" si="55"/>
        <v/>
      </c>
      <c r="H137" s="355" t="str">
        <f ca="1">IF(B137="","",DATE(INDEX(OFFSET(Arb!$C$2,,,Arb!$AJ$5,),B137),INDEX(OFFSET(Arb!$B$2,,,Arb!$AJ$5,),B137),INDEX(OFFSET(Arb!$A$2,,,Arb!$AJ$5,),B137))+ROW()*0.001)</f>
        <v/>
      </c>
      <c r="I137" s="436">
        <v>112</v>
      </c>
      <c r="K137" s="52" t="str">
        <f ca="1">IF(J137="","",INDEX(OFFSET(Arb!$H$2,,,Arb!$AJ$5,),J137))</f>
        <v/>
      </c>
      <c r="L137" s="3" t="str">
        <f t="shared" ca="1" si="46"/>
        <v/>
      </c>
      <c r="M137" s="165" t="str">
        <f ca="1">IF(J137="","",INDEX(OFFSET(Arb!$X$2,,,Arb!$AJ$5,),J137)/K137)</f>
        <v/>
      </c>
      <c r="N137" s="165" t="str">
        <f ca="1">IF(J137="","",(INDEX(OFFSET(Arb!$U$2,,,Arb!$AJ$5,),J137)+INDEX(OFFSET(Arb!$V$2,,,Arb!$AJ$5,),J137))/K137)</f>
        <v/>
      </c>
      <c r="O137" s="51" t="str">
        <f t="shared" ca="1" si="56"/>
        <v/>
      </c>
      <c r="P137" s="91" t="str">
        <f ca="1">IF(J137="","",DATE(INDEX(OFFSET(Arb!$C$2,,,Arb!$AJ$5,),J137),INDEX(OFFSET(Arb!$B$2,,,Arb!$AJ$5,),J137),INDEX(OFFSET(Arb!$A$2,,,Arb!$AJ$5,),J137))+ROW()*0.001)</f>
        <v/>
      </c>
      <c r="Q137" s="442">
        <v>112</v>
      </c>
      <c r="S137" s="52" t="str">
        <f ca="1">IF(R137="","",INDEX(OFFSET(Arb!$H$2,,,Arb!$AJ$5,),R137))</f>
        <v/>
      </c>
      <c r="T137" s="3" t="str">
        <f t="shared" ca="1" si="47"/>
        <v/>
      </c>
      <c r="U137" s="165" t="str">
        <f ca="1">IF(R137="","",INDEX(OFFSET(Arb!$X$2,,,Arb!$AJ$5,),R137)/S137)</f>
        <v/>
      </c>
      <c r="V137" s="165" t="str">
        <f ca="1">IF(R137="","",(INDEX(OFFSET(Arb!$U$2,,,Arb!$AJ$5,),R137)+INDEX(OFFSET(Arb!$V$2,,,Arb!$AJ$5,),R137))/S137)</f>
        <v/>
      </c>
      <c r="W137" s="51" t="str">
        <f t="shared" ca="1" si="57"/>
        <v/>
      </c>
      <c r="X137" s="88" t="str">
        <f ca="1">IF(R137="","",DATE(INDEX(OFFSET(Arb!$C$2,,,Arb!$AJ$5,),R137),INDEX(OFFSET(Arb!$B$2,,,Arb!$AJ$5,),R137),INDEX(OFFSET(Arb!$A$2,,,Arb!$AJ$5,),R137))+ROW()*0.001)</f>
        <v/>
      </c>
      <c r="Y137" s="436">
        <v>112</v>
      </c>
      <c r="AA137" s="52" t="str">
        <f ca="1">IF(Z137="","",INDEX(OFFSET(Arb!$H$2,,,Arb!$AJ$5,),Z137))</f>
        <v/>
      </c>
      <c r="AB137" s="3" t="str">
        <f t="shared" ca="1" si="48"/>
        <v/>
      </c>
      <c r="AC137" s="165" t="str">
        <f ca="1">IF(Z137="","",INDEX(OFFSET(Arb!$X$2,,,Arb!$AJ$5,),Z137)/AA137)</f>
        <v/>
      </c>
      <c r="AD137" s="165" t="str">
        <f ca="1">IF(Z137="","",(INDEX(OFFSET(Arb!$U$2,,,Arb!$AJ$5,),Z137)+INDEX(OFFSET(Arb!$V$2,,,Arb!$AJ$5,),Z137))/AA137)</f>
        <v/>
      </c>
      <c r="AE137" s="51" t="str">
        <f t="shared" ca="1" si="58"/>
        <v/>
      </c>
      <c r="AF137" s="91" t="str">
        <f ca="1">IF(Z137="","",DATE(INDEX(OFFSET(Arb!$C$2,,,Arb!$AJ$5,),Z137),INDEX(OFFSET(Arb!$B$2,,,Arb!$AJ$5,),Z137),INDEX(OFFSET(Arb!$A$2,,,Arb!$AJ$5,),Z137))+ROW()*0.001)</f>
        <v/>
      </c>
      <c r="AG137" s="442">
        <v>112</v>
      </c>
      <c r="AI137" s="52" t="str">
        <f ca="1">IF(AH137="","",INDEX(OFFSET(Arb!$H$2,,,Arb!$AJ$5,),AH137))</f>
        <v/>
      </c>
      <c r="AJ137" s="3" t="str">
        <f t="shared" ca="1" si="49"/>
        <v/>
      </c>
      <c r="AK137" s="165" t="str">
        <f ca="1">IF(AH137="","",INDEX(OFFSET(Arb!$X$2,,,Arb!$AJ$5,),AH137)/AI137)</f>
        <v/>
      </c>
      <c r="AL137" s="165" t="str">
        <f ca="1">IF(AH137="","",(INDEX(OFFSET(Arb!$U$2,,,Arb!$AJ$5,),AH137)+INDEX(OFFSET(Arb!$V$2,,,Arb!$AJ$5,),AH137))/AI137)</f>
        <v/>
      </c>
      <c r="AM137" s="51" t="str">
        <f t="shared" ca="1" si="59"/>
        <v/>
      </c>
      <c r="AN137" s="88" t="str">
        <f ca="1">IF(AH137="","",DATE(INDEX(OFFSET(Arb!$C$2,,,Arb!$AJ$5,),AH137),INDEX(OFFSET(Arb!$B$2,,,Arb!$AJ$5,),AH137),INDEX(OFFSET(Arb!$A$2,,,Arb!$AJ$5,),AH137))+ROW()*0.001)</f>
        <v/>
      </c>
      <c r="AO137" s="436">
        <v>112</v>
      </c>
      <c r="AQ137" s="52" t="str">
        <f ca="1">IF(AP137="","",INDEX(OFFSET(Arb!$H$2,,,Arb!$AJ$5,),AP137))</f>
        <v/>
      </c>
      <c r="AR137" s="3" t="str">
        <f t="shared" ca="1" si="50"/>
        <v/>
      </c>
      <c r="AS137" s="165" t="str">
        <f ca="1">IF(AP137="","",INDEX(OFFSET(Arb!$X$2,,,Arb!$AJ$5,),AP137)/AQ137)</f>
        <v/>
      </c>
      <c r="AT137" s="165" t="str">
        <f ca="1">IF(AP137="","",(INDEX(OFFSET(Arb!$U$2,,,Arb!$AJ$5,),AP137)+INDEX(OFFSET(Arb!$V$2,,,Arb!$AJ$5,),AP137))/AQ137)</f>
        <v/>
      </c>
      <c r="AU137" s="51" t="str">
        <f t="shared" ca="1" si="60"/>
        <v/>
      </c>
      <c r="AV137" s="91" t="str">
        <f ca="1">IF(AP137="","",DATE(INDEX(OFFSET(Arb!$C$2,,,Arb!$AJ$5,),AP137),INDEX(OFFSET(Arb!$B$2,,,Arb!$AJ$5,),AP137),INDEX(OFFSET(Arb!$A$2,,,Arb!$AJ$5,),AP137))+ROW()*0.001)</f>
        <v/>
      </c>
      <c r="AW137" s="442">
        <v>112</v>
      </c>
      <c r="AY137" s="52" t="str">
        <f ca="1">IF(AX137="","",INDEX(OFFSET(Arb!$H$2,,,Arb!$AJ$5,),AX137))</f>
        <v/>
      </c>
      <c r="AZ137" s="3" t="str">
        <f t="shared" ca="1" si="51"/>
        <v/>
      </c>
      <c r="BA137" s="165" t="str">
        <f ca="1">IF(AX137="","",INDEX(OFFSET(Arb!$X$2,,,Arb!$AJ$5,),AX137)/AY137)</f>
        <v/>
      </c>
      <c r="BB137" s="165" t="str">
        <f ca="1">IF(AX137="","",(INDEX(OFFSET(Arb!$U$2,,,Arb!$AJ$5,),AX137)+INDEX(OFFSET(Arb!$V$2,,,Arb!$AJ$5,),AX137))/AY137)</f>
        <v/>
      </c>
      <c r="BC137" s="51" t="str">
        <f t="shared" ca="1" si="61"/>
        <v/>
      </c>
      <c r="BD137" s="88" t="str">
        <f ca="1">IF(AX137="","",DATE(INDEX(OFFSET(Arb!$C$2,,,Arb!$AJ$5,),AX137),INDEX(OFFSET(Arb!$B$2,,,Arb!$AJ$5,),AX137),INDEX(OFFSET(Arb!$A$2,,,Arb!$AJ$5,),AX137))+ROW()*0.001)</f>
        <v/>
      </c>
      <c r="BE137" s="436">
        <v>112</v>
      </c>
      <c r="BG137" s="52" t="str">
        <f ca="1">IF(BF137="","",INDEX(OFFSET(Arb!$H$2,,,Arb!$AJ$5,),BF137))</f>
        <v/>
      </c>
      <c r="BH137" s="3" t="str">
        <f t="shared" ca="1" si="52"/>
        <v/>
      </c>
      <c r="BI137" s="165" t="str">
        <f ca="1">IF(BF137="","",INDEX(OFFSET(Arb!$X$2,,,Arb!$AJ$5,),BF137)/BG137)</f>
        <v/>
      </c>
      <c r="BJ137" s="165" t="str">
        <f ca="1">IF(BF137="","",(INDEX(OFFSET(Arb!$U$2,,,Arb!$AJ$5,),BF137)+INDEX(OFFSET(Arb!$V$2,,,Arb!$AJ$5,),BF137))/BG137)</f>
        <v/>
      </c>
      <c r="BK137" s="51" t="str">
        <f t="shared" ca="1" si="62"/>
        <v/>
      </c>
      <c r="BL137" s="91" t="str">
        <f ca="1">IF(BF137="","",DATE(INDEX(OFFSET(Arb!$C$2,,,Arb!$AJ$5,),BF137),INDEX(OFFSET(Arb!$B$2,,,Arb!$AJ$5,),BF137),INDEX(OFFSET(Arb!$A$2,,,Arb!$AJ$5,),BF137))+ROW()*0.001)</f>
        <v/>
      </c>
      <c r="BM137" s="442">
        <v>112</v>
      </c>
      <c r="BO137" s="52" t="str">
        <f ca="1">IF(BN137="","",INDEX(OFFSET(Arb!$H$2,,,Arb!$AJ$5,),BN137))</f>
        <v/>
      </c>
      <c r="BP137" s="3" t="str">
        <f t="shared" ca="1" si="53"/>
        <v/>
      </c>
      <c r="BQ137" s="165" t="str">
        <f ca="1">IF(BN137="","",INDEX(OFFSET(Arb!$X$2,,,Arb!$AJ$5,),BN137)/BO137)</f>
        <v/>
      </c>
      <c r="BR137" s="165" t="str">
        <f ca="1">IF(BN137="","",(INDEX(OFFSET(Arb!$U$2,,,Arb!$AJ$5,),BN137)+INDEX(OFFSET(Arb!$V$2,,,Arb!$AJ$5,),BN137))/BO137)</f>
        <v/>
      </c>
      <c r="BS137" s="51" t="str">
        <f t="shared" ca="1" si="63"/>
        <v/>
      </c>
      <c r="BT137" s="88" t="str">
        <f ca="1">IF(BN137="","",DATE(INDEX(OFFSET(Arb!$C$2,,,Arb!$AJ$5,),BN137),INDEX(OFFSET(Arb!$B$2,,,Arb!$AJ$5,),BN137),INDEX(OFFSET(Arb!$A$2,,,Arb!$AJ$5,),BN137))+ROW()*0.001)</f>
        <v/>
      </c>
      <c r="BU137" s="436">
        <v>112</v>
      </c>
      <c r="BW137" s="52" t="str">
        <f ca="1">IF(BV137="","",INDEX(OFFSET(Arb!$H$2,,,Arb!$AJ$5,),BV137))</f>
        <v/>
      </c>
      <c r="BX137" s="3" t="str">
        <f t="shared" ca="1" si="54"/>
        <v/>
      </c>
      <c r="BY137" s="165" t="str">
        <f ca="1">IF(BV137="","",INDEX(OFFSET(Arb!$X$2,,,Arb!$AJ$5,),BV137)/BW137)</f>
        <v/>
      </c>
      <c r="BZ137" s="165" t="str">
        <f ca="1">IF(BV137="","",(INDEX(OFFSET(Arb!$U$2,,,Arb!$AJ$5,),BV137)+INDEX(OFFSET(Arb!$V$2,,,Arb!$AJ$5,),BV137))/BW137)</f>
        <v/>
      </c>
      <c r="CA137" s="51" t="str">
        <f t="shared" ca="1" si="64"/>
        <v/>
      </c>
      <c r="CB137" s="91" t="str">
        <f ca="1">IF(BV137="","",DATE(INDEX(OFFSET(Arb!$C$2,,,Arb!$AJ$5,),BV137),INDEX(OFFSET(Arb!$B$2,,,Arb!$AJ$5,),BV137),INDEX(OFFSET(Arb!$A$2,,,Arb!$AJ$5,),BV137))+ROW()*0.001)</f>
        <v/>
      </c>
    </row>
    <row r="138" spans="1:80" x14ac:dyDescent="0.25">
      <c r="A138" s="436">
        <v>113</v>
      </c>
      <c r="C138" s="52" t="str">
        <f ca="1">IF(B138="","",INDEX(OFFSET(Arb!$H$2,,,Arb!$AJ$5,),B138))</f>
        <v/>
      </c>
      <c r="D138" s="3" t="str">
        <f t="shared" ca="1" si="45"/>
        <v/>
      </c>
      <c r="E138" s="165" t="str">
        <f ca="1">IF(B138="","",INDEX(OFFSET(Arb!$X$2,,,Arb!$AJ$5,),B138)/C138)</f>
        <v/>
      </c>
      <c r="F138" s="165" t="str">
        <f ca="1">IF(B138="","",(INDEX(OFFSET(Arb!$U$2,,,Arb!$AJ$5,),B138)+INDEX(OFFSET(Arb!$V$2,,,Arb!$AJ$5,),B138))/C138)</f>
        <v/>
      </c>
      <c r="G138" s="51" t="str">
        <f t="shared" ca="1" si="55"/>
        <v/>
      </c>
      <c r="H138" s="355" t="str">
        <f ca="1">IF(B138="","",DATE(INDEX(OFFSET(Arb!$C$2,,,Arb!$AJ$5,),B138),INDEX(OFFSET(Arb!$B$2,,,Arb!$AJ$5,),B138),INDEX(OFFSET(Arb!$A$2,,,Arb!$AJ$5,),B138))+ROW()*0.001)</f>
        <v/>
      </c>
      <c r="I138" s="436">
        <v>113</v>
      </c>
      <c r="K138" s="52" t="str">
        <f ca="1">IF(J138="","",INDEX(OFFSET(Arb!$H$2,,,Arb!$AJ$5,),J138))</f>
        <v/>
      </c>
      <c r="L138" s="3" t="str">
        <f t="shared" ca="1" si="46"/>
        <v/>
      </c>
      <c r="M138" s="165" t="str">
        <f ca="1">IF(J138="","",INDEX(OFFSET(Arb!$X$2,,,Arb!$AJ$5,),J138)/K138)</f>
        <v/>
      </c>
      <c r="N138" s="165" t="str">
        <f ca="1">IF(J138="","",(INDEX(OFFSET(Arb!$U$2,,,Arb!$AJ$5,),J138)+INDEX(OFFSET(Arb!$V$2,,,Arb!$AJ$5,),J138))/K138)</f>
        <v/>
      </c>
      <c r="O138" s="51" t="str">
        <f t="shared" ca="1" si="56"/>
        <v/>
      </c>
      <c r="P138" s="91" t="str">
        <f ca="1">IF(J138="","",DATE(INDEX(OFFSET(Arb!$C$2,,,Arb!$AJ$5,),J138),INDEX(OFFSET(Arb!$B$2,,,Arb!$AJ$5,),J138),INDEX(OFFSET(Arb!$A$2,,,Arb!$AJ$5,),J138))+ROW()*0.001)</f>
        <v/>
      </c>
      <c r="Q138" s="442">
        <v>113</v>
      </c>
      <c r="S138" s="52" t="str">
        <f ca="1">IF(R138="","",INDEX(OFFSET(Arb!$H$2,,,Arb!$AJ$5,),R138))</f>
        <v/>
      </c>
      <c r="T138" s="3" t="str">
        <f t="shared" ca="1" si="47"/>
        <v/>
      </c>
      <c r="U138" s="165" t="str">
        <f ca="1">IF(R138="","",INDEX(OFFSET(Arb!$X$2,,,Arb!$AJ$5,),R138)/S138)</f>
        <v/>
      </c>
      <c r="V138" s="165" t="str">
        <f ca="1">IF(R138="","",(INDEX(OFFSET(Arb!$U$2,,,Arb!$AJ$5,),R138)+INDEX(OFFSET(Arb!$V$2,,,Arb!$AJ$5,),R138))/S138)</f>
        <v/>
      </c>
      <c r="W138" s="51" t="str">
        <f t="shared" ca="1" si="57"/>
        <v/>
      </c>
      <c r="X138" s="88" t="str">
        <f ca="1">IF(R138="","",DATE(INDEX(OFFSET(Arb!$C$2,,,Arb!$AJ$5,),R138),INDEX(OFFSET(Arb!$B$2,,,Arb!$AJ$5,),R138),INDEX(OFFSET(Arb!$A$2,,,Arb!$AJ$5,),R138))+ROW()*0.001)</f>
        <v/>
      </c>
      <c r="Y138" s="436">
        <v>113</v>
      </c>
      <c r="AA138" s="52" t="str">
        <f ca="1">IF(Z138="","",INDEX(OFFSET(Arb!$H$2,,,Arb!$AJ$5,),Z138))</f>
        <v/>
      </c>
      <c r="AB138" s="3" t="str">
        <f t="shared" ca="1" si="48"/>
        <v/>
      </c>
      <c r="AC138" s="165" t="str">
        <f ca="1">IF(Z138="","",INDEX(OFFSET(Arb!$X$2,,,Arb!$AJ$5,),Z138)/AA138)</f>
        <v/>
      </c>
      <c r="AD138" s="165" t="str">
        <f ca="1">IF(Z138="","",(INDEX(OFFSET(Arb!$U$2,,,Arb!$AJ$5,),Z138)+INDEX(OFFSET(Arb!$V$2,,,Arb!$AJ$5,),Z138))/AA138)</f>
        <v/>
      </c>
      <c r="AE138" s="51" t="str">
        <f t="shared" ca="1" si="58"/>
        <v/>
      </c>
      <c r="AF138" s="91" t="str">
        <f ca="1">IF(Z138="","",DATE(INDEX(OFFSET(Arb!$C$2,,,Arb!$AJ$5,),Z138),INDEX(OFFSET(Arb!$B$2,,,Arb!$AJ$5,),Z138),INDEX(OFFSET(Arb!$A$2,,,Arb!$AJ$5,),Z138))+ROW()*0.001)</f>
        <v/>
      </c>
      <c r="AG138" s="442">
        <v>113</v>
      </c>
      <c r="AI138" s="52" t="str">
        <f ca="1">IF(AH138="","",INDEX(OFFSET(Arb!$H$2,,,Arb!$AJ$5,),AH138))</f>
        <v/>
      </c>
      <c r="AJ138" s="3" t="str">
        <f t="shared" ca="1" si="49"/>
        <v/>
      </c>
      <c r="AK138" s="165" t="str">
        <f ca="1">IF(AH138="","",INDEX(OFFSET(Arb!$X$2,,,Arb!$AJ$5,),AH138)/AI138)</f>
        <v/>
      </c>
      <c r="AL138" s="165" t="str">
        <f ca="1">IF(AH138="","",(INDEX(OFFSET(Arb!$U$2,,,Arb!$AJ$5,),AH138)+INDEX(OFFSET(Arb!$V$2,,,Arb!$AJ$5,),AH138))/AI138)</f>
        <v/>
      </c>
      <c r="AM138" s="51" t="str">
        <f t="shared" ca="1" si="59"/>
        <v/>
      </c>
      <c r="AN138" s="88" t="str">
        <f ca="1">IF(AH138="","",DATE(INDEX(OFFSET(Arb!$C$2,,,Arb!$AJ$5,),AH138),INDEX(OFFSET(Arb!$B$2,,,Arb!$AJ$5,),AH138),INDEX(OFFSET(Arb!$A$2,,,Arb!$AJ$5,),AH138))+ROW()*0.001)</f>
        <v/>
      </c>
      <c r="AO138" s="436">
        <v>113</v>
      </c>
      <c r="AQ138" s="52" t="str">
        <f ca="1">IF(AP138="","",INDEX(OFFSET(Arb!$H$2,,,Arb!$AJ$5,),AP138))</f>
        <v/>
      </c>
      <c r="AR138" s="3" t="str">
        <f t="shared" ca="1" si="50"/>
        <v/>
      </c>
      <c r="AS138" s="165" t="str">
        <f ca="1">IF(AP138="","",INDEX(OFFSET(Arb!$X$2,,,Arb!$AJ$5,),AP138)/AQ138)</f>
        <v/>
      </c>
      <c r="AT138" s="165" t="str">
        <f ca="1">IF(AP138="","",(INDEX(OFFSET(Arb!$U$2,,,Arb!$AJ$5,),AP138)+INDEX(OFFSET(Arb!$V$2,,,Arb!$AJ$5,),AP138))/AQ138)</f>
        <v/>
      </c>
      <c r="AU138" s="51" t="str">
        <f t="shared" ca="1" si="60"/>
        <v/>
      </c>
      <c r="AV138" s="91" t="str">
        <f ca="1">IF(AP138="","",DATE(INDEX(OFFSET(Arb!$C$2,,,Arb!$AJ$5,),AP138),INDEX(OFFSET(Arb!$B$2,,,Arb!$AJ$5,),AP138),INDEX(OFFSET(Arb!$A$2,,,Arb!$AJ$5,),AP138))+ROW()*0.001)</f>
        <v/>
      </c>
      <c r="AW138" s="442">
        <v>113</v>
      </c>
      <c r="AY138" s="52" t="str">
        <f ca="1">IF(AX138="","",INDEX(OFFSET(Arb!$H$2,,,Arb!$AJ$5,),AX138))</f>
        <v/>
      </c>
      <c r="AZ138" s="3" t="str">
        <f t="shared" ca="1" si="51"/>
        <v/>
      </c>
      <c r="BA138" s="165" t="str">
        <f ca="1">IF(AX138="","",INDEX(OFFSET(Arb!$X$2,,,Arb!$AJ$5,),AX138)/AY138)</f>
        <v/>
      </c>
      <c r="BB138" s="165" t="str">
        <f ca="1">IF(AX138="","",(INDEX(OFFSET(Arb!$U$2,,,Arb!$AJ$5,),AX138)+INDEX(OFFSET(Arb!$V$2,,,Arb!$AJ$5,),AX138))/AY138)</f>
        <v/>
      </c>
      <c r="BC138" s="51" t="str">
        <f t="shared" ca="1" si="61"/>
        <v/>
      </c>
      <c r="BD138" s="88" t="str">
        <f ca="1">IF(AX138="","",DATE(INDEX(OFFSET(Arb!$C$2,,,Arb!$AJ$5,),AX138),INDEX(OFFSET(Arb!$B$2,,,Arb!$AJ$5,),AX138),INDEX(OFFSET(Arb!$A$2,,,Arb!$AJ$5,),AX138))+ROW()*0.001)</f>
        <v/>
      </c>
      <c r="BE138" s="436">
        <v>113</v>
      </c>
      <c r="BG138" s="52" t="str">
        <f ca="1">IF(BF138="","",INDEX(OFFSET(Arb!$H$2,,,Arb!$AJ$5,),BF138))</f>
        <v/>
      </c>
      <c r="BH138" s="3" t="str">
        <f t="shared" ca="1" si="52"/>
        <v/>
      </c>
      <c r="BI138" s="165" t="str">
        <f ca="1">IF(BF138="","",INDEX(OFFSET(Arb!$X$2,,,Arb!$AJ$5,),BF138)/BG138)</f>
        <v/>
      </c>
      <c r="BJ138" s="165" t="str">
        <f ca="1">IF(BF138="","",(INDEX(OFFSET(Arb!$U$2,,,Arb!$AJ$5,),BF138)+INDEX(OFFSET(Arb!$V$2,,,Arb!$AJ$5,),BF138))/BG138)</f>
        <v/>
      </c>
      <c r="BK138" s="51" t="str">
        <f t="shared" ca="1" si="62"/>
        <v/>
      </c>
      <c r="BL138" s="91" t="str">
        <f ca="1">IF(BF138="","",DATE(INDEX(OFFSET(Arb!$C$2,,,Arb!$AJ$5,),BF138),INDEX(OFFSET(Arb!$B$2,,,Arb!$AJ$5,),BF138),INDEX(OFFSET(Arb!$A$2,,,Arb!$AJ$5,),BF138))+ROW()*0.001)</f>
        <v/>
      </c>
      <c r="BM138" s="442">
        <v>113</v>
      </c>
      <c r="BO138" s="52" t="str">
        <f ca="1">IF(BN138="","",INDEX(OFFSET(Arb!$H$2,,,Arb!$AJ$5,),BN138))</f>
        <v/>
      </c>
      <c r="BP138" s="3" t="str">
        <f t="shared" ca="1" si="53"/>
        <v/>
      </c>
      <c r="BQ138" s="165" t="str">
        <f ca="1">IF(BN138="","",INDEX(OFFSET(Arb!$X$2,,,Arb!$AJ$5,),BN138)/BO138)</f>
        <v/>
      </c>
      <c r="BR138" s="165" t="str">
        <f ca="1">IF(BN138="","",(INDEX(OFFSET(Arb!$U$2,,,Arb!$AJ$5,),BN138)+INDEX(OFFSET(Arb!$V$2,,,Arb!$AJ$5,),BN138))/BO138)</f>
        <v/>
      </c>
      <c r="BS138" s="51" t="str">
        <f t="shared" ca="1" si="63"/>
        <v/>
      </c>
      <c r="BT138" s="88" t="str">
        <f ca="1">IF(BN138="","",DATE(INDEX(OFFSET(Arb!$C$2,,,Arb!$AJ$5,),BN138),INDEX(OFFSET(Arb!$B$2,,,Arb!$AJ$5,),BN138),INDEX(OFFSET(Arb!$A$2,,,Arb!$AJ$5,),BN138))+ROW()*0.001)</f>
        <v/>
      </c>
      <c r="BU138" s="436">
        <v>113</v>
      </c>
      <c r="BW138" s="52" t="str">
        <f ca="1">IF(BV138="","",INDEX(OFFSET(Arb!$H$2,,,Arb!$AJ$5,),BV138))</f>
        <v/>
      </c>
      <c r="BX138" s="3" t="str">
        <f t="shared" ca="1" si="54"/>
        <v/>
      </c>
      <c r="BY138" s="165" t="str">
        <f ca="1">IF(BV138="","",INDEX(OFFSET(Arb!$X$2,,,Arb!$AJ$5,),BV138)/BW138)</f>
        <v/>
      </c>
      <c r="BZ138" s="165" t="str">
        <f ca="1">IF(BV138="","",(INDEX(OFFSET(Arb!$U$2,,,Arb!$AJ$5,),BV138)+INDEX(OFFSET(Arb!$V$2,,,Arb!$AJ$5,),BV138))/BW138)</f>
        <v/>
      </c>
      <c r="CA138" s="51" t="str">
        <f t="shared" ca="1" si="64"/>
        <v/>
      </c>
      <c r="CB138" s="91" t="str">
        <f ca="1">IF(BV138="","",DATE(INDEX(OFFSET(Arb!$C$2,,,Arb!$AJ$5,),BV138),INDEX(OFFSET(Arb!$B$2,,,Arb!$AJ$5,),BV138),INDEX(OFFSET(Arb!$A$2,,,Arb!$AJ$5,),BV138))+ROW()*0.001)</f>
        <v/>
      </c>
    </row>
    <row r="139" spans="1:80" x14ac:dyDescent="0.25">
      <c r="A139" s="436">
        <v>114</v>
      </c>
      <c r="C139" s="52" t="str">
        <f ca="1">IF(B139="","",INDEX(OFFSET(Arb!$H$2,,,Arb!$AJ$5,),B139))</f>
        <v/>
      </c>
      <c r="D139" s="3" t="str">
        <f t="shared" ca="1" si="45"/>
        <v/>
      </c>
      <c r="E139" s="165" t="str">
        <f ca="1">IF(B139="","",INDEX(OFFSET(Arb!$X$2,,,Arb!$AJ$5,),B139)/C139)</f>
        <v/>
      </c>
      <c r="F139" s="165" t="str">
        <f ca="1">IF(B139="","",(INDEX(OFFSET(Arb!$U$2,,,Arb!$AJ$5,),B139)+INDEX(OFFSET(Arb!$V$2,,,Arb!$AJ$5,),B139))/C139)</f>
        <v/>
      </c>
      <c r="G139" s="51" t="str">
        <f t="shared" ca="1" si="55"/>
        <v/>
      </c>
      <c r="H139" s="355" t="str">
        <f ca="1">IF(B139="","",DATE(INDEX(OFFSET(Arb!$C$2,,,Arb!$AJ$5,),B139),INDEX(OFFSET(Arb!$B$2,,,Arb!$AJ$5,),B139),INDEX(OFFSET(Arb!$A$2,,,Arb!$AJ$5,),B139))+ROW()*0.001)</f>
        <v/>
      </c>
      <c r="I139" s="436">
        <v>114</v>
      </c>
      <c r="K139" s="52" t="str">
        <f ca="1">IF(J139="","",INDEX(OFFSET(Arb!$H$2,,,Arb!$AJ$5,),J139))</f>
        <v/>
      </c>
      <c r="L139" s="3" t="str">
        <f t="shared" ca="1" si="46"/>
        <v/>
      </c>
      <c r="M139" s="165" t="str">
        <f ca="1">IF(J139="","",INDEX(OFFSET(Arb!$X$2,,,Arb!$AJ$5,),J139)/K139)</f>
        <v/>
      </c>
      <c r="N139" s="165" t="str">
        <f ca="1">IF(J139="","",(INDEX(OFFSET(Arb!$U$2,,,Arb!$AJ$5,),J139)+INDEX(OFFSET(Arb!$V$2,,,Arb!$AJ$5,),J139))/K139)</f>
        <v/>
      </c>
      <c r="O139" s="51" t="str">
        <f t="shared" ca="1" si="56"/>
        <v/>
      </c>
      <c r="P139" s="91" t="str">
        <f ca="1">IF(J139="","",DATE(INDEX(OFFSET(Arb!$C$2,,,Arb!$AJ$5,),J139),INDEX(OFFSET(Arb!$B$2,,,Arb!$AJ$5,),J139),INDEX(OFFSET(Arb!$A$2,,,Arb!$AJ$5,),J139))+ROW()*0.001)</f>
        <v/>
      </c>
      <c r="Q139" s="442">
        <v>114</v>
      </c>
      <c r="S139" s="52" t="str">
        <f ca="1">IF(R139="","",INDEX(OFFSET(Arb!$H$2,,,Arb!$AJ$5,),R139))</f>
        <v/>
      </c>
      <c r="T139" s="3" t="str">
        <f t="shared" ca="1" si="47"/>
        <v/>
      </c>
      <c r="U139" s="165" t="str">
        <f ca="1">IF(R139="","",INDEX(OFFSET(Arb!$X$2,,,Arb!$AJ$5,),R139)/S139)</f>
        <v/>
      </c>
      <c r="V139" s="165" t="str">
        <f ca="1">IF(R139="","",(INDEX(OFFSET(Arb!$U$2,,,Arb!$AJ$5,),R139)+INDEX(OFFSET(Arb!$V$2,,,Arb!$AJ$5,),R139))/S139)</f>
        <v/>
      </c>
      <c r="W139" s="51" t="str">
        <f t="shared" ca="1" si="57"/>
        <v/>
      </c>
      <c r="X139" s="88" t="str">
        <f ca="1">IF(R139="","",DATE(INDEX(OFFSET(Arb!$C$2,,,Arb!$AJ$5,),R139),INDEX(OFFSET(Arb!$B$2,,,Arb!$AJ$5,),R139),INDEX(OFFSET(Arb!$A$2,,,Arb!$AJ$5,),R139))+ROW()*0.001)</f>
        <v/>
      </c>
      <c r="Y139" s="436">
        <v>114</v>
      </c>
      <c r="AA139" s="52" t="str">
        <f ca="1">IF(Z139="","",INDEX(OFFSET(Arb!$H$2,,,Arb!$AJ$5,),Z139))</f>
        <v/>
      </c>
      <c r="AB139" s="3" t="str">
        <f t="shared" ca="1" si="48"/>
        <v/>
      </c>
      <c r="AC139" s="165" t="str">
        <f ca="1">IF(Z139="","",INDEX(OFFSET(Arb!$X$2,,,Arb!$AJ$5,),Z139)/AA139)</f>
        <v/>
      </c>
      <c r="AD139" s="165" t="str">
        <f ca="1">IF(Z139="","",(INDEX(OFFSET(Arb!$U$2,,,Arb!$AJ$5,),Z139)+INDEX(OFFSET(Arb!$V$2,,,Arb!$AJ$5,),Z139))/AA139)</f>
        <v/>
      </c>
      <c r="AE139" s="51" t="str">
        <f t="shared" ca="1" si="58"/>
        <v/>
      </c>
      <c r="AF139" s="91" t="str">
        <f ca="1">IF(Z139="","",DATE(INDEX(OFFSET(Arb!$C$2,,,Arb!$AJ$5,),Z139),INDEX(OFFSET(Arb!$B$2,,,Arb!$AJ$5,),Z139),INDEX(OFFSET(Arb!$A$2,,,Arb!$AJ$5,),Z139))+ROW()*0.001)</f>
        <v/>
      </c>
      <c r="AG139" s="442">
        <v>114</v>
      </c>
      <c r="AI139" s="52" t="str">
        <f ca="1">IF(AH139="","",INDEX(OFFSET(Arb!$H$2,,,Arb!$AJ$5,),AH139))</f>
        <v/>
      </c>
      <c r="AJ139" s="3" t="str">
        <f t="shared" ca="1" si="49"/>
        <v/>
      </c>
      <c r="AK139" s="165" t="str">
        <f ca="1">IF(AH139="","",INDEX(OFFSET(Arb!$X$2,,,Arb!$AJ$5,),AH139)/AI139)</f>
        <v/>
      </c>
      <c r="AL139" s="165" t="str">
        <f ca="1">IF(AH139="","",(INDEX(OFFSET(Arb!$U$2,,,Arb!$AJ$5,),AH139)+INDEX(OFFSET(Arb!$V$2,,,Arb!$AJ$5,),AH139))/AI139)</f>
        <v/>
      </c>
      <c r="AM139" s="51" t="str">
        <f t="shared" ca="1" si="59"/>
        <v/>
      </c>
      <c r="AN139" s="88" t="str">
        <f ca="1">IF(AH139="","",DATE(INDEX(OFFSET(Arb!$C$2,,,Arb!$AJ$5,),AH139),INDEX(OFFSET(Arb!$B$2,,,Arb!$AJ$5,),AH139),INDEX(OFFSET(Arb!$A$2,,,Arb!$AJ$5,),AH139))+ROW()*0.001)</f>
        <v/>
      </c>
      <c r="AO139" s="436">
        <v>114</v>
      </c>
      <c r="AQ139" s="52" t="str">
        <f ca="1">IF(AP139="","",INDEX(OFFSET(Arb!$H$2,,,Arb!$AJ$5,),AP139))</f>
        <v/>
      </c>
      <c r="AR139" s="3" t="str">
        <f t="shared" ca="1" si="50"/>
        <v/>
      </c>
      <c r="AS139" s="165" t="str">
        <f ca="1">IF(AP139="","",INDEX(OFFSET(Arb!$X$2,,,Arb!$AJ$5,),AP139)/AQ139)</f>
        <v/>
      </c>
      <c r="AT139" s="165" t="str">
        <f ca="1">IF(AP139="","",(INDEX(OFFSET(Arb!$U$2,,,Arb!$AJ$5,),AP139)+INDEX(OFFSET(Arb!$V$2,,,Arb!$AJ$5,),AP139))/AQ139)</f>
        <v/>
      </c>
      <c r="AU139" s="51" t="str">
        <f t="shared" ca="1" si="60"/>
        <v/>
      </c>
      <c r="AV139" s="91" t="str">
        <f ca="1">IF(AP139="","",DATE(INDEX(OFFSET(Arb!$C$2,,,Arb!$AJ$5,),AP139),INDEX(OFFSET(Arb!$B$2,,,Arb!$AJ$5,),AP139),INDEX(OFFSET(Arb!$A$2,,,Arb!$AJ$5,),AP139))+ROW()*0.001)</f>
        <v/>
      </c>
      <c r="AW139" s="442">
        <v>114</v>
      </c>
      <c r="AY139" s="52" t="str">
        <f ca="1">IF(AX139="","",INDEX(OFFSET(Arb!$H$2,,,Arb!$AJ$5,),AX139))</f>
        <v/>
      </c>
      <c r="AZ139" s="3" t="str">
        <f t="shared" ca="1" si="51"/>
        <v/>
      </c>
      <c r="BA139" s="165" t="str">
        <f ca="1">IF(AX139="","",INDEX(OFFSET(Arb!$X$2,,,Arb!$AJ$5,),AX139)/AY139)</f>
        <v/>
      </c>
      <c r="BB139" s="165" t="str">
        <f ca="1">IF(AX139="","",(INDEX(OFFSET(Arb!$U$2,,,Arb!$AJ$5,),AX139)+INDEX(OFFSET(Arb!$V$2,,,Arb!$AJ$5,),AX139))/AY139)</f>
        <v/>
      </c>
      <c r="BC139" s="51" t="str">
        <f t="shared" ca="1" si="61"/>
        <v/>
      </c>
      <c r="BD139" s="88" t="str">
        <f ca="1">IF(AX139="","",DATE(INDEX(OFFSET(Arb!$C$2,,,Arb!$AJ$5,),AX139),INDEX(OFFSET(Arb!$B$2,,,Arb!$AJ$5,),AX139),INDEX(OFFSET(Arb!$A$2,,,Arb!$AJ$5,),AX139))+ROW()*0.001)</f>
        <v/>
      </c>
      <c r="BE139" s="436">
        <v>114</v>
      </c>
      <c r="BG139" s="52" t="str">
        <f ca="1">IF(BF139="","",INDEX(OFFSET(Arb!$H$2,,,Arb!$AJ$5,),BF139))</f>
        <v/>
      </c>
      <c r="BH139" s="3" t="str">
        <f t="shared" ca="1" si="52"/>
        <v/>
      </c>
      <c r="BI139" s="165" t="str">
        <f ca="1">IF(BF139="","",INDEX(OFFSET(Arb!$X$2,,,Arb!$AJ$5,),BF139)/BG139)</f>
        <v/>
      </c>
      <c r="BJ139" s="165" t="str">
        <f ca="1">IF(BF139="","",(INDEX(OFFSET(Arb!$U$2,,,Arb!$AJ$5,),BF139)+INDEX(OFFSET(Arb!$V$2,,,Arb!$AJ$5,),BF139))/BG139)</f>
        <v/>
      </c>
      <c r="BK139" s="51" t="str">
        <f t="shared" ca="1" si="62"/>
        <v/>
      </c>
      <c r="BL139" s="91" t="str">
        <f ca="1">IF(BF139="","",DATE(INDEX(OFFSET(Arb!$C$2,,,Arb!$AJ$5,),BF139),INDEX(OFFSET(Arb!$B$2,,,Arb!$AJ$5,),BF139),INDEX(OFFSET(Arb!$A$2,,,Arb!$AJ$5,),BF139))+ROW()*0.001)</f>
        <v/>
      </c>
      <c r="BM139" s="442">
        <v>114</v>
      </c>
      <c r="BO139" s="52" t="str">
        <f ca="1">IF(BN139="","",INDEX(OFFSET(Arb!$H$2,,,Arb!$AJ$5,),BN139))</f>
        <v/>
      </c>
      <c r="BP139" s="3" t="str">
        <f t="shared" ca="1" si="53"/>
        <v/>
      </c>
      <c r="BQ139" s="165" t="str">
        <f ca="1">IF(BN139="","",INDEX(OFFSET(Arb!$X$2,,,Arb!$AJ$5,),BN139)/BO139)</f>
        <v/>
      </c>
      <c r="BR139" s="165" t="str">
        <f ca="1">IF(BN139="","",(INDEX(OFFSET(Arb!$U$2,,,Arb!$AJ$5,),BN139)+INDEX(OFFSET(Arb!$V$2,,,Arb!$AJ$5,),BN139))/BO139)</f>
        <v/>
      </c>
      <c r="BS139" s="51" t="str">
        <f t="shared" ca="1" si="63"/>
        <v/>
      </c>
      <c r="BT139" s="88" t="str">
        <f ca="1">IF(BN139="","",DATE(INDEX(OFFSET(Arb!$C$2,,,Arb!$AJ$5,),BN139),INDEX(OFFSET(Arb!$B$2,,,Arb!$AJ$5,),BN139),INDEX(OFFSET(Arb!$A$2,,,Arb!$AJ$5,),BN139))+ROW()*0.001)</f>
        <v/>
      </c>
      <c r="BU139" s="436">
        <v>114</v>
      </c>
      <c r="BW139" s="52" t="str">
        <f ca="1">IF(BV139="","",INDEX(OFFSET(Arb!$H$2,,,Arb!$AJ$5,),BV139))</f>
        <v/>
      </c>
      <c r="BX139" s="3" t="str">
        <f t="shared" ca="1" si="54"/>
        <v/>
      </c>
      <c r="BY139" s="165" t="str">
        <f ca="1">IF(BV139="","",INDEX(OFFSET(Arb!$X$2,,,Arb!$AJ$5,),BV139)/BW139)</f>
        <v/>
      </c>
      <c r="BZ139" s="165" t="str">
        <f ca="1">IF(BV139="","",(INDEX(OFFSET(Arb!$U$2,,,Arb!$AJ$5,),BV139)+INDEX(OFFSET(Arb!$V$2,,,Arb!$AJ$5,),BV139))/BW139)</f>
        <v/>
      </c>
      <c r="CA139" s="51" t="str">
        <f t="shared" ca="1" si="64"/>
        <v/>
      </c>
      <c r="CB139" s="91" t="str">
        <f ca="1">IF(BV139="","",DATE(INDEX(OFFSET(Arb!$C$2,,,Arb!$AJ$5,),BV139),INDEX(OFFSET(Arb!$B$2,,,Arb!$AJ$5,),BV139),INDEX(OFFSET(Arb!$A$2,,,Arb!$AJ$5,),BV139))+ROW()*0.001)</f>
        <v/>
      </c>
    </row>
    <row r="140" spans="1:80" x14ac:dyDescent="0.25">
      <c r="A140" s="436">
        <v>115</v>
      </c>
      <c r="C140" s="52" t="str">
        <f ca="1">IF(B140="","",INDEX(OFFSET(Arb!$H$2,,,Arb!$AJ$5,),B140))</f>
        <v/>
      </c>
      <c r="D140" s="3" t="str">
        <f t="shared" ca="1" si="45"/>
        <v/>
      </c>
      <c r="E140" s="165" t="str">
        <f ca="1">IF(B140="","",INDEX(OFFSET(Arb!$X$2,,,Arb!$AJ$5,),B140)/C140)</f>
        <v/>
      </c>
      <c r="F140" s="165" t="str">
        <f ca="1">IF(B140="","",(INDEX(OFFSET(Arb!$U$2,,,Arb!$AJ$5,),B140)+INDEX(OFFSET(Arb!$V$2,,,Arb!$AJ$5,),B140))/C140)</f>
        <v/>
      </c>
      <c r="G140" s="51" t="str">
        <f t="shared" ca="1" si="55"/>
        <v/>
      </c>
      <c r="H140" s="355" t="str">
        <f ca="1">IF(B140="","",DATE(INDEX(OFFSET(Arb!$C$2,,,Arb!$AJ$5,),B140),INDEX(OFFSET(Arb!$B$2,,,Arb!$AJ$5,),B140),INDEX(OFFSET(Arb!$A$2,,,Arb!$AJ$5,),B140))+ROW()*0.001)</f>
        <v/>
      </c>
      <c r="I140" s="436">
        <v>115</v>
      </c>
      <c r="K140" s="52" t="str">
        <f ca="1">IF(J140="","",INDEX(OFFSET(Arb!$H$2,,,Arb!$AJ$5,),J140))</f>
        <v/>
      </c>
      <c r="L140" s="3" t="str">
        <f t="shared" ca="1" si="46"/>
        <v/>
      </c>
      <c r="M140" s="165" t="str">
        <f ca="1">IF(J140="","",INDEX(OFFSET(Arb!$X$2,,,Arb!$AJ$5,),J140)/K140)</f>
        <v/>
      </c>
      <c r="N140" s="165" t="str">
        <f ca="1">IF(J140="","",(INDEX(OFFSET(Arb!$U$2,,,Arb!$AJ$5,),J140)+INDEX(OFFSET(Arb!$V$2,,,Arb!$AJ$5,),J140))/K140)</f>
        <v/>
      </c>
      <c r="O140" s="51" t="str">
        <f t="shared" ca="1" si="56"/>
        <v/>
      </c>
      <c r="P140" s="91" t="str">
        <f ca="1">IF(J140="","",DATE(INDEX(OFFSET(Arb!$C$2,,,Arb!$AJ$5,),J140),INDEX(OFFSET(Arb!$B$2,,,Arb!$AJ$5,),J140),INDEX(OFFSET(Arb!$A$2,,,Arb!$AJ$5,),J140))+ROW()*0.001)</f>
        <v/>
      </c>
      <c r="Q140" s="442">
        <v>115</v>
      </c>
      <c r="S140" s="52" t="str">
        <f ca="1">IF(R140="","",INDEX(OFFSET(Arb!$H$2,,,Arb!$AJ$5,),R140))</f>
        <v/>
      </c>
      <c r="T140" s="3" t="str">
        <f t="shared" ca="1" si="47"/>
        <v/>
      </c>
      <c r="U140" s="165" t="str">
        <f ca="1">IF(R140="","",INDEX(OFFSET(Arb!$X$2,,,Arb!$AJ$5,),R140)/S140)</f>
        <v/>
      </c>
      <c r="V140" s="165" t="str">
        <f ca="1">IF(R140="","",(INDEX(OFFSET(Arb!$U$2,,,Arb!$AJ$5,),R140)+INDEX(OFFSET(Arb!$V$2,,,Arb!$AJ$5,),R140))/S140)</f>
        <v/>
      </c>
      <c r="W140" s="51" t="str">
        <f t="shared" ca="1" si="57"/>
        <v/>
      </c>
      <c r="X140" s="88" t="str">
        <f ca="1">IF(R140="","",DATE(INDEX(OFFSET(Arb!$C$2,,,Arb!$AJ$5,),R140),INDEX(OFFSET(Arb!$B$2,,,Arb!$AJ$5,),R140),INDEX(OFFSET(Arb!$A$2,,,Arb!$AJ$5,),R140))+ROW()*0.001)</f>
        <v/>
      </c>
      <c r="Y140" s="436">
        <v>115</v>
      </c>
      <c r="AA140" s="52" t="str">
        <f ca="1">IF(Z140="","",INDEX(OFFSET(Arb!$H$2,,,Arb!$AJ$5,),Z140))</f>
        <v/>
      </c>
      <c r="AB140" s="3" t="str">
        <f t="shared" ca="1" si="48"/>
        <v/>
      </c>
      <c r="AC140" s="165" t="str">
        <f ca="1">IF(Z140="","",INDEX(OFFSET(Arb!$X$2,,,Arb!$AJ$5,),Z140)/AA140)</f>
        <v/>
      </c>
      <c r="AD140" s="165" t="str">
        <f ca="1">IF(Z140="","",(INDEX(OFFSET(Arb!$U$2,,,Arb!$AJ$5,),Z140)+INDEX(OFFSET(Arb!$V$2,,,Arb!$AJ$5,),Z140))/AA140)</f>
        <v/>
      </c>
      <c r="AE140" s="51" t="str">
        <f t="shared" ca="1" si="58"/>
        <v/>
      </c>
      <c r="AF140" s="91" t="str">
        <f ca="1">IF(Z140="","",DATE(INDEX(OFFSET(Arb!$C$2,,,Arb!$AJ$5,),Z140),INDEX(OFFSET(Arb!$B$2,,,Arb!$AJ$5,),Z140),INDEX(OFFSET(Arb!$A$2,,,Arb!$AJ$5,),Z140))+ROW()*0.001)</f>
        <v/>
      </c>
      <c r="AG140" s="442">
        <v>115</v>
      </c>
      <c r="AI140" s="52" t="str">
        <f ca="1">IF(AH140="","",INDEX(OFFSET(Arb!$H$2,,,Arb!$AJ$5,),AH140))</f>
        <v/>
      </c>
      <c r="AJ140" s="3" t="str">
        <f t="shared" ca="1" si="49"/>
        <v/>
      </c>
      <c r="AK140" s="165" t="str">
        <f ca="1">IF(AH140="","",INDEX(OFFSET(Arb!$X$2,,,Arb!$AJ$5,),AH140)/AI140)</f>
        <v/>
      </c>
      <c r="AL140" s="165" t="str">
        <f ca="1">IF(AH140="","",(INDEX(OFFSET(Arb!$U$2,,,Arb!$AJ$5,),AH140)+INDEX(OFFSET(Arb!$V$2,,,Arb!$AJ$5,),AH140))/AI140)</f>
        <v/>
      </c>
      <c r="AM140" s="51" t="str">
        <f t="shared" ca="1" si="59"/>
        <v/>
      </c>
      <c r="AN140" s="88" t="str">
        <f ca="1">IF(AH140="","",DATE(INDEX(OFFSET(Arb!$C$2,,,Arb!$AJ$5,),AH140),INDEX(OFFSET(Arb!$B$2,,,Arb!$AJ$5,),AH140),INDEX(OFFSET(Arb!$A$2,,,Arb!$AJ$5,),AH140))+ROW()*0.001)</f>
        <v/>
      </c>
      <c r="AO140" s="436">
        <v>115</v>
      </c>
      <c r="AQ140" s="52" t="str">
        <f ca="1">IF(AP140="","",INDEX(OFFSET(Arb!$H$2,,,Arb!$AJ$5,),AP140))</f>
        <v/>
      </c>
      <c r="AR140" s="3" t="str">
        <f t="shared" ca="1" si="50"/>
        <v/>
      </c>
      <c r="AS140" s="165" t="str">
        <f ca="1">IF(AP140="","",INDEX(OFFSET(Arb!$X$2,,,Arb!$AJ$5,),AP140)/AQ140)</f>
        <v/>
      </c>
      <c r="AT140" s="165" t="str">
        <f ca="1">IF(AP140="","",(INDEX(OFFSET(Arb!$U$2,,,Arb!$AJ$5,),AP140)+INDEX(OFFSET(Arb!$V$2,,,Arb!$AJ$5,),AP140))/AQ140)</f>
        <v/>
      </c>
      <c r="AU140" s="51" t="str">
        <f t="shared" ca="1" si="60"/>
        <v/>
      </c>
      <c r="AV140" s="91" t="str">
        <f ca="1">IF(AP140="","",DATE(INDEX(OFFSET(Arb!$C$2,,,Arb!$AJ$5,),AP140),INDEX(OFFSET(Arb!$B$2,,,Arb!$AJ$5,),AP140),INDEX(OFFSET(Arb!$A$2,,,Arb!$AJ$5,),AP140))+ROW()*0.001)</f>
        <v/>
      </c>
      <c r="AW140" s="442">
        <v>115</v>
      </c>
      <c r="AY140" s="52" t="str">
        <f ca="1">IF(AX140="","",INDEX(OFFSET(Arb!$H$2,,,Arb!$AJ$5,),AX140))</f>
        <v/>
      </c>
      <c r="AZ140" s="3" t="str">
        <f t="shared" ca="1" si="51"/>
        <v/>
      </c>
      <c r="BA140" s="165" t="str">
        <f ca="1">IF(AX140="","",INDEX(OFFSET(Arb!$X$2,,,Arb!$AJ$5,),AX140)/AY140)</f>
        <v/>
      </c>
      <c r="BB140" s="165" t="str">
        <f ca="1">IF(AX140="","",(INDEX(OFFSET(Arb!$U$2,,,Arb!$AJ$5,),AX140)+INDEX(OFFSET(Arb!$V$2,,,Arb!$AJ$5,),AX140))/AY140)</f>
        <v/>
      </c>
      <c r="BC140" s="51" t="str">
        <f t="shared" ca="1" si="61"/>
        <v/>
      </c>
      <c r="BD140" s="88" t="str">
        <f ca="1">IF(AX140="","",DATE(INDEX(OFFSET(Arb!$C$2,,,Arb!$AJ$5,),AX140),INDEX(OFFSET(Arb!$B$2,,,Arb!$AJ$5,),AX140),INDEX(OFFSET(Arb!$A$2,,,Arb!$AJ$5,),AX140))+ROW()*0.001)</f>
        <v/>
      </c>
      <c r="BE140" s="436">
        <v>115</v>
      </c>
      <c r="BG140" s="52" t="str">
        <f ca="1">IF(BF140="","",INDEX(OFFSET(Arb!$H$2,,,Arb!$AJ$5,),BF140))</f>
        <v/>
      </c>
      <c r="BH140" s="3" t="str">
        <f t="shared" ca="1" si="52"/>
        <v/>
      </c>
      <c r="BI140" s="165" t="str">
        <f ca="1">IF(BF140="","",INDEX(OFFSET(Arb!$X$2,,,Arb!$AJ$5,),BF140)/BG140)</f>
        <v/>
      </c>
      <c r="BJ140" s="165" t="str">
        <f ca="1">IF(BF140="","",(INDEX(OFFSET(Arb!$U$2,,,Arb!$AJ$5,),BF140)+INDEX(OFFSET(Arb!$V$2,,,Arb!$AJ$5,),BF140))/BG140)</f>
        <v/>
      </c>
      <c r="BK140" s="51" t="str">
        <f t="shared" ca="1" si="62"/>
        <v/>
      </c>
      <c r="BL140" s="91" t="str">
        <f ca="1">IF(BF140="","",DATE(INDEX(OFFSET(Arb!$C$2,,,Arb!$AJ$5,),BF140),INDEX(OFFSET(Arb!$B$2,,,Arb!$AJ$5,),BF140),INDEX(OFFSET(Arb!$A$2,,,Arb!$AJ$5,),BF140))+ROW()*0.001)</f>
        <v/>
      </c>
      <c r="BM140" s="442">
        <v>115</v>
      </c>
      <c r="BO140" s="52" t="str">
        <f ca="1">IF(BN140="","",INDEX(OFFSET(Arb!$H$2,,,Arb!$AJ$5,),BN140))</f>
        <v/>
      </c>
      <c r="BP140" s="3" t="str">
        <f t="shared" ca="1" si="53"/>
        <v/>
      </c>
      <c r="BQ140" s="165" t="str">
        <f ca="1">IF(BN140="","",INDEX(OFFSET(Arb!$X$2,,,Arb!$AJ$5,),BN140)/BO140)</f>
        <v/>
      </c>
      <c r="BR140" s="165" t="str">
        <f ca="1">IF(BN140="","",(INDEX(OFFSET(Arb!$U$2,,,Arb!$AJ$5,),BN140)+INDEX(OFFSET(Arb!$V$2,,,Arb!$AJ$5,),BN140))/BO140)</f>
        <v/>
      </c>
      <c r="BS140" s="51" t="str">
        <f t="shared" ca="1" si="63"/>
        <v/>
      </c>
      <c r="BT140" s="88" t="str">
        <f ca="1">IF(BN140="","",DATE(INDEX(OFFSET(Arb!$C$2,,,Arb!$AJ$5,),BN140),INDEX(OFFSET(Arb!$B$2,,,Arb!$AJ$5,),BN140),INDEX(OFFSET(Arb!$A$2,,,Arb!$AJ$5,),BN140))+ROW()*0.001)</f>
        <v/>
      </c>
      <c r="BU140" s="436">
        <v>115</v>
      </c>
      <c r="BW140" s="52" t="str">
        <f ca="1">IF(BV140="","",INDEX(OFFSET(Arb!$H$2,,,Arb!$AJ$5,),BV140))</f>
        <v/>
      </c>
      <c r="BX140" s="3" t="str">
        <f t="shared" ca="1" si="54"/>
        <v/>
      </c>
      <c r="BY140" s="165" t="str">
        <f ca="1">IF(BV140="","",INDEX(OFFSET(Arb!$X$2,,,Arb!$AJ$5,),BV140)/BW140)</f>
        <v/>
      </c>
      <c r="BZ140" s="165" t="str">
        <f ca="1">IF(BV140="","",(INDEX(OFFSET(Arb!$U$2,,,Arb!$AJ$5,),BV140)+INDEX(OFFSET(Arb!$V$2,,,Arb!$AJ$5,),BV140))/BW140)</f>
        <v/>
      </c>
      <c r="CA140" s="51" t="str">
        <f t="shared" ca="1" si="64"/>
        <v/>
      </c>
      <c r="CB140" s="91" t="str">
        <f ca="1">IF(BV140="","",DATE(INDEX(OFFSET(Arb!$C$2,,,Arb!$AJ$5,),BV140),INDEX(OFFSET(Arb!$B$2,,,Arb!$AJ$5,),BV140),INDEX(OFFSET(Arb!$A$2,,,Arb!$AJ$5,),BV140))+ROW()*0.001)</f>
        <v/>
      </c>
    </row>
    <row r="141" spans="1:80" x14ac:dyDescent="0.25">
      <c r="A141" s="436">
        <v>116</v>
      </c>
      <c r="C141" s="52" t="str">
        <f ca="1">IF(B141="","",INDEX(OFFSET(Arb!$H$2,,,Arb!$AJ$5,),B141))</f>
        <v/>
      </c>
      <c r="D141" s="3" t="str">
        <f t="shared" ca="1" si="45"/>
        <v/>
      </c>
      <c r="E141" s="165" t="str">
        <f ca="1">IF(B141="","",INDEX(OFFSET(Arb!$X$2,,,Arb!$AJ$5,),B141)/C141)</f>
        <v/>
      </c>
      <c r="F141" s="165" t="str">
        <f ca="1">IF(B141="","",(INDEX(OFFSET(Arb!$U$2,,,Arb!$AJ$5,),B141)+INDEX(OFFSET(Arb!$V$2,,,Arb!$AJ$5,),B141))/C141)</f>
        <v/>
      </c>
      <c r="G141" s="51" t="str">
        <f t="shared" ca="1" si="55"/>
        <v/>
      </c>
      <c r="H141" s="355" t="str">
        <f ca="1">IF(B141="","",DATE(INDEX(OFFSET(Arb!$C$2,,,Arb!$AJ$5,),B141),INDEX(OFFSET(Arb!$B$2,,,Arb!$AJ$5,),B141),INDEX(OFFSET(Arb!$A$2,,,Arb!$AJ$5,),B141))+ROW()*0.001)</f>
        <v/>
      </c>
      <c r="I141" s="436">
        <v>116</v>
      </c>
      <c r="K141" s="52" t="str">
        <f ca="1">IF(J141="","",INDEX(OFFSET(Arb!$H$2,,,Arb!$AJ$5,),J141))</f>
        <v/>
      </c>
      <c r="L141" s="3" t="str">
        <f t="shared" ca="1" si="46"/>
        <v/>
      </c>
      <c r="M141" s="165" t="str">
        <f ca="1">IF(J141="","",INDEX(OFFSET(Arb!$X$2,,,Arb!$AJ$5,),J141)/K141)</f>
        <v/>
      </c>
      <c r="N141" s="165" t="str">
        <f ca="1">IF(J141="","",(INDEX(OFFSET(Arb!$U$2,,,Arb!$AJ$5,),J141)+INDEX(OFFSET(Arb!$V$2,,,Arb!$AJ$5,),J141))/K141)</f>
        <v/>
      </c>
      <c r="O141" s="51" t="str">
        <f t="shared" ca="1" si="56"/>
        <v/>
      </c>
      <c r="P141" s="91" t="str">
        <f ca="1">IF(J141="","",DATE(INDEX(OFFSET(Arb!$C$2,,,Arb!$AJ$5,),J141),INDEX(OFFSET(Arb!$B$2,,,Arb!$AJ$5,),J141),INDEX(OFFSET(Arb!$A$2,,,Arb!$AJ$5,),J141))+ROW()*0.001)</f>
        <v/>
      </c>
      <c r="Q141" s="442">
        <v>116</v>
      </c>
      <c r="S141" s="52" t="str">
        <f ca="1">IF(R141="","",INDEX(OFFSET(Arb!$H$2,,,Arb!$AJ$5,),R141))</f>
        <v/>
      </c>
      <c r="T141" s="3" t="str">
        <f t="shared" ca="1" si="47"/>
        <v/>
      </c>
      <c r="U141" s="165" t="str">
        <f ca="1">IF(R141="","",INDEX(OFFSET(Arb!$X$2,,,Arb!$AJ$5,),R141)/S141)</f>
        <v/>
      </c>
      <c r="V141" s="165" t="str">
        <f ca="1">IF(R141="","",(INDEX(OFFSET(Arb!$U$2,,,Arb!$AJ$5,),R141)+INDEX(OFFSET(Arb!$V$2,,,Arb!$AJ$5,),R141))/S141)</f>
        <v/>
      </c>
      <c r="W141" s="51" t="str">
        <f t="shared" ca="1" si="57"/>
        <v/>
      </c>
      <c r="X141" s="88" t="str">
        <f ca="1">IF(R141="","",DATE(INDEX(OFFSET(Arb!$C$2,,,Arb!$AJ$5,),R141),INDEX(OFFSET(Arb!$B$2,,,Arb!$AJ$5,),R141),INDEX(OFFSET(Arb!$A$2,,,Arb!$AJ$5,),R141))+ROW()*0.001)</f>
        <v/>
      </c>
      <c r="Y141" s="436">
        <v>116</v>
      </c>
      <c r="AA141" s="52" t="str">
        <f ca="1">IF(Z141="","",INDEX(OFFSET(Arb!$H$2,,,Arb!$AJ$5,),Z141))</f>
        <v/>
      </c>
      <c r="AB141" s="3" t="str">
        <f t="shared" ca="1" si="48"/>
        <v/>
      </c>
      <c r="AC141" s="165" t="str">
        <f ca="1">IF(Z141="","",INDEX(OFFSET(Arb!$X$2,,,Arb!$AJ$5,),Z141)/AA141)</f>
        <v/>
      </c>
      <c r="AD141" s="165" t="str">
        <f ca="1">IF(Z141="","",(INDEX(OFFSET(Arb!$U$2,,,Arb!$AJ$5,),Z141)+INDEX(OFFSET(Arb!$V$2,,,Arb!$AJ$5,),Z141))/AA141)</f>
        <v/>
      </c>
      <c r="AE141" s="51" t="str">
        <f t="shared" ca="1" si="58"/>
        <v/>
      </c>
      <c r="AF141" s="91" t="str">
        <f ca="1">IF(Z141="","",DATE(INDEX(OFFSET(Arb!$C$2,,,Arb!$AJ$5,),Z141),INDEX(OFFSET(Arb!$B$2,,,Arb!$AJ$5,),Z141),INDEX(OFFSET(Arb!$A$2,,,Arb!$AJ$5,),Z141))+ROW()*0.001)</f>
        <v/>
      </c>
      <c r="AG141" s="442">
        <v>116</v>
      </c>
      <c r="AI141" s="52" t="str">
        <f ca="1">IF(AH141="","",INDEX(OFFSET(Arb!$H$2,,,Arb!$AJ$5,),AH141))</f>
        <v/>
      </c>
      <c r="AJ141" s="3" t="str">
        <f t="shared" ca="1" si="49"/>
        <v/>
      </c>
      <c r="AK141" s="165" t="str">
        <f ca="1">IF(AH141="","",INDEX(OFFSET(Arb!$X$2,,,Arb!$AJ$5,),AH141)/AI141)</f>
        <v/>
      </c>
      <c r="AL141" s="165" t="str">
        <f ca="1">IF(AH141="","",(INDEX(OFFSET(Arb!$U$2,,,Arb!$AJ$5,),AH141)+INDEX(OFFSET(Arb!$V$2,,,Arb!$AJ$5,),AH141))/AI141)</f>
        <v/>
      </c>
      <c r="AM141" s="51" t="str">
        <f t="shared" ca="1" si="59"/>
        <v/>
      </c>
      <c r="AN141" s="88" t="str">
        <f ca="1">IF(AH141="","",DATE(INDEX(OFFSET(Arb!$C$2,,,Arb!$AJ$5,),AH141),INDEX(OFFSET(Arb!$B$2,,,Arb!$AJ$5,),AH141),INDEX(OFFSET(Arb!$A$2,,,Arb!$AJ$5,),AH141))+ROW()*0.001)</f>
        <v/>
      </c>
      <c r="AO141" s="436">
        <v>116</v>
      </c>
      <c r="AQ141" s="52" t="str">
        <f ca="1">IF(AP141="","",INDEX(OFFSET(Arb!$H$2,,,Arb!$AJ$5,),AP141))</f>
        <v/>
      </c>
      <c r="AR141" s="3" t="str">
        <f t="shared" ca="1" si="50"/>
        <v/>
      </c>
      <c r="AS141" s="165" t="str">
        <f ca="1">IF(AP141="","",INDEX(OFFSET(Arb!$X$2,,,Arb!$AJ$5,),AP141)/AQ141)</f>
        <v/>
      </c>
      <c r="AT141" s="165" t="str">
        <f ca="1">IF(AP141="","",(INDEX(OFFSET(Arb!$U$2,,,Arb!$AJ$5,),AP141)+INDEX(OFFSET(Arb!$V$2,,,Arb!$AJ$5,),AP141))/AQ141)</f>
        <v/>
      </c>
      <c r="AU141" s="51" t="str">
        <f t="shared" ca="1" si="60"/>
        <v/>
      </c>
      <c r="AV141" s="91" t="str">
        <f ca="1">IF(AP141="","",DATE(INDEX(OFFSET(Arb!$C$2,,,Arb!$AJ$5,),AP141),INDEX(OFFSET(Arb!$B$2,,,Arb!$AJ$5,),AP141),INDEX(OFFSET(Arb!$A$2,,,Arb!$AJ$5,),AP141))+ROW()*0.001)</f>
        <v/>
      </c>
      <c r="AW141" s="442">
        <v>116</v>
      </c>
      <c r="AY141" s="52" t="str">
        <f ca="1">IF(AX141="","",INDEX(OFFSET(Arb!$H$2,,,Arb!$AJ$5,),AX141))</f>
        <v/>
      </c>
      <c r="AZ141" s="3" t="str">
        <f t="shared" ca="1" si="51"/>
        <v/>
      </c>
      <c r="BA141" s="165" t="str">
        <f ca="1">IF(AX141="","",INDEX(OFFSET(Arb!$X$2,,,Arb!$AJ$5,),AX141)/AY141)</f>
        <v/>
      </c>
      <c r="BB141" s="165" t="str">
        <f ca="1">IF(AX141="","",(INDEX(OFFSET(Arb!$U$2,,,Arb!$AJ$5,),AX141)+INDEX(OFFSET(Arb!$V$2,,,Arb!$AJ$5,),AX141))/AY141)</f>
        <v/>
      </c>
      <c r="BC141" s="51" t="str">
        <f t="shared" ca="1" si="61"/>
        <v/>
      </c>
      <c r="BD141" s="88" t="str">
        <f ca="1">IF(AX141="","",DATE(INDEX(OFFSET(Arb!$C$2,,,Arb!$AJ$5,),AX141),INDEX(OFFSET(Arb!$B$2,,,Arb!$AJ$5,),AX141),INDEX(OFFSET(Arb!$A$2,,,Arb!$AJ$5,),AX141))+ROW()*0.001)</f>
        <v/>
      </c>
      <c r="BE141" s="436">
        <v>116</v>
      </c>
      <c r="BG141" s="52" t="str">
        <f ca="1">IF(BF141="","",INDEX(OFFSET(Arb!$H$2,,,Arb!$AJ$5,),BF141))</f>
        <v/>
      </c>
      <c r="BH141" s="3" t="str">
        <f t="shared" ca="1" si="52"/>
        <v/>
      </c>
      <c r="BI141" s="165" t="str">
        <f ca="1">IF(BF141="","",INDEX(OFFSET(Arb!$X$2,,,Arb!$AJ$5,),BF141)/BG141)</f>
        <v/>
      </c>
      <c r="BJ141" s="165" t="str">
        <f ca="1">IF(BF141="","",(INDEX(OFFSET(Arb!$U$2,,,Arb!$AJ$5,),BF141)+INDEX(OFFSET(Arb!$V$2,,,Arb!$AJ$5,),BF141))/BG141)</f>
        <v/>
      </c>
      <c r="BK141" s="51" t="str">
        <f t="shared" ca="1" si="62"/>
        <v/>
      </c>
      <c r="BL141" s="91" t="str">
        <f ca="1">IF(BF141="","",DATE(INDEX(OFFSET(Arb!$C$2,,,Arb!$AJ$5,),BF141),INDEX(OFFSET(Arb!$B$2,,,Arb!$AJ$5,),BF141),INDEX(OFFSET(Arb!$A$2,,,Arb!$AJ$5,),BF141))+ROW()*0.001)</f>
        <v/>
      </c>
      <c r="BM141" s="442">
        <v>116</v>
      </c>
      <c r="BO141" s="52" t="str">
        <f ca="1">IF(BN141="","",INDEX(OFFSET(Arb!$H$2,,,Arb!$AJ$5,),BN141))</f>
        <v/>
      </c>
      <c r="BP141" s="3" t="str">
        <f t="shared" ca="1" si="53"/>
        <v/>
      </c>
      <c r="BQ141" s="165" t="str">
        <f ca="1">IF(BN141="","",INDEX(OFFSET(Arb!$X$2,,,Arb!$AJ$5,),BN141)/BO141)</f>
        <v/>
      </c>
      <c r="BR141" s="165" t="str">
        <f ca="1">IF(BN141="","",(INDEX(OFFSET(Arb!$U$2,,,Arb!$AJ$5,),BN141)+INDEX(OFFSET(Arb!$V$2,,,Arb!$AJ$5,),BN141))/BO141)</f>
        <v/>
      </c>
      <c r="BS141" s="51" t="str">
        <f t="shared" ca="1" si="63"/>
        <v/>
      </c>
      <c r="BT141" s="88" t="str">
        <f ca="1">IF(BN141="","",DATE(INDEX(OFFSET(Arb!$C$2,,,Arb!$AJ$5,),BN141),INDEX(OFFSET(Arb!$B$2,,,Arb!$AJ$5,),BN141),INDEX(OFFSET(Arb!$A$2,,,Arb!$AJ$5,),BN141))+ROW()*0.001)</f>
        <v/>
      </c>
      <c r="BU141" s="436">
        <v>116</v>
      </c>
      <c r="BW141" s="52" t="str">
        <f ca="1">IF(BV141="","",INDEX(OFFSET(Arb!$H$2,,,Arb!$AJ$5,),BV141))</f>
        <v/>
      </c>
      <c r="BX141" s="3" t="str">
        <f t="shared" ca="1" si="54"/>
        <v/>
      </c>
      <c r="BY141" s="165" t="str">
        <f ca="1">IF(BV141="","",INDEX(OFFSET(Arb!$X$2,,,Arb!$AJ$5,),BV141)/BW141)</f>
        <v/>
      </c>
      <c r="BZ141" s="165" t="str">
        <f ca="1">IF(BV141="","",(INDEX(OFFSET(Arb!$U$2,,,Arb!$AJ$5,),BV141)+INDEX(OFFSET(Arb!$V$2,,,Arb!$AJ$5,),BV141))/BW141)</f>
        <v/>
      </c>
      <c r="CA141" s="51" t="str">
        <f t="shared" ca="1" si="64"/>
        <v/>
      </c>
      <c r="CB141" s="91" t="str">
        <f ca="1">IF(BV141="","",DATE(INDEX(OFFSET(Arb!$C$2,,,Arb!$AJ$5,),BV141),INDEX(OFFSET(Arb!$B$2,,,Arb!$AJ$5,),BV141),INDEX(OFFSET(Arb!$A$2,,,Arb!$AJ$5,),BV141))+ROW()*0.001)</f>
        <v/>
      </c>
    </row>
    <row r="142" spans="1:80" x14ac:dyDescent="0.25">
      <c r="A142" s="436">
        <v>117</v>
      </c>
      <c r="C142" s="52" t="str">
        <f ca="1">IF(B142="","",INDEX(OFFSET(Arb!$H$2,,,Arb!$AJ$5,),B142))</f>
        <v/>
      </c>
      <c r="D142" s="3" t="str">
        <f t="shared" ca="1" si="45"/>
        <v/>
      </c>
      <c r="E142" s="165" t="str">
        <f ca="1">IF(B142="","",INDEX(OFFSET(Arb!$X$2,,,Arb!$AJ$5,),B142)/C142)</f>
        <v/>
      </c>
      <c r="F142" s="165" t="str">
        <f ca="1">IF(B142="","",(INDEX(OFFSET(Arb!$U$2,,,Arb!$AJ$5,),B142)+INDEX(OFFSET(Arb!$V$2,,,Arb!$AJ$5,),B142))/C142)</f>
        <v/>
      </c>
      <c r="G142" s="51" t="str">
        <f t="shared" ca="1" si="55"/>
        <v/>
      </c>
      <c r="H142" s="355" t="str">
        <f ca="1">IF(B142="","",DATE(INDEX(OFFSET(Arb!$C$2,,,Arb!$AJ$5,),B142),INDEX(OFFSET(Arb!$B$2,,,Arb!$AJ$5,),B142),INDEX(OFFSET(Arb!$A$2,,,Arb!$AJ$5,),B142))+ROW()*0.001)</f>
        <v/>
      </c>
      <c r="I142" s="436">
        <v>117</v>
      </c>
      <c r="K142" s="52" t="str">
        <f ca="1">IF(J142="","",INDEX(OFFSET(Arb!$H$2,,,Arb!$AJ$5,),J142))</f>
        <v/>
      </c>
      <c r="L142" s="3" t="str">
        <f t="shared" ca="1" si="46"/>
        <v/>
      </c>
      <c r="M142" s="165" t="str">
        <f ca="1">IF(J142="","",INDEX(OFFSET(Arb!$X$2,,,Arb!$AJ$5,),J142)/K142)</f>
        <v/>
      </c>
      <c r="N142" s="165" t="str">
        <f ca="1">IF(J142="","",(INDEX(OFFSET(Arb!$U$2,,,Arb!$AJ$5,),J142)+INDEX(OFFSET(Arb!$V$2,,,Arb!$AJ$5,),J142))/K142)</f>
        <v/>
      </c>
      <c r="O142" s="51" t="str">
        <f t="shared" ca="1" si="56"/>
        <v/>
      </c>
      <c r="P142" s="91" t="str">
        <f ca="1">IF(J142="","",DATE(INDEX(OFFSET(Arb!$C$2,,,Arb!$AJ$5,),J142),INDEX(OFFSET(Arb!$B$2,,,Arb!$AJ$5,),J142),INDEX(OFFSET(Arb!$A$2,,,Arb!$AJ$5,),J142))+ROW()*0.001)</f>
        <v/>
      </c>
      <c r="Q142" s="442">
        <v>117</v>
      </c>
      <c r="S142" s="52" t="str">
        <f ca="1">IF(R142="","",INDEX(OFFSET(Arb!$H$2,,,Arb!$AJ$5,),R142))</f>
        <v/>
      </c>
      <c r="T142" s="3" t="str">
        <f t="shared" ca="1" si="47"/>
        <v/>
      </c>
      <c r="U142" s="165" t="str">
        <f ca="1">IF(R142="","",INDEX(OFFSET(Arb!$X$2,,,Arb!$AJ$5,),R142)/S142)</f>
        <v/>
      </c>
      <c r="V142" s="165" t="str">
        <f ca="1">IF(R142="","",(INDEX(OFFSET(Arb!$U$2,,,Arb!$AJ$5,),R142)+INDEX(OFFSET(Arb!$V$2,,,Arb!$AJ$5,),R142))/S142)</f>
        <v/>
      </c>
      <c r="W142" s="51" t="str">
        <f t="shared" ca="1" si="57"/>
        <v/>
      </c>
      <c r="X142" s="88" t="str">
        <f ca="1">IF(R142="","",DATE(INDEX(OFFSET(Arb!$C$2,,,Arb!$AJ$5,),R142),INDEX(OFFSET(Arb!$B$2,,,Arb!$AJ$5,),R142),INDEX(OFFSET(Arb!$A$2,,,Arb!$AJ$5,),R142))+ROW()*0.001)</f>
        <v/>
      </c>
      <c r="Y142" s="436">
        <v>117</v>
      </c>
      <c r="AA142" s="52" t="str">
        <f ca="1">IF(Z142="","",INDEX(OFFSET(Arb!$H$2,,,Arb!$AJ$5,),Z142))</f>
        <v/>
      </c>
      <c r="AB142" s="3" t="str">
        <f t="shared" ca="1" si="48"/>
        <v/>
      </c>
      <c r="AC142" s="165" t="str">
        <f ca="1">IF(Z142="","",INDEX(OFFSET(Arb!$X$2,,,Arb!$AJ$5,),Z142)/AA142)</f>
        <v/>
      </c>
      <c r="AD142" s="165" t="str">
        <f ca="1">IF(Z142="","",(INDEX(OFFSET(Arb!$U$2,,,Arb!$AJ$5,),Z142)+INDEX(OFFSET(Arb!$V$2,,,Arb!$AJ$5,),Z142))/AA142)</f>
        <v/>
      </c>
      <c r="AE142" s="51" t="str">
        <f t="shared" ca="1" si="58"/>
        <v/>
      </c>
      <c r="AF142" s="91" t="str">
        <f ca="1">IF(Z142="","",DATE(INDEX(OFFSET(Arb!$C$2,,,Arb!$AJ$5,),Z142),INDEX(OFFSET(Arb!$B$2,,,Arb!$AJ$5,),Z142),INDEX(OFFSET(Arb!$A$2,,,Arb!$AJ$5,),Z142))+ROW()*0.001)</f>
        <v/>
      </c>
      <c r="AG142" s="442">
        <v>117</v>
      </c>
      <c r="AI142" s="52" t="str">
        <f ca="1">IF(AH142="","",INDEX(OFFSET(Arb!$H$2,,,Arb!$AJ$5,),AH142))</f>
        <v/>
      </c>
      <c r="AJ142" s="3" t="str">
        <f t="shared" ca="1" si="49"/>
        <v/>
      </c>
      <c r="AK142" s="165" t="str">
        <f ca="1">IF(AH142="","",INDEX(OFFSET(Arb!$X$2,,,Arb!$AJ$5,),AH142)/AI142)</f>
        <v/>
      </c>
      <c r="AL142" s="165" t="str">
        <f ca="1">IF(AH142="","",(INDEX(OFFSET(Arb!$U$2,,,Arb!$AJ$5,),AH142)+INDEX(OFFSET(Arb!$V$2,,,Arb!$AJ$5,),AH142))/AI142)</f>
        <v/>
      </c>
      <c r="AM142" s="51" t="str">
        <f t="shared" ca="1" si="59"/>
        <v/>
      </c>
      <c r="AN142" s="88" t="str">
        <f ca="1">IF(AH142="","",DATE(INDEX(OFFSET(Arb!$C$2,,,Arb!$AJ$5,),AH142),INDEX(OFFSET(Arb!$B$2,,,Arb!$AJ$5,),AH142),INDEX(OFFSET(Arb!$A$2,,,Arb!$AJ$5,),AH142))+ROW()*0.001)</f>
        <v/>
      </c>
      <c r="AO142" s="436">
        <v>117</v>
      </c>
      <c r="AQ142" s="52" t="str">
        <f ca="1">IF(AP142="","",INDEX(OFFSET(Arb!$H$2,,,Arb!$AJ$5,),AP142))</f>
        <v/>
      </c>
      <c r="AR142" s="3" t="str">
        <f t="shared" ca="1" si="50"/>
        <v/>
      </c>
      <c r="AS142" s="165" t="str">
        <f ca="1">IF(AP142="","",INDEX(OFFSET(Arb!$X$2,,,Arb!$AJ$5,),AP142)/AQ142)</f>
        <v/>
      </c>
      <c r="AT142" s="165" t="str">
        <f ca="1">IF(AP142="","",(INDEX(OFFSET(Arb!$U$2,,,Arb!$AJ$5,),AP142)+INDEX(OFFSET(Arb!$V$2,,,Arb!$AJ$5,),AP142))/AQ142)</f>
        <v/>
      </c>
      <c r="AU142" s="51" t="str">
        <f t="shared" ca="1" si="60"/>
        <v/>
      </c>
      <c r="AV142" s="91" t="str">
        <f ca="1">IF(AP142="","",DATE(INDEX(OFFSET(Arb!$C$2,,,Arb!$AJ$5,),AP142),INDEX(OFFSET(Arb!$B$2,,,Arb!$AJ$5,),AP142),INDEX(OFFSET(Arb!$A$2,,,Arb!$AJ$5,),AP142))+ROW()*0.001)</f>
        <v/>
      </c>
      <c r="AW142" s="442">
        <v>117</v>
      </c>
      <c r="AY142" s="52" t="str">
        <f ca="1">IF(AX142="","",INDEX(OFFSET(Arb!$H$2,,,Arb!$AJ$5,),AX142))</f>
        <v/>
      </c>
      <c r="AZ142" s="3" t="str">
        <f t="shared" ca="1" si="51"/>
        <v/>
      </c>
      <c r="BA142" s="165" t="str">
        <f ca="1">IF(AX142="","",INDEX(OFFSET(Arb!$X$2,,,Arb!$AJ$5,),AX142)/AY142)</f>
        <v/>
      </c>
      <c r="BB142" s="165" t="str">
        <f ca="1">IF(AX142="","",(INDEX(OFFSET(Arb!$U$2,,,Arb!$AJ$5,),AX142)+INDEX(OFFSET(Arb!$V$2,,,Arb!$AJ$5,),AX142))/AY142)</f>
        <v/>
      </c>
      <c r="BC142" s="51" t="str">
        <f t="shared" ca="1" si="61"/>
        <v/>
      </c>
      <c r="BD142" s="88" t="str">
        <f ca="1">IF(AX142="","",DATE(INDEX(OFFSET(Arb!$C$2,,,Arb!$AJ$5,),AX142),INDEX(OFFSET(Arb!$B$2,,,Arb!$AJ$5,),AX142),INDEX(OFFSET(Arb!$A$2,,,Arb!$AJ$5,),AX142))+ROW()*0.001)</f>
        <v/>
      </c>
      <c r="BE142" s="436">
        <v>117</v>
      </c>
      <c r="BG142" s="52" t="str">
        <f ca="1">IF(BF142="","",INDEX(OFFSET(Arb!$H$2,,,Arb!$AJ$5,),BF142))</f>
        <v/>
      </c>
      <c r="BH142" s="3" t="str">
        <f t="shared" ca="1" si="52"/>
        <v/>
      </c>
      <c r="BI142" s="165" t="str">
        <f ca="1">IF(BF142="","",INDEX(OFFSET(Arb!$X$2,,,Arb!$AJ$5,),BF142)/BG142)</f>
        <v/>
      </c>
      <c r="BJ142" s="165" t="str">
        <f ca="1">IF(BF142="","",(INDEX(OFFSET(Arb!$U$2,,,Arb!$AJ$5,),BF142)+INDEX(OFFSET(Arb!$V$2,,,Arb!$AJ$5,),BF142))/BG142)</f>
        <v/>
      </c>
      <c r="BK142" s="51" t="str">
        <f t="shared" ca="1" si="62"/>
        <v/>
      </c>
      <c r="BL142" s="91" t="str">
        <f ca="1">IF(BF142="","",DATE(INDEX(OFFSET(Arb!$C$2,,,Arb!$AJ$5,),BF142),INDEX(OFFSET(Arb!$B$2,,,Arb!$AJ$5,),BF142),INDEX(OFFSET(Arb!$A$2,,,Arb!$AJ$5,),BF142))+ROW()*0.001)</f>
        <v/>
      </c>
      <c r="BM142" s="442">
        <v>117</v>
      </c>
      <c r="BO142" s="52" t="str">
        <f ca="1">IF(BN142="","",INDEX(OFFSET(Arb!$H$2,,,Arb!$AJ$5,),BN142))</f>
        <v/>
      </c>
      <c r="BP142" s="3" t="str">
        <f t="shared" ca="1" si="53"/>
        <v/>
      </c>
      <c r="BQ142" s="165" t="str">
        <f ca="1">IF(BN142="","",INDEX(OFFSET(Arb!$X$2,,,Arb!$AJ$5,),BN142)/BO142)</f>
        <v/>
      </c>
      <c r="BR142" s="165" t="str">
        <f ca="1">IF(BN142="","",(INDEX(OFFSET(Arb!$U$2,,,Arb!$AJ$5,),BN142)+INDEX(OFFSET(Arb!$V$2,,,Arb!$AJ$5,),BN142))/BO142)</f>
        <v/>
      </c>
      <c r="BS142" s="51" t="str">
        <f t="shared" ca="1" si="63"/>
        <v/>
      </c>
      <c r="BT142" s="88" t="str">
        <f ca="1">IF(BN142="","",DATE(INDEX(OFFSET(Arb!$C$2,,,Arb!$AJ$5,),BN142),INDEX(OFFSET(Arb!$B$2,,,Arb!$AJ$5,),BN142),INDEX(OFFSET(Arb!$A$2,,,Arb!$AJ$5,),BN142))+ROW()*0.001)</f>
        <v/>
      </c>
      <c r="BU142" s="436">
        <v>117</v>
      </c>
      <c r="BW142" s="52" t="str">
        <f ca="1">IF(BV142="","",INDEX(OFFSET(Arb!$H$2,,,Arb!$AJ$5,),BV142))</f>
        <v/>
      </c>
      <c r="BX142" s="3" t="str">
        <f t="shared" ca="1" si="54"/>
        <v/>
      </c>
      <c r="BY142" s="165" t="str">
        <f ca="1">IF(BV142="","",INDEX(OFFSET(Arb!$X$2,,,Arb!$AJ$5,),BV142)/BW142)</f>
        <v/>
      </c>
      <c r="BZ142" s="165" t="str">
        <f ca="1">IF(BV142="","",(INDEX(OFFSET(Arb!$U$2,,,Arb!$AJ$5,),BV142)+INDEX(OFFSET(Arb!$V$2,,,Arb!$AJ$5,),BV142))/BW142)</f>
        <v/>
      </c>
      <c r="CA142" s="51" t="str">
        <f t="shared" ca="1" si="64"/>
        <v/>
      </c>
      <c r="CB142" s="91" t="str">
        <f ca="1">IF(BV142="","",DATE(INDEX(OFFSET(Arb!$C$2,,,Arb!$AJ$5,),BV142),INDEX(OFFSET(Arb!$B$2,,,Arb!$AJ$5,),BV142),INDEX(OFFSET(Arb!$A$2,,,Arb!$AJ$5,),BV142))+ROW()*0.001)</f>
        <v/>
      </c>
    </row>
    <row r="143" spans="1:80" x14ac:dyDescent="0.25">
      <c r="A143" s="436">
        <v>118</v>
      </c>
      <c r="C143" s="52" t="str">
        <f ca="1">IF(B143="","",INDEX(OFFSET(Arb!$H$2,,,Arb!$AJ$5,),B143))</f>
        <v/>
      </c>
      <c r="D143" s="3" t="str">
        <f t="shared" ca="1" si="45"/>
        <v/>
      </c>
      <c r="E143" s="165" t="str">
        <f ca="1">IF(B143="","",INDEX(OFFSET(Arb!$X$2,,,Arb!$AJ$5,),B143)/C143)</f>
        <v/>
      </c>
      <c r="F143" s="165" t="str">
        <f ca="1">IF(B143="","",(INDEX(OFFSET(Arb!$U$2,,,Arb!$AJ$5,),B143)+INDEX(OFFSET(Arb!$V$2,,,Arb!$AJ$5,),B143))/C143)</f>
        <v/>
      </c>
      <c r="G143" s="51" t="str">
        <f t="shared" ca="1" si="55"/>
        <v/>
      </c>
      <c r="H143" s="355" t="str">
        <f ca="1">IF(B143="","",DATE(INDEX(OFFSET(Arb!$C$2,,,Arb!$AJ$5,),B143),INDEX(OFFSET(Arb!$B$2,,,Arb!$AJ$5,),B143),INDEX(OFFSET(Arb!$A$2,,,Arb!$AJ$5,),B143))+ROW()*0.001)</f>
        <v/>
      </c>
      <c r="I143" s="436">
        <v>118</v>
      </c>
      <c r="K143" s="52" t="str">
        <f ca="1">IF(J143="","",INDEX(OFFSET(Arb!$H$2,,,Arb!$AJ$5,),J143))</f>
        <v/>
      </c>
      <c r="L143" s="3" t="str">
        <f t="shared" ca="1" si="46"/>
        <v/>
      </c>
      <c r="M143" s="165" t="str">
        <f ca="1">IF(J143="","",INDEX(OFFSET(Arb!$X$2,,,Arb!$AJ$5,),J143)/K143)</f>
        <v/>
      </c>
      <c r="N143" s="165" t="str">
        <f ca="1">IF(J143="","",(INDEX(OFFSET(Arb!$U$2,,,Arb!$AJ$5,),J143)+INDEX(OFFSET(Arb!$V$2,,,Arb!$AJ$5,),J143))/K143)</f>
        <v/>
      </c>
      <c r="O143" s="51" t="str">
        <f t="shared" ca="1" si="56"/>
        <v/>
      </c>
      <c r="P143" s="91" t="str">
        <f ca="1">IF(J143="","",DATE(INDEX(OFFSET(Arb!$C$2,,,Arb!$AJ$5,),J143),INDEX(OFFSET(Arb!$B$2,,,Arb!$AJ$5,),J143),INDEX(OFFSET(Arb!$A$2,,,Arb!$AJ$5,),J143))+ROW()*0.001)</f>
        <v/>
      </c>
      <c r="Q143" s="442">
        <v>118</v>
      </c>
      <c r="S143" s="52" t="str">
        <f ca="1">IF(R143="","",INDEX(OFFSET(Arb!$H$2,,,Arb!$AJ$5,),R143))</f>
        <v/>
      </c>
      <c r="T143" s="3" t="str">
        <f t="shared" ca="1" si="47"/>
        <v/>
      </c>
      <c r="U143" s="165" t="str">
        <f ca="1">IF(R143="","",INDEX(OFFSET(Arb!$X$2,,,Arb!$AJ$5,),R143)/S143)</f>
        <v/>
      </c>
      <c r="V143" s="165" t="str">
        <f ca="1">IF(R143="","",(INDEX(OFFSET(Arb!$U$2,,,Arb!$AJ$5,),R143)+INDEX(OFFSET(Arb!$V$2,,,Arb!$AJ$5,),R143))/S143)</f>
        <v/>
      </c>
      <c r="W143" s="51" t="str">
        <f t="shared" ca="1" si="57"/>
        <v/>
      </c>
      <c r="X143" s="88" t="str">
        <f ca="1">IF(R143="","",DATE(INDEX(OFFSET(Arb!$C$2,,,Arb!$AJ$5,),R143),INDEX(OFFSET(Arb!$B$2,,,Arb!$AJ$5,),R143),INDEX(OFFSET(Arb!$A$2,,,Arb!$AJ$5,),R143))+ROW()*0.001)</f>
        <v/>
      </c>
      <c r="Y143" s="436">
        <v>118</v>
      </c>
      <c r="AA143" s="52" t="str">
        <f ca="1">IF(Z143="","",INDEX(OFFSET(Arb!$H$2,,,Arb!$AJ$5,),Z143))</f>
        <v/>
      </c>
      <c r="AB143" s="3" t="str">
        <f t="shared" ca="1" si="48"/>
        <v/>
      </c>
      <c r="AC143" s="165" t="str">
        <f ca="1">IF(Z143="","",INDEX(OFFSET(Arb!$X$2,,,Arb!$AJ$5,),Z143)/AA143)</f>
        <v/>
      </c>
      <c r="AD143" s="165" t="str">
        <f ca="1">IF(Z143="","",(INDEX(OFFSET(Arb!$U$2,,,Arb!$AJ$5,),Z143)+INDEX(OFFSET(Arb!$V$2,,,Arb!$AJ$5,),Z143))/AA143)</f>
        <v/>
      </c>
      <c r="AE143" s="51" t="str">
        <f t="shared" ca="1" si="58"/>
        <v/>
      </c>
      <c r="AF143" s="91" t="str">
        <f ca="1">IF(Z143="","",DATE(INDEX(OFFSET(Arb!$C$2,,,Arb!$AJ$5,),Z143),INDEX(OFFSET(Arb!$B$2,,,Arb!$AJ$5,),Z143),INDEX(OFFSET(Arb!$A$2,,,Arb!$AJ$5,),Z143))+ROW()*0.001)</f>
        <v/>
      </c>
      <c r="AG143" s="442">
        <v>118</v>
      </c>
      <c r="AI143" s="52" t="str">
        <f ca="1">IF(AH143="","",INDEX(OFFSET(Arb!$H$2,,,Arb!$AJ$5,),AH143))</f>
        <v/>
      </c>
      <c r="AJ143" s="3" t="str">
        <f t="shared" ca="1" si="49"/>
        <v/>
      </c>
      <c r="AK143" s="165" t="str">
        <f ca="1">IF(AH143="","",INDEX(OFFSET(Arb!$X$2,,,Arb!$AJ$5,),AH143)/AI143)</f>
        <v/>
      </c>
      <c r="AL143" s="165" t="str">
        <f ca="1">IF(AH143="","",(INDEX(OFFSET(Arb!$U$2,,,Arb!$AJ$5,),AH143)+INDEX(OFFSET(Arb!$V$2,,,Arb!$AJ$5,),AH143))/AI143)</f>
        <v/>
      </c>
      <c r="AM143" s="51" t="str">
        <f t="shared" ca="1" si="59"/>
        <v/>
      </c>
      <c r="AN143" s="88" t="str">
        <f ca="1">IF(AH143="","",DATE(INDEX(OFFSET(Arb!$C$2,,,Arb!$AJ$5,),AH143),INDEX(OFFSET(Arb!$B$2,,,Arb!$AJ$5,),AH143),INDEX(OFFSET(Arb!$A$2,,,Arb!$AJ$5,),AH143))+ROW()*0.001)</f>
        <v/>
      </c>
      <c r="AO143" s="436">
        <v>118</v>
      </c>
      <c r="AQ143" s="52" t="str">
        <f ca="1">IF(AP143="","",INDEX(OFFSET(Arb!$H$2,,,Arb!$AJ$5,),AP143))</f>
        <v/>
      </c>
      <c r="AR143" s="3" t="str">
        <f t="shared" ca="1" si="50"/>
        <v/>
      </c>
      <c r="AS143" s="165" t="str">
        <f ca="1">IF(AP143="","",INDEX(OFFSET(Arb!$X$2,,,Arb!$AJ$5,),AP143)/AQ143)</f>
        <v/>
      </c>
      <c r="AT143" s="165" t="str">
        <f ca="1">IF(AP143="","",(INDEX(OFFSET(Arb!$U$2,,,Arb!$AJ$5,),AP143)+INDEX(OFFSET(Arb!$V$2,,,Arb!$AJ$5,),AP143))/AQ143)</f>
        <v/>
      </c>
      <c r="AU143" s="51" t="str">
        <f t="shared" ca="1" si="60"/>
        <v/>
      </c>
      <c r="AV143" s="91" t="str">
        <f ca="1">IF(AP143="","",DATE(INDEX(OFFSET(Arb!$C$2,,,Arb!$AJ$5,),AP143),INDEX(OFFSET(Arb!$B$2,,,Arb!$AJ$5,),AP143),INDEX(OFFSET(Arb!$A$2,,,Arb!$AJ$5,),AP143))+ROW()*0.001)</f>
        <v/>
      </c>
      <c r="AW143" s="442">
        <v>118</v>
      </c>
      <c r="AY143" s="52" t="str">
        <f ca="1">IF(AX143="","",INDEX(OFFSET(Arb!$H$2,,,Arb!$AJ$5,),AX143))</f>
        <v/>
      </c>
      <c r="AZ143" s="3" t="str">
        <f t="shared" ca="1" si="51"/>
        <v/>
      </c>
      <c r="BA143" s="165" t="str">
        <f ca="1">IF(AX143="","",INDEX(OFFSET(Arb!$X$2,,,Arb!$AJ$5,),AX143)/AY143)</f>
        <v/>
      </c>
      <c r="BB143" s="165" t="str">
        <f ca="1">IF(AX143="","",(INDEX(OFFSET(Arb!$U$2,,,Arb!$AJ$5,),AX143)+INDEX(OFFSET(Arb!$V$2,,,Arb!$AJ$5,),AX143))/AY143)</f>
        <v/>
      </c>
      <c r="BC143" s="51" t="str">
        <f t="shared" ca="1" si="61"/>
        <v/>
      </c>
      <c r="BD143" s="88" t="str">
        <f ca="1">IF(AX143="","",DATE(INDEX(OFFSET(Arb!$C$2,,,Arb!$AJ$5,),AX143),INDEX(OFFSET(Arb!$B$2,,,Arb!$AJ$5,),AX143),INDEX(OFFSET(Arb!$A$2,,,Arb!$AJ$5,),AX143))+ROW()*0.001)</f>
        <v/>
      </c>
      <c r="BE143" s="436">
        <v>118</v>
      </c>
      <c r="BG143" s="52" t="str">
        <f ca="1">IF(BF143="","",INDEX(OFFSET(Arb!$H$2,,,Arb!$AJ$5,),BF143))</f>
        <v/>
      </c>
      <c r="BH143" s="3" t="str">
        <f t="shared" ca="1" si="52"/>
        <v/>
      </c>
      <c r="BI143" s="165" t="str">
        <f ca="1">IF(BF143="","",INDEX(OFFSET(Arb!$X$2,,,Arb!$AJ$5,),BF143)/BG143)</f>
        <v/>
      </c>
      <c r="BJ143" s="165" t="str">
        <f ca="1">IF(BF143="","",(INDEX(OFFSET(Arb!$U$2,,,Arb!$AJ$5,),BF143)+INDEX(OFFSET(Arb!$V$2,,,Arb!$AJ$5,),BF143))/BG143)</f>
        <v/>
      </c>
      <c r="BK143" s="51" t="str">
        <f t="shared" ca="1" si="62"/>
        <v/>
      </c>
      <c r="BL143" s="91" t="str">
        <f ca="1">IF(BF143="","",DATE(INDEX(OFFSET(Arb!$C$2,,,Arb!$AJ$5,),BF143),INDEX(OFFSET(Arb!$B$2,,,Arb!$AJ$5,),BF143),INDEX(OFFSET(Arb!$A$2,,,Arb!$AJ$5,),BF143))+ROW()*0.001)</f>
        <v/>
      </c>
      <c r="BM143" s="442">
        <v>118</v>
      </c>
      <c r="BO143" s="52" t="str">
        <f ca="1">IF(BN143="","",INDEX(OFFSET(Arb!$H$2,,,Arb!$AJ$5,),BN143))</f>
        <v/>
      </c>
      <c r="BP143" s="3" t="str">
        <f t="shared" ca="1" si="53"/>
        <v/>
      </c>
      <c r="BQ143" s="165" t="str">
        <f ca="1">IF(BN143="","",INDEX(OFFSET(Arb!$X$2,,,Arb!$AJ$5,),BN143)/BO143)</f>
        <v/>
      </c>
      <c r="BR143" s="165" t="str">
        <f ca="1">IF(BN143="","",(INDEX(OFFSET(Arb!$U$2,,,Arb!$AJ$5,),BN143)+INDEX(OFFSET(Arb!$V$2,,,Arb!$AJ$5,),BN143))/BO143)</f>
        <v/>
      </c>
      <c r="BS143" s="51" t="str">
        <f t="shared" ca="1" si="63"/>
        <v/>
      </c>
      <c r="BT143" s="88" t="str">
        <f ca="1">IF(BN143="","",DATE(INDEX(OFFSET(Arb!$C$2,,,Arb!$AJ$5,),BN143),INDEX(OFFSET(Arb!$B$2,,,Arb!$AJ$5,),BN143),INDEX(OFFSET(Arb!$A$2,,,Arb!$AJ$5,),BN143))+ROW()*0.001)</f>
        <v/>
      </c>
      <c r="BU143" s="436">
        <v>118</v>
      </c>
      <c r="BW143" s="52" t="str">
        <f ca="1">IF(BV143="","",INDEX(OFFSET(Arb!$H$2,,,Arb!$AJ$5,),BV143))</f>
        <v/>
      </c>
      <c r="BX143" s="3" t="str">
        <f t="shared" ca="1" si="54"/>
        <v/>
      </c>
      <c r="BY143" s="165" t="str">
        <f ca="1">IF(BV143="","",INDEX(OFFSET(Arb!$X$2,,,Arb!$AJ$5,),BV143)/BW143)</f>
        <v/>
      </c>
      <c r="BZ143" s="165" t="str">
        <f ca="1">IF(BV143="","",(INDEX(OFFSET(Arb!$U$2,,,Arb!$AJ$5,),BV143)+INDEX(OFFSET(Arb!$V$2,,,Arb!$AJ$5,),BV143))/BW143)</f>
        <v/>
      </c>
      <c r="CA143" s="51" t="str">
        <f t="shared" ca="1" si="64"/>
        <v/>
      </c>
      <c r="CB143" s="91" t="str">
        <f ca="1">IF(BV143="","",DATE(INDEX(OFFSET(Arb!$C$2,,,Arb!$AJ$5,),BV143),INDEX(OFFSET(Arb!$B$2,,,Arb!$AJ$5,),BV143),INDEX(OFFSET(Arb!$A$2,,,Arb!$AJ$5,),BV143))+ROW()*0.001)</f>
        <v/>
      </c>
    </row>
    <row r="144" spans="1:80" x14ac:dyDescent="0.25">
      <c r="A144" s="436">
        <v>119</v>
      </c>
      <c r="C144" s="52" t="str">
        <f ca="1">IF(B144="","",INDEX(OFFSET(Arb!$H$2,,,Arb!$AJ$5,),B144))</f>
        <v/>
      </c>
      <c r="D144" s="3" t="str">
        <f t="shared" ca="1" si="45"/>
        <v/>
      </c>
      <c r="E144" s="165" t="str">
        <f ca="1">IF(B144="","",INDEX(OFFSET(Arb!$X$2,,,Arb!$AJ$5,),B144)/C144)</f>
        <v/>
      </c>
      <c r="F144" s="165" t="str">
        <f ca="1">IF(B144="","",(INDEX(OFFSET(Arb!$U$2,,,Arb!$AJ$5,),B144)+INDEX(OFFSET(Arb!$V$2,,,Arb!$AJ$5,),B144))/C144)</f>
        <v/>
      </c>
      <c r="G144" s="51" t="str">
        <f t="shared" ca="1" si="55"/>
        <v/>
      </c>
      <c r="H144" s="355" t="str">
        <f ca="1">IF(B144="","",DATE(INDEX(OFFSET(Arb!$C$2,,,Arb!$AJ$5,),B144),INDEX(OFFSET(Arb!$B$2,,,Arb!$AJ$5,),B144),INDEX(OFFSET(Arb!$A$2,,,Arb!$AJ$5,),B144))+ROW()*0.001)</f>
        <v/>
      </c>
      <c r="I144" s="436">
        <v>119</v>
      </c>
      <c r="K144" s="52" t="str">
        <f ca="1">IF(J144="","",INDEX(OFFSET(Arb!$H$2,,,Arb!$AJ$5,),J144))</f>
        <v/>
      </c>
      <c r="L144" s="3" t="str">
        <f t="shared" ca="1" si="46"/>
        <v/>
      </c>
      <c r="M144" s="165" t="str">
        <f ca="1">IF(J144="","",INDEX(OFFSET(Arb!$X$2,,,Arb!$AJ$5,),J144)/K144)</f>
        <v/>
      </c>
      <c r="N144" s="165" t="str">
        <f ca="1">IF(J144="","",(INDEX(OFFSET(Arb!$U$2,,,Arb!$AJ$5,),J144)+INDEX(OFFSET(Arb!$V$2,,,Arb!$AJ$5,),J144))/K144)</f>
        <v/>
      </c>
      <c r="O144" s="51" t="str">
        <f t="shared" ca="1" si="56"/>
        <v/>
      </c>
      <c r="P144" s="91" t="str">
        <f ca="1">IF(J144="","",DATE(INDEX(OFFSET(Arb!$C$2,,,Arb!$AJ$5,),J144),INDEX(OFFSET(Arb!$B$2,,,Arb!$AJ$5,),J144),INDEX(OFFSET(Arb!$A$2,,,Arb!$AJ$5,),J144))+ROW()*0.001)</f>
        <v/>
      </c>
      <c r="Q144" s="442">
        <v>119</v>
      </c>
      <c r="S144" s="52" t="str">
        <f ca="1">IF(R144="","",INDEX(OFFSET(Arb!$H$2,,,Arb!$AJ$5,),R144))</f>
        <v/>
      </c>
      <c r="T144" s="3" t="str">
        <f t="shared" ca="1" si="47"/>
        <v/>
      </c>
      <c r="U144" s="165" t="str">
        <f ca="1">IF(R144="","",INDEX(OFFSET(Arb!$X$2,,,Arb!$AJ$5,),R144)/S144)</f>
        <v/>
      </c>
      <c r="V144" s="165" t="str">
        <f ca="1">IF(R144="","",(INDEX(OFFSET(Arb!$U$2,,,Arb!$AJ$5,),R144)+INDEX(OFFSET(Arb!$V$2,,,Arb!$AJ$5,),R144))/S144)</f>
        <v/>
      </c>
      <c r="W144" s="51" t="str">
        <f t="shared" ca="1" si="57"/>
        <v/>
      </c>
      <c r="X144" s="88" t="str">
        <f ca="1">IF(R144="","",DATE(INDEX(OFFSET(Arb!$C$2,,,Arb!$AJ$5,),R144),INDEX(OFFSET(Arb!$B$2,,,Arb!$AJ$5,),R144),INDEX(OFFSET(Arb!$A$2,,,Arb!$AJ$5,),R144))+ROW()*0.001)</f>
        <v/>
      </c>
      <c r="Y144" s="436">
        <v>119</v>
      </c>
      <c r="AA144" s="52" t="str">
        <f ca="1">IF(Z144="","",INDEX(OFFSET(Arb!$H$2,,,Arb!$AJ$5,),Z144))</f>
        <v/>
      </c>
      <c r="AB144" s="3" t="str">
        <f t="shared" ca="1" si="48"/>
        <v/>
      </c>
      <c r="AC144" s="165" t="str">
        <f ca="1">IF(Z144="","",INDEX(OFFSET(Arb!$X$2,,,Arb!$AJ$5,),Z144)/AA144)</f>
        <v/>
      </c>
      <c r="AD144" s="165" t="str">
        <f ca="1">IF(Z144="","",(INDEX(OFFSET(Arb!$U$2,,,Arb!$AJ$5,),Z144)+INDEX(OFFSET(Arb!$V$2,,,Arb!$AJ$5,),Z144))/AA144)</f>
        <v/>
      </c>
      <c r="AE144" s="51" t="str">
        <f t="shared" ca="1" si="58"/>
        <v/>
      </c>
      <c r="AF144" s="91" t="str">
        <f ca="1">IF(Z144="","",DATE(INDEX(OFFSET(Arb!$C$2,,,Arb!$AJ$5,),Z144),INDEX(OFFSET(Arb!$B$2,,,Arb!$AJ$5,),Z144),INDEX(OFFSET(Arb!$A$2,,,Arb!$AJ$5,),Z144))+ROW()*0.001)</f>
        <v/>
      </c>
      <c r="AG144" s="442">
        <v>119</v>
      </c>
      <c r="AI144" s="52" t="str">
        <f ca="1">IF(AH144="","",INDEX(OFFSET(Arb!$H$2,,,Arb!$AJ$5,),AH144))</f>
        <v/>
      </c>
      <c r="AJ144" s="3" t="str">
        <f t="shared" ca="1" si="49"/>
        <v/>
      </c>
      <c r="AK144" s="165" t="str">
        <f ca="1">IF(AH144="","",INDEX(OFFSET(Arb!$X$2,,,Arb!$AJ$5,),AH144)/AI144)</f>
        <v/>
      </c>
      <c r="AL144" s="165" t="str">
        <f ca="1">IF(AH144="","",(INDEX(OFFSET(Arb!$U$2,,,Arb!$AJ$5,),AH144)+INDEX(OFFSET(Arb!$V$2,,,Arb!$AJ$5,),AH144))/AI144)</f>
        <v/>
      </c>
      <c r="AM144" s="51" t="str">
        <f t="shared" ca="1" si="59"/>
        <v/>
      </c>
      <c r="AN144" s="88" t="str">
        <f ca="1">IF(AH144="","",DATE(INDEX(OFFSET(Arb!$C$2,,,Arb!$AJ$5,),AH144),INDEX(OFFSET(Arb!$B$2,,,Arb!$AJ$5,),AH144),INDEX(OFFSET(Arb!$A$2,,,Arb!$AJ$5,),AH144))+ROW()*0.001)</f>
        <v/>
      </c>
      <c r="AO144" s="436">
        <v>119</v>
      </c>
      <c r="AQ144" s="52" t="str">
        <f ca="1">IF(AP144="","",INDEX(OFFSET(Arb!$H$2,,,Arb!$AJ$5,),AP144))</f>
        <v/>
      </c>
      <c r="AR144" s="3" t="str">
        <f t="shared" ca="1" si="50"/>
        <v/>
      </c>
      <c r="AS144" s="165" t="str">
        <f ca="1">IF(AP144="","",INDEX(OFFSET(Arb!$X$2,,,Arb!$AJ$5,),AP144)/AQ144)</f>
        <v/>
      </c>
      <c r="AT144" s="165" t="str">
        <f ca="1">IF(AP144="","",(INDEX(OFFSET(Arb!$U$2,,,Arb!$AJ$5,),AP144)+INDEX(OFFSET(Arb!$V$2,,,Arb!$AJ$5,),AP144))/AQ144)</f>
        <v/>
      </c>
      <c r="AU144" s="51" t="str">
        <f t="shared" ca="1" si="60"/>
        <v/>
      </c>
      <c r="AV144" s="91" t="str">
        <f ca="1">IF(AP144="","",DATE(INDEX(OFFSET(Arb!$C$2,,,Arb!$AJ$5,),AP144),INDEX(OFFSET(Arb!$B$2,,,Arb!$AJ$5,),AP144),INDEX(OFFSET(Arb!$A$2,,,Arb!$AJ$5,),AP144))+ROW()*0.001)</f>
        <v/>
      </c>
      <c r="AW144" s="442">
        <v>119</v>
      </c>
      <c r="AY144" s="52" t="str">
        <f ca="1">IF(AX144="","",INDEX(OFFSET(Arb!$H$2,,,Arb!$AJ$5,),AX144))</f>
        <v/>
      </c>
      <c r="AZ144" s="3" t="str">
        <f t="shared" ca="1" si="51"/>
        <v/>
      </c>
      <c r="BA144" s="165" t="str">
        <f ca="1">IF(AX144="","",INDEX(OFFSET(Arb!$X$2,,,Arb!$AJ$5,),AX144)/AY144)</f>
        <v/>
      </c>
      <c r="BB144" s="165" t="str">
        <f ca="1">IF(AX144="","",(INDEX(OFFSET(Arb!$U$2,,,Arb!$AJ$5,),AX144)+INDEX(OFFSET(Arb!$V$2,,,Arb!$AJ$5,),AX144))/AY144)</f>
        <v/>
      </c>
      <c r="BC144" s="51" t="str">
        <f t="shared" ca="1" si="61"/>
        <v/>
      </c>
      <c r="BD144" s="88" t="str">
        <f ca="1">IF(AX144="","",DATE(INDEX(OFFSET(Arb!$C$2,,,Arb!$AJ$5,),AX144),INDEX(OFFSET(Arb!$B$2,,,Arb!$AJ$5,),AX144),INDEX(OFFSET(Arb!$A$2,,,Arb!$AJ$5,),AX144))+ROW()*0.001)</f>
        <v/>
      </c>
      <c r="BE144" s="436">
        <v>119</v>
      </c>
      <c r="BG144" s="52" t="str">
        <f ca="1">IF(BF144="","",INDEX(OFFSET(Arb!$H$2,,,Arb!$AJ$5,),BF144))</f>
        <v/>
      </c>
      <c r="BH144" s="3" t="str">
        <f t="shared" ca="1" si="52"/>
        <v/>
      </c>
      <c r="BI144" s="165" t="str">
        <f ca="1">IF(BF144="","",INDEX(OFFSET(Arb!$X$2,,,Arb!$AJ$5,),BF144)/BG144)</f>
        <v/>
      </c>
      <c r="BJ144" s="165" t="str">
        <f ca="1">IF(BF144="","",(INDEX(OFFSET(Arb!$U$2,,,Arb!$AJ$5,),BF144)+INDEX(OFFSET(Arb!$V$2,,,Arb!$AJ$5,),BF144))/BG144)</f>
        <v/>
      </c>
      <c r="BK144" s="51" t="str">
        <f t="shared" ca="1" si="62"/>
        <v/>
      </c>
      <c r="BL144" s="91" t="str">
        <f ca="1">IF(BF144="","",DATE(INDEX(OFFSET(Arb!$C$2,,,Arb!$AJ$5,),BF144),INDEX(OFFSET(Arb!$B$2,,,Arb!$AJ$5,),BF144),INDEX(OFFSET(Arb!$A$2,,,Arb!$AJ$5,),BF144))+ROW()*0.001)</f>
        <v/>
      </c>
      <c r="BM144" s="442">
        <v>119</v>
      </c>
      <c r="BO144" s="52" t="str">
        <f ca="1">IF(BN144="","",INDEX(OFFSET(Arb!$H$2,,,Arb!$AJ$5,),BN144))</f>
        <v/>
      </c>
      <c r="BP144" s="3" t="str">
        <f t="shared" ca="1" si="53"/>
        <v/>
      </c>
      <c r="BQ144" s="165" t="str">
        <f ca="1">IF(BN144="","",INDEX(OFFSET(Arb!$X$2,,,Arb!$AJ$5,),BN144)/BO144)</f>
        <v/>
      </c>
      <c r="BR144" s="165" t="str">
        <f ca="1">IF(BN144="","",(INDEX(OFFSET(Arb!$U$2,,,Arb!$AJ$5,),BN144)+INDEX(OFFSET(Arb!$V$2,,,Arb!$AJ$5,),BN144))/BO144)</f>
        <v/>
      </c>
      <c r="BS144" s="51" t="str">
        <f t="shared" ca="1" si="63"/>
        <v/>
      </c>
      <c r="BT144" s="88" t="str">
        <f ca="1">IF(BN144="","",DATE(INDEX(OFFSET(Arb!$C$2,,,Arb!$AJ$5,),BN144),INDEX(OFFSET(Arb!$B$2,,,Arb!$AJ$5,),BN144),INDEX(OFFSET(Arb!$A$2,,,Arb!$AJ$5,),BN144))+ROW()*0.001)</f>
        <v/>
      </c>
      <c r="BU144" s="436">
        <v>119</v>
      </c>
      <c r="BW144" s="52" t="str">
        <f ca="1">IF(BV144="","",INDEX(OFFSET(Arb!$H$2,,,Arb!$AJ$5,),BV144))</f>
        <v/>
      </c>
      <c r="BX144" s="3" t="str">
        <f t="shared" ca="1" si="54"/>
        <v/>
      </c>
      <c r="BY144" s="165" t="str">
        <f ca="1">IF(BV144="","",INDEX(OFFSET(Arb!$X$2,,,Arb!$AJ$5,),BV144)/BW144)</f>
        <v/>
      </c>
      <c r="BZ144" s="165" t="str">
        <f ca="1">IF(BV144="","",(INDEX(OFFSET(Arb!$U$2,,,Arb!$AJ$5,),BV144)+INDEX(OFFSET(Arb!$V$2,,,Arb!$AJ$5,),BV144))/BW144)</f>
        <v/>
      </c>
      <c r="CA144" s="51" t="str">
        <f t="shared" ca="1" si="64"/>
        <v/>
      </c>
      <c r="CB144" s="91" t="str">
        <f ca="1">IF(BV144="","",DATE(INDEX(OFFSET(Arb!$C$2,,,Arb!$AJ$5,),BV144),INDEX(OFFSET(Arb!$B$2,,,Arb!$AJ$5,),BV144),INDEX(OFFSET(Arb!$A$2,,,Arb!$AJ$5,),BV144))+ROW()*0.001)</f>
        <v/>
      </c>
    </row>
    <row r="145" spans="1:80" x14ac:dyDescent="0.25">
      <c r="A145" s="436">
        <v>120</v>
      </c>
      <c r="C145" s="52" t="str">
        <f ca="1">IF(B145="","",INDEX(OFFSET(Arb!$H$2,,,Arb!$AJ$5,),B145))</f>
        <v/>
      </c>
      <c r="D145" s="3" t="str">
        <f t="shared" ca="1" si="45"/>
        <v/>
      </c>
      <c r="E145" s="165" t="str">
        <f ca="1">IF(B145="","",INDEX(OFFSET(Arb!$X$2,,,Arb!$AJ$5,),B145)/C145)</f>
        <v/>
      </c>
      <c r="F145" s="165" t="str">
        <f ca="1">IF(B145="","",(INDEX(OFFSET(Arb!$U$2,,,Arb!$AJ$5,),B145)+INDEX(OFFSET(Arb!$V$2,,,Arb!$AJ$5,),B145))/C145)</f>
        <v/>
      </c>
      <c r="G145" s="51" t="str">
        <f t="shared" ca="1" si="55"/>
        <v/>
      </c>
      <c r="H145" s="355" t="str">
        <f ca="1">IF(B145="","",DATE(INDEX(OFFSET(Arb!$C$2,,,Arb!$AJ$5,),B145),INDEX(OFFSET(Arb!$B$2,,,Arb!$AJ$5,),B145),INDEX(OFFSET(Arb!$A$2,,,Arb!$AJ$5,),B145))+ROW()*0.001)</f>
        <v/>
      </c>
      <c r="I145" s="436">
        <v>120</v>
      </c>
      <c r="K145" s="52" t="str">
        <f ca="1">IF(J145="","",INDEX(OFFSET(Arb!$H$2,,,Arb!$AJ$5,),J145))</f>
        <v/>
      </c>
      <c r="L145" s="3" t="str">
        <f t="shared" ca="1" si="46"/>
        <v/>
      </c>
      <c r="M145" s="165" t="str">
        <f ca="1">IF(J145="","",INDEX(OFFSET(Arb!$X$2,,,Arb!$AJ$5,),J145)/K145)</f>
        <v/>
      </c>
      <c r="N145" s="165" t="str">
        <f ca="1">IF(J145="","",(INDEX(OFFSET(Arb!$U$2,,,Arb!$AJ$5,),J145)+INDEX(OFFSET(Arb!$V$2,,,Arb!$AJ$5,),J145))/K145)</f>
        <v/>
      </c>
      <c r="O145" s="51" t="str">
        <f t="shared" ca="1" si="56"/>
        <v/>
      </c>
      <c r="P145" s="91" t="str">
        <f ca="1">IF(J145="","",DATE(INDEX(OFFSET(Arb!$C$2,,,Arb!$AJ$5,),J145),INDEX(OFFSET(Arb!$B$2,,,Arb!$AJ$5,),J145),INDEX(OFFSET(Arb!$A$2,,,Arb!$AJ$5,),J145))+ROW()*0.001)</f>
        <v/>
      </c>
      <c r="Q145" s="442">
        <v>120</v>
      </c>
      <c r="S145" s="52" t="str">
        <f ca="1">IF(R145="","",INDEX(OFFSET(Arb!$H$2,,,Arb!$AJ$5,),R145))</f>
        <v/>
      </c>
      <c r="T145" s="3" t="str">
        <f t="shared" ca="1" si="47"/>
        <v/>
      </c>
      <c r="U145" s="165" t="str">
        <f ca="1">IF(R145="","",INDEX(OFFSET(Arb!$X$2,,,Arb!$AJ$5,),R145)/S145)</f>
        <v/>
      </c>
      <c r="V145" s="165" t="str">
        <f ca="1">IF(R145="","",(INDEX(OFFSET(Arb!$U$2,,,Arb!$AJ$5,),R145)+INDEX(OFFSET(Arb!$V$2,,,Arb!$AJ$5,),R145))/S145)</f>
        <v/>
      </c>
      <c r="W145" s="51" t="str">
        <f t="shared" ca="1" si="57"/>
        <v/>
      </c>
      <c r="X145" s="88" t="str">
        <f ca="1">IF(R145="","",DATE(INDEX(OFFSET(Arb!$C$2,,,Arb!$AJ$5,),R145),INDEX(OFFSET(Arb!$B$2,,,Arb!$AJ$5,),R145),INDEX(OFFSET(Arb!$A$2,,,Arb!$AJ$5,),R145))+ROW()*0.001)</f>
        <v/>
      </c>
      <c r="Y145" s="436">
        <v>120</v>
      </c>
      <c r="AA145" s="52" t="str">
        <f ca="1">IF(Z145="","",INDEX(OFFSET(Arb!$H$2,,,Arb!$AJ$5,),Z145))</f>
        <v/>
      </c>
      <c r="AB145" s="3" t="str">
        <f t="shared" ca="1" si="48"/>
        <v/>
      </c>
      <c r="AC145" s="165" t="str">
        <f ca="1">IF(Z145="","",INDEX(OFFSET(Arb!$X$2,,,Arb!$AJ$5,),Z145)/AA145)</f>
        <v/>
      </c>
      <c r="AD145" s="165" t="str">
        <f ca="1">IF(Z145="","",(INDEX(OFFSET(Arb!$U$2,,,Arb!$AJ$5,),Z145)+INDEX(OFFSET(Arb!$V$2,,,Arb!$AJ$5,),Z145))/AA145)</f>
        <v/>
      </c>
      <c r="AE145" s="51" t="str">
        <f t="shared" ca="1" si="58"/>
        <v/>
      </c>
      <c r="AF145" s="91" t="str">
        <f ca="1">IF(Z145="","",DATE(INDEX(OFFSET(Arb!$C$2,,,Arb!$AJ$5,),Z145),INDEX(OFFSET(Arb!$B$2,,,Arb!$AJ$5,),Z145),INDEX(OFFSET(Arb!$A$2,,,Arb!$AJ$5,),Z145))+ROW()*0.001)</f>
        <v/>
      </c>
      <c r="AG145" s="442">
        <v>120</v>
      </c>
      <c r="AI145" s="52" t="str">
        <f ca="1">IF(AH145="","",INDEX(OFFSET(Arb!$H$2,,,Arb!$AJ$5,),AH145))</f>
        <v/>
      </c>
      <c r="AJ145" s="3" t="str">
        <f t="shared" ca="1" si="49"/>
        <v/>
      </c>
      <c r="AK145" s="165" t="str">
        <f ca="1">IF(AH145="","",INDEX(OFFSET(Arb!$X$2,,,Arb!$AJ$5,),AH145)/AI145)</f>
        <v/>
      </c>
      <c r="AL145" s="165" t="str">
        <f ca="1">IF(AH145="","",(INDEX(OFFSET(Arb!$U$2,,,Arb!$AJ$5,),AH145)+INDEX(OFFSET(Arb!$V$2,,,Arb!$AJ$5,),AH145))/AI145)</f>
        <v/>
      </c>
      <c r="AM145" s="51" t="str">
        <f t="shared" ca="1" si="59"/>
        <v/>
      </c>
      <c r="AN145" s="88" t="str">
        <f ca="1">IF(AH145="","",DATE(INDEX(OFFSET(Arb!$C$2,,,Arb!$AJ$5,),AH145),INDEX(OFFSET(Arb!$B$2,,,Arb!$AJ$5,),AH145),INDEX(OFFSET(Arb!$A$2,,,Arb!$AJ$5,),AH145))+ROW()*0.001)</f>
        <v/>
      </c>
      <c r="AO145" s="436">
        <v>120</v>
      </c>
      <c r="AQ145" s="52" t="str">
        <f ca="1">IF(AP145="","",INDEX(OFFSET(Arb!$H$2,,,Arb!$AJ$5,),AP145))</f>
        <v/>
      </c>
      <c r="AR145" s="3" t="str">
        <f t="shared" ca="1" si="50"/>
        <v/>
      </c>
      <c r="AS145" s="165" t="str">
        <f ca="1">IF(AP145="","",INDEX(OFFSET(Arb!$X$2,,,Arb!$AJ$5,),AP145)/AQ145)</f>
        <v/>
      </c>
      <c r="AT145" s="165" t="str">
        <f ca="1">IF(AP145="","",(INDEX(OFFSET(Arb!$U$2,,,Arb!$AJ$5,),AP145)+INDEX(OFFSET(Arb!$V$2,,,Arb!$AJ$5,),AP145))/AQ145)</f>
        <v/>
      </c>
      <c r="AU145" s="51" t="str">
        <f t="shared" ca="1" si="60"/>
        <v/>
      </c>
      <c r="AV145" s="91" t="str">
        <f ca="1">IF(AP145="","",DATE(INDEX(OFFSET(Arb!$C$2,,,Arb!$AJ$5,),AP145),INDEX(OFFSET(Arb!$B$2,,,Arb!$AJ$5,),AP145),INDEX(OFFSET(Arb!$A$2,,,Arb!$AJ$5,),AP145))+ROW()*0.001)</f>
        <v/>
      </c>
      <c r="AW145" s="442">
        <v>120</v>
      </c>
      <c r="AY145" s="52" t="str">
        <f ca="1">IF(AX145="","",INDEX(OFFSET(Arb!$H$2,,,Arb!$AJ$5,),AX145))</f>
        <v/>
      </c>
      <c r="AZ145" s="3" t="str">
        <f t="shared" ca="1" si="51"/>
        <v/>
      </c>
      <c r="BA145" s="165" t="str">
        <f ca="1">IF(AX145="","",INDEX(OFFSET(Arb!$X$2,,,Arb!$AJ$5,),AX145)/AY145)</f>
        <v/>
      </c>
      <c r="BB145" s="165" t="str">
        <f ca="1">IF(AX145="","",(INDEX(OFFSET(Arb!$U$2,,,Arb!$AJ$5,),AX145)+INDEX(OFFSET(Arb!$V$2,,,Arb!$AJ$5,),AX145))/AY145)</f>
        <v/>
      </c>
      <c r="BC145" s="51" t="str">
        <f t="shared" ca="1" si="61"/>
        <v/>
      </c>
      <c r="BD145" s="88" t="str">
        <f ca="1">IF(AX145="","",DATE(INDEX(OFFSET(Arb!$C$2,,,Arb!$AJ$5,),AX145),INDEX(OFFSET(Arb!$B$2,,,Arb!$AJ$5,),AX145),INDEX(OFFSET(Arb!$A$2,,,Arb!$AJ$5,),AX145))+ROW()*0.001)</f>
        <v/>
      </c>
      <c r="BE145" s="436">
        <v>120</v>
      </c>
      <c r="BG145" s="52" t="str">
        <f ca="1">IF(BF145="","",INDEX(OFFSET(Arb!$H$2,,,Arb!$AJ$5,),BF145))</f>
        <v/>
      </c>
      <c r="BH145" s="3" t="str">
        <f t="shared" ca="1" si="52"/>
        <v/>
      </c>
      <c r="BI145" s="165" t="str">
        <f ca="1">IF(BF145="","",INDEX(OFFSET(Arb!$X$2,,,Arb!$AJ$5,),BF145)/BG145)</f>
        <v/>
      </c>
      <c r="BJ145" s="165" t="str">
        <f ca="1">IF(BF145="","",(INDEX(OFFSET(Arb!$U$2,,,Arb!$AJ$5,),BF145)+INDEX(OFFSET(Arb!$V$2,,,Arb!$AJ$5,),BF145))/BG145)</f>
        <v/>
      </c>
      <c r="BK145" s="51" t="str">
        <f t="shared" ca="1" si="62"/>
        <v/>
      </c>
      <c r="BL145" s="91" t="str">
        <f ca="1">IF(BF145="","",DATE(INDEX(OFFSET(Arb!$C$2,,,Arb!$AJ$5,),BF145),INDEX(OFFSET(Arb!$B$2,,,Arb!$AJ$5,),BF145),INDEX(OFFSET(Arb!$A$2,,,Arb!$AJ$5,),BF145))+ROW()*0.001)</f>
        <v/>
      </c>
      <c r="BM145" s="442">
        <v>120</v>
      </c>
      <c r="BO145" s="52" t="str">
        <f ca="1">IF(BN145="","",INDEX(OFFSET(Arb!$H$2,,,Arb!$AJ$5,),BN145))</f>
        <v/>
      </c>
      <c r="BP145" s="3" t="str">
        <f t="shared" ca="1" si="53"/>
        <v/>
      </c>
      <c r="BQ145" s="165" t="str">
        <f ca="1">IF(BN145="","",INDEX(OFFSET(Arb!$X$2,,,Arb!$AJ$5,),BN145)/BO145)</f>
        <v/>
      </c>
      <c r="BR145" s="165" t="str">
        <f ca="1">IF(BN145="","",(INDEX(OFFSET(Arb!$U$2,,,Arb!$AJ$5,),BN145)+INDEX(OFFSET(Arb!$V$2,,,Arb!$AJ$5,),BN145))/BO145)</f>
        <v/>
      </c>
      <c r="BS145" s="51" t="str">
        <f t="shared" ca="1" si="63"/>
        <v/>
      </c>
      <c r="BT145" s="88" t="str">
        <f ca="1">IF(BN145="","",DATE(INDEX(OFFSET(Arb!$C$2,,,Arb!$AJ$5,),BN145),INDEX(OFFSET(Arb!$B$2,,,Arb!$AJ$5,),BN145),INDEX(OFFSET(Arb!$A$2,,,Arb!$AJ$5,),BN145))+ROW()*0.001)</f>
        <v/>
      </c>
      <c r="BU145" s="436">
        <v>120</v>
      </c>
      <c r="BW145" s="52" t="str">
        <f ca="1">IF(BV145="","",INDEX(OFFSET(Arb!$H$2,,,Arb!$AJ$5,),BV145))</f>
        <v/>
      </c>
      <c r="BX145" s="3" t="str">
        <f t="shared" ca="1" si="54"/>
        <v/>
      </c>
      <c r="BY145" s="165" t="str">
        <f ca="1">IF(BV145="","",INDEX(OFFSET(Arb!$X$2,,,Arb!$AJ$5,),BV145)/BW145)</f>
        <v/>
      </c>
      <c r="BZ145" s="165" t="str">
        <f ca="1">IF(BV145="","",(INDEX(OFFSET(Arb!$U$2,,,Arb!$AJ$5,),BV145)+INDEX(OFFSET(Arb!$V$2,,,Arb!$AJ$5,),BV145))/BW145)</f>
        <v/>
      </c>
      <c r="CA145" s="51" t="str">
        <f t="shared" ca="1" si="64"/>
        <v/>
      </c>
      <c r="CB145" s="91" t="str">
        <f ca="1">IF(BV145="","",DATE(INDEX(OFFSET(Arb!$C$2,,,Arb!$AJ$5,),BV145),INDEX(OFFSET(Arb!$B$2,,,Arb!$AJ$5,),BV145),INDEX(OFFSET(Arb!$A$2,,,Arb!$AJ$5,),BV145))+ROW()*0.001)</f>
        <v/>
      </c>
    </row>
    <row r="146" spans="1:80" x14ac:dyDescent="0.25">
      <c r="A146" s="436">
        <v>121</v>
      </c>
      <c r="C146" s="52" t="str">
        <f ca="1">IF(B146="","",INDEX(OFFSET(Arb!$H$2,,,Arb!$AJ$5,),B146))</f>
        <v/>
      </c>
      <c r="D146" s="3" t="str">
        <f t="shared" ca="1" si="45"/>
        <v/>
      </c>
      <c r="E146" s="165" t="str">
        <f ca="1">IF(B146="","",INDEX(OFFSET(Arb!$X$2,,,Arb!$AJ$5,),B146)/C146)</f>
        <v/>
      </c>
      <c r="F146" s="165" t="str">
        <f ca="1">IF(B146="","",(INDEX(OFFSET(Arb!$U$2,,,Arb!$AJ$5,),B146)+INDEX(OFFSET(Arb!$V$2,,,Arb!$AJ$5,),B146))/C146)</f>
        <v/>
      </c>
      <c r="G146" s="51" t="str">
        <f t="shared" ca="1" si="55"/>
        <v/>
      </c>
      <c r="H146" s="355" t="str">
        <f ca="1">IF(B146="","",DATE(INDEX(OFFSET(Arb!$C$2,,,Arb!$AJ$5,),B146),INDEX(OFFSET(Arb!$B$2,,,Arb!$AJ$5,),B146),INDEX(OFFSET(Arb!$A$2,,,Arb!$AJ$5,),B146))+ROW()*0.001)</f>
        <v/>
      </c>
      <c r="I146" s="436">
        <v>121</v>
      </c>
      <c r="K146" s="52" t="str">
        <f ca="1">IF(J146="","",INDEX(OFFSET(Arb!$H$2,,,Arb!$AJ$5,),J146))</f>
        <v/>
      </c>
      <c r="L146" s="3" t="str">
        <f t="shared" ca="1" si="46"/>
        <v/>
      </c>
      <c r="M146" s="165" t="str">
        <f ca="1">IF(J146="","",INDEX(OFFSET(Arb!$X$2,,,Arb!$AJ$5,),J146)/K146)</f>
        <v/>
      </c>
      <c r="N146" s="165" t="str">
        <f ca="1">IF(J146="","",(INDEX(OFFSET(Arb!$U$2,,,Arb!$AJ$5,),J146)+INDEX(OFFSET(Arb!$V$2,,,Arb!$AJ$5,),J146))/K146)</f>
        <v/>
      </c>
      <c r="O146" s="51" t="str">
        <f t="shared" ca="1" si="56"/>
        <v/>
      </c>
      <c r="P146" s="91" t="str">
        <f ca="1">IF(J146="","",DATE(INDEX(OFFSET(Arb!$C$2,,,Arb!$AJ$5,),J146),INDEX(OFFSET(Arb!$B$2,,,Arb!$AJ$5,),J146),INDEX(OFFSET(Arb!$A$2,,,Arb!$AJ$5,),J146))+ROW()*0.001)</f>
        <v/>
      </c>
      <c r="Q146" s="442">
        <v>121</v>
      </c>
      <c r="S146" s="52" t="str">
        <f ca="1">IF(R146="","",INDEX(OFFSET(Arb!$H$2,,,Arb!$AJ$5,),R146))</f>
        <v/>
      </c>
      <c r="T146" s="3" t="str">
        <f t="shared" ca="1" si="47"/>
        <v/>
      </c>
      <c r="U146" s="165" t="str">
        <f ca="1">IF(R146="","",INDEX(OFFSET(Arb!$X$2,,,Arb!$AJ$5,),R146)/S146)</f>
        <v/>
      </c>
      <c r="V146" s="165" t="str">
        <f ca="1">IF(R146="","",(INDEX(OFFSET(Arb!$U$2,,,Arb!$AJ$5,),R146)+INDEX(OFFSET(Arb!$V$2,,,Arb!$AJ$5,),R146))/S146)</f>
        <v/>
      </c>
      <c r="W146" s="51" t="str">
        <f t="shared" ca="1" si="57"/>
        <v/>
      </c>
      <c r="X146" s="88" t="str">
        <f ca="1">IF(R146="","",DATE(INDEX(OFFSET(Arb!$C$2,,,Arb!$AJ$5,),R146),INDEX(OFFSET(Arb!$B$2,,,Arb!$AJ$5,),R146),INDEX(OFFSET(Arb!$A$2,,,Arb!$AJ$5,),R146))+ROW()*0.001)</f>
        <v/>
      </c>
      <c r="Y146" s="436">
        <v>121</v>
      </c>
      <c r="AA146" s="52" t="str">
        <f ca="1">IF(Z146="","",INDEX(OFFSET(Arb!$H$2,,,Arb!$AJ$5,),Z146))</f>
        <v/>
      </c>
      <c r="AB146" s="3" t="str">
        <f t="shared" ca="1" si="48"/>
        <v/>
      </c>
      <c r="AC146" s="165" t="str">
        <f ca="1">IF(Z146="","",INDEX(OFFSET(Arb!$X$2,,,Arb!$AJ$5,),Z146)/AA146)</f>
        <v/>
      </c>
      <c r="AD146" s="165" t="str">
        <f ca="1">IF(Z146="","",(INDEX(OFFSET(Arb!$U$2,,,Arb!$AJ$5,),Z146)+INDEX(OFFSET(Arb!$V$2,,,Arb!$AJ$5,),Z146))/AA146)</f>
        <v/>
      </c>
      <c r="AE146" s="51" t="str">
        <f t="shared" ca="1" si="58"/>
        <v/>
      </c>
      <c r="AF146" s="91" t="str">
        <f ca="1">IF(Z146="","",DATE(INDEX(OFFSET(Arb!$C$2,,,Arb!$AJ$5,),Z146),INDEX(OFFSET(Arb!$B$2,,,Arb!$AJ$5,),Z146),INDEX(OFFSET(Arb!$A$2,,,Arb!$AJ$5,),Z146))+ROW()*0.001)</f>
        <v/>
      </c>
      <c r="AG146" s="442">
        <v>121</v>
      </c>
      <c r="AI146" s="52" t="str">
        <f ca="1">IF(AH146="","",INDEX(OFFSET(Arb!$H$2,,,Arb!$AJ$5,),AH146))</f>
        <v/>
      </c>
      <c r="AJ146" s="3" t="str">
        <f t="shared" ca="1" si="49"/>
        <v/>
      </c>
      <c r="AK146" s="165" t="str">
        <f ca="1">IF(AH146="","",INDEX(OFFSET(Arb!$X$2,,,Arb!$AJ$5,),AH146)/AI146)</f>
        <v/>
      </c>
      <c r="AL146" s="165" t="str">
        <f ca="1">IF(AH146="","",(INDEX(OFFSET(Arb!$U$2,,,Arb!$AJ$5,),AH146)+INDEX(OFFSET(Arb!$V$2,,,Arb!$AJ$5,),AH146))/AI146)</f>
        <v/>
      </c>
      <c r="AM146" s="51" t="str">
        <f t="shared" ca="1" si="59"/>
        <v/>
      </c>
      <c r="AN146" s="88" t="str">
        <f ca="1">IF(AH146="","",DATE(INDEX(OFFSET(Arb!$C$2,,,Arb!$AJ$5,),AH146),INDEX(OFFSET(Arb!$B$2,,,Arb!$AJ$5,),AH146),INDEX(OFFSET(Arb!$A$2,,,Arb!$AJ$5,),AH146))+ROW()*0.001)</f>
        <v/>
      </c>
      <c r="AO146" s="436">
        <v>121</v>
      </c>
      <c r="AQ146" s="52" t="str">
        <f ca="1">IF(AP146="","",INDEX(OFFSET(Arb!$H$2,,,Arb!$AJ$5,),AP146))</f>
        <v/>
      </c>
      <c r="AR146" s="3" t="str">
        <f t="shared" ca="1" si="50"/>
        <v/>
      </c>
      <c r="AS146" s="165" t="str">
        <f ca="1">IF(AP146="","",INDEX(OFFSET(Arb!$X$2,,,Arb!$AJ$5,),AP146)/AQ146)</f>
        <v/>
      </c>
      <c r="AT146" s="165" t="str">
        <f ca="1">IF(AP146="","",(INDEX(OFFSET(Arb!$U$2,,,Arb!$AJ$5,),AP146)+INDEX(OFFSET(Arb!$V$2,,,Arb!$AJ$5,),AP146))/AQ146)</f>
        <v/>
      </c>
      <c r="AU146" s="51" t="str">
        <f t="shared" ca="1" si="60"/>
        <v/>
      </c>
      <c r="AV146" s="91" t="str">
        <f ca="1">IF(AP146="","",DATE(INDEX(OFFSET(Arb!$C$2,,,Arb!$AJ$5,),AP146),INDEX(OFFSET(Arb!$B$2,,,Arb!$AJ$5,),AP146),INDEX(OFFSET(Arb!$A$2,,,Arb!$AJ$5,),AP146))+ROW()*0.001)</f>
        <v/>
      </c>
      <c r="AW146" s="442">
        <v>121</v>
      </c>
      <c r="AY146" s="52" t="str">
        <f ca="1">IF(AX146="","",INDEX(OFFSET(Arb!$H$2,,,Arb!$AJ$5,),AX146))</f>
        <v/>
      </c>
      <c r="AZ146" s="3" t="str">
        <f t="shared" ca="1" si="51"/>
        <v/>
      </c>
      <c r="BA146" s="165" t="str">
        <f ca="1">IF(AX146="","",INDEX(OFFSET(Arb!$X$2,,,Arb!$AJ$5,),AX146)/AY146)</f>
        <v/>
      </c>
      <c r="BB146" s="165" t="str">
        <f ca="1">IF(AX146="","",(INDEX(OFFSET(Arb!$U$2,,,Arb!$AJ$5,),AX146)+INDEX(OFFSET(Arb!$V$2,,,Arb!$AJ$5,),AX146))/AY146)</f>
        <v/>
      </c>
      <c r="BC146" s="51" t="str">
        <f t="shared" ca="1" si="61"/>
        <v/>
      </c>
      <c r="BD146" s="88" t="str">
        <f ca="1">IF(AX146="","",DATE(INDEX(OFFSET(Arb!$C$2,,,Arb!$AJ$5,),AX146),INDEX(OFFSET(Arb!$B$2,,,Arb!$AJ$5,),AX146),INDEX(OFFSET(Arb!$A$2,,,Arb!$AJ$5,),AX146))+ROW()*0.001)</f>
        <v/>
      </c>
      <c r="BE146" s="436">
        <v>121</v>
      </c>
      <c r="BG146" s="52" t="str">
        <f ca="1">IF(BF146="","",INDEX(OFFSET(Arb!$H$2,,,Arb!$AJ$5,),BF146))</f>
        <v/>
      </c>
      <c r="BH146" s="3" t="str">
        <f t="shared" ca="1" si="52"/>
        <v/>
      </c>
      <c r="BI146" s="165" t="str">
        <f ca="1">IF(BF146="","",INDEX(OFFSET(Arb!$X$2,,,Arb!$AJ$5,),BF146)/BG146)</f>
        <v/>
      </c>
      <c r="BJ146" s="165" t="str">
        <f ca="1">IF(BF146="","",(INDEX(OFFSET(Arb!$U$2,,,Arb!$AJ$5,),BF146)+INDEX(OFFSET(Arb!$V$2,,,Arb!$AJ$5,),BF146))/BG146)</f>
        <v/>
      </c>
      <c r="BK146" s="51" t="str">
        <f t="shared" ca="1" si="62"/>
        <v/>
      </c>
      <c r="BL146" s="91" t="str">
        <f ca="1">IF(BF146="","",DATE(INDEX(OFFSET(Arb!$C$2,,,Arb!$AJ$5,),BF146),INDEX(OFFSET(Arb!$B$2,,,Arb!$AJ$5,),BF146),INDEX(OFFSET(Arb!$A$2,,,Arb!$AJ$5,),BF146))+ROW()*0.001)</f>
        <v/>
      </c>
      <c r="BM146" s="442">
        <v>121</v>
      </c>
      <c r="BO146" s="52" t="str">
        <f ca="1">IF(BN146="","",INDEX(OFFSET(Arb!$H$2,,,Arb!$AJ$5,),BN146))</f>
        <v/>
      </c>
      <c r="BP146" s="3" t="str">
        <f t="shared" ca="1" si="53"/>
        <v/>
      </c>
      <c r="BQ146" s="165" t="str">
        <f ca="1">IF(BN146="","",INDEX(OFFSET(Arb!$X$2,,,Arb!$AJ$5,),BN146)/BO146)</f>
        <v/>
      </c>
      <c r="BR146" s="165" t="str">
        <f ca="1">IF(BN146="","",(INDEX(OFFSET(Arb!$U$2,,,Arb!$AJ$5,),BN146)+INDEX(OFFSET(Arb!$V$2,,,Arb!$AJ$5,),BN146))/BO146)</f>
        <v/>
      </c>
      <c r="BS146" s="51" t="str">
        <f t="shared" ca="1" si="63"/>
        <v/>
      </c>
      <c r="BT146" s="88" t="str">
        <f ca="1">IF(BN146="","",DATE(INDEX(OFFSET(Arb!$C$2,,,Arb!$AJ$5,),BN146),INDEX(OFFSET(Arb!$B$2,,,Arb!$AJ$5,),BN146),INDEX(OFFSET(Arb!$A$2,,,Arb!$AJ$5,),BN146))+ROW()*0.001)</f>
        <v/>
      </c>
      <c r="BU146" s="436">
        <v>121</v>
      </c>
      <c r="BW146" s="52" t="str">
        <f ca="1">IF(BV146="","",INDEX(OFFSET(Arb!$H$2,,,Arb!$AJ$5,),BV146))</f>
        <v/>
      </c>
      <c r="BX146" s="3" t="str">
        <f t="shared" ca="1" si="54"/>
        <v/>
      </c>
      <c r="BY146" s="165" t="str">
        <f ca="1">IF(BV146="","",INDEX(OFFSET(Arb!$X$2,,,Arb!$AJ$5,),BV146)/BW146)</f>
        <v/>
      </c>
      <c r="BZ146" s="165" t="str">
        <f ca="1">IF(BV146="","",(INDEX(OFFSET(Arb!$U$2,,,Arb!$AJ$5,),BV146)+INDEX(OFFSET(Arb!$V$2,,,Arb!$AJ$5,),BV146))/BW146)</f>
        <v/>
      </c>
      <c r="CA146" s="51" t="str">
        <f t="shared" ca="1" si="64"/>
        <v/>
      </c>
      <c r="CB146" s="91" t="str">
        <f ca="1">IF(BV146="","",DATE(INDEX(OFFSET(Arb!$C$2,,,Arb!$AJ$5,),BV146),INDEX(OFFSET(Arb!$B$2,,,Arb!$AJ$5,),BV146),INDEX(OFFSET(Arb!$A$2,,,Arb!$AJ$5,),BV146))+ROW()*0.001)</f>
        <v/>
      </c>
    </row>
    <row r="147" spans="1:80" x14ac:dyDescent="0.25">
      <c r="A147" s="436">
        <v>122</v>
      </c>
      <c r="C147" s="52" t="str">
        <f ca="1">IF(B147="","",INDEX(OFFSET(Arb!$H$2,,,Arb!$AJ$5,),B147))</f>
        <v/>
      </c>
      <c r="D147" s="3" t="str">
        <f t="shared" ca="1" si="45"/>
        <v/>
      </c>
      <c r="E147" s="165" t="str">
        <f ca="1">IF(B147="","",INDEX(OFFSET(Arb!$X$2,,,Arb!$AJ$5,),B147)/C147)</f>
        <v/>
      </c>
      <c r="F147" s="165" t="str">
        <f ca="1">IF(B147="","",(INDEX(OFFSET(Arb!$U$2,,,Arb!$AJ$5,),B147)+INDEX(OFFSET(Arb!$V$2,,,Arb!$AJ$5,),B147))/C147)</f>
        <v/>
      </c>
      <c r="G147" s="51" t="str">
        <f t="shared" ca="1" si="55"/>
        <v/>
      </c>
      <c r="H147" s="355" t="str">
        <f ca="1">IF(B147="","",DATE(INDEX(OFFSET(Arb!$C$2,,,Arb!$AJ$5,),B147),INDEX(OFFSET(Arb!$B$2,,,Arb!$AJ$5,),B147),INDEX(OFFSET(Arb!$A$2,,,Arb!$AJ$5,),B147))+ROW()*0.001)</f>
        <v/>
      </c>
      <c r="I147" s="436">
        <v>122</v>
      </c>
      <c r="K147" s="52" t="str">
        <f ca="1">IF(J147="","",INDEX(OFFSET(Arb!$H$2,,,Arb!$AJ$5,),J147))</f>
        <v/>
      </c>
      <c r="L147" s="3" t="str">
        <f t="shared" ca="1" si="46"/>
        <v/>
      </c>
      <c r="M147" s="165" t="str">
        <f ca="1">IF(J147="","",INDEX(OFFSET(Arb!$X$2,,,Arb!$AJ$5,),J147)/K147)</f>
        <v/>
      </c>
      <c r="N147" s="165" t="str">
        <f ca="1">IF(J147="","",(INDEX(OFFSET(Arb!$U$2,,,Arb!$AJ$5,),J147)+INDEX(OFFSET(Arb!$V$2,,,Arb!$AJ$5,),J147))/K147)</f>
        <v/>
      </c>
      <c r="O147" s="51" t="str">
        <f t="shared" ca="1" si="56"/>
        <v/>
      </c>
      <c r="P147" s="91" t="str">
        <f ca="1">IF(J147="","",DATE(INDEX(OFFSET(Arb!$C$2,,,Arb!$AJ$5,),J147),INDEX(OFFSET(Arb!$B$2,,,Arb!$AJ$5,),J147),INDEX(OFFSET(Arb!$A$2,,,Arb!$AJ$5,),J147))+ROW()*0.001)</f>
        <v/>
      </c>
      <c r="Q147" s="442">
        <v>122</v>
      </c>
      <c r="S147" s="52" t="str">
        <f ca="1">IF(R147="","",INDEX(OFFSET(Arb!$H$2,,,Arb!$AJ$5,),R147))</f>
        <v/>
      </c>
      <c r="T147" s="3" t="str">
        <f t="shared" ca="1" si="47"/>
        <v/>
      </c>
      <c r="U147" s="165" t="str">
        <f ca="1">IF(R147="","",INDEX(OFFSET(Arb!$X$2,,,Arb!$AJ$5,),R147)/S147)</f>
        <v/>
      </c>
      <c r="V147" s="165" t="str">
        <f ca="1">IF(R147="","",(INDEX(OFFSET(Arb!$U$2,,,Arb!$AJ$5,),R147)+INDEX(OFFSET(Arb!$V$2,,,Arb!$AJ$5,),R147))/S147)</f>
        <v/>
      </c>
      <c r="W147" s="51" t="str">
        <f t="shared" ca="1" si="57"/>
        <v/>
      </c>
      <c r="X147" s="88" t="str">
        <f ca="1">IF(R147="","",DATE(INDEX(OFFSET(Arb!$C$2,,,Arb!$AJ$5,),R147),INDEX(OFFSET(Arb!$B$2,,,Arb!$AJ$5,),R147),INDEX(OFFSET(Arb!$A$2,,,Arb!$AJ$5,),R147))+ROW()*0.001)</f>
        <v/>
      </c>
      <c r="Y147" s="436">
        <v>122</v>
      </c>
      <c r="AA147" s="52" t="str">
        <f ca="1">IF(Z147="","",INDEX(OFFSET(Arb!$H$2,,,Arb!$AJ$5,),Z147))</f>
        <v/>
      </c>
      <c r="AB147" s="3" t="str">
        <f t="shared" ca="1" si="48"/>
        <v/>
      </c>
      <c r="AC147" s="165" t="str">
        <f ca="1">IF(Z147="","",INDEX(OFFSET(Arb!$X$2,,,Arb!$AJ$5,),Z147)/AA147)</f>
        <v/>
      </c>
      <c r="AD147" s="165" t="str">
        <f ca="1">IF(Z147="","",(INDEX(OFFSET(Arb!$U$2,,,Arb!$AJ$5,),Z147)+INDEX(OFFSET(Arb!$V$2,,,Arb!$AJ$5,),Z147))/AA147)</f>
        <v/>
      </c>
      <c r="AE147" s="51" t="str">
        <f t="shared" ca="1" si="58"/>
        <v/>
      </c>
      <c r="AF147" s="91" t="str">
        <f ca="1">IF(Z147="","",DATE(INDEX(OFFSET(Arb!$C$2,,,Arb!$AJ$5,),Z147),INDEX(OFFSET(Arb!$B$2,,,Arb!$AJ$5,),Z147),INDEX(OFFSET(Arb!$A$2,,,Arb!$AJ$5,),Z147))+ROW()*0.001)</f>
        <v/>
      </c>
      <c r="AG147" s="442">
        <v>122</v>
      </c>
      <c r="AI147" s="52" t="str">
        <f ca="1">IF(AH147="","",INDEX(OFFSET(Arb!$H$2,,,Arb!$AJ$5,),AH147))</f>
        <v/>
      </c>
      <c r="AJ147" s="3" t="str">
        <f t="shared" ca="1" si="49"/>
        <v/>
      </c>
      <c r="AK147" s="165" t="str">
        <f ca="1">IF(AH147="","",INDEX(OFFSET(Arb!$X$2,,,Arb!$AJ$5,),AH147)/AI147)</f>
        <v/>
      </c>
      <c r="AL147" s="165" t="str">
        <f ca="1">IF(AH147="","",(INDEX(OFFSET(Arb!$U$2,,,Arb!$AJ$5,),AH147)+INDEX(OFFSET(Arb!$V$2,,,Arb!$AJ$5,),AH147))/AI147)</f>
        <v/>
      </c>
      <c r="AM147" s="51" t="str">
        <f t="shared" ca="1" si="59"/>
        <v/>
      </c>
      <c r="AN147" s="88" t="str">
        <f ca="1">IF(AH147="","",DATE(INDEX(OFFSET(Arb!$C$2,,,Arb!$AJ$5,),AH147),INDEX(OFFSET(Arb!$B$2,,,Arb!$AJ$5,),AH147),INDEX(OFFSET(Arb!$A$2,,,Arb!$AJ$5,),AH147))+ROW()*0.001)</f>
        <v/>
      </c>
      <c r="AO147" s="436">
        <v>122</v>
      </c>
      <c r="AQ147" s="52" t="str">
        <f ca="1">IF(AP147="","",INDEX(OFFSET(Arb!$H$2,,,Arb!$AJ$5,),AP147))</f>
        <v/>
      </c>
      <c r="AR147" s="3" t="str">
        <f t="shared" ca="1" si="50"/>
        <v/>
      </c>
      <c r="AS147" s="165" t="str">
        <f ca="1">IF(AP147="","",INDEX(OFFSET(Arb!$X$2,,,Arb!$AJ$5,),AP147)/AQ147)</f>
        <v/>
      </c>
      <c r="AT147" s="165" t="str">
        <f ca="1">IF(AP147="","",(INDEX(OFFSET(Arb!$U$2,,,Arb!$AJ$5,),AP147)+INDEX(OFFSET(Arb!$V$2,,,Arb!$AJ$5,),AP147))/AQ147)</f>
        <v/>
      </c>
      <c r="AU147" s="51" t="str">
        <f t="shared" ca="1" si="60"/>
        <v/>
      </c>
      <c r="AV147" s="91" t="str">
        <f ca="1">IF(AP147="","",DATE(INDEX(OFFSET(Arb!$C$2,,,Arb!$AJ$5,),AP147),INDEX(OFFSET(Arb!$B$2,,,Arb!$AJ$5,),AP147),INDEX(OFFSET(Arb!$A$2,,,Arb!$AJ$5,),AP147))+ROW()*0.001)</f>
        <v/>
      </c>
      <c r="AW147" s="442">
        <v>122</v>
      </c>
      <c r="AY147" s="52" t="str">
        <f ca="1">IF(AX147="","",INDEX(OFFSET(Arb!$H$2,,,Arb!$AJ$5,),AX147))</f>
        <v/>
      </c>
      <c r="AZ147" s="3" t="str">
        <f t="shared" ca="1" si="51"/>
        <v/>
      </c>
      <c r="BA147" s="165" t="str">
        <f ca="1">IF(AX147="","",INDEX(OFFSET(Arb!$X$2,,,Arb!$AJ$5,),AX147)/AY147)</f>
        <v/>
      </c>
      <c r="BB147" s="165" t="str">
        <f ca="1">IF(AX147="","",(INDEX(OFFSET(Arb!$U$2,,,Arb!$AJ$5,),AX147)+INDEX(OFFSET(Arb!$V$2,,,Arb!$AJ$5,),AX147))/AY147)</f>
        <v/>
      </c>
      <c r="BC147" s="51" t="str">
        <f t="shared" ca="1" si="61"/>
        <v/>
      </c>
      <c r="BD147" s="88" t="str">
        <f ca="1">IF(AX147="","",DATE(INDEX(OFFSET(Arb!$C$2,,,Arb!$AJ$5,),AX147),INDEX(OFFSET(Arb!$B$2,,,Arb!$AJ$5,),AX147),INDEX(OFFSET(Arb!$A$2,,,Arb!$AJ$5,),AX147))+ROW()*0.001)</f>
        <v/>
      </c>
      <c r="BE147" s="436">
        <v>122</v>
      </c>
      <c r="BG147" s="52" t="str">
        <f ca="1">IF(BF147="","",INDEX(OFFSET(Arb!$H$2,,,Arb!$AJ$5,),BF147))</f>
        <v/>
      </c>
      <c r="BH147" s="3" t="str">
        <f t="shared" ca="1" si="52"/>
        <v/>
      </c>
      <c r="BI147" s="165" t="str">
        <f ca="1">IF(BF147="","",INDEX(OFFSET(Arb!$X$2,,,Arb!$AJ$5,),BF147)/BG147)</f>
        <v/>
      </c>
      <c r="BJ147" s="165" t="str">
        <f ca="1">IF(BF147="","",(INDEX(OFFSET(Arb!$U$2,,,Arb!$AJ$5,),BF147)+INDEX(OFFSET(Arb!$V$2,,,Arb!$AJ$5,),BF147))/BG147)</f>
        <v/>
      </c>
      <c r="BK147" s="51" t="str">
        <f t="shared" ca="1" si="62"/>
        <v/>
      </c>
      <c r="BL147" s="91" t="str">
        <f ca="1">IF(BF147="","",DATE(INDEX(OFFSET(Arb!$C$2,,,Arb!$AJ$5,),BF147),INDEX(OFFSET(Arb!$B$2,,,Arb!$AJ$5,),BF147),INDEX(OFFSET(Arb!$A$2,,,Arb!$AJ$5,),BF147))+ROW()*0.001)</f>
        <v/>
      </c>
      <c r="BM147" s="442">
        <v>122</v>
      </c>
      <c r="BO147" s="52" t="str">
        <f ca="1">IF(BN147="","",INDEX(OFFSET(Arb!$H$2,,,Arb!$AJ$5,),BN147))</f>
        <v/>
      </c>
      <c r="BP147" s="3" t="str">
        <f t="shared" ca="1" si="53"/>
        <v/>
      </c>
      <c r="BQ147" s="165" t="str">
        <f ca="1">IF(BN147="","",INDEX(OFFSET(Arb!$X$2,,,Arb!$AJ$5,),BN147)/BO147)</f>
        <v/>
      </c>
      <c r="BR147" s="165" t="str">
        <f ca="1">IF(BN147="","",(INDEX(OFFSET(Arb!$U$2,,,Arb!$AJ$5,),BN147)+INDEX(OFFSET(Arb!$V$2,,,Arb!$AJ$5,),BN147))/BO147)</f>
        <v/>
      </c>
      <c r="BS147" s="51" t="str">
        <f t="shared" ca="1" si="63"/>
        <v/>
      </c>
      <c r="BT147" s="88" t="str">
        <f ca="1">IF(BN147="","",DATE(INDEX(OFFSET(Arb!$C$2,,,Arb!$AJ$5,),BN147),INDEX(OFFSET(Arb!$B$2,,,Arb!$AJ$5,),BN147),INDEX(OFFSET(Arb!$A$2,,,Arb!$AJ$5,),BN147))+ROW()*0.001)</f>
        <v/>
      </c>
      <c r="BU147" s="436">
        <v>122</v>
      </c>
      <c r="BW147" s="52" t="str">
        <f ca="1">IF(BV147="","",INDEX(OFFSET(Arb!$H$2,,,Arb!$AJ$5,),BV147))</f>
        <v/>
      </c>
      <c r="BX147" s="3" t="str">
        <f t="shared" ca="1" si="54"/>
        <v/>
      </c>
      <c r="BY147" s="165" t="str">
        <f ca="1">IF(BV147="","",INDEX(OFFSET(Arb!$X$2,,,Arb!$AJ$5,),BV147)/BW147)</f>
        <v/>
      </c>
      <c r="BZ147" s="165" t="str">
        <f ca="1">IF(BV147="","",(INDEX(OFFSET(Arb!$U$2,,,Arb!$AJ$5,),BV147)+INDEX(OFFSET(Arb!$V$2,,,Arb!$AJ$5,),BV147))/BW147)</f>
        <v/>
      </c>
      <c r="CA147" s="51" t="str">
        <f t="shared" ca="1" si="64"/>
        <v/>
      </c>
      <c r="CB147" s="91" t="str">
        <f ca="1">IF(BV147="","",DATE(INDEX(OFFSET(Arb!$C$2,,,Arb!$AJ$5,),BV147),INDEX(OFFSET(Arb!$B$2,,,Arb!$AJ$5,),BV147),INDEX(OFFSET(Arb!$A$2,,,Arb!$AJ$5,),BV147))+ROW()*0.001)</f>
        <v/>
      </c>
    </row>
    <row r="148" spans="1:80" x14ac:dyDescent="0.25">
      <c r="A148" s="436">
        <v>123</v>
      </c>
      <c r="C148" s="52" t="str">
        <f ca="1">IF(B148="","",INDEX(OFFSET(Arb!$H$2,,,Arb!$AJ$5,),B148))</f>
        <v/>
      </c>
      <c r="D148" s="3" t="str">
        <f t="shared" ca="1" si="45"/>
        <v/>
      </c>
      <c r="E148" s="165" t="str">
        <f ca="1">IF(B148="","",INDEX(OFFSET(Arb!$X$2,,,Arb!$AJ$5,),B148)/C148)</f>
        <v/>
      </c>
      <c r="F148" s="165" t="str">
        <f ca="1">IF(B148="","",(INDEX(OFFSET(Arb!$U$2,,,Arb!$AJ$5,),B148)+INDEX(OFFSET(Arb!$V$2,,,Arb!$AJ$5,),B148))/C148)</f>
        <v/>
      </c>
      <c r="G148" s="51" t="str">
        <f t="shared" ca="1" si="55"/>
        <v/>
      </c>
      <c r="H148" s="355" t="str">
        <f ca="1">IF(B148="","",DATE(INDEX(OFFSET(Arb!$C$2,,,Arb!$AJ$5,),B148),INDEX(OFFSET(Arb!$B$2,,,Arb!$AJ$5,),B148),INDEX(OFFSET(Arb!$A$2,,,Arb!$AJ$5,),B148))+ROW()*0.001)</f>
        <v/>
      </c>
      <c r="I148" s="436">
        <v>123</v>
      </c>
      <c r="K148" s="52" t="str">
        <f ca="1">IF(J148="","",INDEX(OFFSET(Arb!$H$2,,,Arb!$AJ$5,),J148))</f>
        <v/>
      </c>
      <c r="L148" s="3" t="str">
        <f t="shared" ca="1" si="46"/>
        <v/>
      </c>
      <c r="M148" s="165" t="str">
        <f ca="1">IF(J148="","",INDEX(OFFSET(Arb!$X$2,,,Arb!$AJ$5,),J148)/K148)</f>
        <v/>
      </c>
      <c r="N148" s="165" t="str">
        <f ca="1">IF(J148="","",(INDEX(OFFSET(Arb!$U$2,,,Arb!$AJ$5,),J148)+INDEX(OFFSET(Arb!$V$2,,,Arb!$AJ$5,),J148))/K148)</f>
        <v/>
      </c>
      <c r="O148" s="51" t="str">
        <f t="shared" ca="1" si="56"/>
        <v/>
      </c>
      <c r="P148" s="91" t="str">
        <f ca="1">IF(J148="","",DATE(INDEX(OFFSET(Arb!$C$2,,,Arb!$AJ$5,),J148),INDEX(OFFSET(Arb!$B$2,,,Arb!$AJ$5,),J148),INDEX(OFFSET(Arb!$A$2,,,Arb!$AJ$5,),J148))+ROW()*0.001)</f>
        <v/>
      </c>
      <c r="Q148" s="442">
        <v>123</v>
      </c>
      <c r="S148" s="52" t="str">
        <f ca="1">IF(R148="","",INDEX(OFFSET(Arb!$H$2,,,Arb!$AJ$5,),R148))</f>
        <v/>
      </c>
      <c r="T148" s="3" t="str">
        <f t="shared" ca="1" si="47"/>
        <v/>
      </c>
      <c r="U148" s="165" t="str">
        <f ca="1">IF(R148="","",INDEX(OFFSET(Arb!$X$2,,,Arb!$AJ$5,),R148)/S148)</f>
        <v/>
      </c>
      <c r="V148" s="165" t="str">
        <f ca="1">IF(R148="","",(INDEX(OFFSET(Arb!$U$2,,,Arb!$AJ$5,),R148)+INDEX(OFFSET(Arb!$V$2,,,Arb!$AJ$5,),R148))/S148)</f>
        <v/>
      </c>
      <c r="W148" s="51" t="str">
        <f t="shared" ca="1" si="57"/>
        <v/>
      </c>
      <c r="X148" s="88" t="str">
        <f ca="1">IF(R148="","",DATE(INDEX(OFFSET(Arb!$C$2,,,Arb!$AJ$5,),R148),INDEX(OFFSET(Arb!$B$2,,,Arb!$AJ$5,),R148),INDEX(OFFSET(Arb!$A$2,,,Arb!$AJ$5,),R148))+ROW()*0.001)</f>
        <v/>
      </c>
      <c r="Y148" s="436">
        <v>123</v>
      </c>
      <c r="AA148" s="52" t="str">
        <f ca="1">IF(Z148="","",INDEX(OFFSET(Arb!$H$2,,,Arb!$AJ$5,),Z148))</f>
        <v/>
      </c>
      <c r="AB148" s="3" t="str">
        <f t="shared" ca="1" si="48"/>
        <v/>
      </c>
      <c r="AC148" s="165" t="str">
        <f ca="1">IF(Z148="","",INDEX(OFFSET(Arb!$X$2,,,Arb!$AJ$5,),Z148)/AA148)</f>
        <v/>
      </c>
      <c r="AD148" s="165" t="str">
        <f ca="1">IF(Z148="","",(INDEX(OFFSET(Arb!$U$2,,,Arb!$AJ$5,),Z148)+INDEX(OFFSET(Arb!$V$2,,,Arb!$AJ$5,),Z148))/AA148)</f>
        <v/>
      </c>
      <c r="AE148" s="51" t="str">
        <f t="shared" ca="1" si="58"/>
        <v/>
      </c>
      <c r="AF148" s="91" t="str">
        <f ca="1">IF(Z148="","",DATE(INDEX(OFFSET(Arb!$C$2,,,Arb!$AJ$5,),Z148),INDEX(OFFSET(Arb!$B$2,,,Arb!$AJ$5,),Z148),INDEX(OFFSET(Arb!$A$2,,,Arb!$AJ$5,),Z148))+ROW()*0.001)</f>
        <v/>
      </c>
      <c r="AG148" s="442">
        <v>123</v>
      </c>
      <c r="AI148" s="52" t="str">
        <f ca="1">IF(AH148="","",INDEX(OFFSET(Arb!$H$2,,,Arb!$AJ$5,),AH148))</f>
        <v/>
      </c>
      <c r="AJ148" s="3" t="str">
        <f t="shared" ca="1" si="49"/>
        <v/>
      </c>
      <c r="AK148" s="165" t="str">
        <f ca="1">IF(AH148="","",INDEX(OFFSET(Arb!$X$2,,,Arb!$AJ$5,),AH148)/AI148)</f>
        <v/>
      </c>
      <c r="AL148" s="165" t="str">
        <f ca="1">IF(AH148="","",(INDEX(OFFSET(Arb!$U$2,,,Arb!$AJ$5,),AH148)+INDEX(OFFSET(Arb!$V$2,,,Arb!$AJ$5,),AH148))/AI148)</f>
        <v/>
      </c>
      <c r="AM148" s="51" t="str">
        <f t="shared" ca="1" si="59"/>
        <v/>
      </c>
      <c r="AN148" s="88" t="str">
        <f ca="1">IF(AH148="","",DATE(INDEX(OFFSET(Arb!$C$2,,,Arb!$AJ$5,),AH148),INDEX(OFFSET(Arb!$B$2,,,Arb!$AJ$5,),AH148),INDEX(OFFSET(Arb!$A$2,,,Arb!$AJ$5,),AH148))+ROW()*0.001)</f>
        <v/>
      </c>
      <c r="AO148" s="436">
        <v>123</v>
      </c>
      <c r="AQ148" s="52" t="str">
        <f ca="1">IF(AP148="","",INDEX(OFFSET(Arb!$H$2,,,Arb!$AJ$5,),AP148))</f>
        <v/>
      </c>
      <c r="AR148" s="3" t="str">
        <f t="shared" ca="1" si="50"/>
        <v/>
      </c>
      <c r="AS148" s="165" t="str">
        <f ca="1">IF(AP148="","",INDEX(OFFSET(Arb!$X$2,,,Arb!$AJ$5,),AP148)/AQ148)</f>
        <v/>
      </c>
      <c r="AT148" s="165" t="str">
        <f ca="1">IF(AP148="","",(INDEX(OFFSET(Arb!$U$2,,,Arb!$AJ$5,),AP148)+INDEX(OFFSET(Arb!$V$2,,,Arb!$AJ$5,),AP148))/AQ148)</f>
        <v/>
      </c>
      <c r="AU148" s="51" t="str">
        <f t="shared" ca="1" si="60"/>
        <v/>
      </c>
      <c r="AV148" s="91" t="str">
        <f ca="1">IF(AP148="","",DATE(INDEX(OFFSET(Arb!$C$2,,,Arb!$AJ$5,),AP148),INDEX(OFFSET(Arb!$B$2,,,Arb!$AJ$5,),AP148),INDEX(OFFSET(Arb!$A$2,,,Arb!$AJ$5,),AP148))+ROW()*0.001)</f>
        <v/>
      </c>
      <c r="AW148" s="442">
        <v>123</v>
      </c>
      <c r="AY148" s="52" t="str">
        <f ca="1">IF(AX148="","",INDEX(OFFSET(Arb!$H$2,,,Arb!$AJ$5,),AX148))</f>
        <v/>
      </c>
      <c r="AZ148" s="3" t="str">
        <f t="shared" ca="1" si="51"/>
        <v/>
      </c>
      <c r="BA148" s="165" t="str">
        <f ca="1">IF(AX148="","",INDEX(OFFSET(Arb!$X$2,,,Arb!$AJ$5,),AX148)/AY148)</f>
        <v/>
      </c>
      <c r="BB148" s="165" t="str">
        <f ca="1">IF(AX148="","",(INDEX(OFFSET(Arb!$U$2,,,Arb!$AJ$5,),AX148)+INDEX(OFFSET(Arb!$V$2,,,Arb!$AJ$5,),AX148))/AY148)</f>
        <v/>
      </c>
      <c r="BC148" s="51" t="str">
        <f t="shared" ca="1" si="61"/>
        <v/>
      </c>
      <c r="BD148" s="88" t="str">
        <f ca="1">IF(AX148="","",DATE(INDEX(OFFSET(Arb!$C$2,,,Arb!$AJ$5,),AX148),INDEX(OFFSET(Arb!$B$2,,,Arb!$AJ$5,),AX148),INDEX(OFFSET(Arb!$A$2,,,Arb!$AJ$5,),AX148))+ROW()*0.001)</f>
        <v/>
      </c>
      <c r="BE148" s="436">
        <v>123</v>
      </c>
      <c r="BG148" s="52" t="str">
        <f ca="1">IF(BF148="","",INDEX(OFFSET(Arb!$H$2,,,Arb!$AJ$5,),BF148))</f>
        <v/>
      </c>
      <c r="BH148" s="3" t="str">
        <f t="shared" ca="1" si="52"/>
        <v/>
      </c>
      <c r="BI148" s="165" t="str">
        <f ca="1">IF(BF148="","",INDEX(OFFSET(Arb!$X$2,,,Arb!$AJ$5,),BF148)/BG148)</f>
        <v/>
      </c>
      <c r="BJ148" s="165" t="str">
        <f ca="1">IF(BF148="","",(INDEX(OFFSET(Arb!$U$2,,,Arb!$AJ$5,),BF148)+INDEX(OFFSET(Arb!$V$2,,,Arb!$AJ$5,),BF148))/BG148)</f>
        <v/>
      </c>
      <c r="BK148" s="51" t="str">
        <f t="shared" ca="1" si="62"/>
        <v/>
      </c>
      <c r="BL148" s="91" t="str">
        <f ca="1">IF(BF148="","",DATE(INDEX(OFFSET(Arb!$C$2,,,Arb!$AJ$5,),BF148),INDEX(OFFSET(Arb!$B$2,,,Arb!$AJ$5,),BF148),INDEX(OFFSET(Arb!$A$2,,,Arb!$AJ$5,),BF148))+ROW()*0.001)</f>
        <v/>
      </c>
      <c r="BM148" s="442">
        <v>123</v>
      </c>
      <c r="BO148" s="52" t="str">
        <f ca="1">IF(BN148="","",INDEX(OFFSET(Arb!$H$2,,,Arb!$AJ$5,),BN148))</f>
        <v/>
      </c>
      <c r="BP148" s="3" t="str">
        <f t="shared" ca="1" si="53"/>
        <v/>
      </c>
      <c r="BQ148" s="165" t="str">
        <f ca="1">IF(BN148="","",INDEX(OFFSET(Arb!$X$2,,,Arb!$AJ$5,),BN148)/BO148)</f>
        <v/>
      </c>
      <c r="BR148" s="165" t="str">
        <f ca="1">IF(BN148="","",(INDEX(OFFSET(Arb!$U$2,,,Arb!$AJ$5,),BN148)+INDEX(OFFSET(Arb!$V$2,,,Arb!$AJ$5,),BN148))/BO148)</f>
        <v/>
      </c>
      <c r="BS148" s="51" t="str">
        <f t="shared" ca="1" si="63"/>
        <v/>
      </c>
      <c r="BT148" s="88" t="str">
        <f ca="1">IF(BN148="","",DATE(INDEX(OFFSET(Arb!$C$2,,,Arb!$AJ$5,),BN148),INDEX(OFFSET(Arb!$B$2,,,Arb!$AJ$5,),BN148),INDEX(OFFSET(Arb!$A$2,,,Arb!$AJ$5,),BN148))+ROW()*0.001)</f>
        <v/>
      </c>
      <c r="BU148" s="436">
        <v>123</v>
      </c>
      <c r="BW148" s="52" t="str">
        <f ca="1">IF(BV148="","",INDEX(OFFSET(Arb!$H$2,,,Arb!$AJ$5,),BV148))</f>
        <v/>
      </c>
      <c r="BX148" s="3" t="str">
        <f t="shared" ca="1" si="54"/>
        <v/>
      </c>
      <c r="BY148" s="165" t="str">
        <f ca="1">IF(BV148="","",INDEX(OFFSET(Arb!$X$2,,,Arb!$AJ$5,),BV148)/BW148)</f>
        <v/>
      </c>
      <c r="BZ148" s="165" t="str">
        <f ca="1">IF(BV148="","",(INDEX(OFFSET(Arb!$U$2,,,Arb!$AJ$5,),BV148)+INDEX(OFFSET(Arb!$V$2,,,Arb!$AJ$5,),BV148))/BW148)</f>
        <v/>
      </c>
      <c r="CA148" s="51" t="str">
        <f t="shared" ca="1" si="64"/>
        <v/>
      </c>
      <c r="CB148" s="91" t="str">
        <f ca="1">IF(BV148="","",DATE(INDEX(OFFSET(Arb!$C$2,,,Arb!$AJ$5,),BV148),INDEX(OFFSET(Arb!$B$2,,,Arb!$AJ$5,),BV148),INDEX(OFFSET(Arb!$A$2,,,Arb!$AJ$5,),BV148))+ROW()*0.001)</f>
        <v/>
      </c>
    </row>
    <row r="149" spans="1:80" x14ac:dyDescent="0.25">
      <c r="A149" s="436">
        <v>124</v>
      </c>
      <c r="C149" s="52" t="str">
        <f ca="1">IF(B149="","",INDEX(OFFSET(Arb!$H$2,,,Arb!$AJ$5,),B149))</f>
        <v/>
      </c>
      <c r="D149" s="3" t="str">
        <f t="shared" ca="1" si="45"/>
        <v/>
      </c>
      <c r="E149" s="165" t="str">
        <f ca="1">IF(B149="","",INDEX(OFFSET(Arb!$X$2,,,Arb!$AJ$5,),B149)/C149)</f>
        <v/>
      </c>
      <c r="F149" s="165" t="str">
        <f ca="1">IF(B149="","",(INDEX(OFFSET(Arb!$U$2,,,Arb!$AJ$5,),B149)+INDEX(OFFSET(Arb!$V$2,,,Arb!$AJ$5,),B149))/C149)</f>
        <v/>
      </c>
      <c r="G149" s="51" t="str">
        <f t="shared" ca="1" si="55"/>
        <v/>
      </c>
      <c r="H149" s="355" t="str">
        <f ca="1">IF(B149="","",DATE(INDEX(OFFSET(Arb!$C$2,,,Arb!$AJ$5,),B149),INDEX(OFFSET(Arb!$B$2,,,Arb!$AJ$5,),B149),INDEX(OFFSET(Arb!$A$2,,,Arb!$AJ$5,),B149))+ROW()*0.001)</f>
        <v/>
      </c>
      <c r="I149" s="436">
        <v>124</v>
      </c>
      <c r="K149" s="52" t="str">
        <f ca="1">IF(J149="","",INDEX(OFFSET(Arb!$H$2,,,Arb!$AJ$5,),J149))</f>
        <v/>
      </c>
      <c r="L149" s="3" t="str">
        <f t="shared" ca="1" si="46"/>
        <v/>
      </c>
      <c r="M149" s="165" t="str">
        <f ca="1">IF(J149="","",INDEX(OFFSET(Arb!$X$2,,,Arb!$AJ$5,),J149)/K149)</f>
        <v/>
      </c>
      <c r="N149" s="165" t="str">
        <f ca="1">IF(J149="","",(INDEX(OFFSET(Arb!$U$2,,,Arb!$AJ$5,),J149)+INDEX(OFFSET(Arb!$V$2,,,Arb!$AJ$5,),J149))/K149)</f>
        <v/>
      </c>
      <c r="O149" s="51" t="str">
        <f t="shared" ca="1" si="56"/>
        <v/>
      </c>
      <c r="P149" s="91" t="str">
        <f ca="1">IF(J149="","",DATE(INDEX(OFFSET(Arb!$C$2,,,Arb!$AJ$5,),J149),INDEX(OFFSET(Arb!$B$2,,,Arb!$AJ$5,),J149),INDEX(OFFSET(Arb!$A$2,,,Arb!$AJ$5,),J149))+ROW()*0.001)</f>
        <v/>
      </c>
      <c r="Q149" s="442">
        <v>124</v>
      </c>
      <c r="S149" s="52" t="str">
        <f ca="1">IF(R149="","",INDEX(OFFSET(Arb!$H$2,,,Arb!$AJ$5,),R149))</f>
        <v/>
      </c>
      <c r="T149" s="3" t="str">
        <f t="shared" ca="1" si="47"/>
        <v/>
      </c>
      <c r="U149" s="165" t="str">
        <f ca="1">IF(R149="","",INDEX(OFFSET(Arb!$X$2,,,Arb!$AJ$5,),R149)/S149)</f>
        <v/>
      </c>
      <c r="V149" s="165" t="str">
        <f ca="1">IF(R149="","",(INDEX(OFFSET(Arb!$U$2,,,Arb!$AJ$5,),R149)+INDEX(OFFSET(Arb!$V$2,,,Arb!$AJ$5,),R149))/S149)</f>
        <v/>
      </c>
      <c r="W149" s="51" t="str">
        <f t="shared" ca="1" si="57"/>
        <v/>
      </c>
      <c r="X149" s="88" t="str">
        <f ca="1">IF(R149="","",DATE(INDEX(OFFSET(Arb!$C$2,,,Arb!$AJ$5,),R149),INDEX(OFFSET(Arb!$B$2,,,Arb!$AJ$5,),R149),INDEX(OFFSET(Arb!$A$2,,,Arb!$AJ$5,),R149))+ROW()*0.001)</f>
        <v/>
      </c>
      <c r="Y149" s="436">
        <v>124</v>
      </c>
      <c r="AA149" s="52" t="str">
        <f ca="1">IF(Z149="","",INDEX(OFFSET(Arb!$H$2,,,Arb!$AJ$5,),Z149))</f>
        <v/>
      </c>
      <c r="AB149" s="3" t="str">
        <f t="shared" ca="1" si="48"/>
        <v/>
      </c>
      <c r="AC149" s="165" t="str">
        <f ca="1">IF(Z149="","",INDEX(OFFSET(Arb!$X$2,,,Arb!$AJ$5,),Z149)/AA149)</f>
        <v/>
      </c>
      <c r="AD149" s="165" t="str">
        <f ca="1">IF(Z149="","",(INDEX(OFFSET(Arb!$U$2,,,Arb!$AJ$5,),Z149)+INDEX(OFFSET(Arb!$V$2,,,Arb!$AJ$5,),Z149))/AA149)</f>
        <v/>
      </c>
      <c r="AE149" s="51" t="str">
        <f t="shared" ca="1" si="58"/>
        <v/>
      </c>
      <c r="AF149" s="91" t="str">
        <f ca="1">IF(Z149="","",DATE(INDEX(OFFSET(Arb!$C$2,,,Arb!$AJ$5,),Z149),INDEX(OFFSET(Arb!$B$2,,,Arb!$AJ$5,),Z149),INDEX(OFFSET(Arb!$A$2,,,Arb!$AJ$5,),Z149))+ROW()*0.001)</f>
        <v/>
      </c>
      <c r="AG149" s="442">
        <v>124</v>
      </c>
      <c r="AI149" s="52" t="str">
        <f ca="1">IF(AH149="","",INDEX(OFFSET(Arb!$H$2,,,Arb!$AJ$5,),AH149))</f>
        <v/>
      </c>
      <c r="AJ149" s="3" t="str">
        <f t="shared" ca="1" si="49"/>
        <v/>
      </c>
      <c r="AK149" s="165" t="str">
        <f ca="1">IF(AH149="","",INDEX(OFFSET(Arb!$X$2,,,Arb!$AJ$5,),AH149)/AI149)</f>
        <v/>
      </c>
      <c r="AL149" s="165" t="str">
        <f ca="1">IF(AH149="","",(INDEX(OFFSET(Arb!$U$2,,,Arb!$AJ$5,),AH149)+INDEX(OFFSET(Arb!$V$2,,,Arb!$AJ$5,),AH149))/AI149)</f>
        <v/>
      </c>
      <c r="AM149" s="51" t="str">
        <f t="shared" ca="1" si="59"/>
        <v/>
      </c>
      <c r="AN149" s="88" t="str">
        <f ca="1">IF(AH149="","",DATE(INDEX(OFFSET(Arb!$C$2,,,Arb!$AJ$5,),AH149),INDEX(OFFSET(Arb!$B$2,,,Arb!$AJ$5,),AH149),INDEX(OFFSET(Arb!$A$2,,,Arb!$AJ$5,),AH149))+ROW()*0.001)</f>
        <v/>
      </c>
      <c r="AO149" s="436">
        <v>124</v>
      </c>
      <c r="AQ149" s="52" t="str">
        <f ca="1">IF(AP149="","",INDEX(OFFSET(Arb!$H$2,,,Arb!$AJ$5,),AP149))</f>
        <v/>
      </c>
      <c r="AR149" s="3" t="str">
        <f t="shared" ca="1" si="50"/>
        <v/>
      </c>
      <c r="AS149" s="165" t="str">
        <f ca="1">IF(AP149="","",INDEX(OFFSET(Arb!$X$2,,,Arb!$AJ$5,),AP149)/AQ149)</f>
        <v/>
      </c>
      <c r="AT149" s="165" t="str">
        <f ca="1">IF(AP149="","",(INDEX(OFFSET(Arb!$U$2,,,Arb!$AJ$5,),AP149)+INDEX(OFFSET(Arb!$V$2,,,Arb!$AJ$5,),AP149))/AQ149)</f>
        <v/>
      </c>
      <c r="AU149" s="51" t="str">
        <f t="shared" ca="1" si="60"/>
        <v/>
      </c>
      <c r="AV149" s="91" t="str">
        <f ca="1">IF(AP149="","",DATE(INDEX(OFFSET(Arb!$C$2,,,Arb!$AJ$5,),AP149),INDEX(OFFSET(Arb!$B$2,,,Arb!$AJ$5,),AP149),INDEX(OFFSET(Arb!$A$2,,,Arb!$AJ$5,),AP149))+ROW()*0.001)</f>
        <v/>
      </c>
      <c r="AW149" s="442">
        <v>124</v>
      </c>
      <c r="AY149" s="52" t="str">
        <f ca="1">IF(AX149="","",INDEX(OFFSET(Arb!$H$2,,,Arb!$AJ$5,),AX149))</f>
        <v/>
      </c>
      <c r="AZ149" s="3" t="str">
        <f t="shared" ca="1" si="51"/>
        <v/>
      </c>
      <c r="BA149" s="165" t="str">
        <f ca="1">IF(AX149="","",INDEX(OFFSET(Arb!$X$2,,,Arb!$AJ$5,),AX149)/AY149)</f>
        <v/>
      </c>
      <c r="BB149" s="165" t="str">
        <f ca="1">IF(AX149="","",(INDEX(OFFSET(Arb!$U$2,,,Arb!$AJ$5,),AX149)+INDEX(OFFSET(Arb!$V$2,,,Arb!$AJ$5,),AX149))/AY149)</f>
        <v/>
      </c>
      <c r="BC149" s="51" t="str">
        <f t="shared" ca="1" si="61"/>
        <v/>
      </c>
      <c r="BD149" s="88" t="str">
        <f ca="1">IF(AX149="","",DATE(INDEX(OFFSET(Arb!$C$2,,,Arb!$AJ$5,),AX149),INDEX(OFFSET(Arb!$B$2,,,Arb!$AJ$5,),AX149),INDEX(OFFSET(Arb!$A$2,,,Arb!$AJ$5,),AX149))+ROW()*0.001)</f>
        <v/>
      </c>
      <c r="BE149" s="436">
        <v>124</v>
      </c>
      <c r="BG149" s="52" t="str">
        <f ca="1">IF(BF149="","",INDEX(OFFSET(Arb!$H$2,,,Arb!$AJ$5,),BF149))</f>
        <v/>
      </c>
      <c r="BH149" s="3" t="str">
        <f t="shared" ca="1" si="52"/>
        <v/>
      </c>
      <c r="BI149" s="165" t="str">
        <f ca="1">IF(BF149="","",INDEX(OFFSET(Arb!$X$2,,,Arb!$AJ$5,),BF149)/BG149)</f>
        <v/>
      </c>
      <c r="BJ149" s="165" t="str">
        <f ca="1">IF(BF149="","",(INDEX(OFFSET(Arb!$U$2,,,Arb!$AJ$5,),BF149)+INDEX(OFFSET(Arb!$V$2,,,Arb!$AJ$5,),BF149))/BG149)</f>
        <v/>
      </c>
      <c r="BK149" s="51" t="str">
        <f t="shared" ca="1" si="62"/>
        <v/>
      </c>
      <c r="BL149" s="91" t="str">
        <f ca="1">IF(BF149="","",DATE(INDEX(OFFSET(Arb!$C$2,,,Arb!$AJ$5,),BF149),INDEX(OFFSET(Arb!$B$2,,,Arb!$AJ$5,),BF149),INDEX(OFFSET(Arb!$A$2,,,Arb!$AJ$5,),BF149))+ROW()*0.001)</f>
        <v/>
      </c>
      <c r="BM149" s="442">
        <v>124</v>
      </c>
      <c r="BO149" s="52" t="str">
        <f ca="1">IF(BN149="","",INDEX(OFFSET(Arb!$H$2,,,Arb!$AJ$5,),BN149))</f>
        <v/>
      </c>
      <c r="BP149" s="3" t="str">
        <f t="shared" ca="1" si="53"/>
        <v/>
      </c>
      <c r="BQ149" s="165" t="str">
        <f ca="1">IF(BN149="","",INDEX(OFFSET(Arb!$X$2,,,Arb!$AJ$5,),BN149)/BO149)</f>
        <v/>
      </c>
      <c r="BR149" s="165" t="str">
        <f ca="1">IF(BN149="","",(INDEX(OFFSET(Arb!$U$2,,,Arb!$AJ$5,),BN149)+INDEX(OFFSET(Arb!$V$2,,,Arb!$AJ$5,),BN149))/BO149)</f>
        <v/>
      </c>
      <c r="BS149" s="51" t="str">
        <f t="shared" ca="1" si="63"/>
        <v/>
      </c>
      <c r="BT149" s="88" t="str">
        <f ca="1">IF(BN149="","",DATE(INDEX(OFFSET(Arb!$C$2,,,Arb!$AJ$5,),BN149),INDEX(OFFSET(Arb!$B$2,,,Arb!$AJ$5,),BN149),INDEX(OFFSET(Arb!$A$2,,,Arb!$AJ$5,),BN149))+ROW()*0.001)</f>
        <v/>
      </c>
      <c r="BU149" s="436">
        <v>124</v>
      </c>
      <c r="BW149" s="52" t="str">
        <f ca="1">IF(BV149="","",INDEX(OFFSET(Arb!$H$2,,,Arb!$AJ$5,),BV149))</f>
        <v/>
      </c>
      <c r="BX149" s="3" t="str">
        <f t="shared" ca="1" si="54"/>
        <v/>
      </c>
      <c r="BY149" s="165" t="str">
        <f ca="1">IF(BV149="","",INDEX(OFFSET(Arb!$X$2,,,Arb!$AJ$5,),BV149)/BW149)</f>
        <v/>
      </c>
      <c r="BZ149" s="165" t="str">
        <f ca="1">IF(BV149="","",(INDEX(OFFSET(Arb!$U$2,,,Arb!$AJ$5,),BV149)+INDEX(OFFSET(Arb!$V$2,,,Arb!$AJ$5,),BV149))/BW149)</f>
        <v/>
      </c>
      <c r="CA149" s="51" t="str">
        <f t="shared" ca="1" si="64"/>
        <v/>
      </c>
      <c r="CB149" s="91" t="str">
        <f ca="1">IF(BV149="","",DATE(INDEX(OFFSET(Arb!$C$2,,,Arb!$AJ$5,),BV149),INDEX(OFFSET(Arb!$B$2,,,Arb!$AJ$5,),BV149),INDEX(OFFSET(Arb!$A$2,,,Arb!$AJ$5,),BV149))+ROW()*0.001)</f>
        <v/>
      </c>
    </row>
    <row r="150" spans="1:80" x14ac:dyDescent="0.25">
      <c r="A150" s="436">
        <v>125</v>
      </c>
      <c r="C150" s="52" t="str">
        <f ca="1">IF(B150="","",INDEX(OFFSET(Arb!$H$2,,,Arb!$AJ$5,),B150))</f>
        <v/>
      </c>
      <c r="D150" s="3" t="str">
        <f t="shared" ca="1" si="45"/>
        <v/>
      </c>
      <c r="E150" s="165" t="str">
        <f ca="1">IF(B150="","",INDEX(OFFSET(Arb!$X$2,,,Arb!$AJ$5,),B150)/C150)</f>
        <v/>
      </c>
      <c r="F150" s="165" t="str">
        <f ca="1">IF(B150="","",(INDEX(OFFSET(Arb!$U$2,,,Arb!$AJ$5,),B150)+INDEX(OFFSET(Arb!$V$2,,,Arb!$AJ$5,),B150))/C150)</f>
        <v/>
      </c>
      <c r="G150" s="51" t="str">
        <f t="shared" ca="1" si="55"/>
        <v/>
      </c>
      <c r="H150" s="355" t="str">
        <f ca="1">IF(B150="","",DATE(INDEX(OFFSET(Arb!$C$2,,,Arb!$AJ$5,),B150),INDEX(OFFSET(Arb!$B$2,,,Arb!$AJ$5,),B150),INDEX(OFFSET(Arb!$A$2,,,Arb!$AJ$5,),B150))+ROW()*0.001)</f>
        <v/>
      </c>
      <c r="I150" s="436">
        <v>125</v>
      </c>
      <c r="K150" s="52" t="str">
        <f ca="1">IF(J150="","",INDEX(OFFSET(Arb!$H$2,,,Arb!$AJ$5,),J150))</f>
        <v/>
      </c>
      <c r="L150" s="3" t="str">
        <f t="shared" ca="1" si="46"/>
        <v/>
      </c>
      <c r="M150" s="165" t="str">
        <f ca="1">IF(J150="","",INDEX(OFFSET(Arb!$X$2,,,Arb!$AJ$5,),J150)/K150)</f>
        <v/>
      </c>
      <c r="N150" s="165" t="str">
        <f ca="1">IF(J150="","",(INDEX(OFFSET(Arb!$U$2,,,Arb!$AJ$5,),J150)+INDEX(OFFSET(Arb!$V$2,,,Arb!$AJ$5,),J150))/K150)</f>
        <v/>
      </c>
      <c r="O150" s="51" t="str">
        <f t="shared" ca="1" si="56"/>
        <v/>
      </c>
      <c r="P150" s="91" t="str">
        <f ca="1">IF(J150="","",DATE(INDEX(OFFSET(Arb!$C$2,,,Arb!$AJ$5,),J150),INDEX(OFFSET(Arb!$B$2,,,Arb!$AJ$5,),J150),INDEX(OFFSET(Arb!$A$2,,,Arb!$AJ$5,),J150))+ROW()*0.001)</f>
        <v/>
      </c>
      <c r="Q150" s="442">
        <v>125</v>
      </c>
      <c r="S150" s="52" t="str">
        <f ca="1">IF(R150="","",INDEX(OFFSET(Arb!$H$2,,,Arb!$AJ$5,),R150))</f>
        <v/>
      </c>
      <c r="T150" s="3" t="str">
        <f t="shared" ca="1" si="47"/>
        <v/>
      </c>
      <c r="U150" s="165" t="str">
        <f ca="1">IF(R150="","",INDEX(OFFSET(Arb!$X$2,,,Arb!$AJ$5,),R150)/S150)</f>
        <v/>
      </c>
      <c r="V150" s="165" t="str">
        <f ca="1">IF(R150="","",(INDEX(OFFSET(Arb!$U$2,,,Arb!$AJ$5,),R150)+INDEX(OFFSET(Arb!$V$2,,,Arb!$AJ$5,),R150))/S150)</f>
        <v/>
      </c>
      <c r="W150" s="51" t="str">
        <f t="shared" ca="1" si="57"/>
        <v/>
      </c>
      <c r="X150" s="88" t="str">
        <f ca="1">IF(R150="","",DATE(INDEX(OFFSET(Arb!$C$2,,,Arb!$AJ$5,),R150),INDEX(OFFSET(Arb!$B$2,,,Arb!$AJ$5,),R150),INDEX(OFFSET(Arb!$A$2,,,Arb!$AJ$5,),R150))+ROW()*0.001)</f>
        <v/>
      </c>
      <c r="Y150" s="436">
        <v>125</v>
      </c>
      <c r="AA150" s="52" t="str">
        <f ca="1">IF(Z150="","",INDEX(OFFSET(Arb!$H$2,,,Arb!$AJ$5,),Z150))</f>
        <v/>
      </c>
      <c r="AB150" s="3" t="str">
        <f t="shared" ca="1" si="48"/>
        <v/>
      </c>
      <c r="AC150" s="165" t="str">
        <f ca="1">IF(Z150="","",INDEX(OFFSET(Arb!$X$2,,,Arb!$AJ$5,),Z150)/AA150)</f>
        <v/>
      </c>
      <c r="AD150" s="165" t="str">
        <f ca="1">IF(Z150="","",(INDEX(OFFSET(Arb!$U$2,,,Arb!$AJ$5,),Z150)+INDEX(OFFSET(Arb!$V$2,,,Arb!$AJ$5,),Z150))/AA150)</f>
        <v/>
      </c>
      <c r="AE150" s="51" t="str">
        <f t="shared" ca="1" si="58"/>
        <v/>
      </c>
      <c r="AF150" s="91" t="str">
        <f ca="1">IF(Z150="","",DATE(INDEX(OFFSET(Arb!$C$2,,,Arb!$AJ$5,),Z150),INDEX(OFFSET(Arb!$B$2,,,Arb!$AJ$5,),Z150),INDEX(OFFSET(Arb!$A$2,,,Arb!$AJ$5,),Z150))+ROW()*0.001)</f>
        <v/>
      </c>
      <c r="AG150" s="442">
        <v>125</v>
      </c>
      <c r="AI150" s="52" t="str">
        <f ca="1">IF(AH150="","",INDEX(OFFSET(Arb!$H$2,,,Arb!$AJ$5,),AH150))</f>
        <v/>
      </c>
      <c r="AJ150" s="3" t="str">
        <f t="shared" ca="1" si="49"/>
        <v/>
      </c>
      <c r="AK150" s="165" t="str">
        <f ca="1">IF(AH150="","",INDEX(OFFSET(Arb!$X$2,,,Arb!$AJ$5,),AH150)/AI150)</f>
        <v/>
      </c>
      <c r="AL150" s="165" t="str">
        <f ca="1">IF(AH150="","",(INDEX(OFFSET(Arb!$U$2,,,Arb!$AJ$5,),AH150)+INDEX(OFFSET(Arb!$V$2,,,Arb!$AJ$5,),AH150))/AI150)</f>
        <v/>
      </c>
      <c r="AM150" s="51" t="str">
        <f t="shared" ca="1" si="59"/>
        <v/>
      </c>
      <c r="AN150" s="88" t="str">
        <f ca="1">IF(AH150="","",DATE(INDEX(OFFSET(Arb!$C$2,,,Arb!$AJ$5,),AH150),INDEX(OFFSET(Arb!$B$2,,,Arb!$AJ$5,),AH150),INDEX(OFFSET(Arb!$A$2,,,Arb!$AJ$5,),AH150))+ROW()*0.001)</f>
        <v/>
      </c>
      <c r="AO150" s="436">
        <v>125</v>
      </c>
      <c r="AQ150" s="52" t="str">
        <f ca="1">IF(AP150="","",INDEX(OFFSET(Arb!$H$2,,,Arb!$AJ$5,),AP150))</f>
        <v/>
      </c>
      <c r="AR150" s="3" t="str">
        <f t="shared" ca="1" si="50"/>
        <v/>
      </c>
      <c r="AS150" s="165" t="str">
        <f ca="1">IF(AP150="","",INDEX(OFFSET(Arb!$X$2,,,Arb!$AJ$5,),AP150)/AQ150)</f>
        <v/>
      </c>
      <c r="AT150" s="165" t="str">
        <f ca="1">IF(AP150="","",(INDEX(OFFSET(Arb!$U$2,,,Arb!$AJ$5,),AP150)+INDEX(OFFSET(Arb!$V$2,,,Arb!$AJ$5,),AP150))/AQ150)</f>
        <v/>
      </c>
      <c r="AU150" s="51" t="str">
        <f t="shared" ca="1" si="60"/>
        <v/>
      </c>
      <c r="AV150" s="91" t="str">
        <f ca="1">IF(AP150="","",DATE(INDEX(OFFSET(Arb!$C$2,,,Arb!$AJ$5,),AP150),INDEX(OFFSET(Arb!$B$2,,,Arb!$AJ$5,),AP150),INDEX(OFFSET(Arb!$A$2,,,Arb!$AJ$5,),AP150))+ROW()*0.001)</f>
        <v/>
      </c>
      <c r="AW150" s="442">
        <v>125</v>
      </c>
      <c r="AY150" s="52" t="str">
        <f ca="1">IF(AX150="","",INDEX(OFFSET(Arb!$H$2,,,Arb!$AJ$5,),AX150))</f>
        <v/>
      </c>
      <c r="AZ150" s="3" t="str">
        <f t="shared" ca="1" si="51"/>
        <v/>
      </c>
      <c r="BA150" s="165" t="str">
        <f ca="1">IF(AX150="","",INDEX(OFFSET(Arb!$X$2,,,Arb!$AJ$5,),AX150)/AY150)</f>
        <v/>
      </c>
      <c r="BB150" s="165" t="str">
        <f ca="1">IF(AX150="","",(INDEX(OFFSET(Arb!$U$2,,,Arb!$AJ$5,),AX150)+INDEX(OFFSET(Arb!$V$2,,,Arb!$AJ$5,),AX150))/AY150)</f>
        <v/>
      </c>
      <c r="BC150" s="51" t="str">
        <f t="shared" ca="1" si="61"/>
        <v/>
      </c>
      <c r="BD150" s="88" t="str">
        <f ca="1">IF(AX150="","",DATE(INDEX(OFFSET(Arb!$C$2,,,Arb!$AJ$5,),AX150),INDEX(OFFSET(Arb!$B$2,,,Arb!$AJ$5,),AX150),INDEX(OFFSET(Arb!$A$2,,,Arb!$AJ$5,),AX150))+ROW()*0.001)</f>
        <v/>
      </c>
      <c r="BE150" s="436">
        <v>125</v>
      </c>
      <c r="BG150" s="52" t="str">
        <f ca="1">IF(BF150="","",INDEX(OFFSET(Arb!$H$2,,,Arb!$AJ$5,),BF150))</f>
        <v/>
      </c>
      <c r="BH150" s="3" t="str">
        <f t="shared" ca="1" si="52"/>
        <v/>
      </c>
      <c r="BI150" s="165" t="str">
        <f ca="1">IF(BF150="","",INDEX(OFFSET(Arb!$X$2,,,Arb!$AJ$5,),BF150)/BG150)</f>
        <v/>
      </c>
      <c r="BJ150" s="165" t="str">
        <f ca="1">IF(BF150="","",(INDEX(OFFSET(Arb!$U$2,,,Arb!$AJ$5,),BF150)+INDEX(OFFSET(Arb!$V$2,,,Arb!$AJ$5,),BF150))/BG150)</f>
        <v/>
      </c>
      <c r="BK150" s="51" t="str">
        <f t="shared" ca="1" si="62"/>
        <v/>
      </c>
      <c r="BL150" s="91" t="str">
        <f ca="1">IF(BF150="","",DATE(INDEX(OFFSET(Arb!$C$2,,,Arb!$AJ$5,),BF150),INDEX(OFFSET(Arb!$B$2,,,Arb!$AJ$5,),BF150),INDEX(OFFSET(Arb!$A$2,,,Arb!$AJ$5,),BF150))+ROW()*0.001)</f>
        <v/>
      </c>
      <c r="BM150" s="442">
        <v>125</v>
      </c>
      <c r="BO150" s="52" t="str">
        <f ca="1">IF(BN150="","",INDEX(OFFSET(Arb!$H$2,,,Arb!$AJ$5,),BN150))</f>
        <v/>
      </c>
      <c r="BP150" s="3" t="str">
        <f t="shared" ca="1" si="53"/>
        <v/>
      </c>
      <c r="BQ150" s="165" t="str">
        <f ca="1">IF(BN150="","",INDEX(OFFSET(Arb!$X$2,,,Arb!$AJ$5,),BN150)/BO150)</f>
        <v/>
      </c>
      <c r="BR150" s="165" t="str">
        <f ca="1">IF(BN150="","",(INDEX(OFFSET(Arb!$U$2,,,Arb!$AJ$5,),BN150)+INDEX(OFFSET(Arb!$V$2,,,Arb!$AJ$5,),BN150))/BO150)</f>
        <v/>
      </c>
      <c r="BS150" s="51" t="str">
        <f t="shared" ca="1" si="63"/>
        <v/>
      </c>
      <c r="BT150" s="88" t="str">
        <f ca="1">IF(BN150="","",DATE(INDEX(OFFSET(Arb!$C$2,,,Arb!$AJ$5,),BN150),INDEX(OFFSET(Arb!$B$2,,,Arb!$AJ$5,),BN150),INDEX(OFFSET(Arb!$A$2,,,Arb!$AJ$5,),BN150))+ROW()*0.001)</f>
        <v/>
      </c>
      <c r="BU150" s="436">
        <v>125</v>
      </c>
      <c r="BW150" s="52" t="str">
        <f ca="1">IF(BV150="","",INDEX(OFFSET(Arb!$H$2,,,Arb!$AJ$5,),BV150))</f>
        <v/>
      </c>
      <c r="BX150" s="3" t="str">
        <f t="shared" ca="1" si="54"/>
        <v/>
      </c>
      <c r="BY150" s="165" t="str">
        <f ca="1">IF(BV150="","",INDEX(OFFSET(Arb!$X$2,,,Arb!$AJ$5,),BV150)/BW150)</f>
        <v/>
      </c>
      <c r="BZ150" s="165" t="str">
        <f ca="1">IF(BV150="","",(INDEX(OFFSET(Arb!$U$2,,,Arb!$AJ$5,),BV150)+INDEX(OFFSET(Arb!$V$2,,,Arb!$AJ$5,),BV150))/BW150)</f>
        <v/>
      </c>
      <c r="CA150" s="51" t="str">
        <f t="shared" ca="1" si="64"/>
        <v/>
      </c>
      <c r="CB150" s="91" t="str">
        <f ca="1">IF(BV150="","",DATE(INDEX(OFFSET(Arb!$C$2,,,Arb!$AJ$5,),BV150),INDEX(OFFSET(Arb!$B$2,,,Arb!$AJ$5,),BV150),INDEX(OFFSET(Arb!$A$2,,,Arb!$AJ$5,),BV150))+ROW()*0.001)</f>
        <v/>
      </c>
    </row>
    <row r="151" spans="1:80" x14ac:dyDescent="0.25">
      <c r="A151" s="436">
        <v>126</v>
      </c>
      <c r="C151" s="52" t="str">
        <f ca="1">IF(B151="","",INDEX(OFFSET(Arb!$H$2,,,Arb!$AJ$5,),B151))</f>
        <v/>
      </c>
      <c r="D151" s="3" t="str">
        <f t="shared" ca="1" si="45"/>
        <v/>
      </c>
      <c r="E151" s="165" t="str">
        <f ca="1">IF(B151="","",INDEX(OFFSET(Arb!$X$2,,,Arb!$AJ$5,),B151)/C151)</f>
        <v/>
      </c>
      <c r="F151" s="165" t="str">
        <f ca="1">IF(B151="","",(INDEX(OFFSET(Arb!$U$2,,,Arb!$AJ$5,),B151)+INDEX(OFFSET(Arb!$V$2,,,Arb!$AJ$5,),B151))/C151)</f>
        <v/>
      </c>
      <c r="G151" s="51" t="str">
        <f t="shared" ca="1" si="55"/>
        <v/>
      </c>
      <c r="H151" s="355" t="str">
        <f ca="1">IF(B151="","",DATE(INDEX(OFFSET(Arb!$C$2,,,Arb!$AJ$5,),B151),INDEX(OFFSET(Arb!$B$2,,,Arb!$AJ$5,),B151),INDEX(OFFSET(Arb!$A$2,,,Arb!$AJ$5,),B151))+ROW()*0.001)</f>
        <v/>
      </c>
      <c r="I151" s="436">
        <v>126</v>
      </c>
      <c r="K151" s="52" t="str">
        <f ca="1">IF(J151="","",INDEX(OFFSET(Arb!$H$2,,,Arb!$AJ$5,),J151))</f>
        <v/>
      </c>
      <c r="L151" s="3" t="str">
        <f t="shared" ca="1" si="46"/>
        <v/>
      </c>
      <c r="M151" s="165" t="str">
        <f ca="1">IF(J151="","",INDEX(OFFSET(Arb!$X$2,,,Arb!$AJ$5,),J151)/K151)</f>
        <v/>
      </c>
      <c r="N151" s="165" t="str">
        <f ca="1">IF(J151="","",(INDEX(OFFSET(Arb!$U$2,,,Arb!$AJ$5,),J151)+INDEX(OFFSET(Arb!$V$2,,,Arb!$AJ$5,),J151))/K151)</f>
        <v/>
      </c>
      <c r="O151" s="51" t="str">
        <f t="shared" ca="1" si="56"/>
        <v/>
      </c>
      <c r="P151" s="91" t="str">
        <f ca="1">IF(J151="","",DATE(INDEX(OFFSET(Arb!$C$2,,,Arb!$AJ$5,),J151),INDEX(OFFSET(Arb!$B$2,,,Arb!$AJ$5,),J151),INDEX(OFFSET(Arb!$A$2,,,Arb!$AJ$5,),J151))+ROW()*0.001)</f>
        <v/>
      </c>
      <c r="Q151" s="442">
        <v>126</v>
      </c>
      <c r="S151" s="52" t="str">
        <f ca="1">IF(R151="","",INDEX(OFFSET(Arb!$H$2,,,Arb!$AJ$5,),R151))</f>
        <v/>
      </c>
      <c r="T151" s="3" t="str">
        <f t="shared" ca="1" si="47"/>
        <v/>
      </c>
      <c r="U151" s="165" t="str">
        <f ca="1">IF(R151="","",INDEX(OFFSET(Arb!$X$2,,,Arb!$AJ$5,),R151)/S151)</f>
        <v/>
      </c>
      <c r="V151" s="165" t="str">
        <f ca="1">IF(R151="","",(INDEX(OFFSET(Arb!$U$2,,,Arb!$AJ$5,),R151)+INDEX(OFFSET(Arb!$V$2,,,Arb!$AJ$5,),R151))/S151)</f>
        <v/>
      </c>
      <c r="W151" s="51" t="str">
        <f t="shared" ca="1" si="57"/>
        <v/>
      </c>
      <c r="X151" s="88" t="str">
        <f ca="1">IF(R151="","",DATE(INDEX(OFFSET(Arb!$C$2,,,Arb!$AJ$5,),R151),INDEX(OFFSET(Arb!$B$2,,,Arb!$AJ$5,),R151),INDEX(OFFSET(Arb!$A$2,,,Arb!$AJ$5,),R151))+ROW()*0.001)</f>
        <v/>
      </c>
      <c r="Y151" s="436">
        <v>126</v>
      </c>
      <c r="AA151" s="52" t="str">
        <f ca="1">IF(Z151="","",INDEX(OFFSET(Arb!$H$2,,,Arb!$AJ$5,),Z151))</f>
        <v/>
      </c>
      <c r="AB151" s="3" t="str">
        <f t="shared" ca="1" si="48"/>
        <v/>
      </c>
      <c r="AC151" s="165" t="str">
        <f ca="1">IF(Z151="","",INDEX(OFFSET(Arb!$X$2,,,Arb!$AJ$5,),Z151)/AA151)</f>
        <v/>
      </c>
      <c r="AD151" s="165" t="str">
        <f ca="1">IF(Z151="","",(INDEX(OFFSET(Arb!$U$2,,,Arb!$AJ$5,),Z151)+INDEX(OFFSET(Arb!$V$2,,,Arb!$AJ$5,),Z151))/AA151)</f>
        <v/>
      </c>
      <c r="AE151" s="51" t="str">
        <f t="shared" ca="1" si="58"/>
        <v/>
      </c>
      <c r="AF151" s="91" t="str">
        <f ca="1">IF(Z151="","",DATE(INDEX(OFFSET(Arb!$C$2,,,Arb!$AJ$5,),Z151),INDEX(OFFSET(Arb!$B$2,,,Arb!$AJ$5,),Z151),INDEX(OFFSET(Arb!$A$2,,,Arb!$AJ$5,),Z151))+ROW()*0.001)</f>
        <v/>
      </c>
      <c r="AG151" s="442">
        <v>126</v>
      </c>
      <c r="AI151" s="52" t="str">
        <f ca="1">IF(AH151="","",INDEX(OFFSET(Arb!$H$2,,,Arb!$AJ$5,),AH151))</f>
        <v/>
      </c>
      <c r="AJ151" s="3" t="str">
        <f t="shared" ca="1" si="49"/>
        <v/>
      </c>
      <c r="AK151" s="165" t="str">
        <f ca="1">IF(AH151="","",INDEX(OFFSET(Arb!$X$2,,,Arb!$AJ$5,),AH151)/AI151)</f>
        <v/>
      </c>
      <c r="AL151" s="165" t="str">
        <f ca="1">IF(AH151="","",(INDEX(OFFSET(Arb!$U$2,,,Arb!$AJ$5,),AH151)+INDEX(OFFSET(Arb!$V$2,,,Arb!$AJ$5,),AH151))/AI151)</f>
        <v/>
      </c>
      <c r="AM151" s="51" t="str">
        <f t="shared" ca="1" si="59"/>
        <v/>
      </c>
      <c r="AN151" s="88" t="str">
        <f ca="1">IF(AH151="","",DATE(INDEX(OFFSET(Arb!$C$2,,,Arb!$AJ$5,),AH151),INDEX(OFFSET(Arb!$B$2,,,Arb!$AJ$5,),AH151),INDEX(OFFSET(Arb!$A$2,,,Arb!$AJ$5,),AH151))+ROW()*0.001)</f>
        <v/>
      </c>
      <c r="AO151" s="436">
        <v>126</v>
      </c>
      <c r="AQ151" s="52" t="str">
        <f ca="1">IF(AP151="","",INDEX(OFFSET(Arb!$H$2,,,Arb!$AJ$5,),AP151))</f>
        <v/>
      </c>
      <c r="AR151" s="3" t="str">
        <f t="shared" ca="1" si="50"/>
        <v/>
      </c>
      <c r="AS151" s="165" t="str">
        <f ca="1">IF(AP151="","",INDEX(OFFSET(Arb!$X$2,,,Arb!$AJ$5,),AP151)/AQ151)</f>
        <v/>
      </c>
      <c r="AT151" s="165" t="str">
        <f ca="1">IF(AP151="","",(INDEX(OFFSET(Arb!$U$2,,,Arb!$AJ$5,),AP151)+INDEX(OFFSET(Arb!$V$2,,,Arb!$AJ$5,),AP151))/AQ151)</f>
        <v/>
      </c>
      <c r="AU151" s="51" t="str">
        <f t="shared" ca="1" si="60"/>
        <v/>
      </c>
      <c r="AV151" s="91" t="str">
        <f ca="1">IF(AP151="","",DATE(INDEX(OFFSET(Arb!$C$2,,,Arb!$AJ$5,),AP151),INDEX(OFFSET(Arb!$B$2,,,Arb!$AJ$5,),AP151),INDEX(OFFSET(Arb!$A$2,,,Arb!$AJ$5,),AP151))+ROW()*0.001)</f>
        <v/>
      </c>
      <c r="AW151" s="442">
        <v>126</v>
      </c>
      <c r="AY151" s="52" t="str">
        <f ca="1">IF(AX151="","",INDEX(OFFSET(Arb!$H$2,,,Arb!$AJ$5,),AX151))</f>
        <v/>
      </c>
      <c r="AZ151" s="3" t="str">
        <f t="shared" ca="1" si="51"/>
        <v/>
      </c>
      <c r="BA151" s="165" t="str">
        <f ca="1">IF(AX151="","",INDEX(OFFSET(Arb!$X$2,,,Arb!$AJ$5,),AX151)/AY151)</f>
        <v/>
      </c>
      <c r="BB151" s="165" t="str">
        <f ca="1">IF(AX151="","",(INDEX(OFFSET(Arb!$U$2,,,Arb!$AJ$5,),AX151)+INDEX(OFFSET(Arb!$V$2,,,Arb!$AJ$5,),AX151))/AY151)</f>
        <v/>
      </c>
      <c r="BC151" s="51" t="str">
        <f t="shared" ca="1" si="61"/>
        <v/>
      </c>
      <c r="BD151" s="88" t="str">
        <f ca="1">IF(AX151="","",DATE(INDEX(OFFSET(Arb!$C$2,,,Arb!$AJ$5,),AX151),INDEX(OFFSET(Arb!$B$2,,,Arb!$AJ$5,),AX151),INDEX(OFFSET(Arb!$A$2,,,Arb!$AJ$5,),AX151))+ROW()*0.001)</f>
        <v/>
      </c>
      <c r="BE151" s="436">
        <v>126</v>
      </c>
      <c r="BG151" s="52" t="str">
        <f ca="1">IF(BF151="","",INDEX(OFFSET(Arb!$H$2,,,Arb!$AJ$5,),BF151))</f>
        <v/>
      </c>
      <c r="BH151" s="3" t="str">
        <f t="shared" ca="1" si="52"/>
        <v/>
      </c>
      <c r="BI151" s="165" t="str">
        <f ca="1">IF(BF151="","",INDEX(OFFSET(Arb!$X$2,,,Arb!$AJ$5,),BF151)/BG151)</f>
        <v/>
      </c>
      <c r="BJ151" s="165" t="str">
        <f ca="1">IF(BF151="","",(INDEX(OFFSET(Arb!$U$2,,,Arb!$AJ$5,),BF151)+INDEX(OFFSET(Arb!$V$2,,,Arb!$AJ$5,),BF151))/BG151)</f>
        <v/>
      </c>
      <c r="BK151" s="51" t="str">
        <f t="shared" ca="1" si="62"/>
        <v/>
      </c>
      <c r="BL151" s="91" t="str">
        <f ca="1">IF(BF151="","",DATE(INDEX(OFFSET(Arb!$C$2,,,Arb!$AJ$5,),BF151),INDEX(OFFSET(Arb!$B$2,,,Arb!$AJ$5,),BF151),INDEX(OFFSET(Arb!$A$2,,,Arb!$AJ$5,),BF151))+ROW()*0.001)</f>
        <v/>
      </c>
      <c r="BM151" s="442">
        <v>126</v>
      </c>
      <c r="BO151" s="52" t="str">
        <f ca="1">IF(BN151="","",INDEX(OFFSET(Arb!$H$2,,,Arb!$AJ$5,),BN151))</f>
        <v/>
      </c>
      <c r="BP151" s="3" t="str">
        <f t="shared" ca="1" si="53"/>
        <v/>
      </c>
      <c r="BQ151" s="165" t="str">
        <f ca="1">IF(BN151="","",INDEX(OFFSET(Arb!$X$2,,,Arb!$AJ$5,),BN151)/BO151)</f>
        <v/>
      </c>
      <c r="BR151" s="165" t="str">
        <f ca="1">IF(BN151="","",(INDEX(OFFSET(Arb!$U$2,,,Arb!$AJ$5,),BN151)+INDEX(OFFSET(Arb!$V$2,,,Arb!$AJ$5,),BN151))/BO151)</f>
        <v/>
      </c>
      <c r="BS151" s="51" t="str">
        <f t="shared" ca="1" si="63"/>
        <v/>
      </c>
      <c r="BT151" s="88" t="str">
        <f ca="1">IF(BN151="","",DATE(INDEX(OFFSET(Arb!$C$2,,,Arb!$AJ$5,),BN151),INDEX(OFFSET(Arb!$B$2,,,Arb!$AJ$5,),BN151),INDEX(OFFSET(Arb!$A$2,,,Arb!$AJ$5,),BN151))+ROW()*0.001)</f>
        <v/>
      </c>
      <c r="BU151" s="436">
        <v>126</v>
      </c>
      <c r="BW151" s="52" t="str">
        <f ca="1">IF(BV151="","",INDEX(OFFSET(Arb!$H$2,,,Arb!$AJ$5,),BV151))</f>
        <v/>
      </c>
      <c r="BX151" s="3" t="str">
        <f t="shared" ca="1" si="54"/>
        <v/>
      </c>
      <c r="BY151" s="165" t="str">
        <f ca="1">IF(BV151="","",INDEX(OFFSET(Arb!$X$2,,,Arb!$AJ$5,),BV151)/BW151)</f>
        <v/>
      </c>
      <c r="BZ151" s="165" t="str">
        <f ca="1">IF(BV151="","",(INDEX(OFFSET(Arb!$U$2,,,Arb!$AJ$5,),BV151)+INDEX(OFFSET(Arb!$V$2,,,Arb!$AJ$5,),BV151))/BW151)</f>
        <v/>
      </c>
      <c r="CA151" s="51" t="str">
        <f t="shared" ca="1" si="64"/>
        <v/>
      </c>
      <c r="CB151" s="91" t="str">
        <f ca="1">IF(BV151="","",DATE(INDEX(OFFSET(Arb!$C$2,,,Arb!$AJ$5,),BV151),INDEX(OFFSET(Arb!$B$2,,,Arb!$AJ$5,),BV151),INDEX(OFFSET(Arb!$A$2,,,Arb!$AJ$5,),BV151))+ROW()*0.001)</f>
        <v/>
      </c>
    </row>
    <row r="152" spans="1:80" x14ac:dyDescent="0.25">
      <c r="A152" s="436">
        <v>127</v>
      </c>
      <c r="C152" s="52" t="str">
        <f ca="1">IF(B152="","",INDEX(OFFSET(Arb!$H$2,,,Arb!$AJ$5,),B152))</f>
        <v/>
      </c>
      <c r="D152" s="3" t="str">
        <f t="shared" ca="1" si="45"/>
        <v/>
      </c>
      <c r="E152" s="165" t="str">
        <f ca="1">IF(B152="","",INDEX(OFFSET(Arb!$X$2,,,Arb!$AJ$5,),B152)/C152)</f>
        <v/>
      </c>
      <c r="F152" s="165" t="str">
        <f ca="1">IF(B152="","",(INDEX(OFFSET(Arb!$U$2,,,Arb!$AJ$5,),B152)+INDEX(OFFSET(Arb!$V$2,,,Arb!$AJ$5,),B152))/C152)</f>
        <v/>
      </c>
      <c r="G152" s="51" t="str">
        <f t="shared" ca="1" si="55"/>
        <v/>
      </c>
      <c r="H152" s="355" t="str">
        <f ca="1">IF(B152="","",DATE(INDEX(OFFSET(Arb!$C$2,,,Arb!$AJ$5,),B152),INDEX(OFFSET(Arb!$B$2,,,Arb!$AJ$5,),B152),INDEX(OFFSET(Arb!$A$2,,,Arb!$AJ$5,),B152))+ROW()*0.001)</f>
        <v/>
      </c>
      <c r="I152" s="436">
        <v>127</v>
      </c>
      <c r="K152" s="52" t="str">
        <f ca="1">IF(J152="","",INDEX(OFFSET(Arb!$H$2,,,Arb!$AJ$5,),J152))</f>
        <v/>
      </c>
      <c r="L152" s="3" t="str">
        <f t="shared" ca="1" si="46"/>
        <v/>
      </c>
      <c r="M152" s="165" t="str">
        <f ca="1">IF(J152="","",INDEX(OFFSET(Arb!$X$2,,,Arb!$AJ$5,),J152)/K152)</f>
        <v/>
      </c>
      <c r="N152" s="165" t="str">
        <f ca="1">IF(J152="","",(INDEX(OFFSET(Arb!$U$2,,,Arb!$AJ$5,),J152)+INDEX(OFFSET(Arb!$V$2,,,Arb!$AJ$5,),J152))/K152)</f>
        <v/>
      </c>
      <c r="O152" s="51" t="str">
        <f t="shared" ca="1" si="56"/>
        <v/>
      </c>
      <c r="P152" s="91" t="str">
        <f ca="1">IF(J152="","",DATE(INDEX(OFFSET(Arb!$C$2,,,Arb!$AJ$5,),J152),INDEX(OFFSET(Arb!$B$2,,,Arb!$AJ$5,),J152),INDEX(OFFSET(Arb!$A$2,,,Arb!$AJ$5,),J152))+ROW()*0.001)</f>
        <v/>
      </c>
      <c r="Q152" s="442">
        <v>127</v>
      </c>
      <c r="S152" s="52" t="str">
        <f ca="1">IF(R152="","",INDEX(OFFSET(Arb!$H$2,,,Arb!$AJ$5,),R152))</f>
        <v/>
      </c>
      <c r="T152" s="3" t="str">
        <f t="shared" ca="1" si="47"/>
        <v/>
      </c>
      <c r="U152" s="165" t="str">
        <f ca="1">IF(R152="","",INDEX(OFFSET(Arb!$X$2,,,Arb!$AJ$5,),R152)/S152)</f>
        <v/>
      </c>
      <c r="V152" s="165" t="str">
        <f ca="1">IF(R152="","",(INDEX(OFFSET(Arb!$U$2,,,Arb!$AJ$5,),R152)+INDEX(OFFSET(Arb!$V$2,,,Arb!$AJ$5,),R152))/S152)</f>
        <v/>
      </c>
      <c r="W152" s="51" t="str">
        <f t="shared" ca="1" si="57"/>
        <v/>
      </c>
      <c r="X152" s="88" t="str">
        <f ca="1">IF(R152="","",DATE(INDEX(OFFSET(Arb!$C$2,,,Arb!$AJ$5,),R152),INDEX(OFFSET(Arb!$B$2,,,Arb!$AJ$5,),R152),INDEX(OFFSET(Arb!$A$2,,,Arb!$AJ$5,),R152))+ROW()*0.001)</f>
        <v/>
      </c>
      <c r="Y152" s="436">
        <v>127</v>
      </c>
      <c r="AA152" s="52" t="str">
        <f ca="1">IF(Z152="","",INDEX(OFFSET(Arb!$H$2,,,Arb!$AJ$5,),Z152))</f>
        <v/>
      </c>
      <c r="AB152" s="3" t="str">
        <f t="shared" ca="1" si="48"/>
        <v/>
      </c>
      <c r="AC152" s="165" t="str">
        <f ca="1">IF(Z152="","",INDEX(OFFSET(Arb!$X$2,,,Arb!$AJ$5,),Z152)/AA152)</f>
        <v/>
      </c>
      <c r="AD152" s="165" t="str">
        <f ca="1">IF(Z152="","",(INDEX(OFFSET(Arb!$U$2,,,Arb!$AJ$5,),Z152)+INDEX(OFFSET(Arb!$V$2,,,Arb!$AJ$5,),Z152))/AA152)</f>
        <v/>
      </c>
      <c r="AE152" s="51" t="str">
        <f t="shared" ca="1" si="58"/>
        <v/>
      </c>
      <c r="AF152" s="91" t="str">
        <f ca="1">IF(Z152="","",DATE(INDEX(OFFSET(Arb!$C$2,,,Arb!$AJ$5,),Z152),INDEX(OFFSET(Arb!$B$2,,,Arb!$AJ$5,),Z152),INDEX(OFFSET(Arb!$A$2,,,Arb!$AJ$5,),Z152))+ROW()*0.001)</f>
        <v/>
      </c>
      <c r="AG152" s="442">
        <v>127</v>
      </c>
      <c r="AI152" s="52" t="str">
        <f ca="1">IF(AH152="","",INDEX(OFFSET(Arb!$H$2,,,Arb!$AJ$5,),AH152))</f>
        <v/>
      </c>
      <c r="AJ152" s="3" t="str">
        <f t="shared" ca="1" si="49"/>
        <v/>
      </c>
      <c r="AK152" s="165" t="str">
        <f ca="1">IF(AH152="","",INDEX(OFFSET(Arb!$X$2,,,Arb!$AJ$5,),AH152)/AI152)</f>
        <v/>
      </c>
      <c r="AL152" s="165" t="str">
        <f ca="1">IF(AH152="","",(INDEX(OFFSET(Arb!$U$2,,,Arb!$AJ$5,),AH152)+INDEX(OFFSET(Arb!$V$2,,,Arb!$AJ$5,),AH152))/AI152)</f>
        <v/>
      </c>
      <c r="AM152" s="51" t="str">
        <f t="shared" ca="1" si="59"/>
        <v/>
      </c>
      <c r="AN152" s="88" t="str">
        <f ca="1">IF(AH152="","",DATE(INDEX(OFFSET(Arb!$C$2,,,Arb!$AJ$5,),AH152),INDEX(OFFSET(Arb!$B$2,,,Arb!$AJ$5,),AH152),INDEX(OFFSET(Arb!$A$2,,,Arb!$AJ$5,),AH152))+ROW()*0.001)</f>
        <v/>
      </c>
      <c r="AO152" s="436">
        <v>127</v>
      </c>
      <c r="AQ152" s="52" t="str">
        <f ca="1">IF(AP152="","",INDEX(OFFSET(Arb!$H$2,,,Arb!$AJ$5,),AP152))</f>
        <v/>
      </c>
      <c r="AR152" s="3" t="str">
        <f t="shared" ca="1" si="50"/>
        <v/>
      </c>
      <c r="AS152" s="165" t="str">
        <f ca="1">IF(AP152="","",INDEX(OFFSET(Arb!$X$2,,,Arb!$AJ$5,),AP152)/AQ152)</f>
        <v/>
      </c>
      <c r="AT152" s="165" t="str">
        <f ca="1">IF(AP152="","",(INDEX(OFFSET(Arb!$U$2,,,Arb!$AJ$5,),AP152)+INDEX(OFFSET(Arb!$V$2,,,Arb!$AJ$5,),AP152))/AQ152)</f>
        <v/>
      </c>
      <c r="AU152" s="51" t="str">
        <f t="shared" ca="1" si="60"/>
        <v/>
      </c>
      <c r="AV152" s="91" t="str">
        <f ca="1">IF(AP152="","",DATE(INDEX(OFFSET(Arb!$C$2,,,Arb!$AJ$5,),AP152),INDEX(OFFSET(Arb!$B$2,,,Arb!$AJ$5,),AP152),INDEX(OFFSET(Arb!$A$2,,,Arb!$AJ$5,),AP152))+ROW()*0.001)</f>
        <v/>
      </c>
      <c r="AW152" s="442">
        <v>127</v>
      </c>
      <c r="AY152" s="52" t="str">
        <f ca="1">IF(AX152="","",INDEX(OFFSET(Arb!$H$2,,,Arb!$AJ$5,),AX152))</f>
        <v/>
      </c>
      <c r="AZ152" s="3" t="str">
        <f t="shared" ca="1" si="51"/>
        <v/>
      </c>
      <c r="BA152" s="165" t="str">
        <f ca="1">IF(AX152="","",INDEX(OFFSET(Arb!$X$2,,,Arb!$AJ$5,),AX152)/AY152)</f>
        <v/>
      </c>
      <c r="BB152" s="165" t="str">
        <f ca="1">IF(AX152="","",(INDEX(OFFSET(Arb!$U$2,,,Arb!$AJ$5,),AX152)+INDEX(OFFSET(Arb!$V$2,,,Arb!$AJ$5,),AX152))/AY152)</f>
        <v/>
      </c>
      <c r="BC152" s="51" t="str">
        <f t="shared" ca="1" si="61"/>
        <v/>
      </c>
      <c r="BD152" s="88" t="str">
        <f ca="1">IF(AX152="","",DATE(INDEX(OFFSET(Arb!$C$2,,,Arb!$AJ$5,),AX152),INDEX(OFFSET(Arb!$B$2,,,Arb!$AJ$5,),AX152),INDEX(OFFSET(Arb!$A$2,,,Arb!$AJ$5,),AX152))+ROW()*0.001)</f>
        <v/>
      </c>
      <c r="BE152" s="436">
        <v>127</v>
      </c>
      <c r="BG152" s="52" t="str">
        <f ca="1">IF(BF152="","",INDEX(OFFSET(Arb!$H$2,,,Arb!$AJ$5,),BF152))</f>
        <v/>
      </c>
      <c r="BH152" s="3" t="str">
        <f t="shared" ca="1" si="52"/>
        <v/>
      </c>
      <c r="BI152" s="165" t="str">
        <f ca="1">IF(BF152="","",INDEX(OFFSET(Arb!$X$2,,,Arb!$AJ$5,),BF152)/BG152)</f>
        <v/>
      </c>
      <c r="BJ152" s="165" t="str">
        <f ca="1">IF(BF152="","",(INDEX(OFFSET(Arb!$U$2,,,Arb!$AJ$5,),BF152)+INDEX(OFFSET(Arb!$V$2,,,Arb!$AJ$5,),BF152))/BG152)</f>
        <v/>
      </c>
      <c r="BK152" s="51" t="str">
        <f t="shared" ca="1" si="62"/>
        <v/>
      </c>
      <c r="BL152" s="91" t="str">
        <f ca="1">IF(BF152="","",DATE(INDEX(OFFSET(Arb!$C$2,,,Arb!$AJ$5,),BF152),INDEX(OFFSET(Arb!$B$2,,,Arb!$AJ$5,),BF152),INDEX(OFFSET(Arb!$A$2,,,Arb!$AJ$5,),BF152))+ROW()*0.001)</f>
        <v/>
      </c>
      <c r="BM152" s="442">
        <v>127</v>
      </c>
      <c r="BO152" s="52" t="str">
        <f ca="1">IF(BN152="","",INDEX(OFFSET(Arb!$H$2,,,Arb!$AJ$5,),BN152))</f>
        <v/>
      </c>
      <c r="BP152" s="3" t="str">
        <f t="shared" ca="1" si="53"/>
        <v/>
      </c>
      <c r="BQ152" s="165" t="str">
        <f ca="1">IF(BN152="","",INDEX(OFFSET(Arb!$X$2,,,Arb!$AJ$5,),BN152)/BO152)</f>
        <v/>
      </c>
      <c r="BR152" s="165" t="str">
        <f ca="1">IF(BN152="","",(INDEX(OFFSET(Arb!$U$2,,,Arb!$AJ$5,),BN152)+INDEX(OFFSET(Arb!$V$2,,,Arb!$AJ$5,),BN152))/BO152)</f>
        <v/>
      </c>
      <c r="BS152" s="51" t="str">
        <f t="shared" ca="1" si="63"/>
        <v/>
      </c>
      <c r="BT152" s="88" t="str">
        <f ca="1">IF(BN152="","",DATE(INDEX(OFFSET(Arb!$C$2,,,Arb!$AJ$5,),BN152),INDEX(OFFSET(Arb!$B$2,,,Arb!$AJ$5,),BN152),INDEX(OFFSET(Arb!$A$2,,,Arb!$AJ$5,),BN152))+ROW()*0.001)</f>
        <v/>
      </c>
      <c r="BU152" s="436">
        <v>127</v>
      </c>
      <c r="BW152" s="52" t="str">
        <f ca="1">IF(BV152="","",INDEX(OFFSET(Arb!$H$2,,,Arb!$AJ$5,),BV152))</f>
        <v/>
      </c>
      <c r="BX152" s="3" t="str">
        <f t="shared" ca="1" si="54"/>
        <v/>
      </c>
      <c r="BY152" s="165" t="str">
        <f ca="1">IF(BV152="","",INDEX(OFFSET(Arb!$X$2,,,Arb!$AJ$5,),BV152)/BW152)</f>
        <v/>
      </c>
      <c r="BZ152" s="165" t="str">
        <f ca="1">IF(BV152="","",(INDEX(OFFSET(Arb!$U$2,,,Arb!$AJ$5,),BV152)+INDEX(OFFSET(Arb!$V$2,,,Arb!$AJ$5,),BV152))/BW152)</f>
        <v/>
      </c>
      <c r="CA152" s="51" t="str">
        <f t="shared" ca="1" si="64"/>
        <v/>
      </c>
      <c r="CB152" s="91" t="str">
        <f ca="1">IF(BV152="","",DATE(INDEX(OFFSET(Arb!$C$2,,,Arb!$AJ$5,),BV152),INDEX(OFFSET(Arb!$B$2,,,Arb!$AJ$5,),BV152),INDEX(OFFSET(Arb!$A$2,,,Arb!$AJ$5,),BV152))+ROW()*0.001)</f>
        <v/>
      </c>
    </row>
    <row r="153" spans="1:80" x14ac:dyDescent="0.25">
      <c r="A153" s="436">
        <v>128</v>
      </c>
      <c r="C153" s="52" t="str">
        <f ca="1">IF(B153="","",INDEX(OFFSET(Arb!$H$2,,,Arb!$AJ$5,),B153))</f>
        <v/>
      </c>
      <c r="D153" s="3" t="str">
        <f t="shared" ca="1" si="45"/>
        <v/>
      </c>
      <c r="E153" s="165" t="str">
        <f ca="1">IF(B153="","",INDEX(OFFSET(Arb!$X$2,,,Arb!$AJ$5,),B153)/C153)</f>
        <v/>
      </c>
      <c r="F153" s="165" t="str">
        <f ca="1">IF(B153="","",(INDEX(OFFSET(Arb!$U$2,,,Arb!$AJ$5,),B153)+INDEX(OFFSET(Arb!$V$2,,,Arb!$AJ$5,),B153))/C153)</f>
        <v/>
      </c>
      <c r="G153" s="51" t="str">
        <f t="shared" ca="1" si="55"/>
        <v/>
      </c>
      <c r="H153" s="355" t="str">
        <f ca="1">IF(B153="","",DATE(INDEX(OFFSET(Arb!$C$2,,,Arb!$AJ$5,),B153),INDEX(OFFSET(Arb!$B$2,,,Arb!$AJ$5,),B153),INDEX(OFFSET(Arb!$A$2,,,Arb!$AJ$5,),B153))+ROW()*0.001)</f>
        <v/>
      </c>
      <c r="I153" s="436">
        <v>128</v>
      </c>
      <c r="K153" s="52" t="str">
        <f ca="1">IF(J153="","",INDEX(OFFSET(Arb!$H$2,,,Arb!$AJ$5,),J153))</f>
        <v/>
      </c>
      <c r="L153" s="3" t="str">
        <f t="shared" ca="1" si="46"/>
        <v/>
      </c>
      <c r="M153" s="165" t="str">
        <f ca="1">IF(J153="","",INDEX(OFFSET(Arb!$X$2,,,Arb!$AJ$5,),J153)/K153)</f>
        <v/>
      </c>
      <c r="N153" s="165" t="str">
        <f ca="1">IF(J153="","",(INDEX(OFFSET(Arb!$U$2,,,Arb!$AJ$5,),J153)+INDEX(OFFSET(Arb!$V$2,,,Arb!$AJ$5,),J153))/K153)</f>
        <v/>
      </c>
      <c r="O153" s="51" t="str">
        <f t="shared" ca="1" si="56"/>
        <v/>
      </c>
      <c r="P153" s="91" t="str">
        <f ca="1">IF(J153="","",DATE(INDEX(OFFSET(Arb!$C$2,,,Arb!$AJ$5,),J153),INDEX(OFFSET(Arb!$B$2,,,Arb!$AJ$5,),J153),INDEX(OFFSET(Arb!$A$2,,,Arb!$AJ$5,),J153))+ROW()*0.001)</f>
        <v/>
      </c>
      <c r="Q153" s="442">
        <v>128</v>
      </c>
      <c r="S153" s="52" t="str">
        <f ca="1">IF(R153="","",INDEX(OFFSET(Arb!$H$2,,,Arb!$AJ$5,),R153))</f>
        <v/>
      </c>
      <c r="T153" s="3" t="str">
        <f t="shared" ca="1" si="47"/>
        <v/>
      </c>
      <c r="U153" s="165" t="str">
        <f ca="1">IF(R153="","",INDEX(OFFSET(Arb!$X$2,,,Arb!$AJ$5,),R153)/S153)</f>
        <v/>
      </c>
      <c r="V153" s="165" t="str">
        <f ca="1">IF(R153="","",(INDEX(OFFSET(Arb!$U$2,,,Arb!$AJ$5,),R153)+INDEX(OFFSET(Arb!$V$2,,,Arb!$AJ$5,),R153))/S153)</f>
        <v/>
      </c>
      <c r="W153" s="51" t="str">
        <f t="shared" ca="1" si="57"/>
        <v/>
      </c>
      <c r="X153" s="88" t="str">
        <f ca="1">IF(R153="","",DATE(INDEX(OFFSET(Arb!$C$2,,,Arb!$AJ$5,),R153),INDEX(OFFSET(Arb!$B$2,,,Arb!$AJ$5,),R153),INDEX(OFFSET(Arb!$A$2,,,Arb!$AJ$5,),R153))+ROW()*0.001)</f>
        <v/>
      </c>
      <c r="Y153" s="436">
        <v>128</v>
      </c>
      <c r="AA153" s="52" t="str">
        <f ca="1">IF(Z153="","",INDEX(OFFSET(Arb!$H$2,,,Arb!$AJ$5,),Z153))</f>
        <v/>
      </c>
      <c r="AB153" s="3" t="str">
        <f t="shared" ca="1" si="48"/>
        <v/>
      </c>
      <c r="AC153" s="165" t="str">
        <f ca="1">IF(Z153="","",INDEX(OFFSET(Arb!$X$2,,,Arb!$AJ$5,),Z153)/AA153)</f>
        <v/>
      </c>
      <c r="AD153" s="165" t="str">
        <f ca="1">IF(Z153="","",(INDEX(OFFSET(Arb!$U$2,,,Arb!$AJ$5,),Z153)+INDEX(OFFSET(Arb!$V$2,,,Arb!$AJ$5,),Z153))/AA153)</f>
        <v/>
      </c>
      <c r="AE153" s="51" t="str">
        <f t="shared" ca="1" si="58"/>
        <v/>
      </c>
      <c r="AF153" s="91" t="str">
        <f ca="1">IF(Z153="","",DATE(INDEX(OFFSET(Arb!$C$2,,,Arb!$AJ$5,),Z153),INDEX(OFFSET(Arb!$B$2,,,Arb!$AJ$5,),Z153),INDEX(OFFSET(Arb!$A$2,,,Arb!$AJ$5,),Z153))+ROW()*0.001)</f>
        <v/>
      </c>
      <c r="AG153" s="442">
        <v>128</v>
      </c>
      <c r="AI153" s="52" t="str">
        <f ca="1">IF(AH153="","",INDEX(OFFSET(Arb!$H$2,,,Arb!$AJ$5,),AH153))</f>
        <v/>
      </c>
      <c r="AJ153" s="3" t="str">
        <f t="shared" ca="1" si="49"/>
        <v/>
      </c>
      <c r="AK153" s="165" t="str">
        <f ca="1">IF(AH153="","",INDEX(OFFSET(Arb!$X$2,,,Arb!$AJ$5,),AH153)/AI153)</f>
        <v/>
      </c>
      <c r="AL153" s="165" t="str">
        <f ca="1">IF(AH153="","",(INDEX(OFFSET(Arb!$U$2,,,Arb!$AJ$5,),AH153)+INDEX(OFFSET(Arb!$V$2,,,Arb!$AJ$5,),AH153))/AI153)</f>
        <v/>
      </c>
      <c r="AM153" s="51" t="str">
        <f t="shared" ca="1" si="59"/>
        <v/>
      </c>
      <c r="AN153" s="88" t="str">
        <f ca="1">IF(AH153="","",DATE(INDEX(OFFSET(Arb!$C$2,,,Arb!$AJ$5,),AH153),INDEX(OFFSET(Arb!$B$2,,,Arb!$AJ$5,),AH153),INDEX(OFFSET(Arb!$A$2,,,Arb!$AJ$5,),AH153))+ROW()*0.001)</f>
        <v/>
      </c>
      <c r="AO153" s="436">
        <v>128</v>
      </c>
      <c r="AQ153" s="52" t="str">
        <f ca="1">IF(AP153="","",INDEX(OFFSET(Arb!$H$2,,,Arb!$AJ$5,),AP153))</f>
        <v/>
      </c>
      <c r="AR153" s="3" t="str">
        <f t="shared" ca="1" si="50"/>
        <v/>
      </c>
      <c r="AS153" s="165" t="str">
        <f ca="1">IF(AP153="","",INDEX(OFFSET(Arb!$X$2,,,Arb!$AJ$5,),AP153)/AQ153)</f>
        <v/>
      </c>
      <c r="AT153" s="165" t="str">
        <f ca="1">IF(AP153="","",(INDEX(OFFSET(Arb!$U$2,,,Arb!$AJ$5,),AP153)+INDEX(OFFSET(Arb!$V$2,,,Arb!$AJ$5,),AP153))/AQ153)</f>
        <v/>
      </c>
      <c r="AU153" s="51" t="str">
        <f t="shared" ca="1" si="60"/>
        <v/>
      </c>
      <c r="AV153" s="91" t="str">
        <f ca="1">IF(AP153="","",DATE(INDEX(OFFSET(Arb!$C$2,,,Arb!$AJ$5,),AP153),INDEX(OFFSET(Arb!$B$2,,,Arb!$AJ$5,),AP153),INDEX(OFFSET(Arb!$A$2,,,Arb!$AJ$5,),AP153))+ROW()*0.001)</f>
        <v/>
      </c>
      <c r="AW153" s="442">
        <v>128</v>
      </c>
      <c r="AY153" s="52" t="str">
        <f ca="1">IF(AX153="","",INDEX(OFFSET(Arb!$H$2,,,Arb!$AJ$5,),AX153))</f>
        <v/>
      </c>
      <c r="AZ153" s="3" t="str">
        <f t="shared" ca="1" si="51"/>
        <v/>
      </c>
      <c r="BA153" s="165" t="str">
        <f ca="1">IF(AX153="","",INDEX(OFFSET(Arb!$X$2,,,Arb!$AJ$5,),AX153)/AY153)</f>
        <v/>
      </c>
      <c r="BB153" s="165" t="str">
        <f ca="1">IF(AX153="","",(INDEX(OFFSET(Arb!$U$2,,,Arb!$AJ$5,),AX153)+INDEX(OFFSET(Arb!$V$2,,,Arb!$AJ$5,),AX153))/AY153)</f>
        <v/>
      </c>
      <c r="BC153" s="51" t="str">
        <f t="shared" ca="1" si="61"/>
        <v/>
      </c>
      <c r="BD153" s="88" t="str">
        <f ca="1">IF(AX153="","",DATE(INDEX(OFFSET(Arb!$C$2,,,Arb!$AJ$5,),AX153),INDEX(OFFSET(Arb!$B$2,,,Arb!$AJ$5,),AX153),INDEX(OFFSET(Arb!$A$2,,,Arb!$AJ$5,),AX153))+ROW()*0.001)</f>
        <v/>
      </c>
      <c r="BE153" s="436">
        <v>128</v>
      </c>
      <c r="BG153" s="52" t="str">
        <f ca="1">IF(BF153="","",INDEX(OFFSET(Arb!$H$2,,,Arb!$AJ$5,),BF153))</f>
        <v/>
      </c>
      <c r="BH153" s="3" t="str">
        <f t="shared" ca="1" si="52"/>
        <v/>
      </c>
      <c r="BI153" s="165" t="str">
        <f ca="1">IF(BF153="","",INDEX(OFFSET(Arb!$X$2,,,Arb!$AJ$5,),BF153)/BG153)</f>
        <v/>
      </c>
      <c r="BJ153" s="165" t="str">
        <f ca="1">IF(BF153="","",(INDEX(OFFSET(Arb!$U$2,,,Arb!$AJ$5,),BF153)+INDEX(OFFSET(Arb!$V$2,,,Arb!$AJ$5,),BF153))/BG153)</f>
        <v/>
      </c>
      <c r="BK153" s="51" t="str">
        <f t="shared" ca="1" si="62"/>
        <v/>
      </c>
      <c r="BL153" s="91" t="str">
        <f ca="1">IF(BF153="","",DATE(INDEX(OFFSET(Arb!$C$2,,,Arb!$AJ$5,),BF153),INDEX(OFFSET(Arb!$B$2,,,Arb!$AJ$5,),BF153),INDEX(OFFSET(Arb!$A$2,,,Arb!$AJ$5,),BF153))+ROW()*0.001)</f>
        <v/>
      </c>
      <c r="BM153" s="442">
        <v>128</v>
      </c>
      <c r="BO153" s="52" t="str">
        <f ca="1">IF(BN153="","",INDEX(OFFSET(Arb!$H$2,,,Arb!$AJ$5,),BN153))</f>
        <v/>
      </c>
      <c r="BP153" s="3" t="str">
        <f t="shared" ca="1" si="53"/>
        <v/>
      </c>
      <c r="BQ153" s="165" t="str">
        <f ca="1">IF(BN153="","",INDEX(OFFSET(Arb!$X$2,,,Arb!$AJ$5,),BN153)/BO153)</f>
        <v/>
      </c>
      <c r="BR153" s="165" t="str">
        <f ca="1">IF(BN153="","",(INDEX(OFFSET(Arb!$U$2,,,Arb!$AJ$5,),BN153)+INDEX(OFFSET(Arb!$V$2,,,Arb!$AJ$5,),BN153))/BO153)</f>
        <v/>
      </c>
      <c r="BS153" s="51" t="str">
        <f t="shared" ca="1" si="63"/>
        <v/>
      </c>
      <c r="BT153" s="88" t="str">
        <f ca="1">IF(BN153="","",DATE(INDEX(OFFSET(Arb!$C$2,,,Arb!$AJ$5,),BN153),INDEX(OFFSET(Arb!$B$2,,,Arb!$AJ$5,),BN153),INDEX(OFFSET(Arb!$A$2,,,Arb!$AJ$5,),BN153))+ROW()*0.001)</f>
        <v/>
      </c>
      <c r="BU153" s="436">
        <v>128</v>
      </c>
      <c r="BW153" s="52" t="str">
        <f ca="1">IF(BV153="","",INDEX(OFFSET(Arb!$H$2,,,Arb!$AJ$5,),BV153))</f>
        <v/>
      </c>
      <c r="BX153" s="3" t="str">
        <f t="shared" ca="1" si="54"/>
        <v/>
      </c>
      <c r="BY153" s="165" t="str">
        <f ca="1">IF(BV153="","",INDEX(OFFSET(Arb!$X$2,,,Arb!$AJ$5,),BV153)/BW153)</f>
        <v/>
      </c>
      <c r="BZ153" s="165" t="str">
        <f ca="1">IF(BV153="","",(INDEX(OFFSET(Arb!$U$2,,,Arb!$AJ$5,),BV153)+INDEX(OFFSET(Arb!$V$2,,,Arb!$AJ$5,),BV153))/BW153)</f>
        <v/>
      </c>
      <c r="CA153" s="51" t="str">
        <f t="shared" ca="1" si="64"/>
        <v/>
      </c>
      <c r="CB153" s="91" t="str">
        <f ca="1">IF(BV153="","",DATE(INDEX(OFFSET(Arb!$C$2,,,Arb!$AJ$5,),BV153),INDEX(OFFSET(Arb!$B$2,,,Arb!$AJ$5,),BV153),INDEX(OFFSET(Arb!$A$2,,,Arb!$AJ$5,),BV153))+ROW()*0.001)</f>
        <v/>
      </c>
    </row>
    <row r="154" spans="1:80" x14ac:dyDescent="0.25">
      <c r="A154" s="436">
        <v>129</v>
      </c>
      <c r="C154" s="52" t="str">
        <f ca="1">IF(B154="","",INDEX(OFFSET(Arb!$H$2,,,Arb!$AJ$5,),B154))</f>
        <v/>
      </c>
      <c r="D154" s="3" t="str">
        <f t="shared" ca="1" si="45"/>
        <v/>
      </c>
      <c r="E154" s="165" t="str">
        <f ca="1">IF(B154="","",INDEX(OFFSET(Arb!$X$2,,,Arb!$AJ$5,),B154)/C154)</f>
        <v/>
      </c>
      <c r="F154" s="165" t="str">
        <f ca="1">IF(B154="","",(INDEX(OFFSET(Arb!$U$2,,,Arb!$AJ$5,),B154)+INDEX(OFFSET(Arb!$V$2,,,Arb!$AJ$5,),B154))/C154)</f>
        <v/>
      </c>
      <c r="G154" s="51" t="str">
        <f t="shared" ca="1" si="55"/>
        <v/>
      </c>
      <c r="H154" s="355" t="str">
        <f ca="1">IF(B154="","",DATE(INDEX(OFFSET(Arb!$C$2,,,Arb!$AJ$5,),B154),INDEX(OFFSET(Arb!$B$2,,,Arb!$AJ$5,),B154),INDEX(OFFSET(Arb!$A$2,,,Arb!$AJ$5,),B154))+ROW()*0.001)</f>
        <v/>
      </c>
      <c r="I154" s="436">
        <v>129</v>
      </c>
      <c r="K154" s="52" t="str">
        <f ca="1">IF(J154="","",INDEX(OFFSET(Arb!$H$2,,,Arb!$AJ$5,),J154))</f>
        <v/>
      </c>
      <c r="L154" s="3" t="str">
        <f t="shared" ca="1" si="46"/>
        <v/>
      </c>
      <c r="M154" s="165" t="str">
        <f ca="1">IF(J154="","",INDEX(OFFSET(Arb!$X$2,,,Arb!$AJ$5,),J154)/K154)</f>
        <v/>
      </c>
      <c r="N154" s="165" t="str">
        <f ca="1">IF(J154="","",(INDEX(OFFSET(Arb!$U$2,,,Arb!$AJ$5,),J154)+INDEX(OFFSET(Arb!$V$2,,,Arb!$AJ$5,),J154))/K154)</f>
        <v/>
      </c>
      <c r="O154" s="51" t="str">
        <f t="shared" ca="1" si="56"/>
        <v/>
      </c>
      <c r="P154" s="91" t="str">
        <f ca="1">IF(J154="","",DATE(INDEX(OFFSET(Arb!$C$2,,,Arb!$AJ$5,),J154),INDEX(OFFSET(Arb!$B$2,,,Arb!$AJ$5,),J154),INDEX(OFFSET(Arb!$A$2,,,Arb!$AJ$5,),J154))+ROW()*0.001)</f>
        <v/>
      </c>
      <c r="Q154" s="442">
        <v>129</v>
      </c>
      <c r="S154" s="52" t="str">
        <f ca="1">IF(R154="","",INDEX(OFFSET(Arb!$H$2,,,Arb!$AJ$5,),R154))</f>
        <v/>
      </c>
      <c r="T154" s="3" t="str">
        <f t="shared" ca="1" si="47"/>
        <v/>
      </c>
      <c r="U154" s="165" t="str">
        <f ca="1">IF(R154="","",INDEX(OFFSET(Arb!$X$2,,,Arb!$AJ$5,),R154)/S154)</f>
        <v/>
      </c>
      <c r="V154" s="165" t="str">
        <f ca="1">IF(R154="","",(INDEX(OFFSET(Arb!$U$2,,,Arb!$AJ$5,),R154)+INDEX(OFFSET(Arb!$V$2,,,Arb!$AJ$5,),R154))/S154)</f>
        <v/>
      </c>
      <c r="W154" s="51" t="str">
        <f t="shared" ca="1" si="57"/>
        <v/>
      </c>
      <c r="X154" s="88" t="str">
        <f ca="1">IF(R154="","",DATE(INDEX(OFFSET(Arb!$C$2,,,Arb!$AJ$5,),R154),INDEX(OFFSET(Arb!$B$2,,,Arb!$AJ$5,),R154),INDEX(OFFSET(Arb!$A$2,,,Arb!$AJ$5,),R154))+ROW()*0.001)</f>
        <v/>
      </c>
      <c r="Y154" s="436">
        <v>129</v>
      </c>
      <c r="AA154" s="52" t="str">
        <f ca="1">IF(Z154="","",INDEX(OFFSET(Arb!$H$2,,,Arb!$AJ$5,),Z154))</f>
        <v/>
      </c>
      <c r="AB154" s="3" t="str">
        <f t="shared" ca="1" si="48"/>
        <v/>
      </c>
      <c r="AC154" s="165" t="str">
        <f ca="1">IF(Z154="","",INDEX(OFFSET(Arb!$X$2,,,Arb!$AJ$5,),Z154)/AA154)</f>
        <v/>
      </c>
      <c r="AD154" s="165" t="str">
        <f ca="1">IF(Z154="","",(INDEX(OFFSET(Arb!$U$2,,,Arb!$AJ$5,),Z154)+INDEX(OFFSET(Arb!$V$2,,,Arb!$AJ$5,),Z154))/AA154)</f>
        <v/>
      </c>
      <c r="AE154" s="51" t="str">
        <f t="shared" ca="1" si="58"/>
        <v/>
      </c>
      <c r="AF154" s="91" t="str">
        <f ca="1">IF(Z154="","",DATE(INDEX(OFFSET(Arb!$C$2,,,Arb!$AJ$5,),Z154),INDEX(OFFSET(Arb!$B$2,,,Arb!$AJ$5,),Z154),INDEX(OFFSET(Arb!$A$2,,,Arb!$AJ$5,),Z154))+ROW()*0.001)</f>
        <v/>
      </c>
      <c r="AG154" s="442">
        <v>129</v>
      </c>
      <c r="AI154" s="52" t="str">
        <f ca="1">IF(AH154="","",INDEX(OFFSET(Arb!$H$2,,,Arb!$AJ$5,),AH154))</f>
        <v/>
      </c>
      <c r="AJ154" s="3" t="str">
        <f t="shared" ca="1" si="49"/>
        <v/>
      </c>
      <c r="AK154" s="165" t="str">
        <f ca="1">IF(AH154="","",INDEX(OFFSET(Arb!$X$2,,,Arb!$AJ$5,),AH154)/AI154)</f>
        <v/>
      </c>
      <c r="AL154" s="165" t="str">
        <f ca="1">IF(AH154="","",(INDEX(OFFSET(Arb!$U$2,,,Arb!$AJ$5,),AH154)+INDEX(OFFSET(Arb!$V$2,,,Arb!$AJ$5,),AH154))/AI154)</f>
        <v/>
      </c>
      <c r="AM154" s="51" t="str">
        <f t="shared" ca="1" si="59"/>
        <v/>
      </c>
      <c r="AN154" s="88" t="str">
        <f ca="1">IF(AH154="","",DATE(INDEX(OFFSET(Arb!$C$2,,,Arb!$AJ$5,),AH154),INDEX(OFFSET(Arb!$B$2,,,Arb!$AJ$5,),AH154),INDEX(OFFSET(Arb!$A$2,,,Arb!$AJ$5,),AH154))+ROW()*0.001)</f>
        <v/>
      </c>
      <c r="AO154" s="436">
        <v>129</v>
      </c>
      <c r="AQ154" s="52" t="str">
        <f ca="1">IF(AP154="","",INDEX(OFFSET(Arb!$H$2,,,Arb!$AJ$5,),AP154))</f>
        <v/>
      </c>
      <c r="AR154" s="3" t="str">
        <f t="shared" ca="1" si="50"/>
        <v/>
      </c>
      <c r="AS154" s="165" t="str">
        <f ca="1">IF(AP154="","",INDEX(OFFSET(Arb!$X$2,,,Arb!$AJ$5,),AP154)/AQ154)</f>
        <v/>
      </c>
      <c r="AT154" s="165" t="str">
        <f ca="1">IF(AP154="","",(INDEX(OFFSET(Arb!$U$2,,,Arb!$AJ$5,),AP154)+INDEX(OFFSET(Arb!$V$2,,,Arb!$AJ$5,),AP154))/AQ154)</f>
        <v/>
      </c>
      <c r="AU154" s="51" t="str">
        <f t="shared" ca="1" si="60"/>
        <v/>
      </c>
      <c r="AV154" s="91" t="str">
        <f ca="1">IF(AP154="","",DATE(INDEX(OFFSET(Arb!$C$2,,,Arb!$AJ$5,),AP154),INDEX(OFFSET(Arb!$B$2,,,Arb!$AJ$5,),AP154),INDEX(OFFSET(Arb!$A$2,,,Arb!$AJ$5,),AP154))+ROW()*0.001)</f>
        <v/>
      </c>
      <c r="AW154" s="442">
        <v>129</v>
      </c>
      <c r="AY154" s="52" t="str">
        <f ca="1">IF(AX154="","",INDEX(OFFSET(Arb!$H$2,,,Arb!$AJ$5,),AX154))</f>
        <v/>
      </c>
      <c r="AZ154" s="3" t="str">
        <f t="shared" ca="1" si="51"/>
        <v/>
      </c>
      <c r="BA154" s="165" t="str">
        <f ca="1">IF(AX154="","",INDEX(OFFSET(Arb!$X$2,,,Arb!$AJ$5,),AX154)/AY154)</f>
        <v/>
      </c>
      <c r="BB154" s="165" t="str">
        <f ca="1">IF(AX154="","",(INDEX(OFFSET(Arb!$U$2,,,Arb!$AJ$5,),AX154)+INDEX(OFFSET(Arb!$V$2,,,Arb!$AJ$5,),AX154))/AY154)</f>
        <v/>
      </c>
      <c r="BC154" s="51" t="str">
        <f t="shared" ca="1" si="61"/>
        <v/>
      </c>
      <c r="BD154" s="88" t="str">
        <f ca="1">IF(AX154="","",DATE(INDEX(OFFSET(Arb!$C$2,,,Arb!$AJ$5,),AX154),INDEX(OFFSET(Arb!$B$2,,,Arb!$AJ$5,),AX154),INDEX(OFFSET(Arb!$A$2,,,Arb!$AJ$5,),AX154))+ROW()*0.001)</f>
        <v/>
      </c>
      <c r="BE154" s="436">
        <v>129</v>
      </c>
      <c r="BG154" s="52" t="str">
        <f ca="1">IF(BF154="","",INDEX(OFFSET(Arb!$H$2,,,Arb!$AJ$5,),BF154))</f>
        <v/>
      </c>
      <c r="BH154" s="3" t="str">
        <f t="shared" ca="1" si="52"/>
        <v/>
      </c>
      <c r="BI154" s="165" t="str">
        <f ca="1">IF(BF154="","",INDEX(OFFSET(Arb!$X$2,,,Arb!$AJ$5,),BF154)/BG154)</f>
        <v/>
      </c>
      <c r="BJ154" s="165" t="str">
        <f ca="1">IF(BF154="","",(INDEX(OFFSET(Arb!$U$2,,,Arb!$AJ$5,),BF154)+INDEX(OFFSET(Arb!$V$2,,,Arb!$AJ$5,),BF154))/BG154)</f>
        <v/>
      </c>
      <c r="BK154" s="51" t="str">
        <f t="shared" ca="1" si="62"/>
        <v/>
      </c>
      <c r="BL154" s="91" t="str">
        <f ca="1">IF(BF154="","",DATE(INDEX(OFFSET(Arb!$C$2,,,Arb!$AJ$5,),BF154),INDEX(OFFSET(Arb!$B$2,,,Arb!$AJ$5,),BF154),INDEX(OFFSET(Arb!$A$2,,,Arb!$AJ$5,),BF154))+ROW()*0.001)</f>
        <v/>
      </c>
      <c r="BM154" s="442">
        <v>129</v>
      </c>
      <c r="BO154" s="52" t="str">
        <f ca="1">IF(BN154="","",INDEX(OFFSET(Arb!$H$2,,,Arb!$AJ$5,),BN154))</f>
        <v/>
      </c>
      <c r="BP154" s="3" t="str">
        <f t="shared" ca="1" si="53"/>
        <v/>
      </c>
      <c r="BQ154" s="165" t="str">
        <f ca="1">IF(BN154="","",INDEX(OFFSET(Arb!$X$2,,,Arb!$AJ$5,),BN154)/BO154)</f>
        <v/>
      </c>
      <c r="BR154" s="165" t="str">
        <f ca="1">IF(BN154="","",(INDEX(OFFSET(Arb!$U$2,,,Arb!$AJ$5,),BN154)+INDEX(OFFSET(Arb!$V$2,,,Arb!$AJ$5,),BN154))/BO154)</f>
        <v/>
      </c>
      <c r="BS154" s="51" t="str">
        <f t="shared" ca="1" si="63"/>
        <v/>
      </c>
      <c r="BT154" s="88" t="str">
        <f ca="1">IF(BN154="","",DATE(INDEX(OFFSET(Arb!$C$2,,,Arb!$AJ$5,),BN154),INDEX(OFFSET(Arb!$B$2,,,Arb!$AJ$5,),BN154),INDEX(OFFSET(Arb!$A$2,,,Arb!$AJ$5,),BN154))+ROW()*0.001)</f>
        <v/>
      </c>
      <c r="BU154" s="436">
        <v>129</v>
      </c>
      <c r="BW154" s="52" t="str">
        <f ca="1">IF(BV154="","",INDEX(OFFSET(Arb!$H$2,,,Arb!$AJ$5,),BV154))</f>
        <v/>
      </c>
      <c r="BX154" s="3" t="str">
        <f t="shared" ca="1" si="54"/>
        <v/>
      </c>
      <c r="BY154" s="165" t="str">
        <f ca="1">IF(BV154="","",INDEX(OFFSET(Arb!$X$2,,,Arb!$AJ$5,),BV154)/BW154)</f>
        <v/>
      </c>
      <c r="BZ154" s="165" t="str">
        <f ca="1">IF(BV154="","",(INDEX(OFFSET(Arb!$U$2,,,Arb!$AJ$5,),BV154)+INDEX(OFFSET(Arb!$V$2,,,Arb!$AJ$5,),BV154))/BW154)</f>
        <v/>
      </c>
      <c r="CA154" s="51" t="str">
        <f t="shared" ca="1" si="64"/>
        <v/>
      </c>
      <c r="CB154" s="91" t="str">
        <f ca="1">IF(BV154="","",DATE(INDEX(OFFSET(Arb!$C$2,,,Arb!$AJ$5,),BV154),INDEX(OFFSET(Arb!$B$2,,,Arb!$AJ$5,),BV154),INDEX(OFFSET(Arb!$A$2,,,Arb!$AJ$5,),BV154))+ROW()*0.001)</f>
        <v/>
      </c>
    </row>
    <row r="155" spans="1:80" x14ac:dyDescent="0.25">
      <c r="A155" s="436">
        <v>130</v>
      </c>
      <c r="C155" s="52" t="str">
        <f ca="1">IF(B155="","",INDEX(OFFSET(Arb!$H$2,,,Arb!$AJ$5,),B155))</f>
        <v/>
      </c>
      <c r="D155" s="3" t="str">
        <f t="shared" ca="1" si="45"/>
        <v/>
      </c>
      <c r="E155" s="165" t="str">
        <f ca="1">IF(B155="","",INDEX(OFFSET(Arb!$X$2,,,Arb!$AJ$5,),B155)/C155)</f>
        <v/>
      </c>
      <c r="F155" s="165" t="str">
        <f ca="1">IF(B155="","",(INDEX(OFFSET(Arb!$U$2,,,Arb!$AJ$5,),B155)+INDEX(OFFSET(Arb!$V$2,,,Arb!$AJ$5,),B155))/C155)</f>
        <v/>
      </c>
      <c r="G155" s="51" t="str">
        <f t="shared" ca="1" si="55"/>
        <v/>
      </c>
      <c r="H155" s="355" t="str">
        <f ca="1">IF(B155="","",DATE(INDEX(OFFSET(Arb!$C$2,,,Arb!$AJ$5,),B155),INDEX(OFFSET(Arb!$B$2,,,Arb!$AJ$5,),B155),INDEX(OFFSET(Arb!$A$2,,,Arb!$AJ$5,),B155))+ROW()*0.001)</f>
        <v/>
      </c>
      <c r="I155" s="436">
        <v>130</v>
      </c>
      <c r="K155" s="52" t="str">
        <f ca="1">IF(J155="","",INDEX(OFFSET(Arb!$H$2,,,Arb!$AJ$5,),J155))</f>
        <v/>
      </c>
      <c r="L155" s="3" t="str">
        <f t="shared" ca="1" si="46"/>
        <v/>
      </c>
      <c r="M155" s="165" t="str">
        <f ca="1">IF(J155="","",INDEX(OFFSET(Arb!$X$2,,,Arb!$AJ$5,),J155)/K155)</f>
        <v/>
      </c>
      <c r="N155" s="165" t="str">
        <f ca="1">IF(J155="","",(INDEX(OFFSET(Arb!$U$2,,,Arb!$AJ$5,),J155)+INDEX(OFFSET(Arb!$V$2,,,Arb!$AJ$5,),J155))/K155)</f>
        <v/>
      </c>
      <c r="O155" s="51" t="str">
        <f t="shared" ca="1" si="56"/>
        <v/>
      </c>
      <c r="P155" s="91" t="str">
        <f ca="1">IF(J155="","",DATE(INDEX(OFFSET(Arb!$C$2,,,Arb!$AJ$5,),J155),INDEX(OFFSET(Arb!$B$2,,,Arb!$AJ$5,),J155),INDEX(OFFSET(Arb!$A$2,,,Arb!$AJ$5,),J155))+ROW()*0.001)</f>
        <v/>
      </c>
      <c r="Q155" s="442">
        <v>130</v>
      </c>
      <c r="S155" s="52" t="str">
        <f ca="1">IF(R155="","",INDEX(OFFSET(Arb!$H$2,,,Arb!$AJ$5,),R155))</f>
        <v/>
      </c>
      <c r="T155" s="3" t="str">
        <f t="shared" ca="1" si="47"/>
        <v/>
      </c>
      <c r="U155" s="165" t="str">
        <f ca="1">IF(R155="","",INDEX(OFFSET(Arb!$X$2,,,Arb!$AJ$5,),R155)/S155)</f>
        <v/>
      </c>
      <c r="V155" s="165" t="str">
        <f ca="1">IF(R155="","",(INDEX(OFFSET(Arb!$U$2,,,Arb!$AJ$5,),R155)+INDEX(OFFSET(Arb!$V$2,,,Arb!$AJ$5,),R155))/S155)</f>
        <v/>
      </c>
      <c r="W155" s="51" t="str">
        <f t="shared" ca="1" si="57"/>
        <v/>
      </c>
      <c r="X155" s="88" t="str">
        <f ca="1">IF(R155="","",DATE(INDEX(OFFSET(Arb!$C$2,,,Arb!$AJ$5,),R155),INDEX(OFFSET(Arb!$B$2,,,Arb!$AJ$5,),R155),INDEX(OFFSET(Arb!$A$2,,,Arb!$AJ$5,),R155))+ROW()*0.001)</f>
        <v/>
      </c>
      <c r="Y155" s="436">
        <v>130</v>
      </c>
      <c r="AA155" s="52" t="str">
        <f ca="1">IF(Z155="","",INDEX(OFFSET(Arb!$H$2,,,Arb!$AJ$5,),Z155))</f>
        <v/>
      </c>
      <c r="AB155" s="3" t="str">
        <f t="shared" ca="1" si="48"/>
        <v/>
      </c>
      <c r="AC155" s="165" t="str">
        <f ca="1">IF(Z155="","",INDEX(OFFSET(Arb!$X$2,,,Arb!$AJ$5,),Z155)/AA155)</f>
        <v/>
      </c>
      <c r="AD155" s="165" t="str">
        <f ca="1">IF(Z155="","",(INDEX(OFFSET(Arb!$U$2,,,Arb!$AJ$5,),Z155)+INDEX(OFFSET(Arb!$V$2,,,Arb!$AJ$5,),Z155))/AA155)</f>
        <v/>
      </c>
      <c r="AE155" s="51" t="str">
        <f t="shared" ca="1" si="58"/>
        <v/>
      </c>
      <c r="AF155" s="91" t="str">
        <f ca="1">IF(Z155="","",DATE(INDEX(OFFSET(Arb!$C$2,,,Arb!$AJ$5,),Z155),INDEX(OFFSET(Arb!$B$2,,,Arb!$AJ$5,),Z155),INDEX(OFFSET(Arb!$A$2,,,Arb!$AJ$5,),Z155))+ROW()*0.001)</f>
        <v/>
      </c>
      <c r="AG155" s="442">
        <v>130</v>
      </c>
      <c r="AI155" s="52" t="str">
        <f ca="1">IF(AH155="","",INDEX(OFFSET(Arb!$H$2,,,Arb!$AJ$5,),AH155))</f>
        <v/>
      </c>
      <c r="AJ155" s="3" t="str">
        <f t="shared" ca="1" si="49"/>
        <v/>
      </c>
      <c r="AK155" s="165" t="str">
        <f ca="1">IF(AH155="","",INDEX(OFFSET(Arb!$X$2,,,Arb!$AJ$5,),AH155)/AI155)</f>
        <v/>
      </c>
      <c r="AL155" s="165" t="str">
        <f ca="1">IF(AH155="","",(INDEX(OFFSET(Arb!$U$2,,,Arb!$AJ$5,),AH155)+INDEX(OFFSET(Arb!$V$2,,,Arb!$AJ$5,),AH155))/AI155)</f>
        <v/>
      </c>
      <c r="AM155" s="51" t="str">
        <f t="shared" ca="1" si="59"/>
        <v/>
      </c>
      <c r="AN155" s="88" t="str">
        <f ca="1">IF(AH155="","",DATE(INDEX(OFFSET(Arb!$C$2,,,Arb!$AJ$5,),AH155),INDEX(OFFSET(Arb!$B$2,,,Arb!$AJ$5,),AH155),INDEX(OFFSET(Arb!$A$2,,,Arb!$AJ$5,),AH155))+ROW()*0.001)</f>
        <v/>
      </c>
      <c r="AO155" s="436">
        <v>130</v>
      </c>
      <c r="AQ155" s="52" t="str">
        <f ca="1">IF(AP155="","",INDEX(OFFSET(Arb!$H$2,,,Arb!$AJ$5,),AP155))</f>
        <v/>
      </c>
      <c r="AR155" s="3" t="str">
        <f t="shared" ca="1" si="50"/>
        <v/>
      </c>
      <c r="AS155" s="165" t="str">
        <f ca="1">IF(AP155="","",INDEX(OFFSET(Arb!$X$2,,,Arb!$AJ$5,),AP155)/AQ155)</f>
        <v/>
      </c>
      <c r="AT155" s="165" t="str">
        <f ca="1">IF(AP155="","",(INDEX(OFFSET(Arb!$U$2,,,Arb!$AJ$5,),AP155)+INDEX(OFFSET(Arb!$V$2,,,Arb!$AJ$5,),AP155))/AQ155)</f>
        <v/>
      </c>
      <c r="AU155" s="51" t="str">
        <f t="shared" ca="1" si="60"/>
        <v/>
      </c>
      <c r="AV155" s="91" t="str">
        <f ca="1">IF(AP155="","",DATE(INDEX(OFFSET(Arb!$C$2,,,Arb!$AJ$5,),AP155),INDEX(OFFSET(Arb!$B$2,,,Arb!$AJ$5,),AP155),INDEX(OFFSET(Arb!$A$2,,,Arb!$AJ$5,),AP155))+ROW()*0.001)</f>
        <v/>
      </c>
      <c r="AW155" s="442">
        <v>130</v>
      </c>
      <c r="AY155" s="52" t="str">
        <f ca="1">IF(AX155="","",INDEX(OFFSET(Arb!$H$2,,,Arb!$AJ$5,),AX155))</f>
        <v/>
      </c>
      <c r="AZ155" s="3" t="str">
        <f t="shared" ca="1" si="51"/>
        <v/>
      </c>
      <c r="BA155" s="165" t="str">
        <f ca="1">IF(AX155="","",INDEX(OFFSET(Arb!$X$2,,,Arb!$AJ$5,),AX155)/AY155)</f>
        <v/>
      </c>
      <c r="BB155" s="165" t="str">
        <f ca="1">IF(AX155="","",(INDEX(OFFSET(Arb!$U$2,,,Arb!$AJ$5,),AX155)+INDEX(OFFSET(Arb!$V$2,,,Arb!$AJ$5,),AX155))/AY155)</f>
        <v/>
      </c>
      <c r="BC155" s="51" t="str">
        <f t="shared" ca="1" si="61"/>
        <v/>
      </c>
      <c r="BD155" s="88" t="str">
        <f ca="1">IF(AX155="","",DATE(INDEX(OFFSET(Arb!$C$2,,,Arb!$AJ$5,),AX155),INDEX(OFFSET(Arb!$B$2,,,Arb!$AJ$5,),AX155),INDEX(OFFSET(Arb!$A$2,,,Arb!$AJ$5,),AX155))+ROW()*0.001)</f>
        <v/>
      </c>
      <c r="BE155" s="436">
        <v>130</v>
      </c>
      <c r="BG155" s="52" t="str">
        <f ca="1">IF(BF155="","",INDEX(OFFSET(Arb!$H$2,,,Arb!$AJ$5,),BF155))</f>
        <v/>
      </c>
      <c r="BH155" s="3" t="str">
        <f t="shared" ca="1" si="52"/>
        <v/>
      </c>
      <c r="BI155" s="165" t="str">
        <f ca="1">IF(BF155="","",INDEX(OFFSET(Arb!$X$2,,,Arb!$AJ$5,),BF155)/BG155)</f>
        <v/>
      </c>
      <c r="BJ155" s="165" t="str">
        <f ca="1">IF(BF155="","",(INDEX(OFFSET(Arb!$U$2,,,Arb!$AJ$5,),BF155)+INDEX(OFFSET(Arb!$V$2,,,Arb!$AJ$5,),BF155))/BG155)</f>
        <v/>
      </c>
      <c r="BK155" s="51" t="str">
        <f t="shared" ca="1" si="62"/>
        <v/>
      </c>
      <c r="BL155" s="91" t="str">
        <f ca="1">IF(BF155="","",DATE(INDEX(OFFSET(Arb!$C$2,,,Arb!$AJ$5,),BF155),INDEX(OFFSET(Arb!$B$2,,,Arb!$AJ$5,),BF155),INDEX(OFFSET(Arb!$A$2,,,Arb!$AJ$5,),BF155))+ROW()*0.001)</f>
        <v/>
      </c>
      <c r="BM155" s="442">
        <v>130</v>
      </c>
      <c r="BO155" s="52" t="str">
        <f ca="1">IF(BN155="","",INDEX(OFFSET(Arb!$H$2,,,Arb!$AJ$5,),BN155))</f>
        <v/>
      </c>
      <c r="BP155" s="3" t="str">
        <f t="shared" ca="1" si="53"/>
        <v/>
      </c>
      <c r="BQ155" s="165" t="str">
        <f ca="1">IF(BN155="","",INDEX(OFFSET(Arb!$X$2,,,Arb!$AJ$5,),BN155)/BO155)</f>
        <v/>
      </c>
      <c r="BR155" s="165" t="str">
        <f ca="1">IF(BN155="","",(INDEX(OFFSET(Arb!$U$2,,,Arb!$AJ$5,),BN155)+INDEX(OFFSET(Arb!$V$2,,,Arb!$AJ$5,),BN155))/BO155)</f>
        <v/>
      </c>
      <c r="BS155" s="51" t="str">
        <f t="shared" ca="1" si="63"/>
        <v/>
      </c>
      <c r="BT155" s="88" t="str">
        <f ca="1">IF(BN155="","",DATE(INDEX(OFFSET(Arb!$C$2,,,Arb!$AJ$5,),BN155),INDEX(OFFSET(Arb!$B$2,,,Arb!$AJ$5,),BN155),INDEX(OFFSET(Arb!$A$2,,,Arb!$AJ$5,),BN155))+ROW()*0.001)</f>
        <v/>
      </c>
      <c r="BU155" s="436">
        <v>130</v>
      </c>
      <c r="BW155" s="52" t="str">
        <f ca="1">IF(BV155="","",INDEX(OFFSET(Arb!$H$2,,,Arb!$AJ$5,),BV155))</f>
        <v/>
      </c>
      <c r="BX155" s="3" t="str">
        <f t="shared" ca="1" si="54"/>
        <v/>
      </c>
      <c r="BY155" s="165" t="str">
        <f ca="1">IF(BV155="","",INDEX(OFFSET(Arb!$X$2,,,Arb!$AJ$5,),BV155)/BW155)</f>
        <v/>
      </c>
      <c r="BZ155" s="165" t="str">
        <f ca="1">IF(BV155="","",(INDEX(OFFSET(Arb!$U$2,,,Arb!$AJ$5,),BV155)+INDEX(OFFSET(Arb!$V$2,,,Arb!$AJ$5,),BV155))/BW155)</f>
        <v/>
      </c>
      <c r="CA155" s="51" t="str">
        <f t="shared" ca="1" si="64"/>
        <v/>
      </c>
      <c r="CB155" s="91" t="str">
        <f ca="1">IF(BV155="","",DATE(INDEX(OFFSET(Arb!$C$2,,,Arb!$AJ$5,),BV155),INDEX(OFFSET(Arb!$B$2,,,Arb!$AJ$5,),BV155),INDEX(OFFSET(Arb!$A$2,,,Arb!$AJ$5,),BV155))+ROW()*0.001)</f>
        <v/>
      </c>
    </row>
    <row r="156" spans="1:80" x14ac:dyDescent="0.25">
      <c r="A156" s="436">
        <v>131</v>
      </c>
      <c r="C156" s="52" t="str">
        <f ca="1">IF(B156="","",INDEX(OFFSET(Arb!$H$2,,,Arb!$AJ$5,),B156))</f>
        <v/>
      </c>
      <c r="D156" s="3" t="str">
        <f t="shared" ca="1" si="45"/>
        <v/>
      </c>
      <c r="E156" s="165" t="str">
        <f ca="1">IF(B156="","",INDEX(OFFSET(Arb!$X$2,,,Arb!$AJ$5,),B156)/C156)</f>
        <v/>
      </c>
      <c r="F156" s="165" t="str">
        <f ca="1">IF(B156="","",(INDEX(OFFSET(Arb!$U$2,,,Arb!$AJ$5,),B156)+INDEX(OFFSET(Arb!$V$2,,,Arb!$AJ$5,),B156))/C156)</f>
        <v/>
      </c>
      <c r="G156" s="51" t="str">
        <f t="shared" ca="1" si="55"/>
        <v/>
      </c>
      <c r="H156" s="355" t="str">
        <f ca="1">IF(B156="","",DATE(INDEX(OFFSET(Arb!$C$2,,,Arb!$AJ$5,),B156),INDEX(OFFSET(Arb!$B$2,,,Arb!$AJ$5,),B156),INDEX(OFFSET(Arb!$A$2,,,Arb!$AJ$5,),B156))+ROW()*0.001)</f>
        <v/>
      </c>
      <c r="I156" s="436">
        <v>131</v>
      </c>
      <c r="K156" s="52" t="str">
        <f ca="1">IF(J156="","",INDEX(OFFSET(Arb!$H$2,,,Arb!$AJ$5,),J156))</f>
        <v/>
      </c>
      <c r="L156" s="3" t="str">
        <f t="shared" ca="1" si="46"/>
        <v/>
      </c>
      <c r="M156" s="165" t="str">
        <f ca="1">IF(J156="","",INDEX(OFFSET(Arb!$X$2,,,Arb!$AJ$5,),J156)/K156)</f>
        <v/>
      </c>
      <c r="N156" s="165" t="str">
        <f ca="1">IF(J156="","",(INDEX(OFFSET(Arb!$U$2,,,Arb!$AJ$5,),J156)+INDEX(OFFSET(Arb!$V$2,,,Arb!$AJ$5,),J156))/K156)</f>
        <v/>
      </c>
      <c r="O156" s="51" t="str">
        <f t="shared" ca="1" si="56"/>
        <v/>
      </c>
      <c r="P156" s="91" t="str">
        <f ca="1">IF(J156="","",DATE(INDEX(OFFSET(Arb!$C$2,,,Arb!$AJ$5,),J156),INDEX(OFFSET(Arb!$B$2,,,Arb!$AJ$5,),J156),INDEX(OFFSET(Arb!$A$2,,,Arb!$AJ$5,),J156))+ROW()*0.001)</f>
        <v/>
      </c>
      <c r="Q156" s="442">
        <v>131</v>
      </c>
      <c r="S156" s="52" t="str">
        <f ca="1">IF(R156="","",INDEX(OFFSET(Arb!$H$2,,,Arb!$AJ$5,),R156))</f>
        <v/>
      </c>
      <c r="T156" s="3" t="str">
        <f t="shared" ca="1" si="47"/>
        <v/>
      </c>
      <c r="U156" s="165" t="str">
        <f ca="1">IF(R156="","",INDEX(OFFSET(Arb!$X$2,,,Arb!$AJ$5,),R156)/S156)</f>
        <v/>
      </c>
      <c r="V156" s="165" t="str">
        <f ca="1">IF(R156="","",(INDEX(OFFSET(Arb!$U$2,,,Arb!$AJ$5,),R156)+INDEX(OFFSET(Arb!$V$2,,,Arb!$AJ$5,),R156))/S156)</f>
        <v/>
      </c>
      <c r="W156" s="51" t="str">
        <f t="shared" ca="1" si="57"/>
        <v/>
      </c>
      <c r="X156" s="88" t="str">
        <f ca="1">IF(R156="","",DATE(INDEX(OFFSET(Arb!$C$2,,,Arb!$AJ$5,),R156),INDEX(OFFSET(Arb!$B$2,,,Arb!$AJ$5,),R156),INDEX(OFFSET(Arb!$A$2,,,Arb!$AJ$5,),R156))+ROW()*0.001)</f>
        <v/>
      </c>
      <c r="Y156" s="436">
        <v>131</v>
      </c>
      <c r="AA156" s="52" t="str">
        <f ca="1">IF(Z156="","",INDEX(OFFSET(Arb!$H$2,,,Arb!$AJ$5,),Z156))</f>
        <v/>
      </c>
      <c r="AB156" s="3" t="str">
        <f t="shared" ca="1" si="48"/>
        <v/>
      </c>
      <c r="AC156" s="165" t="str">
        <f ca="1">IF(Z156="","",INDEX(OFFSET(Arb!$X$2,,,Arb!$AJ$5,),Z156)/AA156)</f>
        <v/>
      </c>
      <c r="AD156" s="165" t="str">
        <f ca="1">IF(Z156="","",(INDEX(OFFSET(Arb!$U$2,,,Arb!$AJ$5,),Z156)+INDEX(OFFSET(Arb!$V$2,,,Arb!$AJ$5,),Z156))/AA156)</f>
        <v/>
      </c>
      <c r="AE156" s="51" t="str">
        <f t="shared" ca="1" si="58"/>
        <v/>
      </c>
      <c r="AF156" s="91" t="str">
        <f ca="1">IF(Z156="","",DATE(INDEX(OFFSET(Arb!$C$2,,,Arb!$AJ$5,),Z156),INDEX(OFFSET(Arb!$B$2,,,Arb!$AJ$5,),Z156),INDEX(OFFSET(Arb!$A$2,,,Arb!$AJ$5,),Z156))+ROW()*0.001)</f>
        <v/>
      </c>
      <c r="AG156" s="442">
        <v>131</v>
      </c>
      <c r="AI156" s="52" t="str">
        <f ca="1">IF(AH156="","",INDEX(OFFSET(Arb!$H$2,,,Arb!$AJ$5,),AH156))</f>
        <v/>
      </c>
      <c r="AJ156" s="3" t="str">
        <f t="shared" ca="1" si="49"/>
        <v/>
      </c>
      <c r="AK156" s="165" t="str">
        <f ca="1">IF(AH156="","",INDEX(OFFSET(Arb!$X$2,,,Arb!$AJ$5,),AH156)/AI156)</f>
        <v/>
      </c>
      <c r="AL156" s="165" t="str">
        <f ca="1">IF(AH156="","",(INDEX(OFFSET(Arb!$U$2,,,Arb!$AJ$5,),AH156)+INDEX(OFFSET(Arb!$V$2,,,Arb!$AJ$5,),AH156))/AI156)</f>
        <v/>
      </c>
      <c r="AM156" s="51" t="str">
        <f t="shared" ca="1" si="59"/>
        <v/>
      </c>
      <c r="AN156" s="88" t="str">
        <f ca="1">IF(AH156="","",DATE(INDEX(OFFSET(Arb!$C$2,,,Arb!$AJ$5,),AH156),INDEX(OFFSET(Arb!$B$2,,,Arb!$AJ$5,),AH156),INDEX(OFFSET(Arb!$A$2,,,Arb!$AJ$5,),AH156))+ROW()*0.001)</f>
        <v/>
      </c>
      <c r="AO156" s="436">
        <v>131</v>
      </c>
      <c r="AQ156" s="52" t="str">
        <f ca="1">IF(AP156="","",INDEX(OFFSET(Arb!$H$2,,,Arb!$AJ$5,),AP156))</f>
        <v/>
      </c>
      <c r="AR156" s="3" t="str">
        <f t="shared" ca="1" si="50"/>
        <v/>
      </c>
      <c r="AS156" s="165" t="str">
        <f ca="1">IF(AP156="","",INDEX(OFFSET(Arb!$X$2,,,Arb!$AJ$5,),AP156)/AQ156)</f>
        <v/>
      </c>
      <c r="AT156" s="165" t="str">
        <f ca="1">IF(AP156="","",(INDEX(OFFSET(Arb!$U$2,,,Arb!$AJ$5,),AP156)+INDEX(OFFSET(Arb!$V$2,,,Arb!$AJ$5,),AP156))/AQ156)</f>
        <v/>
      </c>
      <c r="AU156" s="51" t="str">
        <f t="shared" ca="1" si="60"/>
        <v/>
      </c>
      <c r="AV156" s="91" t="str">
        <f ca="1">IF(AP156="","",DATE(INDEX(OFFSET(Arb!$C$2,,,Arb!$AJ$5,),AP156),INDEX(OFFSET(Arb!$B$2,,,Arb!$AJ$5,),AP156),INDEX(OFFSET(Arb!$A$2,,,Arb!$AJ$5,),AP156))+ROW()*0.001)</f>
        <v/>
      </c>
      <c r="AW156" s="442">
        <v>131</v>
      </c>
      <c r="AY156" s="52" t="str">
        <f ca="1">IF(AX156="","",INDEX(OFFSET(Arb!$H$2,,,Arb!$AJ$5,),AX156))</f>
        <v/>
      </c>
      <c r="AZ156" s="3" t="str">
        <f t="shared" ca="1" si="51"/>
        <v/>
      </c>
      <c r="BA156" s="165" t="str">
        <f ca="1">IF(AX156="","",INDEX(OFFSET(Arb!$X$2,,,Arb!$AJ$5,),AX156)/AY156)</f>
        <v/>
      </c>
      <c r="BB156" s="165" t="str">
        <f ca="1">IF(AX156="","",(INDEX(OFFSET(Arb!$U$2,,,Arb!$AJ$5,),AX156)+INDEX(OFFSET(Arb!$V$2,,,Arb!$AJ$5,),AX156))/AY156)</f>
        <v/>
      </c>
      <c r="BC156" s="51" t="str">
        <f t="shared" ca="1" si="61"/>
        <v/>
      </c>
      <c r="BD156" s="88" t="str">
        <f ca="1">IF(AX156="","",DATE(INDEX(OFFSET(Arb!$C$2,,,Arb!$AJ$5,),AX156),INDEX(OFFSET(Arb!$B$2,,,Arb!$AJ$5,),AX156),INDEX(OFFSET(Arb!$A$2,,,Arb!$AJ$5,),AX156))+ROW()*0.001)</f>
        <v/>
      </c>
      <c r="BE156" s="436">
        <v>131</v>
      </c>
      <c r="BG156" s="52" t="str">
        <f ca="1">IF(BF156="","",INDEX(OFFSET(Arb!$H$2,,,Arb!$AJ$5,),BF156))</f>
        <v/>
      </c>
      <c r="BH156" s="3" t="str">
        <f t="shared" ca="1" si="52"/>
        <v/>
      </c>
      <c r="BI156" s="165" t="str">
        <f ca="1">IF(BF156="","",INDEX(OFFSET(Arb!$X$2,,,Arb!$AJ$5,),BF156)/BG156)</f>
        <v/>
      </c>
      <c r="BJ156" s="165" t="str">
        <f ca="1">IF(BF156="","",(INDEX(OFFSET(Arb!$U$2,,,Arb!$AJ$5,),BF156)+INDEX(OFFSET(Arb!$V$2,,,Arb!$AJ$5,),BF156))/BG156)</f>
        <v/>
      </c>
      <c r="BK156" s="51" t="str">
        <f t="shared" ca="1" si="62"/>
        <v/>
      </c>
      <c r="BL156" s="91" t="str">
        <f ca="1">IF(BF156="","",DATE(INDEX(OFFSET(Arb!$C$2,,,Arb!$AJ$5,),BF156),INDEX(OFFSET(Arb!$B$2,,,Arb!$AJ$5,),BF156),INDEX(OFFSET(Arb!$A$2,,,Arb!$AJ$5,),BF156))+ROW()*0.001)</f>
        <v/>
      </c>
      <c r="BM156" s="442">
        <v>131</v>
      </c>
      <c r="BO156" s="52" t="str">
        <f ca="1">IF(BN156="","",INDEX(OFFSET(Arb!$H$2,,,Arb!$AJ$5,),BN156))</f>
        <v/>
      </c>
      <c r="BP156" s="3" t="str">
        <f t="shared" ca="1" si="53"/>
        <v/>
      </c>
      <c r="BQ156" s="165" t="str">
        <f ca="1">IF(BN156="","",INDEX(OFFSET(Arb!$X$2,,,Arb!$AJ$5,),BN156)/BO156)</f>
        <v/>
      </c>
      <c r="BR156" s="165" t="str">
        <f ca="1">IF(BN156="","",(INDEX(OFFSET(Arb!$U$2,,,Arb!$AJ$5,),BN156)+INDEX(OFFSET(Arb!$V$2,,,Arb!$AJ$5,),BN156))/BO156)</f>
        <v/>
      </c>
      <c r="BS156" s="51" t="str">
        <f t="shared" ca="1" si="63"/>
        <v/>
      </c>
      <c r="BT156" s="88" t="str">
        <f ca="1">IF(BN156="","",DATE(INDEX(OFFSET(Arb!$C$2,,,Arb!$AJ$5,),BN156),INDEX(OFFSET(Arb!$B$2,,,Arb!$AJ$5,),BN156),INDEX(OFFSET(Arb!$A$2,,,Arb!$AJ$5,),BN156))+ROW()*0.001)</f>
        <v/>
      </c>
      <c r="BU156" s="436">
        <v>131</v>
      </c>
      <c r="BW156" s="52" t="str">
        <f ca="1">IF(BV156="","",INDEX(OFFSET(Arb!$H$2,,,Arb!$AJ$5,),BV156))</f>
        <v/>
      </c>
      <c r="BX156" s="3" t="str">
        <f t="shared" ca="1" si="54"/>
        <v/>
      </c>
      <c r="BY156" s="165" t="str">
        <f ca="1">IF(BV156="","",INDEX(OFFSET(Arb!$X$2,,,Arb!$AJ$5,),BV156)/BW156)</f>
        <v/>
      </c>
      <c r="BZ156" s="165" t="str">
        <f ca="1">IF(BV156="","",(INDEX(OFFSET(Arb!$U$2,,,Arb!$AJ$5,),BV156)+INDEX(OFFSET(Arb!$V$2,,,Arb!$AJ$5,),BV156))/BW156)</f>
        <v/>
      </c>
      <c r="CA156" s="51" t="str">
        <f t="shared" ca="1" si="64"/>
        <v/>
      </c>
      <c r="CB156" s="91" t="str">
        <f ca="1">IF(BV156="","",DATE(INDEX(OFFSET(Arb!$C$2,,,Arb!$AJ$5,),BV156),INDEX(OFFSET(Arb!$B$2,,,Arb!$AJ$5,),BV156),INDEX(OFFSET(Arb!$A$2,,,Arb!$AJ$5,),BV156))+ROW()*0.001)</f>
        <v/>
      </c>
    </row>
    <row r="157" spans="1:80" x14ac:dyDescent="0.25">
      <c r="A157" s="436">
        <v>132</v>
      </c>
      <c r="C157" s="52" t="str">
        <f ca="1">IF(B157="","",INDEX(OFFSET(Arb!$H$2,,,Arb!$AJ$5,),B157))</f>
        <v/>
      </c>
      <c r="D157" s="3" t="str">
        <f t="shared" ca="1" si="45"/>
        <v/>
      </c>
      <c r="E157" s="165" t="str">
        <f ca="1">IF(B157="","",INDEX(OFFSET(Arb!$X$2,,,Arb!$AJ$5,),B157)/C157)</f>
        <v/>
      </c>
      <c r="F157" s="165" t="str">
        <f ca="1">IF(B157="","",(INDEX(OFFSET(Arb!$U$2,,,Arb!$AJ$5,),B157)+INDEX(OFFSET(Arb!$V$2,,,Arb!$AJ$5,),B157))/C157)</f>
        <v/>
      </c>
      <c r="G157" s="51" t="str">
        <f t="shared" ca="1" si="55"/>
        <v/>
      </c>
      <c r="H157" s="355" t="str">
        <f ca="1">IF(B157="","",DATE(INDEX(OFFSET(Arb!$C$2,,,Arb!$AJ$5,),B157),INDEX(OFFSET(Arb!$B$2,,,Arb!$AJ$5,),B157),INDEX(OFFSET(Arb!$A$2,,,Arb!$AJ$5,),B157))+ROW()*0.001)</f>
        <v/>
      </c>
      <c r="I157" s="436">
        <v>132</v>
      </c>
      <c r="K157" s="52" t="str">
        <f ca="1">IF(J157="","",INDEX(OFFSET(Arb!$H$2,,,Arb!$AJ$5,),J157))</f>
        <v/>
      </c>
      <c r="L157" s="3" t="str">
        <f t="shared" ca="1" si="46"/>
        <v/>
      </c>
      <c r="M157" s="165" t="str">
        <f ca="1">IF(J157="","",INDEX(OFFSET(Arb!$X$2,,,Arb!$AJ$5,),J157)/K157)</f>
        <v/>
      </c>
      <c r="N157" s="165" t="str">
        <f ca="1">IF(J157="","",(INDEX(OFFSET(Arb!$U$2,,,Arb!$AJ$5,),J157)+INDEX(OFFSET(Arb!$V$2,,,Arb!$AJ$5,),J157))/K157)</f>
        <v/>
      </c>
      <c r="O157" s="51" t="str">
        <f t="shared" ca="1" si="56"/>
        <v/>
      </c>
      <c r="P157" s="91" t="str">
        <f ca="1">IF(J157="","",DATE(INDEX(OFFSET(Arb!$C$2,,,Arb!$AJ$5,),J157),INDEX(OFFSET(Arb!$B$2,,,Arb!$AJ$5,),J157),INDEX(OFFSET(Arb!$A$2,,,Arb!$AJ$5,),J157))+ROW()*0.001)</f>
        <v/>
      </c>
      <c r="Q157" s="442">
        <v>132</v>
      </c>
      <c r="S157" s="52" t="str">
        <f ca="1">IF(R157="","",INDEX(OFFSET(Arb!$H$2,,,Arb!$AJ$5,),R157))</f>
        <v/>
      </c>
      <c r="T157" s="3" t="str">
        <f t="shared" ca="1" si="47"/>
        <v/>
      </c>
      <c r="U157" s="165" t="str">
        <f ca="1">IF(R157="","",INDEX(OFFSET(Arb!$X$2,,,Arb!$AJ$5,),R157)/S157)</f>
        <v/>
      </c>
      <c r="V157" s="165" t="str">
        <f ca="1">IF(R157="","",(INDEX(OFFSET(Arb!$U$2,,,Arb!$AJ$5,),R157)+INDEX(OFFSET(Arb!$V$2,,,Arb!$AJ$5,),R157))/S157)</f>
        <v/>
      </c>
      <c r="W157" s="51" t="str">
        <f t="shared" ca="1" si="57"/>
        <v/>
      </c>
      <c r="X157" s="88" t="str">
        <f ca="1">IF(R157="","",DATE(INDEX(OFFSET(Arb!$C$2,,,Arb!$AJ$5,),R157),INDEX(OFFSET(Arb!$B$2,,,Arb!$AJ$5,),R157),INDEX(OFFSET(Arb!$A$2,,,Arb!$AJ$5,),R157))+ROW()*0.001)</f>
        <v/>
      </c>
      <c r="Y157" s="436">
        <v>132</v>
      </c>
      <c r="AA157" s="52" t="str">
        <f ca="1">IF(Z157="","",INDEX(OFFSET(Arb!$H$2,,,Arb!$AJ$5,),Z157))</f>
        <v/>
      </c>
      <c r="AB157" s="3" t="str">
        <f t="shared" ca="1" si="48"/>
        <v/>
      </c>
      <c r="AC157" s="165" t="str">
        <f ca="1">IF(Z157="","",INDEX(OFFSET(Arb!$X$2,,,Arb!$AJ$5,),Z157)/AA157)</f>
        <v/>
      </c>
      <c r="AD157" s="165" t="str">
        <f ca="1">IF(Z157="","",(INDEX(OFFSET(Arb!$U$2,,,Arb!$AJ$5,),Z157)+INDEX(OFFSET(Arb!$V$2,,,Arb!$AJ$5,),Z157))/AA157)</f>
        <v/>
      </c>
      <c r="AE157" s="51" t="str">
        <f t="shared" ca="1" si="58"/>
        <v/>
      </c>
      <c r="AF157" s="91" t="str">
        <f ca="1">IF(Z157="","",DATE(INDEX(OFFSET(Arb!$C$2,,,Arb!$AJ$5,),Z157),INDEX(OFFSET(Arb!$B$2,,,Arb!$AJ$5,),Z157),INDEX(OFFSET(Arb!$A$2,,,Arb!$AJ$5,),Z157))+ROW()*0.001)</f>
        <v/>
      </c>
      <c r="AG157" s="442">
        <v>132</v>
      </c>
      <c r="AI157" s="52" t="str">
        <f ca="1">IF(AH157="","",INDEX(OFFSET(Arb!$H$2,,,Arb!$AJ$5,),AH157))</f>
        <v/>
      </c>
      <c r="AJ157" s="3" t="str">
        <f t="shared" ca="1" si="49"/>
        <v/>
      </c>
      <c r="AK157" s="165" t="str">
        <f ca="1">IF(AH157="","",INDEX(OFFSET(Arb!$X$2,,,Arb!$AJ$5,),AH157)/AI157)</f>
        <v/>
      </c>
      <c r="AL157" s="165" t="str">
        <f ca="1">IF(AH157="","",(INDEX(OFFSET(Arb!$U$2,,,Arb!$AJ$5,),AH157)+INDEX(OFFSET(Arb!$V$2,,,Arb!$AJ$5,),AH157))/AI157)</f>
        <v/>
      </c>
      <c r="AM157" s="51" t="str">
        <f t="shared" ca="1" si="59"/>
        <v/>
      </c>
      <c r="AN157" s="88" t="str">
        <f ca="1">IF(AH157="","",DATE(INDEX(OFFSET(Arb!$C$2,,,Arb!$AJ$5,),AH157),INDEX(OFFSET(Arb!$B$2,,,Arb!$AJ$5,),AH157),INDEX(OFFSET(Arb!$A$2,,,Arb!$AJ$5,),AH157))+ROW()*0.001)</f>
        <v/>
      </c>
      <c r="AO157" s="436">
        <v>132</v>
      </c>
      <c r="AQ157" s="52" t="str">
        <f ca="1">IF(AP157="","",INDEX(OFFSET(Arb!$H$2,,,Arb!$AJ$5,),AP157))</f>
        <v/>
      </c>
      <c r="AR157" s="3" t="str">
        <f t="shared" ca="1" si="50"/>
        <v/>
      </c>
      <c r="AS157" s="165" t="str">
        <f ca="1">IF(AP157="","",INDEX(OFFSET(Arb!$X$2,,,Arb!$AJ$5,),AP157)/AQ157)</f>
        <v/>
      </c>
      <c r="AT157" s="165" t="str">
        <f ca="1">IF(AP157="","",(INDEX(OFFSET(Arb!$U$2,,,Arb!$AJ$5,),AP157)+INDEX(OFFSET(Arb!$V$2,,,Arb!$AJ$5,),AP157))/AQ157)</f>
        <v/>
      </c>
      <c r="AU157" s="51" t="str">
        <f t="shared" ca="1" si="60"/>
        <v/>
      </c>
      <c r="AV157" s="91" t="str">
        <f ca="1">IF(AP157="","",DATE(INDEX(OFFSET(Arb!$C$2,,,Arb!$AJ$5,),AP157),INDEX(OFFSET(Arb!$B$2,,,Arb!$AJ$5,),AP157),INDEX(OFFSET(Arb!$A$2,,,Arb!$AJ$5,),AP157))+ROW()*0.001)</f>
        <v/>
      </c>
      <c r="AW157" s="442">
        <v>132</v>
      </c>
      <c r="AY157" s="52" t="str">
        <f ca="1">IF(AX157="","",INDEX(OFFSET(Arb!$H$2,,,Arb!$AJ$5,),AX157))</f>
        <v/>
      </c>
      <c r="AZ157" s="3" t="str">
        <f t="shared" ca="1" si="51"/>
        <v/>
      </c>
      <c r="BA157" s="165" t="str">
        <f ca="1">IF(AX157="","",INDEX(OFFSET(Arb!$X$2,,,Arb!$AJ$5,),AX157)/AY157)</f>
        <v/>
      </c>
      <c r="BB157" s="165" t="str">
        <f ca="1">IF(AX157="","",(INDEX(OFFSET(Arb!$U$2,,,Arb!$AJ$5,),AX157)+INDEX(OFFSET(Arb!$V$2,,,Arb!$AJ$5,),AX157))/AY157)</f>
        <v/>
      </c>
      <c r="BC157" s="51" t="str">
        <f t="shared" ca="1" si="61"/>
        <v/>
      </c>
      <c r="BD157" s="88" t="str">
        <f ca="1">IF(AX157="","",DATE(INDEX(OFFSET(Arb!$C$2,,,Arb!$AJ$5,),AX157),INDEX(OFFSET(Arb!$B$2,,,Arb!$AJ$5,),AX157),INDEX(OFFSET(Arb!$A$2,,,Arb!$AJ$5,),AX157))+ROW()*0.001)</f>
        <v/>
      </c>
      <c r="BE157" s="436">
        <v>132</v>
      </c>
      <c r="BG157" s="52" t="str">
        <f ca="1">IF(BF157="","",INDEX(OFFSET(Arb!$H$2,,,Arb!$AJ$5,),BF157))</f>
        <v/>
      </c>
      <c r="BH157" s="3" t="str">
        <f t="shared" ca="1" si="52"/>
        <v/>
      </c>
      <c r="BI157" s="165" t="str">
        <f ca="1">IF(BF157="","",INDEX(OFFSET(Arb!$X$2,,,Arb!$AJ$5,),BF157)/BG157)</f>
        <v/>
      </c>
      <c r="BJ157" s="165" t="str">
        <f ca="1">IF(BF157="","",(INDEX(OFFSET(Arb!$U$2,,,Arb!$AJ$5,),BF157)+INDEX(OFFSET(Arb!$V$2,,,Arb!$AJ$5,),BF157))/BG157)</f>
        <v/>
      </c>
      <c r="BK157" s="51" t="str">
        <f t="shared" ca="1" si="62"/>
        <v/>
      </c>
      <c r="BL157" s="91" t="str">
        <f ca="1">IF(BF157="","",DATE(INDEX(OFFSET(Arb!$C$2,,,Arb!$AJ$5,),BF157),INDEX(OFFSET(Arb!$B$2,,,Arb!$AJ$5,),BF157),INDEX(OFFSET(Arb!$A$2,,,Arb!$AJ$5,),BF157))+ROW()*0.001)</f>
        <v/>
      </c>
      <c r="BM157" s="442">
        <v>132</v>
      </c>
      <c r="BO157" s="52" t="str">
        <f ca="1">IF(BN157="","",INDEX(OFFSET(Arb!$H$2,,,Arb!$AJ$5,),BN157))</f>
        <v/>
      </c>
      <c r="BP157" s="3" t="str">
        <f t="shared" ca="1" si="53"/>
        <v/>
      </c>
      <c r="BQ157" s="165" t="str">
        <f ca="1">IF(BN157="","",INDEX(OFFSET(Arb!$X$2,,,Arb!$AJ$5,),BN157)/BO157)</f>
        <v/>
      </c>
      <c r="BR157" s="165" t="str">
        <f ca="1">IF(BN157="","",(INDEX(OFFSET(Arb!$U$2,,,Arb!$AJ$5,),BN157)+INDEX(OFFSET(Arb!$V$2,,,Arb!$AJ$5,),BN157))/BO157)</f>
        <v/>
      </c>
      <c r="BS157" s="51" t="str">
        <f t="shared" ca="1" si="63"/>
        <v/>
      </c>
      <c r="BT157" s="88" t="str">
        <f ca="1">IF(BN157="","",DATE(INDEX(OFFSET(Arb!$C$2,,,Arb!$AJ$5,),BN157),INDEX(OFFSET(Arb!$B$2,,,Arb!$AJ$5,),BN157),INDEX(OFFSET(Arb!$A$2,,,Arb!$AJ$5,),BN157))+ROW()*0.001)</f>
        <v/>
      </c>
      <c r="BU157" s="436">
        <v>132</v>
      </c>
      <c r="BW157" s="52" t="str">
        <f ca="1">IF(BV157="","",INDEX(OFFSET(Arb!$H$2,,,Arb!$AJ$5,),BV157))</f>
        <v/>
      </c>
      <c r="BX157" s="3" t="str">
        <f t="shared" ca="1" si="54"/>
        <v/>
      </c>
      <c r="BY157" s="165" t="str">
        <f ca="1">IF(BV157="","",INDEX(OFFSET(Arb!$X$2,,,Arb!$AJ$5,),BV157)/BW157)</f>
        <v/>
      </c>
      <c r="BZ157" s="165" t="str">
        <f ca="1">IF(BV157="","",(INDEX(OFFSET(Arb!$U$2,,,Arb!$AJ$5,),BV157)+INDEX(OFFSET(Arb!$V$2,,,Arb!$AJ$5,),BV157))/BW157)</f>
        <v/>
      </c>
      <c r="CA157" s="51" t="str">
        <f t="shared" ca="1" si="64"/>
        <v/>
      </c>
      <c r="CB157" s="91" t="str">
        <f ca="1">IF(BV157="","",DATE(INDEX(OFFSET(Arb!$C$2,,,Arb!$AJ$5,),BV157),INDEX(OFFSET(Arb!$B$2,,,Arb!$AJ$5,),BV157),INDEX(OFFSET(Arb!$A$2,,,Arb!$AJ$5,),BV157))+ROW()*0.001)</f>
        <v/>
      </c>
    </row>
    <row r="158" spans="1:80" x14ac:dyDescent="0.25">
      <c r="A158" s="436">
        <v>133</v>
      </c>
      <c r="C158" s="52" t="str">
        <f ca="1">IF(B158="","",INDEX(OFFSET(Arb!$H$2,,,Arb!$AJ$5,),B158))</f>
        <v/>
      </c>
      <c r="D158" s="3" t="str">
        <f t="shared" ca="1" si="45"/>
        <v/>
      </c>
      <c r="E158" s="165" t="str">
        <f ca="1">IF(B158="","",INDEX(OFFSET(Arb!$X$2,,,Arb!$AJ$5,),B158)/C158)</f>
        <v/>
      </c>
      <c r="F158" s="165" t="str">
        <f ca="1">IF(B158="","",(INDEX(OFFSET(Arb!$U$2,,,Arb!$AJ$5,),B158)+INDEX(OFFSET(Arb!$V$2,,,Arb!$AJ$5,),B158))/C158)</f>
        <v/>
      </c>
      <c r="G158" s="51" t="str">
        <f t="shared" ca="1" si="55"/>
        <v/>
      </c>
      <c r="H158" s="355" t="str">
        <f ca="1">IF(B158="","",DATE(INDEX(OFFSET(Arb!$C$2,,,Arb!$AJ$5,),B158),INDEX(OFFSET(Arb!$B$2,,,Arb!$AJ$5,),B158),INDEX(OFFSET(Arb!$A$2,,,Arb!$AJ$5,),B158))+ROW()*0.001)</f>
        <v/>
      </c>
      <c r="I158" s="436">
        <v>133</v>
      </c>
      <c r="K158" s="52" t="str">
        <f ca="1">IF(J158="","",INDEX(OFFSET(Arb!$H$2,,,Arb!$AJ$5,),J158))</f>
        <v/>
      </c>
      <c r="L158" s="3" t="str">
        <f t="shared" ca="1" si="46"/>
        <v/>
      </c>
      <c r="M158" s="165" t="str">
        <f ca="1">IF(J158="","",INDEX(OFFSET(Arb!$X$2,,,Arb!$AJ$5,),J158)/K158)</f>
        <v/>
      </c>
      <c r="N158" s="165" t="str">
        <f ca="1">IF(J158="","",(INDEX(OFFSET(Arb!$U$2,,,Arb!$AJ$5,),J158)+INDEX(OFFSET(Arb!$V$2,,,Arb!$AJ$5,),J158))/K158)</f>
        <v/>
      </c>
      <c r="O158" s="51" t="str">
        <f t="shared" ca="1" si="56"/>
        <v/>
      </c>
      <c r="P158" s="91" t="str">
        <f ca="1">IF(J158="","",DATE(INDEX(OFFSET(Arb!$C$2,,,Arb!$AJ$5,),J158),INDEX(OFFSET(Arb!$B$2,,,Arb!$AJ$5,),J158),INDEX(OFFSET(Arb!$A$2,,,Arb!$AJ$5,),J158))+ROW()*0.001)</f>
        <v/>
      </c>
      <c r="Q158" s="442">
        <v>133</v>
      </c>
      <c r="S158" s="52" t="str">
        <f ca="1">IF(R158="","",INDEX(OFFSET(Arb!$H$2,,,Arb!$AJ$5,),R158))</f>
        <v/>
      </c>
      <c r="T158" s="3" t="str">
        <f t="shared" ca="1" si="47"/>
        <v/>
      </c>
      <c r="U158" s="165" t="str">
        <f ca="1">IF(R158="","",INDEX(OFFSET(Arb!$X$2,,,Arb!$AJ$5,),R158)/S158)</f>
        <v/>
      </c>
      <c r="V158" s="165" t="str">
        <f ca="1">IF(R158="","",(INDEX(OFFSET(Arb!$U$2,,,Arb!$AJ$5,),R158)+INDEX(OFFSET(Arb!$V$2,,,Arb!$AJ$5,),R158))/S158)</f>
        <v/>
      </c>
      <c r="W158" s="51" t="str">
        <f t="shared" ca="1" si="57"/>
        <v/>
      </c>
      <c r="X158" s="88" t="str">
        <f ca="1">IF(R158="","",DATE(INDEX(OFFSET(Arb!$C$2,,,Arb!$AJ$5,),R158),INDEX(OFFSET(Arb!$B$2,,,Arb!$AJ$5,),R158),INDEX(OFFSET(Arb!$A$2,,,Arb!$AJ$5,),R158))+ROW()*0.001)</f>
        <v/>
      </c>
      <c r="Y158" s="436">
        <v>133</v>
      </c>
      <c r="AA158" s="52" t="str">
        <f ca="1">IF(Z158="","",INDEX(OFFSET(Arb!$H$2,,,Arb!$AJ$5,),Z158))</f>
        <v/>
      </c>
      <c r="AB158" s="3" t="str">
        <f t="shared" ca="1" si="48"/>
        <v/>
      </c>
      <c r="AC158" s="165" t="str">
        <f ca="1">IF(Z158="","",INDEX(OFFSET(Arb!$X$2,,,Arb!$AJ$5,),Z158)/AA158)</f>
        <v/>
      </c>
      <c r="AD158" s="165" t="str">
        <f ca="1">IF(Z158="","",(INDEX(OFFSET(Arb!$U$2,,,Arb!$AJ$5,),Z158)+INDEX(OFFSET(Arb!$V$2,,,Arb!$AJ$5,),Z158))/AA158)</f>
        <v/>
      </c>
      <c r="AE158" s="51" t="str">
        <f t="shared" ca="1" si="58"/>
        <v/>
      </c>
      <c r="AF158" s="91" t="str">
        <f ca="1">IF(Z158="","",DATE(INDEX(OFFSET(Arb!$C$2,,,Arb!$AJ$5,),Z158),INDEX(OFFSET(Arb!$B$2,,,Arb!$AJ$5,),Z158),INDEX(OFFSET(Arb!$A$2,,,Arb!$AJ$5,),Z158))+ROW()*0.001)</f>
        <v/>
      </c>
      <c r="AG158" s="442">
        <v>133</v>
      </c>
      <c r="AI158" s="52" t="str">
        <f ca="1">IF(AH158="","",INDEX(OFFSET(Arb!$H$2,,,Arb!$AJ$5,),AH158))</f>
        <v/>
      </c>
      <c r="AJ158" s="3" t="str">
        <f t="shared" ca="1" si="49"/>
        <v/>
      </c>
      <c r="AK158" s="165" t="str">
        <f ca="1">IF(AH158="","",INDEX(OFFSET(Arb!$X$2,,,Arb!$AJ$5,),AH158)/AI158)</f>
        <v/>
      </c>
      <c r="AL158" s="165" t="str">
        <f ca="1">IF(AH158="","",(INDEX(OFFSET(Arb!$U$2,,,Arb!$AJ$5,),AH158)+INDEX(OFFSET(Arb!$V$2,,,Arb!$AJ$5,),AH158))/AI158)</f>
        <v/>
      </c>
      <c r="AM158" s="51" t="str">
        <f t="shared" ca="1" si="59"/>
        <v/>
      </c>
      <c r="AN158" s="88" t="str">
        <f ca="1">IF(AH158="","",DATE(INDEX(OFFSET(Arb!$C$2,,,Arb!$AJ$5,),AH158),INDEX(OFFSET(Arb!$B$2,,,Arb!$AJ$5,),AH158),INDEX(OFFSET(Arb!$A$2,,,Arb!$AJ$5,),AH158))+ROW()*0.001)</f>
        <v/>
      </c>
      <c r="AO158" s="436">
        <v>133</v>
      </c>
      <c r="AQ158" s="52" t="str">
        <f ca="1">IF(AP158="","",INDEX(OFFSET(Arb!$H$2,,,Arb!$AJ$5,),AP158))</f>
        <v/>
      </c>
      <c r="AR158" s="3" t="str">
        <f t="shared" ca="1" si="50"/>
        <v/>
      </c>
      <c r="AS158" s="165" t="str">
        <f ca="1">IF(AP158="","",INDEX(OFFSET(Arb!$X$2,,,Arb!$AJ$5,),AP158)/AQ158)</f>
        <v/>
      </c>
      <c r="AT158" s="165" t="str">
        <f ca="1">IF(AP158="","",(INDEX(OFFSET(Arb!$U$2,,,Arb!$AJ$5,),AP158)+INDEX(OFFSET(Arb!$V$2,,,Arb!$AJ$5,),AP158))/AQ158)</f>
        <v/>
      </c>
      <c r="AU158" s="51" t="str">
        <f t="shared" ca="1" si="60"/>
        <v/>
      </c>
      <c r="AV158" s="91" t="str">
        <f ca="1">IF(AP158="","",DATE(INDEX(OFFSET(Arb!$C$2,,,Arb!$AJ$5,),AP158),INDEX(OFFSET(Arb!$B$2,,,Arb!$AJ$5,),AP158),INDEX(OFFSET(Arb!$A$2,,,Arb!$AJ$5,),AP158))+ROW()*0.001)</f>
        <v/>
      </c>
      <c r="AW158" s="442">
        <v>133</v>
      </c>
      <c r="AY158" s="52" t="str">
        <f ca="1">IF(AX158="","",INDEX(OFFSET(Arb!$H$2,,,Arb!$AJ$5,),AX158))</f>
        <v/>
      </c>
      <c r="AZ158" s="3" t="str">
        <f t="shared" ca="1" si="51"/>
        <v/>
      </c>
      <c r="BA158" s="165" t="str">
        <f ca="1">IF(AX158="","",INDEX(OFFSET(Arb!$X$2,,,Arb!$AJ$5,),AX158)/AY158)</f>
        <v/>
      </c>
      <c r="BB158" s="165" t="str">
        <f ca="1">IF(AX158="","",(INDEX(OFFSET(Arb!$U$2,,,Arb!$AJ$5,),AX158)+INDEX(OFFSET(Arb!$V$2,,,Arb!$AJ$5,),AX158))/AY158)</f>
        <v/>
      </c>
      <c r="BC158" s="51" t="str">
        <f t="shared" ca="1" si="61"/>
        <v/>
      </c>
      <c r="BD158" s="88" t="str">
        <f ca="1">IF(AX158="","",DATE(INDEX(OFFSET(Arb!$C$2,,,Arb!$AJ$5,),AX158),INDEX(OFFSET(Arb!$B$2,,,Arb!$AJ$5,),AX158),INDEX(OFFSET(Arb!$A$2,,,Arb!$AJ$5,),AX158))+ROW()*0.001)</f>
        <v/>
      </c>
      <c r="BE158" s="436">
        <v>133</v>
      </c>
      <c r="BG158" s="52" t="str">
        <f ca="1">IF(BF158="","",INDEX(OFFSET(Arb!$H$2,,,Arb!$AJ$5,),BF158))</f>
        <v/>
      </c>
      <c r="BH158" s="3" t="str">
        <f t="shared" ca="1" si="52"/>
        <v/>
      </c>
      <c r="BI158" s="165" t="str">
        <f ca="1">IF(BF158="","",INDEX(OFFSET(Arb!$X$2,,,Arb!$AJ$5,),BF158)/BG158)</f>
        <v/>
      </c>
      <c r="BJ158" s="165" t="str">
        <f ca="1">IF(BF158="","",(INDEX(OFFSET(Arb!$U$2,,,Arb!$AJ$5,),BF158)+INDEX(OFFSET(Arb!$V$2,,,Arb!$AJ$5,),BF158))/BG158)</f>
        <v/>
      </c>
      <c r="BK158" s="51" t="str">
        <f t="shared" ca="1" si="62"/>
        <v/>
      </c>
      <c r="BL158" s="91" t="str">
        <f ca="1">IF(BF158="","",DATE(INDEX(OFFSET(Arb!$C$2,,,Arb!$AJ$5,),BF158),INDEX(OFFSET(Arb!$B$2,,,Arb!$AJ$5,),BF158),INDEX(OFFSET(Arb!$A$2,,,Arb!$AJ$5,),BF158))+ROW()*0.001)</f>
        <v/>
      </c>
      <c r="BM158" s="442">
        <v>133</v>
      </c>
      <c r="BO158" s="52" t="str">
        <f ca="1">IF(BN158="","",INDEX(OFFSET(Arb!$H$2,,,Arb!$AJ$5,),BN158))</f>
        <v/>
      </c>
      <c r="BP158" s="3" t="str">
        <f t="shared" ca="1" si="53"/>
        <v/>
      </c>
      <c r="BQ158" s="165" t="str">
        <f ca="1">IF(BN158="","",INDEX(OFFSET(Arb!$X$2,,,Arb!$AJ$5,),BN158)/BO158)</f>
        <v/>
      </c>
      <c r="BR158" s="165" t="str">
        <f ca="1">IF(BN158="","",(INDEX(OFFSET(Arb!$U$2,,,Arb!$AJ$5,),BN158)+INDEX(OFFSET(Arb!$V$2,,,Arb!$AJ$5,),BN158))/BO158)</f>
        <v/>
      </c>
      <c r="BS158" s="51" t="str">
        <f t="shared" ca="1" si="63"/>
        <v/>
      </c>
      <c r="BT158" s="88" t="str">
        <f ca="1">IF(BN158="","",DATE(INDEX(OFFSET(Arb!$C$2,,,Arb!$AJ$5,),BN158),INDEX(OFFSET(Arb!$B$2,,,Arb!$AJ$5,),BN158),INDEX(OFFSET(Arb!$A$2,,,Arb!$AJ$5,),BN158))+ROW()*0.001)</f>
        <v/>
      </c>
      <c r="BU158" s="436">
        <v>133</v>
      </c>
      <c r="BW158" s="52" t="str">
        <f ca="1">IF(BV158="","",INDEX(OFFSET(Arb!$H$2,,,Arb!$AJ$5,),BV158))</f>
        <v/>
      </c>
      <c r="BX158" s="3" t="str">
        <f t="shared" ca="1" si="54"/>
        <v/>
      </c>
      <c r="BY158" s="165" t="str">
        <f ca="1">IF(BV158="","",INDEX(OFFSET(Arb!$X$2,,,Arb!$AJ$5,),BV158)/BW158)</f>
        <v/>
      </c>
      <c r="BZ158" s="165" t="str">
        <f ca="1">IF(BV158="","",(INDEX(OFFSET(Arb!$U$2,,,Arb!$AJ$5,),BV158)+INDEX(OFFSET(Arb!$V$2,,,Arb!$AJ$5,),BV158))/BW158)</f>
        <v/>
      </c>
      <c r="CA158" s="51" t="str">
        <f t="shared" ca="1" si="64"/>
        <v/>
      </c>
      <c r="CB158" s="91" t="str">
        <f ca="1">IF(BV158="","",DATE(INDEX(OFFSET(Arb!$C$2,,,Arb!$AJ$5,),BV158),INDEX(OFFSET(Arb!$B$2,,,Arb!$AJ$5,),BV158),INDEX(OFFSET(Arb!$A$2,,,Arb!$AJ$5,),BV158))+ROW()*0.001)</f>
        <v/>
      </c>
    </row>
    <row r="159" spans="1:80" x14ac:dyDescent="0.25">
      <c r="A159" s="436">
        <v>134</v>
      </c>
      <c r="C159" s="52" t="str">
        <f ca="1">IF(B159="","",INDEX(OFFSET(Arb!$H$2,,,Arb!$AJ$5,),B159))</f>
        <v/>
      </c>
      <c r="D159" s="3" t="str">
        <f t="shared" ca="1" si="45"/>
        <v/>
      </c>
      <c r="E159" s="165" t="str">
        <f ca="1">IF(B159="","",INDEX(OFFSET(Arb!$X$2,,,Arb!$AJ$5,),B159)/C159)</f>
        <v/>
      </c>
      <c r="F159" s="165" t="str">
        <f ca="1">IF(B159="","",(INDEX(OFFSET(Arb!$U$2,,,Arb!$AJ$5,),B159)+INDEX(OFFSET(Arb!$V$2,,,Arb!$AJ$5,),B159))/C159)</f>
        <v/>
      </c>
      <c r="G159" s="51" t="str">
        <f t="shared" ca="1" si="55"/>
        <v/>
      </c>
      <c r="H159" s="355" t="str">
        <f ca="1">IF(B159="","",DATE(INDEX(OFFSET(Arb!$C$2,,,Arb!$AJ$5,),B159),INDEX(OFFSET(Arb!$B$2,,,Arb!$AJ$5,),B159),INDEX(OFFSET(Arb!$A$2,,,Arb!$AJ$5,),B159))+ROW()*0.001)</f>
        <v/>
      </c>
      <c r="I159" s="436">
        <v>134</v>
      </c>
      <c r="K159" s="52" t="str">
        <f ca="1">IF(J159="","",INDEX(OFFSET(Arb!$H$2,,,Arb!$AJ$5,),J159))</f>
        <v/>
      </c>
      <c r="L159" s="3" t="str">
        <f t="shared" ca="1" si="46"/>
        <v/>
      </c>
      <c r="M159" s="165" t="str">
        <f ca="1">IF(J159="","",INDEX(OFFSET(Arb!$X$2,,,Arb!$AJ$5,),J159)/K159)</f>
        <v/>
      </c>
      <c r="N159" s="165" t="str">
        <f ca="1">IF(J159="","",(INDEX(OFFSET(Arb!$U$2,,,Arb!$AJ$5,),J159)+INDEX(OFFSET(Arb!$V$2,,,Arb!$AJ$5,),J159))/K159)</f>
        <v/>
      </c>
      <c r="O159" s="51" t="str">
        <f t="shared" ca="1" si="56"/>
        <v/>
      </c>
      <c r="P159" s="91" t="str">
        <f ca="1">IF(J159="","",DATE(INDEX(OFFSET(Arb!$C$2,,,Arb!$AJ$5,),J159),INDEX(OFFSET(Arb!$B$2,,,Arb!$AJ$5,),J159),INDEX(OFFSET(Arb!$A$2,,,Arb!$AJ$5,),J159))+ROW()*0.001)</f>
        <v/>
      </c>
      <c r="Q159" s="442">
        <v>134</v>
      </c>
      <c r="S159" s="52" t="str">
        <f ca="1">IF(R159="","",INDEX(OFFSET(Arb!$H$2,,,Arb!$AJ$5,),R159))</f>
        <v/>
      </c>
      <c r="T159" s="3" t="str">
        <f t="shared" ca="1" si="47"/>
        <v/>
      </c>
      <c r="U159" s="165" t="str">
        <f ca="1">IF(R159="","",INDEX(OFFSET(Arb!$X$2,,,Arb!$AJ$5,),R159)/S159)</f>
        <v/>
      </c>
      <c r="V159" s="165" t="str">
        <f ca="1">IF(R159="","",(INDEX(OFFSET(Arb!$U$2,,,Arb!$AJ$5,),R159)+INDEX(OFFSET(Arb!$V$2,,,Arb!$AJ$5,),R159))/S159)</f>
        <v/>
      </c>
      <c r="W159" s="51" t="str">
        <f t="shared" ca="1" si="57"/>
        <v/>
      </c>
      <c r="X159" s="88" t="str">
        <f ca="1">IF(R159="","",DATE(INDEX(OFFSET(Arb!$C$2,,,Arb!$AJ$5,),R159),INDEX(OFFSET(Arb!$B$2,,,Arb!$AJ$5,),R159),INDEX(OFFSET(Arb!$A$2,,,Arb!$AJ$5,),R159))+ROW()*0.001)</f>
        <v/>
      </c>
      <c r="Y159" s="436">
        <v>134</v>
      </c>
      <c r="AA159" s="52" t="str">
        <f ca="1">IF(Z159="","",INDEX(OFFSET(Arb!$H$2,,,Arb!$AJ$5,),Z159))</f>
        <v/>
      </c>
      <c r="AB159" s="3" t="str">
        <f t="shared" ca="1" si="48"/>
        <v/>
      </c>
      <c r="AC159" s="165" t="str">
        <f ca="1">IF(Z159="","",INDEX(OFFSET(Arb!$X$2,,,Arb!$AJ$5,),Z159)/AA159)</f>
        <v/>
      </c>
      <c r="AD159" s="165" t="str">
        <f ca="1">IF(Z159="","",(INDEX(OFFSET(Arb!$U$2,,,Arb!$AJ$5,),Z159)+INDEX(OFFSET(Arb!$V$2,,,Arb!$AJ$5,),Z159))/AA159)</f>
        <v/>
      </c>
      <c r="AE159" s="51" t="str">
        <f t="shared" ca="1" si="58"/>
        <v/>
      </c>
      <c r="AF159" s="91" t="str">
        <f ca="1">IF(Z159="","",DATE(INDEX(OFFSET(Arb!$C$2,,,Arb!$AJ$5,),Z159),INDEX(OFFSET(Arb!$B$2,,,Arb!$AJ$5,),Z159),INDEX(OFFSET(Arb!$A$2,,,Arb!$AJ$5,),Z159))+ROW()*0.001)</f>
        <v/>
      </c>
      <c r="AG159" s="442">
        <v>134</v>
      </c>
      <c r="AI159" s="52" t="str">
        <f ca="1">IF(AH159="","",INDEX(OFFSET(Arb!$H$2,,,Arb!$AJ$5,),AH159))</f>
        <v/>
      </c>
      <c r="AJ159" s="3" t="str">
        <f t="shared" ca="1" si="49"/>
        <v/>
      </c>
      <c r="AK159" s="165" t="str">
        <f ca="1">IF(AH159="","",INDEX(OFFSET(Arb!$X$2,,,Arb!$AJ$5,),AH159)/AI159)</f>
        <v/>
      </c>
      <c r="AL159" s="165" t="str">
        <f ca="1">IF(AH159="","",(INDEX(OFFSET(Arb!$U$2,,,Arb!$AJ$5,),AH159)+INDEX(OFFSET(Arb!$V$2,,,Arb!$AJ$5,),AH159))/AI159)</f>
        <v/>
      </c>
      <c r="AM159" s="51" t="str">
        <f t="shared" ca="1" si="59"/>
        <v/>
      </c>
      <c r="AN159" s="88" t="str">
        <f ca="1">IF(AH159="","",DATE(INDEX(OFFSET(Arb!$C$2,,,Arb!$AJ$5,),AH159),INDEX(OFFSET(Arb!$B$2,,,Arb!$AJ$5,),AH159),INDEX(OFFSET(Arb!$A$2,,,Arb!$AJ$5,),AH159))+ROW()*0.001)</f>
        <v/>
      </c>
      <c r="AO159" s="436">
        <v>134</v>
      </c>
      <c r="AQ159" s="52" t="str">
        <f ca="1">IF(AP159="","",INDEX(OFFSET(Arb!$H$2,,,Arb!$AJ$5,),AP159))</f>
        <v/>
      </c>
      <c r="AR159" s="3" t="str">
        <f t="shared" ca="1" si="50"/>
        <v/>
      </c>
      <c r="AS159" s="165" t="str">
        <f ca="1">IF(AP159="","",INDEX(OFFSET(Arb!$X$2,,,Arb!$AJ$5,),AP159)/AQ159)</f>
        <v/>
      </c>
      <c r="AT159" s="165" t="str">
        <f ca="1">IF(AP159="","",(INDEX(OFFSET(Arb!$U$2,,,Arb!$AJ$5,),AP159)+INDEX(OFFSET(Arb!$V$2,,,Arb!$AJ$5,),AP159))/AQ159)</f>
        <v/>
      </c>
      <c r="AU159" s="51" t="str">
        <f t="shared" ca="1" si="60"/>
        <v/>
      </c>
      <c r="AV159" s="91" t="str">
        <f ca="1">IF(AP159="","",DATE(INDEX(OFFSET(Arb!$C$2,,,Arb!$AJ$5,),AP159),INDEX(OFFSET(Arb!$B$2,,,Arb!$AJ$5,),AP159),INDEX(OFFSET(Arb!$A$2,,,Arb!$AJ$5,),AP159))+ROW()*0.001)</f>
        <v/>
      </c>
      <c r="AW159" s="442">
        <v>134</v>
      </c>
      <c r="AY159" s="52" t="str">
        <f ca="1">IF(AX159="","",INDEX(OFFSET(Arb!$H$2,,,Arb!$AJ$5,),AX159))</f>
        <v/>
      </c>
      <c r="AZ159" s="3" t="str">
        <f t="shared" ca="1" si="51"/>
        <v/>
      </c>
      <c r="BA159" s="165" t="str">
        <f ca="1">IF(AX159="","",INDEX(OFFSET(Arb!$X$2,,,Arb!$AJ$5,),AX159)/AY159)</f>
        <v/>
      </c>
      <c r="BB159" s="165" t="str">
        <f ca="1">IF(AX159="","",(INDEX(OFFSET(Arb!$U$2,,,Arb!$AJ$5,),AX159)+INDEX(OFFSET(Arb!$V$2,,,Arb!$AJ$5,),AX159))/AY159)</f>
        <v/>
      </c>
      <c r="BC159" s="51" t="str">
        <f t="shared" ca="1" si="61"/>
        <v/>
      </c>
      <c r="BD159" s="88" t="str">
        <f ca="1">IF(AX159="","",DATE(INDEX(OFFSET(Arb!$C$2,,,Arb!$AJ$5,),AX159),INDEX(OFFSET(Arb!$B$2,,,Arb!$AJ$5,),AX159),INDEX(OFFSET(Arb!$A$2,,,Arb!$AJ$5,),AX159))+ROW()*0.001)</f>
        <v/>
      </c>
      <c r="BE159" s="436">
        <v>134</v>
      </c>
      <c r="BG159" s="52" t="str">
        <f ca="1">IF(BF159="","",INDEX(OFFSET(Arb!$H$2,,,Arb!$AJ$5,),BF159))</f>
        <v/>
      </c>
      <c r="BH159" s="3" t="str">
        <f t="shared" ca="1" si="52"/>
        <v/>
      </c>
      <c r="BI159" s="165" t="str">
        <f ca="1">IF(BF159="","",INDEX(OFFSET(Arb!$X$2,,,Arb!$AJ$5,),BF159)/BG159)</f>
        <v/>
      </c>
      <c r="BJ159" s="165" t="str">
        <f ca="1">IF(BF159="","",(INDEX(OFFSET(Arb!$U$2,,,Arb!$AJ$5,),BF159)+INDEX(OFFSET(Arb!$V$2,,,Arb!$AJ$5,),BF159))/BG159)</f>
        <v/>
      </c>
      <c r="BK159" s="51" t="str">
        <f t="shared" ca="1" si="62"/>
        <v/>
      </c>
      <c r="BL159" s="91" t="str">
        <f ca="1">IF(BF159="","",DATE(INDEX(OFFSET(Arb!$C$2,,,Arb!$AJ$5,),BF159),INDEX(OFFSET(Arb!$B$2,,,Arb!$AJ$5,),BF159),INDEX(OFFSET(Arb!$A$2,,,Arb!$AJ$5,),BF159))+ROW()*0.001)</f>
        <v/>
      </c>
      <c r="BM159" s="442">
        <v>134</v>
      </c>
      <c r="BO159" s="52" t="str">
        <f ca="1">IF(BN159="","",INDEX(OFFSET(Arb!$H$2,,,Arb!$AJ$5,),BN159))</f>
        <v/>
      </c>
      <c r="BP159" s="3" t="str">
        <f t="shared" ca="1" si="53"/>
        <v/>
      </c>
      <c r="BQ159" s="165" t="str">
        <f ca="1">IF(BN159="","",INDEX(OFFSET(Arb!$X$2,,,Arb!$AJ$5,),BN159)/BO159)</f>
        <v/>
      </c>
      <c r="BR159" s="165" t="str">
        <f ca="1">IF(BN159="","",(INDEX(OFFSET(Arb!$U$2,,,Arb!$AJ$5,),BN159)+INDEX(OFFSET(Arb!$V$2,,,Arb!$AJ$5,),BN159))/BO159)</f>
        <v/>
      </c>
      <c r="BS159" s="51" t="str">
        <f t="shared" ca="1" si="63"/>
        <v/>
      </c>
      <c r="BT159" s="88" t="str">
        <f ca="1">IF(BN159="","",DATE(INDEX(OFFSET(Arb!$C$2,,,Arb!$AJ$5,),BN159),INDEX(OFFSET(Arb!$B$2,,,Arb!$AJ$5,),BN159),INDEX(OFFSET(Arb!$A$2,,,Arb!$AJ$5,),BN159))+ROW()*0.001)</f>
        <v/>
      </c>
      <c r="BU159" s="436">
        <v>134</v>
      </c>
      <c r="BW159" s="52" t="str">
        <f ca="1">IF(BV159="","",INDEX(OFFSET(Arb!$H$2,,,Arb!$AJ$5,),BV159))</f>
        <v/>
      </c>
      <c r="BX159" s="3" t="str">
        <f t="shared" ca="1" si="54"/>
        <v/>
      </c>
      <c r="BY159" s="165" t="str">
        <f ca="1">IF(BV159="","",INDEX(OFFSET(Arb!$X$2,,,Arb!$AJ$5,),BV159)/BW159)</f>
        <v/>
      </c>
      <c r="BZ159" s="165" t="str">
        <f ca="1">IF(BV159="","",(INDEX(OFFSET(Arb!$U$2,,,Arb!$AJ$5,),BV159)+INDEX(OFFSET(Arb!$V$2,,,Arb!$AJ$5,),BV159))/BW159)</f>
        <v/>
      </c>
      <c r="CA159" s="51" t="str">
        <f t="shared" ca="1" si="64"/>
        <v/>
      </c>
      <c r="CB159" s="91" t="str">
        <f ca="1">IF(BV159="","",DATE(INDEX(OFFSET(Arb!$C$2,,,Arb!$AJ$5,),BV159),INDEX(OFFSET(Arb!$B$2,,,Arb!$AJ$5,),BV159),INDEX(OFFSET(Arb!$A$2,,,Arb!$AJ$5,),BV159))+ROW()*0.001)</f>
        <v/>
      </c>
    </row>
    <row r="160" spans="1:80" x14ac:dyDescent="0.25">
      <c r="A160" s="436">
        <v>135</v>
      </c>
      <c r="C160" s="52" t="str">
        <f ca="1">IF(B160="","",INDEX(OFFSET(Arb!$H$2,,,Arb!$AJ$5,),B160))</f>
        <v/>
      </c>
      <c r="D160" s="3" t="str">
        <f t="shared" ref="D160:D167" ca="1" si="65">IFERROR(A160/C160,"")</f>
        <v/>
      </c>
      <c r="E160" s="165" t="str">
        <f ca="1">IF(B160="","",INDEX(OFFSET(Arb!$X$2,,,Arb!$AJ$5,),B160)/C160)</f>
        <v/>
      </c>
      <c r="F160" s="165" t="str">
        <f ca="1">IF(B160="","",(INDEX(OFFSET(Arb!$U$2,,,Arb!$AJ$5,),B160)+INDEX(OFFSET(Arb!$V$2,,,Arb!$AJ$5,),B160))/C160)</f>
        <v/>
      </c>
      <c r="G160" s="51" t="str">
        <f t="shared" ca="1" si="55"/>
        <v/>
      </c>
      <c r="H160" s="355" t="str">
        <f ca="1">IF(B160="","",DATE(INDEX(OFFSET(Arb!$C$2,,,Arb!$AJ$5,),B160),INDEX(OFFSET(Arb!$B$2,,,Arb!$AJ$5,),B160),INDEX(OFFSET(Arb!$A$2,,,Arb!$AJ$5,),B160))+ROW()*0.001)</f>
        <v/>
      </c>
      <c r="I160" s="436">
        <v>135</v>
      </c>
      <c r="K160" s="52" t="str">
        <f ca="1">IF(J160="","",INDEX(OFFSET(Arb!$H$2,,,Arb!$AJ$5,),J160))</f>
        <v/>
      </c>
      <c r="L160" s="3" t="str">
        <f t="shared" ref="L160:L167" ca="1" si="66">IFERROR(I160/K160,"")</f>
        <v/>
      </c>
      <c r="M160" s="165" t="str">
        <f ca="1">IF(J160="","",INDEX(OFFSET(Arb!$X$2,,,Arb!$AJ$5,),J160)/K160)</f>
        <v/>
      </c>
      <c r="N160" s="165" t="str">
        <f ca="1">IF(J160="","",(INDEX(OFFSET(Arb!$U$2,,,Arb!$AJ$5,),J160)+INDEX(OFFSET(Arb!$V$2,,,Arb!$AJ$5,),J160))/K160)</f>
        <v/>
      </c>
      <c r="O160" s="51" t="str">
        <f t="shared" ca="1" si="56"/>
        <v/>
      </c>
      <c r="P160" s="91" t="str">
        <f ca="1">IF(J160="","",DATE(INDEX(OFFSET(Arb!$C$2,,,Arb!$AJ$5,),J160),INDEX(OFFSET(Arb!$B$2,,,Arb!$AJ$5,),J160),INDEX(OFFSET(Arb!$A$2,,,Arb!$AJ$5,),J160))+ROW()*0.001)</f>
        <v/>
      </c>
      <c r="Q160" s="442">
        <v>135</v>
      </c>
      <c r="S160" s="52" t="str">
        <f ca="1">IF(R160="","",INDEX(OFFSET(Arb!$H$2,,,Arb!$AJ$5,),R160))</f>
        <v/>
      </c>
      <c r="T160" s="3" t="str">
        <f t="shared" ref="T160:T167" ca="1" si="67">IFERROR(Q160/S160,"")</f>
        <v/>
      </c>
      <c r="U160" s="165" t="str">
        <f ca="1">IF(R160="","",INDEX(OFFSET(Arb!$X$2,,,Arb!$AJ$5,),R160)/S160)</f>
        <v/>
      </c>
      <c r="V160" s="165" t="str">
        <f ca="1">IF(R160="","",(INDEX(OFFSET(Arb!$U$2,,,Arb!$AJ$5,),R160)+INDEX(OFFSET(Arb!$V$2,,,Arb!$AJ$5,),R160))/S160)</f>
        <v/>
      </c>
      <c r="W160" s="51" t="str">
        <f t="shared" ca="1" si="57"/>
        <v/>
      </c>
      <c r="X160" s="88" t="str">
        <f ca="1">IF(R160="","",DATE(INDEX(OFFSET(Arb!$C$2,,,Arb!$AJ$5,),R160),INDEX(OFFSET(Arb!$B$2,,,Arb!$AJ$5,),R160),INDEX(OFFSET(Arb!$A$2,,,Arb!$AJ$5,),R160))+ROW()*0.001)</f>
        <v/>
      </c>
      <c r="Y160" s="436">
        <v>135</v>
      </c>
      <c r="AA160" s="52" t="str">
        <f ca="1">IF(Z160="","",INDEX(OFFSET(Arb!$H$2,,,Arb!$AJ$5,),Z160))</f>
        <v/>
      </c>
      <c r="AB160" s="3" t="str">
        <f t="shared" ref="AB160:AB167" ca="1" si="68">IFERROR(Y160/AA160,"")</f>
        <v/>
      </c>
      <c r="AC160" s="165" t="str">
        <f ca="1">IF(Z160="","",INDEX(OFFSET(Arb!$X$2,,,Arb!$AJ$5,),Z160)/AA160)</f>
        <v/>
      </c>
      <c r="AD160" s="165" t="str">
        <f ca="1">IF(Z160="","",(INDEX(OFFSET(Arb!$U$2,,,Arb!$AJ$5,),Z160)+INDEX(OFFSET(Arb!$V$2,,,Arb!$AJ$5,),Z160))/AA160)</f>
        <v/>
      </c>
      <c r="AE160" s="51" t="str">
        <f t="shared" ca="1" si="58"/>
        <v/>
      </c>
      <c r="AF160" s="91" t="str">
        <f ca="1">IF(Z160="","",DATE(INDEX(OFFSET(Arb!$C$2,,,Arb!$AJ$5,),Z160),INDEX(OFFSET(Arb!$B$2,,,Arb!$AJ$5,),Z160),INDEX(OFFSET(Arb!$A$2,,,Arb!$AJ$5,),Z160))+ROW()*0.001)</f>
        <v/>
      </c>
      <c r="AG160" s="442">
        <v>135</v>
      </c>
      <c r="AI160" s="52" t="str">
        <f ca="1">IF(AH160="","",INDEX(OFFSET(Arb!$H$2,,,Arb!$AJ$5,),AH160))</f>
        <v/>
      </c>
      <c r="AJ160" s="3" t="str">
        <f t="shared" ref="AJ160:AJ167" ca="1" si="69">IFERROR(AG160/AI160,"")</f>
        <v/>
      </c>
      <c r="AK160" s="165" t="str">
        <f ca="1">IF(AH160="","",INDEX(OFFSET(Arb!$X$2,,,Arb!$AJ$5,),AH160)/AI160)</f>
        <v/>
      </c>
      <c r="AL160" s="165" t="str">
        <f ca="1">IF(AH160="","",(INDEX(OFFSET(Arb!$U$2,,,Arb!$AJ$5,),AH160)+INDEX(OFFSET(Arb!$V$2,,,Arb!$AJ$5,),AH160))/AI160)</f>
        <v/>
      </c>
      <c r="AM160" s="51" t="str">
        <f t="shared" ca="1" si="59"/>
        <v/>
      </c>
      <c r="AN160" s="88" t="str">
        <f ca="1">IF(AH160="","",DATE(INDEX(OFFSET(Arb!$C$2,,,Arb!$AJ$5,),AH160),INDEX(OFFSET(Arb!$B$2,,,Arb!$AJ$5,),AH160),INDEX(OFFSET(Arb!$A$2,,,Arb!$AJ$5,),AH160))+ROW()*0.001)</f>
        <v/>
      </c>
      <c r="AO160" s="436">
        <v>135</v>
      </c>
      <c r="AQ160" s="52" t="str">
        <f ca="1">IF(AP160="","",INDEX(OFFSET(Arb!$H$2,,,Arb!$AJ$5,),AP160))</f>
        <v/>
      </c>
      <c r="AR160" s="3" t="str">
        <f t="shared" ref="AR160:AR167" ca="1" si="70">IFERROR(AO160/AQ160,"")</f>
        <v/>
      </c>
      <c r="AS160" s="165" t="str">
        <f ca="1">IF(AP160="","",INDEX(OFFSET(Arb!$X$2,,,Arb!$AJ$5,),AP160)/AQ160)</f>
        <v/>
      </c>
      <c r="AT160" s="165" t="str">
        <f ca="1">IF(AP160="","",(INDEX(OFFSET(Arb!$U$2,,,Arb!$AJ$5,),AP160)+INDEX(OFFSET(Arb!$V$2,,,Arb!$AJ$5,),AP160))/AQ160)</f>
        <v/>
      </c>
      <c r="AU160" s="51" t="str">
        <f t="shared" ca="1" si="60"/>
        <v/>
      </c>
      <c r="AV160" s="91" t="str">
        <f ca="1">IF(AP160="","",DATE(INDEX(OFFSET(Arb!$C$2,,,Arb!$AJ$5,),AP160),INDEX(OFFSET(Arb!$B$2,,,Arb!$AJ$5,),AP160),INDEX(OFFSET(Arb!$A$2,,,Arb!$AJ$5,),AP160))+ROW()*0.001)</f>
        <v/>
      </c>
      <c r="AW160" s="442">
        <v>135</v>
      </c>
      <c r="AY160" s="52" t="str">
        <f ca="1">IF(AX160="","",INDEX(OFFSET(Arb!$H$2,,,Arb!$AJ$5,),AX160))</f>
        <v/>
      </c>
      <c r="AZ160" s="3" t="str">
        <f t="shared" ref="AZ160:AZ167" ca="1" si="71">IFERROR(AW160/AY160,"")</f>
        <v/>
      </c>
      <c r="BA160" s="165" t="str">
        <f ca="1">IF(AX160="","",INDEX(OFFSET(Arb!$X$2,,,Arb!$AJ$5,),AX160)/AY160)</f>
        <v/>
      </c>
      <c r="BB160" s="165" t="str">
        <f ca="1">IF(AX160="","",(INDEX(OFFSET(Arb!$U$2,,,Arb!$AJ$5,),AX160)+INDEX(OFFSET(Arb!$V$2,,,Arb!$AJ$5,),AX160))/AY160)</f>
        <v/>
      </c>
      <c r="BC160" s="51" t="str">
        <f t="shared" ca="1" si="61"/>
        <v/>
      </c>
      <c r="BD160" s="88" t="str">
        <f ca="1">IF(AX160="","",DATE(INDEX(OFFSET(Arb!$C$2,,,Arb!$AJ$5,),AX160),INDEX(OFFSET(Arb!$B$2,,,Arb!$AJ$5,),AX160),INDEX(OFFSET(Arb!$A$2,,,Arb!$AJ$5,),AX160))+ROW()*0.001)</f>
        <v/>
      </c>
      <c r="BE160" s="436">
        <v>135</v>
      </c>
      <c r="BG160" s="52" t="str">
        <f ca="1">IF(BF160="","",INDEX(OFFSET(Arb!$H$2,,,Arb!$AJ$5,),BF160))</f>
        <v/>
      </c>
      <c r="BH160" s="3" t="str">
        <f t="shared" ref="BH160:BH167" ca="1" si="72">IFERROR(BE160/BG160,"")</f>
        <v/>
      </c>
      <c r="BI160" s="165" t="str">
        <f ca="1">IF(BF160="","",INDEX(OFFSET(Arb!$X$2,,,Arb!$AJ$5,),BF160)/BG160)</f>
        <v/>
      </c>
      <c r="BJ160" s="165" t="str">
        <f ca="1">IF(BF160="","",(INDEX(OFFSET(Arb!$U$2,,,Arb!$AJ$5,),BF160)+INDEX(OFFSET(Arb!$V$2,,,Arb!$AJ$5,),BF160))/BG160)</f>
        <v/>
      </c>
      <c r="BK160" s="51" t="str">
        <f t="shared" ca="1" si="62"/>
        <v/>
      </c>
      <c r="BL160" s="91" t="str">
        <f ca="1">IF(BF160="","",DATE(INDEX(OFFSET(Arb!$C$2,,,Arb!$AJ$5,),BF160),INDEX(OFFSET(Arb!$B$2,,,Arb!$AJ$5,),BF160),INDEX(OFFSET(Arb!$A$2,,,Arb!$AJ$5,),BF160))+ROW()*0.001)</f>
        <v/>
      </c>
      <c r="BM160" s="442">
        <v>135</v>
      </c>
      <c r="BO160" s="52" t="str">
        <f ca="1">IF(BN160="","",INDEX(OFFSET(Arb!$H$2,,,Arb!$AJ$5,),BN160))</f>
        <v/>
      </c>
      <c r="BP160" s="3" t="str">
        <f t="shared" ref="BP160:BP167" ca="1" si="73">IFERROR(BM160/BO160,"")</f>
        <v/>
      </c>
      <c r="BQ160" s="165" t="str">
        <f ca="1">IF(BN160="","",INDEX(OFFSET(Arb!$X$2,,,Arb!$AJ$5,),BN160)/BO160)</f>
        <v/>
      </c>
      <c r="BR160" s="165" t="str">
        <f ca="1">IF(BN160="","",(INDEX(OFFSET(Arb!$U$2,,,Arb!$AJ$5,),BN160)+INDEX(OFFSET(Arb!$V$2,,,Arb!$AJ$5,),BN160))/BO160)</f>
        <v/>
      </c>
      <c r="BS160" s="51" t="str">
        <f t="shared" ca="1" si="63"/>
        <v/>
      </c>
      <c r="BT160" s="88" t="str">
        <f ca="1">IF(BN160="","",DATE(INDEX(OFFSET(Arb!$C$2,,,Arb!$AJ$5,),BN160),INDEX(OFFSET(Arb!$B$2,,,Arb!$AJ$5,),BN160),INDEX(OFFSET(Arb!$A$2,,,Arb!$AJ$5,),BN160))+ROW()*0.001)</f>
        <v/>
      </c>
      <c r="BU160" s="436">
        <v>135</v>
      </c>
      <c r="BW160" s="52" t="str">
        <f ca="1">IF(BV160="","",INDEX(OFFSET(Arb!$H$2,,,Arb!$AJ$5,),BV160))</f>
        <v/>
      </c>
      <c r="BX160" s="3" t="str">
        <f t="shared" ref="BX160:BX167" ca="1" si="74">IFERROR(BU160/BW160,"")</f>
        <v/>
      </c>
      <c r="BY160" s="165" t="str">
        <f ca="1">IF(BV160="","",INDEX(OFFSET(Arb!$X$2,,,Arb!$AJ$5,),BV160)/BW160)</f>
        <v/>
      </c>
      <c r="BZ160" s="165" t="str">
        <f ca="1">IF(BV160="","",(INDEX(OFFSET(Arb!$U$2,,,Arb!$AJ$5,),BV160)+INDEX(OFFSET(Arb!$V$2,,,Arb!$AJ$5,),BV160))/BW160)</f>
        <v/>
      </c>
      <c r="CA160" s="51" t="str">
        <f t="shared" ca="1" si="64"/>
        <v/>
      </c>
      <c r="CB160" s="91" t="str">
        <f ca="1">IF(BV160="","",DATE(INDEX(OFFSET(Arb!$C$2,,,Arb!$AJ$5,),BV160),INDEX(OFFSET(Arb!$B$2,,,Arb!$AJ$5,),BV160),INDEX(OFFSET(Arb!$A$2,,,Arb!$AJ$5,),BV160))+ROW()*0.001)</f>
        <v/>
      </c>
    </row>
    <row r="161" spans="1:80" x14ac:dyDescent="0.25">
      <c r="A161" s="436">
        <v>136</v>
      </c>
      <c r="C161" s="52" t="str">
        <f ca="1">IF(B161="","",INDEX(OFFSET(Arb!$H$2,,,Arb!$AJ$5,),B161))</f>
        <v/>
      </c>
      <c r="D161" s="3" t="str">
        <f t="shared" ca="1" si="65"/>
        <v/>
      </c>
      <c r="E161" s="165" t="str">
        <f ca="1">IF(B161="","",INDEX(OFFSET(Arb!$X$2,,,Arb!$AJ$5,),B161)/C161)</f>
        <v/>
      </c>
      <c r="F161" s="165" t="str">
        <f ca="1">IF(B161="","",(INDEX(OFFSET(Arb!$U$2,,,Arb!$AJ$5,),B161)+INDEX(OFFSET(Arb!$V$2,,,Arb!$AJ$5,),B161))/C161)</f>
        <v/>
      </c>
      <c r="G161" s="51" t="str">
        <f t="shared" ca="1" si="55"/>
        <v/>
      </c>
      <c r="H161" s="355" t="str">
        <f ca="1">IF(B161="","",DATE(INDEX(OFFSET(Arb!$C$2,,,Arb!$AJ$5,),B161),INDEX(OFFSET(Arb!$B$2,,,Arb!$AJ$5,),B161),INDEX(OFFSET(Arb!$A$2,,,Arb!$AJ$5,),B161))+ROW()*0.001)</f>
        <v/>
      </c>
      <c r="I161" s="436">
        <v>136</v>
      </c>
      <c r="K161" s="52" t="str">
        <f ca="1">IF(J161="","",INDEX(OFFSET(Arb!$H$2,,,Arb!$AJ$5,),J161))</f>
        <v/>
      </c>
      <c r="L161" s="3" t="str">
        <f t="shared" ca="1" si="66"/>
        <v/>
      </c>
      <c r="M161" s="165" t="str">
        <f ca="1">IF(J161="","",INDEX(OFFSET(Arb!$X$2,,,Arb!$AJ$5,),J161)/K161)</f>
        <v/>
      </c>
      <c r="N161" s="165" t="str">
        <f ca="1">IF(J161="","",(INDEX(OFFSET(Arb!$U$2,,,Arb!$AJ$5,),J161)+INDEX(OFFSET(Arb!$V$2,,,Arb!$AJ$5,),J161))/K161)</f>
        <v/>
      </c>
      <c r="O161" s="51" t="str">
        <f t="shared" ca="1" si="56"/>
        <v/>
      </c>
      <c r="P161" s="91" t="str">
        <f ca="1">IF(J161="","",DATE(INDEX(OFFSET(Arb!$C$2,,,Arb!$AJ$5,),J161),INDEX(OFFSET(Arb!$B$2,,,Arb!$AJ$5,),J161),INDEX(OFFSET(Arb!$A$2,,,Arb!$AJ$5,),J161))+ROW()*0.001)</f>
        <v/>
      </c>
      <c r="Q161" s="442">
        <v>136</v>
      </c>
      <c r="S161" s="52" t="str">
        <f ca="1">IF(R161="","",INDEX(OFFSET(Arb!$H$2,,,Arb!$AJ$5,),R161))</f>
        <v/>
      </c>
      <c r="T161" s="3" t="str">
        <f t="shared" ca="1" si="67"/>
        <v/>
      </c>
      <c r="U161" s="165" t="str">
        <f ca="1">IF(R161="","",INDEX(OFFSET(Arb!$X$2,,,Arb!$AJ$5,),R161)/S161)</f>
        <v/>
      </c>
      <c r="V161" s="165" t="str">
        <f ca="1">IF(R161="","",(INDEX(OFFSET(Arb!$U$2,,,Arb!$AJ$5,),R161)+INDEX(OFFSET(Arb!$V$2,,,Arb!$AJ$5,),R161))/S161)</f>
        <v/>
      </c>
      <c r="W161" s="51" t="str">
        <f t="shared" ca="1" si="57"/>
        <v/>
      </c>
      <c r="X161" s="88" t="str">
        <f ca="1">IF(R161="","",DATE(INDEX(OFFSET(Arb!$C$2,,,Arb!$AJ$5,),R161),INDEX(OFFSET(Arb!$B$2,,,Arb!$AJ$5,),R161),INDEX(OFFSET(Arb!$A$2,,,Arb!$AJ$5,),R161))+ROW()*0.001)</f>
        <v/>
      </c>
      <c r="Y161" s="436">
        <v>136</v>
      </c>
      <c r="AA161" s="52" t="str">
        <f ca="1">IF(Z161="","",INDEX(OFFSET(Arb!$H$2,,,Arb!$AJ$5,),Z161))</f>
        <v/>
      </c>
      <c r="AB161" s="3" t="str">
        <f t="shared" ca="1" si="68"/>
        <v/>
      </c>
      <c r="AC161" s="165" t="str">
        <f ca="1">IF(Z161="","",INDEX(OFFSET(Arb!$X$2,,,Arb!$AJ$5,),Z161)/AA161)</f>
        <v/>
      </c>
      <c r="AD161" s="165" t="str">
        <f ca="1">IF(Z161="","",(INDEX(OFFSET(Arb!$U$2,,,Arb!$AJ$5,),Z161)+INDEX(OFFSET(Arb!$V$2,,,Arb!$AJ$5,),Z161))/AA161)</f>
        <v/>
      </c>
      <c r="AE161" s="51" t="str">
        <f t="shared" ca="1" si="58"/>
        <v/>
      </c>
      <c r="AF161" s="91" t="str">
        <f ca="1">IF(Z161="","",DATE(INDEX(OFFSET(Arb!$C$2,,,Arb!$AJ$5,),Z161),INDEX(OFFSET(Arb!$B$2,,,Arb!$AJ$5,),Z161),INDEX(OFFSET(Arb!$A$2,,,Arb!$AJ$5,),Z161))+ROW()*0.001)</f>
        <v/>
      </c>
      <c r="AG161" s="442">
        <v>136</v>
      </c>
      <c r="AI161" s="52" t="str">
        <f ca="1">IF(AH161="","",INDEX(OFFSET(Arb!$H$2,,,Arb!$AJ$5,),AH161))</f>
        <v/>
      </c>
      <c r="AJ161" s="3" t="str">
        <f t="shared" ca="1" si="69"/>
        <v/>
      </c>
      <c r="AK161" s="165" t="str">
        <f ca="1">IF(AH161="","",INDEX(OFFSET(Arb!$X$2,,,Arb!$AJ$5,),AH161)/AI161)</f>
        <v/>
      </c>
      <c r="AL161" s="165" t="str">
        <f ca="1">IF(AH161="","",(INDEX(OFFSET(Arb!$U$2,,,Arb!$AJ$5,),AH161)+INDEX(OFFSET(Arb!$V$2,,,Arb!$AJ$5,),AH161))/AI161)</f>
        <v/>
      </c>
      <c r="AM161" s="51" t="str">
        <f t="shared" ca="1" si="59"/>
        <v/>
      </c>
      <c r="AN161" s="88" t="str">
        <f ca="1">IF(AH161="","",DATE(INDEX(OFFSET(Arb!$C$2,,,Arb!$AJ$5,),AH161),INDEX(OFFSET(Arb!$B$2,,,Arb!$AJ$5,),AH161),INDEX(OFFSET(Arb!$A$2,,,Arb!$AJ$5,),AH161))+ROW()*0.001)</f>
        <v/>
      </c>
      <c r="AO161" s="436">
        <v>136</v>
      </c>
      <c r="AQ161" s="52" t="str">
        <f ca="1">IF(AP161="","",INDEX(OFFSET(Arb!$H$2,,,Arb!$AJ$5,),AP161))</f>
        <v/>
      </c>
      <c r="AR161" s="3" t="str">
        <f t="shared" ca="1" si="70"/>
        <v/>
      </c>
      <c r="AS161" s="165" t="str">
        <f ca="1">IF(AP161="","",INDEX(OFFSET(Arb!$X$2,,,Arb!$AJ$5,),AP161)/AQ161)</f>
        <v/>
      </c>
      <c r="AT161" s="165" t="str">
        <f ca="1">IF(AP161="","",(INDEX(OFFSET(Arb!$U$2,,,Arb!$AJ$5,),AP161)+INDEX(OFFSET(Arb!$V$2,,,Arb!$AJ$5,),AP161))/AQ161)</f>
        <v/>
      </c>
      <c r="AU161" s="51" t="str">
        <f t="shared" ca="1" si="60"/>
        <v/>
      </c>
      <c r="AV161" s="91" t="str">
        <f ca="1">IF(AP161="","",DATE(INDEX(OFFSET(Arb!$C$2,,,Arb!$AJ$5,),AP161),INDEX(OFFSET(Arb!$B$2,,,Arb!$AJ$5,),AP161),INDEX(OFFSET(Arb!$A$2,,,Arb!$AJ$5,),AP161))+ROW()*0.001)</f>
        <v/>
      </c>
      <c r="AW161" s="442">
        <v>136</v>
      </c>
      <c r="AY161" s="52" t="str">
        <f ca="1">IF(AX161="","",INDEX(OFFSET(Arb!$H$2,,,Arb!$AJ$5,),AX161))</f>
        <v/>
      </c>
      <c r="AZ161" s="3" t="str">
        <f t="shared" ca="1" si="71"/>
        <v/>
      </c>
      <c r="BA161" s="165" t="str">
        <f ca="1">IF(AX161="","",INDEX(OFFSET(Arb!$X$2,,,Arb!$AJ$5,),AX161)/AY161)</f>
        <v/>
      </c>
      <c r="BB161" s="165" t="str">
        <f ca="1">IF(AX161="","",(INDEX(OFFSET(Arb!$U$2,,,Arb!$AJ$5,),AX161)+INDEX(OFFSET(Arb!$V$2,,,Arb!$AJ$5,),AX161))/AY161)</f>
        <v/>
      </c>
      <c r="BC161" s="51" t="str">
        <f t="shared" ca="1" si="61"/>
        <v/>
      </c>
      <c r="BD161" s="88" t="str">
        <f ca="1">IF(AX161="","",DATE(INDEX(OFFSET(Arb!$C$2,,,Arb!$AJ$5,),AX161),INDEX(OFFSET(Arb!$B$2,,,Arb!$AJ$5,),AX161),INDEX(OFFSET(Arb!$A$2,,,Arb!$AJ$5,),AX161))+ROW()*0.001)</f>
        <v/>
      </c>
      <c r="BE161" s="436">
        <v>136</v>
      </c>
      <c r="BG161" s="52" t="str">
        <f ca="1">IF(BF161="","",INDEX(OFFSET(Arb!$H$2,,,Arb!$AJ$5,),BF161))</f>
        <v/>
      </c>
      <c r="BH161" s="3" t="str">
        <f t="shared" ca="1" si="72"/>
        <v/>
      </c>
      <c r="BI161" s="165" t="str">
        <f ca="1">IF(BF161="","",INDEX(OFFSET(Arb!$X$2,,,Arb!$AJ$5,),BF161)/BG161)</f>
        <v/>
      </c>
      <c r="BJ161" s="165" t="str">
        <f ca="1">IF(BF161="","",(INDEX(OFFSET(Arb!$U$2,,,Arb!$AJ$5,),BF161)+INDEX(OFFSET(Arb!$V$2,,,Arb!$AJ$5,),BF161))/BG161)</f>
        <v/>
      </c>
      <c r="BK161" s="51" t="str">
        <f t="shared" ca="1" si="62"/>
        <v/>
      </c>
      <c r="BL161" s="91" t="str">
        <f ca="1">IF(BF161="","",DATE(INDEX(OFFSET(Arb!$C$2,,,Arb!$AJ$5,),BF161),INDEX(OFFSET(Arb!$B$2,,,Arb!$AJ$5,),BF161),INDEX(OFFSET(Arb!$A$2,,,Arb!$AJ$5,),BF161))+ROW()*0.001)</f>
        <v/>
      </c>
      <c r="BM161" s="442">
        <v>136</v>
      </c>
      <c r="BO161" s="52" t="str">
        <f ca="1">IF(BN161="","",INDEX(OFFSET(Arb!$H$2,,,Arb!$AJ$5,),BN161))</f>
        <v/>
      </c>
      <c r="BP161" s="3" t="str">
        <f t="shared" ca="1" si="73"/>
        <v/>
      </c>
      <c r="BQ161" s="165" t="str">
        <f ca="1">IF(BN161="","",INDEX(OFFSET(Arb!$X$2,,,Arb!$AJ$5,),BN161)/BO161)</f>
        <v/>
      </c>
      <c r="BR161" s="165" t="str">
        <f ca="1">IF(BN161="","",(INDEX(OFFSET(Arb!$U$2,,,Arb!$AJ$5,),BN161)+INDEX(OFFSET(Arb!$V$2,,,Arb!$AJ$5,),BN161))/BO161)</f>
        <v/>
      </c>
      <c r="BS161" s="51" t="str">
        <f t="shared" ca="1" si="63"/>
        <v/>
      </c>
      <c r="BT161" s="88" t="str">
        <f ca="1">IF(BN161="","",DATE(INDEX(OFFSET(Arb!$C$2,,,Arb!$AJ$5,),BN161),INDEX(OFFSET(Arb!$B$2,,,Arb!$AJ$5,),BN161),INDEX(OFFSET(Arb!$A$2,,,Arb!$AJ$5,),BN161))+ROW()*0.001)</f>
        <v/>
      </c>
      <c r="BU161" s="436">
        <v>136</v>
      </c>
      <c r="BW161" s="52" t="str">
        <f ca="1">IF(BV161="","",INDEX(OFFSET(Arb!$H$2,,,Arb!$AJ$5,),BV161))</f>
        <v/>
      </c>
      <c r="BX161" s="3" t="str">
        <f t="shared" ca="1" si="74"/>
        <v/>
      </c>
      <c r="BY161" s="165" t="str">
        <f ca="1">IF(BV161="","",INDEX(OFFSET(Arb!$X$2,,,Arb!$AJ$5,),BV161)/BW161)</f>
        <v/>
      </c>
      <c r="BZ161" s="165" t="str">
        <f ca="1">IF(BV161="","",(INDEX(OFFSET(Arb!$U$2,,,Arb!$AJ$5,),BV161)+INDEX(OFFSET(Arb!$V$2,,,Arb!$AJ$5,),BV161))/BW161)</f>
        <v/>
      </c>
      <c r="CA161" s="51" t="str">
        <f t="shared" ca="1" si="64"/>
        <v/>
      </c>
      <c r="CB161" s="91" t="str">
        <f ca="1">IF(BV161="","",DATE(INDEX(OFFSET(Arb!$C$2,,,Arb!$AJ$5,),BV161),INDEX(OFFSET(Arb!$B$2,,,Arb!$AJ$5,),BV161),INDEX(OFFSET(Arb!$A$2,,,Arb!$AJ$5,),BV161))+ROW()*0.001)</f>
        <v/>
      </c>
    </row>
    <row r="162" spans="1:80" x14ac:dyDescent="0.25">
      <c r="A162" s="436">
        <v>137</v>
      </c>
      <c r="C162" s="52" t="str">
        <f ca="1">IF(B162="","",INDEX(OFFSET(Arb!$H$2,,,Arb!$AJ$5,),B162))</f>
        <v/>
      </c>
      <c r="D162" s="3" t="str">
        <f t="shared" ca="1" si="65"/>
        <v/>
      </c>
      <c r="E162" s="165" t="str">
        <f ca="1">IF(B162="","",INDEX(OFFSET(Arb!$X$2,,,Arb!$AJ$5,),B162)/C162)</f>
        <v/>
      </c>
      <c r="F162" s="165" t="str">
        <f ca="1">IF(B162="","",(INDEX(OFFSET(Arb!$U$2,,,Arb!$AJ$5,),B162)+INDEX(OFFSET(Arb!$V$2,,,Arb!$AJ$5,),B162))/C162)</f>
        <v/>
      </c>
      <c r="G162" s="51" t="str">
        <f t="shared" ca="1" si="55"/>
        <v/>
      </c>
      <c r="H162" s="355" t="str">
        <f ca="1">IF(B162="","",DATE(INDEX(OFFSET(Arb!$C$2,,,Arb!$AJ$5,),B162),INDEX(OFFSET(Arb!$B$2,,,Arb!$AJ$5,),B162),INDEX(OFFSET(Arb!$A$2,,,Arb!$AJ$5,),B162))+ROW()*0.001)</f>
        <v/>
      </c>
      <c r="I162" s="436">
        <v>137</v>
      </c>
      <c r="K162" s="52" t="str">
        <f ca="1">IF(J162="","",INDEX(OFFSET(Arb!$H$2,,,Arb!$AJ$5,),J162))</f>
        <v/>
      </c>
      <c r="L162" s="3" t="str">
        <f t="shared" ca="1" si="66"/>
        <v/>
      </c>
      <c r="M162" s="165" t="str">
        <f ca="1">IF(J162="","",INDEX(OFFSET(Arb!$X$2,,,Arb!$AJ$5,),J162)/K162)</f>
        <v/>
      </c>
      <c r="N162" s="165" t="str">
        <f ca="1">IF(J162="","",(INDEX(OFFSET(Arb!$U$2,,,Arb!$AJ$5,),J162)+INDEX(OFFSET(Arb!$V$2,,,Arb!$AJ$5,),J162))/K162)</f>
        <v/>
      </c>
      <c r="O162" s="51" t="str">
        <f t="shared" ca="1" si="56"/>
        <v/>
      </c>
      <c r="P162" s="91" t="str">
        <f ca="1">IF(J162="","",DATE(INDEX(OFFSET(Arb!$C$2,,,Arb!$AJ$5,),J162),INDEX(OFFSET(Arb!$B$2,,,Arb!$AJ$5,),J162),INDEX(OFFSET(Arb!$A$2,,,Arb!$AJ$5,),J162))+ROW()*0.001)</f>
        <v/>
      </c>
      <c r="Q162" s="442">
        <v>137</v>
      </c>
      <c r="S162" s="52" t="str">
        <f ca="1">IF(R162="","",INDEX(OFFSET(Arb!$H$2,,,Arb!$AJ$5,),R162))</f>
        <v/>
      </c>
      <c r="T162" s="3" t="str">
        <f t="shared" ca="1" si="67"/>
        <v/>
      </c>
      <c r="U162" s="165" t="str">
        <f ca="1">IF(R162="","",INDEX(OFFSET(Arb!$X$2,,,Arb!$AJ$5,),R162)/S162)</f>
        <v/>
      </c>
      <c r="V162" s="165" t="str">
        <f ca="1">IF(R162="","",(INDEX(OFFSET(Arb!$U$2,,,Arb!$AJ$5,),R162)+INDEX(OFFSET(Arb!$V$2,,,Arb!$AJ$5,),R162))/S162)</f>
        <v/>
      </c>
      <c r="W162" s="51" t="str">
        <f t="shared" ca="1" si="57"/>
        <v/>
      </c>
      <c r="X162" s="88" t="str">
        <f ca="1">IF(R162="","",DATE(INDEX(OFFSET(Arb!$C$2,,,Arb!$AJ$5,),R162),INDEX(OFFSET(Arb!$B$2,,,Arb!$AJ$5,),R162),INDEX(OFFSET(Arb!$A$2,,,Arb!$AJ$5,),R162))+ROW()*0.001)</f>
        <v/>
      </c>
      <c r="Y162" s="436">
        <v>137</v>
      </c>
      <c r="AA162" s="52" t="str">
        <f ca="1">IF(Z162="","",INDEX(OFFSET(Arb!$H$2,,,Arb!$AJ$5,),Z162))</f>
        <v/>
      </c>
      <c r="AB162" s="3" t="str">
        <f t="shared" ca="1" si="68"/>
        <v/>
      </c>
      <c r="AC162" s="165" t="str">
        <f ca="1">IF(Z162="","",INDEX(OFFSET(Arb!$X$2,,,Arb!$AJ$5,),Z162)/AA162)</f>
        <v/>
      </c>
      <c r="AD162" s="165" t="str">
        <f ca="1">IF(Z162="","",(INDEX(OFFSET(Arb!$U$2,,,Arb!$AJ$5,),Z162)+INDEX(OFFSET(Arb!$V$2,,,Arb!$AJ$5,),Z162))/AA162)</f>
        <v/>
      </c>
      <c r="AE162" s="51" t="str">
        <f t="shared" ca="1" si="58"/>
        <v/>
      </c>
      <c r="AF162" s="91" t="str">
        <f ca="1">IF(Z162="","",DATE(INDEX(OFFSET(Arb!$C$2,,,Arb!$AJ$5,),Z162),INDEX(OFFSET(Arb!$B$2,,,Arb!$AJ$5,),Z162),INDEX(OFFSET(Arb!$A$2,,,Arb!$AJ$5,),Z162))+ROW()*0.001)</f>
        <v/>
      </c>
      <c r="AG162" s="442">
        <v>137</v>
      </c>
      <c r="AI162" s="52" t="str">
        <f ca="1">IF(AH162="","",INDEX(OFFSET(Arb!$H$2,,,Arb!$AJ$5,),AH162))</f>
        <v/>
      </c>
      <c r="AJ162" s="3" t="str">
        <f t="shared" ca="1" si="69"/>
        <v/>
      </c>
      <c r="AK162" s="165" t="str">
        <f ca="1">IF(AH162="","",INDEX(OFFSET(Arb!$X$2,,,Arb!$AJ$5,),AH162)/AI162)</f>
        <v/>
      </c>
      <c r="AL162" s="165" t="str">
        <f ca="1">IF(AH162="","",(INDEX(OFFSET(Arb!$U$2,,,Arb!$AJ$5,),AH162)+INDEX(OFFSET(Arb!$V$2,,,Arb!$AJ$5,),AH162))/AI162)</f>
        <v/>
      </c>
      <c r="AM162" s="51" t="str">
        <f t="shared" ca="1" si="59"/>
        <v/>
      </c>
      <c r="AN162" s="88" t="str">
        <f ca="1">IF(AH162="","",DATE(INDEX(OFFSET(Arb!$C$2,,,Arb!$AJ$5,),AH162),INDEX(OFFSET(Arb!$B$2,,,Arb!$AJ$5,),AH162),INDEX(OFFSET(Arb!$A$2,,,Arb!$AJ$5,),AH162))+ROW()*0.001)</f>
        <v/>
      </c>
      <c r="AO162" s="436">
        <v>137</v>
      </c>
      <c r="AQ162" s="52" t="str">
        <f ca="1">IF(AP162="","",INDEX(OFFSET(Arb!$H$2,,,Arb!$AJ$5,),AP162))</f>
        <v/>
      </c>
      <c r="AR162" s="3" t="str">
        <f t="shared" ca="1" si="70"/>
        <v/>
      </c>
      <c r="AS162" s="165" t="str">
        <f ca="1">IF(AP162="","",INDEX(OFFSET(Arb!$X$2,,,Arb!$AJ$5,),AP162)/AQ162)</f>
        <v/>
      </c>
      <c r="AT162" s="165" t="str">
        <f ca="1">IF(AP162="","",(INDEX(OFFSET(Arb!$U$2,,,Arb!$AJ$5,),AP162)+INDEX(OFFSET(Arb!$V$2,,,Arb!$AJ$5,),AP162))/AQ162)</f>
        <v/>
      </c>
      <c r="AU162" s="51" t="str">
        <f t="shared" ca="1" si="60"/>
        <v/>
      </c>
      <c r="AV162" s="91" t="str">
        <f ca="1">IF(AP162="","",DATE(INDEX(OFFSET(Arb!$C$2,,,Arb!$AJ$5,),AP162),INDEX(OFFSET(Arb!$B$2,,,Arb!$AJ$5,),AP162),INDEX(OFFSET(Arb!$A$2,,,Arb!$AJ$5,),AP162))+ROW()*0.001)</f>
        <v/>
      </c>
      <c r="AW162" s="442">
        <v>137</v>
      </c>
      <c r="AY162" s="52" t="str">
        <f ca="1">IF(AX162="","",INDEX(OFFSET(Arb!$H$2,,,Arb!$AJ$5,),AX162))</f>
        <v/>
      </c>
      <c r="AZ162" s="3" t="str">
        <f t="shared" ca="1" si="71"/>
        <v/>
      </c>
      <c r="BA162" s="165" t="str">
        <f ca="1">IF(AX162="","",INDEX(OFFSET(Arb!$X$2,,,Arb!$AJ$5,),AX162)/AY162)</f>
        <v/>
      </c>
      <c r="BB162" s="165" t="str">
        <f ca="1">IF(AX162="","",(INDEX(OFFSET(Arb!$U$2,,,Arb!$AJ$5,),AX162)+INDEX(OFFSET(Arb!$V$2,,,Arb!$AJ$5,),AX162))/AY162)</f>
        <v/>
      </c>
      <c r="BC162" s="51" t="str">
        <f t="shared" ca="1" si="61"/>
        <v/>
      </c>
      <c r="BD162" s="88" t="str">
        <f ca="1">IF(AX162="","",DATE(INDEX(OFFSET(Arb!$C$2,,,Arb!$AJ$5,),AX162),INDEX(OFFSET(Arb!$B$2,,,Arb!$AJ$5,),AX162),INDEX(OFFSET(Arb!$A$2,,,Arb!$AJ$5,),AX162))+ROW()*0.001)</f>
        <v/>
      </c>
      <c r="BE162" s="436">
        <v>137</v>
      </c>
      <c r="BG162" s="52" t="str">
        <f ca="1">IF(BF162="","",INDEX(OFFSET(Arb!$H$2,,,Arb!$AJ$5,),BF162))</f>
        <v/>
      </c>
      <c r="BH162" s="3" t="str">
        <f t="shared" ca="1" si="72"/>
        <v/>
      </c>
      <c r="BI162" s="165" t="str">
        <f ca="1">IF(BF162="","",INDEX(OFFSET(Arb!$X$2,,,Arb!$AJ$5,),BF162)/BG162)</f>
        <v/>
      </c>
      <c r="BJ162" s="165" t="str">
        <f ca="1">IF(BF162="","",(INDEX(OFFSET(Arb!$U$2,,,Arb!$AJ$5,),BF162)+INDEX(OFFSET(Arb!$V$2,,,Arb!$AJ$5,),BF162))/BG162)</f>
        <v/>
      </c>
      <c r="BK162" s="51" t="str">
        <f t="shared" ca="1" si="62"/>
        <v/>
      </c>
      <c r="BL162" s="91" t="str">
        <f ca="1">IF(BF162="","",DATE(INDEX(OFFSET(Arb!$C$2,,,Arb!$AJ$5,),BF162),INDEX(OFFSET(Arb!$B$2,,,Arb!$AJ$5,),BF162),INDEX(OFFSET(Arb!$A$2,,,Arb!$AJ$5,),BF162))+ROW()*0.001)</f>
        <v/>
      </c>
      <c r="BM162" s="442">
        <v>137</v>
      </c>
      <c r="BO162" s="52" t="str">
        <f ca="1">IF(BN162="","",INDEX(OFFSET(Arb!$H$2,,,Arb!$AJ$5,),BN162))</f>
        <v/>
      </c>
      <c r="BP162" s="3" t="str">
        <f t="shared" ca="1" si="73"/>
        <v/>
      </c>
      <c r="BQ162" s="165" t="str">
        <f ca="1">IF(BN162="","",INDEX(OFFSET(Arb!$X$2,,,Arb!$AJ$5,),BN162)/BO162)</f>
        <v/>
      </c>
      <c r="BR162" s="165" t="str">
        <f ca="1">IF(BN162="","",(INDEX(OFFSET(Arb!$U$2,,,Arb!$AJ$5,),BN162)+INDEX(OFFSET(Arb!$V$2,,,Arb!$AJ$5,),BN162))/BO162)</f>
        <v/>
      </c>
      <c r="BS162" s="51" t="str">
        <f t="shared" ca="1" si="63"/>
        <v/>
      </c>
      <c r="BT162" s="88" t="str">
        <f ca="1">IF(BN162="","",DATE(INDEX(OFFSET(Arb!$C$2,,,Arb!$AJ$5,),BN162),INDEX(OFFSET(Arb!$B$2,,,Arb!$AJ$5,),BN162),INDEX(OFFSET(Arb!$A$2,,,Arb!$AJ$5,),BN162))+ROW()*0.001)</f>
        <v/>
      </c>
      <c r="BU162" s="436">
        <v>137</v>
      </c>
      <c r="BW162" s="52" t="str">
        <f ca="1">IF(BV162="","",INDEX(OFFSET(Arb!$H$2,,,Arb!$AJ$5,),BV162))</f>
        <v/>
      </c>
      <c r="BX162" s="3" t="str">
        <f t="shared" ca="1" si="74"/>
        <v/>
      </c>
      <c r="BY162" s="165" t="str">
        <f ca="1">IF(BV162="","",INDEX(OFFSET(Arb!$X$2,,,Arb!$AJ$5,),BV162)/BW162)</f>
        <v/>
      </c>
      <c r="BZ162" s="165" t="str">
        <f ca="1">IF(BV162="","",(INDEX(OFFSET(Arb!$U$2,,,Arb!$AJ$5,),BV162)+INDEX(OFFSET(Arb!$V$2,,,Arb!$AJ$5,),BV162))/BW162)</f>
        <v/>
      </c>
      <c r="CA162" s="51" t="str">
        <f t="shared" ca="1" si="64"/>
        <v/>
      </c>
      <c r="CB162" s="91" t="str">
        <f ca="1">IF(BV162="","",DATE(INDEX(OFFSET(Arb!$C$2,,,Arb!$AJ$5,),BV162),INDEX(OFFSET(Arb!$B$2,,,Arb!$AJ$5,),BV162),INDEX(OFFSET(Arb!$A$2,,,Arb!$AJ$5,),BV162))+ROW()*0.001)</f>
        <v/>
      </c>
    </row>
    <row r="163" spans="1:80" x14ac:dyDescent="0.25">
      <c r="A163" s="436">
        <v>138</v>
      </c>
      <c r="C163" s="52" t="str">
        <f ca="1">IF(B163="","",INDEX(OFFSET(Arb!$H$2,,,Arb!$AJ$5,),B163))</f>
        <v/>
      </c>
      <c r="D163" s="3" t="str">
        <f t="shared" ca="1" si="65"/>
        <v/>
      </c>
      <c r="E163" s="165" t="str">
        <f ca="1">IF(B163="","",INDEX(OFFSET(Arb!$X$2,,,Arb!$AJ$5,),B163)/C163)</f>
        <v/>
      </c>
      <c r="F163" s="165" t="str">
        <f ca="1">IF(B163="","",(INDEX(OFFSET(Arb!$U$2,,,Arb!$AJ$5,),B163)+INDEX(OFFSET(Arb!$V$2,,,Arb!$AJ$5,),B163))/C163)</f>
        <v/>
      </c>
      <c r="G163" s="51" t="str">
        <f t="shared" ca="1" si="55"/>
        <v/>
      </c>
      <c r="H163" s="355" t="str">
        <f ca="1">IF(B163="","",DATE(INDEX(OFFSET(Arb!$C$2,,,Arb!$AJ$5,),B163),INDEX(OFFSET(Arb!$B$2,,,Arb!$AJ$5,),B163),INDEX(OFFSET(Arb!$A$2,,,Arb!$AJ$5,),B163))+ROW()*0.001)</f>
        <v/>
      </c>
      <c r="I163" s="436">
        <v>138</v>
      </c>
      <c r="K163" s="52" t="str">
        <f ca="1">IF(J163="","",INDEX(OFFSET(Arb!$H$2,,,Arb!$AJ$5,),J163))</f>
        <v/>
      </c>
      <c r="L163" s="3" t="str">
        <f t="shared" ca="1" si="66"/>
        <v/>
      </c>
      <c r="M163" s="165" t="str">
        <f ca="1">IF(J163="","",INDEX(OFFSET(Arb!$X$2,,,Arb!$AJ$5,),J163)/K163)</f>
        <v/>
      </c>
      <c r="N163" s="165" t="str">
        <f ca="1">IF(J163="","",(INDEX(OFFSET(Arb!$U$2,,,Arb!$AJ$5,),J163)+INDEX(OFFSET(Arb!$V$2,,,Arb!$AJ$5,),J163))/K163)</f>
        <v/>
      </c>
      <c r="O163" s="51" t="str">
        <f t="shared" ca="1" si="56"/>
        <v/>
      </c>
      <c r="P163" s="91" t="str">
        <f ca="1">IF(J163="","",DATE(INDEX(OFFSET(Arb!$C$2,,,Arb!$AJ$5,),J163),INDEX(OFFSET(Arb!$B$2,,,Arb!$AJ$5,),J163),INDEX(OFFSET(Arb!$A$2,,,Arb!$AJ$5,),J163))+ROW()*0.001)</f>
        <v/>
      </c>
      <c r="Q163" s="442">
        <v>138</v>
      </c>
      <c r="S163" s="52" t="str">
        <f ca="1">IF(R163="","",INDEX(OFFSET(Arb!$H$2,,,Arb!$AJ$5,),R163))</f>
        <v/>
      </c>
      <c r="T163" s="3" t="str">
        <f t="shared" ca="1" si="67"/>
        <v/>
      </c>
      <c r="U163" s="165" t="str">
        <f ca="1">IF(R163="","",INDEX(OFFSET(Arb!$X$2,,,Arb!$AJ$5,),R163)/S163)</f>
        <v/>
      </c>
      <c r="V163" s="165" t="str">
        <f ca="1">IF(R163="","",(INDEX(OFFSET(Arb!$U$2,,,Arb!$AJ$5,),R163)+INDEX(OFFSET(Arb!$V$2,,,Arb!$AJ$5,),R163))/S163)</f>
        <v/>
      </c>
      <c r="W163" s="51" t="str">
        <f t="shared" ca="1" si="57"/>
        <v/>
      </c>
      <c r="X163" s="88" t="str">
        <f ca="1">IF(R163="","",DATE(INDEX(OFFSET(Arb!$C$2,,,Arb!$AJ$5,),R163),INDEX(OFFSET(Arb!$B$2,,,Arb!$AJ$5,),R163),INDEX(OFFSET(Arb!$A$2,,,Arb!$AJ$5,),R163))+ROW()*0.001)</f>
        <v/>
      </c>
      <c r="Y163" s="436">
        <v>138</v>
      </c>
      <c r="AA163" s="52" t="str">
        <f ca="1">IF(Z163="","",INDEX(OFFSET(Arb!$H$2,,,Arb!$AJ$5,),Z163))</f>
        <v/>
      </c>
      <c r="AB163" s="3" t="str">
        <f t="shared" ca="1" si="68"/>
        <v/>
      </c>
      <c r="AC163" s="165" t="str">
        <f ca="1">IF(Z163="","",INDEX(OFFSET(Arb!$X$2,,,Arb!$AJ$5,),Z163)/AA163)</f>
        <v/>
      </c>
      <c r="AD163" s="165" t="str">
        <f ca="1">IF(Z163="","",(INDEX(OFFSET(Arb!$U$2,,,Arb!$AJ$5,),Z163)+INDEX(OFFSET(Arb!$V$2,,,Arb!$AJ$5,),Z163))/AA163)</f>
        <v/>
      </c>
      <c r="AE163" s="51" t="str">
        <f t="shared" ca="1" si="58"/>
        <v/>
      </c>
      <c r="AF163" s="91" t="str">
        <f ca="1">IF(Z163="","",DATE(INDEX(OFFSET(Arb!$C$2,,,Arb!$AJ$5,),Z163),INDEX(OFFSET(Arb!$B$2,,,Arb!$AJ$5,),Z163),INDEX(OFFSET(Arb!$A$2,,,Arb!$AJ$5,),Z163))+ROW()*0.001)</f>
        <v/>
      </c>
      <c r="AG163" s="442">
        <v>138</v>
      </c>
      <c r="AI163" s="52" t="str">
        <f ca="1">IF(AH163="","",INDEX(OFFSET(Arb!$H$2,,,Arb!$AJ$5,),AH163))</f>
        <v/>
      </c>
      <c r="AJ163" s="3" t="str">
        <f t="shared" ca="1" si="69"/>
        <v/>
      </c>
      <c r="AK163" s="165" t="str">
        <f ca="1">IF(AH163="","",INDEX(OFFSET(Arb!$X$2,,,Arb!$AJ$5,),AH163)/AI163)</f>
        <v/>
      </c>
      <c r="AL163" s="165" t="str">
        <f ca="1">IF(AH163="","",(INDEX(OFFSET(Arb!$U$2,,,Arb!$AJ$5,),AH163)+INDEX(OFFSET(Arb!$V$2,,,Arb!$AJ$5,),AH163))/AI163)</f>
        <v/>
      </c>
      <c r="AM163" s="51" t="str">
        <f t="shared" ca="1" si="59"/>
        <v/>
      </c>
      <c r="AN163" s="88" t="str">
        <f ca="1">IF(AH163="","",DATE(INDEX(OFFSET(Arb!$C$2,,,Arb!$AJ$5,),AH163),INDEX(OFFSET(Arb!$B$2,,,Arb!$AJ$5,),AH163),INDEX(OFFSET(Arb!$A$2,,,Arb!$AJ$5,),AH163))+ROW()*0.001)</f>
        <v/>
      </c>
      <c r="AO163" s="436">
        <v>138</v>
      </c>
      <c r="AQ163" s="52" t="str">
        <f ca="1">IF(AP163="","",INDEX(OFFSET(Arb!$H$2,,,Arb!$AJ$5,),AP163))</f>
        <v/>
      </c>
      <c r="AR163" s="3" t="str">
        <f t="shared" ca="1" si="70"/>
        <v/>
      </c>
      <c r="AS163" s="165" t="str">
        <f ca="1">IF(AP163="","",INDEX(OFFSET(Arb!$X$2,,,Arb!$AJ$5,),AP163)/AQ163)</f>
        <v/>
      </c>
      <c r="AT163" s="165" t="str">
        <f ca="1">IF(AP163="","",(INDEX(OFFSET(Arb!$U$2,,,Arb!$AJ$5,),AP163)+INDEX(OFFSET(Arb!$V$2,,,Arb!$AJ$5,),AP163))/AQ163)</f>
        <v/>
      </c>
      <c r="AU163" s="51" t="str">
        <f t="shared" ca="1" si="60"/>
        <v/>
      </c>
      <c r="AV163" s="91" t="str">
        <f ca="1">IF(AP163="","",DATE(INDEX(OFFSET(Arb!$C$2,,,Arb!$AJ$5,),AP163),INDEX(OFFSET(Arb!$B$2,,,Arb!$AJ$5,),AP163),INDEX(OFFSET(Arb!$A$2,,,Arb!$AJ$5,),AP163))+ROW()*0.001)</f>
        <v/>
      </c>
      <c r="AW163" s="442">
        <v>138</v>
      </c>
      <c r="AY163" s="52" t="str">
        <f ca="1">IF(AX163="","",INDEX(OFFSET(Arb!$H$2,,,Arb!$AJ$5,),AX163))</f>
        <v/>
      </c>
      <c r="AZ163" s="3" t="str">
        <f t="shared" ca="1" si="71"/>
        <v/>
      </c>
      <c r="BA163" s="165" t="str">
        <f ca="1">IF(AX163="","",INDEX(OFFSET(Arb!$X$2,,,Arb!$AJ$5,),AX163)/AY163)</f>
        <v/>
      </c>
      <c r="BB163" s="165" t="str">
        <f ca="1">IF(AX163="","",(INDEX(OFFSET(Arb!$U$2,,,Arb!$AJ$5,),AX163)+INDEX(OFFSET(Arb!$V$2,,,Arb!$AJ$5,),AX163))/AY163)</f>
        <v/>
      </c>
      <c r="BC163" s="51" t="str">
        <f t="shared" ca="1" si="61"/>
        <v/>
      </c>
      <c r="BD163" s="88" t="str">
        <f ca="1">IF(AX163="","",DATE(INDEX(OFFSET(Arb!$C$2,,,Arb!$AJ$5,),AX163),INDEX(OFFSET(Arb!$B$2,,,Arb!$AJ$5,),AX163),INDEX(OFFSET(Arb!$A$2,,,Arb!$AJ$5,),AX163))+ROW()*0.001)</f>
        <v/>
      </c>
      <c r="BE163" s="436">
        <v>138</v>
      </c>
      <c r="BG163" s="52" t="str">
        <f ca="1">IF(BF163="","",INDEX(OFFSET(Arb!$H$2,,,Arb!$AJ$5,),BF163))</f>
        <v/>
      </c>
      <c r="BH163" s="3" t="str">
        <f t="shared" ca="1" si="72"/>
        <v/>
      </c>
      <c r="BI163" s="165" t="str">
        <f ca="1">IF(BF163="","",INDEX(OFFSET(Arb!$X$2,,,Arb!$AJ$5,),BF163)/BG163)</f>
        <v/>
      </c>
      <c r="BJ163" s="165" t="str">
        <f ca="1">IF(BF163="","",(INDEX(OFFSET(Arb!$U$2,,,Arb!$AJ$5,),BF163)+INDEX(OFFSET(Arb!$V$2,,,Arb!$AJ$5,),BF163))/BG163)</f>
        <v/>
      </c>
      <c r="BK163" s="51" t="str">
        <f t="shared" ca="1" si="62"/>
        <v/>
      </c>
      <c r="BL163" s="91" t="str">
        <f ca="1">IF(BF163="","",DATE(INDEX(OFFSET(Arb!$C$2,,,Arb!$AJ$5,),BF163),INDEX(OFFSET(Arb!$B$2,,,Arb!$AJ$5,),BF163),INDEX(OFFSET(Arb!$A$2,,,Arb!$AJ$5,),BF163))+ROW()*0.001)</f>
        <v/>
      </c>
      <c r="BM163" s="442">
        <v>138</v>
      </c>
      <c r="BO163" s="52" t="str">
        <f ca="1">IF(BN163="","",INDEX(OFFSET(Arb!$H$2,,,Arb!$AJ$5,),BN163))</f>
        <v/>
      </c>
      <c r="BP163" s="3" t="str">
        <f t="shared" ca="1" si="73"/>
        <v/>
      </c>
      <c r="BQ163" s="165" t="str">
        <f ca="1">IF(BN163="","",INDEX(OFFSET(Arb!$X$2,,,Arb!$AJ$5,),BN163)/BO163)</f>
        <v/>
      </c>
      <c r="BR163" s="165" t="str">
        <f ca="1">IF(BN163="","",(INDEX(OFFSET(Arb!$U$2,,,Arb!$AJ$5,),BN163)+INDEX(OFFSET(Arb!$V$2,,,Arb!$AJ$5,),BN163))/BO163)</f>
        <v/>
      </c>
      <c r="BS163" s="51" t="str">
        <f t="shared" ca="1" si="63"/>
        <v/>
      </c>
      <c r="BT163" s="88" t="str">
        <f ca="1">IF(BN163="","",DATE(INDEX(OFFSET(Arb!$C$2,,,Arb!$AJ$5,),BN163),INDEX(OFFSET(Arb!$B$2,,,Arb!$AJ$5,),BN163),INDEX(OFFSET(Arb!$A$2,,,Arb!$AJ$5,),BN163))+ROW()*0.001)</f>
        <v/>
      </c>
      <c r="BU163" s="436">
        <v>138</v>
      </c>
      <c r="BW163" s="52" t="str">
        <f ca="1">IF(BV163="","",INDEX(OFFSET(Arb!$H$2,,,Arb!$AJ$5,),BV163))</f>
        <v/>
      </c>
      <c r="BX163" s="3" t="str">
        <f t="shared" ca="1" si="74"/>
        <v/>
      </c>
      <c r="BY163" s="165" t="str">
        <f ca="1">IF(BV163="","",INDEX(OFFSET(Arb!$X$2,,,Arb!$AJ$5,),BV163)/BW163)</f>
        <v/>
      </c>
      <c r="BZ163" s="165" t="str">
        <f ca="1">IF(BV163="","",(INDEX(OFFSET(Arb!$U$2,,,Arb!$AJ$5,),BV163)+INDEX(OFFSET(Arb!$V$2,,,Arb!$AJ$5,),BV163))/BW163)</f>
        <v/>
      </c>
      <c r="CA163" s="51" t="str">
        <f t="shared" ca="1" si="64"/>
        <v/>
      </c>
      <c r="CB163" s="91" t="str">
        <f ca="1">IF(BV163="","",DATE(INDEX(OFFSET(Arb!$C$2,,,Arb!$AJ$5,),BV163),INDEX(OFFSET(Arb!$B$2,,,Arb!$AJ$5,),BV163),INDEX(OFFSET(Arb!$A$2,,,Arb!$AJ$5,),BV163))+ROW()*0.001)</f>
        <v/>
      </c>
    </row>
    <row r="164" spans="1:80" x14ac:dyDescent="0.25">
      <c r="A164" s="436">
        <v>139</v>
      </c>
      <c r="C164" s="52" t="str">
        <f ca="1">IF(B164="","",INDEX(OFFSET(Arb!$H$2,,,Arb!$AJ$5,),B164))</f>
        <v/>
      </c>
      <c r="D164" s="3" t="str">
        <f t="shared" ca="1" si="65"/>
        <v/>
      </c>
      <c r="E164" s="165" t="str">
        <f ca="1">IF(B164="","",INDEX(OFFSET(Arb!$X$2,,,Arb!$AJ$5,),B164)/C164)</f>
        <v/>
      </c>
      <c r="F164" s="165" t="str">
        <f ca="1">IF(B164="","",(INDEX(OFFSET(Arb!$U$2,,,Arb!$AJ$5,),B164)+INDEX(OFFSET(Arb!$V$2,,,Arb!$AJ$5,),B164))/C164)</f>
        <v/>
      </c>
      <c r="G164" s="51" t="str">
        <f t="shared" ca="1" si="55"/>
        <v/>
      </c>
      <c r="H164" s="355" t="str">
        <f ca="1">IF(B164="","",DATE(INDEX(OFFSET(Arb!$C$2,,,Arb!$AJ$5,),B164),INDEX(OFFSET(Arb!$B$2,,,Arb!$AJ$5,),B164),INDEX(OFFSET(Arb!$A$2,,,Arb!$AJ$5,),B164))+ROW()*0.001)</f>
        <v/>
      </c>
      <c r="I164" s="436">
        <v>139</v>
      </c>
      <c r="K164" s="52" t="str">
        <f ca="1">IF(J164="","",INDEX(OFFSET(Arb!$H$2,,,Arb!$AJ$5,),J164))</f>
        <v/>
      </c>
      <c r="L164" s="3" t="str">
        <f t="shared" ca="1" si="66"/>
        <v/>
      </c>
      <c r="M164" s="165" t="str">
        <f ca="1">IF(J164="","",INDEX(OFFSET(Arb!$X$2,,,Arb!$AJ$5,),J164)/K164)</f>
        <v/>
      </c>
      <c r="N164" s="165" t="str">
        <f ca="1">IF(J164="","",(INDEX(OFFSET(Arb!$U$2,,,Arb!$AJ$5,),J164)+INDEX(OFFSET(Arb!$V$2,,,Arb!$AJ$5,),J164))/K164)</f>
        <v/>
      </c>
      <c r="O164" s="51" t="str">
        <f t="shared" ca="1" si="56"/>
        <v/>
      </c>
      <c r="P164" s="91" t="str">
        <f ca="1">IF(J164="","",DATE(INDEX(OFFSET(Arb!$C$2,,,Arb!$AJ$5,),J164),INDEX(OFFSET(Arb!$B$2,,,Arb!$AJ$5,),J164),INDEX(OFFSET(Arb!$A$2,,,Arb!$AJ$5,),J164))+ROW()*0.001)</f>
        <v/>
      </c>
      <c r="Q164" s="442">
        <v>139</v>
      </c>
      <c r="S164" s="52" t="str">
        <f ca="1">IF(R164="","",INDEX(OFFSET(Arb!$H$2,,,Arb!$AJ$5,),R164))</f>
        <v/>
      </c>
      <c r="T164" s="3" t="str">
        <f t="shared" ca="1" si="67"/>
        <v/>
      </c>
      <c r="U164" s="165" t="str">
        <f ca="1">IF(R164="","",INDEX(OFFSET(Arb!$X$2,,,Arb!$AJ$5,),R164)/S164)</f>
        <v/>
      </c>
      <c r="V164" s="165" t="str">
        <f ca="1">IF(R164="","",(INDEX(OFFSET(Arb!$U$2,,,Arb!$AJ$5,),R164)+INDEX(OFFSET(Arb!$V$2,,,Arb!$AJ$5,),R164))/S164)</f>
        <v/>
      </c>
      <c r="W164" s="51" t="str">
        <f t="shared" ca="1" si="57"/>
        <v/>
      </c>
      <c r="X164" s="88" t="str">
        <f ca="1">IF(R164="","",DATE(INDEX(OFFSET(Arb!$C$2,,,Arb!$AJ$5,),R164),INDEX(OFFSET(Arb!$B$2,,,Arb!$AJ$5,),R164),INDEX(OFFSET(Arb!$A$2,,,Arb!$AJ$5,),R164))+ROW()*0.001)</f>
        <v/>
      </c>
      <c r="Y164" s="436">
        <v>139</v>
      </c>
      <c r="AA164" s="52" t="str">
        <f ca="1">IF(Z164="","",INDEX(OFFSET(Arb!$H$2,,,Arb!$AJ$5,),Z164))</f>
        <v/>
      </c>
      <c r="AB164" s="3" t="str">
        <f t="shared" ca="1" si="68"/>
        <v/>
      </c>
      <c r="AC164" s="165" t="str">
        <f ca="1">IF(Z164="","",INDEX(OFFSET(Arb!$X$2,,,Arb!$AJ$5,),Z164)/AA164)</f>
        <v/>
      </c>
      <c r="AD164" s="165" t="str">
        <f ca="1">IF(Z164="","",(INDEX(OFFSET(Arb!$U$2,,,Arb!$AJ$5,),Z164)+INDEX(OFFSET(Arb!$V$2,,,Arb!$AJ$5,),Z164))/AA164)</f>
        <v/>
      </c>
      <c r="AE164" s="51" t="str">
        <f t="shared" ca="1" si="58"/>
        <v/>
      </c>
      <c r="AF164" s="91" t="str">
        <f ca="1">IF(Z164="","",DATE(INDEX(OFFSET(Arb!$C$2,,,Arb!$AJ$5,),Z164),INDEX(OFFSET(Arb!$B$2,,,Arb!$AJ$5,),Z164),INDEX(OFFSET(Arb!$A$2,,,Arb!$AJ$5,),Z164))+ROW()*0.001)</f>
        <v/>
      </c>
      <c r="AG164" s="442">
        <v>139</v>
      </c>
      <c r="AI164" s="52" t="str">
        <f ca="1">IF(AH164="","",INDEX(OFFSET(Arb!$H$2,,,Arb!$AJ$5,),AH164))</f>
        <v/>
      </c>
      <c r="AJ164" s="3" t="str">
        <f t="shared" ca="1" si="69"/>
        <v/>
      </c>
      <c r="AK164" s="165" t="str">
        <f ca="1">IF(AH164="","",INDEX(OFFSET(Arb!$X$2,,,Arb!$AJ$5,),AH164)/AI164)</f>
        <v/>
      </c>
      <c r="AL164" s="165" t="str">
        <f ca="1">IF(AH164="","",(INDEX(OFFSET(Arb!$U$2,,,Arb!$AJ$5,),AH164)+INDEX(OFFSET(Arb!$V$2,,,Arb!$AJ$5,),AH164))/AI164)</f>
        <v/>
      </c>
      <c r="AM164" s="51" t="str">
        <f t="shared" ca="1" si="59"/>
        <v/>
      </c>
      <c r="AN164" s="88" t="str">
        <f ca="1">IF(AH164="","",DATE(INDEX(OFFSET(Arb!$C$2,,,Arb!$AJ$5,),AH164),INDEX(OFFSET(Arb!$B$2,,,Arb!$AJ$5,),AH164),INDEX(OFFSET(Arb!$A$2,,,Arb!$AJ$5,),AH164))+ROW()*0.001)</f>
        <v/>
      </c>
      <c r="AO164" s="436">
        <v>139</v>
      </c>
      <c r="AQ164" s="52" t="str">
        <f ca="1">IF(AP164="","",INDEX(OFFSET(Arb!$H$2,,,Arb!$AJ$5,),AP164))</f>
        <v/>
      </c>
      <c r="AR164" s="3" t="str">
        <f t="shared" ca="1" si="70"/>
        <v/>
      </c>
      <c r="AS164" s="165" t="str">
        <f ca="1">IF(AP164="","",INDEX(OFFSET(Arb!$X$2,,,Arb!$AJ$5,),AP164)/AQ164)</f>
        <v/>
      </c>
      <c r="AT164" s="165" t="str">
        <f ca="1">IF(AP164="","",(INDEX(OFFSET(Arb!$U$2,,,Arb!$AJ$5,),AP164)+INDEX(OFFSET(Arb!$V$2,,,Arb!$AJ$5,),AP164))/AQ164)</f>
        <v/>
      </c>
      <c r="AU164" s="51" t="str">
        <f t="shared" ca="1" si="60"/>
        <v/>
      </c>
      <c r="AV164" s="91" t="str">
        <f ca="1">IF(AP164="","",DATE(INDEX(OFFSET(Arb!$C$2,,,Arb!$AJ$5,),AP164),INDEX(OFFSET(Arb!$B$2,,,Arb!$AJ$5,),AP164),INDEX(OFFSET(Arb!$A$2,,,Arb!$AJ$5,),AP164))+ROW()*0.001)</f>
        <v/>
      </c>
      <c r="AW164" s="442">
        <v>139</v>
      </c>
      <c r="AY164" s="52" t="str">
        <f ca="1">IF(AX164="","",INDEX(OFFSET(Arb!$H$2,,,Arb!$AJ$5,),AX164))</f>
        <v/>
      </c>
      <c r="AZ164" s="3" t="str">
        <f t="shared" ca="1" si="71"/>
        <v/>
      </c>
      <c r="BA164" s="165" t="str">
        <f ca="1">IF(AX164="","",INDEX(OFFSET(Arb!$X$2,,,Arb!$AJ$5,),AX164)/AY164)</f>
        <v/>
      </c>
      <c r="BB164" s="165" t="str">
        <f ca="1">IF(AX164="","",(INDEX(OFFSET(Arb!$U$2,,,Arb!$AJ$5,),AX164)+INDEX(OFFSET(Arb!$V$2,,,Arb!$AJ$5,),AX164))/AY164)</f>
        <v/>
      </c>
      <c r="BC164" s="51" t="str">
        <f t="shared" ca="1" si="61"/>
        <v/>
      </c>
      <c r="BD164" s="88" t="str">
        <f ca="1">IF(AX164="","",DATE(INDEX(OFFSET(Arb!$C$2,,,Arb!$AJ$5,),AX164),INDEX(OFFSET(Arb!$B$2,,,Arb!$AJ$5,),AX164),INDEX(OFFSET(Arb!$A$2,,,Arb!$AJ$5,),AX164))+ROW()*0.001)</f>
        <v/>
      </c>
      <c r="BE164" s="436">
        <v>139</v>
      </c>
      <c r="BG164" s="52" t="str">
        <f ca="1">IF(BF164="","",INDEX(OFFSET(Arb!$H$2,,,Arb!$AJ$5,),BF164))</f>
        <v/>
      </c>
      <c r="BH164" s="3" t="str">
        <f t="shared" ca="1" si="72"/>
        <v/>
      </c>
      <c r="BI164" s="165" t="str">
        <f ca="1">IF(BF164="","",INDEX(OFFSET(Arb!$X$2,,,Arb!$AJ$5,),BF164)/BG164)</f>
        <v/>
      </c>
      <c r="BJ164" s="165" t="str">
        <f ca="1">IF(BF164="","",(INDEX(OFFSET(Arb!$U$2,,,Arb!$AJ$5,),BF164)+INDEX(OFFSET(Arb!$V$2,,,Arb!$AJ$5,),BF164))/BG164)</f>
        <v/>
      </c>
      <c r="BK164" s="51" t="str">
        <f t="shared" ca="1" si="62"/>
        <v/>
      </c>
      <c r="BL164" s="91" t="str">
        <f ca="1">IF(BF164="","",DATE(INDEX(OFFSET(Arb!$C$2,,,Arb!$AJ$5,),BF164),INDEX(OFFSET(Arb!$B$2,,,Arb!$AJ$5,),BF164),INDEX(OFFSET(Arb!$A$2,,,Arb!$AJ$5,),BF164))+ROW()*0.001)</f>
        <v/>
      </c>
      <c r="BM164" s="442">
        <v>139</v>
      </c>
      <c r="BO164" s="52" t="str">
        <f ca="1">IF(BN164="","",INDEX(OFFSET(Arb!$H$2,,,Arb!$AJ$5,),BN164))</f>
        <v/>
      </c>
      <c r="BP164" s="3" t="str">
        <f t="shared" ca="1" si="73"/>
        <v/>
      </c>
      <c r="BQ164" s="165" t="str">
        <f ca="1">IF(BN164="","",INDEX(OFFSET(Arb!$X$2,,,Arb!$AJ$5,),BN164)/BO164)</f>
        <v/>
      </c>
      <c r="BR164" s="165" t="str">
        <f ca="1">IF(BN164="","",(INDEX(OFFSET(Arb!$U$2,,,Arb!$AJ$5,),BN164)+INDEX(OFFSET(Arb!$V$2,,,Arb!$AJ$5,),BN164))/BO164)</f>
        <v/>
      </c>
      <c r="BS164" s="51" t="str">
        <f t="shared" ca="1" si="63"/>
        <v/>
      </c>
      <c r="BT164" s="88" t="str">
        <f ca="1">IF(BN164="","",DATE(INDEX(OFFSET(Arb!$C$2,,,Arb!$AJ$5,),BN164),INDEX(OFFSET(Arb!$B$2,,,Arb!$AJ$5,),BN164),INDEX(OFFSET(Arb!$A$2,,,Arb!$AJ$5,),BN164))+ROW()*0.001)</f>
        <v/>
      </c>
      <c r="BU164" s="436">
        <v>139</v>
      </c>
      <c r="BW164" s="52" t="str">
        <f ca="1">IF(BV164="","",INDEX(OFFSET(Arb!$H$2,,,Arb!$AJ$5,),BV164))</f>
        <v/>
      </c>
      <c r="BX164" s="3" t="str">
        <f t="shared" ca="1" si="74"/>
        <v/>
      </c>
      <c r="BY164" s="165" t="str">
        <f ca="1">IF(BV164="","",INDEX(OFFSET(Arb!$X$2,,,Arb!$AJ$5,),BV164)/BW164)</f>
        <v/>
      </c>
      <c r="BZ164" s="165" t="str">
        <f ca="1">IF(BV164="","",(INDEX(OFFSET(Arb!$U$2,,,Arb!$AJ$5,),BV164)+INDEX(OFFSET(Arb!$V$2,,,Arb!$AJ$5,),BV164))/BW164)</f>
        <v/>
      </c>
      <c r="CA164" s="51" t="str">
        <f t="shared" ca="1" si="64"/>
        <v/>
      </c>
      <c r="CB164" s="91" t="str">
        <f ca="1">IF(BV164="","",DATE(INDEX(OFFSET(Arb!$C$2,,,Arb!$AJ$5,),BV164),INDEX(OFFSET(Arb!$B$2,,,Arb!$AJ$5,),BV164),INDEX(OFFSET(Arb!$A$2,,,Arb!$AJ$5,),BV164))+ROW()*0.001)</f>
        <v/>
      </c>
    </row>
    <row r="165" spans="1:80" x14ac:dyDescent="0.25">
      <c r="A165" s="436">
        <v>140</v>
      </c>
      <c r="C165" s="52" t="str">
        <f ca="1">IF(B165="","",INDEX(OFFSET(Arb!$H$2,,,Arb!$AJ$5,),B165))</f>
        <v/>
      </c>
      <c r="D165" s="3" t="str">
        <f t="shared" ca="1" si="65"/>
        <v/>
      </c>
      <c r="E165" s="165" t="str">
        <f ca="1">IF(B165="","",INDEX(OFFSET(Arb!$X$2,,,Arb!$AJ$5,),B165)/C165)</f>
        <v/>
      </c>
      <c r="F165" s="165" t="str">
        <f ca="1">IF(B165="","",(INDEX(OFFSET(Arb!$U$2,,,Arb!$AJ$5,),B165)+INDEX(OFFSET(Arb!$V$2,,,Arb!$AJ$5,),B165))/C165)</f>
        <v/>
      </c>
      <c r="G165" s="51" t="str">
        <f t="shared" ca="1" si="55"/>
        <v/>
      </c>
      <c r="H165" s="355" t="str">
        <f ca="1">IF(B165="","",DATE(INDEX(OFFSET(Arb!$C$2,,,Arb!$AJ$5,),B165),INDEX(OFFSET(Arb!$B$2,,,Arb!$AJ$5,),B165),INDEX(OFFSET(Arb!$A$2,,,Arb!$AJ$5,),B165))+ROW()*0.001)</f>
        <v/>
      </c>
      <c r="I165" s="436">
        <v>140</v>
      </c>
      <c r="K165" s="52" t="str">
        <f ca="1">IF(J165="","",INDEX(OFFSET(Arb!$H$2,,,Arb!$AJ$5,),J165))</f>
        <v/>
      </c>
      <c r="L165" s="3" t="str">
        <f t="shared" ca="1" si="66"/>
        <v/>
      </c>
      <c r="M165" s="165" t="str">
        <f ca="1">IF(J165="","",INDEX(OFFSET(Arb!$X$2,,,Arb!$AJ$5,),J165)/K165)</f>
        <v/>
      </c>
      <c r="N165" s="165" t="str">
        <f ca="1">IF(J165="","",(INDEX(OFFSET(Arb!$U$2,,,Arb!$AJ$5,),J165)+INDEX(OFFSET(Arb!$V$2,,,Arb!$AJ$5,),J165))/K165)</f>
        <v/>
      </c>
      <c r="O165" s="51" t="str">
        <f t="shared" ca="1" si="56"/>
        <v/>
      </c>
      <c r="P165" s="91" t="str">
        <f ca="1">IF(J165="","",DATE(INDEX(OFFSET(Arb!$C$2,,,Arb!$AJ$5,),J165),INDEX(OFFSET(Arb!$B$2,,,Arb!$AJ$5,),J165),INDEX(OFFSET(Arb!$A$2,,,Arb!$AJ$5,),J165))+ROW()*0.001)</f>
        <v/>
      </c>
      <c r="Q165" s="442">
        <v>140</v>
      </c>
      <c r="S165" s="52" t="str">
        <f ca="1">IF(R165="","",INDEX(OFFSET(Arb!$H$2,,,Arb!$AJ$5,),R165))</f>
        <v/>
      </c>
      <c r="T165" s="3" t="str">
        <f t="shared" ca="1" si="67"/>
        <v/>
      </c>
      <c r="U165" s="165" t="str">
        <f ca="1">IF(R165="","",INDEX(OFFSET(Arb!$X$2,,,Arb!$AJ$5,),R165)/S165)</f>
        <v/>
      </c>
      <c r="V165" s="165" t="str">
        <f ca="1">IF(R165="","",(INDEX(OFFSET(Arb!$U$2,,,Arb!$AJ$5,),R165)+INDEX(OFFSET(Arb!$V$2,,,Arb!$AJ$5,),R165))/S165)</f>
        <v/>
      </c>
      <c r="W165" s="51" t="str">
        <f t="shared" ca="1" si="57"/>
        <v/>
      </c>
      <c r="X165" s="88" t="str">
        <f ca="1">IF(R165="","",DATE(INDEX(OFFSET(Arb!$C$2,,,Arb!$AJ$5,),R165),INDEX(OFFSET(Arb!$B$2,,,Arb!$AJ$5,),R165),INDEX(OFFSET(Arb!$A$2,,,Arb!$AJ$5,),R165))+ROW()*0.001)</f>
        <v/>
      </c>
      <c r="Y165" s="436">
        <v>140</v>
      </c>
      <c r="AA165" s="52" t="str">
        <f ca="1">IF(Z165="","",INDEX(OFFSET(Arb!$H$2,,,Arb!$AJ$5,),Z165))</f>
        <v/>
      </c>
      <c r="AB165" s="3" t="str">
        <f t="shared" ca="1" si="68"/>
        <v/>
      </c>
      <c r="AC165" s="165" t="str">
        <f ca="1">IF(Z165="","",INDEX(OFFSET(Arb!$X$2,,,Arb!$AJ$5,),Z165)/AA165)</f>
        <v/>
      </c>
      <c r="AD165" s="165" t="str">
        <f ca="1">IF(Z165="","",(INDEX(OFFSET(Arb!$U$2,,,Arb!$AJ$5,),Z165)+INDEX(OFFSET(Arb!$V$2,,,Arb!$AJ$5,),Z165))/AA165)</f>
        <v/>
      </c>
      <c r="AE165" s="51" t="str">
        <f t="shared" ca="1" si="58"/>
        <v/>
      </c>
      <c r="AF165" s="91" t="str">
        <f ca="1">IF(Z165="","",DATE(INDEX(OFFSET(Arb!$C$2,,,Arb!$AJ$5,),Z165),INDEX(OFFSET(Arb!$B$2,,,Arb!$AJ$5,),Z165),INDEX(OFFSET(Arb!$A$2,,,Arb!$AJ$5,),Z165))+ROW()*0.001)</f>
        <v/>
      </c>
      <c r="AG165" s="442">
        <v>140</v>
      </c>
      <c r="AI165" s="52" t="str">
        <f ca="1">IF(AH165="","",INDEX(OFFSET(Arb!$H$2,,,Arb!$AJ$5,),AH165))</f>
        <v/>
      </c>
      <c r="AJ165" s="3" t="str">
        <f t="shared" ca="1" si="69"/>
        <v/>
      </c>
      <c r="AK165" s="165" t="str">
        <f ca="1">IF(AH165="","",INDEX(OFFSET(Arb!$X$2,,,Arb!$AJ$5,),AH165)/AI165)</f>
        <v/>
      </c>
      <c r="AL165" s="165" t="str">
        <f ca="1">IF(AH165="","",(INDEX(OFFSET(Arb!$U$2,,,Arb!$AJ$5,),AH165)+INDEX(OFFSET(Arb!$V$2,,,Arb!$AJ$5,),AH165))/AI165)</f>
        <v/>
      </c>
      <c r="AM165" s="51" t="str">
        <f t="shared" ca="1" si="59"/>
        <v/>
      </c>
      <c r="AN165" s="88" t="str">
        <f ca="1">IF(AH165="","",DATE(INDEX(OFFSET(Arb!$C$2,,,Arb!$AJ$5,),AH165),INDEX(OFFSET(Arb!$B$2,,,Arb!$AJ$5,),AH165),INDEX(OFFSET(Arb!$A$2,,,Arb!$AJ$5,),AH165))+ROW()*0.001)</f>
        <v/>
      </c>
      <c r="AO165" s="436">
        <v>140</v>
      </c>
      <c r="AQ165" s="52" t="str">
        <f ca="1">IF(AP165="","",INDEX(OFFSET(Arb!$H$2,,,Arb!$AJ$5,),AP165))</f>
        <v/>
      </c>
      <c r="AR165" s="3" t="str">
        <f t="shared" ca="1" si="70"/>
        <v/>
      </c>
      <c r="AS165" s="165" t="str">
        <f ca="1">IF(AP165="","",INDEX(OFFSET(Arb!$X$2,,,Arb!$AJ$5,),AP165)/AQ165)</f>
        <v/>
      </c>
      <c r="AT165" s="165" t="str">
        <f ca="1">IF(AP165="","",(INDEX(OFFSET(Arb!$U$2,,,Arb!$AJ$5,),AP165)+INDEX(OFFSET(Arb!$V$2,,,Arb!$AJ$5,),AP165))/AQ165)</f>
        <v/>
      </c>
      <c r="AU165" s="51" t="str">
        <f t="shared" ca="1" si="60"/>
        <v/>
      </c>
      <c r="AV165" s="91" t="str">
        <f ca="1">IF(AP165="","",DATE(INDEX(OFFSET(Arb!$C$2,,,Arb!$AJ$5,),AP165),INDEX(OFFSET(Arb!$B$2,,,Arb!$AJ$5,),AP165),INDEX(OFFSET(Arb!$A$2,,,Arb!$AJ$5,),AP165))+ROW()*0.001)</f>
        <v/>
      </c>
      <c r="AW165" s="442">
        <v>140</v>
      </c>
      <c r="AY165" s="52" t="str">
        <f ca="1">IF(AX165="","",INDEX(OFFSET(Arb!$H$2,,,Arb!$AJ$5,),AX165))</f>
        <v/>
      </c>
      <c r="AZ165" s="3" t="str">
        <f t="shared" ca="1" si="71"/>
        <v/>
      </c>
      <c r="BA165" s="165" t="str">
        <f ca="1">IF(AX165="","",INDEX(OFFSET(Arb!$X$2,,,Arb!$AJ$5,),AX165)/AY165)</f>
        <v/>
      </c>
      <c r="BB165" s="165" t="str">
        <f ca="1">IF(AX165="","",(INDEX(OFFSET(Arb!$U$2,,,Arb!$AJ$5,),AX165)+INDEX(OFFSET(Arb!$V$2,,,Arb!$AJ$5,),AX165))/AY165)</f>
        <v/>
      </c>
      <c r="BC165" s="51" t="str">
        <f t="shared" ca="1" si="61"/>
        <v/>
      </c>
      <c r="BD165" s="88" t="str">
        <f ca="1">IF(AX165="","",DATE(INDEX(OFFSET(Arb!$C$2,,,Arb!$AJ$5,),AX165),INDEX(OFFSET(Arb!$B$2,,,Arb!$AJ$5,),AX165),INDEX(OFFSET(Arb!$A$2,,,Arb!$AJ$5,),AX165))+ROW()*0.001)</f>
        <v/>
      </c>
      <c r="BE165" s="436">
        <v>140</v>
      </c>
      <c r="BG165" s="52" t="str">
        <f ca="1">IF(BF165="","",INDEX(OFFSET(Arb!$H$2,,,Arb!$AJ$5,),BF165))</f>
        <v/>
      </c>
      <c r="BH165" s="3" t="str">
        <f t="shared" ca="1" si="72"/>
        <v/>
      </c>
      <c r="BI165" s="165" t="str">
        <f ca="1">IF(BF165="","",INDEX(OFFSET(Arb!$X$2,,,Arb!$AJ$5,),BF165)/BG165)</f>
        <v/>
      </c>
      <c r="BJ165" s="165" t="str">
        <f ca="1">IF(BF165="","",(INDEX(OFFSET(Arb!$U$2,,,Arb!$AJ$5,),BF165)+INDEX(OFFSET(Arb!$V$2,,,Arb!$AJ$5,),BF165))/BG165)</f>
        <v/>
      </c>
      <c r="BK165" s="51" t="str">
        <f t="shared" ca="1" si="62"/>
        <v/>
      </c>
      <c r="BL165" s="91" t="str">
        <f ca="1">IF(BF165="","",DATE(INDEX(OFFSET(Arb!$C$2,,,Arb!$AJ$5,),BF165),INDEX(OFFSET(Arb!$B$2,,,Arb!$AJ$5,),BF165),INDEX(OFFSET(Arb!$A$2,,,Arb!$AJ$5,),BF165))+ROW()*0.001)</f>
        <v/>
      </c>
      <c r="BM165" s="442">
        <v>140</v>
      </c>
      <c r="BO165" s="52" t="str">
        <f ca="1">IF(BN165="","",INDEX(OFFSET(Arb!$H$2,,,Arb!$AJ$5,),BN165))</f>
        <v/>
      </c>
      <c r="BP165" s="3" t="str">
        <f t="shared" ca="1" si="73"/>
        <v/>
      </c>
      <c r="BQ165" s="165" t="str">
        <f ca="1">IF(BN165="","",INDEX(OFFSET(Arb!$X$2,,,Arb!$AJ$5,),BN165)/BO165)</f>
        <v/>
      </c>
      <c r="BR165" s="165" t="str">
        <f ca="1">IF(BN165="","",(INDEX(OFFSET(Arb!$U$2,,,Arb!$AJ$5,),BN165)+INDEX(OFFSET(Arb!$V$2,,,Arb!$AJ$5,),BN165))/BO165)</f>
        <v/>
      </c>
      <c r="BS165" s="51" t="str">
        <f t="shared" ca="1" si="63"/>
        <v/>
      </c>
      <c r="BT165" s="88" t="str">
        <f ca="1">IF(BN165="","",DATE(INDEX(OFFSET(Arb!$C$2,,,Arb!$AJ$5,),BN165),INDEX(OFFSET(Arb!$B$2,,,Arb!$AJ$5,),BN165),INDEX(OFFSET(Arb!$A$2,,,Arb!$AJ$5,),BN165))+ROW()*0.001)</f>
        <v/>
      </c>
      <c r="BU165" s="436">
        <v>140</v>
      </c>
      <c r="BW165" s="52" t="str">
        <f ca="1">IF(BV165="","",INDEX(OFFSET(Arb!$H$2,,,Arb!$AJ$5,),BV165))</f>
        <v/>
      </c>
      <c r="BX165" s="3" t="str">
        <f t="shared" ca="1" si="74"/>
        <v/>
      </c>
      <c r="BY165" s="165" t="str">
        <f ca="1">IF(BV165="","",INDEX(OFFSET(Arb!$X$2,,,Arb!$AJ$5,),BV165)/BW165)</f>
        <v/>
      </c>
      <c r="BZ165" s="165" t="str">
        <f ca="1">IF(BV165="","",(INDEX(OFFSET(Arb!$U$2,,,Arb!$AJ$5,),BV165)+INDEX(OFFSET(Arb!$V$2,,,Arb!$AJ$5,),BV165))/BW165)</f>
        <v/>
      </c>
      <c r="CA165" s="51" t="str">
        <f t="shared" ca="1" si="64"/>
        <v/>
      </c>
      <c r="CB165" s="91" t="str">
        <f ca="1">IF(BV165="","",DATE(INDEX(OFFSET(Arb!$C$2,,,Arb!$AJ$5,),BV165),INDEX(OFFSET(Arb!$B$2,,,Arb!$AJ$5,),BV165),INDEX(OFFSET(Arb!$A$2,,,Arb!$AJ$5,),BV165))+ROW()*0.001)</f>
        <v/>
      </c>
    </row>
    <row r="166" spans="1:80" x14ac:dyDescent="0.25">
      <c r="A166" s="436">
        <v>141</v>
      </c>
      <c r="C166" s="52" t="str">
        <f ca="1">IF(B166="","",INDEX(OFFSET(Arb!$H$2,,,Arb!$AJ$5,),B166))</f>
        <v/>
      </c>
      <c r="D166" s="3" t="str">
        <f t="shared" ca="1" si="65"/>
        <v/>
      </c>
      <c r="E166" s="165" t="str">
        <f ca="1">IF(B166="","",INDEX(OFFSET(Arb!$X$2,,,Arb!$AJ$5,),B166)/C166)</f>
        <v/>
      </c>
      <c r="F166" s="165" t="str">
        <f ca="1">IF(B166="","",(INDEX(OFFSET(Arb!$U$2,,,Arb!$AJ$5,),B166)+INDEX(OFFSET(Arb!$V$2,,,Arb!$AJ$5,),B166))/C166)</f>
        <v/>
      </c>
      <c r="G166" s="51" t="str">
        <f t="shared" ca="1" si="55"/>
        <v/>
      </c>
      <c r="H166" s="355" t="str">
        <f ca="1">IF(B166="","",DATE(INDEX(OFFSET(Arb!$C$2,,,Arb!$AJ$5,),B166),INDEX(OFFSET(Arb!$B$2,,,Arb!$AJ$5,),B166),INDEX(OFFSET(Arb!$A$2,,,Arb!$AJ$5,),B166))+ROW()*0.001)</f>
        <v/>
      </c>
      <c r="I166" s="436">
        <v>141</v>
      </c>
      <c r="K166" s="52" t="str">
        <f ca="1">IF(J166="","",INDEX(OFFSET(Arb!$H$2,,,Arb!$AJ$5,),J166))</f>
        <v/>
      </c>
      <c r="L166" s="3" t="str">
        <f t="shared" ca="1" si="66"/>
        <v/>
      </c>
      <c r="M166" s="165" t="str">
        <f ca="1">IF(J166="","",INDEX(OFFSET(Arb!$X$2,,,Arb!$AJ$5,),J166)/K166)</f>
        <v/>
      </c>
      <c r="N166" s="165" t="str">
        <f ca="1">IF(J166="","",(INDEX(OFFSET(Arb!$U$2,,,Arb!$AJ$5,),J166)+INDEX(OFFSET(Arb!$V$2,,,Arb!$AJ$5,),J166))/K166)</f>
        <v/>
      </c>
      <c r="O166" s="51" t="str">
        <f t="shared" ca="1" si="56"/>
        <v/>
      </c>
      <c r="P166" s="91" t="str">
        <f ca="1">IF(J166="","",DATE(INDEX(OFFSET(Arb!$C$2,,,Arb!$AJ$5,),J166),INDEX(OFFSET(Arb!$B$2,,,Arb!$AJ$5,),J166),INDEX(OFFSET(Arb!$A$2,,,Arb!$AJ$5,),J166))+ROW()*0.001)</f>
        <v/>
      </c>
      <c r="Q166" s="442">
        <v>141</v>
      </c>
      <c r="S166" s="52" t="str">
        <f ca="1">IF(R166="","",INDEX(OFFSET(Arb!$H$2,,,Arb!$AJ$5,),R166))</f>
        <v/>
      </c>
      <c r="T166" s="3" t="str">
        <f t="shared" ca="1" si="67"/>
        <v/>
      </c>
      <c r="U166" s="165" t="str">
        <f ca="1">IF(R166="","",INDEX(OFFSET(Arb!$X$2,,,Arb!$AJ$5,),R166)/S166)</f>
        <v/>
      </c>
      <c r="V166" s="165" t="str">
        <f ca="1">IF(R166="","",(INDEX(OFFSET(Arb!$U$2,,,Arb!$AJ$5,),R166)+INDEX(OFFSET(Arb!$V$2,,,Arb!$AJ$5,),R166))/S166)</f>
        <v/>
      </c>
      <c r="W166" s="51" t="str">
        <f t="shared" ca="1" si="57"/>
        <v/>
      </c>
      <c r="X166" s="88" t="str">
        <f ca="1">IF(R166="","",DATE(INDEX(OFFSET(Arb!$C$2,,,Arb!$AJ$5,),R166),INDEX(OFFSET(Arb!$B$2,,,Arb!$AJ$5,),R166),INDEX(OFFSET(Arb!$A$2,,,Arb!$AJ$5,),R166))+ROW()*0.001)</f>
        <v/>
      </c>
      <c r="Y166" s="436">
        <v>141</v>
      </c>
      <c r="AA166" s="52" t="str">
        <f ca="1">IF(Z166="","",INDEX(OFFSET(Arb!$H$2,,,Arb!$AJ$5,),Z166))</f>
        <v/>
      </c>
      <c r="AB166" s="3" t="str">
        <f t="shared" ca="1" si="68"/>
        <v/>
      </c>
      <c r="AC166" s="165" t="str">
        <f ca="1">IF(Z166="","",INDEX(OFFSET(Arb!$X$2,,,Arb!$AJ$5,),Z166)/AA166)</f>
        <v/>
      </c>
      <c r="AD166" s="165" t="str">
        <f ca="1">IF(Z166="","",(INDEX(OFFSET(Arb!$U$2,,,Arb!$AJ$5,),Z166)+INDEX(OFFSET(Arb!$V$2,,,Arb!$AJ$5,),Z166))/AA166)</f>
        <v/>
      </c>
      <c r="AE166" s="51" t="str">
        <f t="shared" ca="1" si="58"/>
        <v/>
      </c>
      <c r="AF166" s="91" t="str">
        <f ca="1">IF(Z166="","",DATE(INDEX(OFFSET(Arb!$C$2,,,Arb!$AJ$5,),Z166),INDEX(OFFSET(Arb!$B$2,,,Arb!$AJ$5,),Z166),INDEX(OFFSET(Arb!$A$2,,,Arb!$AJ$5,),Z166))+ROW()*0.001)</f>
        <v/>
      </c>
      <c r="AG166" s="442">
        <v>141</v>
      </c>
      <c r="AI166" s="52" t="str">
        <f ca="1">IF(AH166="","",INDEX(OFFSET(Arb!$H$2,,,Arb!$AJ$5,),AH166))</f>
        <v/>
      </c>
      <c r="AJ166" s="3" t="str">
        <f t="shared" ca="1" si="69"/>
        <v/>
      </c>
      <c r="AK166" s="165" t="str">
        <f ca="1">IF(AH166="","",INDEX(OFFSET(Arb!$X$2,,,Arb!$AJ$5,),AH166)/AI166)</f>
        <v/>
      </c>
      <c r="AL166" s="165" t="str">
        <f ca="1">IF(AH166="","",(INDEX(OFFSET(Arb!$U$2,,,Arb!$AJ$5,),AH166)+INDEX(OFFSET(Arb!$V$2,,,Arb!$AJ$5,),AH166))/AI166)</f>
        <v/>
      </c>
      <c r="AM166" s="51" t="str">
        <f t="shared" ca="1" si="59"/>
        <v/>
      </c>
      <c r="AN166" s="88" t="str">
        <f ca="1">IF(AH166="","",DATE(INDEX(OFFSET(Arb!$C$2,,,Arb!$AJ$5,),AH166),INDEX(OFFSET(Arb!$B$2,,,Arb!$AJ$5,),AH166),INDEX(OFFSET(Arb!$A$2,,,Arb!$AJ$5,),AH166))+ROW()*0.001)</f>
        <v/>
      </c>
      <c r="AO166" s="436">
        <v>141</v>
      </c>
      <c r="AQ166" s="52" t="str">
        <f ca="1">IF(AP166="","",INDEX(OFFSET(Arb!$H$2,,,Arb!$AJ$5,),AP166))</f>
        <v/>
      </c>
      <c r="AR166" s="3" t="str">
        <f t="shared" ca="1" si="70"/>
        <v/>
      </c>
      <c r="AS166" s="165" t="str">
        <f ca="1">IF(AP166="","",INDEX(OFFSET(Arb!$X$2,,,Arb!$AJ$5,),AP166)/AQ166)</f>
        <v/>
      </c>
      <c r="AT166" s="165" t="str">
        <f ca="1">IF(AP166="","",(INDEX(OFFSET(Arb!$U$2,,,Arb!$AJ$5,),AP166)+INDEX(OFFSET(Arb!$V$2,,,Arb!$AJ$5,),AP166))/AQ166)</f>
        <v/>
      </c>
      <c r="AU166" s="51" t="str">
        <f t="shared" ca="1" si="60"/>
        <v/>
      </c>
      <c r="AV166" s="91" t="str">
        <f ca="1">IF(AP166="","",DATE(INDEX(OFFSET(Arb!$C$2,,,Arb!$AJ$5,),AP166),INDEX(OFFSET(Arb!$B$2,,,Arb!$AJ$5,),AP166),INDEX(OFFSET(Arb!$A$2,,,Arb!$AJ$5,),AP166))+ROW()*0.001)</f>
        <v/>
      </c>
      <c r="AW166" s="442">
        <v>141</v>
      </c>
      <c r="AY166" s="52" t="str">
        <f ca="1">IF(AX166="","",INDEX(OFFSET(Arb!$H$2,,,Arb!$AJ$5,),AX166))</f>
        <v/>
      </c>
      <c r="AZ166" s="3" t="str">
        <f t="shared" ca="1" si="71"/>
        <v/>
      </c>
      <c r="BA166" s="165" t="str">
        <f ca="1">IF(AX166="","",INDEX(OFFSET(Arb!$X$2,,,Arb!$AJ$5,),AX166)/AY166)</f>
        <v/>
      </c>
      <c r="BB166" s="165" t="str">
        <f ca="1">IF(AX166="","",(INDEX(OFFSET(Arb!$U$2,,,Arb!$AJ$5,),AX166)+INDEX(OFFSET(Arb!$V$2,,,Arb!$AJ$5,),AX166))/AY166)</f>
        <v/>
      </c>
      <c r="BC166" s="51" t="str">
        <f t="shared" ca="1" si="61"/>
        <v/>
      </c>
      <c r="BD166" s="88" t="str">
        <f ca="1">IF(AX166="","",DATE(INDEX(OFFSET(Arb!$C$2,,,Arb!$AJ$5,),AX166),INDEX(OFFSET(Arb!$B$2,,,Arb!$AJ$5,),AX166),INDEX(OFFSET(Arb!$A$2,,,Arb!$AJ$5,),AX166))+ROW()*0.001)</f>
        <v/>
      </c>
      <c r="BE166" s="436">
        <v>141</v>
      </c>
      <c r="BG166" s="52" t="str">
        <f ca="1">IF(BF166="","",INDEX(OFFSET(Arb!$H$2,,,Arb!$AJ$5,),BF166))</f>
        <v/>
      </c>
      <c r="BH166" s="3" t="str">
        <f t="shared" ca="1" si="72"/>
        <v/>
      </c>
      <c r="BI166" s="165" t="str">
        <f ca="1">IF(BF166="","",INDEX(OFFSET(Arb!$X$2,,,Arb!$AJ$5,),BF166)/BG166)</f>
        <v/>
      </c>
      <c r="BJ166" s="165" t="str">
        <f ca="1">IF(BF166="","",(INDEX(OFFSET(Arb!$U$2,,,Arb!$AJ$5,),BF166)+INDEX(OFFSET(Arb!$V$2,,,Arb!$AJ$5,),BF166))/BG166)</f>
        <v/>
      </c>
      <c r="BK166" s="51" t="str">
        <f t="shared" ca="1" si="62"/>
        <v/>
      </c>
      <c r="BL166" s="91" t="str">
        <f ca="1">IF(BF166="","",DATE(INDEX(OFFSET(Arb!$C$2,,,Arb!$AJ$5,),BF166),INDEX(OFFSET(Arb!$B$2,,,Arb!$AJ$5,),BF166),INDEX(OFFSET(Arb!$A$2,,,Arb!$AJ$5,),BF166))+ROW()*0.001)</f>
        <v/>
      </c>
      <c r="BM166" s="442">
        <v>141</v>
      </c>
      <c r="BO166" s="52" t="str">
        <f ca="1">IF(BN166="","",INDEX(OFFSET(Arb!$H$2,,,Arb!$AJ$5,),BN166))</f>
        <v/>
      </c>
      <c r="BP166" s="3" t="str">
        <f t="shared" ca="1" si="73"/>
        <v/>
      </c>
      <c r="BQ166" s="165" t="str">
        <f ca="1">IF(BN166="","",INDEX(OFFSET(Arb!$X$2,,,Arb!$AJ$5,),BN166)/BO166)</f>
        <v/>
      </c>
      <c r="BR166" s="165" t="str">
        <f ca="1">IF(BN166="","",(INDEX(OFFSET(Arb!$U$2,,,Arb!$AJ$5,),BN166)+INDEX(OFFSET(Arb!$V$2,,,Arb!$AJ$5,),BN166))/BO166)</f>
        <v/>
      </c>
      <c r="BS166" s="51" t="str">
        <f t="shared" ca="1" si="63"/>
        <v/>
      </c>
      <c r="BT166" s="88" t="str">
        <f ca="1">IF(BN166="","",DATE(INDEX(OFFSET(Arb!$C$2,,,Arb!$AJ$5,),BN166),INDEX(OFFSET(Arb!$B$2,,,Arb!$AJ$5,),BN166),INDEX(OFFSET(Arb!$A$2,,,Arb!$AJ$5,),BN166))+ROW()*0.001)</f>
        <v/>
      </c>
      <c r="BU166" s="436">
        <v>141</v>
      </c>
      <c r="BW166" s="52" t="str">
        <f ca="1">IF(BV166="","",INDEX(OFFSET(Arb!$H$2,,,Arb!$AJ$5,),BV166))</f>
        <v/>
      </c>
      <c r="BX166" s="3" t="str">
        <f t="shared" ca="1" si="74"/>
        <v/>
      </c>
      <c r="BY166" s="165" t="str">
        <f ca="1">IF(BV166="","",INDEX(OFFSET(Arb!$X$2,,,Arb!$AJ$5,),BV166)/BW166)</f>
        <v/>
      </c>
      <c r="BZ166" s="165" t="str">
        <f ca="1">IF(BV166="","",(INDEX(OFFSET(Arb!$U$2,,,Arb!$AJ$5,),BV166)+INDEX(OFFSET(Arb!$V$2,,,Arb!$AJ$5,),BV166))/BW166)</f>
        <v/>
      </c>
      <c r="CA166" s="51" t="str">
        <f t="shared" ca="1" si="64"/>
        <v/>
      </c>
      <c r="CB166" s="91" t="str">
        <f ca="1">IF(BV166="","",DATE(INDEX(OFFSET(Arb!$C$2,,,Arb!$AJ$5,),BV166),INDEX(OFFSET(Arb!$B$2,,,Arb!$AJ$5,),BV166),INDEX(OFFSET(Arb!$A$2,,,Arb!$AJ$5,),BV166))+ROW()*0.001)</f>
        <v/>
      </c>
    </row>
    <row r="167" spans="1:80" ht="13.8" thickBot="1" x14ac:dyDescent="0.3">
      <c r="A167" s="437">
        <v>142</v>
      </c>
      <c r="B167" s="167"/>
      <c r="C167" s="247" t="str">
        <f ca="1">IF(B167="","",INDEX(OFFSET(Arb!$H$2,,,Arb!$AJ$5,),B167))</f>
        <v/>
      </c>
      <c r="D167" s="170" t="str">
        <f t="shared" ca="1" si="65"/>
        <v/>
      </c>
      <c r="E167" s="172" t="str">
        <f ca="1">IF(B167="","",INDEX(OFFSET(Arb!$X$2,,,Arb!$AJ$5,),B167)/C167)</f>
        <v/>
      </c>
      <c r="F167" s="172" t="str">
        <f ca="1">IF(B167="","",(INDEX(OFFSET(Arb!$U$2,,,Arb!$AJ$5,),B167)+INDEX(OFFSET(Arb!$V$2,,,Arb!$AJ$5,),B167))/C167)</f>
        <v/>
      </c>
      <c r="G167" s="248" t="str">
        <f t="shared" ca="1" si="55"/>
        <v/>
      </c>
      <c r="H167" s="355" t="str">
        <f ca="1">IF(B167="","",DATE(INDEX(OFFSET(Arb!$C$2,,,Arb!$AJ$5,),B167),INDEX(OFFSET(Arb!$B$2,,,Arb!$AJ$5,),B167),INDEX(OFFSET(Arb!$A$2,,,Arb!$AJ$5,),B167))+ROW()*0.001)</f>
        <v/>
      </c>
      <c r="I167" s="437">
        <v>142</v>
      </c>
      <c r="J167" s="167"/>
      <c r="K167" s="247" t="str">
        <f ca="1">IF(J167="","",INDEX(OFFSET(Arb!$H$2,,,Arb!$AJ$5,),J167))</f>
        <v/>
      </c>
      <c r="L167" s="170" t="str">
        <f t="shared" ca="1" si="66"/>
        <v/>
      </c>
      <c r="M167" s="172" t="str">
        <f ca="1">IF(J167="","",INDEX(OFFSET(Arb!$X$2,,,Arb!$AJ$5,),J167)/K167)</f>
        <v/>
      </c>
      <c r="N167" s="172" t="str">
        <f ca="1">IF(J167="","",(INDEX(OFFSET(Arb!$U$2,,,Arb!$AJ$5,),J167)+INDEX(OFFSET(Arb!$V$2,,,Arb!$AJ$5,),J167))/K167)</f>
        <v/>
      </c>
      <c r="O167" s="248" t="str">
        <f t="shared" ca="1" si="56"/>
        <v/>
      </c>
      <c r="P167" s="250" t="str">
        <f ca="1">IF(J167="","",DATE(INDEX(OFFSET(Arb!$C$2,,,Arb!$AJ$5,),J167),INDEX(OFFSET(Arb!$B$2,,,Arb!$AJ$5,),J167),INDEX(OFFSET(Arb!$A$2,,,Arb!$AJ$5,),J167))+ROW()*0.001)</f>
        <v/>
      </c>
      <c r="Q167" s="445">
        <v>142</v>
      </c>
      <c r="R167" s="167"/>
      <c r="S167" s="247" t="str">
        <f ca="1">IF(R167="","",INDEX(OFFSET(Arb!$H$2,,,Arb!$AJ$5,),R167))</f>
        <v/>
      </c>
      <c r="T167" s="170" t="str">
        <f t="shared" ca="1" si="67"/>
        <v/>
      </c>
      <c r="U167" s="172" t="str">
        <f ca="1">IF(R167="","",INDEX(OFFSET(Arb!$X$2,,,Arb!$AJ$5,),R167)/S167)</f>
        <v/>
      </c>
      <c r="V167" s="172" t="str">
        <f ca="1">IF(R167="","",(INDEX(OFFSET(Arb!$U$2,,,Arb!$AJ$5,),R167)+INDEX(OFFSET(Arb!$V$2,,,Arb!$AJ$5,),R167))/S167)</f>
        <v/>
      </c>
      <c r="W167" s="248" t="str">
        <f t="shared" ca="1" si="57"/>
        <v/>
      </c>
      <c r="X167" s="249" t="str">
        <f ca="1">IF(R167="","",DATE(INDEX(OFFSET(Arb!$C$2,,,Arb!$AJ$5,),R167),INDEX(OFFSET(Arb!$B$2,,,Arb!$AJ$5,),R167),INDEX(OFFSET(Arb!$A$2,,,Arb!$AJ$5,),R167))+ROW()*0.001)</f>
        <v/>
      </c>
      <c r="Y167" s="437">
        <v>142</v>
      </c>
      <c r="Z167" s="167"/>
      <c r="AA167" s="247" t="str">
        <f ca="1">IF(Z167="","",INDEX(OFFSET(Arb!$H$2,,,Arb!$AJ$5,),Z167))</f>
        <v/>
      </c>
      <c r="AB167" s="170" t="str">
        <f t="shared" ca="1" si="68"/>
        <v/>
      </c>
      <c r="AC167" s="172" t="str">
        <f ca="1">IF(Z167="","",INDEX(OFFSET(Arb!$X$2,,,Arb!$AJ$5,),Z167)/AA167)</f>
        <v/>
      </c>
      <c r="AD167" s="172" t="str">
        <f ca="1">IF(Z167="","",(INDEX(OFFSET(Arb!$U$2,,,Arb!$AJ$5,),Z167)+INDEX(OFFSET(Arb!$V$2,,,Arb!$AJ$5,),Z167))/AA167)</f>
        <v/>
      </c>
      <c r="AE167" s="248" t="str">
        <f t="shared" ca="1" si="58"/>
        <v/>
      </c>
      <c r="AF167" s="250" t="str">
        <f ca="1">IF(Z167="","",DATE(INDEX(OFFSET(Arb!$C$2,,,Arb!$AJ$5,),Z167),INDEX(OFFSET(Arb!$B$2,,,Arb!$AJ$5,),Z167),INDEX(OFFSET(Arb!$A$2,,,Arb!$AJ$5,),Z167))+ROW()*0.001)</f>
        <v/>
      </c>
      <c r="AG167" s="445">
        <v>142</v>
      </c>
      <c r="AH167" s="167"/>
      <c r="AI167" s="247" t="str">
        <f ca="1">IF(AH167="","",INDEX(OFFSET(Arb!$H$2,,,Arb!$AJ$5,),AH167))</f>
        <v/>
      </c>
      <c r="AJ167" s="170" t="str">
        <f t="shared" ca="1" si="69"/>
        <v/>
      </c>
      <c r="AK167" s="172" t="str">
        <f ca="1">IF(AH167="","",INDEX(OFFSET(Arb!$X$2,,,Arb!$AJ$5,),AH167)/AI167)</f>
        <v/>
      </c>
      <c r="AL167" s="172" t="str">
        <f ca="1">IF(AH167="","",(INDEX(OFFSET(Arb!$U$2,,,Arb!$AJ$5,),AH167)+INDEX(OFFSET(Arb!$V$2,,,Arb!$AJ$5,),AH167))/AI167)</f>
        <v/>
      </c>
      <c r="AM167" s="248" t="str">
        <f t="shared" ca="1" si="59"/>
        <v/>
      </c>
      <c r="AN167" s="249" t="str">
        <f ca="1">IF(AH167="","",DATE(INDEX(OFFSET(Arb!$C$2,,,Arb!$AJ$5,),AH167),INDEX(OFFSET(Arb!$B$2,,,Arb!$AJ$5,),AH167),INDEX(OFFSET(Arb!$A$2,,,Arb!$AJ$5,),AH167))+ROW()*0.001)</f>
        <v/>
      </c>
      <c r="AO167" s="437">
        <v>142</v>
      </c>
      <c r="AP167" s="167"/>
      <c r="AQ167" s="247" t="str">
        <f ca="1">IF(AP167="","",INDEX(OFFSET(Arb!$H$2,,,Arb!$AJ$5,),AP167))</f>
        <v/>
      </c>
      <c r="AR167" s="170" t="str">
        <f t="shared" ca="1" si="70"/>
        <v/>
      </c>
      <c r="AS167" s="172" t="str">
        <f ca="1">IF(AP167="","",INDEX(OFFSET(Arb!$X$2,,,Arb!$AJ$5,),AP167)/AQ167)</f>
        <v/>
      </c>
      <c r="AT167" s="172" t="str">
        <f ca="1">IF(AP167="","",(INDEX(OFFSET(Arb!$U$2,,,Arb!$AJ$5,),AP167)+INDEX(OFFSET(Arb!$V$2,,,Arb!$AJ$5,),AP167))/AQ167)</f>
        <v/>
      </c>
      <c r="AU167" s="248" t="str">
        <f t="shared" ca="1" si="60"/>
        <v/>
      </c>
      <c r="AV167" s="250" t="str">
        <f ca="1">IF(AP167="","",DATE(INDEX(OFFSET(Arb!$C$2,,,Arb!$AJ$5,),AP167),INDEX(OFFSET(Arb!$B$2,,,Arb!$AJ$5,),AP167),INDEX(OFFSET(Arb!$A$2,,,Arb!$AJ$5,),AP167))+ROW()*0.001)</f>
        <v/>
      </c>
      <c r="AW167" s="445">
        <v>142</v>
      </c>
      <c r="AX167" s="167"/>
      <c r="AY167" s="247" t="str">
        <f ca="1">IF(AX167="","",INDEX(OFFSET(Arb!$H$2,,,Arb!$AJ$5,),AX167))</f>
        <v/>
      </c>
      <c r="AZ167" s="170" t="str">
        <f t="shared" ca="1" si="71"/>
        <v/>
      </c>
      <c r="BA167" s="172" t="str">
        <f ca="1">IF(AX167="","",INDEX(OFFSET(Arb!$X$2,,,Arb!$AJ$5,),AX167)/AY167)</f>
        <v/>
      </c>
      <c r="BB167" s="172" t="str">
        <f ca="1">IF(AX167="","",(INDEX(OFFSET(Arb!$U$2,,,Arb!$AJ$5,),AX167)+INDEX(OFFSET(Arb!$V$2,,,Arb!$AJ$5,),AX167))/AY167)</f>
        <v/>
      </c>
      <c r="BC167" s="248" t="str">
        <f t="shared" ca="1" si="61"/>
        <v/>
      </c>
      <c r="BD167" s="249" t="str">
        <f ca="1">IF(AX167="","",DATE(INDEX(OFFSET(Arb!$C$2,,,Arb!$AJ$5,),AX167),INDEX(OFFSET(Arb!$B$2,,,Arb!$AJ$5,),AX167),INDEX(OFFSET(Arb!$A$2,,,Arb!$AJ$5,),AX167))+ROW()*0.001)</f>
        <v/>
      </c>
      <c r="BE167" s="437">
        <v>142</v>
      </c>
      <c r="BF167" s="167"/>
      <c r="BG167" s="247" t="str">
        <f ca="1">IF(BF167="","",INDEX(OFFSET(Arb!$H$2,,,Arb!$AJ$5,),BF167))</f>
        <v/>
      </c>
      <c r="BH167" s="170" t="str">
        <f t="shared" ca="1" si="72"/>
        <v/>
      </c>
      <c r="BI167" s="172" t="str">
        <f ca="1">IF(BF167="","",INDEX(OFFSET(Arb!$X$2,,,Arb!$AJ$5,),BF167)/BG167)</f>
        <v/>
      </c>
      <c r="BJ167" s="172" t="str">
        <f ca="1">IF(BF167="","",(INDEX(OFFSET(Arb!$U$2,,,Arb!$AJ$5,),BF167)+INDEX(OFFSET(Arb!$V$2,,,Arb!$AJ$5,),BF167))/BG167)</f>
        <v/>
      </c>
      <c r="BK167" s="248" t="str">
        <f t="shared" ca="1" si="62"/>
        <v/>
      </c>
      <c r="BL167" s="250" t="str">
        <f ca="1">IF(BF167="","",DATE(INDEX(OFFSET(Arb!$C$2,,,Arb!$AJ$5,),BF167),INDEX(OFFSET(Arb!$B$2,,,Arb!$AJ$5,),BF167),INDEX(OFFSET(Arb!$A$2,,,Arb!$AJ$5,),BF167))+ROW()*0.001)</f>
        <v/>
      </c>
      <c r="BM167" s="445">
        <v>142</v>
      </c>
      <c r="BN167" s="167"/>
      <c r="BO167" s="247" t="str">
        <f ca="1">IF(BN167="","",INDEX(OFFSET(Arb!$H$2,,,Arb!$AJ$5,),BN167))</f>
        <v/>
      </c>
      <c r="BP167" s="170" t="str">
        <f t="shared" ca="1" si="73"/>
        <v/>
      </c>
      <c r="BQ167" s="172" t="str">
        <f ca="1">IF(BN167="","",INDEX(OFFSET(Arb!$X$2,,,Arb!$AJ$5,),BN167)/BO167)</f>
        <v/>
      </c>
      <c r="BR167" s="172" t="str">
        <f ca="1">IF(BN167="","",(INDEX(OFFSET(Arb!$U$2,,,Arb!$AJ$5,),BN167)+INDEX(OFFSET(Arb!$V$2,,,Arb!$AJ$5,),BN167))/BO167)</f>
        <v/>
      </c>
      <c r="BS167" s="248" t="str">
        <f t="shared" ca="1" si="63"/>
        <v/>
      </c>
      <c r="BT167" s="249" t="str">
        <f ca="1">IF(BN167="","",DATE(INDEX(OFFSET(Arb!$C$2,,,Arb!$AJ$5,),BN167),INDEX(OFFSET(Arb!$B$2,,,Arb!$AJ$5,),BN167),INDEX(OFFSET(Arb!$A$2,,,Arb!$AJ$5,),BN167))+ROW()*0.001)</f>
        <v/>
      </c>
      <c r="BU167" s="437">
        <v>142</v>
      </c>
      <c r="BV167" s="167"/>
      <c r="BW167" s="247" t="str">
        <f ca="1">IF(BV167="","",INDEX(OFFSET(Arb!$H$2,,,Arb!$AJ$5,),BV167))</f>
        <v/>
      </c>
      <c r="BX167" s="170" t="str">
        <f t="shared" ca="1" si="74"/>
        <v/>
      </c>
      <c r="BY167" s="172" t="str">
        <f ca="1">IF(BV167="","",INDEX(OFFSET(Arb!$X$2,,,Arb!$AJ$5,),BV167)/BW167)</f>
        <v/>
      </c>
      <c r="BZ167" s="172" t="str">
        <f ca="1">IF(BV167="","",(INDEX(OFFSET(Arb!$U$2,,,Arb!$AJ$5,),BV167)+INDEX(OFFSET(Arb!$V$2,,,Arb!$AJ$5,),BV167))/BW167)</f>
        <v/>
      </c>
      <c r="CA167" s="248" t="str">
        <f t="shared" ca="1" si="64"/>
        <v/>
      </c>
      <c r="CB167" s="250" t="str">
        <f ca="1">IF(BV167="","",DATE(INDEX(OFFSET(Arb!$C$2,,,Arb!$AJ$5,),BV167),INDEX(OFFSET(Arb!$B$2,,,Arb!$AJ$5,),BV167),INDEX(OFFSET(Arb!$A$2,,,Arb!$AJ$5,),BV167))+ROW()*0.001)</f>
        <v/>
      </c>
    </row>
    <row r="168" spans="1:80" hidden="1" x14ac:dyDescent="0.25">
      <c r="A168" s="438">
        <v>143</v>
      </c>
      <c r="B168" s="69"/>
      <c r="C168" s="251"/>
      <c r="D168" s="180"/>
      <c r="E168" s="179"/>
      <c r="F168" s="179"/>
      <c r="G168" s="252"/>
      <c r="I168" s="440">
        <v>143</v>
      </c>
      <c r="J168" s="69"/>
      <c r="K168" s="251"/>
      <c r="L168" s="180"/>
      <c r="M168" s="179"/>
      <c r="N168" s="179"/>
      <c r="O168" s="252"/>
      <c r="P168" s="254"/>
      <c r="Q168" s="441">
        <v>143</v>
      </c>
      <c r="R168" s="69"/>
      <c r="S168" s="251"/>
      <c r="T168" s="180"/>
      <c r="U168" s="179"/>
      <c r="V168" s="179"/>
      <c r="W168" s="252"/>
      <c r="X168" s="253"/>
      <c r="Y168" s="440">
        <v>143</v>
      </c>
      <c r="Z168" s="69"/>
      <c r="AA168" s="251"/>
      <c r="AB168" s="180"/>
      <c r="AC168" s="179"/>
      <c r="AD168" s="179"/>
      <c r="AE168" s="252"/>
      <c r="AF168" s="254"/>
      <c r="AG168" s="441">
        <v>143</v>
      </c>
      <c r="AH168" s="69"/>
      <c r="AI168" s="251"/>
      <c r="AJ168" s="180"/>
      <c r="AK168" s="179"/>
      <c r="AL168" s="179"/>
      <c r="AM168" s="252"/>
      <c r="AN168" s="253"/>
      <c r="AO168" s="440">
        <v>143</v>
      </c>
      <c r="AP168" s="69"/>
      <c r="AQ168" s="251"/>
      <c r="AR168" s="180"/>
      <c r="AS168" s="179"/>
      <c r="AT168" s="179"/>
      <c r="AU168" s="252"/>
      <c r="AV168" s="254"/>
      <c r="AW168" s="441">
        <v>143</v>
      </c>
      <c r="AX168" s="69"/>
      <c r="AY168" s="251"/>
      <c r="AZ168" s="180"/>
      <c r="BA168" s="179"/>
      <c r="BB168" s="179"/>
      <c r="BC168" s="252"/>
      <c r="BD168" s="253"/>
      <c r="BE168" s="440">
        <v>143</v>
      </c>
      <c r="BF168" s="69"/>
      <c r="BG168" s="251"/>
      <c r="BH168" s="180"/>
      <c r="BI168" s="179"/>
      <c r="BJ168" s="179"/>
      <c r="BK168" s="252"/>
      <c r="BL168" s="254"/>
      <c r="BM168" s="441">
        <v>143</v>
      </c>
      <c r="BN168" s="69"/>
      <c r="BO168" s="251"/>
      <c r="BP168" s="180"/>
      <c r="BQ168" s="179"/>
      <c r="BR168" s="179"/>
      <c r="BS168" s="252"/>
      <c r="BT168" s="253"/>
      <c r="BU168" s="440">
        <v>143</v>
      </c>
      <c r="BV168" s="69"/>
      <c r="BW168" s="251"/>
      <c r="BX168" s="180"/>
      <c r="BY168" s="179"/>
      <c r="BZ168" s="179"/>
      <c r="CA168" s="252"/>
      <c r="CB168" s="254"/>
    </row>
    <row r="169" spans="1:80" hidden="1" x14ac:dyDescent="0.25">
      <c r="A169" s="433">
        <v>144</v>
      </c>
      <c r="D169" s="3"/>
      <c r="I169" s="436">
        <v>144</v>
      </c>
      <c r="L169" s="3"/>
      <c r="P169" s="238"/>
      <c r="Q169" s="442">
        <v>144</v>
      </c>
      <c r="T169" s="3"/>
      <c r="X169" s="237"/>
      <c r="Y169" s="436">
        <v>144</v>
      </c>
      <c r="AB169" s="3"/>
      <c r="AF169" s="238"/>
      <c r="AG169" s="442">
        <v>144</v>
      </c>
      <c r="AJ169" s="3"/>
      <c r="AN169" s="237"/>
      <c r="AO169" s="436">
        <v>144</v>
      </c>
      <c r="AR169" s="3"/>
      <c r="AV169" s="238"/>
      <c r="AW169" s="442">
        <v>144</v>
      </c>
      <c r="AZ169" s="3"/>
      <c r="BD169" s="237"/>
      <c r="BE169" s="436">
        <v>144</v>
      </c>
      <c r="BH169" s="3"/>
      <c r="BL169" s="238"/>
      <c r="BM169" s="442">
        <v>144</v>
      </c>
      <c r="BP169" s="3"/>
      <c r="BT169" s="237"/>
      <c r="BU169" s="436">
        <v>144</v>
      </c>
      <c r="BX169" s="3"/>
      <c r="CB169" s="238"/>
    </row>
    <row r="170" spans="1:80" hidden="1" x14ac:dyDescent="0.25">
      <c r="A170" s="433">
        <v>145</v>
      </c>
      <c r="D170" s="3"/>
      <c r="I170" s="436">
        <v>145</v>
      </c>
      <c r="L170" s="3"/>
      <c r="P170" s="238"/>
      <c r="Q170" s="442">
        <v>145</v>
      </c>
      <c r="T170" s="3"/>
      <c r="X170" s="237"/>
      <c r="Y170" s="436">
        <v>145</v>
      </c>
      <c r="AB170" s="3"/>
      <c r="AF170" s="238"/>
      <c r="AG170" s="442">
        <v>145</v>
      </c>
      <c r="AJ170" s="3"/>
      <c r="AN170" s="237"/>
      <c r="AO170" s="436">
        <v>145</v>
      </c>
      <c r="AR170" s="3"/>
      <c r="AV170" s="238"/>
      <c r="AW170" s="442">
        <v>145</v>
      </c>
      <c r="AZ170" s="3"/>
      <c r="BD170" s="237"/>
      <c r="BE170" s="436">
        <v>145</v>
      </c>
      <c r="BH170" s="3"/>
      <c r="BL170" s="238"/>
      <c r="BM170" s="442">
        <v>145</v>
      </c>
      <c r="BP170" s="3"/>
      <c r="BT170" s="237"/>
      <c r="BU170" s="436">
        <v>145</v>
      </c>
      <c r="BX170" s="3"/>
      <c r="CB170" s="238"/>
    </row>
    <row r="171" spans="1:80" hidden="1" x14ac:dyDescent="0.25">
      <c r="A171" s="433">
        <v>146</v>
      </c>
      <c r="D171" s="3"/>
      <c r="I171" s="436">
        <v>146</v>
      </c>
      <c r="L171" s="3"/>
      <c r="P171" s="238"/>
      <c r="Q171" s="442">
        <v>146</v>
      </c>
      <c r="T171" s="3"/>
      <c r="X171" s="237"/>
      <c r="Y171" s="436">
        <v>146</v>
      </c>
      <c r="AB171" s="3"/>
      <c r="AF171" s="238"/>
      <c r="AG171" s="442">
        <v>146</v>
      </c>
      <c r="AJ171" s="3"/>
      <c r="AN171" s="237"/>
      <c r="AO171" s="436">
        <v>146</v>
      </c>
      <c r="AR171" s="3"/>
      <c r="AV171" s="238"/>
      <c r="AW171" s="442">
        <v>146</v>
      </c>
      <c r="AZ171" s="3"/>
      <c r="BD171" s="237"/>
      <c r="BE171" s="436">
        <v>146</v>
      </c>
      <c r="BH171" s="3"/>
      <c r="BL171" s="238"/>
      <c r="BM171" s="442">
        <v>146</v>
      </c>
      <c r="BP171" s="3"/>
      <c r="BT171" s="237"/>
      <c r="BU171" s="436">
        <v>146</v>
      </c>
      <c r="BX171" s="3"/>
      <c r="CB171" s="238"/>
    </row>
    <row r="172" spans="1:80" hidden="1" x14ac:dyDescent="0.25">
      <c r="A172" s="433">
        <v>147</v>
      </c>
      <c r="D172" s="3"/>
      <c r="I172" s="436">
        <v>147</v>
      </c>
      <c r="L172" s="3"/>
      <c r="P172" s="238"/>
      <c r="Q172" s="442">
        <v>147</v>
      </c>
      <c r="T172" s="3"/>
      <c r="X172" s="237"/>
      <c r="Y172" s="436">
        <v>147</v>
      </c>
      <c r="AB172" s="3"/>
      <c r="AF172" s="238"/>
      <c r="AG172" s="442">
        <v>147</v>
      </c>
      <c r="AJ172" s="3"/>
      <c r="AN172" s="237"/>
      <c r="AO172" s="436">
        <v>147</v>
      </c>
      <c r="AR172" s="3"/>
      <c r="AV172" s="238"/>
      <c r="AW172" s="442">
        <v>147</v>
      </c>
      <c r="AZ172" s="3"/>
      <c r="BD172" s="237"/>
      <c r="BE172" s="436">
        <v>147</v>
      </c>
      <c r="BH172" s="3"/>
      <c r="BL172" s="238"/>
      <c r="BM172" s="442">
        <v>147</v>
      </c>
      <c r="BP172" s="3"/>
      <c r="BT172" s="237"/>
      <c r="BU172" s="436">
        <v>147</v>
      </c>
      <c r="BX172" s="3"/>
      <c r="CB172" s="238"/>
    </row>
    <row r="173" spans="1:80" hidden="1" x14ac:dyDescent="0.25">
      <c r="A173" s="433">
        <v>148</v>
      </c>
      <c r="D173" s="3"/>
      <c r="I173" s="436">
        <v>148</v>
      </c>
      <c r="L173" s="3"/>
      <c r="P173" s="238"/>
      <c r="Q173" s="442">
        <v>148</v>
      </c>
      <c r="T173" s="3"/>
      <c r="X173" s="237"/>
      <c r="Y173" s="436">
        <v>148</v>
      </c>
      <c r="AB173" s="3"/>
      <c r="AF173" s="238"/>
      <c r="AG173" s="442">
        <v>148</v>
      </c>
      <c r="AJ173" s="3"/>
      <c r="AN173" s="237"/>
      <c r="AO173" s="436">
        <v>148</v>
      </c>
      <c r="AR173" s="3"/>
      <c r="AV173" s="238"/>
      <c r="AW173" s="442">
        <v>148</v>
      </c>
      <c r="AZ173" s="3"/>
      <c r="BD173" s="237"/>
      <c r="BE173" s="436">
        <v>148</v>
      </c>
      <c r="BH173" s="3"/>
      <c r="BL173" s="238"/>
      <c r="BM173" s="442">
        <v>148</v>
      </c>
      <c r="BP173" s="3"/>
      <c r="BT173" s="237"/>
      <c r="BU173" s="436">
        <v>148</v>
      </c>
      <c r="BX173" s="3"/>
      <c r="CB173" s="238"/>
    </row>
    <row r="174" spans="1:80" hidden="1" x14ac:dyDescent="0.25">
      <c r="A174" s="433">
        <v>149</v>
      </c>
      <c r="D174" s="3"/>
      <c r="I174" s="436">
        <v>149</v>
      </c>
      <c r="L174" s="3"/>
      <c r="P174" s="238"/>
      <c r="Q174" s="442">
        <v>149</v>
      </c>
      <c r="T174" s="3"/>
      <c r="X174" s="237"/>
      <c r="Y174" s="436">
        <v>149</v>
      </c>
      <c r="AB174" s="3"/>
      <c r="AF174" s="238"/>
      <c r="AG174" s="442">
        <v>149</v>
      </c>
      <c r="AJ174" s="3"/>
      <c r="AN174" s="237"/>
      <c r="AO174" s="436">
        <v>149</v>
      </c>
      <c r="AR174" s="3"/>
      <c r="AV174" s="238"/>
      <c r="AW174" s="442">
        <v>149</v>
      </c>
      <c r="AZ174" s="3"/>
      <c r="BD174" s="237"/>
      <c r="BE174" s="436">
        <v>149</v>
      </c>
      <c r="BH174" s="3"/>
      <c r="BL174" s="238"/>
      <c r="BM174" s="442">
        <v>149</v>
      </c>
      <c r="BP174" s="3"/>
      <c r="BT174" s="237"/>
      <c r="BU174" s="436">
        <v>149</v>
      </c>
      <c r="BX174" s="3"/>
      <c r="CB174" s="238"/>
    </row>
    <row r="175" spans="1:80" hidden="1" x14ac:dyDescent="0.25">
      <c r="A175" s="433">
        <v>150</v>
      </c>
      <c r="D175" s="3"/>
      <c r="I175" s="436">
        <v>150</v>
      </c>
      <c r="L175" s="3"/>
      <c r="P175" s="238"/>
      <c r="Q175" s="442">
        <v>150</v>
      </c>
      <c r="T175" s="3"/>
      <c r="X175" s="237"/>
      <c r="Y175" s="436">
        <v>150</v>
      </c>
      <c r="AB175" s="3"/>
      <c r="AF175" s="238"/>
      <c r="AG175" s="442">
        <v>150</v>
      </c>
      <c r="AJ175" s="3"/>
      <c r="AN175" s="237"/>
      <c r="AO175" s="436">
        <v>150</v>
      </c>
      <c r="AR175" s="3"/>
      <c r="AV175" s="238"/>
      <c r="AW175" s="442">
        <v>150</v>
      </c>
      <c r="AZ175" s="3"/>
      <c r="BD175" s="237"/>
      <c r="BE175" s="436">
        <v>150</v>
      </c>
      <c r="BH175" s="3"/>
      <c r="BL175" s="238"/>
      <c r="BM175" s="442">
        <v>150</v>
      </c>
      <c r="BP175" s="3"/>
      <c r="BT175" s="237"/>
      <c r="BU175" s="436">
        <v>150</v>
      </c>
      <c r="BX175" s="3"/>
      <c r="CB175" s="238"/>
    </row>
    <row r="176" spans="1:80" hidden="1" x14ac:dyDescent="0.25">
      <c r="A176" s="433">
        <v>151</v>
      </c>
      <c r="D176" s="3"/>
      <c r="I176" s="436">
        <v>151</v>
      </c>
      <c r="L176" s="3"/>
      <c r="P176" s="238"/>
      <c r="Q176" s="442">
        <v>151</v>
      </c>
      <c r="T176" s="3"/>
      <c r="X176" s="237"/>
      <c r="Y176" s="436">
        <v>151</v>
      </c>
      <c r="AB176" s="3"/>
      <c r="AF176" s="238"/>
      <c r="AG176" s="442">
        <v>151</v>
      </c>
      <c r="AJ176" s="3"/>
      <c r="AN176" s="237"/>
      <c r="AO176" s="436">
        <v>151</v>
      </c>
      <c r="AR176" s="3"/>
      <c r="AV176" s="238"/>
      <c r="AW176" s="442">
        <v>151</v>
      </c>
      <c r="AZ176" s="3"/>
      <c r="BD176" s="237"/>
      <c r="BE176" s="436">
        <v>151</v>
      </c>
      <c r="BH176" s="3"/>
      <c r="BL176" s="238"/>
      <c r="BM176" s="442">
        <v>151</v>
      </c>
      <c r="BP176" s="3"/>
      <c r="BT176" s="237"/>
      <c r="BU176" s="436">
        <v>151</v>
      </c>
      <c r="BX176" s="3"/>
      <c r="CB176" s="238"/>
    </row>
    <row r="177" spans="1:80" hidden="1" x14ac:dyDescent="0.25">
      <c r="A177" s="433">
        <v>152</v>
      </c>
      <c r="D177" s="3"/>
      <c r="I177" s="436">
        <v>152</v>
      </c>
      <c r="L177" s="3"/>
      <c r="P177" s="238"/>
      <c r="Q177" s="442">
        <v>152</v>
      </c>
      <c r="T177" s="3"/>
      <c r="X177" s="237"/>
      <c r="Y177" s="436">
        <v>152</v>
      </c>
      <c r="AB177" s="3"/>
      <c r="AF177" s="238"/>
      <c r="AG177" s="442">
        <v>152</v>
      </c>
      <c r="AJ177" s="3"/>
      <c r="AN177" s="237"/>
      <c r="AO177" s="436">
        <v>152</v>
      </c>
      <c r="AR177" s="3"/>
      <c r="AV177" s="238"/>
      <c r="AW177" s="442">
        <v>152</v>
      </c>
      <c r="AZ177" s="3"/>
      <c r="BD177" s="237"/>
      <c r="BE177" s="436">
        <v>152</v>
      </c>
      <c r="BH177" s="3"/>
      <c r="BL177" s="238"/>
      <c r="BM177" s="442">
        <v>152</v>
      </c>
      <c r="BP177" s="3"/>
      <c r="BT177" s="237"/>
      <c r="BU177" s="436">
        <v>152</v>
      </c>
      <c r="BX177" s="3"/>
      <c r="CB177" s="238"/>
    </row>
    <row r="178" spans="1:80" hidden="1" x14ac:dyDescent="0.25">
      <c r="A178" s="433">
        <v>153</v>
      </c>
      <c r="D178" s="3"/>
      <c r="I178" s="436">
        <v>153</v>
      </c>
      <c r="L178" s="3"/>
      <c r="P178" s="238"/>
      <c r="Q178" s="442">
        <v>153</v>
      </c>
      <c r="T178" s="3"/>
      <c r="X178" s="237"/>
      <c r="Y178" s="436">
        <v>153</v>
      </c>
      <c r="AB178" s="3"/>
      <c r="AF178" s="238"/>
      <c r="AG178" s="442">
        <v>153</v>
      </c>
      <c r="AJ178" s="3"/>
      <c r="AN178" s="237"/>
      <c r="AO178" s="436">
        <v>153</v>
      </c>
      <c r="AR178" s="3"/>
      <c r="AV178" s="238"/>
      <c r="AW178" s="442">
        <v>153</v>
      </c>
      <c r="AZ178" s="3"/>
      <c r="BD178" s="237"/>
      <c r="BE178" s="436">
        <v>153</v>
      </c>
      <c r="BH178" s="3"/>
      <c r="BL178" s="238"/>
      <c r="BM178" s="442">
        <v>153</v>
      </c>
      <c r="BP178" s="3"/>
      <c r="BT178" s="237"/>
      <c r="BU178" s="436">
        <v>153</v>
      </c>
      <c r="BX178" s="3"/>
      <c r="CB178" s="238"/>
    </row>
    <row r="179" spans="1:80" hidden="1" x14ac:dyDescent="0.25">
      <c r="A179" s="433">
        <v>154</v>
      </c>
      <c r="D179" s="3"/>
      <c r="I179" s="436">
        <v>154</v>
      </c>
      <c r="L179" s="3"/>
      <c r="P179" s="238"/>
      <c r="Q179" s="442">
        <v>154</v>
      </c>
      <c r="T179" s="3"/>
      <c r="X179" s="237"/>
      <c r="Y179" s="436">
        <v>154</v>
      </c>
      <c r="AB179" s="3"/>
      <c r="AF179" s="238"/>
      <c r="AG179" s="442">
        <v>154</v>
      </c>
      <c r="AJ179" s="3"/>
      <c r="AN179" s="237"/>
      <c r="AO179" s="436">
        <v>154</v>
      </c>
      <c r="AR179" s="3"/>
      <c r="AV179" s="238"/>
      <c r="AW179" s="442">
        <v>154</v>
      </c>
      <c r="AZ179" s="3"/>
      <c r="BD179" s="237"/>
      <c r="BE179" s="436">
        <v>154</v>
      </c>
      <c r="BH179" s="3"/>
      <c r="BL179" s="238"/>
      <c r="BM179" s="442">
        <v>154</v>
      </c>
      <c r="BP179" s="3"/>
      <c r="BT179" s="237"/>
      <c r="BU179" s="436">
        <v>154</v>
      </c>
      <c r="BX179" s="3"/>
      <c r="CB179" s="238"/>
    </row>
    <row r="180" spans="1:80" hidden="1" x14ac:dyDescent="0.25">
      <c r="A180" s="433">
        <v>155</v>
      </c>
      <c r="D180" s="3"/>
      <c r="I180" s="436">
        <v>155</v>
      </c>
      <c r="L180" s="3"/>
      <c r="P180" s="238"/>
      <c r="Q180" s="442">
        <v>155</v>
      </c>
      <c r="T180" s="3"/>
      <c r="X180" s="237"/>
      <c r="Y180" s="436">
        <v>155</v>
      </c>
      <c r="AB180" s="3"/>
      <c r="AF180" s="238"/>
      <c r="AG180" s="442">
        <v>155</v>
      </c>
      <c r="AJ180" s="3"/>
      <c r="AN180" s="237"/>
      <c r="AO180" s="436">
        <v>155</v>
      </c>
      <c r="AR180" s="3"/>
      <c r="AV180" s="238"/>
      <c r="AW180" s="442">
        <v>155</v>
      </c>
      <c r="AZ180" s="3"/>
      <c r="BD180" s="237"/>
      <c r="BE180" s="436">
        <v>155</v>
      </c>
      <c r="BH180" s="3"/>
      <c r="BL180" s="238"/>
      <c r="BM180" s="442">
        <v>155</v>
      </c>
      <c r="BP180" s="3"/>
      <c r="BT180" s="237"/>
      <c r="BU180" s="436">
        <v>155</v>
      </c>
      <c r="BX180" s="3"/>
      <c r="CB180" s="238"/>
    </row>
    <row r="181" spans="1:80" hidden="1" x14ac:dyDescent="0.25">
      <c r="A181" s="433">
        <v>156</v>
      </c>
      <c r="D181" s="3"/>
      <c r="I181" s="436">
        <v>156</v>
      </c>
      <c r="L181" s="3"/>
      <c r="P181" s="238"/>
      <c r="Q181" s="442">
        <v>156</v>
      </c>
      <c r="T181" s="3"/>
      <c r="X181" s="237"/>
      <c r="Y181" s="436">
        <v>156</v>
      </c>
      <c r="AB181" s="3"/>
      <c r="AF181" s="238"/>
      <c r="AG181" s="442">
        <v>156</v>
      </c>
      <c r="AJ181" s="3"/>
      <c r="AN181" s="237"/>
      <c r="AO181" s="436">
        <v>156</v>
      </c>
      <c r="AR181" s="3"/>
      <c r="AV181" s="238"/>
      <c r="AW181" s="442">
        <v>156</v>
      </c>
      <c r="AZ181" s="3"/>
      <c r="BD181" s="237"/>
      <c r="BE181" s="436">
        <v>156</v>
      </c>
      <c r="BH181" s="3"/>
      <c r="BL181" s="238"/>
      <c r="BM181" s="442">
        <v>156</v>
      </c>
      <c r="BP181" s="3"/>
      <c r="BT181" s="237"/>
      <c r="BU181" s="436">
        <v>156</v>
      </c>
      <c r="BX181" s="3"/>
      <c r="CB181" s="238"/>
    </row>
    <row r="182" spans="1:80" hidden="1" x14ac:dyDescent="0.25">
      <c r="A182" s="433">
        <v>157</v>
      </c>
      <c r="D182" s="3"/>
      <c r="I182" s="436">
        <v>157</v>
      </c>
      <c r="L182" s="3"/>
      <c r="P182" s="238"/>
      <c r="Q182" s="442">
        <v>157</v>
      </c>
      <c r="T182" s="3"/>
      <c r="X182" s="237"/>
      <c r="Y182" s="436">
        <v>157</v>
      </c>
      <c r="AB182" s="3"/>
      <c r="AF182" s="238"/>
      <c r="AG182" s="442">
        <v>157</v>
      </c>
      <c r="AJ182" s="3"/>
      <c r="AN182" s="237"/>
      <c r="AO182" s="436">
        <v>157</v>
      </c>
      <c r="AR182" s="3"/>
      <c r="AV182" s="238"/>
      <c r="AW182" s="442">
        <v>157</v>
      </c>
      <c r="AZ182" s="3"/>
      <c r="BD182" s="237"/>
      <c r="BE182" s="436">
        <v>157</v>
      </c>
      <c r="BH182" s="3"/>
      <c r="BL182" s="238"/>
      <c r="BM182" s="442">
        <v>157</v>
      </c>
      <c r="BP182" s="3"/>
      <c r="BT182" s="237"/>
      <c r="BU182" s="436">
        <v>157</v>
      </c>
      <c r="BX182" s="3"/>
      <c r="CB182" s="238"/>
    </row>
    <row r="183" spans="1:80" hidden="1" x14ac:dyDescent="0.25">
      <c r="A183" s="433">
        <v>158</v>
      </c>
      <c r="D183" s="3"/>
      <c r="I183" s="436">
        <v>158</v>
      </c>
      <c r="L183" s="3"/>
      <c r="P183" s="238"/>
      <c r="Q183" s="442">
        <v>158</v>
      </c>
      <c r="T183" s="3"/>
      <c r="X183" s="237"/>
      <c r="Y183" s="436">
        <v>158</v>
      </c>
      <c r="AB183" s="3"/>
      <c r="AF183" s="238"/>
      <c r="AG183" s="442">
        <v>158</v>
      </c>
      <c r="AJ183" s="3"/>
      <c r="AN183" s="237"/>
      <c r="AO183" s="436">
        <v>158</v>
      </c>
      <c r="AR183" s="3"/>
      <c r="AV183" s="238"/>
      <c r="AW183" s="442">
        <v>158</v>
      </c>
      <c r="AZ183" s="3"/>
      <c r="BD183" s="237"/>
      <c r="BE183" s="436">
        <v>158</v>
      </c>
      <c r="BH183" s="3"/>
      <c r="BL183" s="238"/>
      <c r="BM183" s="442">
        <v>158</v>
      </c>
      <c r="BP183" s="3"/>
      <c r="BT183" s="237"/>
      <c r="BU183" s="436">
        <v>158</v>
      </c>
      <c r="BX183" s="3"/>
      <c r="CB183" s="238"/>
    </row>
    <row r="184" spans="1:80" hidden="1" x14ac:dyDescent="0.25">
      <c r="A184" s="433">
        <v>159</v>
      </c>
      <c r="D184" s="3"/>
      <c r="I184" s="436">
        <v>159</v>
      </c>
      <c r="L184" s="3"/>
      <c r="P184" s="238"/>
      <c r="Q184" s="442">
        <v>159</v>
      </c>
      <c r="T184" s="3"/>
      <c r="X184" s="237"/>
      <c r="Y184" s="436">
        <v>159</v>
      </c>
      <c r="AB184" s="3"/>
      <c r="AF184" s="238"/>
      <c r="AG184" s="442">
        <v>159</v>
      </c>
      <c r="AJ184" s="3"/>
      <c r="AN184" s="237"/>
      <c r="AO184" s="436">
        <v>159</v>
      </c>
      <c r="AR184" s="3"/>
      <c r="AV184" s="238"/>
      <c r="AW184" s="442">
        <v>159</v>
      </c>
      <c r="AZ184" s="3"/>
      <c r="BD184" s="237"/>
      <c r="BE184" s="436">
        <v>159</v>
      </c>
      <c r="BH184" s="3"/>
      <c r="BL184" s="238"/>
      <c r="BM184" s="442">
        <v>159</v>
      </c>
      <c r="BP184" s="3"/>
      <c r="BT184" s="237"/>
      <c r="BU184" s="436">
        <v>159</v>
      </c>
      <c r="BX184" s="3"/>
      <c r="CB184" s="238"/>
    </row>
    <row r="185" spans="1:80" hidden="1" x14ac:dyDescent="0.25">
      <c r="A185" s="433">
        <v>160</v>
      </c>
      <c r="D185" s="3"/>
      <c r="I185" s="436">
        <v>160</v>
      </c>
      <c r="L185" s="3"/>
      <c r="P185" s="238"/>
      <c r="Q185" s="442">
        <v>160</v>
      </c>
      <c r="T185" s="3"/>
      <c r="X185" s="237"/>
      <c r="Y185" s="436">
        <v>160</v>
      </c>
      <c r="AB185" s="3"/>
      <c r="AF185" s="238"/>
      <c r="AG185" s="442">
        <v>160</v>
      </c>
      <c r="AJ185" s="3"/>
      <c r="AN185" s="237"/>
      <c r="AO185" s="436">
        <v>160</v>
      </c>
      <c r="AR185" s="3"/>
      <c r="AV185" s="238"/>
      <c r="AW185" s="442">
        <v>160</v>
      </c>
      <c r="AZ185" s="3"/>
      <c r="BD185" s="237"/>
      <c r="BE185" s="436">
        <v>160</v>
      </c>
      <c r="BH185" s="3"/>
      <c r="BL185" s="238"/>
      <c r="BM185" s="442">
        <v>160</v>
      </c>
      <c r="BP185" s="3"/>
      <c r="BT185" s="237"/>
      <c r="BU185" s="436">
        <v>160</v>
      </c>
      <c r="BX185" s="3"/>
      <c r="CB185" s="238"/>
    </row>
    <row r="186" spans="1:80" hidden="1" x14ac:dyDescent="0.25">
      <c r="A186" s="433">
        <v>161</v>
      </c>
      <c r="D186" s="3"/>
      <c r="I186" s="436">
        <v>161</v>
      </c>
      <c r="L186" s="3"/>
      <c r="P186" s="238"/>
      <c r="Q186" s="442">
        <v>161</v>
      </c>
      <c r="T186" s="3"/>
      <c r="X186" s="237"/>
      <c r="Y186" s="436">
        <v>161</v>
      </c>
      <c r="AB186" s="3"/>
      <c r="AF186" s="238"/>
      <c r="AG186" s="442">
        <v>161</v>
      </c>
      <c r="AJ186" s="3"/>
      <c r="AN186" s="237"/>
      <c r="AO186" s="436">
        <v>161</v>
      </c>
      <c r="AR186" s="3"/>
      <c r="AV186" s="238"/>
      <c r="AW186" s="442">
        <v>161</v>
      </c>
      <c r="AZ186" s="3"/>
      <c r="BD186" s="237"/>
      <c r="BE186" s="436">
        <v>161</v>
      </c>
      <c r="BH186" s="3"/>
      <c r="BL186" s="238"/>
      <c r="BM186" s="442">
        <v>161</v>
      </c>
      <c r="BP186" s="3"/>
      <c r="BT186" s="237"/>
      <c r="BU186" s="436">
        <v>161</v>
      </c>
      <c r="BX186" s="3"/>
      <c r="CB186" s="238"/>
    </row>
    <row r="187" spans="1:80" hidden="1" x14ac:dyDescent="0.25">
      <c r="A187" s="433">
        <v>162</v>
      </c>
      <c r="D187" s="3"/>
      <c r="I187" s="436">
        <v>162</v>
      </c>
      <c r="L187" s="3"/>
      <c r="P187" s="238"/>
      <c r="Q187" s="442">
        <v>162</v>
      </c>
      <c r="T187" s="3"/>
      <c r="X187" s="237"/>
      <c r="Y187" s="436">
        <v>162</v>
      </c>
      <c r="AB187" s="3"/>
      <c r="AF187" s="238"/>
      <c r="AG187" s="442">
        <v>162</v>
      </c>
      <c r="AJ187" s="3"/>
      <c r="AN187" s="237"/>
      <c r="AO187" s="436">
        <v>162</v>
      </c>
      <c r="AR187" s="3"/>
      <c r="AV187" s="238"/>
      <c r="AW187" s="442">
        <v>162</v>
      </c>
      <c r="AZ187" s="3"/>
      <c r="BD187" s="237"/>
      <c r="BE187" s="436">
        <v>162</v>
      </c>
      <c r="BH187" s="3"/>
      <c r="BL187" s="238"/>
      <c r="BM187" s="442">
        <v>162</v>
      </c>
      <c r="BP187" s="3"/>
      <c r="BT187" s="237"/>
      <c r="BU187" s="436">
        <v>162</v>
      </c>
      <c r="BX187" s="3"/>
      <c r="CB187" s="238"/>
    </row>
    <row r="188" spans="1:80" hidden="1" x14ac:dyDescent="0.25">
      <c r="A188" s="433">
        <v>163</v>
      </c>
      <c r="D188" s="3"/>
      <c r="I188" s="436">
        <v>163</v>
      </c>
      <c r="L188" s="3"/>
      <c r="P188" s="238"/>
      <c r="Q188" s="442">
        <v>163</v>
      </c>
      <c r="T188" s="3"/>
      <c r="X188" s="237"/>
      <c r="Y188" s="436">
        <v>163</v>
      </c>
      <c r="AB188" s="3"/>
      <c r="AF188" s="238"/>
      <c r="AG188" s="442">
        <v>163</v>
      </c>
      <c r="AJ188" s="3"/>
      <c r="AN188" s="237"/>
      <c r="AO188" s="436">
        <v>163</v>
      </c>
      <c r="AR188" s="3"/>
      <c r="AV188" s="238"/>
      <c r="AW188" s="442">
        <v>163</v>
      </c>
      <c r="AZ188" s="3"/>
      <c r="BD188" s="237"/>
      <c r="BE188" s="436">
        <v>163</v>
      </c>
      <c r="BH188" s="3"/>
      <c r="BL188" s="238"/>
      <c r="BM188" s="442">
        <v>163</v>
      </c>
      <c r="BP188" s="3"/>
      <c r="BT188" s="237"/>
      <c r="BU188" s="436">
        <v>163</v>
      </c>
      <c r="BX188" s="3"/>
      <c r="CB188" s="238"/>
    </row>
    <row r="189" spans="1:80" hidden="1" x14ac:dyDescent="0.25">
      <c r="A189" s="433">
        <v>164</v>
      </c>
      <c r="D189" s="3"/>
      <c r="I189" s="436">
        <v>164</v>
      </c>
      <c r="L189" s="3"/>
      <c r="P189" s="238"/>
      <c r="Q189" s="442">
        <v>164</v>
      </c>
      <c r="T189" s="3"/>
      <c r="X189" s="237"/>
      <c r="Y189" s="436">
        <v>164</v>
      </c>
      <c r="AB189" s="3"/>
      <c r="AF189" s="238"/>
      <c r="AG189" s="442">
        <v>164</v>
      </c>
      <c r="AJ189" s="3"/>
      <c r="AN189" s="237"/>
      <c r="AO189" s="436">
        <v>164</v>
      </c>
      <c r="AR189" s="3"/>
      <c r="AV189" s="238"/>
      <c r="AW189" s="442">
        <v>164</v>
      </c>
      <c r="AZ189" s="3"/>
      <c r="BD189" s="237"/>
      <c r="BE189" s="436">
        <v>164</v>
      </c>
      <c r="BH189" s="3"/>
      <c r="BL189" s="238"/>
      <c r="BM189" s="442">
        <v>164</v>
      </c>
      <c r="BP189" s="3"/>
      <c r="BT189" s="237"/>
      <c r="BU189" s="436">
        <v>164</v>
      </c>
      <c r="BX189" s="3"/>
      <c r="CB189" s="238"/>
    </row>
    <row r="190" spans="1:80" hidden="1" x14ac:dyDescent="0.25">
      <c r="A190" s="433">
        <v>165</v>
      </c>
      <c r="D190" s="3"/>
      <c r="I190" s="436">
        <v>165</v>
      </c>
      <c r="L190" s="3"/>
      <c r="P190" s="238"/>
      <c r="Q190" s="442">
        <v>165</v>
      </c>
      <c r="T190" s="3"/>
      <c r="X190" s="237"/>
      <c r="Y190" s="436">
        <v>165</v>
      </c>
      <c r="AB190" s="3"/>
      <c r="AF190" s="238"/>
      <c r="AG190" s="442">
        <v>165</v>
      </c>
      <c r="AJ190" s="3"/>
      <c r="AN190" s="237"/>
      <c r="AO190" s="436">
        <v>165</v>
      </c>
      <c r="AR190" s="3"/>
      <c r="AV190" s="238"/>
      <c r="AW190" s="442">
        <v>165</v>
      </c>
      <c r="AZ190" s="3"/>
      <c r="BD190" s="237"/>
      <c r="BE190" s="436">
        <v>165</v>
      </c>
      <c r="BH190" s="3"/>
      <c r="BL190" s="238"/>
      <c r="BM190" s="442">
        <v>165</v>
      </c>
      <c r="BP190" s="3"/>
      <c r="BT190" s="237"/>
      <c r="BU190" s="436">
        <v>165</v>
      </c>
      <c r="BX190" s="3"/>
      <c r="CB190" s="238"/>
    </row>
    <row r="191" spans="1:80" hidden="1" x14ac:dyDescent="0.25">
      <c r="A191" s="433">
        <v>166</v>
      </c>
      <c r="D191" s="3"/>
      <c r="I191" s="436">
        <v>166</v>
      </c>
      <c r="L191" s="3"/>
      <c r="P191" s="238"/>
      <c r="Q191" s="442">
        <v>166</v>
      </c>
      <c r="T191" s="3"/>
      <c r="X191" s="237"/>
      <c r="Y191" s="436">
        <v>166</v>
      </c>
      <c r="AB191" s="3"/>
      <c r="AF191" s="238"/>
      <c r="AG191" s="442">
        <v>166</v>
      </c>
      <c r="AJ191" s="3"/>
      <c r="AN191" s="237"/>
      <c r="AO191" s="436">
        <v>166</v>
      </c>
      <c r="AR191" s="3"/>
      <c r="AV191" s="238"/>
      <c r="AW191" s="442">
        <v>166</v>
      </c>
      <c r="AZ191" s="3"/>
      <c r="BD191" s="237"/>
      <c r="BE191" s="436">
        <v>166</v>
      </c>
      <c r="BH191" s="3"/>
      <c r="BL191" s="238"/>
      <c r="BM191" s="442">
        <v>166</v>
      </c>
      <c r="BP191" s="3"/>
      <c r="BT191" s="237"/>
      <c r="BU191" s="436">
        <v>166</v>
      </c>
      <c r="BX191" s="3"/>
      <c r="CB191" s="238"/>
    </row>
    <row r="192" spans="1:80" hidden="1" x14ac:dyDescent="0.25">
      <c r="A192" s="433">
        <v>167</v>
      </c>
      <c r="D192" s="3"/>
      <c r="I192" s="436">
        <v>167</v>
      </c>
      <c r="L192" s="3"/>
      <c r="P192" s="238"/>
      <c r="Q192" s="442">
        <v>167</v>
      </c>
      <c r="T192" s="3"/>
      <c r="X192" s="237"/>
      <c r="Y192" s="436">
        <v>167</v>
      </c>
      <c r="AB192" s="3"/>
      <c r="AF192" s="238"/>
      <c r="AG192" s="442">
        <v>167</v>
      </c>
      <c r="AJ192" s="3"/>
      <c r="AN192" s="237"/>
      <c r="AO192" s="436">
        <v>167</v>
      </c>
      <c r="AR192" s="3"/>
      <c r="AV192" s="238"/>
      <c r="AW192" s="442">
        <v>167</v>
      </c>
      <c r="AZ192" s="3"/>
      <c r="BD192" s="237"/>
      <c r="BE192" s="436">
        <v>167</v>
      </c>
      <c r="BH192" s="3"/>
      <c r="BL192" s="238"/>
      <c r="BM192" s="442">
        <v>167</v>
      </c>
      <c r="BP192" s="3"/>
      <c r="BT192" s="237"/>
      <c r="BU192" s="436">
        <v>167</v>
      </c>
      <c r="BX192" s="3"/>
      <c r="CB192" s="238"/>
    </row>
    <row r="193" spans="1:80" hidden="1" x14ac:dyDescent="0.25">
      <c r="A193" s="433">
        <v>168</v>
      </c>
      <c r="D193" s="3"/>
      <c r="I193" s="436">
        <v>168</v>
      </c>
      <c r="L193" s="3"/>
      <c r="P193" s="238"/>
      <c r="Q193" s="442">
        <v>168</v>
      </c>
      <c r="T193" s="3"/>
      <c r="X193" s="237"/>
      <c r="Y193" s="436">
        <v>168</v>
      </c>
      <c r="AB193" s="3"/>
      <c r="AF193" s="238"/>
      <c r="AG193" s="442">
        <v>168</v>
      </c>
      <c r="AJ193" s="3"/>
      <c r="AN193" s="237"/>
      <c r="AO193" s="436">
        <v>168</v>
      </c>
      <c r="AR193" s="3"/>
      <c r="AV193" s="238"/>
      <c r="AW193" s="442">
        <v>168</v>
      </c>
      <c r="AZ193" s="3"/>
      <c r="BD193" s="237"/>
      <c r="BE193" s="436">
        <v>168</v>
      </c>
      <c r="BH193" s="3"/>
      <c r="BL193" s="238"/>
      <c r="BM193" s="442">
        <v>168</v>
      </c>
      <c r="BP193" s="3"/>
      <c r="BT193" s="237"/>
      <c r="BU193" s="436">
        <v>168</v>
      </c>
      <c r="BX193" s="3"/>
      <c r="CB193" s="238"/>
    </row>
    <row r="194" spans="1:80" hidden="1" x14ac:dyDescent="0.25">
      <c r="A194" s="433">
        <v>169</v>
      </c>
      <c r="D194" s="3"/>
      <c r="I194" s="436">
        <v>169</v>
      </c>
      <c r="L194" s="3"/>
      <c r="P194" s="238"/>
      <c r="Q194" s="442">
        <v>169</v>
      </c>
      <c r="T194" s="3"/>
      <c r="X194" s="237"/>
      <c r="Y194" s="436">
        <v>169</v>
      </c>
      <c r="AB194" s="3"/>
      <c r="AF194" s="238"/>
      <c r="AG194" s="442">
        <v>169</v>
      </c>
      <c r="AJ194" s="3"/>
      <c r="AN194" s="237"/>
      <c r="AO194" s="436">
        <v>169</v>
      </c>
      <c r="AR194" s="3"/>
      <c r="AV194" s="238"/>
      <c r="AW194" s="442">
        <v>169</v>
      </c>
      <c r="AZ194" s="3"/>
      <c r="BD194" s="237"/>
      <c r="BE194" s="436">
        <v>169</v>
      </c>
      <c r="BH194" s="3"/>
      <c r="BL194" s="238"/>
      <c r="BM194" s="442">
        <v>169</v>
      </c>
      <c r="BP194" s="3"/>
      <c r="BT194" s="237"/>
      <c r="BU194" s="436">
        <v>169</v>
      </c>
      <c r="BX194" s="3"/>
      <c r="CB194" s="238"/>
    </row>
    <row r="195" spans="1:80" hidden="1" x14ac:dyDescent="0.25">
      <c r="A195" s="433">
        <v>170</v>
      </c>
      <c r="D195" s="3"/>
      <c r="I195" s="436">
        <v>170</v>
      </c>
      <c r="L195" s="3"/>
      <c r="P195" s="238"/>
      <c r="Q195" s="442">
        <v>170</v>
      </c>
      <c r="T195" s="3"/>
      <c r="X195" s="237"/>
      <c r="Y195" s="436">
        <v>170</v>
      </c>
      <c r="AB195" s="3"/>
      <c r="AF195" s="238"/>
      <c r="AG195" s="442">
        <v>170</v>
      </c>
      <c r="AJ195" s="3"/>
      <c r="AN195" s="237"/>
      <c r="AO195" s="436">
        <v>170</v>
      </c>
      <c r="AR195" s="3"/>
      <c r="AV195" s="238"/>
      <c r="AW195" s="442">
        <v>170</v>
      </c>
      <c r="AZ195" s="3"/>
      <c r="BD195" s="237"/>
      <c r="BE195" s="436">
        <v>170</v>
      </c>
      <c r="BH195" s="3"/>
      <c r="BL195" s="238"/>
      <c r="BM195" s="442">
        <v>170</v>
      </c>
      <c r="BP195" s="3"/>
      <c r="BT195" s="237"/>
      <c r="BU195" s="436">
        <v>170</v>
      </c>
      <c r="BX195" s="3"/>
      <c r="CB195" s="238"/>
    </row>
    <row r="196" spans="1:80" hidden="1" x14ac:dyDescent="0.25">
      <c r="A196" s="433">
        <v>171</v>
      </c>
      <c r="D196" s="3"/>
      <c r="I196" s="436">
        <v>171</v>
      </c>
      <c r="L196" s="3"/>
      <c r="P196" s="238"/>
      <c r="Q196" s="442">
        <v>171</v>
      </c>
      <c r="T196" s="3"/>
      <c r="X196" s="237"/>
      <c r="Y196" s="436">
        <v>171</v>
      </c>
      <c r="AB196" s="3"/>
      <c r="AF196" s="238"/>
      <c r="AG196" s="442">
        <v>171</v>
      </c>
      <c r="AJ196" s="3"/>
      <c r="AN196" s="237"/>
      <c r="AO196" s="436">
        <v>171</v>
      </c>
      <c r="AR196" s="3"/>
      <c r="AV196" s="238"/>
      <c r="AW196" s="442">
        <v>171</v>
      </c>
      <c r="AZ196" s="3"/>
      <c r="BD196" s="237"/>
      <c r="BE196" s="436">
        <v>171</v>
      </c>
      <c r="BH196" s="3"/>
      <c r="BL196" s="238"/>
      <c r="BM196" s="442">
        <v>171</v>
      </c>
      <c r="BP196" s="3"/>
      <c r="BT196" s="237"/>
      <c r="BU196" s="436">
        <v>171</v>
      </c>
      <c r="BX196" s="3"/>
      <c r="CB196" s="238"/>
    </row>
    <row r="197" spans="1:80" hidden="1" x14ac:dyDescent="0.25">
      <c r="A197" s="433">
        <v>172</v>
      </c>
      <c r="D197" s="3"/>
      <c r="I197" s="436">
        <v>172</v>
      </c>
      <c r="L197" s="3"/>
      <c r="P197" s="238"/>
      <c r="Q197" s="442">
        <v>172</v>
      </c>
      <c r="T197" s="3"/>
      <c r="X197" s="237"/>
      <c r="Y197" s="436">
        <v>172</v>
      </c>
      <c r="AB197" s="3"/>
      <c r="AF197" s="238"/>
      <c r="AG197" s="442">
        <v>172</v>
      </c>
      <c r="AJ197" s="3"/>
      <c r="AN197" s="237"/>
      <c r="AO197" s="436">
        <v>172</v>
      </c>
      <c r="AR197" s="3"/>
      <c r="AV197" s="238"/>
      <c r="AW197" s="442">
        <v>172</v>
      </c>
      <c r="AZ197" s="3"/>
      <c r="BD197" s="237"/>
      <c r="BE197" s="436">
        <v>172</v>
      </c>
      <c r="BH197" s="3"/>
      <c r="BL197" s="238"/>
      <c r="BM197" s="442">
        <v>172</v>
      </c>
      <c r="BP197" s="3"/>
      <c r="BT197" s="237"/>
      <c r="BU197" s="436">
        <v>172</v>
      </c>
      <c r="BX197" s="3"/>
      <c r="CB197" s="238"/>
    </row>
    <row r="198" spans="1:80" hidden="1" x14ac:dyDescent="0.25">
      <c r="A198" s="433">
        <v>173</v>
      </c>
      <c r="D198" s="3"/>
      <c r="I198" s="436">
        <v>173</v>
      </c>
      <c r="L198" s="3"/>
      <c r="P198" s="238"/>
      <c r="Q198" s="442">
        <v>173</v>
      </c>
      <c r="T198" s="3"/>
      <c r="X198" s="237"/>
      <c r="Y198" s="436">
        <v>173</v>
      </c>
      <c r="AB198" s="3"/>
      <c r="AF198" s="238"/>
      <c r="AG198" s="442">
        <v>173</v>
      </c>
      <c r="AJ198" s="3"/>
      <c r="AN198" s="237"/>
      <c r="AO198" s="436">
        <v>173</v>
      </c>
      <c r="AR198" s="3"/>
      <c r="AV198" s="238"/>
      <c r="AW198" s="442">
        <v>173</v>
      </c>
      <c r="AZ198" s="3"/>
      <c r="BD198" s="237"/>
      <c r="BE198" s="436">
        <v>173</v>
      </c>
      <c r="BH198" s="3"/>
      <c r="BL198" s="238"/>
      <c r="BM198" s="442">
        <v>173</v>
      </c>
      <c r="BP198" s="3"/>
      <c r="BT198" s="237"/>
      <c r="BU198" s="436">
        <v>173</v>
      </c>
      <c r="BX198" s="3"/>
      <c r="CB198" s="238"/>
    </row>
    <row r="199" spans="1:80" hidden="1" x14ac:dyDescent="0.25">
      <c r="A199" s="433">
        <v>174</v>
      </c>
      <c r="D199" s="3"/>
      <c r="I199" s="436">
        <v>174</v>
      </c>
      <c r="L199" s="3"/>
      <c r="P199" s="238"/>
      <c r="Q199" s="442">
        <v>174</v>
      </c>
      <c r="T199" s="3"/>
      <c r="X199" s="237"/>
      <c r="Y199" s="436">
        <v>174</v>
      </c>
      <c r="AB199" s="3"/>
      <c r="AF199" s="238"/>
      <c r="AG199" s="442">
        <v>174</v>
      </c>
      <c r="AJ199" s="3"/>
      <c r="AN199" s="237"/>
      <c r="AO199" s="436">
        <v>174</v>
      </c>
      <c r="AR199" s="3"/>
      <c r="AV199" s="238"/>
      <c r="AW199" s="442">
        <v>174</v>
      </c>
      <c r="AZ199" s="3"/>
      <c r="BD199" s="237"/>
      <c r="BE199" s="436">
        <v>174</v>
      </c>
      <c r="BH199" s="3"/>
      <c r="BL199" s="238"/>
      <c r="BM199" s="442">
        <v>174</v>
      </c>
      <c r="BP199" s="3"/>
      <c r="BT199" s="237"/>
      <c r="BU199" s="436">
        <v>174</v>
      </c>
      <c r="BX199" s="3"/>
      <c r="CB199" s="238"/>
    </row>
    <row r="200" spans="1:80" hidden="1" x14ac:dyDescent="0.25">
      <c r="A200" s="433">
        <v>175</v>
      </c>
      <c r="D200" s="3"/>
      <c r="I200" s="436">
        <v>175</v>
      </c>
      <c r="L200" s="3"/>
      <c r="P200" s="238"/>
      <c r="Q200" s="442">
        <v>175</v>
      </c>
      <c r="T200" s="3"/>
      <c r="X200" s="237"/>
      <c r="Y200" s="436">
        <v>175</v>
      </c>
      <c r="AB200" s="3"/>
      <c r="AF200" s="238"/>
      <c r="AG200" s="442">
        <v>175</v>
      </c>
      <c r="AJ200" s="3"/>
      <c r="AN200" s="237"/>
      <c r="AO200" s="436">
        <v>175</v>
      </c>
      <c r="AR200" s="3"/>
      <c r="AV200" s="238"/>
      <c r="AW200" s="442">
        <v>175</v>
      </c>
      <c r="AZ200" s="3"/>
      <c r="BD200" s="237"/>
      <c r="BE200" s="436">
        <v>175</v>
      </c>
      <c r="BH200" s="3"/>
      <c r="BL200" s="238"/>
      <c r="BM200" s="442">
        <v>175</v>
      </c>
      <c r="BP200" s="3"/>
      <c r="BT200" s="237"/>
      <c r="BU200" s="436">
        <v>175</v>
      </c>
      <c r="BX200" s="3"/>
      <c r="CB200" s="238"/>
    </row>
    <row r="201" spans="1:80" hidden="1" x14ac:dyDescent="0.25">
      <c r="A201" s="433">
        <v>176</v>
      </c>
      <c r="D201" s="3"/>
      <c r="I201" s="436">
        <v>176</v>
      </c>
      <c r="L201" s="3"/>
      <c r="P201" s="238"/>
      <c r="Q201" s="442">
        <v>176</v>
      </c>
      <c r="T201" s="3"/>
      <c r="X201" s="237"/>
      <c r="Y201" s="436">
        <v>176</v>
      </c>
      <c r="AB201" s="3"/>
      <c r="AF201" s="238"/>
      <c r="AG201" s="442">
        <v>176</v>
      </c>
      <c r="AJ201" s="3"/>
      <c r="AN201" s="237"/>
      <c r="AO201" s="436">
        <v>176</v>
      </c>
      <c r="AR201" s="3"/>
      <c r="AV201" s="238"/>
      <c r="AW201" s="442">
        <v>176</v>
      </c>
      <c r="AZ201" s="3"/>
      <c r="BD201" s="237"/>
      <c r="BE201" s="436">
        <v>176</v>
      </c>
      <c r="BH201" s="3"/>
      <c r="BL201" s="238"/>
      <c r="BM201" s="442">
        <v>176</v>
      </c>
      <c r="BP201" s="3"/>
      <c r="BT201" s="237"/>
      <c r="BU201" s="436">
        <v>176</v>
      </c>
      <c r="BX201" s="3"/>
      <c r="CB201" s="238"/>
    </row>
    <row r="202" spans="1:80" hidden="1" x14ac:dyDescent="0.25">
      <c r="A202" s="433">
        <v>177</v>
      </c>
      <c r="D202" s="3"/>
      <c r="I202" s="436">
        <v>177</v>
      </c>
      <c r="L202" s="3"/>
      <c r="P202" s="238"/>
      <c r="Q202" s="442">
        <v>177</v>
      </c>
      <c r="T202" s="3"/>
      <c r="X202" s="237"/>
      <c r="Y202" s="436">
        <v>177</v>
      </c>
      <c r="AB202" s="3"/>
      <c r="AF202" s="238"/>
      <c r="AG202" s="442">
        <v>177</v>
      </c>
      <c r="AJ202" s="3"/>
      <c r="AN202" s="237"/>
      <c r="AO202" s="436">
        <v>177</v>
      </c>
      <c r="AR202" s="3"/>
      <c r="AV202" s="238"/>
      <c r="AW202" s="442">
        <v>177</v>
      </c>
      <c r="AZ202" s="3"/>
      <c r="BD202" s="237"/>
      <c r="BE202" s="436">
        <v>177</v>
      </c>
      <c r="BH202" s="3"/>
      <c r="BL202" s="238"/>
      <c r="BM202" s="442">
        <v>177</v>
      </c>
      <c r="BP202" s="3"/>
      <c r="BT202" s="237"/>
      <c r="BU202" s="436">
        <v>177</v>
      </c>
      <c r="BX202" s="3"/>
      <c r="CB202" s="238"/>
    </row>
    <row r="203" spans="1:80" hidden="1" x14ac:dyDescent="0.25">
      <c r="A203" s="433">
        <v>178</v>
      </c>
      <c r="D203" s="3"/>
      <c r="I203" s="436">
        <v>178</v>
      </c>
      <c r="L203" s="3"/>
      <c r="P203" s="238"/>
      <c r="Q203" s="442">
        <v>178</v>
      </c>
      <c r="T203" s="3"/>
      <c r="X203" s="237"/>
      <c r="Y203" s="436">
        <v>178</v>
      </c>
      <c r="AB203" s="3"/>
      <c r="AF203" s="238"/>
      <c r="AG203" s="442">
        <v>178</v>
      </c>
      <c r="AJ203" s="3"/>
      <c r="AN203" s="237"/>
      <c r="AO203" s="436">
        <v>178</v>
      </c>
      <c r="AR203" s="3"/>
      <c r="AV203" s="238"/>
      <c r="AW203" s="442">
        <v>178</v>
      </c>
      <c r="AZ203" s="3"/>
      <c r="BD203" s="237"/>
      <c r="BE203" s="436">
        <v>178</v>
      </c>
      <c r="BH203" s="3"/>
      <c r="BL203" s="238"/>
      <c r="BM203" s="442">
        <v>178</v>
      </c>
      <c r="BP203" s="3"/>
      <c r="BT203" s="237"/>
      <c r="BU203" s="436">
        <v>178</v>
      </c>
      <c r="BX203" s="3"/>
      <c r="CB203" s="238"/>
    </row>
    <row r="204" spans="1:80" hidden="1" x14ac:dyDescent="0.25">
      <c r="A204" s="433">
        <v>179</v>
      </c>
      <c r="D204" s="3"/>
      <c r="I204" s="436">
        <v>179</v>
      </c>
      <c r="L204" s="3"/>
      <c r="P204" s="238"/>
      <c r="Q204" s="442">
        <v>179</v>
      </c>
      <c r="T204" s="3"/>
      <c r="X204" s="237"/>
      <c r="Y204" s="436">
        <v>179</v>
      </c>
      <c r="AB204" s="3"/>
      <c r="AF204" s="238"/>
      <c r="AG204" s="442">
        <v>179</v>
      </c>
      <c r="AJ204" s="3"/>
      <c r="AN204" s="237"/>
      <c r="AO204" s="436">
        <v>179</v>
      </c>
      <c r="AR204" s="3"/>
      <c r="AV204" s="238"/>
      <c r="AW204" s="442">
        <v>179</v>
      </c>
      <c r="AZ204" s="3"/>
      <c r="BD204" s="237"/>
      <c r="BE204" s="436">
        <v>179</v>
      </c>
      <c r="BH204" s="3"/>
      <c r="BL204" s="238"/>
      <c r="BM204" s="442">
        <v>179</v>
      </c>
      <c r="BP204" s="3"/>
      <c r="BT204" s="237"/>
      <c r="BU204" s="436">
        <v>179</v>
      </c>
      <c r="BX204" s="3"/>
      <c r="CB204" s="238"/>
    </row>
    <row r="205" spans="1:80" hidden="1" x14ac:dyDescent="0.25">
      <c r="A205" s="433">
        <v>180</v>
      </c>
      <c r="D205" s="3"/>
      <c r="I205" s="436">
        <v>180</v>
      </c>
      <c r="L205" s="3"/>
      <c r="P205" s="238"/>
      <c r="Q205" s="442">
        <v>180</v>
      </c>
      <c r="T205" s="3"/>
      <c r="X205" s="237"/>
      <c r="Y205" s="436">
        <v>180</v>
      </c>
      <c r="AB205" s="3"/>
      <c r="AF205" s="238"/>
      <c r="AG205" s="442">
        <v>180</v>
      </c>
      <c r="AJ205" s="3"/>
      <c r="AN205" s="237"/>
      <c r="AO205" s="436">
        <v>180</v>
      </c>
      <c r="AR205" s="3"/>
      <c r="AV205" s="238"/>
      <c r="AW205" s="442">
        <v>180</v>
      </c>
      <c r="AZ205" s="3"/>
      <c r="BD205" s="237"/>
      <c r="BE205" s="436">
        <v>180</v>
      </c>
      <c r="BH205" s="3"/>
      <c r="BL205" s="238"/>
      <c r="BM205" s="442">
        <v>180</v>
      </c>
      <c r="BP205" s="3"/>
      <c r="BT205" s="237"/>
      <c r="BU205" s="436">
        <v>180</v>
      </c>
      <c r="BX205" s="3"/>
      <c r="CB205" s="238"/>
    </row>
    <row r="206" spans="1:80" hidden="1" x14ac:dyDescent="0.25">
      <c r="A206" s="433">
        <v>181</v>
      </c>
      <c r="D206" s="3"/>
      <c r="I206" s="436">
        <v>181</v>
      </c>
      <c r="L206" s="3"/>
      <c r="P206" s="238"/>
      <c r="Q206" s="442">
        <v>181</v>
      </c>
      <c r="T206" s="3"/>
      <c r="X206" s="237"/>
      <c r="Y206" s="436">
        <v>181</v>
      </c>
      <c r="AB206" s="3"/>
      <c r="AF206" s="238"/>
      <c r="AG206" s="442">
        <v>181</v>
      </c>
      <c r="AJ206" s="3"/>
      <c r="AN206" s="237"/>
      <c r="AO206" s="436">
        <v>181</v>
      </c>
      <c r="AR206" s="3"/>
      <c r="AV206" s="238"/>
      <c r="AW206" s="442">
        <v>181</v>
      </c>
      <c r="AZ206" s="3"/>
      <c r="BD206" s="237"/>
      <c r="BE206" s="436">
        <v>181</v>
      </c>
      <c r="BH206" s="3"/>
      <c r="BL206" s="238"/>
      <c r="BM206" s="442">
        <v>181</v>
      </c>
      <c r="BP206" s="3"/>
      <c r="BT206" s="237"/>
      <c r="BU206" s="436">
        <v>181</v>
      </c>
      <c r="BX206" s="3"/>
      <c r="CB206" s="238"/>
    </row>
    <row r="207" spans="1:80" hidden="1" x14ac:dyDescent="0.25">
      <c r="A207" s="433">
        <v>182</v>
      </c>
      <c r="D207" s="3"/>
      <c r="I207" s="436">
        <v>182</v>
      </c>
      <c r="L207" s="3"/>
      <c r="P207" s="238"/>
      <c r="Q207" s="442">
        <v>182</v>
      </c>
      <c r="T207" s="3"/>
      <c r="X207" s="237"/>
      <c r="Y207" s="436">
        <v>182</v>
      </c>
      <c r="AB207" s="3"/>
      <c r="AF207" s="238"/>
      <c r="AG207" s="442">
        <v>182</v>
      </c>
      <c r="AJ207" s="3"/>
      <c r="AN207" s="237"/>
      <c r="AO207" s="436">
        <v>182</v>
      </c>
      <c r="AR207" s="3"/>
      <c r="AV207" s="238"/>
      <c r="AW207" s="442">
        <v>182</v>
      </c>
      <c r="AZ207" s="3"/>
      <c r="BD207" s="237"/>
      <c r="BE207" s="436">
        <v>182</v>
      </c>
      <c r="BH207" s="3"/>
      <c r="BL207" s="238"/>
      <c r="BM207" s="442">
        <v>182</v>
      </c>
      <c r="BP207" s="3"/>
      <c r="BT207" s="237"/>
      <c r="BU207" s="436">
        <v>182</v>
      </c>
      <c r="BX207" s="3"/>
      <c r="CB207" s="238"/>
    </row>
    <row r="208" spans="1:80" hidden="1" x14ac:dyDescent="0.25">
      <c r="A208" s="433">
        <v>183</v>
      </c>
      <c r="D208" s="3"/>
      <c r="I208" s="436">
        <v>183</v>
      </c>
      <c r="L208" s="3"/>
      <c r="P208" s="238"/>
      <c r="Q208" s="442">
        <v>183</v>
      </c>
      <c r="T208" s="3"/>
      <c r="X208" s="237"/>
      <c r="Y208" s="436">
        <v>183</v>
      </c>
      <c r="AB208" s="3"/>
      <c r="AF208" s="238"/>
      <c r="AG208" s="442">
        <v>183</v>
      </c>
      <c r="AJ208" s="3"/>
      <c r="AN208" s="237"/>
      <c r="AO208" s="436">
        <v>183</v>
      </c>
      <c r="AR208" s="3"/>
      <c r="AV208" s="238"/>
      <c r="AW208" s="442">
        <v>183</v>
      </c>
      <c r="AZ208" s="3"/>
      <c r="BD208" s="237"/>
      <c r="BE208" s="436">
        <v>183</v>
      </c>
      <c r="BH208" s="3"/>
      <c r="BL208" s="238"/>
      <c r="BM208" s="442">
        <v>183</v>
      </c>
      <c r="BP208" s="3"/>
      <c r="BT208" s="237"/>
      <c r="BU208" s="436">
        <v>183</v>
      </c>
      <c r="BX208" s="3"/>
      <c r="CB208" s="238"/>
    </row>
    <row r="209" spans="1:80" hidden="1" x14ac:dyDescent="0.25">
      <c r="A209" s="433">
        <v>184</v>
      </c>
      <c r="D209" s="3"/>
      <c r="I209" s="436">
        <v>184</v>
      </c>
      <c r="L209" s="3"/>
      <c r="P209" s="238"/>
      <c r="Q209" s="442">
        <v>184</v>
      </c>
      <c r="T209" s="3"/>
      <c r="X209" s="237"/>
      <c r="Y209" s="436">
        <v>184</v>
      </c>
      <c r="AB209" s="3"/>
      <c r="AF209" s="238"/>
      <c r="AG209" s="442">
        <v>184</v>
      </c>
      <c r="AJ209" s="3"/>
      <c r="AN209" s="237"/>
      <c r="AO209" s="436">
        <v>184</v>
      </c>
      <c r="AR209" s="3"/>
      <c r="AV209" s="238"/>
      <c r="AW209" s="442">
        <v>184</v>
      </c>
      <c r="AZ209" s="3"/>
      <c r="BD209" s="237"/>
      <c r="BE209" s="436">
        <v>184</v>
      </c>
      <c r="BH209" s="3"/>
      <c r="BL209" s="238"/>
      <c r="BM209" s="442">
        <v>184</v>
      </c>
      <c r="BP209" s="3"/>
      <c r="BT209" s="237"/>
      <c r="BU209" s="436">
        <v>184</v>
      </c>
      <c r="BX209" s="3"/>
      <c r="CB209" s="238"/>
    </row>
    <row r="210" spans="1:80" hidden="1" x14ac:dyDescent="0.25">
      <c r="A210" s="433">
        <v>185</v>
      </c>
      <c r="D210" s="3"/>
      <c r="I210" s="436">
        <v>185</v>
      </c>
      <c r="L210" s="3"/>
      <c r="P210" s="238"/>
      <c r="Q210" s="442">
        <v>185</v>
      </c>
      <c r="T210" s="3"/>
      <c r="X210" s="237"/>
      <c r="Y210" s="436">
        <v>185</v>
      </c>
      <c r="AB210" s="3"/>
      <c r="AF210" s="238"/>
      <c r="AG210" s="442">
        <v>185</v>
      </c>
      <c r="AJ210" s="3"/>
      <c r="AN210" s="237"/>
      <c r="AO210" s="436">
        <v>185</v>
      </c>
      <c r="AR210" s="3"/>
      <c r="AV210" s="238"/>
      <c r="AW210" s="442">
        <v>185</v>
      </c>
      <c r="AZ210" s="3"/>
      <c r="BD210" s="237"/>
      <c r="BE210" s="436">
        <v>185</v>
      </c>
      <c r="BH210" s="3"/>
      <c r="BL210" s="238"/>
      <c r="BM210" s="442">
        <v>185</v>
      </c>
      <c r="BP210" s="3"/>
      <c r="BT210" s="237"/>
      <c r="BU210" s="436">
        <v>185</v>
      </c>
      <c r="BX210" s="3"/>
      <c r="CB210" s="238"/>
    </row>
    <row r="211" spans="1:80" hidden="1" x14ac:dyDescent="0.25">
      <c r="A211" s="433">
        <v>186</v>
      </c>
      <c r="D211" s="3"/>
      <c r="I211" s="436">
        <v>186</v>
      </c>
      <c r="L211" s="3"/>
      <c r="P211" s="238"/>
      <c r="Q211" s="442">
        <v>186</v>
      </c>
      <c r="T211" s="3"/>
      <c r="X211" s="237"/>
      <c r="Y211" s="436">
        <v>186</v>
      </c>
      <c r="AB211" s="3"/>
      <c r="AF211" s="238"/>
      <c r="AG211" s="442">
        <v>186</v>
      </c>
      <c r="AJ211" s="3"/>
      <c r="AN211" s="237"/>
      <c r="AO211" s="436">
        <v>186</v>
      </c>
      <c r="AR211" s="3"/>
      <c r="AV211" s="238"/>
      <c r="AW211" s="442">
        <v>186</v>
      </c>
      <c r="AZ211" s="3"/>
      <c r="BD211" s="237"/>
      <c r="BE211" s="436">
        <v>186</v>
      </c>
      <c r="BH211" s="3"/>
      <c r="BL211" s="238"/>
      <c r="BM211" s="442">
        <v>186</v>
      </c>
      <c r="BP211" s="3"/>
      <c r="BT211" s="237"/>
      <c r="BU211" s="436">
        <v>186</v>
      </c>
      <c r="BX211" s="3"/>
      <c r="CB211" s="238"/>
    </row>
    <row r="212" spans="1:80" hidden="1" x14ac:dyDescent="0.25">
      <c r="A212" s="433">
        <v>187</v>
      </c>
      <c r="D212" s="3"/>
      <c r="I212" s="436">
        <v>187</v>
      </c>
      <c r="L212" s="3"/>
      <c r="P212" s="238"/>
      <c r="Q212" s="442">
        <v>187</v>
      </c>
      <c r="T212" s="3"/>
      <c r="X212" s="237"/>
      <c r="Y212" s="436">
        <v>187</v>
      </c>
      <c r="AB212" s="3"/>
      <c r="AF212" s="238"/>
      <c r="AG212" s="442">
        <v>187</v>
      </c>
      <c r="AJ212" s="3"/>
      <c r="AN212" s="237"/>
      <c r="AO212" s="436">
        <v>187</v>
      </c>
      <c r="AR212" s="3"/>
      <c r="AV212" s="238"/>
      <c r="AW212" s="442">
        <v>187</v>
      </c>
      <c r="AZ212" s="3"/>
      <c r="BD212" s="237"/>
      <c r="BE212" s="436">
        <v>187</v>
      </c>
      <c r="BH212" s="3"/>
      <c r="BL212" s="238"/>
      <c r="BM212" s="442">
        <v>187</v>
      </c>
      <c r="BP212" s="3"/>
      <c r="BT212" s="237"/>
      <c r="BU212" s="436">
        <v>187</v>
      </c>
      <c r="BX212" s="3"/>
      <c r="CB212" s="238"/>
    </row>
    <row r="213" spans="1:80" hidden="1" x14ac:dyDescent="0.25">
      <c r="A213" s="433">
        <v>188</v>
      </c>
      <c r="D213" s="3"/>
      <c r="I213" s="436">
        <v>188</v>
      </c>
      <c r="L213" s="3"/>
      <c r="P213" s="238"/>
      <c r="Q213" s="442">
        <v>188</v>
      </c>
      <c r="T213" s="3"/>
      <c r="X213" s="237"/>
      <c r="Y213" s="436">
        <v>188</v>
      </c>
      <c r="AB213" s="3"/>
      <c r="AF213" s="238"/>
      <c r="AG213" s="442">
        <v>188</v>
      </c>
      <c r="AJ213" s="3"/>
      <c r="AN213" s="237"/>
      <c r="AO213" s="436">
        <v>188</v>
      </c>
      <c r="AR213" s="3"/>
      <c r="AV213" s="238"/>
      <c r="AW213" s="442">
        <v>188</v>
      </c>
      <c r="AZ213" s="3"/>
      <c r="BD213" s="237"/>
      <c r="BE213" s="436">
        <v>188</v>
      </c>
      <c r="BH213" s="3"/>
      <c r="BL213" s="238"/>
      <c r="BM213" s="442">
        <v>188</v>
      </c>
      <c r="BP213" s="3"/>
      <c r="BT213" s="237"/>
      <c r="BU213" s="436">
        <v>188</v>
      </c>
      <c r="BX213" s="3"/>
      <c r="CB213" s="238"/>
    </row>
    <row r="214" spans="1:80" hidden="1" x14ac:dyDescent="0.25">
      <c r="A214" s="433">
        <v>189</v>
      </c>
      <c r="D214" s="3"/>
      <c r="I214" s="436">
        <v>189</v>
      </c>
      <c r="L214" s="3"/>
      <c r="P214" s="238"/>
      <c r="Q214" s="442">
        <v>189</v>
      </c>
      <c r="T214" s="3"/>
      <c r="X214" s="237"/>
      <c r="Y214" s="436">
        <v>189</v>
      </c>
      <c r="AB214" s="3"/>
      <c r="AF214" s="238"/>
      <c r="AG214" s="442">
        <v>189</v>
      </c>
      <c r="AJ214" s="3"/>
      <c r="AN214" s="237"/>
      <c r="AO214" s="436">
        <v>189</v>
      </c>
      <c r="AR214" s="3"/>
      <c r="AV214" s="238"/>
      <c r="AW214" s="442">
        <v>189</v>
      </c>
      <c r="AZ214" s="3"/>
      <c r="BD214" s="237"/>
      <c r="BE214" s="436">
        <v>189</v>
      </c>
      <c r="BH214" s="3"/>
      <c r="BL214" s="238"/>
      <c r="BM214" s="442">
        <v>189</v>
      </c>
      <c r="BP214" s="3"/>
      <c r="BT214" s="237"/>
      <c r="BU214" s="436">
        <v>189</v>
      </c>
      <c r="BX214" s="3"/>
      <c r="CB214" s="238"/>
    </row>
    <row r="215" spans="1:80" hidden="1" x14ac:dyDescent="0.25">
      <c r="A215" s="433">
        <v>190</v>
      </c>
      <c r="D215" s="3"/>
      <c r="I215" s="436">
        <v>190</v>
      </c>
      <c r="L215" s="3"/>
      <c r="P215" s="238"/>
      <c r="Q215" s="442">
        <v>190</v>
      </c>
      <c r="T215" s="3"/>
      <c r="X215" s="237"/>
      <c r="Y215" s="436">
        <v>190</v>
      </c>
      <c r="AB215" s="3"/>
      <c r="AF215" s="238"/>
      <c r="AG215" s="442">
        <v>190</v>
      </c>
      <c r="AJ215" s="3"/>
      <c r="AN215" s="237"/>
      <c r="AO215" s="436">
        <v>190</v>
      </c>
      <c r="AR215" s="3"/>
      <c r="AV215" s="238"/>
      <c r="AW215" s="442">
        <v>190</v>
      </c>
      <c r="AZ215" s="3"/>
      <c r="BD215" s="237"/>
      <c r="BE215" s="436">
        <v>190</v>
      </c>
      <c r="BH215" s="3"/>
      <c r="BL215" s="238"/>
      <c r="BM215" s="442">
        <v>190</v>
      </c>
      <c r="BP215" s="3"/>
      <c r="BT215" s="237"/>
      <c r="BU215" s="436">
        <v>190</v>
      </c>
      <c r="BX215" s="3"/>
      <c r="CB215" s="238"/>
    </row>
    <row r="216" spans="1:80" hidden="1" x14ac:dyDescent="0.25">
      <c r="A216" s="433">
        <v>191</v>
      </c>
      <c r="D216" s="3"/>
      <c r="I216" s="436">
        <v>191</v>
      </c>
      <c r="L216" s="3"/>
      <c r="P216" s="238"/>
      <c r="Q216" s="442">
        <v>191</v>
      </c>
      <c r="T216" s="3"/>
      <c r="X216" s="237"/>
      <c r="Y216" s="436">
        <v>191</v>
      </c>
      <c r="AB216" s="3"/>
      <c r="AF216" s="238"/>
      <c r="AG216" s="442">
        <v>191</v>
      </c>
      <c r="AJ216" s="3"/>
      <c r="AN216" s="237"/>
      <c r="AO216" s="436">
        <v>191</v>
      </c>
      <c r="AR216" s="3"/>
      <c r="AV216" s="238"/>
      <c r="AW216" s="442">
        <v>191</v>
      </c>
      <c r="AZ216" s="3"/>
      <c r="BD216" s="237"/>
      <c r="BE216" s="436">
        <v>191</v>
      </c>
      <c r="BH216" s="3"/>
      <c r="BL216" s="238"/>
      <c r="BM216" s="442">
        <v>191</v>
      </c>
      <c r="BP216" s="3"/>
      <c r="BT216" s="237"/>
      <c r="BU216" s="436">
        <v>191</v>
      </c>
      <c r="BX216" s="3"/>
      <c r="CB216" s="238"/>
    </row>
    <row r="217" spans="1:80" hidden="1" x14ac:dyDescent="0.25">
      <c r="A217" s="433">
        <v>192</v>
      </c>
      <c r="D217" s="3"/>
      <c r="I217" s="436">
        <v>192</v>
      </c>
      <c r="L217" s="3"/>
      <c r="P217" s="238"/>
      <c r="Q217" s="442">
        <v>192</v>
      </c>
      <c r="T217" s="3"/>
      <c r="X217" s="237"/>
      <c r="Y217" s="436">
        <v>192</v>
      </c>
      <c r="AB217" s="3"/>
      <c r="AF217" s="238"/>
      <c r="AG217" s="442">
        <v>192</v>
      </c>
      <c r="AJ217" s="3"/>
      <c r="AN217" s="237"/>
      <c r="AO217" s="436">
        <v>192</v>
      </c>
      <c r="AR217" s="3"/>
      <c r="AV217" s="238"/>
      <c r="AW217" s="442">
        <v>192</v>
      </c>
      <c r="AZ217" s="3"/>
      <c r="BD217" s="237"/>
      <c r="BE217" s="436">
        <v>192</v>
      </c>
      <c r="BH217" s="3"/>
      <c r="BL217" s="238"/>
      <c r="BM217" s="442">
        <v>192</v>
      </c>
      <c r="BP217" s="3"/>
      <c r="BT217" s="237"/>
      <c r="BU217" s="436">
        <v>192</v>
      </c>
      <c r="BX217" s="3"/>
      <c r="CB217" s="238"/>
    </row>
    <row r="218" spans="1:80" hidden="1" x14ac:dyDescent="0.25">
      <c r="A218" s="433">
        <v>193</v>
      </c>
      <c r="D218" s="3"/>
      <c r="I218" s="436">
        <v>193</v>
      </c>
      <c r="L218" s="3"/>
      <c r="P218" s="238"/>
      <c r="Q218" s="442">
        <v>193</v>
      </c>
      <c r="T218" s="3"/>
      <c r="X218" s="237"/>
      <c r="Y218" s="436">
        <v>193</v>
      </c>
      <c r="AB218" s="3"/>
      <c r="AF218" s="238"/>
      <c r="AG218" s="442">
        <v>193</v>
      </c>
      <c r="AJ218" s="3"/>
      <c r="AN218" s="237"/>
      <c r="AO218" s="436">
        <v>193</v>
      </c>
      <c r="AR218" s="3"/>
      <c r="AV218" s="238"/>
      <c r="AW218" s="442">
        <v>193</v>
      </c>
      <c r="AZ218" s="3"/>
      <c r="BD218" s="237"/>
      <c r="BE218" s="436">
        <v>193</v>
      </c>
      <c r="BH218" s="3"/>
      <c r="BL218" s="238"/>
      <c r="BM218" s="442">
        <v>193</v>
      </c>
      <c r="BP218" s="3"/>
      <c r="BT218" s="237"/>
      <c r="BU218" s="436">
        <v>193</v>
      </c>
      <c r="BX218" s="3"/>
      <c r="CB218" s="238"/>
    </row>
    <row r="219" spans="1:80" hidden="1" x14ac:dyDescent="0.25">
      <c r="A219" s="433">
        <v>194</v>
      </c>
      <c r="D219" s="3"/>
      <c r="I219" s="436">
        <v>194</v>
      </c>
      <c r="L219" s="3"/>
      <c r="P219" s="238"/>
      <c r="Q219" s="442">
        <v>194</v>
      </c>
      <c r="T219" s="3"/>
      <c r="X219" s="237"/>
      <c r="Y219" s="436">
        <v>194</v>
      </c>
      <c r="AB219" s="3"/>
      <c r="AF219" s="238"/>
      <c r="AG219" s="442">
        <v>194</v>
      </c>
      <c r="AJ219" s="3"/>
      <c r="AN219" s="237"/>
      <c r="AO219" s="436">
        <v>194</v>
      </c>
      <c r="AR219" s="3"/>
      <c r="AV219" s="238"/>
      <c r="AW219" s="442">
        <v>194</v>
      </c>
      <c r="AZ219" s="3"/>
      <c r="BD219" s="237"/>
      <c r="BE219" s="436">
        <v>194</v>
      </c>
      <c r="BH219" s="3"/>
      <c r="BL219" s="238"/>
      <c r="BM219" s="442">
        <v>194</v>
      </c>
      <c r="BP219" s="3"/>
      <c r="BT219" s="237"/>
      <c r="BU219" s="436">
        <v>194</v>
      </c>
      <c r="BX219" s="3"/>
      <c r="CB219" s="238"/>
    </row>
    <row r="220" spans="1:80" hidden="1" x14ac:dyDescent="0.25">
      <c r="A220" s="433">
        <v>195</v>
      </c>
      <c r="D220" s="3"/>
      <c r="I220" s="436">
        <v>195</v>
      </c>
      <c r="L220" s="3"/>
      <c r="P220" s="238"/>
      <c r="Q220" s="442">
        <v>195</v>
      </c>
      <c r="T220" s="3"/>
      <c r="X220" s="237"/>
      <c r="Y220" s="436">
        <v>195</v>
      </c>
      <c r="AB220" s="3"/>
      <c r="AF220" s="238"/>
      <c r="AG220" s="442">
        <v>195</v>
      </c>
      <c r="AJ220" s="3"/>
      <c r="AN220" s="237"/>
      <c r="AO220" s="436">
        <v>195</v>
      </c>
      <c r="AR220" s="3"/>
      <c r="AV220" s="238"/>
      <c r="AW220" s="442">
        <v>195</v>
      </c>
      <c r="AZ220" s="3"/>
      <c r="BD220" s="237"/>
      <c r="BE220" s="436">
        <v>195</v>
      </c>
      <c r="BH220" s="3"/>
      <c r="BL220" s="238"/>
      <c r="BM220" s="442">
        <v>195</v>
      </c>
      <c r="BP220" s="3"/>
      <c r="BT220" s="237"/>
      <c r="BU220" s="436">
        <v>195</v>
      </c>
      <c r="BX220" s="3"/>
      <c r="CB220" s="238"/>
    </row>
    <row r="221" spans="1:80" hidden="1" x14ac:dyDescent="0.25">
      <c r="A221" s="433">
        <v>196</v>
      </c>
      <c r="D221" s="3"/>
      <c r="I221" s="436">
        <v>196</v>
      </c>
      <c r="L221" s="3"/>
      <c r="P221" s="238"/>
      <c r="Q221" s="442">
        <v>196</v>
      </c>
      <c r="T221" s="3"/>
      <c r="X221" s="237"/>
      <c r="Y221" s="436">
        <v>196</v>
      </c>
      <c r="AB221" s="3"/>
      <c r="AF221" s="238"/>
      <c r="AG221" s="442">
        <v>196</v>
      </c>
      <c r="AJ221" s="3"/>
      <c r="AN221" s="237"/>
      <c r="AO221" s="436">
        <v>196</v>
      </c>
      <c r="AR221" s="3"/>
      <c r="AV221" s="238"/>
      <c r="AW221" s="442">
        <v>196</v>
      </c>
      <c r="AZ221" s="3"/>
      <c r="BD221" s="237"/>
      <c r="BE221" s="436">
        <v>196</v>
      </c>
      <c r="BH221" s="3"/>
      <c r="BL221" s="238"/>
      <c r="BM221" s="442">
        <v>196</v>
      </c>
      <c r="BP221" s="3"/>
      <c r="BT221" s="237"/>
      <c r="BU221" s="436">
        <v>196</v>
      </c>
      <c r="BX221" s="3"/>
      <c r="CB221" s="238"/>
    </row>
    <row r="222" spans="1:80" hidden="1" x14ac:dyDescent="0.25">
      <c r="A222" s="433">
        <v>197</v>
      </c>
      <c r="D222" s="3"/>
      <c r="I222" s="436">
        <v>197</v>
      </c>
      <c r="L222" s="3"/>
      <c r="P222" s="238"/>
      <c r="Q222" s="442">
        <v>197</v>
      </c>
      <c r="T222" s="3"/>
      <c r="X222" s="237"/>
      <c r="Y222" s="436">
        <v>197</v>
      </c>
      <c r="AB222" s="3"/>
      <c r="AF222" s="238"/>
      <c r="AG222" s="442">
        <v>197</v>
      </c>
      <c r="AJ222" s="3"/>
      <c r="AN222" s="237"/>
      <c r="AO222" s="436">
        <v>197</v>
      </c>
      <c r="AR222" s="3"/>
      <c r="AV222" s="238"/>
      <c r="AW222" s="442">
        <v>197</v>
      </c>
      <c r="AZ222" s="3"/>
      <c r="BD222" s="237"/>
      <c r="BE222" s="436">
        <v>197</v>
      </c>
      <c r="BH222" s="3"/>
      <c r="BL222" s="238"/>
      <c r="BM222" s="442">
        <v>197</v>
      </c>
      <c r="BP222" s="3"/>
      <c r="BT222" s="237"/>
      <c r="BU222" s="436">
        <v>197</v>
      </c>
      <c r="BX222" s="3"/>
      <c r="CB222" s="238"/>
    </row>
    <row r="223" spans="1:80" hidden="1" x14ac:dyDescent="0.25">
      <c r="A223" s="433">
        <v>198</v>
      </c>
      <c r="D223" s="3"/>
      <c r="I223" s="436">
        <v>198</v>
      </c>
      <c r="L223" s="3"/>
      <c r="P223" s="238"/>
      <c r="Q223" s="442">
        <v>198</v>
      </c>
      <c r="T223" s="3"/>
      <c r="X223" s="237"/>
      <c r="Y223" s="436">
        <v>198</v>
      </c>
      <c r="AB223" s="3"/>
      <c r="AF223" s="238"/>
      <c r="AG223" s="442">
        <v>198</v>
      </c>
      <c r="AJ223" s="3"/>
      <c r="AN223" s="237"/>
      <c r="AO223" s="436">
        <v>198</v>
      </c>
      <c r="AR223" s="3"/>
      <c r="AV223" s="238"/>
      <c r="AW223" s="442">
        <v>198</v>
      </c>
      <c r="AZ223" s="3"/>
      <c r="BD223" s="237"/>
      <c r="BE223" s="436">
        <v>198</v>
      </c>
      <c r="BH223" s="3"/>
      <c r="BL223" s="238"/>
      <c r="BM223" s="442">
        <v>198</v>
      </c>
      <c r="BP223" s="3"/>
      <c r="BT223" s="237"/>
      <c r="BU223" s="436">
        <v>198</v>
      </c>
      <c r="BX223" s="3"/>
      <c r="CB223" s="238"/>
    </row>
    <row r="224" spans="1:80" hidden="1" x14ac:dyDescent="0.25">
      <c r="A224" s="433">
        <v>199</v>
      </c>
      <c r="D224" s="3"/>
      <c r="I224" s="436">
        <v>199</v>
      </c>
      <c r="L224" s="3"/>
      <c r="P224" s="238"/>
      <c r="Q224" s="442">
        <v>199</v>
      </c>
      <c r="T224" s="3"/>
      <c r="X224" s="237"/>
      <c r="Y224" s="436">
        <v>199</v>
      </c>
      <c r="AB224" s="3"/>
      <c r="AF224" s="238"/>
      <c r="AG224" s="442">
        <v>199</v>
      </c>
      <c r="AJ224" s="3"/>
      <c r="AN224" s="237"/>
      <c r="AO224" s="436">
        <v>199</v>
      </c>
      <c r="AR224" s="3"/>
      <c r="AV224" s="238"/>
      <c r="AW224" s="442">
        <v>199</v>
      </c>
      <c r="AZ224" s="3"/>
      <c r="BD224" s="237"/>
      <c r="BE224" s="436">
        <v>199</v>
      </c>
      <c r="BH224" s="3"/>
      <c r="BL224" s="238"/>
      <c r="BM224" s="442">
        <v>199</v>
      </c>
      <c r="BP224" s="3"/>
      <c r="BT224" s="237"/>
      <c r="BU224" s="436">
        <v>199</v>
      </c>
      <c r="BX224" s="3"/>
      <c r="CB224" s="238"/>
    </row>
    <row r="225" spans="1:80" hidden="1" x14ac:dyDescent="0.25">
      <c r="A225" s="433">
        <v>200</v>
      </c>
      <c r="D225" s="3"/>
      <c r="I225" s="436">
        <v>200</v>
      </c>
      <c r="L225" s="3"/>
      <c r="P225" s="238"/>
      <c r="Q225" s="442">
        <v>200</v>
      </c>
      <c r="T225" s="3"/>
      <c r="X225" s="237"/>
      <c r="Y225" s="436">
        <v>200</v>
      </c>
      <c r="AB225" s="3"/>
      <c r="AF225" s="238"/>
      <c r="AG225" s="442">
        <v>200</v>
      </c>
      <c r="AJ225" s="3"/>
      <c r="AN225" s="237"/>
      <c r="AO225" s="436">
        <v>200</v>
      </c>
      <c r="AR225" s="3"/>
      <c r="AV225" s="238"/>
      <c r="AW225" s="442">
        <v>200</v>
      </c>
      <c r="AZ225" s="3"/>
      <c r="BD225" s="237"/>
      <c r="BE225" s="436">
        <v>200</v>
      </c>
      <c r="BH225" s="3"/>
      <c r="BL225" s="238"/>
      <c r="BM225" s="442">
        <v>200</v>
      </c>
      <c r="BP225" s="3"/>
      <c r="BT225" s="237"/>
      <c r="BU225" s="436">
        <v>200</v>
      </c>
      <c r="BX225" s="3"/>
      <c r="CB225" s="238"/>
    </row>
    <row r="226" spans="1:80" hidden="1" x14ac:dyDescent="0.25">
      <c r="A226" s="433">
        <v>201</v>
      </c>
      <c r="D226" s="3"/>
      <c r="I226" s="436">
        <v>201</v>
      </c>
      <c r="L226" s="3"/>
      <c r="P226" s="238"/>
      <c r="Q226" s="442">
        <v>201</v>
      </c>
      <c r="T226" s="3"/>
      <c r="X226" s="237"/>
      <c r="Y226" s="436">
        <v>201</v>
      </c>
      <c r="AB226" s="3"/>
      <c r="AF226" s="238"/>
      <c r="AG226" s="442">
        <v>201</v>
      </c>
      <c r="AJ226" s="3"/>
      <c r="AN226" s="237"/>
      <c r="AO226" s="436">
        <v>201</v>
      </c>
      <c r="AR226" s="3"/>
      <c r="AV226" s="238"/>
      <c r="AW226" s="442">
        <v>201</v>
      </c>
      <c r="AZ226" s="3"/>
      <c r="BD226" s="237"/>
      <c r="BE226" s="436">
        <v>201</v>
      </c>
      <c r="BH226" s="3"/>
      <c r="BL226" s="238"/>
      <c r="BM226" s="442">
        <v>201</v>
      </c>
      <c r="BP226" s="3"/>
      <c r="BT226" s="237"/>
      <c r="BU226" s="436">
        <v>201</v>
      </c>
      <c r="BX226" s="3"/>
      <c r="CB226" s="238"/>
    </row>
    <row r="227" spans="1:80" hidden="1" x14ac:dyDescent="0.25">
      <c r="A227" s="433">
        <v>202</v>
      </c>
      <c r="D227" s="3"/>
      <c r="I227" s="436">
        <v>202</v>
      </c>
      <c r="L227" s="3"/>
      <c r="P227" s="238"/>
      <c r="Q227" s="442">
        <v>202</v>
      </c>
      <c r="T227" s="3"/>
      <c r="X227" s="237"/>
      <c r="Y227" s="436">
        <v>202</v>
      </c>
      <c r="AB227" s="3"/>
      <c r="AF227" s="238"/>
      <c r="AG227" s="442">
        <v>202</v>
      </c>
      <c r="AJ227" s="3"/>
      <c r="AN227" s="237"/>
      <c r="AO227" s="436">
        <v>202</v>
      </c>
      <c r="AR227" s="3"/>
      <c r="AV227" s="238"/>
      <c r="AW227" s="442">
        <v>202</v>
      </c>
      <c r="AZ227" s="3"/>
      <c r="BD227" s="237"/>
      <c r="BE227" s="436">
        <v>202</v>
      </c>
      <c r="BH227" s="3"/>
      <c r="BL227" s="238"/>
      <c r="BM227" s="442">
        <v>202</v>
      </c>
      <c r="BP227" s="3"/>
      <c r="BT227" s="237"/>
      <c r="BU227" s="436">
        <v>202</v>
      </c>
      <c r="BX227" s="3"/>
      <c r="CB227" s="238"/>
    </row>
    <row r="228" spans="1:80" hidden="1" x14ac:dyDescent="0.25">
      <c r="A228" s="433">
        <v>203</v>
      </c>
      <c r="D228" s="3"/>
      <c r="I228" s="436">
        <v>203</v>
      </c>
      <c r="L228" s="3"/>
      <c r="P228" s="238"/>
      <c r="Q228" s="442">
        <v>203</v>
      </c>
      <c r="T228" s="3"/>
      <c r="X228" s="237"/>
      <c r="Y228" s="436">
        <v>203</v>
      </c>
      <c r="AB228" s="3"/>
      <c r="AF228" s="238"/>
      <c r="AG228" s="442">
        <v>203</v>
      </c>
      <c r="AJ228" s="3"/>
      <c r="AN228" s="237"/>
      <c r="AO228" s="436">
        <v>203</v>
      </c>
      <c r="AR228" s="3"/>
      <c r="AV228" s="238"/>
      <c r="AW228" s="442">
        <v>203</v>
      </c>
      <c r="AZ228" s="3"/>
      <c r="BD228" s="237"/>
      <c r="BE228" s="436">
        <v>203</v>
      </c>
      <c r="BH228" s="3"/>
      <c r="BL228" s="238"/>
      <c r="BM228" s="442">
        <v>203</v>
      </c>
      <c r="BP228" s="3"/>
      <c r="BT228" s="237"/>
      <c r="BU228" s="436">
        <v>203</v>
      </c>
      <c r="BX228" s="3"/>
      <c r="CB228" s="238"/>
    </row>
    <row r="229" spans="1:80" hidden="1" x14ac:dyDescent="0.25">
      <c r="A229" s="433">
        <v>204</v>
      </c>
      <c r="D229" s="3"/>
      <c r="I229" s="436">
        <v>204</v>
      </c>
      <c r="L229" s="3"/>
      <c r="P229" s="238"/>
      <c r="Q229" s="442">
        <v>204</v>
      </c>
      <c r="T229" s="3"/>
      <c r="X229" s="237"/>
      <c r="Y229" s="436">
        <v>204</v>
      </c>
      <c r="AB229" s="3"/>
      <c r="AF229" s="238"/>
      <c r="AG229" s="442">
        <v>204</v>
      </c>
      <c r="AJ229" s="3"/>
      <c r="AN229" s="237"/>
      <c r="AO229" s="436">
        <v>204</v>
      </c>
      <c r="AR229" s="3"/>
      <c r="AV229" s="238"/>
      <c r="AW229" s="442">
        <v>204</v>
      </c>
      <c r="AZ229" s="3"/>
      <c r="BD229" s="237"/>
      <c r="BE229" s="436">
        <v>204</v>
      </c>
      <c r="BH229" s="3"/>
      <c r="BL229" s="238"/>
      <c r="BM229" s="442">
        <v>204</v>
      </c>
      <c r="BP229" s="3"/>
      <c r="BT229" s="237"/>
      <c r="BU229" s="436">
        <v>204</v>
      </c>
      <c r="BX229" s="3"/>
      <c r="CB229" s="238"/>
    </row>
    <row r="230" spans="1:80" hidden="1" x14ac:dyDescent="0.25">
      <c r="A230" s="433">
        <v>205</v>
      </c>
      <c r="D230" s="3"/>
      <c r="I230" s="436">
        <v>205</v>
      </c>
      <c r="L230" s="3"/>
      <c r="P230" s="238"/>
      <c r="Q230" s="442">
        <v>205</v>
      </c>
      <c r="T230" s="3"/>
      <c r="X230" s="237"/>
      <c r="Y230" s="436">
        <v>205</v>
      </c>
      <c r="AB230" s="3"/>
      <c r="AF230" s="238"/>
      <c r="AG230" s="442">
        <v>205</v>
      </c>
      <c r="AJ230" s="3"/>
      <c r="AN230" s="237"/>
      <c r="AO230" s="436">
        <v>205</v>
      </c>
      <c r="AR230" s="3"/>
      <c r="AV230" s="238"/>
      <c r="AW230" s="442">
        <v>205</v>
      </c>
      <c r="AZ230" s="3"/>
      <c r="BD230" s="237"/>
      <c r="BE230" s="436">
        <v>205</v>
      </c>
      <c r="BH230" s="3"/>
      <c r="BL230" s="238"/>
      <c r="BM230" s="442">
        <v>205</v>
      </c>
      <c r="BP230" s="3"/>
      <c r="BT230" s="237"/>
      <c r="BU230" s="436">
        <v>205</v>
      </c>
      <c r="BX230" s="3"/>
      <c r="CB230" s="238"/>
    </row>
    <row r="231" spans="1:80" hidden="1" x14ac:dyDescent="0.25">
      <c r="A231" s="433">
        <v>206</v>
      </c>
      <c r="D231" s="3"/>
      <c r="I231" s="436">
        <v>206</v>
      </c>
      <c r="L231" s="3"/>
      <c r="P231" s="238"/>
      <c r="Q231" s="442">
        <v>206</v>
      </c>
      <c r="T231" s="3"/>
      <c r="X231" s="237"/>
      <c r="Y231" s="436">
        <v>206</v>
      </c>
      <c r="AB231" s="3"/>
      <c r="AF231" s="238"/>
      <c r="AG231" s="442">
        <v>206</v>
      </c>
      <c r="AJ231" s="3"/>
      <c r="AN231" s="237"/>
      <c r="AO231" s="436">
        <v>206</v>
      </c>
      <c r="AR231" s="3"/>
      <c r="AV231" s="238"/>
      <c r="AW231" s="442">
        <v>206</v>
      </c>
      <c r="AZ231" s="3"/>
      <c r="BD231" s="237"/>
      <c r="BE231" s="436">
        <v>206</v>
      </c>
      <c r="BH231" s="3"/>
      <c r="BL231" s="238"/>
      <c r="BM231" s="442">
        <v>206</v>
      </c>
      <c r="BP231" s="3"/>
      <c r="BT231" s="237"/>
      <c r="BU231" s="436">
        <v>206</v>
      </c>
      <c r="BX231" s="3"/>
      <c r="CB231" s="238"/>
    </row>
    <row r="232" spans="1:80" hidden="1" x14ac:dyDescent="0.25">
      <c r="A232" s="433">
        <v>207</v>
      </c>
      <c r="D232" s="3"/>
      <c r="I232" s="436">
        <v>207</v>
      </c>
      <c r="L232" s="3"/>
      <c r="P232" s="238"/>
      <c r="Q232" s="442">
        <v>207</v>
      </c>
      <c r="T232" s="3"/>
      <c r="X232" s="237"/>
      <c r="Y232" s="436">
        <v>207</v>
      </c>
      <c r="AB232" s="3"/>
      <c r="AF232" s="238"/>
      <c r="AG232" s="442">
        <v>207</v>
      </c>
      <c r="AJ232" s="3"/>
      <c r="AN232" s="237"/>
      <c r="AO232" s="436">
        <v>207</v>
      </c>
      <c r="AR232" s="3"/>
      <c r="AV232" s="238"/>
      <c r="AW232" s="442">
        <v>207</v>
      </c>
      <c r="AZ232" s="3"/>
      <c r="BD232" s="237"/>
      <c r="BE232" s="436">
        <v>207</v>
      </c>
      <c r="BH232" s="3"/>
      <c r="BL232" s="238"/>
      <c r="BM232" s="442">
        <v>207</v>
      </c>
      <c r="BP232" s="3"/>
      <c r="BT232" s="237"/>
      <c r="BU232" s="436">
        <v>207</v>
      </c>
      <c r="BX232" s="3"/>
      <c r="CB232" s="238"/>
    </row>
    <row r="233" spans="1:80" hidden="1" x14ac:dyDescent="0.25">
      <c r="A233" s="433">
        <v>208</v>
      </c>
      <c r="D233" s="3"/>
      <c r="I233" s="436">
        <v>208</v>
      </c>
      <c r="L233" s="3"/>
      <c r="P233" s="238"/>
      <c r="Q233" s="442">
        <v>208</v>
      </c>
      <c r="T233" s="3"/>
      <c r="X233" s="237"/>
      <c r="Y233" s="436">
        <v>208</v>
      </c>
      <c r="AB233" s="3"/>
      <c r="AF233" s="238"/>
      <c r="AG233" s="442">
        <v>208</v>
      </c>
      <c r="AJ233" s="3"/>
      <c r="AN233" s="237"/>
      <c r="AO233" s="436">
        <v>208</v>
      </c>
      <c r="AR233" s="3"/>
      <c r="AV233" s="238"/>
      <c r="AW233" s="442">
        <v>208</v>
      </c>
      <c r="AZ233" s="3"/>
      <c r="BD233" s="237"/>
      <c r="BE233" s="436">
        <v>208</v>
      </c>
      <c r="BH233" s="3"/>
      <c r="BL233" s="238"/>
      <c r="BM233" s="442">
        <v>208</v>
      </c>
      <c r="BP233" s="3"/>
      <c r="BT233" s="237"/>
      <c r="BU233" s="436">
        <v>208</v>
      </c>
      <c r="BX233" s="3"/>
      <c r="CB233" s="238"/>
    </row>
    <row r="234" spans="1:80" hidden="1" x14ac:dyDescent="0.25">
      <c r="A234" s="433">
        <v>209</v>
      </c>
      <c r="D234" s="3"/>
      <c r="I234" s="436">
        <v>209</v>
      </c>
      <c r="L234" s="3"/>
      <c r="P234" s="238"/>
      <c r="Q234" s="442">
        <v>209</v>
      </c>
      <c r="T234" s="3"/>
      <c r="X234" s="237"/>
      <c r="Y234" s="436">
        <v>209</v>
      </c>
      <c r="AB234" s="3"/>
      <c r="AF234" s="238"/>
      <c r="AG234" s="442">
        <v>209</v>
      </c>
      <c r="AJ234" s="3"/>
      <c r="AN234" s="237"/>
      <c r="AO234" s="436">
        <v>209</v>
      </c>
      <c r="AR234" s="3"/>
      <c r="AV234" s="238"/>
      <c r="AW234" s="442">
        <v>209</v>
      </c>
      <c r="AZ234" s="3"/>
      <c r="BD234" s="237"/>
      <c r="BE234" s="436">
        <v>209</v>
      </c>
      <c r="BH234" s="3"/>
      <c r="BL234" s="238"/>
      <c r="BM234" s="442">
        <v>209</v>
      </c>
      <c r="BP234" s="3"/>
      <c r="BT234" s="237"/>
      <c r="BU234" s="436">
        <v>209</v>
      </c>
      <c r="BX234" s="3"/>
      <c r="CB234" s="238"/>
    </row>
    <row r="235" spans="1:80" hidden="1" x14ac:dyDescent="0.25">
      <c r="A235" s="433">
        <v>210</v>
      </c>
      <c r="D235" s="3"/>
      <c r="I235" s="436">
        <v>210</v>
      </c>
      <c r="L235" s="3"/>
      <c r="P235" s="238"/>
      <c r="Q235" s="442">
        <v>210</v>
      </c>
      <c r="T235" s="3"/>
      <c r="X235" s="237"/>
      <c r="Y235" s="436">
        <v>210</v>
      </c>
      <c r="AB235" s="3"/>
      <c r="AF235" s="238"/>
      <c r="AG235" s="442">
        <v>210</v>
      </c>
      <c r="AJ235" s="3"/>
      <c r="AN235" s="237"/>
      <c r="AO235" s="436">
        <v>210</v>
      </c>
      <c r="AR235" s="3"/>
      <c r="AV235" s="238"/>
      <c r="AW235" s="442">
        <v>210</v>
      </c>
      <c r="AZ235" s="3"/>
      <c r="BD235" s="237"/>
      <c r="BE235" s="436">
        <v>210</v>
      </c>
      <c r="BH235" s="3"/>
      <c r="BL235" s="238"/>
      <c r="BM235" s="442">
        <v>210</v>
      </c>
      <c r="BP235" s="3"/>
      <c r="BT235" s="237"/>
      <c r="BU235" s="436">
        <v>210</v>
      </c>
      <c r="BX235" s="3"/>
      <c r="CB235" s="238"/>
    </row>
    <row r="236" spans="1:80" hidden="1" x14ac:dyDescent="0.25">
      <c r="A236" s="433">
        <v>211</v>
      </c>
      <c r="D236" s="3"/>
      <c r="I236" s="436">
        <v>211</v>
      </c>
      <c r="L236" s="3"/>
      <c r="P236" s="238"/>
      <c r="Q236" s="442">
        <v>211</v>
      </c>
      <c r="T236" s="3"/>
      <c r="X236" s="237"/>
      <c r="Y236" s="436">
        <v>211</v>
      </c>
      <c r="AB236" s="3"/>
      <c r="AF236" s="238"/>
      <c r="AG236" s="442">
        <v>211</v>
      </c>
      <c r="AJ236" s="3"/>
      <c r="AN236" s="237"/>
      <c r="AO236" s="436">
        <v>211</v>
      </c>
      <c r="AR236" s="3"/>
      <c r="AV236" s="238"/>
      <c r="AW236" s="442">
        <v>211</v>
      </c>
      <c r="AZ236" s="3"/>
      <c r="BD236" s="237"/>
      <c r="BE236" s="436">
        <v>211</v>
      </c>
      <c r="BH236" s="3"/>
      <c r="BL236" s="238"/>
      <c r="BM236" s="442">
        <v>211</v>
      </c>
      <c r="BP236" s="3"/>
      <c r="BT236" s="237"/>
      <c r="BU236" s="436">
        <v>211</v>
      </c>
      <c r="BX236" s="3"/>
      <c r="CB236" s="238"/>
    </row>
    <row r="237" spans="1:80" s="5" customFormat="1" hidden="1" x14ac:dyDescent="0.25">
      <c r="A237" s="433">
        <v>212</v>
      </c>
      <c r="B237" s="1"/>
      <c r="C237" s="52"/>
      <c r="D237" s="3"/>
      <c r="E237" s="165"/>
      <c r="F237" s="165"/>
      <c r="G237" s="51"/>
      <c r="H237" s="355"/>
      <c r="I237" s="436">
        <v>212</v>
      </c>
      <c r="J237" s="1"/>
      <c r="K237" s="52"/>
      <c r="L237" s="3"/>
      <c r="M237" s="165"/>
      <c r="N237" s="165"/>
      <c r="O237" s="51"/>
      <c r="P237" s="238"/>
      <c r="Q237" s="442">
        <v>212</v>
      </c>
      <c r="R237" s="1"/>
      <c r="S237" s="52"/>
      <c r="T237" s="3"/>
      <c r="U237" s="165"/>
      <c r="V237" s="165"/>
      <c r="W237" s="51"/>
      <c r="X237" s="237"/>
      <c r="Y237" s="436">
        <v>212</v>
      </c>
      <c r="Z237" s="1"/>
      <c r="AA237" s="52"/>
      <c r="AB237" s="3"/>
      <c r="AC237" s="165"/>
      <c r="AD237" s="165"/>
      <c r="AE237" s="51"/>
      <c r="AF237" s="238"/>
      <c r="AG237" s="442">
        <v>212</v>
      </c>
      <c r="AH237" s="1"/>
      <c r="AI237" s="52"/>
      <c r="AJ237" s="3"/>
      <c r="AK237" s="165"/>
      <c r="AL237" s="165"/>
      <c r="AM237" s="51"/>
      <c r="AN237" s="237"/>
      <c r="AO237" s="436">
        <v>212</v>
      </c>
      <c r="AP237" s="1"/>
      <c r="AQ237" s="52"/>
      <c r="AR237" s="3"/>
      <c r="AS237" s="165"/>
      <c r="AT237" s="165"/>
      <c r="AU237" s="51"/>
      <c r="AV237" s="238"/>
      <c r="AW237" s="442">
        <v>212</v>
      </c>
      <c r="AX237" s="1"/>
      <c r="AY237" s="52"/>
      <c r="AZ237" s="3"/>
      <c r="BA237" s="165"/>
      <c r="BB237" s="165"/>
      <c r="BC237" s="51"/>
      <c r="BD237" s="237"/>
      <c r="BE237" s="436">
        <v>212</v>
      </c>
      <c r="BF237" s="1"/>
      <c r="BG237" s="52"/>
      <c r="BH237" s="3"/>
      <c r="BI237" s="165"/>
      <c r="BJ237" s="165"/>
      <c r="BK237" s="51"/>
      <c r="BL237" s="238"/>
      <c r="BM237" s="442">
        <v>212</v>
      </c>
      <c r="BN237" s="1"/>
      <c r="BO237" s="52"/>
      <c r="BP237" s="3"/>
      <c r="BQ237" s="165"/>
      <c r="BR237" s="165"/>
      <c r="BS237" s="51"/>
      <c r="BT237" s="237"/>
      <c r="BU237" s="436">
        <v>212</v>
      </c>
      <c r="BV237" s="1"/>
      <c r="BW237" s="52"/>
      <c r="BX237" s="3"/>
      <c r="BY237" s="165"/>
      <c r="BZ237" s="165"/>
      <c r="CA237" s="51"/>
      <c r="CB237" s="238"/>
    </row>
    <row r="238" spans="1:80" hidden="1" x14ac:dyDescent="0.25">
      <c r="A238" s="433">
        <v>213</v>
      </c>
      <c r="D238" s="3"/>
      <c r="I238" s="436">
        <v>213</v>
      </c>
      <c r="L238" s="3"/>
      <c r="P238" s="238"/>
      <c r="Q238" s="442">
        <v>213</v>
      </c>
      <c r="T238" s="3"/>
      <c r="X238" s="237"/>
      <c r="Y238" s="436">
        <v>213</v>
      </c>
      <c r="AB238" s="3"/>
      <c r="AF238" s="238"/>
      <c r="AG238" s="442">
        <v>213</v>
      </c>
      <c r="AJ238" s="3"/>
      <c r="AN238" s="237"/>
      <c r="AO238" s="436">
        <v>213</v>
      </c>
      <c r="AR238" s="3"/>
      <c r="AV238" s="238"/>
      <c r="AW238" s="442">
        <v>213</v>
      </c>
      <c r="AZ238" s="3"/>
      <c r="BD238" s="237"/>
      <c r="BE238" s="436">
        <v>213</v>
      </c>
      <c r="BH238" s="3"/>
      <c r="BL238" s="238"/>
      <c r="BM238" s="442">
        <v>213</v>
      </c>
      <c r="BP238" s="3"/>
      <c r="BT238" s="237"/>
      <c r="BU238" s="436">
        <v>213</v>
      </c>
      <c r="BX238" s="3"/>
      <c r="CB238" s="238"/>
    </row>
    <row r="239" spans="1:80" s="5" customFormat="1" hidden="1" x14ac:dyDescent="0.25">
      <c r="A239" s="433">
        <v>214</v>
      </c>
      <c r="B239" s="1"/>
      <c r="C239" s="52"/>
      <c r="D239" s="3"/>
      <c r="E239" s="165"/>
      <c r="F239" s="165"/>
      <c r="G239" s="51"/>
      <c r="H239" s="355"/>
      <c r="I239" s="436">
        <v>214</v>
      </c>
      <c r="J239" s="1"/>
      <c r="K239" s="52"/>
      <c r="L239" s="3"/>
      <c r="M239" s="165"/>
      <c r="N239" s="165"/>
      <c r="O239" s="51"/>
      <c r="P239" s="238"/>
      <c r="Q239" s="442">
        <v>214</v>
      </c>
      <c r="R239" s="1"/>
      <c r="S239" s="52"/>
      <c r="T239" s="3"/>
      <c r="U239" s="165"/>
      <c r="V239" s="165"/>
      <c r="W239" s="51"/>
      <c r="X239" s="237"/>
      <c r="Y239" s="436">
        <v>214</v>
      </c>
      <c r="Z239" s="1"/>
      <c r="AA239" s="52"/>
      <c r="AB239" s="3"/>
      <c r="AC239" s="165"/>
      <c r="AD239" s="165"/>
      <c r="AE239" s="51"/>
      <c r="AF239" s="238"/>
      <c r="AG239" s="442">
        <v>214</v>
      </c>
      <c r="AH239" s="1"/>
      <c r="AI239" s="52"/>
      <c r="AJ239" s="3"/>
      <c r="AK239" s="165"/>
      <c r="AL239" s="165"/>
      <c r="AM239" s="51"/>
      <c r="AN239" s="237"/>
      <c r="AO239" s="436">
        <v>214</v>
      </c>
      <c r="AP239" s="1"/>
      <c r="AQ239" s="52"/>
      <c r="AR239" s="3"/>
      <c r="AS239" s="165"/>
      <c r="AT239" s="165"/>
      <c r="AU239" s="51"/>
      <c r="AV239" s="238"/>
      <c r="AW239" s="442">
        <v>214</v>
      </c>
      <c r="AX239" s="1"/>
      <c r="AY239" s="52"/>
      <c r="AZ239" s="3"/>
      <c r="BA239" s="165"/>
      <c r="BB239" s="165"/>
      <c r="BC239" s="51"/>
      <c r="BD239" s="237"/>
      <c r="BE239" s="436">
        <v>214</v>
      </c>
      <c r="BF239" s="1"/>
      <c r="BG239" s="52"/>
      <c r="BH239" s="3"/>
      <c r="BI239" s="165"/>
      <c r="BJ239" s="165"/>
      <c r="BK239" s="51"/>
      <c r="BL239" s="238"/>
      <c r="BM239" s="442">
        <v>214</v>
      </c>
      <c r="BN239" s="1"/>
      <c r="BO239" s="52"/>
      <c r="BP239" s="3"/>
      <c r="BQ239" s="165"/>
      <c r="BR239" s="165"/>
      <c r="BS239" s="51"/>
      <c r="BT239" s="237"/>
      <c r="BU239" s="436">
        <v>214</v>
      </c>
      <c r="BV239" s="1"/>
      <c r="BW239" s="52"/>
      <c r="BX239" s="3"/>
      <c r="BY239" s="165"/>
      <c r="BZ239" s="165"/>
      <c r="CA239" s="51"/>
      <c r="CB239" s="238"/>
    </row>
    <row r="240" spans="1:80" s="5" customFormat="1" hidden="1" x14ac:dyDescent="0.25">
      <c r="A240" s="433">
        <v>215</v>
      </c>
      <c r="B240" s="1"/>
      <c r="C240" s="52"/>
      <c r="D240" s="3"/>
      <c r="E240" s="165"/>
      <c r="F240" s="165"/>
      <c r="G240" s="51"/>
      <c r="H240" s="355"/>
      <c r="I240" s="436">
        <v>215</v>
      </c>
      <c r="J240" s="1"/>
      <c r="K240" s="52"/>
      <c r="L240" s="3"/>
      <c r="M240" s="165"/>
      <c r="N240" s="165"/>
      <c r="O240" s="51"/>
      <c r="P240" s="238"/>
      <c r="Q240" s="442">
        <v>215</v>
      </c>
      <c r="R240" s="1"/>
      <c r="S240" s="52"/>
      <c r="T240" s="3"/>
      <c r="U240" s="165"/>
      <c r="V240" s="165"/>
      <c r="W240" s="51"/>
      <c r="X240" s="237"/>
      <c r="Y240" s="436">
        <v>215</v>
      </c>
      <c r="Z240" s="1"/>
      <c r="AA240" s="52"/>
      <c r="AB240" s="3"/>
      <c r="AC240" s="165"/>
      <c r="AD240" s="165"/>
      <c r="AE240" s="51"/>
      <c r="AF240" s="238"/>
      <c r="AG240" s="442">
        <v>215</v>
      </c>
      <c r="AH240" s="1"/>
      <c r="AI240" s="52"/>
      <c r="AJ240" s="3"/>
      <c r="AK240" s="165"/>
      <c r="AL240" s="165"/>
      <c r="AM240" s="51"/>
      <c r="AN240" s="237"/>
      <c r="AO240" s="436">
        <v>215</v>
      </c>
      <c r="AP240" s="1"/>
      <c r="AQ240" s="52"/>
      <c r="AR240" s="3"/>
      <c r="AS240" s="165"/>
      <c r="AT240" s="165"/>
      <c r="AU240" s="51"/>
      <c r="AV240" s="238"/>
      <c r="AW240" s="442">
        <v>215</v>
      </c>
      <c r="AX240" s="1"/>
      <c r="AY240" s="52"/>
      <c r="AZ240" s="3"/>
      <c r="BA240" s="165"/>
      <c r="BB240" s="165"/>
      <c r="BC240" s="51"/>
      <c r="BD240" s="237"/>
      <c r="BE240" s="436">
        <v>215</v>
      </c>
      <c r="BF240" s="1"/>
      <c r="BG240" s="52"/>
      <c r="BH240" s="3"/>
      <c r="BI240" s="165"/>
      <c r="BJ240" s="165"/>
      <c r="BK240" s="51"/>
      <c r="BL240" s="238"/>
      <c r="BM240" s="442">
        <v>215</v>
      </c>
      <c r="BN240" s="1"/>
      <c r="BO240" s="52"/>
      <c r="BP240" s="3"/>
      <c r="BQ240" s="165"/>
      <c r="BR240" s="165"/>
      <c r="BS240" s="51"/>
      <c r="BT240" s="237"/>
      <c r="BU240" s="436">
        <v>215</v>
      </c>
      <c r="BV240" s="1"/>
      <c r="BW240" s="52"/>
      <c r="BX240" s="3"/>
      <c r="BY240" s="165"/>
      <c r="BZ240" s="165"/>
      <c r="CA240" s="51"/>
      <c r="CB240" s="238"/>
    </row>
    <row r="241" spans="1:80" hidden="1" x14ac:dyDescent="0.25">
      <c r="A241" s="433">
        <v>216</v>
      </c>
      <c r="D241" s="3"/>
      <c r="I241" s="436">
        <v>216</v>
      </c>
      <c r="L241" s="3"/>
      <c r="P241" s="238"/>
      <c r="Q241" s="442">
        <v>216</v>
      </c>
      <c r="T241" s="3"/>
      <c r="X241" s="237"/>
      <c r="Y241" s="436">
        <v>216</v>
      </c>
      <c r="AB241" s="3"/>
      <c r="AF241" s="238"/>
      <c r="AG241" s="442">
        <v>216</v>
      </c>
      <c r="AJ241" s="3"/>
      <c r="AN241" s="237"/>
      <c r="AO241" s="436">
        <v>216</v>
      </c>
      <c r="AR241" s="3"/>
      <c r="AV241" s="238"/>
      <c r="AW241" s="442">
        <v>216</v>
      </c>
      <c r="AZ241" s="3"/>
      <c r="BD241" s="237"/>
      <c r="BE241" s="436">
        <v>216</v>
      </c>
      <c r="BH241" s="3"/>
      <c r="BL241" s="238"/>
      <c r="BM241" s="442">
        <v>216</v>
      </c>
      <c r="BP241" s="3"/>
      <c r="BT241" s="237"/>
      <c r="BU241" s="436">
        <v>216</v>
      </c>
      <c r="BX241" s="3"/>
      <c r="CB241" s="238"/>
    </row>
    <row r="242" spans="1:80" x14ac:dyDescent="0.25">
      <c r="A242" s="433">
        <v>100</v>
      </c>
      <c r="C242" s="52" t="str">
        <f ca="1">IF(B242="","",INDEX(OFFSET(Arb!$H$2,,,Arb!$AJ$5,),B242))</f>
        <v/>
      </c>
      <c r="D242" s="3" t="str">
        <f t="shared" ref="D242:D305" ca="1" si="75">IFERROR(A242/C242,"")</f>
        <v/>
      </c>
      <c r="E242" s="165" t="str">
        <f ca="1">IF(B242="","",INDEX(OFFSET(Arb!$X$2,,,Arb!$AJ$5,),B242)/C242)</f>
        <v/>
      </c>
      <c r="F242" s="165" t="str">
        <f ca="1">IF(B242="","",(INDEX(OFFSET(Arb!$U$2,,,Arb!$AJ$5,),B242)+INDEX(OFFSET(Arb!$V$2,,,Arb!$AJ$5,),B242))/C242)</f>
        <v/>
      </c>
      <c r="G242" s="51" t="str">
        <f ca="1">IFERROR(435.001/(C242^1.7/A242),"")</f>
        <v/>
      </c>
      <c r="H242" s="355" t="str">
        <f ca="1">IF(B242="","",DATE(INDEX(OFFSET(Arb!$C$2,,,Arb!$AJ$5,),B242),INDEX(OFFSET(Arb!$B$2,,,Arb!$AJ$5,),B242),INDEX(OFFSET(Arb!$A$2,,,Arb!$AJ$5,),B242))+ROW()*0.001)</f>
        <v/>
      </c>
      <c r="I242" s="436">
        <v>100</v>
      </c>
      <c r="K242" s="52" t="str">
        <f ca="1">IF(J242="","",INDEX(OFFSET(Arb!$H$2,,,Arb!$AJ$5,),J242))</f>
        <v/>
      </c>
      <c r="L242" s="3" t="str">
        <f t="shared" ref="L242:L305" ca="1" si="76">IFERROR(I242/K242,"")</f>
        <v/>
      </c>
      <c r="M242" s="165" t="str">
        <f ca="1">IF(J242="","",INDEX(OFFSET(Arb!$X$2,,,Arb!$AJ$5,),J242)/K242)</f>
        <v/>
      </c>
      <c r="N242" s="165" t="str">
        <f ca="1">IF(J242="","",(INDEX(OFFSET(Arb!$U$2,,,Arb!$AJ$5,),J242)+INDEX(OFFSET(Arb!$V$2,,,Arb!$AJ$5,),J242))/K242)</f>
        <v/>
      </c>
      <c r="O242" s="51" t="str">
        <f ca="1">IFERROR(435.001/(K242^1.7/I242),"")</f>
        <v/>
      </c>
      <c r="P242" s="91" t="str">
        <f ca="1">IF(J242="","",DATE(INDEX(OFFSET(Arb!$C$2,,,Arb!$AJ$5,),J242),INDEX(OFFSET(Arb!$B$2,,,Arb!$AJ$5,),J242),INDEX(OFFSET(Arb!$A$2,,,Arb!$AJ$5,),J242))+ROW()*0.001)</f>
        <v/>
      </c>
      <c r="Q242" s="442">
        <v>100</v>
      </c>
      <c r="S242" s="52" t="str">
        <f ca="1">IF(R242="","",INDEX(OFFSET(Arb!$H$2,,,Arb!$AJ$5,),R242))</f>
        <v/>
      </c>
      <c r="T242" s="3" t="str">
        <f t="shared" ref="T242:T305" ca="1" si="77">IFERROR(Q242/S242,"")</f>
        <v/>
      </c>
      <c r="U242" s="165" t="str">
        <f ca="1">IF(R242="","",INDEX(OFFSET(Arb!$X$2,,,Arb!$AJ$5,),R242)/S242)</f>
        <v/>
      </c>
      <c r="V242" s="165" t="str">
        <f ca="1">IF(R242="","",(INDEX(OFFSET(Arb!$U$2,,,Arb!$AJ$5,),R242)+INDEX(OFFSET(Arb!$V$2,,,Arb!$AJ$5,),R242))/S242)</f>
        <v/>
      </c>
      <c r="W242" s="51" t="str">
        <f ca="1">IFERROR(435.001/(S242^1.7/Q242),"")</f>
        <v/>
      </c>
      <c r="X242" s="88" t="str">
        <f ca="1">IF(R242="","",DATE(INDEX(OFFSET(Arb!$C$2,,,Arb!$AJ$5,),R242),INDEX(OFFSET(Arb!$B$2,,,Arb!$AJ$5,),R242),INDEX(OFFSET(Arb!$A$2,,,Arb!$AJ$5,),R242))+ROW()*0.001)</f>
        <v/>
      </c>
      <c r="Y242" s="436">
        <v>100</v>
      </c>
      <c r="AA242" s="52" t="str">
        <f ca="1">IF(Z242="","",INDEX(OFFSET(Arb!$H$2,,,Arb!$AJ$5,),Z242))</f>
        <v/>
      </c>
      <c r="AB242" s="3" t="str">
        <f t="shared" ref="AB242:AB305" ca="1" si="78">IFERROR(Y242/AA242,"")</f>
        <v/>
      </c>
      <c r="AC242" s="165" t="str">
        <f ca="1">IF(Z242="","",INDEX(OFFSET(Arb!$X$2,,,Arb!$AJ$5,),Z242)/AA242)</f>
        <v/>
      </c>
      <c r="AD242" s="165" t="str">
        <f ca="1">IF(Z242="","",(INDEX(OFFSET(Arb!$U$2,,,Arb!$AJ$5,),Z242)+INDEX(OFFSET(Arb!$V$2,,,Arb!$AJ$5,),Z242))/AA242)</f>
        <v/>
      </c>
      <c r="AE242" s="51" t="str">
        <f ca="1">IFERROR(435.001/(AA242^1.7/Y242),"")</f>
        <v/>
      </c>
      <c r="AF242" s="91" t="str">
        <f ca="1">IF(Z242="","",DATE(INDEX(OFFSET(Arb!$C$2,,,Arb!$AJ$5,),Z242),INDEX(OFFSET(Arb!$B$2,,,Arb!$AJ$5,),Z242),INDEX(OFFSET(Arb!$A$2,,,Arb!$AJ$5,),Z242))+ROW()*0.001)</f>
        <v/>
      </c>
      <c r="AG242" s="442">
        <v>100</v>
      </c>
      <c r="AI242" s="52" t="str">
        <f ca="1">IF(AH242="","",INDEX(OFFSET(Arb!$H$2,,,Arb!$AJ$5,),AH242))</f>
        <v/>
      </c>
      <c r="AJ242" s="3" t="str">
        <f t="shared" ref="AJ242:AJ305" ca="1" si="79">IFERROR(AG242/AI242,"")</f>
        <v/>
      </c>
      <c r="AK242" s="165" t="str">
        <f ca="1">IF(AH242="","",INDEX(OFFSET(Arb!$X$2,,,Arb!$AJ$5,),AH242)/AI242)</f>
        <v/>
      </c>
      <c r="AL242" s="165" t="str">
        <f ca="1">IF(AH242="","",(INDEX(OFFSET(Arb!$U$2,,,Arb!$AJ$5,),AH242)+INDEX(OFFSET(Arb!$V$2,,,Arb!$AJ$5,),AH242))/AI242)</f>
        <v/>
      </c>
      <c r="AM242" s="51" t="str">
        <f ca="1">IFERROR(435.001/(AI242^1.7/AG242),"")</f>
        <v/>
      </c>
      <c r="AN242" s="88" t="str">
        <f ca="1">IF(AH242="","",DATE(INDEX(OFFSET(Arb!$C$2,,,Arb!$AJ$5,),AH242),INDEX(OFFSET(Arb!$B$2,,,Arb!$AJ$5,),AH242),INDEX(OFFSET(Arb!$A$2,,,Arb!$AJ$5,),AH242))+ROW()*0.001)</f>
        <v/>
      </c>
      <c r="AO242" s="436">
        <v>100</v>
      </c>
      <c r="AQ242" s="52" t="str">
        <f ca="1">IF(AP242="","",INDEX(OFFSET(Arb!$H$2,,,Arb!$AJ$5,),AP242))</f>
        <v/>
      </c>
      <c r="AR242" s="3" t="str">
        <f t="shared" ref="AR242:AR305" ca="1" si="80">IFERROR(AO242/AQ242,"")</f>
        <v/>
      </c>
      <c r="AS242" s="165" t="str">
        <f ca="1">IF(AP242="","",INDEX(OFFSET(Arb!$X$2,,,Arb!$AJ$5,),AP242)/AQ242)</f>
        <v/>
      </c>
      <c r="AT242" s="165" t="str">
        <f ca="1">IF(AP242="","",(INDEX(OFFSET(Arb!$U$2,,,Arb!$AJ$5,),AP242)+INDEX(OFFSET(Arb!$V$2,,,Arb!$AJ$5,),AP242))/AQ242)</f>
        <v/>
      </c>
      <c r="AU242" s="51" t="str">
        <f ca="1">IFERROR(435.001/(AQ242^1.7/AO242),"")</f>
        <v/>
      </c>
      <c r="AV242" s="91" t="str">
        <f ca="1">IF(AP242="","",DATE(INDEX(OFFSET(Arb!$C$2,,,Arb!$AJ$5,),AP242),INDEX(OFFSET(Arb!$B$2,,,Arb!$AJ$5,),AP242),INDEX(OFFSET(Arb!$A$2,,,Arb!$AJ$5,),AP242))+ROW()*0.001)</f>
        <v/>
      </c>
      <c r="AW242" s="442">
        <v>100</v>
      </c>
      <c r="AY242" s="52" t="str">
        <f ca="1">IF(AX242="","",INDEX(OFFSET(Arb!$H$2,,,Arb!$AJ$5,),AX242))</f>
        <v/>
      </c>
      <c r="AZ242" s="3" t="str">
        <f t="shared" ref="AZ242:AZ305" ca="1" si="81">IFERROR(AW242/AY242,"")</f>
        <v/>
      </c>
      <c r="BA242" s="165" t="str">
        <f ca="1">IF(AX242="","",INDEX(OFFSET(Arb!$X$2,,,Arb!$AJ$5,),AX242)/AY242)</f>
        <v/>
      </c>
      <c r="BB242" s="165" t="str">
        <f ca="1">IF(AX242="","",(INDEX(OFFSET(Arb!$U$2,,,Arb!$AJ$5,),AX242)+INDEX(OFFSET(Arb!$V$2,,,Arb!$AJ$5,),AX242))/AY242)</f>
        <v/>
      </c>
      <c r="BC242" s="51" t="str">
        <f ca="1">IFERROR(435.001/(AY242^1.7/AW242),"")</f>
        <v/>
      </c>
      <c r="BD242" s="88" t="str">
        <f ca="1">IF(AX242="","",DATE(INDEX(OFFSET(Arb!$C$2,,,Arb!$AJ$5,),AX242),INDEX(OFFSET(Arb!$B$2,,,Arb!$AJ$5,),AX242),INDEX(OFFSET(Arb!$A$2,,,Arb!$AJ$5,),AX242))+ROW()*0.001)</f>
        <v/>
      </c>
      <c r="BE242" s="436">
        <v>100</v>
      </c>
      <c r="BG242" s="52" t="str">
        <f ca="1">IF(BF242="","",INDEX(OFFSET(Arb!$H$2,,,Arb!$AJ$5,),BF242))</f>
        <v/>
      </c>
      <c r="BH242" s="3" t="str">
        <f t="shared" ref="BH242:BH305" ca="1" si="82">IFERROR(BE242/BG242,"")</f>
        <v/>
      </c>
      <c r="BI242" s="165" t="str">
        <f ca="1">IF(BF242="","",INDEX(OFFSET(Arb!$X$2,,,Arb!$AJ$5,),BF242)/BG242)</f>
        <v/>
      </c>
      <c r="BJ242" s="165" t="str">
        <f ca="1">IF(BF242="","",(INDEX(OFFSET(Arb!$U$2,,,Arb!$AJ$5,),BF242)+INDEX(OFFSET(Arb!$V$2,,,Arb!$AJ$5,),BF242))/BG242)</f>
        <v/>
      </c>
      <c r="BK242" s="51" t="str">
        <f ca="1">IFERROR(435.001/(BG242^1.7/BE242),"")</f>
        <v/>
      </c>
      <c r="BL242" s="91" t="str">
        <f ca="1">IF(BF242="","",DATE(INDEX(OFFSET(Arb!$C$2,,,Arb!$AJ$5,),BF242),INDEX(OFFSET(Arb!$B$2,,,Arb!$AJ$5,),BF242),INDEX(OFFSET(Arb!$A$2,,,Arb!$AJ$5,),BF242))+ROW()*0.001)</f>
        <v/>
      </c>
      <c r="BM242" s="442">
        <v>100</v>
      </c>
      <c r="BO242" s="52" t="str">
        <f ca="1">IF(BN242="","",INDEX(OFFSET(Arb!$H$2,,,Arb!$AJ$5,),BN242))</f>
        <v/>
      </c>
      <c r="BP242" s="3" t="str">
        <f t="shared" ref="BP242:BP305" ca="1" si="83">IFERROR(BM242/BO242,"")</f>
        <v/>
      </c>
      <c r="BQ242" s="165" t="str">
        <f ca="1">IF(BN242="","",INDEX(OFFSET(Arb!$X$2,,,Arb!$AJ$5,),BN242)/BO242)</f>
        <v/>
      </c>
      <c r="BR242" s="165" t="str">
        <f ca="1">IF(BN242="","",(INDEX(OFFSET(Arb!$U$2,,,Arb!$AJ$5,),BN242)+INDEX(OFFSET(Arb!$V$2,,,Arb!$AJ$5,),BN242))/BO242)</f>
        <v/>
      </c>
      <c r="BS242" s="51" t="str">
        <f ca="1">IFERROR(435.001/(BO242^1.7/BM242),"")</f>
        <v/>
      </c>
      <c r="BT242" s="88" t="str">
        <f ca="1">IF(BN242="","",DATE(INDEX(OFFSET(Arb!$C$2,,,Arb!$AJ$5,),BN242),INDEX(OFFSET(Arb!$B$2,,,Arb!$AJ$5,),BN242),INDEX(OFFSET(Arb!$A$2,,,Arb!$AJ$5,),BN242))+ROW()*0.001)</f>
        <v/>
      </c>
      <c r="BU242" s="436">
        <v>100</v>
      </c>
      <c r="BW242" s="52" t="str">
        <f ca="1">IF(BV242="","",INDEX(OFFSET(Arb!$H$2,,,Arb!$AJ$5,),BV242))</f>
        <v/>
      </c>
      <c r="BX242" s="3" t="str">
        <f t="shared" ref="BX242:BX305" ca="1" si="84">IFERROR(BU242/BW242,"")</f>
        <v/>
      </c>
      <c r="BY242" s="165" t="str">
        <f ca="1">IF(BV242="","",INDEX(OFFSET(Arb!$X$2,,,Arb!$AJ$5,),BV242)/BW242)</f>
        <v/>
      </c>
      <c r="BZ242" s="165" t="str">
        <f ca="1">IF(BV242="","",(INDEX(OFFSET(Arb!$U$2,,,Arb!$AJ$5,),BV242)+INDEX(OFFSET(Arb!$V$2,,,Arb!$AJ$5,),BV242))/BW242)</f>
        <v/>
      </c>
      <c r="CA242" s="51" t="str">
        <f ca="1">IFERROR(435.001/(BW242^1.7/BU242),"")</f>
        <v/>
      </c>
      <c r="CB242" s="91" t="str">
        <f ca="1">IF(BV242="","",DATE(INDEX(OFFSET(Arb!$C$2,,,Arb!$AJ$5,),BV242),INDEX(OFFSET(Arb!$B$2,,,Arb!$AJ$5,),BV242),INDEX(OFFSET(Arb!$A$2,,,Arb!$AJ$5,),BV242))+ROW()*0.001)</f>
        <v/>
      </c>
    </row>
    <row r="243" spans="1:80" x14ac:dyDescent="0.25">
      <c r="A243" s="433">
        <v>101</v>
      </c>
      <c r="C243" s="52" t="str">
        <f ca="1">IF(B243="","",INDEX(OFFSET(Arb!$H$2,,,Arb!$AJ$5,),B243))</f>
        <v/>
      </c>
      <c r="D243" s="3" t="str">
        <f t="shared" ca="1" si="75"/>
        <v/>
      </c>
      <c r="E243" s="165" t="str">
        <f ca="1">IF(B243="","",INDEX(OFFSET(Arb!$X$2,,,Arb!$AJ$5,),B243)/C243)</f>
        <v/>
      </c>
      <c r="F243" s="165" t="str">
        <f ca="1">IF(B243="","",(INDEX(OFFSET(Arb!$U$2,,,Arb!$AJ$5,),B243)+INDEX(OFFSET(Arb!$V$2,,,Arb!$AJ$5,),B243))/C243)</f>
        <v/>
      </c>
      <c r="G243" s="51" t="str">
        <f t="shared" ref="G243:G306" ca="1" si="85">IFERROR(435.001/(C243^1.7/A243),"")</f>
        <v/>
      </c>
      <c r="H243" s="355" t="str">
        <f ca="1">IF(B243="","",DATE(INDEX(OFFSET(Arb!$C$2,,,Arb!$AJ$5,),B243),INDEX(OFFSET(Arb!$B$2,,,Arb!$AJ$5,),B243),INDEX(OFFSET(Arb!$A$2,,,Arb!$AJ$5,),B243))+ROW()*0.001)</f>
        <v/>
      </c>
      <c r="I243" s="436">
        <v>101</v>
      </c>
      <c r="K243" s="52" t="str">
        <f ca="1">IF(J243="","",INDEX(OFFSET(Arb!$H$2,,,Arb!$AJ$5,),J243))</f>
        <v/>
      </c>
      <c r="L243" s="3" t="str">
        <f t="shared" ca="1" si="76"/>
        <v/>
      </c>
      <c r="M243" s="165" t="str">
        <f ca="1">IF(J243="","",INDEX(OFFSET(Arb!$X$2,,,Arb!$AJ$5,),J243)/K243)</f>
        <v/>
      </c>
      <c r="N243" s="165" t="str">
        <f ca="1">IF(J243="","",(INDEX(OFFSET(Arb!$U$2,,,Arb!$AJ$5,),J243)+INDEX(OFFSET(Arb!$V$2,,,Arb!$AJ$5,),J243))/K243)</f>
        <v/>
      </c>
      <c r="O243" s="51" t="str">
        <f t="shared" ref="O243:O306" ca="1" si="86">IFERROR(435.001/(K243^1.7/I243),"")</f>
        <v/>
      </c>
      <c r="P243" s="91" t="str">
        <f ca="1">IF(J243="","",DATE(INDEX(OFFSET(Arb!$C$2,,,Arb!$AJ$5,),J243),INDEX(OFFSET(Arb!$B$2,,,Arb!$AJ$5,),J243),INDEX(OFFSET(Arb!$A$2,,,Arb!$AJ$5,),J243))+ROW()*0.001)</f>
        <v/>
      </c>
      <c r="Q243" s="442">
        <v>101</v>
      </c>
      <c r="S243" s="52" t="str">
        <f ca="1">IF(R243="","",INDEX(OFFSET(Arb!$H$2,,,Arb!$AJ$5,),R243))</f>
        <v/>
      </c>
      <c r="T243" s="3" t="str">
        <f t="shared" ca="1" si="77"/>
        <v/>
      </c>
      <c r="U243" s="165" t="str">
        <f ca="1">IF(R243="","",INDEX(OFFSET(Arb!$X$2,,,Arb!$AJ$5,),R243)/S243)</f>
        <v/>
      </c>
      <c r="V243" s="165" t="str">
        <f ca="1">IF(R243="","",(INDEX(OFFSET(Arb!$U$2,,,Arb!$AJ$5,),R243)+INDEX(OFFSET(Arb!$V$2,,,Arb!$AJ$5,),R243))/S243)</f>
        <v/>
      </c>
      <c r="W243" s="51" t="str">
        <f t="shared" ref="W243:W306" ca="1" si="87">IFERROR(435.001/(S243^1.7/Q243),"")</f>
        <v/>
      </c>
      <c r="X243" s="88" t="str">
        <f ca="1">IF(R243="","",DATE(INDEX(OFFSET(Arb!$C$2,,,Arb!$AJ$5,),R243),INDEX(OFFSET(Arb!$B$2,,,Arb!$AJ$5,),R243),INDEX(OFFSET(Arb!$A$2,,,Arb!$AJ$5,),R243))+ROW()*0.001)</f>
        <v/>
      </c>
      <c r="Y243" s="436">
        <v>101</v>
      </c>
      <c r="AA243" s="52" t="str">
        <f ca="1">IF(Z243="","",INDEX(OFFSET(Arb!$H$2,,,Arb!$AJ$5,),Z243))</f>
        <v/>
      </c>
      <c r="AB243" s="3" t="str">
        <f t="shared" ca="1" si="78"/>
        <v/>
      </c>
      <c r="AC243" s="165" t="str">
        <f ca="1">IF(Z243="","",INDEX(OFFSET(Arb!$X$2,,,Arb!$AJ$5,),Z243)/AA243)</f>
        <v/>
      </c>
      <c r="AD243" s="165" t="str">
        <f ca="1">IF(Z243="","",(INDEX(OFFSET(Arb!$U$2,,,Arb!$AJ$5,),Z243)+INDEX(OFFSET(Arb!$V$2,,,Arb!$AJ$5,),Z243))/AA243)</f>
        <v/>
      </c>
      <c r="AE243" s="51" t="str">
        <f t="shared" ref="AE243:AE306" ca="1" si="88">IFERROR(435.001/(AA243^1.7/Y243),"")</f>
        <v/>
      </c>
      <c r="AF243" s="91" t="str">
        <f ca="1">IF(Z243="","",DATE(INDEX(OFFSET(Arb!$C$2,,,Arb!$AJ$5,),Z243),INDEX(OFFSET(Arb!$B$2,,,Arb!$AJ$5,),Z243),INDEX(OFFSET(Arb!$A$2,,,Arb!$AJ$5,),Z243))+ROW()*0.001)</f>
        <v/>
      </c>
      <c r="AG243" s="442">
        <v>101</v>
      </c>
      <c r="AI243" s="52" t="str">
        <f ca="1">IF(AH243="","",INDEX(OFFSET(Arb!$H$2,,,Arb!$AJ$5,),AH243))</f>
        <v/>
      </c>
      <c r="AJ243" s="3" t="str">
        <f t="shared" ca="1" si="79"/>
        <v/>
      </c>
      <c r="AK243" s="165" t="str">
        <f ca="1">IF(AH243="","",INDEX(OFFSET(Arb!$X$2,,,Arb!$AJ$5,),AH243)/AI243)</f>
        <v/>
      </c>
      <c r="AL243" s="165" t="str">
        <f ca="1">IF(AH243="","",(INDEX(OFFSET(Arb!$U$2,,,Arb!$AJ$5,),AH243)+INDEX(OFFSET(Arb!$V$2,,,Arb!$AJ$5,),AH243))/AI243)</f>
        <v/>
      </c>
      <c r="AM243" s="51" t="str">
        <f t="shared" ref="AM243:AM306" ca="1" si="89">IFERROR(435.001/(AI243^1.7/AG243),"")</f>
        <v/>
      </c>
      <c r="AN243" s="88" t="str">
        <f ca="1">IF(AH243="","",DATE(INDEX(OFFSET(Arb!$C$2,,,Arb!$AJ$5,),AH243),INDEX(OFFSET(Arb!$B$2,,,Arb!$AJ$5,),AH243),INDEX(OFFSET(Arb!$A$2,,,Arb!$AJ$5,),AH243))+ROW()*0.001)</f>
        <v/>
      </c>
      <c r="AO243" s="436">
        <v>101</v>
      </c>
      <c r="AQ243" s="52" t="str">
        <f ca="1">IF(AP243="","",INDEX(OFFSET(Arb!$H$2,,,Arb!$AJ$5,),AP243))</f>
        <v/>
      </c>
      <c r="AR243" s="3" t="str">
        <f t="shared" ca="1" si="80"/>
        <v/>
      </c>
      <c r="AS243" s="165" t="str">
        <f ca="1">IF(AP243="","",INDEX(OFFSET(Arb!$X$2,,,Arb!$AJ$5,),AP243)/AQ243)</f>
        <v/>
      </c>
      <c r="AT243" s="165" t="str">
        <f ca="1">IF(AP243="","",(INDEX(OFFSET(Arb!$U$2,,,Arb!$AJ$5,),AP243)+INDEX(OFFSET(Arb!$V$2,,,Arb!$AJ$5,),AP243))/AQ243)</f>
        <v/>
      </c>
      <c r="AU243" s="51" t="str">
        <f t="shared" ref="AU243:AU306" ca="1" si="90">IFERROR(435.001/(AQ243^1.7/AO243),"")</f>
        <v/>
      </c>
      <c r="AV243" s="91" t="str">
        <f ca="1">IF(AP243="","",DATE(INDEX(OFFSET(Arb!$C$2,,,Arb!$AJ$5,),AP243),INDEX(OFFSET(Arb!$B$2,,,Arb!$AJ$5,),AP243),INDEX(OFFSET(Arb!$A$2,,,Arb!$AJ$5,),AP243))+ROW()*0.001)</f>
        <v/>
      </c>
      <c r="AW243" s="442">
        <v>101</v>
      </c>
      <c r="AY243" s="52" t="str">
        <f ca="1">IF(AX243="","",INDEX(OFFSET(Arb!$H$2,,,Arb!$AJ$5,),AX243))</f>
        <v/>
      </c>
      <c r="AZ243" s="3" t="str">
        <f t="shared" ca="1" si="81"/>
        <v/>
      </c>
      <c r="BA243" s="165" t="str">
        <f ca="1">IF(AX243="","",INDEX(OFFSET(Arb!$X$2,,,Arb!$AJ$5,),AX243)/AY243)</f>
        <v/>
      </c>
      <c r="BB243" s="165" t="str">
        <f ca="1">IF(AX243="","",(INDEX(OFFSET(Arb!$U$2,,,Arb!$AJ$5,),AX243)+INDEX(OFFSET(Arb!$V$2,,,Arb!$AJ$5,),AX243))/AY243)</f>
        <v/>
      </c>
      <c r="BC243" s="51" t="str">
        <f t="shared" ref="BC243:BC306" ca="1" si="91">IFERROR(435.001/(AY243^1.7/AW243),"")</f>
        <v/>
      </c>
      <c r="BD243" s="88" t="str">
        <f ca="1">IF(AX243="","",DATE(INDEX(OFFSET(Arb!$C$2,,,Arb!$AJ$5,),AX243),INDEX(OFFSET(Arb!$B$2,,,Arb!$AJ$5,),AX243),INDEX(OFFSET(Arb!$A$2,,,Arb!$AJ$5,),AX243))+ROW()*0.001)</f>
        <v/>
      </c>
      <c r="BE243" s="436">
        <v>101</v>
      </c>
      <c r="BG243" s="52" t="str">
        <f ca="1">IF(BF243="","",INDEX(OFFSET(Arb!$H$2,,,Arb!$AJ$5,),BF243))</f>
        <v/>
      </c>
      <c r="BH243" s="3" t="str">
        <f t="shared" ca="1" si="82"/>
        <v/>
      </c>
      <c r="BI243" s="165" t="str">
        <f ca="1">IF(BF243="","",INDEX(OFFSET(Arb!$X$2,,,Arb!$AJ$5,),BF243)/BG243)</f>
        <v/>
      </c>
      <c r="BJ243" s="165" t="str">
        <f ca="1">IF(BF243="","",(INDEX(OFFSET(Arb!$U$2,,,Arb!$AJ$5,),BF243)+INDEX(OFFSET(Arb!$V$2,,,Arb!$AJ$5,),BF243))/BG243)</f>
        <v/>
      </c>
      <c r="BK243" s="51" t="str">
        <f t="shared" ref="BK243:BK306" ca="1" si="92">IFERROR(435.001/(BG243^1.7/BE243),"")</f>
        <v/>
      </c>
      <c r="BL243" s="91" t="str">
        <f ca="1">IF(BF243="","",DATE(INDEX(OFFSET(Arb!$C$2,,,Arb!$AJ$5,),BF243),INDEX(OFFSET(Arb!$B$2,,,Arb!$AJ$5,),BF243),INDEX(OFFSET(Arb!$A$2,,,Arb!$AJ$5,),BF243))+ROW()*0.001)</f>
        <v/>
      </c>
      <c r="BM243" s="442">
        <v>101</v>
      </c>
      <c r="BO243" s="52" t="str">
        <f ca="1">IF(BN243="","",INDEX(OFFSET(Arb!$H$2,,,Arb!$AJ$5,),BN243))</f>
        <v/>
      </c>
      <c r="BP243" s="3" t="str">
        <f t="shared" ca="1" si="83"/>
        <v/>
      </c>
      <c r="BQ243" s="165" t="str">
        <f ca="1">IF(BN243="","",INDEX(OFFSET(Arb!$X$2,,,Arb!$AJ$5,),BN243)/BO243)</f>
        <v/>
      </c>
      <c r="BR243" s="165" t="str">
        <f ca="1">IF(BN243="","",(INDEX(OFFSET(Arb!$U$2,,,Arb!$AJ$5,),BN243)+INDEX(OFFSET(Arb!$V$2,,,Arb!$AJ$5,),BN243))/BO243)</f>
        <v/>
      </c>
      <c r="BS243" s="51" t="str">
        <f t="shared" ref="BS243:BS306" ca="1" si="93">IFERROR(435.001/(BO243^1.7/BM243),"")</f>
        <v/>
      </c>
      <c r="BT243" s="88" t="str">
        <f ca="1">IF(BN243="","",DATE(INDEX(OFFSET(Arb!$C$2,,,Arb!$AJ$5,),BN243),INDEX(OFFSET(Arb!$B$2,,,Arb!$AJ$5,),BN243),INDEX(OFFSET(Arb!$A$2,,,Arb!$AJ$5,),BN243))+ROW()*0.001)</f>
        <v/>
      </c>
      <c r="BU243" s="436">
        <v>101</v>
      </c>
      <c r="BW243" s="52" t="str">
        <f ca="1">IF(BV243="","",INDEX(OFFSET(Arb!$H$2,,,Arb!$AJ$5,),BV243))</f>
        <v/>
      </c>
      <c r="BX243" s="3" t="str">
        <f t="shared" ca="1" si="84"/>
        <v/>
      </c>
      <c r="BY243" s="165" t="str">
        <f ca="1">IF(BV243="","",INDEX(OFFSET(Arb!$X$2,,,Arb!$AJ$5,),BV243)/BW243)</f>
        <v/>
      </c>
      <c r="BZ243" s="165" t="str">
        <f ca="1">IF(BV243="","",(INDEX(OFFSET(Arb!$U$2,,,Arb!$AJ$5,),BV243)+INDEX(OFFSET(Arb!$V$2,,,Arb!$AJ$5,),BV243))/BW243)</f>
        <v/>
      </c>
      <c r="CA243" s="51" t="str">
        <f t="shared" ref="CA243:CA306" ca="1" si="94">IFERROR(435.001/(BW243^1.7/BU243),"")</f>
        <v/>
      </c>
      <c r="CB243" s="91" t="str">
        <f ca="1">IF(BV243="","",DATE(INDEX(OFFSET(Arb!$C$2,,,Arb!$AJ$5,),BV243),INDEX(OFFSET(Arb!$B$2,,,Arb!$AJ$5,),BV243),INDEX(OFFSET(Arb!$A$2,,,Arb!$AJ$5,),BV243))+ROW()*0.001)</f>
        <v/>
      </c>
    </row>
    <row r="244" spans="1:80" x14ac:dyDescent="0.25">
      <c r="A244" s="433">
        <v>102</v>
      </c>
      <c r="C244" s="52" t="str">
        <f ca="1">IF(B244="","",INDEX(OFFSET(Arb!$H$2,,,Arb!$AJ$5,),B244))</f>
        <v/>
      </c>
      <c r="D244" s="3" t="str">
        <f t="shared" ca="1" si="75"/>
        <v/>
      </c>
      <c r="E244" s="165" t="str">
        <f ca="1">IF(B244="","",INDEX(OFFSET(Arb!$X$2,,,Arb!$AJ$5,),B244)/C244)</f>
        <v/>
      </c>
      <c r="F244" s="165" t="str">
        <f ca="1">IF(B244="","",(INDEX(OFFSET(Arb!$U$2,,,Arb!$AJ$5,),B244)+INDEX(OFFSET(Arb!$V$2,,,Arb!$AJ$5,),B244))/C244)</f>
        <v/>
      </c>
      <c r="G244" s="51" t="str">
        <f t="shared" ca="1" si="85"/>
        <v/>
      </c>
      <c r="H244" s="355" t="str">
        <f ca="1">IF(B244="","",DATE(INDEX(OFFSET(Arb!$C$2,,,Arb!$AJ$5,),B244),INDEX(OFFSET(Arb!$B$2,,,Arb!$AJ$5,),B244),INDEX(OFFSET(Arb!$A$2,,,Arb!$AJ$5,),B244))+ROW()*0.001)</f>
        <v/>
      </c>
      <c r="I244" s="436">
        <v>102</v>
      </c>
      <c r="K244" s="52" t="str">
        <f ca="1">IF(J244="","",INDEX(OFFSET(Arb!$H$2,,,Arb!$AJ$5,),J244))</f>
        <v/>
      </c>
      <c r="L244" s="3" t="str">
        <f t="shared" ca="1" si="76"/>
        <v/>
      </c>
      <c r="M244" s="165" t="str">
        <f ca="1">IF(J244="","",INDEX(OFFSET(Arb!$X$2,,,Arb!$AJ$5,),J244)/K244)</f>
        <v/>
      </c>
      <c r="N244" s="165" t="str">
        <f ca="1">IF(J244="","",(INDEX(OFFSET(Arb!$U$2,,,Arb!$AJ$5,),J244)+INDEX(OFFSET(Arb!$V$2,,,Arb!$AJ$5,),J244))/K244)</f>
        <v/>
      </c>
      <c r="O244" s="51" t="str">
        <f t="shared" ca="1" si="86"/>
        <v/>
      </c>
      <c r="P244" s="91" t="str">
        <f ca="1">IF(J244="","",DATE(INDEX(OFFSET(Arb!$C$2,,,Arb!$AJ$5,),J244),INDEX(OFFSET(Arb!$B$2,,,Arb!$AJ$5,),J244),INDEX(OFFSET(Arb!$A$2,,,Arb!$AJ$5,),J244))+ROW()*0.001)</f>
        <v/>
      </c>
      <c r="Q244" s="442">
        <v>102</v>
      </c>
      <c r="S244" s="52" t="str">
        <f ca="1">IF(R244="","",INDEX(OFFSET(Arb!$H$2,,,Arb!$AJ$5,),R244))</f>
        <v/>
      </c>
      <c r="T244" s="3" t="str">
        <f t="shared" ca="1" si="77"/>
        <v/>
      </c>
      <c r="U244" s="165" t="str">
        <f ca="1">IF(R244="","",INDEX(OFFSET(Arb!$X$2,,,Arb!$AJ$5,),R244)/S244)</f>
        <v/>
      </c>
      <c r="V244" s="165" t="str">
        <f ca="1">IF(R244="","",(INDEX(OFFSET(Arb!$U$2,,,Arb!$AJ$5,),R244)+INDEX(OFFSET(Arb!$V$2,,,Arb!$AJ$5,),R244))/S244)</f>
        <v/>
      </c>
      <c r="W244" s="51" t="str">
        <f t="shared" ca="1" si="87"/>
        <v/>
      </c>
      <c r="X244" s="88" t="str">
        <f ca="1">IF(R244="","",DATE(INDEX(OFFSET(Arb!$C$2,,,Arb!$AJ$5,),R244),INDEX(OFFSET(Arb!$B$2,,,Arb!$AJ$5,),R244),INDEX(OFFSET(Arb!$A$2,,,Arb!$AJ$5,),R244))+ROW()*0.001)</f>
        <v/>
      </c>
      <c r="Y244" s="436">
        <v>102</v>
      </c>
      <c r="AA244" s="52" t="str">
        <f ca="1">IF(Z244="","",INDEX(OFFSET(Arb!$H$2,,,Arb!$AJ$5,),Z244))</f>
        <v/>
      </c>
      <c r="AB244" s="3" t="str">
        <f t="shared" ca="1" si="78"/>
        <v/>
      </c>
      <c r="AC244" s="165" t="str">
        <f ca="1">IF(Z244="","",INDEX(OFFSET(Arb!$X$2,,,Arb!$AJ$5,),Z244)/AA244)</f>
        <v/>
      </c>
      <c r="AD244" s="165" t="str">
        <f ca="1">IF(Z244="","",(INDEX(OFFSET(Arb!$U$2,,,Arb!$AJ$5,),Z244)+INDEX(OFFSET(Arb!$V$2,,,Arb!$AJ$5,),Z244))/AA244)</f>
        <v/>
      </c>
      <c r="AE244" s="51" t="str">
        <f t="shared" ca="1" si="88"/>
        <v/>
      </c>
      <c r="AF244" s="91" t="str">
        <f ca="1">IF(Z244="","",DATE(INDEX(OFFSET(Arb!$C$2,,,Arb!$AJ$5,),Z244),INDEX(OFFSET(Arb!$B$2,,,Arb!$AJ$5,),Z244),INDEX(OFFSET(Arb!$A$2,,,Arb!$AJ$5,),Z244))+ROW()*0.001)</f>
        <v/>
      </c>
      <c r="AG244" s="442">
        <v>102</v>
      </c>
      <c r="AI244" s="52" t="str">
        <f ca="1">IF(AH244="","",INDEX(OFFSET(Arb!$H$2,,,Arb!$AJ$5,),AH244))</f>
        <v/>
      </c>
      <c r="AJ244" s="3" t="str">
        <f t="shared" ca="1" si="79"/>
        <v/>
      </c>
      <c r="AK244" s="165" t="str">
        <f ca="1">IF(AH244="","",INDEX(OFFSET(Arb!$X$2,,,Arb!$AJ$5,),AH244)/AI244)</f>
        <v/>
      </c>
      <c r="AL244" s="165" t="str">
        <f ca="1">IF(AH244="","",(INDEX(OFFSET(Arb!$U$2,,,Arb!$AJ$5,),AH244)+INDEX(OFFSET(Arb!$V$2,,,Arb!$AJ$5,),AH244))/AI244)</f>
        <v/>
      </c>
      <c r="AM244" s="51" t="str">
        <f t="shared" ca="1" si="89"/>
        <v/>
      </c>
      <c r="AN244" s="88" t="str">
        <f ca="1">IF(AH244="","",DATE(INDEX(OFFSET(Arb!$C$2,,,Arb!$AJ$5,),AH244),INDEX(OFFSET(Arb!$B$2,,,Arb!$AJ$5,),AH244),INDEX(OFFSET(Arb!$A$2,,,Arb!$AJ$5,),AH244))+ROW()*0.001)</f>
        <v/>
      </c>
      <c r="AO244" s="436">
        <v>102</v>
      </c>
      <c r="AQ244" s="52" t="str">
        <f ca="1">IF(AP244="","",INDEX(OFFSET(Arb!$H$2,,,Arb!$AJ$5,),AP244))</f>
        <v/>
      </c>
      <c r="AR244" s="3" t="str">
        <f t="shared" ca="1" si="80"/>
        <v/>
      </c>
      <c r="AS244" s="165" t="str">
        <f ca="1">IF(AP244="","",INDEX(OFFSET(Arb!$X$2,,,Arb!$AJ$5,),AP244)/AQ244)</f>
        <v/>
      </c>
      <c r="AT244" s="165" t="str">
        <f ca="1">IF(AP244="","",(INDEX(OFFSET(Arb!$U$2,,,Arb!$AJ$5,),AP244)+INDEX(OFFSET(Arb!$V$2,,,Arb!$AJ$5,),AP244))/AQ244)</f>
        <v/>
      </c>
      <c r="AU244" s="51" t="str">
        <f t="shared" ca="1" si="90"/>
        <v/>
      </c>
      <c r="AV244" s="91" t="str">
        <f ca="1">IF(AP244="","",DATE(INDEX(OFFSET(Arb!$C$2,,,Arb!$AJ$5,),AP244),INDEX(OFFSET(Arb!$B$2,,,Arb!$AJ$5,),AP244),INDEX(OFFSET(Arb!$A$2,,,Arb!$AJ$5,),AP244))+ROW()*0.001)</f>
        <v/>
      </c>
      <c r="AW244" s="442">
        <v>102</v>
      </c>
      <c r="AY244" s="52" t="str">
        <f ca="1">IF(AX244="","",INDEX(OFFSET(Arb!$H$2,,,Arb!$AJ$5,),AX244))</f>
        <v/>
      </c>
      <c r="AZ244" s="3" t="str">
        <f t="shared" ca="1" si="81"/>
        <v/>
      </c>
      <c r="BA244" s="165" t="str">
        <f ca="1">IF(AX244="","",INDEX(OFFSET(Arb!$X$2,,,Arb!$AJ$5,),AX244)/AY244)</f>
        <v/>
      </c>
      <c r="BB244" s="165" t="str">
        <f ca="1">IF(AX244="","",(INDEX(OFFSET(Arb!$U$2,,,Arb!$AJ$5,),AX244)+INDEX(OFFSET(Arb!$V$2,,,Arb!$AJ$5,),AX244))/AY244)</f>
        <v/>
      </c>
      <c r="BC244" s="51" t="str">
        <f t="shared" ca="1" si="91"/>
        <v/>
      </c>
      <c r="BD244" s="88" t="str">
        <f ca="1">IF(AX244="","",DATE(INDEX(OFFSET(Arb!$C$2,,,Arb!$AJ$5,),AX244),INDEX(OFFSET(Arb!$B$2,,,Arb!$AJ$5,),AX244),INDEX(OFFSET(Arb!$A$2,,,Arb!$AJ$5,),AX244))+ROW()*0.001)</f>
        <v/>
      </c>
      <c r="BE244" s="436">
        <v>102</v>
      </c>
      <c r="BG244" s="52" t="str">
        <f ca="1">IF(BF244="","",INDEX(OFFSET(Arb!$H$2,,,Arb!$AJ$5,),BF244))</f>
        <v/>
      </c>
      <c r="BH244" s="3" t="str">
        <f t="shared" ca="1" si="82"/>
        <v/>
      </c>
      <c r="BI244" s="165" t="str">
        <f ca="1">IF(BF244="","",INDEX(OFFSET(Arb!$X$2,,,Arb!$AJ$5,),BF244)/BG244)</f>
        <v/>
      </c>
      <c r="BJ244" s="165" t="str">
        <f ca="1">IF(BF244="","",(INDEX(OFFSET(Arb!$U$2,,,Arb!$AJ$5,),BF244)+INDEX(OFFSET(Arb!$V$2,,,Arb!$AJ$5,),BF244))/BG244)</f>
        <v/>
      </c>
      <c r="BK244" s="51" t="str">
        <f t="shared" ca="1" si="92"/>
        <v/>
      </c>
      <c r="BL244" s="91" t="str">
        <f ca="1">IF(BF244="","",DATE(INDEX(OFFSET(Arb!$C$2,,,Arb!$AJ$5,),BF244),INDEX(OFFSET(Arb!$B$2,,,Arb!$AJ$5,),BF244),INDEX(OFFSET(Arb!$A$2,,,Arb!$AJ$5,),BF244))+ROW()*0.001)</f>
        <v/>
      </c>
      <c r="BM244" s="442">
        <v>102</v>
      </c>
      <c r="BO244" s="52" t="str">
        <f ca="1">IF(BN244="","",INDEX(OFFSET(Arb!$H$2,,,Arb!$AJ$5,),BN244))</f>
        <v/>
      </c>
      <c r="BP244" s="3" t="str">
        <f t="shared" ca="1" si="83"/>
        <v/>
      </c>
      <c r="BQ244" s="165" t="str">
        <f ca="1">IF(BN244="","",INDEX(OFFSET(Arb!$X$2,,,Arb!$AJ$5,),BN244)/BO244)</f>
        <v/>
      </c>
      <c r="BR244" s="165" t="str">
        <f ca="1">IF(BN244="","",(INDEX(OFFSET(Arb!$U$2,,,Arb!$AJ$5,),BN244)+INDEX(OFFSET(Arb!$V$2,,,Arb!$AJ$5,),BN244))/BO244)</f>
        <v/>
      </c>
      <c r="BS244" s="51" t="str">
        <f t="shared" ca="1" si="93"/>
        <v/>
      </c>
      <c r="BT244" s="88" t="str">
        <f ca="1">IF(BN244="","",DATE(INDEX(OFFSET(Arb!$C$2,,,Arb!$AJ$5,),BN244),INDEX(OFFSET(Arb!$B$2,,,Arb!$AJ$5,),BN244),INDEX(OFFSET(Arb!$A$2,,,Arb!$AJ$5,),BN244))+ROW()*0.001)</f>
        <v/>
      </c>
      <c r="BU244" s="436">
        <v>102</v>
      </c>
      <c r="BW244" s="52" t="str">
        <f ca="1">IF(BV244="","",INDEX(OFFSET(Arb!$H$2,,,Arb!$AJ$5,),BV244))</f>
        <v/>
      </c>
      <c r="BX244" s="3" t="str">
        <f t="shared" ca="1" si="84"/>
        <v/>
      </c>
      <c r="BY244" s="165" t="str">
        <f ca="1">IF(BV244="","",INDEX(OFFSET(Arb!$X$2,,,Arb!$AJ$5,),BV244)/BW244)</f>
        <v/>
      </c>
      <c r="BZ244" s="165" t="str">
        <f ca="1">IF(BV244="","",(INDEX(OFFSET(Arb!$U$2,,,Arb!$AJ$5,),BV244)+INDEX(OFFSET(Arb!$V$2,,,Arb!$AJ$5,),BV244))/BW244)</f>
        <v/>
      </c>
      <c r="CA244" s="51" t="str">
        <f t="shared" ca="1" si="94"/>
        <v/>
      </c>
      <c r="CB244" s="91" t="str">
        <f ca="1">IF(BV244="","",DATE(INDEX(OFFSET(Arb!$C$2,,,Arb!$AJ$5,),BV244),INDEX(OFFSET(Arb!$B$2,,,Arb!$AJ$5,),BV244),INDEX(OFFSET(Arb!$A$2,,,Arb!$AJ$5,),BV244))+ROW()*0.001)</f>
        <v/>
      </c>
    </row>
    <row r="245" spans="1:80" x14ac:dyDescent="0.25">
      <c r="A245" s="433">
        <v>103</v>
      </c>
      <c r="C245" s="52" t="str">
        <f ca="1">IF(B245="","",INDEX(OFFSET(Arb!$H$2,,,Arb!$AJ$5,),B245))</f>
        <v/>
      </c>
      <c r="D245" s="3" t="str">
        <f t="shared" ca="1" si="75"/>
        <v/>
      </c>
      <c r="E245" s="165" t="str">
        <f ca="1">IF(B245="","",INDEX(OFFSET(Arb!$X$2,,,Arb!$AJ$5,),B245)/C245)</f>
        <v/>
      </c>
      <c r="F245" s="165" t="str">
        <f ca="1">IF(B245="","",(INDEX(OFFSET(Arb!$U$2,,,Arb!$AJ$5,),B245)+INDEX(OFFSET(Arb!$V$2,,,Arb!$AJ$5,),B245))/C245)</f>
        <v/>
      </c>
      <c r="G245" s="51" t="str">
        <f t="shared" ca="1" si="85"/>
        <v/>
      </c>
      <c r="H245" s="355" t="str">
        <f ca="1">IF(B245="","",DATE(INDEX(OFFSET(Arb!$C$2,,,Arb!$AJ$5,),B245),INDEX(OFFSET(Arb!$B$2,,,Arb!$AJ$5,),B245),INDEX(OFFSET(Arb!$A$2,,,Arb!$AJ$5,),B245))+ROW()*0.001)</f>
        <v/>
      </c>
      <c r="I245" s="436">
        <v>103</v>
      </c>
      <c r="K245" s="52" t="str">
        <f ca="1">IF(J245="","",INDEX(OFFSET(Arb!$H$2,,,Arb!$AJ$5,),J245))</f>
        <v/>
      </c>
      <c r="L245" s="3" t="str">
        <f t="shared" ca="1" si="76"/>
        <v/>
      </c>
      <c r="M245" s="165" t="str">
        <f ca="1">IF(J245="","",INDEX(OFFSET(Arb!$X$2,,,Arb!$AJ$5,),J245)/K245)</f>
        <v/>
      </c>
      <c r="N245" s="165" t="str">
        <f ca="1">IF(J245="","",(INDEX(OFFSET(Arb!$U$2,,,Arb!$AJ$5,),J245)+INDEX(OFFSET(Arb!$V$2,,,Arb!$AJ$5,),J245))/K245)</f>
        <v/>
      </c>
      <c r="O245" s="51" t="str">
        <f t="shared" ca="1" si="86"/>
        <v/>
      </c>
      <c r="P245" s="91" t="str">
        <f ca="1">IF(J245="","",DATE(INDEX(OFFSET(Arb!$C$2,,,Arb!$AJ$5,),J245),INDEX(OFFSET(Arb!$B$2,,,Arb!$AJ$5,),J245),INDEX(OFFSET(Arb!$A$2,,,Arb!$AJ$5,),J245))+ROW()*0.001)</f>
        <v/>
      </c>
      <c r="Q245" s="442">
        <v>103</v>
      </c>
      <c r="S245" s="52" t="str">
        <f ca="1">IF(R245="","",INDEX(OFFSET(Arb!$H$2,,,Arb!$AJ$5,),R245))</f>
        <v/>
      </c>
      <c r="T245" s="3" t="str">
        <f t="shared" ca="1" si="77"/>
        <v/>
      </c>
      <c r="U245" s="165" t="str">
        <f ca="1">IF(R245="","",INDEX(OFFSET(Arb!$X$2,,,Arb!$AJ$5,),R245)/S245)</f>
        <v/>
      </c>
      <c r="V245" s="165" t="str">
        <f ca="1">IF(R245="","",(INDEX(OFFSET(Arb!$U$2,,,Arb!$AJ$5,),R245)+INDEX(OFFSET(Arb!$V$2,,,Arb!$AJ$5,),R245))/S245)</f>
        <v/>
      </c>
      <c r="W245" s="51" t="str">
        <f t="shared" ca="1" si="87"/>
        <v/>
      </c>
      <c r="X245" s="88" t="str">
        <f ca="1">IF(R245="","",DATE(INDEX(OFFSET(Arb!$C$2,,,Arb!$AJ$5,),R245),INDEX(OFFSET(Arb!$B$2,,,Arb!$AJ$5,),R245),INDEX(OFFSET(Arb!$A$2,,,Arb!$AJ$5,),R245))+ROW()*0.001)</f>
        <v/>
      </c>
      <c r="Y245" s="436">
        <v>103</v>
      </c>
      <c r="AA245" s="52" t="str">
        <f ca="1">IF(Z245="","",INDEX(OFFSET(Arb!$H$2,,,Arb!$AJ$5,),Z245))</f>
        <v/>
      </c>
      <c r="AB245" s="3" t="str">
        <f t="shared" ca="1" si="78"/>
        <v/>
      </c>
      <c r="AC245" s="165" t="str">
        <f ca="1">IF(Z245="","",INDEX(OFFSET(Arb!$X$2,,,Arb!$AJ$5,),Z245)/AA245)</f>
        <v/>
      </c>
      <c r="AD245" s="165" t="str">
        <f ca="1">IF(Z245="","",(INDEX(OFFSET(Arb!$U$2,,,Arb!$AJ$5,),Z245)+INDEX(OFFSET(Arb!$V$2,,,Arb!$AJ$5,),Z245))/AA245)</f>
        <v/>
      </c>
      <c r="AE245" s="51" t="str">
        <f t="shared" ca="1" si="88"/>
        <v/>
      </c>
      <c r="AF245" s="91" t="str">
        <f ca="1">IF(Z245="","",DATE(INDEX(OFFSET(Arb!$C$2,,,Arb!$AJ$5,),Z245),INDEX(OFFSET(Arb!$B$2,,,Arb!$AJ$5,),Z245),INDEX(OFFSET(Arb!$A$2,,,Arb!$AJ$5,),Z245))+ROW()*0.001)</f>
        <v/>
      </c>
      <c r="AG245" s="442">
        <v>103</v>
      </c>
      <c r="AI245" s="52" t="str">
        <f ca="1">IF(AH245="","",INDEX(OFFSET(Arb!$H$2,,,Arb!$AJ$5,),AH245))</f>
        <v/>
      </c>
      <c r="AJ245" s="3" t="str">
        <f t="shared" ca="1" si="79"/>
        <v/>
      </c>
      <c r="AK245" s="165" t="str">
        <f ca="1">IF(AH245="","",INDEX(OFFSET(Arb!$X$2,,,Arb!$AJ$5,),AH245)/AI245)</f>
        <v/>
      </c>
      <c r="AL245" s="165" t="str">
        <f ca="1">IF(AH245="","",(INDEX(OFFSET(Arb!$U$2,,,Arb!$AJ$5,),AH245)+INDEX(OFFSET(Arb!$V$2,,,Arb!$AJ$5,),AH245))/AI245)</f>
        <v/>
      </c>
      <c r="AM245" s="51" t="str">
        <f t="shared" ca="1" si="89"/>
        <v/>
      </c>
      <c r="AN245" s="88" t="str">
        <f ca="1">IF(AH245="","",DATE(INDEX(OFFSET(Arb!$C$2,,,Arb!$AJ$5,),AH245),INDEX(OFFSET(Arb!$B$2,,,Arb!$AJ$5,),AH245),INDEX(OFFSET(Arb!$A$2,,,Arb!$AJ$5,),AH245))+ROW()*0.001)</f>
        <v/>
      </c>
      <c r="AO245" s="436">
        <v>103</v>
      </c>
      <c r="AQ245" s="52" t="str">
        <f ca="1">IF(AP245="","",INDEX(OFFSET(Arb!$H$2,,,Arb!$AJ$5,),AP245))</f>
        <v/>
      </c>
      <c r="AR245" s="3" t="str">
        <f t="shared" ca="1" si="80"/>
        <v/>
      </c>
      <c r="AS245" s="165" t="str">
        <f ca="1">IF(AP245="","",INDEX(OFFSET(Arb!$X$2,,,Arb!$AJ$5,),AP245)/AQ245)</f>
        <v/>
      </c>
      <c r="AT245" s="165" t="str">
        <f ca="1">IF(AP245="","",(INDEX(OFFSET(Arb!$U$2,,,Arb!$AJ$5,),AP245)+INDEX(OFFSET(Arb!$V$2,,,Arb!$AJ$5,),AP245))/AQ245)</f>
        <v/>
      </c>
      <c r="AU245" s="51" t="str">
        <f t="shared" ca="1" si="90"/>
        <v/>
      </c>
      <c r="AV245" s="91" t="str">
        <f ca="1">IF(AP245="","",DATE(INDEX(OFFSET(Arb!$C$2,,,Arb!$AJ$5,),AP245),INDEX(OFFSET(Arb!$B$2,,,Arb!$AJ$5,),AP245),INDEX(OFFSET(Arb!$A$2,,,Arb!$AJ$5,),AP245))+ROW()*0.001)</f>
        <v/>
      </c>
      <c r="AW245" s="442">
        <v>103</v>
      </c>
      <c r="AY245" s="52" t="str">
        <f ca="1">IF(AX245="","",INDEX(OFFSET(Arb!$H$2,,,Arb!$AJ$5,),AX245))</f>
        <v/>
      </c>
      <c r="AZ245" s="3" t="str">
        <f t="shared" ca="1" si="81"/>
        <v/>
      </c>
      <c r="BA245" s="165" t="str">
        <f ca="1">IF(AX245="","",INDEX(OFFSET(Arb!$X$2,,,Arb!$AJ$5,),AX245)/AY245)</f>
        <v/>
      </c>
      <c r="BB245" s="165" t="str">
        <f ca="1">IF(AX245="","",(INDEX(OFFSET(Arb!$U$2,,,Arb!$AJ$5,),AX245)+INDEX(OFFSET(Arb!$V$2,,,Arb!$AJ$5,),AX245))/AY245)</f>
        <v/>
      </c>
      <c r="BC245" s="51" t="str">
        <f t="shared" ca="1" si="91"/>
        <v/>
      </c>
      <c r="BD245" s="88" t="str">
        <f ca="1">IF(AX245="","",DATE(INDEX(OFFSET(Arb!$C$2,,,Arb!$AJ$5,),AX245),INDEX(OFFSET(Arb!$B$2,,,Arb!$AJ$5,),AX245),INDEX(OFFSET(Arb!$A$2,,,Arb!$AJ$5,),AX245))+ROW()*0.001)</f>
        <v/>
      </c>
      <c r="BE245" s="436">
        <v>103</v>
      </c>
      <c r="BG245" s="52" t="str">
        <f ca="1">IF(BF245="","",INDEX(OFFSET(Arb!$H$2,,,Arb!$AJ$5,),BF245))</f>
        <v/>
      </c>
      <c r="BH245" s="3" t="str">
        <f t="shared" ca="1" si="82"/>
        <v/>
      </c>
      <c r="BI245" s="165" t="str">
        <f ca="1">IF(BF245="","",INDEX(OFFSET(Arb!$X$2,,,Arb!$AJ$5,),BF245)/BG245)</f>
        <v/>
      </c>
      <c r="BJ245" s="165" t="str">
        <f ca="1">IF(BF245="","",(INDEX(OFFSET(Arb!$U$2,,,Arb!$AJ$5,),BF245)+INDEX(OFFSET(Arb!$V$2,,,Arb!$AJ$5,),BF245))/BG245)</f>
        <v/>
      </c>
      <c r="BK245" s="51" t="str">
        <f t="shared" ca="1" si="92"/>
        <v/>
      </c>
      <c r="BL245" s="91" t="str">
        <f ca="1">IF(BF245="","",DATE(INDEX(OFFSET(Arb!$C$2,,,Arb!$AJ$5,),BF245),INDEX(OFFSET(Arb!$B$2,,,Arb!$AJ$5,),BF245),INDEX(OFFSET(Arb!$A$2,,,Arb!$AJ$5,),BF245))+ROW()*0.001)</f>
        <v/>
      </c>
      <c r="BM245" s="442">
        <v>103</v>
      </c>
      <c r="BO245" s="52" t="str">
        <f ca="1">IF(BN245="","",INDEX(OFFSET(Arb!$H$2,,,Arb!$AJ$5,),BN245))</f>
        <v/>
      </c>
      <c r="BP245" s="3" t="str">
        <f t="shared" ca="1" si="83"/>
        <v/>
      </c>
      <c r="BQ245" s="165" t="str">
        <f ca="1">IF(BN245="","",INDEX(OFFSET(Arb!$X$2,,,Arb!$AJ$5,),BN245)/BO245)</f>
        <v/>
      </c>
      <c r="BR245" s="165" t="str">
        <f ca="1">IF(BN245="","",(INDEX(OFFSET(Arb!$U$2,,,Arb!$AJ$5,),BN245)+INDEX(OFFSET(Arb!$V$2,,,Arb!$AJ$5,),BN245))/BO245)</f>
        <v/>
      </c>
      <c r="BS245" s="51" t="str">
        <f t="shared" ca="1" si="93"/>
        <v/>
      </c>
      <c r="BT245" s="88" t="str">
        <f ca="1">IF(BN245="","",DATE(INDEX(OFFSET(Arb!$C$2,,,Arb!$AJ$5,),BN245),INDEX(OFFSET(Arb!$B$2,,,Arb!$AJ$5,),BN245),INDEX(OFFSET(Arb!$A$2,,,Arb!$AJ$5,),BN245))+ROW()*0.001)</f>
        <v/>
      </c>
      <c r="BU245" s="436">
        <v>103</v>
      </c>
      <c r="BW245" s="52" t="str">
        <f ca="1">IF(BV245="","",INDEX(OFFSET(Arb!$H$2,,,Arb!$AJ$5,),BV245))</f>
        <v/>
      </c>
      <c r="BX245" s="3" t="str">
        <f t="shared" ca="1" si="84"/>
        <v/>
      </c>
      <c r="BY245" s="165" t="str">
        <f ca="1">IF(BV245="","",INDEX(OFFSET(Arb!$X$2,,,Arb!$AJ$5,),BV245)/BW245)</f>
        <v/>
      </c>
      <c r="BZ245" s="165" t="str">
        <f ca="1">IF(BV245="","",(INDEX(OFFSET(Arb!$U$2,,,Arb!$AJ$5,),BV245)+INDEX(OFFSET(Arb!$V$2,,,Arb!$AJ$5,),BV245))/BW245)</f>
        <v/>
      </c>
      <c r="CA245" s="51" t="str">
        <f t="shared" ca="1" si="94"/>
        <v/>
      </c>
      <c r="CB245" s="91" t="str">
        <f ca="1">IF(BV245="","",DATE(INDEX(OFFSET(Arb!$C$2,,,Arb!$AJ$5,),BV245),INDEX(OFFSET(Arb!$B$2,,,Arb!$AJ$5,),BV245),INDEX(OFFSET(Arb!$A$2,,,Arb!$AJ$5,),BV245))+ROW()*0.001)</f>
        <v/>
      </c>
    </row>
    <row r="246" spans="1:80" x14ac:dyDescent="0.25">
      <c r="A246" s="433">
        <v>104</v>
      </c>
      <c r="C246" s="52" t="str">
        <f ca="1">IF(B246="","",INDEX(OFFSET(Arb!$H$2,,,Arb!$AJ$5,),B246))</f>
        <v/>
      </c>
      <c r="D246" s="3" t="str">
        <f t="shared" ca="1" si="75"/>
        <v/>
      </c>
      <c r="E246" s="165" t="str">
        <f ca="1">IF(B246="","",INDEX(OFFSET(Arb!$X$2,,,Arb!$AJ$5,),B246)/C246)</f>
        <v/>
      </c>
      <c r="F246" s="165" t="str">
        <f ca="1">IF(B246="","",(INDEX(OFFSET(Arb!$U$2,,,Arb!$AJ$5,),B246)+INDEX(OFFSET(Arb!$V$2,,,Arb!$AJ$5,),B246))/C246)</f>
        <v/>
      </c>
      <c r="G246" s="51" t="str">
        <f t="shared" ca="1" si="85"/>
        <v/>
      </c>
      <c r="H246" s="355" t="str">
        <f ca="1">IF(B246="","",DATE(INDEX(OFFSET(Arb!$C$2,,,Arb!$AJ$5,),B246),INDEX(OFFSET(Arb!$B$2,,,Arb!$AJ$5,),B246),INDEX(OFFSET(Arb!$A$2,,,Arb!$AJ$5,),B246))+ROW()*0.001)</f>
        <v/>
      </c>
      <c r="I246" s="436">
        <v>104</v>
      </c>
      <c r="K246" s="52" t="str">
        <f ca="1">IF(J246="","",INDEX(OFFSET(Arb!$H$2,,,Arb!$AJ$5,),J246))</f>
        <v/>
      </c>
      <c r="L246" s="3" t="str">
        <f t="shared" ca="1" si="76"/>
        <v/>
      </c>
      <c r="M246" s="165" t="str">
        <f ca="1">IF(J246="","",INDEX(OFFSET(Arb!$X$2,,,Arb!$AJ$5,),J246)/K246)</f>
        <v/>
      </c>
      <c r="N246" s="165" t="str">
        <f ca="1">IF(J246="","",(INDEX(OFFSET(Arb!$U$2,,,Arb!$AJ$5,),J246)+INDEX(OFFSET(Arb!$V$2,,,Arb!$AJ$5,),J246))/K246)</f>
        <v/>
      </c>
      <c r="O246" s="51" t="str">
        <f t="shared" ca="1" si="86"/>
        <v/>
      </c>
      <c r="P246" s="91" t="str">
        <f ca="1">IF(J246="","",DATE(INDEX(OFFSET(Arb!$C$2,,,Arb!$AJ$5,),J246),INDEX(OFFSET(Arb!$B$2,,,Arb!$AJ$5,),J246),INDEX(OFFSET(Arb!$A$2,,,Arb!$AJ$5,),J246))+ROW()*0.001)</f>
        <v/>
      </c>
      <c r="Q246" s="442">
        <v>104</v>
      </c>
      <c r="S246" s="52" t="str">
        <f ca="1">IF(R246="","",INDEX(OFFSET(Arb!$H$2,,,Arb!$AJ$5,),R246))</f>
        <v/>
      </c>
      <c r="T246" s="3" t="str">
        <f t="shared" ca="1" si="77"/>
        <v/>
      </c>
      <c r="U246" s="165" t="str">
        <f ca="1">IF(R246="","",INDEX(OFFSET(Arb!$X$2,,,Arb!$AJ$5,),R246)/S246)</f>
        <v/>
      </c>
      <c r="V246" s="165" t="str">
        <f ca="1">IF(R246="","",(INDEX(OFFSET(Arb!$U$2,,,Arb!$AJ$5,),R246)+INDEX(OFFSET(Arb!$V$2,,,Arb!$AJ$5,),R246))/S246)</f>
        <v/>
      </c>
      <c r="W246" s="51" t="str">
        <f t="shared" ca="1" si="87"/>
        <v/>
      </c>
      <c r="X246" s="88" t="str">
        <f ca="1">IF(R246="","",DATE(INDEX(OFFSET(Arb!$C$2,,,Arb!$AJ$5,),R246),INDEX(OFFSET(Arb!$B$2,,,Arb!$AJ$5,),R246),INDEX(OFFSET(Arb!$A$2,,,Arb!$AJ$5,),R246))+ROW()*0.001)</f>
        <v/>
      </c>
      <c r="Y246" s="436">
        <v>104</v>
      </c>
      <c r="AA246" s="52" t="str">
        <f ca="1">IF(Z246="","",INDEX(OFFSET(Arb!$H$2,,,Arb!$AJ$5,),Z246))</f>
        <v/>
      </c>
      <c r="AB246" s="3" t="str">
        <f t="shared" ca="1" si="78"/>
        <v/>
      </c>
      <c r="AC246" s="165" t="str">
        <f ca="1">IF(Z246="","",INDEX(OFFSET(Arb!$X$2,,,Arb!$AJ$5,),Z246)/AA246)</f>
        <v/>
      </c>
      <c r="AD246" s="165" t="str">
        <f ca="1">IF(Z246="","",(INDEX(OFFSET(Arb!$U$2,,,Arb!$AJ$5,),Z246)+INDEX(OFFSET(Arb!$V$2,,,Arb!$AJ$5,),Z246))/AA246)</f>
        <v/>
      </c>
      <c r="AE246" s="51" t="str">
        <f t="shared" ca="1" si="88"/>
        <v/>
      </c>
      <c r="AF246" s="91" t="str">
        <f ca="1">IF(Z246="","",DATE(INDEX(OFFSET(Arb!$C$2,,,Arb!$AJ$5,),Z246),INDEX(OFFSET(Arb!$B$2,,,Arb!$AJ$5,),Z246),INDEX(OFFSET(Arb!$A$2,,,Arb!$AJ$5,),Z246))+ROW()*0.001)</f>
        <v/>
      </c>
      <c r="AG246" s="442">
        <v>104</v>
      </c>
      <c r="AI246" s="52" t="str">
        <f ca="1">IF(AH246="","",INDEX(OFFSET(Arb!$H$2,,,Arb!$AJ$5,),AH246))</f>
        <v/>
      </c>
      <c r="AJ246" s="3" t="str">
        <f t="shared" ca="1" si="79"/>
        <v/>
      </c>
      <c r="AK246" s="165" t="str">
        <f ca="1">IF(AH246="","",INDEX(OFFSET(Arb!$X$2,,,Arb!$AJ$5,),AH246)/AI246)</f>
        <v/>
      </c>
      <c r="AL246" s="165" t="str">
        <f ca="1">IF(AH246="","",(INDEX(OFFSET(Arb!$U$2,,,Arb!$AJ$5,),AH246)+INDEX(OFFSET(Arb!$V$2,,,Arb!$AJ$5,),AH246))/AI246)</f>
        <v/>
      </c>
      <c r="AM246" s="51" t="str">
        <f t="shared" ca="1" si="89"/>
        <v/>
      </c>
      <c r="AN246" s="88" t="str">
        <f ca="1">IF(AH246="","",DATE(INDEX(OFFSET(Arb!$C$2,,,Arb!$AJ$5,),AH246),INDEX(OFFSET(Arb!$B$2,,,Arb!$AJ$5,),AH246),INDEX(OFFSET(Arb!$A$2,,,Arb!$AJ$5,),AH246))+ROW()*0.001)</f>
        <v/>
      </c>
      <c r="AO246" s="436">
        <v>104</v>
      </c>
      <c r="AQ246" s="52" t="str">
        <f ca="1">IF(AP246="","",INDEX(OFFSET(Arb!$H$2,,,Arb!$AJ$5,),AP246))</f>
        <v/>
      </c>
      <c r="AR246" s="3" t="str">
        <f t="shared" ca="1" si="80"/>
        <v/>
      </c>
      <c r="AS246" s="165" t="str">
        <f ca="1">IF(AP246="","",INDEX(OFFSET(Arb!$X$2,,,Arb!$AJ$5,),AP246)/AQ246)</f>
        <v/>
      </c>
      <c r="AT246" s="165" t="str">
        <f ca="1">IF(AP246="","",(INDEX(OFFSET(Arb!$U$2,,,Arb!$AJ$5,),AP246)+INDEX(OFFSET(Arb!$V$2,,,Arb!$AJ$5,),AP246))/AQ246)</f>
        <v/>
      </c>
      <c r="AU246" s="51" t="str">
        <f t="shared" ca="1" si="90"/>
        <v/>
      </c>
      <c r="AV246" s="91" t="str">
        <f ca="1">IF(AP246="","",DATE(INDEX(OFFSET(Arb!$C$2,,,Arb!$AJ$5,),AP246),INDEX(OFFSET(Arb!$B$2,,,Arb!$AJ$5,),AP246),INDEX(OFFSET(Arb!$A$2,,,Arb!$AJ$5,),AP246))+ROW()*0.001)</f>
        <v/>
      </c>
      <c r="AW246" s="442">
        <v>104</v>
      </c>
      <c r="AY246" s="52" t="str">
        <f ca="1">IF(AX246="","",INDEX(OFFSET(Arb!$H$2,,,Arb!$AJ$5,),AX246))</f>
        <v/>
      </c>
      <c r="AZ246" s="3" t="str">
        <f t="shared" ca="1" si="81"/>
        <v/>
      </c>
      <c r="BA246" s="165" t="str">
        <f ca="1">IF(AX246="","",INDEX(OFFSET(Arb!$X$2,,,Arb!$AJ$5,),AX246)/AY246)</f>
        <v/>
      </c>
      <c r="BB246" s="165" t="str">
        <f ca="1">IF(AX246="","",(INDEX(OFFSET(Arb!$U$2,,,Arb!$AJ$5,),AX246)+INDEX(OFFSET(Arb!$V$2,,,Arb!$AJ$5,),AX246))/AY246)</f>
        <v/>
      </c>
      <c r="BC246" s="51" t="str">
        <f t="shared" ca="1" si="91"/>
        <v/>
      </c>
      <c r="BD246" s="88" t="str">
        <f ca="1">IF(AX246="","",DATE(INDEX(OFFSET(Arb!$C$2,,,Arb!$AJ$5,),AX246),INDEX(OFFSET(Arb!$B$2,,,Arb!$AJ$5,),AX246),INDEX(OFFSET(Arb!$A$2,,,Arb!$AJ$5,),AX246))+ROW()*0.001)</f>
        <v/>
      </c>
      <c r="BE246" s="436">
        <v>104</v>
      </c>
      <c r="BG246" s="52" t="str">
        <f ca="1">IF(BF246="","",INDEX(OFFSET(Arb!$H$2,,,Arb!$AJ$5,),BF246))</f>
        <v/>
      </c>
      <c r="BH246" s="3" t="str">
        <f t="shared" ca="1" si="82"/>
        <v/>
      </c>
      <c r="BI246" s="165" t="str">
        <f ca="1">IF(BF246="","",INDEX(OFFSET(Arb!$X$2,,,Arb!$AJ$5,),BF246)/BG246)</f>
        <v/>
      </c>
      <c r="BJ246" s="165" t="str">
        <f ca="1">IF(BF246="","",(INDEX(OFFSET(Arb!$U$2,,,Arb!$AJ$5,),BF246)+INDEX(OFFSET(Arb!$V$2,,,Arb!$AJ$5,),BF246))/BG246)</f>
        <v/>
      </c>
      <c r="BK246" s="51" t="str">
        <f t="shared" ca="1" si="92"/>
        <v/>
      </c>
      <c r="BL246" s="91" t="str">
        <f ca="1">IF(BF246="","",DATE(INDEX(OFFSET(Arb!$C$2,,,Arb!$AJ$5,),BF246),INDEX(OFFSET(Arb!$B$2,,,Arb!$AJ$5,),BF246),INDEX(OFFSET(Arb!$A$2,,,Arb!$AJ$5,),BF246))+ROW()*0.001)</f>
        <v/>
      </c>
      <c r="BM246" s="442">
        <v>104</v>
      </c>
      <c r="BO246" s="52" t="str">
        <f ca="1">IF(BN246="","",INDEX(OFFSET(Arb!$H$2,,,Arb!$AJ$5,),BN246))</f>
        <v/>
      </c>
      <c r="BP246" s="3" t="str">
        <f t="shared" ca="1" si="83"/>
        <v/>
      </c>
      <c r="BQ246" s="165" t="str">
        <f ca="1">IF(BN246="","",INDEX(OFFSET(Arb!$X$2,,,Arb!$AJ$5,),BN246)/BO246)</f>
        <v/>
      </c>
      <c r="BR246" s="165" t="str">
        <f ca="1">IF(BN246="","",(INDEX(OFFSET(Arb!$U$2,,,Arb!$AJ$5,),BN246)+INDEX(OFFSET(Arb!$V$2,,,Arb!$AJ$5,),BN246))/BO246)</f>
        <v/>
      </c>
      <c r="BS246" s="51" t="str">
        <f t="shared" ca="1" si="93"/>
        <v/>
      </c>
      <c r="BT246" s="88" t="str">
        <f ca="1">IF(BN246="","",DATE(INDEX(OFFSET(Arb!$C$2,,,Arb!$AJ$5,),BN246),INDEX(OFFSET(Arb!$B$2,,,Arb!$AJ$5,),BN246),INDEX(OFFSET(Arb!$A$2,,,Arb!$AJ$5,),BN246))+ROW()*0.001)</f>
        <v/>
      </c>
      <c r="BU246" s="436">
        <v>104</v>
      </c>
      <c r="BW246" s="52" t="str">
        <f ca="1">IF(BV246="","",INDEX(OFFSET(Arb!$H$2,,,Arb!$AJ$5,),BV246))</f>
        <v/>
      </c>
      <c r="BX246" s="3" t="str">
        <f t="shared" ca="1" si="84"/>
        <v/>
      </c>
      <c r="BY246" s="165" t="str">
        <f ca="1">IF(BV246="","",INDEX(OFFSET(Arb!$X$2,,,Arb!$AJ$5,),BV246)/BW246)</f>
        <v/>
      </c>
      <c r="BZ246" s="165" t="str">
        <f ca="1">IF(BV246="","",(INDEX(OFFSET(Arb!$U$2,,,Arb!$AJ$5,),BV246)+INDEX(OFFSET(Arb!$V$2,,,Arb!$AJ$5,),BV246))/BW246)</f>
        <v/>
      </c>
      <c r="CA246" s="51" t="str">
        <f t="shared" ca="1" si="94"/>
        <v/>
      </c>
      <c r="CB246" s="91" t="str">
        <f ca="1">IF(BV246="","",DATE(INDEX(OFFSET(Arb!$C$2,,,Arb!$AJ$5,),BV246),INDEX(OFFSET(Arb!$B$2,,,Arb!$AJ$5,),BV246),INDEX(OFFSET(Arb!$A$2,,,Arb!$AJ$5,),BV246))+ROW()*0.001)</f>
        <v/>
      </c>
    </row>
    <row r="247" spans="1:80" x14ac:dyDescent="0.25">
      <c r="A247" s="433">
        <v>105</v>
      </c>
      <c r="C247" s="52" t="str">
        <f ca="1">IF(B247="","",INDEX(OFFSET(Arb!$H$2,,,Arb!$AJ$5,),B247))</f>
        <v/>
      </c>
      <c r="D247" s="3" t="str">
        <f t="shared" ca="1" si="75"/>
        <v/>
      </c>
      <c r="E247" s="165" t="str">
        <f ca="1">IF(B247="","",INDEX(OFFSET(Arb!$X$2,,,Arb!$AJ$5,),B247)/C247)</f>
        <v/>
      </c>
      <c r="F247" s="165" t="str">
        <f ca="1">IF(B247="","",(INDEX(OFFSET(Arb!$U$2,,,Arb!$AJ$5,),B247)+INDEX(OFFSET(Arb!$V$2,,,Arb!$AJ$5,),B247))/C247)</f>
        <v/>
      </c>
      <c r="G247" s="51" t="str">
        <f t="shared" ca="1" si="85"/>
        <v/>
      </c>
      <c r="H247" s="355" t="str">
        <f ca="1">IF(B247="","",DATE(INDEX(OFFSET(Arb!$C$2,,,Arb!$AJ$5,),B247),INDEX(OFFSET(Arb!$B$2,,,Arb!$AJ$5,),B247),INDEX(OFFSET(Arb!$A$2,,,Arb!$AJ$5,),B247))+ROW()*0.001)</f>
        <v/>
      </c>
      <c r="I247" s="436">
        <v>105</v>
      </c>
      <c r="K247" s="52" t="str">
        <f ca="1">IF(J247="","",INDEX(OFFSET(Arb!$H$2,,,Arb!$AJ$5,),J247))</f>
        <v/>
      </c>
      <c r="L247" s="3" t="str">
        <f t="shared" ca="1" si="76"/>
        <v/>
      </c>
      <c r="M247" s="165" t="str">
        <f ca="1">IF(J247="","",INDEX(OFFSET(Arb!$X$2,,,Arb!$AJ$5,),J247)/K247)</f>
        <v/>
      </c>
      <c r="N247" s="165" t="str">
        <f ca="1">IF(J247="","",(INDEX(OFFSET(Arb!$U$2,,,Arb!$AJ$5,),J247)+INDEX(OFFSET(Arb!$V$2,,,Arb!$AJ$5,),J247))/K247)</f>
        <v/>
      </c>
      <c r="O247" s="51" t="str">
        <f t="shared" ca="1" si="86"/>
        <v/>
      </c>
      <c r="P247" s="91" t="str">
        <f ca="1">IF(J247="","",DATE(INDEX(OFFSET(Arb!$C$2,,,Arb!$AJ$5,),J247),INDEX(OFFSET(Arb!$B$2,,,Arb!$AJ$5,),J247),INDEX(OFFSET(Arb!$A$2,,,Arb!$AJ$5,),J247))+ROW()*0.001)</f>
        <v/>
      </c>
      <c r="Q247" s="442">
        <v>105</v>
      </c>
      <c r="S247" s="52" t="str">
        <f ca="1">IF(R247="","",INDEX(OFFSET(Arb!$H$2,,,Arb!$AJ$5,),R247))</f>
        <v/>
      </c>
      <c r="T247" s="3" t="str">
        <f t="shared" ca="1" si="77"/>
        <v/>
      </c>
      <c r="U247" s="165" t="str">
        <f ca="1">IF(R247="","",INDEX(OFFSET(Arb!$X$2,,,Arb!$AJ$5,),R247)/S247)</f>
        <v/>
      </c>
      <c r="V247" s="165" t="str">
        <f ca="1">IF(R247="","",(INDEX(OFFSET(Arb!$U$2,,,Arb!$AJ$5,),R247)+INDEX(OFFSET(Arb!$V$2,,,Arb!$AJ$5,),R247))/S247)</f>
        <v/>
      </c>
      <c r="W247" s="51" t="str">
        <f t="shared" ca="1" si="87"/>
        <v/>
      </c>
      <c r="X247" s="88" t="str">
        <f ca="1">IF(R247="","",DATE(INDEX(OFFSET(Arb!$C$2,,,Arb!$AJ$5,),R247),INDEX(OFFSET(Arb!$B$2,,,Arb!$AJ$5,),R247),INDEX(OFFSET(Arb!$A$2,,,Arb!$AJ$5,),R247))+ROW()*0.001)</f>
        <v/>
      </c>
      <c r="Y247" s="436">
        <v>105</v>
      </c>
      <c r="AA247" s="52" t="str">
        <f ca="1">IF(Z247="","",INDEX(OFFSET(Arb!$H$2,,,Arb!$AJ$5,),Z247))</f>
        <v/>
      </c>
      <c r="AB247" s="3" t="str">
        <f t="shared" ca="1" si="78"/>
        <v/>
      </c>
      <c r="AC247" s="165" t="str">
        <f ca="1">IF(Z247="","",INDEX(OFFSET(Arb!$X$2,,,Arb!$AJ$5,),Z247)/AA247)</f>
        <v/>
      </c>
      <c r="AD247" s="165" t="str">
        <f ca="1">IF(Z247="","",(INDEX(OFFSET(Arb!$U$2,,,Arb!$AJ$5,),Z247)+INDEX(OFFSET(Arb!$V$2,,,Arb!$AJ$5,),Z247))/AA247)</f>
        <v/>
      </c>
      <c r="AE247" s="51" t="str">
        <f t="shared" ca="1" si="88"/>
        <v/>
      </c>
      <c r="AF247" s="91" t="str">
        <f ca="1">IF(Z247="","",DATE(INDEX(OFFSET(Arb!$C$2,,,Arb!$AJ$5,),Z247),INDEX(OFFSET(Arb!$B$2,,,Arb!$AJ$5,),Z247),INDEX(OFFSET(Arb!$A$2,,,Arb!$AJ$5,),Z247))+ROW()*0.001)</f>
        <v/>
      </c>
      <c r="AG247" s="442">
        <v>105</v>
      </c>
      <c r="AI247" s="52" t="str">
        <f ca="1">IF(AH247="","",INDEX(OFFSET(Arb!$H$2,,,Arb!$AJ$5,),AH247))</f>
        <v/>
      </c>
      <c r="AJ247" s="3" t="str">
        <f t="shared" ca="1" si="79"/>
        <v/>
      </c>
      <c r="AK247" s="165" t="str">
        <f ca="1">IF(AH247="","",INDEX(OFFSET(Arb!$X$2,,,Arb!$AJ$5,),AH247)/AI247)</f>
        <v/>
      </c>
      <c r="AL247" s="165" t="str">
        <f ca="1">IF(AH247="","",(INDEX(OFFSET(Arb!$U$2,,,Arb!$AJ$5,),AH247)+INDEX(OFFSET(Arb!$V$2,,,Arb!$AJ$5,),AH247))/AI247)</f>
        <v/>
      </c>
      <c r="AM247" s="51" t="str">
        <f t="shared" ca="1" si="89"/>
        <v/>
      </c>
      <c r="AN247" s="88" t="str">
        <f ca="1">IF(AH247="","",DATE(INDEX(OFFSET(Arb!$C$2,,,Arb!$AJ$5,),AH247),INDEX(OFFSET(Arb!$B$2,,,Arb!$AJ$5,),AH247),INDEX(OFFSET(Arb!$A$2,,,Arb!$AJ$5,),AH247))+ROW()*0.001)</f>
        <v/>
      </c>
      <c r="AO247" s="436">
        <v>105</v>
      </c>
      <c r="AQ247" s="52" t="str">
        <f ca="1">IF(AP247="","",INDEX(OFFSET(Arb!$H$2,,,Arb!$AJ$5,),AP247))</f>
        <v/>
      </c>
      <c r="AR247" s="3" t="str">
        <f t="shared" ca="1" si="80"/>
        <v/>
      </c>
      <c r="AS247" s="165" t="str">
        <f ca="1">IF(AP247="","",INDEX(OFFSET(Arb!$X$2,,,Arb!$AJ$5,),AP247)/AQ247)</f>
        <v/>
      </c>
      <c r="AT247" s="165" t="str">
        <f ca="1">IF(AP247="","",(INDEX(OFFSET(Arb!$U$2,,,Arb!$AJ$5,),AP247)+INDEX(OFFSET(Arb!$V$2,,,Arb!$AJ$5,),AP247))/AQ247)</f>
        <v/>
      </c>
      <c r="AU247" s="51" t="str">
        <f t="shared" ca="1" si="90"/>
        <v/>
      </c>
      <c r="AV247" s="91" t="str">
        <f ca="1">IF(AP247="","",DATE(INDEX(OFFSET(Arb!$C$2,,,Arb!$AJ$5,),AP247),INDEX(OFFSET(Arb!$B$2,,,Arb!$AJ$5,),AP247),INDEX(OFFSET(Arb!$A$2,,,Arb!$AJ$5,),AP247))+ROW()*0.001)</f>
        <v/>
      </c>
      <c r="AW247" s="442">
        <v>105</v>
      </c>
      <c r="AY247" s="52" t="str">
        <f ca="1">IF(AX247="","",INDEX(OFFSET(Arb!$H$2,,,Arb!$AJ$5,),AX247))</f>
        <v/>
      </c>
      <c r="AZ247" s="3" t="str">
        <f t="shared" ca="1" si="81"/>
        <v/>
      </c>
      <c r="BA247" s="165" t="str">
        <f ca="1">IF(AX247="","",INDEX(OFFSET(Arb!$X$2,,,Arb!$AJ$5,),AX247)/AY247)</f>
        <v/>
      </c>
      <c r="BB247" s="165" t="str">
        <f ca="1">IF(AX247="","",(INDEX(OFFSET(Arb!$U$2,,,Arb!$AJ$5,),AX247)+INDEX(OFFSET(Arb!$V$2,,,Arb!$AJ$5,),AX247))/AY247)</f>
        <v/>
      </c>
      <c r="BC247" s="51" t="str">
        <f t="shared" ca="1" si="91"/>
        <v/>
      </c>
      <c r="BD247" s="88" t="str">
        <f ca="1">IF(AX247="","",DATE(INDEX(OFFSET(Arb!$C$2,,,Arb!$AJ$5,),AX247),INDEX(OFFSET(Arb!$B$2,,,Arb!$AJ$5,),AX247),INDEX(OFFSET(Arb!$A$2,,,Arb!$AJ$5,),AX247))+ROW()*0.001)</f>
        <v/>
      </c>
      <c r="BE247" s="436">
        <v>105</v>
      </c>
      <c r="BG247" s="52" t="str">
        <f ca="1">IF(BF247="","",INDEX(OFFSET(Arb!$H$2,,,Arb!$AJ$5,),BF247))</f>
        <v/>
      </c>
      <c r="BH247" s="3" t="str">
        <f t="shared" ca="1" si="82"/>
        <v/>
      </c>
      <c r="BI247" s="165" t="str">
        <f ca="1">IF(BF247="","",INDEX(OFFSET(Arb!$X$2,,,Arb!$AJ$5,),BF247)/BG247)</f>
        <v/>
      </c>
      <c r="BJ247" s="165" t="str">
        <f ca="1">IF(BF247="","",(INDEX(OFFSET(Arb!$U$2,,,Arb!$AJ$5,),BF247)+INDEX(OFFSET(Arb!$V$2,,,Arb!$AJ$5,),BF247))/BG247)</f>
        <v/>
      </c>
      <c r="BK247" s="51" t="str">
        <f t="shared" ca="1" si="92"/>
        <v/>
      </c>
      <c r="BL247" s="91" t="str">
        <f ca="1">IF(BF247="","",DATE(INDEX(OFFSET(Arb!$C$2,,,Arb!$AJ$5,),BF247),INDEX(OFFSET(Arb!$B$2,,,Arb!$AJ$5,),BF247),INDEX(OFFSET(Arb!$A$2,,,Arb!$AJ$5,),BF247))+ROW()*0.001)</f>
        <v/>
      </c>
      <c r="BM247" s="442">
        <v>105</v>
      </c>
      <c r="BO247" s="52" t="str">
        <f ca="1">IF(BN247="","",INDEX(OFFSET(Arb!$H$2,,,Arb!$AJ$5,),BN247))</f>
        <v/>
      </c>
      <c r="BP247" s="3" t="str">
        <f t="shared" ca="1" si="83"/>
        <v/>
      </c>
      <c r="BQ247" s="165" t="str">
        <f ca="1">IF(BN247="","",INDEX(OFFSET(Arb!$X$2,,,Arb!$AJ$5,),BN247)/BO247)</f>
        <v/>
      </c>
      <c r="BR247" s="165" t="str">
        <f ca="1">IF(BN247="","",(INDEX(OFFSET(Arb!$U$2,,,Arb!$AJ$5,),BN247)+INDEX(OFFSET(Arb!$V$2,,,Arb!$AJ$5,),BN247))/BO247)</f>
        <v/>
      </c>
      <c r="BS247" s="51" t="str">
        <f t="shared" ca="1" si="93"/>
        <v/>
      </c>
      <c r="BT247" s="88" t="str">
        <f ca="1">IF(BN247="","",DATE(INDEX(OFFSET(Arb!$C$2,,,Arb!$AJ$5,),BN247),INDEX(OFFSET(Arb!$B$2,,,Arb!$AJ$5,),BN247),INDEX(OFFSET(Arb!$A$2,,,Arb!$AJ$5,),BN247))+ROW()*0.001)</f>
        <v/>
      </c>
      <c r="BU247" s="436">
        <v>105</v>
      </c>
      <c r="BW247" s="52" t="str">
        <f ca="1">IF(BV247="","",INDEX(OFFSET(Arb!$H$2,,,Arb!$AJ$5,),BV247))</f>
        <v/>
      </c>
      <c r="BX247" s="3" t="str">
        <f t="shared" ca="1" si="84"/>
        <v/>
      </c>
      <c r="BY247" s="165" t="str">
        <f ca="1">IF(BV247="","",INDEX(OFFSET(Arb!$X$2,,,Arb!$AJ$5,),BV247)/BW247)</f>
        <v/>
      </c>
      <c r="BZ247" s="165" t="str">
        <f ca="1">IF(BV247="","",(INDEX(OFFSET(Arb!$U$2,,,Arb!$AJ$5,),BV247)+INDEX(OFFSET(Arb!$V$2,,,Arb!$AJ$5,),BV247))/BW247)</f>
        <v/>
      </c>
      <c r="CA247" s="51" t="str">
        <f t="shared" ca="1" si="94"/>
        <v/>
      </c>
      <c r="CB247" s="91" t="str">
        <f ca="1">IF(BV247="","",DATE(INDEX(OFFSET(Arb!$C$2,,,Arb!$AJ$5,),BV247),INDEX(OFFSET(Arb!$B$2,,,Arb!$AJ$5,),BV247),INDEX(OFFSET(Arb!$A$2,,,Arb!$AJ$5,),BV247))+ROW()*0.001)</f>
        <v/>
      </c>
    </row>
    <row r="248" spans="1:80" x14ac:dyDescent="0.25">
      <c r="A248" s="433">
        <v>106</v>
      </c>
      <c r="C248" s="52" t="str">
        <f ca="1">IF(B248="","",INDEX(OFFSET(Arb!$H$2,,,Arb!$AJ$5,),B248))</f>
        <v/>
      </c>
      <c r="D248" s="3" t="str">
        <f t="shared" ca="1" si="75"/>
        <v/>
      </c>
      <c r="E248" s="165" t="str">
        <f ca="1">IF(B248="","",INDEX(OFFSET(Arb!$X$2,,,Arb!$AJ$5,),B248)/C248)</f>
        <v/>
      </c>
      <c r="F248" s="165" t="str">
        <f ca="1">IF(B248="","",(INDEX(OFFSET(Arb!$U$2,,,Arb!$AJ$5,),B248)+INDEX(OFFSET(Arb!$V$2,,,Arb!$AJ$5,),B248))/C248)</f>
        <v/>
      </c>
      <c r="G248" s="51" t="str">
        <f t="shared" ca="1" si="85"/>
        <v/>
      </c>
      <c r="H248" s="355" t="str">
        <f ca="1">IF(B248="","",DATE(INDEX(OFFSET(Arb!$C$2,,,Arb!$AJ$5,),B248),INDEX(OFFSET(Arb!$B$2,,,Arb!$AJ$5,),B248),INDEX(OFFSET(Arb!$A$2,,,Arb!$AJ$5,),B248))+ROW()*0.001)</f>
        <v/>
      </c>
      <c r="I248" s="436">
        <v>106</v>
      </c>
      <c r="K248" s="52" t="str">
        <f ca="1">IF(J248="","",INDEX(OFFSET(Arb!$H$2,,,Arb!$AJ$5,),J248))</f>
        <v/>
      </c>
      <c r="L248" s="3" t="str">
        <f t="shared" ca="1" si="76"/>
        <v/>
      </c>
      <c r="M248" s="165" t="str">
        <f ca="1">IF(J248="","",INDEX(OFFSET(Arb!$X$2,,,Arb!$AJ$5,),J248)/K248)</f>
        <v/>
      </c>
      <c r="N248" s="165" t="str">
        <f ca="1">IF(J248="","",(INDEX(OFFSET(Arb!$U$2,,,Arb!$AJ$5,),J248)+INDEX(OFFSET(Arb!$V$2,,,Arb!$AJ$5,),J248))/K248)</f>
        <v/>
      </c>
      <c r="O248" s="51" t="str">
        <f t="shared" ca="1" si="86"/>
        <v/>
      </c>
      <c r="P248" s="91" t="str">
        <f ca="1">IF(J248="","",DATE(INDEX(OFFSET(Arb!$C$2,,,Arb!$AJ$5,),J248),INDEX(OFFSET(Arb!$B$2,,,Arb!$AJ$5,),J248),INDEX(OFFSET(Arb!$A$2,,,Arb!$AJ$5,),J248))+ROW()*0.001)</f>
        <v/>
      </c>
      <c r="Q248" s="442">
        <v>106</v>
      </c>
      <c r="S248" s="52" t="str">
        <f ca="1">IF(R248="","",INDEX(OFFSET(Arb!$H$2,,,Arb!$AJ$5,),R248))</f>
        <v/>
      </c>
      <c r="T248" s="3" t="str">
        <f t="shared" ca="1" si="77"/>
        <v/>
      </c>
      <c r="U248" s="165" t="str">
        <f ca="1">IF(R248="","",INDEX(OFFSET(Arb!$X$2,,,Arb!$AJ$5,),R248)/S248)</f>
        <v/>
      </c>
      <c r="V248" s="165" t="str">
        <f ca="1">IF(R248="","",(INDEX(OFFSET(Arb!$U$2,,,Arb!$AJ$5,),R248)+INDEX(OFFSET(Arb!$V$2,,,Arb!$AJ$5,),R248))/S248)</f>
        <v/>
      </c>
      <c r="W248" s="51" t="str">
        <f t="shared" ca="1" si="87"/>
        <v/>
      </c>
      <c r="X248" s="88" t="str">
        <f ca="1">IF(R248="","",DATE(INDEX(OFFSET(Arb!$C$2,,,Arb!$AJ$5,),R248),INDEX(OFFSET(Arb!$B$2,,,Arb!$AJ$5,),R248),INDEX(OFFSET(Arb!$A$2,,,Arb!$AJ$5,),R248))+ROW()*0.001)</f>
        <v/>
      </c>
      <c r="Y248" s="436">
        <v>106</v>
      </c>
      <c r="AA248" s="52" t="str">
        <f ca="1">IF(Z248="","",INDEX(OFFSET(Arb!$H$2,,,Arb!$AJ$5,),Z248))</f>
        <v/>
      </c>
      <c r="AB248" s="3" t="str">
        <f t="shared" ca="1" si="78"/>
        <v/>
      </c>
      <c r="AC248" s="165" t="str">
        <f ca="1">IF(Z248="","",INDEX(OFFSET(Arb!$X$2,,,Arb!$AJ$5,),Z248)/AA248)</f>
        <v/>
      </c>
      <c r="AD248" s="165" t="str">
        <f ca="1">IF(Z248="","",(INDEX(OFFSET(Arb!$U$2,,,Arb!$AJ$5,),Z248)+INDEX(OFFSET(Arb!$V$2,,,Arb!$AJ$5,),Z248))/AA248)</f>
        <v/>
      </c>
      <c r="AE248" s="51" t="str">
        <f t="shared" ca="1" si="88"/>
        <v/>
      </c>
      <c r="AF248" s="91" t="str">
        <f ca="1">IF(Z248="","",DATE(INDEX(OFFSET(Arb!$C$2,,,Arb!$AJ$5,),Z248),INDEX(OFFSET(Arb!$B$2,,,Arb!$AJ$5,),Z248),INDEX(OFFSET(Arb!$A$2,,,Arb!$AJ$5,),Z248))+ROW()*0.001)</f>
        <v/>
      </c>
      <c r="AG248" s="442">
        <v>106</v>
      </c>
      <c r="AI248" s="52" t="str">
        <f ca="1">IF(AH248="","",INDEX(OFFSET(Arb!$H$2,,,Arb!$AJ$5,),AH248))</f>
        <v/>
      </c>
      <c r="AJ248" s="3" t="str">
        <f t="shared" ca="1" si="79"/>
        <v/>
      </c>
      <c r="AK248" s="165" t="str">
        <f ca="1">IF(AH248="","",INDEX(OFFSET(Arb!$X$2,,,Arb!$AJ$5,),AH248)/AI248)</f>
        <v/>
      </c>
      <c r="AL248" s="165" t="str">
        <f ca="1">IF(AH248="","",(INDEX(OFFSET(Arb!$U$2,,,Arb!$AJ$5,),AH248)+INDEX(OFFSET(Arb!$V$2,,,Arb!$AJ$5,),AH248))/AI248)</f>
        <v/>
      </c>
      <c r="AM248" s="51" t="str">
        <f t="shared" ca="1" si="89"/>
        <v/>
      </c>
      <c r="AN248" s="88" t="str">
        <f ca="1">IF(AH248="","",DATE(INDEX(OFFSET(Arb!$C$2,,,Arb!$AJ$5,),AH248),INDEX(OFFSET(Arb!$B$2,,,Arb!$AJ$5,),AH248),INDEX(OFFSET(Arb!$A$2,,,Arb!$AJ$5,),AH248))+ROW()*0.001)</f>
        <v/>
      </c>
      <c r="AO248" s="436">
        <v>106</v>
      </c>
      <c r="AQ248" s="52" t="str">
        <f ca="1">IF(AP248="","",INDEX(OFFSET(Arb!$H$2,,,Arb!$AJ$5,),AP248))</f>
        <v/>
      </c>
      <c r="AR248" s="3" t="str">
        <f t="shared" ca="1" si="80"/>
        <v/>
      </c>
      <c r="AS248" s="165" t="str">
        <f ca="1">IF(AP248="","",INDEX(OFFSET(Arb!$X$2,,,Arb!$AJ$5,),AP248)/AQ248)</f>
        <v/>
      </c>
      <c r="AT248" s="165" t="str">
        <f ca="1">IF(AP248="","",(INDEX(OFFSET(Arb!$U$2,,,Arb!$AJ$5,),AP248)+INDEX(OFFSET(Arb!$V$2,,,Arb!$AJ$5,),AP248))/AQ248)</f>
        <v/>
      </c>
      <c r="AU248" s="51" t="str">
        <f t="shared" ca="1" si="90"/>
        <v/>
      </c>
      <c r="AV248" s="91" t="str">
        <f ca="1">IF(AP248="","",DATE(INDEX(OFFSET(Arb!$C$2,,,Arb!$AJ$5,),AP248),INDEX(OFFSET(Arb!$B$2,,,Arb!$AJ$5,),AP248),INDEX(OFFSET(Arb!$A$2,,,Arb!$AJ$5,),AP248))+ROW()*0.001)</f>
        <v/>
      </c>
      <c r="AW248" s="442">
        <v>106</v>
      </c>
      <c r="AY248" s="52" t="str">
        <f ca="1">IF(AX248="","",INDEX(OFFSET(Arb!$H$2,,,Arb!$AJ$5,),AX248))</f>
        <v/>
      </c>
      <c r="AZ248" s="3" t="str">
        <f t="shared" ca="1" si="81"/>
        <v/>
      </c>
      <c r="BA248" s="165" t="str">
        <f ca="1">IF(AX248="","",INDEX(OFFSET(Arb!$X$2,,,Arb!$AJ$5,),AX248)/AY248)</f>
        <v/>
      </c>
      <c r="BB248" s="165" t="str">
        <f ca="1">IF(AX248="","",(INDEX(OFFSET(Arb!$U$2,,,Arb!$AJ$5,),AX248)+INDEX(OFFSET(Arb!$V$2,,,Arb!$AJ$5,),AX248))/AY248)</f>
        <v/>
      </c>
      <c r="BC248" s="51" t="str">
        <f t="shared" ca="1" si="91"/>
        <v/>
      </c>
      <c r="BD248" s="88" t="str">
        <f ca="1">IF(AX248="","",DATE(INDEX(OFFSET(Arb!$C$2,,,Arb!$AJ$5,),AX248),INDEX(OFFSET(Arb!$B$2,,,Arb!$AJ$5,),AX248),INDEX(OFFSET(Arb!$A$2,,,Arb!$AJ$5,),AX248))+ROW()*0.001)</f>
        <v/>
      </c>
      <c r="BE248" s="436">
        <v>106</v>
      </c>
      <c r="BG248" s="52" t="str">
        <f ca="1">IF(BF248="","",INDEX(OFFSET(Arb!$H$2,,,Arb!$AJ$5,),BF248))</f>
        <v/>
      </c>
      <c r="BH248" s="3" t="str">
        <f t="shared" ca="1" si="82"/>
        <v/>
      </c>
      <c r="BI248" s="165" t="str">
        <f ca="1">IF(BF248="","",INDEX(OFFSET(Arb!$X$2,,,Arb!$AJ$5,),BF248)/BG248)</f>
        <v/>
      </c>
      <c r="BJ248" s="165" t="str">
        <f ca="1">IF(BF248="","",(INDEX(OFFSET(Arb!$U$2,,,Arb!$AJ$5,),BF248)+INDEX(OFFSET(Arb!$V$2,,,Arb!$AJ$5,),BF248))/BG248)</f>
        <v/>
      </c>
      <c r="BK248" s="51" t="str">
        <f t="shared" ca="1" si="92"/>
        <v/>
      </c>
      <c r="BL248" s="91" t="str">
        <f ca="1">IF(BF248="","",DATE(INDEX(OFFSET(Arb!$C$2,,,Arb!$AJ$5,),BF248),INDEX(OFFSET(Arb!$B$2,,,Arb!$AJ$5,),BF248),INDEX(OFFSET(Arb!$A$2,,,Arb!$AJ$5,),BF248))+ROW()*0.001)</f>
        <v/>
      </c>
      <c r="BM248" s="442">
        <v>106</v>
      </c>
      <c r="BO248" s="52" t="str">
        <f ca="1">IF(BN248="","",INDEX(OFFSET(Arb!$H$2,,,Arb!$AJ$5,),BN248))</f>
        <v/>
      </c>
      <c r="BP248" s="3" t="str">
        <f t="shared" ca="1" si="83"/>
        <v/>
      </c>
      <c r="BQ248" s="165" t="str">
        <f ca="1">IF(BN248="","",INDEX(OFFSET(Arb!$X$2,,,Arb!$AJ$5,),BN248)/BO248)</f>
        <v/>
      </c>
      <c r="BR248" s="165" t="str">
        <f ca="1">IF(BN248="","",(INDEX(OFFSET(Arb!$U$2,,,Arb!$AJ$5,),BN248)+INDEX(OFFSET(Arb!$V$2,,,Arb!$AJ$5,),BN248))/BO248)</f>
        <v/>
      </c>
      <c r="BS248" s="51" t="str">
        <f t="shared" ca="1" si="93"/>
        <v/>
      </c>
      <c r="BT248" s="88" t="str">
        <f ca="1">IF(BN248="","",DATE(INDEX(OFFSET(Arb!$C$2,,,Arb!$AJ$5,),BN248),INDEX(OFFSET(Arb!$B$2,,,Arb!$AJ$5,),BN248),INDEX(OFFSET(Arb!$A$2,,,Arb!$AJ$5,),BN248))+ROW()*0.001)</f>
        <v/>
      </c>
      <c r="BU248" s="436">
        <v>106</v>
      </c>
      <c r="BW248" s="52" t="str">
        <f ca="1">IF(BV248="","",INDEX(OFFSET(Arb!$H$2,,,Arb!$AJ$5,),BV248))</f>
        <v/>
      </c>
      <c r="BX248" s="3" t="str">
        <f t="shared" ca="1" si="84"/>
        <v/>
      </c>
      <c r="BY248" s="165" t="str">
        <f ca="1">IF(BV248="","",INDEX(OFFSET(Arb!$X$2,,,Arb!$AJ$5,),BV248)/BW248)</f>
        <v/>
      </c>
      <c r="BZ248" s="165" t="str">
        <f ca="1">IF(BV248="","",(INDEX(OFFSET(Arb!$U$2,,,Arb!$AJ$5,),BV248)+INDEX(OFFSET(Arb!$V$2,,,Arb!$AJ$5,),BV248))/BW248)</f>
        <v/>
      </c>
      <c r="CA248" s="51" t="str">
        <f t="shared" ca="1" si="94"/>
        <v/>
      </c>
      <c r="CB248" s="91" t="str">
        <f ca="1">IF(BV248="","",DATE(INDEX(OFFSET(Arb!$C$2,,,Arb!$AJ$5,),BV248),INDEX(OFFSET(Arb!$B$2,,,Arb!$AJ$5,),BV248),INDEX(OFFSET(Arb!$A$2,,,Arb!$AJ$5,),BV248))+ROW()*0.001)</f>
        <v/>
      </c>
    </row>
    <row r="249" spans="1:80" x14ac:dyDescent="0.25">
      <c r="A249" s="433">
        <v>107</v>
      </c>
      <c r="C249" s="52" t="str">
        <f ca="1">IF(B249="","",INDEX(OFFSET(Arb!$H$2,,,Arb!$AJ$5,),B249))</f>
        <v/>
      </c>
      <c r="D249" s="3" t="str">
        <f t="shared" ca="1" si="75"/>
        <v/>
      </c>
      <c r="E249" s="165" t="str">
        <f ca="1">IF(B249="","",INDEX(OFFSET(Arb!$X$2,,,Arb!$AJ$5,),B249)/C249)</f>
        <v/>
      </c>
      <c r="F249" s="165" t="str">
        <f ca="1">IF(B249="","",(INDEX(OFFSET(Arb!$U$2,,,Arb!$AJ$5,),B249)+INDEX(OFFSET(Arb!$V$2,,,Arb!$AJ$5,),B249))/C249)</f>
        <v/>
      </c>
      <c r="G249" s="51" t="str">
        <f t="shared" ca="1" si="85"/>
        <v/>
      </c>
      <c r="H249" s="355" t="str">
        <f ca="1">IF(B249="","",DATE(INDEX(OFFSET(Arb!$C$2,,,Arb!$AJ$5,),B249),INDEX(OFFSET(Arb!$B$2,,,Arb!$AJ$5,),B249),INDEX(OFFSET(Arb!$A$2,,,Arb!$AJ$5,),B249))+ROW()*0.001)</f>
        <v/>
      </c>
      <c r="I249" s="436">
        <v>107</v>
      </c>
      <c r="K249" s="52" t="str">
        <f ca="1">IF(J249="","",INDEX(OFFSET(Arb!$H$2,,,Arb!$AJ$5,),J249))</f>
        <v/>
      </c>
      <c r="L249" s="3" t="str">
        <f t="shared" ca="1" si="76"/>
        <v/>
      </c>
      <c r="M249" s="165" t="str">
        <f ca="1">IF(J249="","",INDEX(OFFSET(Arb!$X$2,,,Arb!$AJ$5,),J249)/K249)</f>
        <v/>
      </c>
      <c r="N249" s="165" t="str">
        <f ca="1">IF(J249="","",(INDEX(OFFSET(Arb!$U$2,,,Arb!$AJ$5,),J249)+INDEX(OFFSET(Arb!$V$2,,,Arb!$AJ$5,),J249))/K249)</f>
        <v/>
      </c>
      <c r="O249" s="51" t="str">
        <f t="shared" ca="1" si="86"/>
        <v/>
      </c>
      <c r="P249" s="91" t="str">
        <f ca="1">IF(J249="","",DATE(INDEX(OFFSET(Arb!$C$2,,,Arb!$AJ$5,),J249),INDEX(OFFSET(Arb!$B$2,,,Arb!$AJ$5,),J249),INDEX(OFFSET(Arb!$A$2,,,Arb!$AJ$5,),J249))+ROW()*0.001)</f>
        <v/>
      </c>
      <c r="Q249" s="442">
        <v>107</v>
      </c>
      <c r="S249" s="52" t="str">
        <f ca="1">IF(R249="","",INDEX(OFFSET(Arb!$H$2,,,Arb!$AJ$5,),R249))</f>
        <v/>
      </c>
      <c r="T249" s="3" t="str">
        <f t="shared" ca="1" si="77"/>
        <v/>
      </c>
      <c r="U249" s="165" t="str">
        <f ca="1">IF(R249="","",INDEX(OFFSET(Arb!$X$2,,,Arb!$AJ$5,),R249)/S249)</f>
        <v/>
      </c>
      <c r="V249" s="165" t="str">
        <f ca="1">IF(R249="","",(INDEX(OFFSET(Arb!$U$2,,,Arb!$AJ$5,),R249)+INDEX(OFFSET(Arb!$V$2,,,Arb!$AJ$5,),R249))/S249)</f>
        <v/>
      </c>
      <c r="W249" s="51" t="str">
        <f t="shared" ca="1" si="87"/>
        <v/>
      </c>
      <c r="X249" s="88" t="str">
        <f ca="1">IF(R249="","",DATE(INDEX(OFFSET(Arb!$C$2,,,Arb!$AJ$5,),R249),INDEX(OFFSET(Arb!$B$2,,,Arb!$AJ$5,),R249),INDEX(OFFSET(Arb!$A$2,,,Arb!$AJ$5,),R249))+ROW()*0.001)</f>
        <v/>
      </c>
      <c r="Y249" s="436">
        <v>107</v>
      </c>
      <c r="AA249" s="52" t="str">
        <f ca="1">IF(Z249="","",INDEX(OFFSET(Arb!$H$2,,,Arb!$AJ$5,),Z249))</f>
        <v/>
      </c>
      <c r="AB249" s="3" t="str">
        <f t="shared" ca="1" si="78"/>
        <v/>
      </c>
      <c r="AC249" s="165" t="str">
        <f ca="1">IF(Z249="","",INDEX(OFFSET(Arb!$X$2,,,Arb!$AJ$5,),Z249)/AA249)</f>
        <v/>
      </c>
      <c r="AD249" s="165" t="str">
        <f ca="1">IF(Z249="","",(INDEX(OFFSET(Arb!$U$2,,,Arb!$AJ$5,),Z249)+INDEX(OFFSET(Arb!$V$2,,,Arb!$AJ$5,),Z249))/AA249)</f>
        <v/>
      </c>
      <c r="AE249" s="51" t="str">
        <f t="shared" ca="1" si="88"/>
        <v/>
      </c>
      <c r="AF249" s="91" t="str">
        <f ca="1">IF(Z249="","",DATE(INDEX(OFFSET(Arb!$C$2,,,Arb!$AJ$5,),Z249),INDEX(OFFSET(Arb!$B$2,,,Arb!$AJ$5,),Z249),INDEX(OFFSET(Arb!$A$2,,,Arb!$AJ$5,),Z249))+ROW()*0.001)</f>
        <v/>
      </c>
      <c r="AG249" s="442">
        <v>107</v>
      </c>
      <c r="AI249" s="52" t="str">
        <f ca="1">IF(AH249="","",INDEX(OFFSET(Arb!$H$2,,,Arb!$AJ$5,),AH249))</f>
        <v/>
      </c>
      <c r="AJ249" s="3" t="str">
        <f t="shared" ca="1" si="79"/>
        <v/>
      </c>
      <c r="AK249" s="165" t="str">
        <f ca="1">IF(AH249="","",INDEX(OFFSET(Arb!$X$2,,,Arb!$AJ$5,),AH249)/AI249)</f>
        <v/>
      </c>
      <c r="AL249" s="165" t="str">
        <f ca="1">IF(AH249="","",(INDEX(OFFSET(Arb!$U$2,,,Arb!$AJ$5,),AH249)+INDEX(OFFSET(Arb!$V$2,,,Arb!$AJ$5,),AH249))/AI249)</f>
        <v/>
      </c>
      <c r="AM249" s="51" t="str">
        <f t="shared" ca="1" si="89"/>
        <v/>
      </c>
      <c r="AN249" s="88" t="str">
        <f ca="1">IF(AH249="","",DATE(INDEX(OFFSET(Arb!$C$2,,,Arb!$AJ$5,),AH249),INDEX(OFFSET(Arb!$B$2,,,Arb!$AJ$5,),AH249),INDEX(OFFSET(Arb!$A$2,,,Arb!$AJ$5,),AH249))+ROW()*0.001)</f>
        <v/>
      </c>
      <c r="AO249" s="436">
        <v>107</v>
      </c>
      <c r="AQ249" s="52" t="str">
        <f ca="1">IF(AP249="","",INDEX(OFFSET(Arb!$H$2,,,Arb!$AJ$5,),AP249))</f>
        <v/>
      </c>
      <c r="AR249" s="3" t="str">
        <f t="shared" ca="1" si="80"/>
        <v/>
      </c>
      <c r="AS249" s="165" t="str">
        <f ca="1">IF(AP249="","",INDEX(OFFSET(Arb!$X$2,,,Arb!$AJ$5,),AP249)/AQ249)</f>
        <v/>
      </c>
      <c r="AT249" s="165" t="str">
        <f ca="1">IF(AP249="","",(INDEX(OFFSET(Arb!$U$2,,,Arb!$AJ$5,),AP249)+INDEX(OFFSET(Arb!$V$2,,,Arb!$AJ$5,),AP249))/AQ249)</f>
        <v/>
      </c>
      <c r="AU249" s="51" t="str">
        <f t="shared" ca="1" si="90"/>
        <v/>
      </c>
      <c r="AV249" s="91" t="str">
        <f ca="1">IF(AP249="","",DATE(INDEX(OFFSET(Arb!$C$2,,,Arb!$AJ$5,),AP249),INDEX(OFFSET(Arb!$B$2,,,Arb!$AJ$5,),AP249),INDEX(OFFSET(Arb!$A$2,,,Arb!$AJ$5,),AP249))+ROW()*0.001)</f>
        <v/>
      </c>
      <c r="AW249" s="442">
        <v>107</v>
      </c>
      <c r="AY249" s="52" t="str">
        <f ca="1">IF(AX249="","",INDEX(OFFSET(Arb!$H$2,,,Arb!$AJ$5,),AX249))</f>
        <v/>
      </c>
      <c r="AZ249" s="3" t="str">
        <f t="shared" ca="1" si="81"/>
        <v/>
      </c>
      <c r="BA249" s="165" t="str">
        <f ca="1">IF(AX249="","",INDEX(OFFSET(Arb!$X$2,,,Arb!$AJ$5,),AX249)/AY249)</f>
        <v/>
      </c>
      <c r="BB249" s="165" t="str">
        <f ca="1">IF(AX249="","",(INDEX(OFFSET(Arb!$U$2,,,Arb!$AJ$5,),AX249)+INDEX(OFFSET(Arb!$V$2,,,Arb!$AJ$5,),AX249))/AY249)</f>
        <v/>
      </c>
      <c r="BC249" s="51" t="str">
        <f t="shared" ca="1" si="91"/>
        <v/>
      </c>
      <c r="BD249" s="88" t="str">
        <f ca="1">IF(AX249="","",DATE(INDEX(OFFSET(Arb!$C$2,,,Arb!$AJ$5,),AX249),INDEX(OFFSET(Arb!$B$2,,,Arb!$AJ$5,),AX249),INDEX(OFFSET(Arb!$A$2,,,Arb!$AJ$5,),AX249))+ROW()*0.001)</f>
        <v/>
      </c>
      <c r="BE249" s="436">
        <v>107</v>
      </c>
      <c r="BG249" s="52" t="str">
        <f ca="1">IF(BF249="","",INDEX(OFFSET(Arb!$H$2,,,Arb!$AJ$5,),BF249))</f>
        <v/>
      </c>
      <c r="BH249" s="3" t="str">
        <f t="shared" ca="1" si="82"/>
        <v/>
      </c>
      <c r="BI249" s="165" t="str">
        <f ca="1">IF(BF249="","",INDEX(OFFSET(Arb!$X$2,,,Arb!$AJ$5,),BF249)/BG249)</f>
        <v/>
      </c>
      <c r="BJ249" s="165" t="str">
        <f ca="1">IF(BF249="","",(INDEX(OFFSET(Arb!$U$2,,,Arb!$AJ$5,),BF249)+INDEX(OFFSET(Arb!$V$2,,,Arb!$AJ$5,),BF249))/BG249)</f>
        <v/>
      </c>
      <c r="BK249" s="51" t="str">
        <f t="shared" ca="1" si="92"/>
        <v/>
      </c>
      <c r="BL249" s="91" t="str">
        <f ca="1">IF(BF249="","",DATE(INDEX(OFFSET(Arb!$C$2,,,Arb!$AJ$5,),BF249),INDEX(OFFSET(Arb!$B$2,,,Arb!$AJ$5,),BF249),INDEX(OFFSET(Arb!$A$2,,,Arb!$AJ$5,),BF249))+ROW()*0.001)</f>
        <v/>
      </c>
      <c r="BM249" s="442">
        <v>107</v>
      </c>
      <c r="BO249" s="52" t="str">
        <f ca="1">IF(BN249="","",INDEX(OFFSET(Arb!$H$2,,,Arb!$AJ$5,),BN249))</f>
        <v/>
      </c>
      <c r="BP249" s="3" t="str">
        <f t="shared" ca="1" si="83"/>
        <v/>
      </c>
      <c r="BQ249" s="165" t="str">
        <f ca="1">IF(BN249="","",INDEX(OFFSET(Arb!$X$2,,,Arb!$AJ$5,),BN249)/BO249)</f>
        <v/>
      </c>
      <c r="BR249" s="165" t="str">
        <f ca="1">IF(BN249="","",(INDEX(OFFSET(Arb!$U$2,,,Arb!$AJ$5,),BN249)+INDEX(OFFSET(Arb!$V$2,,,Arb!$AJ$5,),BN249))/BO249)</f>
        <v/>
      </c>
      <c r="BS249" s="51" t="str">
        <f t="shared" ca="1" si="93"/>
        <v/>
      </c>
      <c r="BT249" s="88" t="str">
        <f ca="1">IF(BN249="","",DATE(INDEX(OFFSET(Arb!$C$2,,,Arb!$AJ$5,),BN249),INDEX(OFFSET(Arb!$B$2,,,Arb!$AJ$5,),BN249),INDEX(OFFSET(Arb!$A$2,,,Arb!$AJ$5,),BN249))+ROW()*0.001)</f>
        <v/>
      </c>
      <c r="BU249" s="436">
        <v>107</v>
      </c>
      <c r="BW249" s="52" t="str">
        <f ca="1">IF(BV249="","",INDEX(OFFSET(Arb!$H$2,,,Arb!$AJ$5,),BV249))</f>
        <v/>
      </c>
      <c r="BX249" s="3" t="str">
        <f t="shared" ca="1" si="84"/>
        <v/>
      </c>
      <c r="BY249" s="165" t="str">
        <f ca="1">IF(BV249="","",INDEX(OFFSET(Arb!$X$2,,,Arb!$AJ$5,),BV249)/BW249)</f>
        <v/>
      </c>
      <c r="BZ249" s="165" t="str">
        <f ca="1">IF(BV249="","",(INDEX(OFFSET(Arb!$U$2,,,Arb!$AJ$5,),BV249)+INDEX(OFFSET(Arb!$V$2,,,Arb!$AJ$5,),BV249))/BW249)</f>
        <v/>
      </c>
      <c r="CA249" s="51" t="str">
        <f t="shared" ca="1" si="94"/>
        <v/>
      </c>
      <c r="CB249" s="91" t="str">
        <f ca="1">IF(BV249="","",DATE(INDEX(OFFSET(Arb!$C$2,,,Arb!$AJ$5,),BV249),INDEX(OFFSET(Arb!$B$2,,,Arb!$AJ$5,),BV249),INDEX(OFFSET(Arb!$A$2,,,Arb!$AJ$5,),BV249))+ROW()*0.001)</f>
        <v/>
      </c>
    </row>
    <row r="250" spans="1:80" x14ac:dyDescent="0.25">
      <c r="A250" s="433">
        <v>108</v>
      </c>
      <c r="C250" s="52" t="str">
        <f ca="1">IF(B250="","",INDEX(OFFSET(Arb!$H$2,,,Arb!$AJ$5,),B250))</f>
        <v/>
      </c>
      <c r="D250" s="3" t="str">
        <f t="shared" ca="1" si="75"/>
        <v/>
      </c>
      <c r="E250" s="165" t="str">
        <f ca="1">IF(B250="","",INDEX(OFFSET(Arb!$X$2,,,Arb!$AJ$5,),B250)/C250)</f>
        <v/>
      </c>
      <c r="F250" s="165" t="str">
        <f ca="1">IF(B250="","",(INDEX(OFFSET(Arb!$U$2,,,Arb!$AJ$5,),B250)+INDEX(OFFSET(Arb!$V$2,,,Arb!$AJ$5,),B250))/C250)</f>
        <v/>
      </c>
      <c r="G250" s="51" t="str">
        <f t="shared" ca="1" si="85"/>
        <v/>
      </c>
      <c r="H250" s="355" t="str">
        <f ca="1">IF(B250="","",DATE(INDEX(OFFSET(Arb!$C$2,,,Arb!$AJ$5,),B250),INDEX(OFFSET(Arb!$B$2,,,Arb!$AJ$5,),B250),INDEX(OFFSET(Arb!$A$2,,,Arb!$AJ$5,),B250))+ROW()*0.001)</f>
        <v/>
      </c>
      <c r="I250" s="436">
        <v>108</v>
      </c>
      <c r="K250" s="52" t="str">
        <f ca="1">IF(J250="","",INDEX(OFFSET(Arb!$H$2,,,Arb!$AJ$5,),J250))</f>
        <v/>
      </c>
      <c r="L250" s="3" t="str">
        <f t="shared" ca="1" si="76"/>
        <v/>
      </c>
      <c r="M250" s="165" t="str">
        <f ca="1">IF(J250="","",INDEX(OFFSET(Arb!$X$2,,,Arb!$AJ$5,),J250)/K250)</f>
        <v/>
      </c>
      <c r="N250" s="165" t="str">
        <f ca="1">IF(J250="","",(INDEX(OFFSET(Arb!$U$2,,,Arb!$AJ$5,),J250)+INDEX(OFFSET(Arb!$V$2,,,Arb!$AJ$5,),J250))/K250)</f>
        <v/>
      </c>
      <c r="O250" s="51" t="str">
        <f t="shared" ca="1" si="86"/>
        <v/>
      </c>
      <c r="P250" s="91" t="str">
        <f ca="1">IF(J250="","",DATE(INDEX(OFFSET(Arb!$C$2,,,Arb!$AJ$5,),J250),INDEX(OFFSET(Arb!$B$2,,,Arb!$AJ$5,),J250),INDEX(OFFSET(Arb!$A$2,,,Arb!$AJ$5,),J250))+ROW()*0.001)</f>
        <v/>
      </c>
      <c r="Q250" s="442">
        <v>108</v>
      </c>
      <c r="S250" s="52" t="str">
        <f ca="1">IF(R250="","",INDEX(OFFSET(Arb!$H$2,,,Arb!$AJ$5,),R250))</f>
        <v/>
      </c>
      <c r="T250" s="3" t="str">
        <f t="shared" ca="1" si="77"/>
        <v/>
      </c>
      <c r="U250" s="165" t="str">
        <f ca="1">IF(R250="","",INDEX(OFFSET(Arb!$X$2,,,Arb!$AJ$5,),R250)/S250)</f>
        <v/>
      </c>
      <c r="V250" s="165" t="str">
        <f ca="1">IF(R250="","",(INDEX(OFFSET(Arb!$U$2,,,Arb!$AJ$5,),R250)+INDEX(OFFSET(Arb!$V$2,,,Arb!$AJ$5,),R250))/S250)</f>
        <v/>
      </c>
      <c r="W250" s="51" t="str">
        <f t="shared" ca="1" si="87"/>
        <v/>
      </c>
      <c r="X250" s="88" t="str">
        <f ca="1">IF(R250="","",DATE(INDEX(OFFSET(Arb!$C$2,,,Arb!$AJ$5,),R250),INDEX(OFFSET(Arb!$B$2,,,Arb!$AJ$5,),R250),INDEX(OFFSET(Arb!$A$2,,,Arb!$AJ$5,),R250))+ROW()*0.001)</f>
        <v/>
      </c>
      <c r="Y250" s="436">
        <v>108</v>
      </c>
      <c r="AA250" s="52" t="str">
        <f ca="1">IF(Z250="","",INDEX(OFFSET(Arb!$H$2,,,Arb!$AJ$5,),Z250))</f>
        <v/>
      </c>
      <c r="AB250" s="3" t="str">
        <f t="shared" ca="1" si="78"/>
        <v/>
      </c>
      <c r="AC250" s="165" t="str">
        <f ca="1">IF(Z250="","",INDEX(OFFSET(Arb!$X$2,,,Arb!$AJ$5,),Z250)/AA250)</f>
        <v/>
      </c>
      <c r="AD250" s="165" t="str">
        <f ca="1">IF(Z250="","",(INDEX(OFFSET(Arb!$U$2,,,Arb!$AJ$5,),Z250)+INDEX(OFFSET(Arb!$V$2,,,Arb!$AJ$5,),Z250))/AA250)</f>
        <v/>
      </c>
      <c r="AE250" s="51" t="str">
        <f t="shared" ca="1" si="88"/>
        <v/>
      </c>
      <c r="AF250" s="91" t="str">
        <f ca="1">IF(Z250="","",DATE(INDEX(OFFSET(Arb!$C$2,,,Arb!$AJ$5,),Z250),INDEX(OFFSET(Arb!$B$2,,,Arb!$AJ$5,),Z250),INDEX(OFFSET(Arb!$A$2,,,Arb!$AJ$5,),Z250))+ROW()*0.001)</f>
        <v/>
      </c>
      <c r="AG250" s="442">
        <v>108</v>
      </c>
      <c r="AI250" s="52" t="str">
        <f ca="1">IF(AH250="","",INDEX(OFFSET(Arb!$H$2,,,Arb!$AJ$5,),AH250))</f>
        <v/>
      </c>
      <c r="AJ250" s="3" t="str">
        <f t="shared" ca="1" si="79"/>
        <v/>
      </c>
      <c r="AK250" s="165" t="str">
        <f ca="1">IF(AH250="","",INDEX(OFFSET(Arb!$X$2,,,Arb!$AJ$5,),AH250)/AI250)</f>
        <v/>
      </c>
      <c r="AL250" s="165" t="str">
        <f ca="1">IF(AH250="","",(INDEX(OFFSET(Arb!$U$2,,,Arb!$AJ$5,),AH250)+INDEX(OFFSET(Arb!$V$2,,,Arb!$AJ$5,),AH250))/AI250)</f>
        <v/>
      </c>
      <c r="AM250" s="51" t="str">
        <f t="shared" ca="1" si="89"/>
        <v/>
      </c>
      <c r="AN250" s="88" t="str">
        <f ca="1">IF(AH250="","",DATE(INDEX(OFFSET(Arb!$C$2,,,Arb!$AJ$5,),AH250),INDEX(OFFSET(Arb!$B$2,,,Arb!$AJ$5,),AH250),INDEX(OFFSET(Arb!$A$2,,,Arb!$AJ$5,),AH250))+ROW()*0.001)</f>
        <v/>
      </c>
      <c r="AO250" s="436">
        <v>108</v>
      </c>
      <c r="AQ250" s="52" t="str">
        <f ca="1">IF(AP250="","",INDEX(OFFSET(Arb!$H$2,,,Arb!$AJ$5,),AP250))</f>
        <v/>
      </c>
      <c r="AR250" s="3" t="str">
        <f t="shared" ca="1" si="80"/>
        <v/>
      </c>
      <c r="AS250" s="165" t="str">
        <f ca="1">IF(AP250="","",INDEX(OFFSET(Arb!$X$2,,,Arb!$AJ$5,),AP250)/AQ250)</f>
        <v/>
      </c>
      <c r="AT250" s="165" t="str">
        <f ca="1">IF(AP250="","",(INDEX(OFFSET(Arb!$U$2,,,Arb!$AJ$5,),AP250)+INDEX(OFFSET(Arb!$V$2,,,Arb!$AJ$5,),AP250))/AQ250)</f>
        <v/>
      </c>
      <c r="AU250" s="51" t="str">
        <f t="shared" ca="1" si="90"/>
        <v/>
      </c>
      <c r="AV250" s="91" t="str">
        <f ca="1">IF(AP250="","",DATE(INDEX(OFFSET(Arb!$C$2,,,Arb!$AJ$5,),AP250),INDEX(OFFSET(Arb!$B$2,,,Arb!$AJ$5,),AP250),INDEX(OFFSET(Arb!$A$2,,,Arb!$AJ$5,),AP250))+ROW()*0.001)</f>
        <v/>
      </c>
      <c r="AW250" s="442">
        <v>108</v>
      </c>
      <c r="AY250" s="52" t="str">
        <f ca="1">IF(AX250="","",INDEX(OFFSET(Arb!$H$2,,,Arb!$AJ$5,),AX250))</f>
        <v/>
      </c>
      <c r="AZ250" s="3" t="str">
        <f t="shared" ca="1" si="81"/>
        <v/>
      </c>
      <c r="BA250" s="165" t="str">
        <f ca="1">IF(AX250="","",INDEX(OFFSET(Arb!$X$2,,,Arb!$AJ$5,),AX250)/AY250)</f>
        <v/>
      </c>
      <c r="BB250" s="165" t="str">
        <f ca="1">IF(AX250="","",(INDEX(OFFSET(Arb!$U$2,,,Arb!$AJ$5,),AX250)+INDEX(OFFSET(Arb!$V$2,,,Arb!$AJ$5,),AX250))/AY250)</f>
        <v/>
      </c>
      <c r="BC250" s="51" t="str">
        <f t="shared" ca="1" si="91"/>
        <v/>
      </c>
      <c r="BD250" s="88" t="str">
        <f ca="1">IF(AX250="","",DATE(INDEX(OFFSET(Arb!$C$2,,,Arb!$AJ$5,),AX250),INDEX(OFFSET(Arb!$B$2,,,Arb!$AJ$5,),AX250),INDEX(OFFSET(Arb!$A$2,,,Arb!$AJ$5,),AX250))+ROW()*0.001)</f>
        <v/>
      </c>
      <c r="BE250" s="436">
        <v>108</v>
      </c>
      <c r="BG250" s="52" t="str">
        <f ca="1">IF(BF250="","",INDEX(OFFSET(Arb!$H$2,,,Arb!$AJ$5,),BF250))</f>
        <v/>
      </c>
      <c r="BH250" s="3" t="str">
        <f t="shared" ca="1" si="82"/>
        <v/>
      </c>
      <c r="BI250" s="165" t="str">
        <f ca="1">IF(BF250="","",INDEX(OFFSET(Arb!$X$2,,,Arb!$AJ$5,),BF250)/BG250)</f>
        <v/>
      </c>
      <c r="BJ250" s="165" t="str">
        <f ca="1">IF(BF250="","",(INDEX(OFFSET(Arb!$U$2,,,Arb!$AJ$5,),BF250)+INDEX(OFFSET(Arb!$V$2,,,Arb!$AJ$5,),BF250))/BG250)</f>
        <v/>
      </c>
      <c r="BK250" s="51" t="str">
        <f t="shared" ca="1" si="92"/>
        <v/>
      </c>
      <c r="BL250" s="91" t="str">
        <f ca="1">IF(BF250="","",DATE(INDEX(OFFSET(Arb!$C$2,,,Arb!$AJ$5,),BF250),INDEX(OFFSET(Arb!$B$2,,,Arb!$AJ$5,),BF250),INDEX(OFFSET(Arb!$A$2,,,Arb!$AJ$5,),BF250))+ROW()*0.001)</f>
        <v/>
      </c>
      <c r="BM250" s="442">
        <v>108</v>
      </c>
      <c r="BO250" s="52" t="str">
        <f ca="1">IF(BN250="","",INDEX(OFFSET(Arb!$H$2,,,Arb!$AJ$5,),BN250))</f>
        <v/>
      </c>
      <c r="BP250" s="3" t="str">
        <f t="shared" ca="1" si="83"/>
        <v/>
      </c>
      <c r="BQ250" s="165" t="str">
        <f ca="1">IF(BN250="","",INDEX(OFFSET(Arb!$X$2,,,Arb!$AJ$5,),BN250)/BO250)</f>
        <v/>
      </c>
      <c r="BR250" s="165" t="str">
        <f ca="1">IF(BN250="","",(INDEX(OFFSET(Arb!$U$2,,,Arb!$AJ$5,),BN250)+INDEX(OFFSET(Arb!$V$2,,,Arb!$AJ$5,),BN250))/BO250)</f>
        <v/>
      </c>
      <c r="BS250" s="51" t="str">
        <f t="shared" ca="1" si="93"/>
        <v/>
      </c>
      <c r="BT250" s="88" t="str">
        <f ca="1">IF(BN250="","",DATE(INDEX(OFFSET(Arb!$C$2,,,Arb!$AJ$5,),BN250),INDEX(OFFSET(Arb!$B$2,,,Arb!$AJ$5,),BN250),INDEX(OFFSET(Arb!$A$2,,,Arb!$AJ$5,),BN250))+ROW()*0.001)</f>
        <v/>
      </c>
      <c r="BU250" s="436">
        <v>108</v>
      </c>
      <c r="BW250" s="52" t="str">
        <f ca="1">IF(BV250="","",INDEX(OFFSET(Arb!$H$2,,,Arb!$AJ$5,),BV250))</f>
        <v/>
      </c>
      <c r="BX250" s="3" t="str">
        <f t="shared" ca="1" si="84"/>
        <v/>
      </c>
      <c r="BY250" s="165" t="str">
        <f ca="1">IF(BV250="","",INDEX(OFFSET(Arb!$X$2,,,Arb!$AJ$5,),BV250)/BW250)</f>
        <v/>
      </c>
      <c r="BZ250" s="165" t="str">
        <f ca="1">IF(BV250="","",(INDEX(OFFSET(Arb!$U$2,,,Arb!$AJ$5,),BV250)+INDEX(OFFSET(Arb!$V$2,,,Arb!$AJ$5,),BV250))/BW250)</f>
        <v/>
      </c>
      <c r="CA250" s="51" t="str">
        <f t="shared" ca="1" si="94"/>
        <v/>
      </c>
      <c r="CB250" s="91" t="str">
        <f ca="1">IF(BV250="","",DATE(INDEX(OFFSET(Arb!$C$2,,,Arb!$AJ$5,),BV250),INDEX(OFFSET(Arb!$B$2,,,Arb!$AJ$5,),BV250),INDEX(OFFSET(Arb!$A$2,,,Arb!$AJ$5,),BV250))+ROW()*0.001)</f>
        <v/>
      </c>
    </row>
    <row r="251" spans="1:80" x14ac:dyDescent="0.25">
      <c r="A251" s="433">
        <v>109</v>
      </c>
      <c r="C251" s="52" t="str">
        <f ca="1">IF(B251="","",INDEX(OFFSET(Arb!$H$2,,,Arb!$AJ$5,),B251))</f>
        <v/>
      </c>
      <c r="D251" s="3" t="str">
        <f t="shared" ca="1" si="75"/>
        <v/>
      </c>
      <c r="E251" s="165" t="str">
        <f ca="1">IF(B251="","",INDEX(OFFSET(Arb!$X$2,,,Arb!$AJ$5,),B251)/C251)</f>
        <v/>
      </c>
      <c r="F251" s="165" t="str">
        <f ca="1">IF(B251="","",(INDEX(OFFSET(Arb!$U$2,,,Arb!$AJ$5,),B251)+INDEX(OFFSET(Arb!$V$2,,,Arb!$AJ$5,),B251))/C251)</f>
        <v/>
      </c>
      <c r="G251" s="51" t="str">
        <f t="shared" ca="1" si="85"/>
        <v/>
      </c>
      <c r="H251" s="355" t="str">
        <f ca="1">IF(B251="","",DATE(INDEX(OFFSET(Arb!$C$2,,,Arb!$AJ$5,),B251),INDEX(OFFSET(Arb!$B$2,,,Arb!$AJ$5,),B251),INDEX(OFFSET(Arb!$A$2,,,Arb!$AJ$5,),B251))+ROW()*0.001)</f>
        <v/>
      </c>
      <c r="I251" s="436">
        <v>109</v>
      </c>
      <c r="K251" s="52" t="str">
        <f ca="1">IF(J251="","",INDEX(OFFSET(Arb!$H$2,,,Arb!$AJ$5,),J251))</f>
        <v/>
      </c>
      <c r="L251" s="3" t="str">
        <f t="shared" ca="1" si="76"/>
        <v/>
      </c>
      <c r="M251" s="165" t="str">
        <f ca="1">IF(J251="","",INDEX(OFFSET(Arb!$X$2,,,Arb!$AJ$5,),J251)/K251)</f>
        <v/>
      </c>
      <c r="N251" s="165" t="str">
        <f ca="1">IF(J251="","",(INDEX(OFFSET(Arb!$U$2,,,Arb!$AJ$5,),J251)+INDEX(OFFSET(Arb!$V$2,,,Arb!$AJ$5,),J251))/K251)</f>
        <v/>
      </c>
      <c r="O251" s="51" t="str">
        <f t="shared" ca="1" si="86"/>
        <v/>
      </c>
      <c r="P251" s="91" t="str">
        <f ca="1">IF(J251="","",DATE(INDEX(OFFSET(Arb!$C$2,,,Arb!$AJ$5,),J251),INDEX(OFFSET(Arb!$B$2,,,Arb!$AJ$5,),J251),INDEX(OFFSET(Arb!$A$2,,,Arb!$AJ$5,),J251))+ROW()*0.001)</f>
        <v/>
      </c>
      <c r="Q251" s="442">
        <v>109</v>
      </c>
      <c r="S251" s="52" t="str">
        <f ca="1">IF(R251="","",INDEX(OFFSET(Arb!$H$2,,,Arb!$AJ$5,),R251))</f>
        <v/>
      </c>
      <c r="T251" s="3" t="str">
        <f t="shared" ca="1" si="77"/>
        <v/>
      </c>
      <c r="U251" s="165" t="str">
        <f ca="1">IF(R251="","",INDEX(OFFSET(Arb!$X$2,,,Arb!$AJ$5,),R251)/S251)</f>
        <v/>
      </c>
      <c r="V251" s="165" t="str">
        <f ca="1">IF(R251="","",(INDEX(OFFSET(Arb!$U$2,,,Arb!$AJ$5,),R251)+INDEX(OFFSET(Arb!$V$2,,,Arb!$AJ$5,),R251))/S251)</f>
        <v/>
      </c>
      <c r="W251" s="51" t="str">
        <f t="shared" ca="1" si="87"/>
        <v/>
      </c>
      <c r="X251" s="88" t="str">
        <f ca="1">IF(R251="","",DATE(INDEX(OFFSET(Arb!$C$2,,,Arb!$AJ$5,),R251),INDEX(OFFSET(Arb!$B$2,,,Arb!$AJ$5,),R251),INDEX(OFFSET(Arb!$A$2,,,Arb!$AJ$5,),R251))+ROW()*0.001)</f>
        <v/>
      </c>
      <c r="Y251" s="436">
        <v>109</v>
      </c>
      <c r="AA251" s="52" t="str">
        <f ca="1">IF(Z251="","",INDEX(OFFSET(Arb!$H$2,,,Arb!$AJ$5,),Z251))</f>
        <v/>
      </c>
      <c r="AB251" s="3" t="str">
        <f t="shared" ca="1" si="78"/>
        <v/>
      </c>
      <c r="AC251" s="165" t="str">
        <f ca="1">IF(Z251="","",INDEX(OFFSET(Arb!$X$2,,,Arb!$AJ$5,),Z251)/AA251)</f>
        <v/>
      </c>
      <c r="AD251" s="165" t="str">
        <f ca="1">IF(Z251="","",(INDEX(OFFSET(Arb!$U$2,,,Arb!$AJ$5,),Z251)+INDEX(OFFSET(Arb!$V$2,,,Arb!$AJ$5,),Z251))/AA251)</f>
        <v/>
      </c>
      <c r="AE251" s="51" t="str">
        <f t="shared" ca="1" si="88"/>
        <v/>
      </c>
      <c r="AF251" s="91" t="str">
        <f ca="1">IF(Z251="","",DATE(INDEX(OFFSET(Arb!$C$2,,,Arb!$AJ$5,),Z251),INDEX(OFFSET(Arb!$B$2,,,Arb!$AJ$5,),Z251),INDEX(OFFSET(Arb!$A$2,,,Arb!$AJ$5,),Z251))+ROW()*0.001)</f>
        <v/>
      </c>
      <c r="AG251" s="442">
        <v>109</v>
      </c>
      <c r="AI251" s="52" t="str">
        <f ca="1">IF(AH251="","",INDEX(OFFSET(Arb!$H$2,,,Arb!$AJ$5,),AH251))</f>
        <v/>
      </c>
      <c r="AJ251" s="3" t="str">
        <f t="shared" ca="1" si="79"/>
        <v/>
      </c>
      <c r="AK251" s="165" t="str">
        <f ca="1">IF(AH251="","",INDEX(OFFSET(Arb!$X$2,,,Arb!$AJ$5,),AH251)/AI251)</f>
        <v/>
      </c>
      <c r="AL251" s="165" t="str">
        <f ca="1">IF(AH251="","",(INDEX(OFFSET(Arb!$U$2,,,Arb!$AJ$5,),AH251)+INDEX(OFFSET(Arb!$V$2,,,Arb!$AJ$5,),AH251))/AI251)</f>
        <v/>
      </c>
      <c r="AM251" s="51" t="str">
        <f t="shared" ca="1" si="89"/>
        <v/>
      </c>
      <c r="AN251" s="88" t="str">
        <f ca="1">IF(AH251="","",DATE(INDEX(OFFSET(Arb!$C$2,,,Arb!$AJ$5,),AH251),INDEX(OFFSET(Arb!$B$2,,,Arb!$AJ$5,),AH251),INDEX(OFFSET(Arb!$A$2,,,Arb!$AJ$5,),AH251))+ROW()*0.001)</f>
        <v/>
      </c>
      <c r="AO251" s="436">
        <v>109</v>
      </c>
      <c r="AQ251" s="52" t="str">
        <f ca="1">IF(AP251="","",INDEX(OFFSET(Arb!$H$2,,,Arb!$AJ$5,),AP251))</f>
        <v/>
      </c>
      <c r="AR251" s="3" t="str">
        <f t="shared" ca="1" si="80"/>
        <v/>
      </c>
      <c r="AS251" s="165" t="str">
        <f ca="1">IF(AP251="","",INDEX(OFFSET(Arb!$X$2,,,Arb!$AJ$5,),AP251)/AQ251)</f>
        <v/>
      </c>
      <c r="AT251" s="165" t="str">
        <f ca="1">IF(AP251="","",(INDEX(OFFSET(Arb!$U$2,,,Arb!$AJ$5,),AP251)+INDEX(OFFSET(Arb!$V$2,,,Arb!$AJ$5,),AP251))/AQ251)</f>
        <v/>
      </c>
      <c r="AU251" s="51" t="str">
        <f t="shared" ca="1" si="90"/>
        <v/>
      </c>
      <c r="AV251" s="91" t="str">
        <f ca="1">IF(AP251="","",DATE(INDEX(OFFSET(Arb!$C$2,,,Arb!$AJ$5,),AP251),INDEX(OFFSET(Arb!$B$2,,,Arb!$AJ$5,),AP251),INDEX(OFFSET(Arb!$A$2,,,Arb!$AJ$5,),AP251))+ROW()*0.001)</f>
        <v/>
      </c>
      <c r="AW251" s="442">
        <v>109</v>
      </c>
      <c r="AY251" s="52" t="str">
        <f ca="1">IF(AX251="","",INDEX(OFFSET(Arb!$H$2,,,Arb!$AJ$5,),AX251))</f>
        <v/>
      </c>
      <c r="AZ251" s="3" t="str">
        <f t="shared" ca="1" si="81"/>
        <v/>
      </c>
      <c r="BA251" s="165" t="str">
        <f ca="1">IF(AX251="","",INDEX(OFFSET(Arb!$X$2,,,Arb!$AJ$5,),AX251)/AY251)</f>
        <v/>
      </c>
      <c r="BB251" s="165" t="str">
        <f ca="1">IF(AX251="","",(INDEX(OFFSET(Arb!$U$2,,,Arb!$AJ$5,),AX251)+INDEX(OFFSET(Arb!$V$2,,,Arb!$AJ$5,),AX251))/AY251)</f>
        <v/>
      </c>
      <c r="BC251" s="51" t="str">
        <f t="shared" ca="1" si="91"/>
        <v/>
      </c>
      <c r="BD251" s="88" t="str">
        <f ca="1">IF(AX251="","",DATE(INDEX(OFFSET(Arb!$C$2,,,Arb!$AJ$5,),AX251),INDEX(OFFSET(Arb!$B$2,,,Arb!$AJ$5,),AX251),INDEX(OFFSET(Arb!$A$2,,,Arb!$AJ$5,),AX251))+ROW()*0.001)</f>
        <v/>
      </c>
      <c r="BE251" s="436">
        <v>109</v>
      </c>
      <c r="BG251" s="52" t="str">
        <f ca="1">IF(BF251="","",INDEX(OFFSET(Arb!$H$2,,,Arb!$AJ$5,),BF251))</f>
        <v/>
      </c>
      <c r="BH251" s="3" t="str">
        <f t="shared" ca="1" si="82"/>
        <v/>
      </c>
      <c r="BI251" s="165" t="str">
        <f ca="1">IF(BF251="","",INDEX(OFFSET(Arb!$X$2,,,Arb!$AJ$5,),BF251)/BG251)</f>
        <v/>
      </c>
      <c r="BJ251" s="165" t="str">
        <f ca="1">IF(BF251="","",(INDEX(OFFSET(Arb!$U$2,,,Arb!$AJ$5,),BF251)+INDEX(OFFSET(Arb!$V$2,,,Arb!$AJ$5,),BF251))/BG251)</f>
        <v/>
      </c>
      <c r="BK251" s="51" t="str">
        <f t="shared" ca="1" si="92"/>
        <v/>
      </c>
      <c r="BL251" s="91" t="str">
        <f ca="1">IF(BF251="","",DATE(INDEX(OFFSET(Arb!$C$2,,,Arb!$AJ$5,),BF251),INDEX(OFFSET(Arb!$B$2,,,Arb!$AJ$5,),BF251),INDEX(OFFSET(Arb!$A$2,,,Arb!$AJ$5,),BF251))+ROW()*0.001)</f>
        <v/>
      </c>
      <c r="BM251" s="442">
        <v>109</v>
      </c>
      <c r="BO251" s="52" t="str">
        <f ca="1">IF(BN251="","",INDEX(OFFSET(Arb!$H$2,,,Arb!$AJ$5,),BN251))</f>
        <v/>
      </c>
      <c r="BP251" s="3" t="str">
        <f t="shared" ca="1" si="83"/>
        <v/>
      </c>
      <c r="BQ251" s="165" t="str">
        <f ca="1">IF(BN251="","",INDEX(OFFSET(Arb!$X$2,,,Arb!$AJ$5,),BN251)/BO251)</f>
        <v/>
      </c>
      <c r="BR251" s="165" t="str">
        <f ca="1">IF(BN251="","",(INDEX(OFFSET(Arb!$U$2,,,Arb!$AJ$5,),BN251)+INDEX(OFFSET(Arb!$V$2,,,Arb!$AJ$5,),BN251))/BO251)</f>
        <v/>
      </c>
      <c r="BS251" s="51" t="str">
        <f t="shared" ca="1" si="93"/>
        <v/>
      </c>
      <c r="BT251" s="88" t="str">
        <f ca="1">IF(BN251="","",DATE(INDEX(OFFSET(Arb!$C$2,,,Arb!$AJ$5,),BN251),INDEX(OFFSET(Arb!$B$2,,,Arb!$AJ$5,),BN251),INDEX(OFFSET(Arb!$A$2,,,Arb!$AJ$5,),BN251))+ROW()*0.001)</f>
        <v/>
      </c>
      <c r="BU251" s="436">
        <v>109</v>
      </c>
      <c r="BW251" s="52" t="str">
        <f ca="1">IF(BV251="","",INDEX(OFFSET(Arb!$H$2,,,Arb!$AJ$5,),BV251))</f>
        <v/>
      </c>
      <c r="BX251" s="3" t="str">
        <f t="shared" ca="1" si="84"/>
        <v/>
      </c>
      <c r="BY251" s="165" t="str">
        <f ca="1">IF(BV251="","",INDEX(OFFSET(Arb!$X$2,,,Arb!$AJ$5,),BV251)/BW251)</f>
        <v/>
      </c>
      <c r="BZ251" s="165" t="str">
        <f ca="1">IF(BV251="","",(INDEX(OFFSET(Arb!$U$2,,,Arb!$AJ$5,),BV251)+INDEX(OFFSET(Arb!$V$2,,,Arb!$AJ$5,),BV251))/BW251)</f>
        <v/>
      </c>
      <c r="CA251" s="51" t="str">
        <f t="shared" ca="1" si="94"/>
        <v/>
      </c>
      <c r="CB251" s="91" t="str">
        <f ca="1">IF(BV251="","",DATE(INDEX(OFFSET(Arb!$C$2,,,Arb!$AJ$5,),BV251),INDEX(OFFSET(Arb!$B$2,,,Arb!$AJ$5,),BV251),INDEX(OFFSET(Arb!$A$2,,,Arb!$AJ$5,),BV251))+ROW()*0.001)</f>
        <v/>
      </c>
    </row>
    <row r="252" spans="1:80" x14ac:dyDescent="0.25">
      <c r="A252" s="433">
        <v>110</v>
      </c>
      <c r="C252" s="52" t="str">
        <f ca="1">IF(B252="","",INDEX(OFFSET(Arb!$H$2,,,Arb!$AJ$5,),B252))</f>
        <v/>
      </c>
      <c r="D252" s="3" t="str">
        <f t="shared" ca="1" si="75"/>
        <v/>
      </c>
      <c r="E252" s="165" t="str">
        <f ca="1">IF(B252="","",INDEX(OFFSET(Arb!$X$2,,,Arb!$AJ$5,),B252)/C252)</f>
        <v/>
      </c>
      <c r="F252" s="165" t="str">
        <f ca="1">IF(B252="","",(INDEX(OFFSET(Arb!$U$2,,,Arb!$AJ$5,),B252)+INDEX(OFFSET(Arb!$V$2,,,Arb!$AJ$5,),B252))/C252)</f>
        <v/>
      </c>
      <c r="G252" s="51" t="str">
        <f t="shared" ca="1" si="85"/>
        <v/>
      </c>
      <c r="H252" s="355" t="str">
        <f ca="1">IF(B252="","",DATE(INDEX(OFFSET(Arb!$C$2,,,Arb!$AJ$5,),B252),INDEX(OFFSET(Arb!$B$2,,,Arb!$AJ$5,),B252),INDEX(OFFSET(Arb!$A$2,,,Arb!$AJ$5,),B252))+ROW()*0.001)</f>
        <v/>
      </c>
      <c r="I252" s="436">
        <v>110</v>
      </c>
      <c r="K252" s="52" t="str">
        <f ca="1">IF(J252="","",INDEX(OFFSET(Arb!$H$2,,,Arb!$AJ$5,),J252))</f>
        <v/>
      </c>
      <c r="L252" s="3" t="str">
        <f t="shared" ca="1" si="76"/>
        <v/>
      </c>
      <c r="M252" s="165" t="str">
        <f ca="1">IF(J252="","",INDEX(OFFSET(Arb!$X$2,,,Arb!$AJ$5,),J252)/K252)</f>
        <v/>
      </c>
      <c r="N252" s="165" t="str">
        <f ca="1">IF(J252="","",(INDEX(OFFSET(Arb!$U$2,,,Arb!$AJ$5,),J252)+INDEX(OFFSET(Arb!$V$2,,,Arb!$AJ$5,),J252))/K252)</f>
        <v/>
      </c>
      <c r="O252" s="51" t="str">
        <f t="shared" ca="1" si="86"/>
        <v/>
      </c>
      <c r="P252" s="91" t="str">
        <f ca="1">IF(J252="","",DATE(INDEX(OFFSET(Arb!$C$2,,,Arb!$AJ$5,),J252),INDEX(OFFSET(Arb!$B$2,,,Arb!$AJ$5,),J252),INDEX(OFFSET(Arb!$A$2,,,Arb!$AJ$5,),J252))+ROW()*0.001)</f>
        <v/>
      </c>
      <c r="Q252" s="442">
        <v>110</v>
      </c>
      <c r="S252" s="52" t="str">
        <f ca="1">IF(R252="","",INDEX(OFFSET(Arb!$H$2,,,Arb!$AJ$5,),R252))</f>
        <v/>
      </c>
      <c r="T252" s="3" t="str">
        <f t="shared" ca="1" si="77"/>
        <v/>
      </c>
      <c r="U252" s="165" t="str">
        <f ca="1">IF(R252="","",INDEX(OFFSET(Arb!$X$2,,,Arb!$AJ$5,),R252)/S252)</f>
        <v/>
      </c>
      <c r="V252" s="165" t="str">
        <f ca="1">IF(R252="","",(INDEX(OFFSET(Arb!$U$2,,,Arb!$AJ$5,),R252)+INDEX(OFFSET(Arb!$V$2,,,Arb!$AJ$5,),R252))/S252)</f>
        <v/>
      </c>
      <c r="W252" s="51" t="str">
        <f t="shared" ca="1" si="87"/>
        <v/>
      </c>
      <c r="X252" s="88" t="str">
        <f ca="1">IF(R252="","",DATE(INDEX(OFFSET(Arb!$C$2,,,Arb!$AJ$5,),R252),INDEX(OFFSET(Arb!$B$2,,,Arb!$AJ$5,),R252),INDEX(OFFSET(Arb!$A$2,,,Arb!$AJ$5,),R252))+ROW()*0.001)</f>
        <v/>
      </c>
      <c r="Y252" s="436">
        <v>110</v>
      </c>
      <c r="AA252" s="52" t="str">
        <f ca="1">IF(Z252="","",INDEX(OFFSET(Arb!$H$2,,,Arb!$AJ$5,),Z252))</f>
        <v/>
      </c>
      <c r="AB252" s="3" t="str">
        <f t="shared" ca="1" si="78"/>
        <v/>
      </c>
      <c r="AC252" s="165" t="str">
        <f ca="1">IF(Z252="","",INDEX(OFFSET(Arb!$X$2,,,Arb!$AJ$5,),Z252)/AA252)</f>
        <v/>
      </c>
      <c r="AD252" s="165" t="str">
        <f ca="1">IF(Z252="","",(INDEX(OFFSET(Arb!$U$2,,,Arb!$AJ$5,),Z252)+INDEX(OFFSET(Arb!$V$2,,,Arb!$AJ$5,),Z252))/AA252)</f>
        <v/>
      </c>
      <c r="AE252" s="51" t="str">
        <f t="shared" ca="1" si="88"/>
        <v/>
      </c>
      <c r="AF252" s="91" t="str">
        <f ca="1">IF(Z252="","",DATE(INDEX(OFFSET(Arb!$C$2,,,Arb!$AJ$5,),Z252),INDEX(OFFSET(Arb!$B$2,,,Arb!$AJ$5,),Z252),INDEX(OFFSET(Arb!$A$2,,,Arb!$AJ$5,),Z252))+ROW()*0.001)</f>
        <v/>
      </c>
      <c r="AG252" s="442">
        <v>110</v>
      </c>
      <c r="AI252" s="52" t="str">
        <f ca="1">IF(AH252="","",INDEX(OFFSET(Arb!$H$2,,,Arb!$AJ$5,),AH252))</f>
        <v/>
      </c>
      <c r="AJ252" s="3" t="str">
        <f t="shared" ca="1" si="79"/>
        <v/>
      </c>
      <c r="AK252" s="165" t="str">
        <f ca="1">IF(AH252="","",INDEX(OFFSET(Arb!$X$2,,,Arb!$AJ$5,),AH252)/AI252)</f>
        <v/>
      </c>
      <c r="AL252" s="165" t="str">
        <f ca="1">IF(AH252="","",(INDEX(OFFSET(Arb!$U$2,,,Arb!$AJ$5,),AH252)+INDEX(OFFSET(Arb!$V$2,,,Arb!$AJ$5,),AH252))/AI252)</f>
        <v/>
      </c>
      <c r="AM252" s="51" t="str">
        <f t="shared" ca="1" si="89"/>
        <v/>
      </c>
      <c r="AN252" s="88" t="str">
        <f ca="1">IF(AH252="","",DATE(INDEX(OFFSET(Arb!$C$2,,,Arb!$AJ$5,),AH252),INDEX(OFFSET(Arb!$B$2,,,Arb!$AJ$5,),AH252),INDEX(OFFSET(Arb!$A$2,,,Arb!$AJ$5,),AH252))+ROW()*0.001)</f>
        <v/>
      </c>
      <c r="AO252" s="436">
        <v>110</v>
      </c>
      <c r="AQ252" s="52" t="str">
        <f ca="1">IF(AP252="","",INDEX(OFFSET(Arb!$H$2,,,Arb!$AJ$5,),AP252))</f>
        <v/>
      </c>
      <c r="AR252" s="3" t="str">
        <f t="shared" ca="1" si="80"/>
        <v/>
      </c>
      <c r="AS252" s="165" t="str">
        <f ca="1">IF(AP252="","",INDEX(OFFSET(Arb!$X$2,,,Arb!$AJ$5,),AP252)/AQ252)</f>
        <v/>
      </c>
      <c r="AT252" s="165" t="str">
        <f ca="1">IF(AP252="","",(INDEX(OFFSET(Arb!$U$2,,,Arb!$AJ$5,),AP252)+INDEX(OFFSET(Arb!$V$2,,,Arb!$AJ$5,),AP252))/AQ252)</f>
        <v/>
      </c>
      <c r="AU252" s="51" t="str">
        <f t="shared" ca="1" si="90"/>
        <v/>
      </c>
      <c r="AV252" s="91" t="str">
        <f ca="1">IF(AP252="","",DATE(INDEX(OFFSET(Arb!$C$2,,,Arb!$AJ$5,),AP252),INDEX(OFFSET(Arb!$B$2,,,Arb!$AJ$5,),AP252),INDEX(OFFSET(Arb!$A$2,,,Arb!$AJ$5,),AP252))+ROW()*0.001)</f>
        <v/>
      </c>
      <c r="AW252" s="442">
        <v>110</v>
      </c>
      <c r="AY252" s="52" t="str">
        <f ca="1">IF(AX252="","",INDEX(OFFSET(Arb!$H$2,,,Arb!$AJ$5,),AX252))</f>
        <v/>
      </c>
      <c r="AZ252" s="3" t="str">
        <f t="shared" ca="1" si="81"/>
        <v/>
      </c>
      <c r="BA252" s="165" t="str">
        <f ca="1">IF(AX252="","",INDEX(OFFSET(Arb!$X$2,,,Arb!$AJ$5,),AX252)/AY252)</f>
        <v/>
      </c>
      <c r="BB252" s="165" t="str">
        <f ca="1">IF(AX252="","",(INDEX(OFFSET(Arb!$U$2,,,Arb!$AJ$5,),AX252)+INDEX(OFFSET(Arb!$V$2,,,Arb!$AJ$5,),AX252))/AY252)</f>
        <v/>
      </c>
      <c r="BC252" s="51" t="str">
        <f t="shared" ca="1" si="91"/>
        <v/>
      </c>
      <c r="BD252" s="88" t="str">
        <f ca="1">IF(AX252="","",DATE(INDEX(OFFSET(Arb!$C$2,,,Arb!$AJ$5,),AX252),INDEX(OFFSET(Arb!$B$2,,,Arb!$AJ$5,),AX252),INDEX(OFFSET(Arb!$A$2,,,Arb!$AJ$5,),AX252))+ROW()*0.001)</f>
        <v/>
      </c>
      <c r="BE252" s="436">
        <v>110</v>
      </c>
      <c r="BG252" s="52" t="str">
        <f ca="1">IF(BF252="","",INDEX(OFFSET(Arb!$H$2,,,Arb!$AJ$5,),BF252))</f>
        <v/>
      </c>
      <c r="BH252" s="3" t="str">
        <f t="shared" ca="1" si="82"/>
        <v/>
      </c>
      <c r="BI252" s="165" t="str">
        <f ca="1">IF(BF252="","",INDEX(OFFSET(Arb!$X$2,,,Arb!$AJ$5,),BF252)/BG252)</f>
        <v/>
      </c>
      <c r="BJ252" s="165" t="str">
        <f ca="1">IF(BF252="","",(INDEX(OFFSET(Arb!$U$2,,,Arb!$AJ$5,),BF252)+INDEX(OFFSET(Arb!$V$2,,,Arb!$AJ$5,),BF252))/BG252)</f>
        <v/>
      </c>
      <c r="BK252" s="51" t="str">
        <f t="shared" ca="1" si="92"/>
        <v/>
      </c>
      <c r="BL252" s="91" t="str">
        <f ca="1">IF(BF252="","",DATE(INDEX(OFFSET(Arb!$C$2,,,Arb!$AJ$5,),BF252),INDEX(OFFSET(Arb!$B$2,,,Arb!$AJ$5,),BF252),INDEX(OFFSET(Arb!$A$2,,,Arb!$AJ$5,),BF252))+ROW()*0.001)</f>
        <v/>
      </c>
      <c r="BM252" s="442">
        <v>110</v>
      </c>
      <c r="BO252" s="52" t="str">
        <f ca="1">IF(BN252="","",INDEX(OFFSET(Arb!$H$2,,,Arb!$AJ$5,),BN252))</f>
        <v/>
      </c>
      <c r="BP252" s="3" t="str">
        <f t="shared" ca="1" si="83"/>
        <v/>
      </c>
      <c r="BQ252" s="165" t="str">
        <f ca="1">IF(BN252="","",INDEX(OFFSET(Arb!$X$2,,,Arb!$AJ$5,),BN252)/BO252)</f>
        <v/>
      </c>
      <c r="BR252" s="165" t="str">
        <f ca="1">IF(BN252="","",(INDEX(OFFSET(Arb!$U$2,,,Arb!$AJ$5,),BN252)+INDEX(OFFSET(Arb!$V$2,,,Arb!$AJ$5,),BN252))/BO252)</f>
        <v/>
      </c>
      <c r="BS252" s="51" t="str">
        <f t="shared" ca="1" si="93"/>
        <v/>
      </c>
      <c r="BT252" s="88" t="str">
        <f ca="1">IF(BN252="","",DATE(INDEX(OFFSET(Arb!$C$2,,,Arb!$AJ$5,),BN252),INDEX(OFFSET(Arb!$B$2,,,Arb!$AJ$5,),BN252),INDEX(OFFSET(Arb!$A$2,,,Arb!$AJ$5,),BN252))+ROW()*0.001)</f>
        <v/>
      </c>
      <c r="BU252" s="436">
        <v>110</v>
      </c>
      <c r="BW252" s="52" t="str">
        <f ca="1">IF(BV252="","",INDEX(OFFSET(Arb!$H$2,,,Arb!$AJ$5,),BV252))</f>
        <v/>
      </c>
      <c r="BX252" s="3" t="str">
        <f t="shared" ca="1" si="84"/>
        <v/>
      </c>
      <c r="BY252" s="165" t="str">
        <f ca="1">IF(BV252="","",INDEX(OFFSET(Arb!$X$2,,,Arb!$AJ$5,),BV252)/BW252)</f>
        <v/>
      </c>
      <c r="BZ252" s="165" t="str">
        <f ca="1">IF(BV252="","",(INDEX(OFFSET(Arb!$U$2,,,Arb!$AJ$5,),BV252)+INDEX(OFFSET(Arb!$V$2,,,Arb!$AJ$5,),BV252))/BW252)</f>
        <v/>
      </c>
      <c r="CA252" s="51" t="str">
        <f t="shared" ca="1" si="94"/>
        <v/>
      </c>
      <c r="CB252" s="91" t="str">
        <f ca="1">IF(BV252="","",DATE(INDEX(OFFSET(Arb!$C$2,,,Arb!$AJ$5,),BV252),INDEX(OFFSET(Arb!$B$2,,,Arb!$AJ$5,),BV252),INDEX(OFFSET(Arb!$A$2,,,Arb!$AJ$5,),BV252))+ROW()*0.001)</f>
        <v/>
      </c>
    </row>
    <row r="253" spans="1:80" x14ac:dyDescent="0.25">
      <c r="A253" s="433">
        <v>111</v>
      </c>
      <c r="C253" s="52" t="str">
        <f ca="1">IF(B253="","",INDEX(OFFSET(Arb!$H$2,,,Arb!$AJ$5,),B253))</f>
        <v/>
      </c>
      <c r="D253" s="3" t="str">
        <f t="shared" ca="1" si="75"/>
        <v/>
      </c>
      <c r="E253" s="165" t="str">
        <f ca="1">IF(B253="","",INDEX(OFFSET(Arb!$X$2,,,Arb!$AJ$5,),B253)/C253)</f>
        <v/>
      </c>
      <c r="F253" s="165" t="str">
        <f ca="1">IF(B253="","",(INDEX(OFFSET(Arb!$U$2,,,Arb!$AJ$5,),B253)+INDEX(OFFSET(Arb!$V$2,,,Arb!$AJ$5,),B253))/C253)</f>
        <v/>
      </c>
      <c r="G253" s="51" t="str">
        <f t="shared" ca="1" si="85"/>
        <v/>
      </c>
      <c r="H253" s="355" t="str">
        <f ca="1">IF(B253="","",DATE(INDEX(OFFSET(Arb!$C$2,,,Arb!$AJ$5,),B253),INDEX(OFFSET(Arb!$B$2,,,Arb!$AJ$5,),B253),INDEX(OFFSET(Arb!$A$2,,,Arb!$AJ$5,),B253))+ROW()*0.001)</f>
        <v/>
      </c>
      <c r="I253" s="436">
        <v>111</v>
      </c>
      <c r="K253" s="52" t="str">
        <f ca="1">IF(J253="","",INDEX(OFFSET(Arb!$H$2,,,Arb!$AJ$5,),J253))</f>
        <v/>
      </c>
      <c r="L253" s="3" t="str">
        <f t="shared" ca="1" si="76"/>
        <v/>
      </c>
      <c r="M253" s="165" t="str">
        <f ca="1">IF(J253="","",INDEX(OFFSET(Arb!$X$2,,,Arb!$AJ$5,),J253)/K253)</f>
        <v/>
      </c>
      <c r="N253" s="165" t="str">
        <f ca="1">IF(J253="","",(INDEX(OFFSET(Arb!$U$2,,,Arb!$AJ$5,),J253)+INDEX(OFFSET(Arb!$V$2,,,Arb!$AJ$5,),J253))/K253)</f>
        <v/>
      </c>
      <c r="O253" s="51" t="str">
        <f t="shared" ca="1" si="86"/>
        <v/>
      </c>
      <c r="P253" s="91" t="str">
        <f ca="1">IF(J253="","",DATE(INDEX(OFFSET(Arb!$C$2,,,Arb!$AJ$5,),J253),INDEX(OFFSET(Arb!$B$2,,,Arb!$AJ$5,),J253),INDEX(OFFSET(Arb!$A$2,,,Arb!$AJ$5,),J253))+ROW()*0.001)</f>
        <v/>
      </c>
      <c r="Q253" s="442">
        <v>111</v>
      </c>
      <c r="S253" s="52" t="str">
        <f ca="1">IF(R253="","",INDEX(OFFSET(Arb!$H$2,,,Arb!$AJ$5,),R253))</f>
        <v/>
      </c>
      <c r="T253" s="3" t="str">
        <f t="shared" ca="1" si="77"/>
        <v/>
      </c>
      <c r="U253" s="165" t="str">
        <f ca="1">IF(R253="","",INDEX(OFFSET(Arb!$X$2,,,Arb!$AJ$5,),R253)/S253)</f>
        <v/>
      </c>
      <c r="V253" s="165" t="str">
        <f ca="1">IF(R253="","",(INDEX(OFFSET(Arb!$U$2,,,Arb!$AJ$5,),R253)+INDEX(OFFSET(Arb!$V$2,,,Arb!$AJ$5,),R253))/S253)</f>
        <v/>
      </c>
      <c r="W253" s="51" t="str">
        <f t="shared" ca="1" si="87"/>
        <v/>
      </c>
      <c r="X253" s="88" t="str">
        <f ca="1">IF(R253="","",DATE(INDEX(OFFSET(Arb!$C$2,,,Arb!$AJ$5,),R253),INDEX(OFFSET(Arb!$B$2,,,Arb!$AJ$5,),R253),INDEX(OFFSET(Arb!$A$2,,,Arb!$AJ$5,),R253))+ROW()*0.001)</f>
        <v/>
      </c>
      <c r="Y253" s="436">
        <v>111</v>
      </c>
      <c r="AA253" s="52" t="str">
        <f ca="1">IF(Z253="","",INDEX(OFFSET(Arb!$H$2,,,Arb!$AJ$5,),Z253))</f>
        <v/>
      </c>
      <c r="AB253" s="3" t="str">
        <f t="shared" ca="1" si="78"/>
        <v/>
      </c>
      <c r="AC253" s="165" t="str">
        <f ca="1">IF(Z253="","",INDEX(OFFSET(Arb!$X$2,,,Arb!$AJ$5,),Z253)/AA253)</f>
        <v/>
      </c>
      <c r="AD253" s="165" t="str">
        <f ca="1">IF(Z253="","",(INDEX(OFFSET(Arb!$U$2,,,Arb!$AJ$5,),Z253)+INDEX(OFFSET(Arb!$V$2,,,Arb!$AJ$5,),Z253))/AA253)</f>
        <v/>
      </c>
      <c r="AE253" s="51" t="str">
        <f t="shared" ca="1" si="88"/>
        <v/>
      </c>
      <c r="AF253" s="91" t="str">
        <f ca="1">IF(Z253="","",DATE(INDEX(OFFSET(Arb!$C$2,,,Arb!$AJ$5,),Z253),INDEX(OFFSET(Arb!$B$2,,,Arb!$AJ$5,),Z253),INDEX(OFFSET(Arb!$A$2,,,Arb!$AJ$5,),Z253))+ROW()*0.001)</f>
        <v/>
      </c>
      <c r="AG253" s="442">
        <v>111</v>
      </c>
      <c r="AI253" s="52" t="str">
        <f ca="1">IF(AH253="","",INDEX(OFFSET(Arb!$H$2,,,Arb!$AJ$5,),AH253))</f>
        <v/>
      </c>
      <c r="AJ253" s="3" t="str">
        <f t="shared" ca="1" si="79"/>
        <v/>
      </c>
      <c r="AK253" s="165" t="str">
        <f ca="1">IF(AH253="","",INDEX(OFFSET(Arb!$X$2,,,Arb!$AJ$5,),AH253)/AI253)</f>
        <v/>
      </c>
      <c r="AL253" s="165" t="str">
        <f ca="1">IF(AH253="","",(INDEX(OFFSET(Arb!$U$2,,,Arb!$AJ$5,),AH253)+INDEX(OFFSET(Arb!$V$2,,,Arb!$AJ$5,),AH253))/AI253)</f>
        <v/>
      </c>
      <c r="AM253" s="51" t="str">
        <f t="shared" ca="1" si="89"/>
        <v/>
      </c>
      <c r="AN253" s="88" t="str">
        <f ca="1">IF(AH253="","",DATE(INDEX(OFFSET(Arb!$C$2,,,Arb!$AJ$5,),AH253),INDEX(OFFSET(Arb!$B$2,,,Arb!$AJ$5,),AH253),INDEX(OFFSET(Arb!$A$2,,,Arb!$AJ$5,),AH253))+ROW()*0.001)</f>
        <v/>
      </c>
      <c r="AO253" s="436">
        <v>111</v>
      </c>
      <c r="AQ253" s="52" t="str">
        <f ca="1">IF(AP253="","",INDEX(OFFSET(Arb!$H$2,,,Arb!$AJ$5,),AP253))</f>
        <v/>
      </c>
      <c r="AR253" s="3" t="str">
        <f t="shared" ca="1" si="80"/>
        <v/>
      </c>
      <c r="AS253" s="165" t="str">
        <f ca="1">IF(AP253="","",INDEX(OFFSET(Arb!$X$2,,,Arb!$AJ$5,),AP253)/AQ253)</f>
        <v/>
      </c>
      <c r="AT253" s="165" t="str">
        <f ca="1">IF(AP253="","",(INDEX(OFFSET(Arb!$U$2,,,Arb!$AJ$5,),AP253)+INDEX(OFFSET(Arb!$V$2,,,Arb!$AJ$5,),AP253))/AQ253)</f>
        <v/>
      </c>
      <c r="AU253" s="51" t="str">
        <f t="shared" ca="1" si="90"/>
        <v/>
      </c>
      <c r="AV253" s="91" t="str">
        <f ca="1">IF(AP253="","",DATE(INDEX(OFFSET(Arb!$C$2,,,Arb!$AJ$5,),AP253),INDEX(OFFSET(Arb!$B$2,,,Arb!$AJ$5,),AP253),INDEX(OFFSET(Arb!$A$2,,,Arb!$AJ$5,),AP253))+ROW()*0.001)</f>
        <v/>
      </c>
      <c r="AW253" s="442">
        <v>111</v>
      </c>
      <c r="AY253" s="52" t="str">
        <f ca="1">IF(AX253="","",INDEX(OFFSET(Arb!$H$2,,,Arb!$AJ$5,),AX253))</f>
        <v/>
      </c>
      <c r="AZ253" s="3" t="str">
        <f t="shared" ca="1" si="81"/>
        <v/>
      </c>
      <c r="BA253" s="165" t="str">
        <f ca="1">IF(AX253="","",INDEX(OFFSET(Arb!$X$2,,,Arb!$AJ$5,),AX253)/AY253)</f>
        <v/>
      </c>
      <c r="BB253" s="165" t="str">
        <f ca="1">IF(AX253="","",(INDEX(OFFSET(Arb!$U$2,,,Arb!$AJ$5,),AX253)+INDEX(OFFSET(Arb!$V$2,,,Arb!$AJ$5,),AX253))/AY253)</f>
        <v/>
      </c>
      <c r="BC253" s="51" t="str">
        <f t="shared" ca="1" si="91"/>
        <v/>
      </c>
      <c r="BD253" s="88" t="str">
        <f ca="1">IF(AX253="","",DATE(INDEX(OFFSET(Arb!$C$2,,,Arb!$AJ$5,),AX253),INDEX(OFFSET(Arb!$B$2,,,Arb!$AJ$5,),AX253),INDEX(OFFSET(Arb!$A$2,,,Arb!$AJ$5,),AX253))+ROW()*0.001)</f>
        <v/>
      </c>
      <c r="BE253" s="436">
        <v>111</v>
      </c>
      <c r="BG253" s="52" t="str">
        <f ca="1">IF(BF253="","",INDEX(OFFSET(Arb!$H$2,,,Arb!$AJ$5,),BF253))</f>
        <v/>
      </c>
      <c r="BH253" s="3" t="str">
        <f t="shared" ca="1" si="82"/>
        <v/>
      </c>
      <c r="BI253" s="165" t="str">
        <f ca="1">IF(BF253="","",INDEX(OFFSET(Arb!$X$2,,,Arb!$AJ$5,),BF253)/BG253)</f>
        <v/>
      </c>
      <c r="BJ253" s="165" t="str">
        <f ca="1">IF(BF253="","",(INDEX(OFFSET(Arb!$U$2,,,Arb!$AJ$5,),BF253)+INDEX(OFFSET(Arb!$V$2,,,Arb!$AJ$5,),BF253))/BG253)</f>
        <v/>
      </c>
      <c r="BK253" s="51" t="str">
        <f t="shared" ca="1" si="92"/>
        <v/>
      </c>
      <c r="BL253" s="91" t="str">
        <f ca="1">IF(BF253="","",DATE(INDEX(OFFSET(Arb!$C$2,,,Arb!$AJ$5,),BF253),INDEX(OFFSET(Arb!$B$2,,,Arb!$AJ$5,),BF253),INDEX(OFFSET(Arb!$A$2,,,Arb!$AJ$5,),BF253))+ROW()*0.001)</f>
        <v/>
      </c>
      <c r="BM253" s="442">
        <v>111</v>
      </c>
      <c r="BO253" s="52" t="str">
        <f ca="1">IF(BN253="","",INDEX(OFFSET(Arb!$H$2,,,Arb!$AJ$5,),BN253))</f>
        <v/>
      </c>
      <c r="BP253" s="3" t="str">
        <f t="shared" ca="1" si="83"/>
        <v/>
      </c>
      <c r="BQ253" s="165" t="str">
        <f ca="1">IF(BN253="","",INDEX(OFFSET(Arb!$X$2,,,Arb!$AJ$5,),BN253)/BO253)</f>
        <v/>
      </c>
      <c r="BR253" s="165" t="str">
        <f ca="1">IF(BN253="","",(INDEX(OFFSET(Arb!$U$2,,,Arb!$AJ$5,),BN253)+INDEX(OFFSET(Arb!$V$2,,,Arb!$AJ$5,),BN253))/BO253)</f>
        <v/>
      </c>
      <c r="BS253" s="51" t="str">
        <f t="shared" ca="1" si="93"/>
        <v/>
      </c>
      <c r="BT253" s="88" t="str">
        <f ca="1">IF(BN253="","",DATE(INDEX(OFFSET(Arb!$C$2,,,Arb!$AJ$5,),BN253),INDEX(OFFSET(Arb!$B$2,,,Arb!$AJ$5,),BN253),INDEX(OFFSET(Arb!$A$2,,,Arb!$AJ$5,),BN253))+ROW()*0.001)</f>
        <v/>
      </c>
      <c r="BU253" s="436">
        <v>111</v>
      </c>
      <c r="BW253" s="52" t="str">
        <f ca="1">IF(BV253="","",INDEX(OFFSET(Arb!$H$2,,,Arb!$AJ$5,),BV253))</f>
        <v/>
      </c>
      <c r="BX253" s="3" t="str">
        <f t="shared" ca="1" si="84"/>
        <v/>
      </c>
      <c r="BY253" s="165" t="str">
        <f ca="1">IF(BV253="","",INDEX(OFFSET(Arb!$X$2,,,Arb!$AJ$5,),BV253)/BW253)</f>
        <v/>
      </c>
      <c r="BZ253" s="165" t="str">
        <f ca="1">IF(BV253="","",(INDEX(OFFSET(Arb!$U$2,,,Arb!$AJ$5,),BV253)+INDEX(OFFSET(Arb!$V$2,,,Arb!$AJ$5,),BV253))/BW253)</f>
        <v/>
      </c>
      <c r="CA253" s="51" t="str">
        <f t="shared" ca="1" si="94"/>
        <v/>
      </c>
      <c r="CB253" s="91" t="str">
        <f ca="1">IF(BV253="","",DATE(INDEX(OFFSET(Arb!$C$2,,,Arb!$AJ$5,),BV253),INDEX(OFFSET(Arb!$B$2,,,Arb!$AJ$5,),BV253),INDEX(OFFSET(Arb!$A$2,,,Arb!$AJ$5,),BV253))+ROW()*0.001)</f>
        <v/>
      </c>
    </row>
    <row r="254" spans="1:80" x14ac:dyDescent="0.25">
      <c r="A254" s="433">
        <v>112</v>
      </c>
      <c r="C254" s="52" t="str">
        <f ca="1">IF(B254="","",INDEX(OFFSET(Arb!$H$2,,,Arb!$AJ$5,),B254))</f>
        <v/>
      </c>
      <c r="D254" s="3" t="str">
        <f t="shared" ca="1" si="75"/>
        <v/>
      </c>
      <c r="E254" s="165" t="str">
        <f ca="1">IF(B254="","",INDEX(OFFSET(Arb!$X$2,,,Arb!$AJ$5,),B254)/C254)</f>
        <v/>
      </c>
      <c r="F254" s="165" t="str">
        <f ca="1">IF(B254="","",(INDEX(OFFSET(Arb!$U$2,,,Arb!$AJ$5,),B254)+INDEX(OFFSET(Arb!$V$2,,,Arb!$AJ$5,),B254))/C254)</f>
        <v/>
      </c>
      <c r="G254" s="51" t="str">
        <f t="shared" ca="1" si="85"/>
        <v/>
      </c>
      <c r="H254" s="355" t="str">
        <f ca="1">IF(B254="","",DATE(INDEX(OFFSET(Arb!$C$2,,,Arb!$AJ$5,),B254),INDEX(OFFSET(Arb!$B$2,,,Arb!$AJ$5,),B254),INDEX(OFFSET(Arb!$A$2,,,Arb!$AJ$5,),B254))+ROW()*0.001)</f>
        <v/>
      </c>
      <c r="I254" s="436">
        <v>112</v>
      </c>
      <c r="K254" s="52" t="str">
        <f ca="1">IF(J254="","",INDEX(OFFSET(Arb!$H$2,,,Arb!$AJ$5,),J254))</f>
        <v/>
      </c>
      <c r="L254" s="3" t="str">
        <f t="shared" ca="1" si="76"/>
        <v/>
      </c>
      <c r="M254" s="165" t="str">
        <f ca="1">IF(J254="","",INDEX(OFFSET(Arb!$X$2,,,Arb!$AJ$5,),J254)/K254)</f>
        <v/>
      </c>
      <c r="N254" s="165" t="str">
        <f ca="1">IF(J254="","",(INDEX(OFFSET(Arb!$U$2,,,Arb!$AJ$5,),J254)+INDEX(OFFSET(Arb!$V$2,,,Arb!$AJ$5,),J254))/K254)</f>
        <v/>
      </c>
      <c r="O254" s="51" t="str">
        <f t="shared" ca="1" si="86"/>
        <v/>
      </c>
      <c r="P254" s="91" t="str">
        <f ca="1">IF(J254="","",DATE(INDEX(OFFSET(Arb!$C$2,,,Arb!$AJ$5,),J254),INDEX(OFFSET(Arb!$B$2,,,Arb!$AJ$5,),J254),INDEX(OFFSET(Arb!$A$2,,,Arb!$AJ$5,),J254))+ROW()*0.001)</f>
        <v/>
      </c>
      <c r="Q254" s="442">
        <v>112</v>
      </c>
      <c r="S254" s="52" t="str">
        <f ca="1">IF(R254="","",INDEX(OFFSET(Arb!$H$2,,,Arb!$AJ$5,),R254))</f>
        <v/>
      </c>
      <c r="T254" s="3" t="str">
        <f t="shared" ca="1" si="77"/>
        <v/>
      </c>
      <c r="U254" s="165" t="str">
        <f ca="1">IF(R254="","",INDEX(OFFSET(Arb!$X$2,,,Arb!$AJ$5,),R254)/S254)</f>
        <v/>
      </c>
      <c r="V254" s="165" t="str">
        <f ca="1">IF(R254="","",(INDEX(OFFSET(Arb!$U$2,,,Arb!$AJ$5,),R254)+INDEX(OFFSET(Arb!$V$2,,,Arb!$AJ$5,),R254))/S254)</f>
        <v/>
      </c>
      <c r="W254" s="51" t="str">
        <f t="shared" ca="1" si="87"/>
        <v/>
      </c>
      <c r="X254" s="88" t="str">
        <f ca="1">IF(R254="","",DATE(INDEX(OFFSET(Arb!$C$2,,,Arb!$AJ$5,),R254),INDEX(OFFSET(Arb!$B$2,,,Arb!$AJ$5,),R254),INDEX(OFFSET(Arb!$A$2,,,Arb!$AJ$5,),R254))+ROW()*0.001)</f>
        <v/>
      </c>
      <c r="Y254" s="436">
        <v>112</v>
      </c>
      <c r="AA254" s="52" t="str">
        <f ca="1">IF(Z254="","",INDEX(OFFSET(Arb!$H$2,,,Arb!$AJ$5,),Z254))</f>
        <v/>
      </c>
      <c r="AB254" s="3" t="str">
        <f t="shared" ca="1" si="78"/>
        <v/>
      </c>
      <c r="AC254" s="165" t="str">
        <f ca="1">IF(Z254="","",INDEX(OFFSET(Arb!$X$2,,,Arb!$AJ$5,),Z254)/AA254)</f>
        <v/>
      </c>
      <c r="AD254" s="165" t="str">
        <f ca="1">IF(Z254="","",(INDEX(OFFSET(Arb!$U$2,,,Arb!$AJ$5,),Z254)+INDEX(OFFSET(Arb!$V$2,,,Arb!$AJ$5,),Z254))/AA254)</f>
        <v/>
      </c>
      <c r="AE254" s="51" t="str">
        <f t="shared" ca="1" si="88"/>
        <v/>
      </c>
      <c r="AF254" s="91" t="str">
        <f ca="1">IF(Z254="","",DATE(INDEX(OFFSET(Arb!$C$2,,,Arb!$AJ$5,),Z254),INDEX(OFFSET(Arb!$B$2,,,Arb!$AJ$5,),Z254),INDEX(OFFSET(Arb!$A$2,,,Arb!$AJ$5,),Z254))+ROW()*0.001)</f>
        <v/>
      </c>
      <c r="AG254" s="442">
        <v>112</v>
      </c>
      <c r="AI254" s="52" t="str">
        <f ca="1">IF(AH254="","",INDEX(OFFSET(Arb!$H$2,,,Arb!$AJ$5,),AH254))</f>
        <v/>
      </c>
      <c r="AJ254" s="3" t="str">
        <f t="shared" ca="1" si="79"/>
        <v/>
      </c>
      <c r="AK254" s="165" t="str">
        <f ca="1">IF(AH254="","",INDEX(OFFSET(Arb!$X$2,,,Arb!$AJ$5,),AH254)/AI254)</f>
        <v/>
      </c>
      <c r="AL254" s="165" t="str">
        <f ca="1">IF(AH254="","",(INDEX(OFFSET(Arb!$U$2,,,Arb!$AJ$5,),AH254)+INDEX(OFFSET(Arb!$V$2,,,Arb!$AJ$5,),AH254))/AI254)</f>
        <v/>
      </c>
      <c r="AM254" s="51" t="str">
        <f t="shared" ca="1" si="89"/>
        <v/>
      </c>
      <c r="AN254" s="88" t="str">
        <f ca="1">IF(AH254="","",DATE(INDEX(OFFSET(Arb!$C$2,,,Arb!$AJ$5,),AH254),INDEX(OFFSET(Arb!$B$2,,,Arb!$AJ$5,),AH254),INDEX(OFFSET(Arb!$A$2,,,Arb!$AJ$5,),AH254))+ROW()*0.001)</f>
        <v/>
      </c>
      <c r="AO254" s="436">
        <v>112</v>
      </c>
      <c r="AQ254" s="52" t="str">
        <f ca="1">IF(AP254="","",INDEX(OFFSET(Arb!$H$2,,,Arb!$AJ$5,),AP254))</f>
        <v/>
      </c>
      <c r="AR254" s="3" t="str">
        <f t="shared" ca="1" si="80"/>
        <v/>
      </c>
      <c r="AS254" s="165" t="str">
        <f ca="1">IF(AP254="","",INDEX(OFFSET(Arb!$X$2,,,Arb!$AJ$5,),AP254)/AQ254)</f>
        <v/>
      </c>
      <c r="AT254" s="165" t="str">
        <f ca="1">IF(AP254="","",(INDEX(OFFSET(Arb!$U$2,,,Arb!$AJ$5,),AP254)+INDEX(OFFSET(Arb!$V$2,,,Arb!$AJ$5,),AP254))/AQ254)</f>
        <v/>
      </c>
      <c r="AU254" s="51" t="str">
        <f t="shared" ca="1" si="90"/>
        <v/>
      </c>
      <c r="AV254" s="91" t="str">
        <f ca="1">IF(AP254="","",DATE(INDEX(OFFSET(Arb!$C$2,,,Arb!$AJ$5,),AP254),INDEX(OFFSET(Arb!$B$2,,,Arb!$AJ$5,),AP254),INDEX(OFFSET(Arb!$A$2,,,Arb!$AJ$5,),AP254))+ROW()*0.001)</f>
        <v/>
      </c>
      <c r="AW254" s="442">
        <v>112</v>
      </c>
      <c r="AY254" s="52" t="str">
        <f ca="1">IF(AX254="","",INDEX(OFFSET(Arb!$H$2,,,Arb!$AJ$5,),AX254))</f>
        <v/>
      </c>
      <c r="AZ254" s="3" t="str">
        <f t="shared" ca="1" si="81"/>
        <v/>
      </c>
      <c r="BA254" s="165" t="str">
        <f ca="1">IF(AX254="","",INDEX(OFFSET(Arb!$X$2,,,Arb!$AJ$5,),AX254)/AY254)</f>
        <v/>
      </c>
      <c r="BB254" s="165" t="str">
        <f ca="1">IF(AX254="","",(INDEX(OFFSET(Arb!$U$2,,,Arb!$AJ$5,),AX254)+INDEX(OFFSET(Arb!$V$2,,,Arb!$AJ$5,),AX254))/AY254)</f>
        <v/>
      </c>
      <c r="BC254" s="51" t="str">
        <f t="shared" ca="1" si="91"/>
        <v/>
      </c>
      <c r="BD254" s="88" t="str">
        <f ca="1">IF(AX254="","",DATE(INDEX(OFFSET(Arb!$C$2,,,Arb!$AJ$5,),AX254),INDEX(OFFSET(Arb!$B$2,,,Arb!$AJ$5,),AX254),INDEX(OFFSET(Arb!$A$2,,,Arb!$AJ$5,),AX254))+ROW()*0.001)</f>
        <v/>
      </c>
      <c r="BE254" s="436">
        <v>112</v>
      </c>
      <c r="BG254" s="52" t="str">
        <f ca="1">IF(BF254="","",INDEX(OFFSET(Arb!$H$2,,,Arb!$AJ$5,),BF254))</f>
        <v/>
      </c>
      <c r="BH254" s="3" t="str">
        <f t="shared" ca="1" si="82"/>
        <v/>
      </c>
      <c r="BI254" s="165" t="str">
        <f ca="1">IF(BF254="","",INDEX(OFFSET(Arb!$X$2,,,Arb!$AJ$5,),BF254)/BG254)</f>
        <v/>
      </c>
      <c r="BJ254" s="165" t="str">
        <f ca="1">IF(BF254="","",(INDEX(OFFSET(Arb!$U$2,,,Arb!$AJ$5,),BF254)+INDEX(OFFSET(Arb!$V$2,,,Arb!$AJ$5,),BF254))/BG254)</f>
        <v/>
      </c>
      <c r="BK254" s="51" t="str">
        <f t="shared" ca="1" si="92"/>
        <v/>
      </c>
      <c r="BL254" s="91" t="str">
        <f ca="1">IF(BF254="","",DATE(INDEX(OFFSET(Arb!$C$2,,,Arb!$AJ$5,),BF254),INDEX(OFFSET(Arb!$B$2,,,Arb!$AJ$5,),BF254),INDEX(OFFSET(Arb!$A$2,,,Arb!$AJ$5,),BF254))+ROW()*0.001)</f>
        <v/>
      </c>
      <c r="BM254" s="442">
        <v>112</v>
      </c>
      <c r="BO254" s="52" t="str">
        <f ca="1">IF(BN254="","",INDEX(OFFSET(Arb!$H$2,,,Arb!$AJ$5,),BN254))</f>
        <v/>
      </c>
      <c r="BP254" s="3" t="str">
        <f t="shared" ca="1" si="83"/>
        <v/>
      </c>
      <c r="BQ254" s="165" t="str">
        <f ca="1">IF(BN254="","",INDEX(OFFSET(Arb!$X$2,,,Arb!$AJ$5,),BN254)/BO254)</f>
        <v/>
      </c>
      <c r="BR254" s="165" t="str">
        <f ca="1">IF(BN254="","",(INDEX(OFFSET(Arb!$U$2,,,Arb!$AJ$5,),BN254)+INDEX(OFFSET(Arb!$V$2,,,Arb!$AJ$5,),BN254))/BO254)</f>
        <v/>
      </c>
      <c r="BS254" s="51" t="str">
        <f t="shared" ca="1" si="93"/>
        <v/>
      </c>
      <c r="BT254" s="88" t="str">
        <f ca="1">IF(BN254="","",DATE(INDEX(OFFSET(Arb!$C$2,,,Arb!$AJ$5,),BN254),INDEX(OFFSET(Arb!$B$2,,,Arb!$AJ$5,),BN254),INDEX(OFFSET(Arb!$A$2,,,Arb!$AJ$5,),BN254))+ROW()*0.001)</f>
        <v/>
      </c>
      <c r="BU254" s="436">
        <v>112</v>
      </c>
      <c r="BW254" s="52" t="str">
        <f ca="1">IF(BV254="","",INDEX(OFFSET(Arb!$H$2,,,Arb!$AJ$5,),BV254))</f>
        <v/>
      </c>
      <c r="BX254" s="3" t="str">
        <f t="shared" ca="1" si="84"/>
        <v/>
      </c>
      <c r="BY254" s="165" t="str">
        <f ca="1">IF(BV254="","",INDEX(OFFSET(Arb!$X$2,,,Arb!$AJ$5,),BV254)/BW254)</f>
        <v/>
      </c>
      <c r="BZ254" s="165" t="str">
        <f ca="1">IF(BV254="","",(INDEX(OFFSET(Arb!$U$2,,,Arb!$AJ$5,),BV254)+INDEX(OFFSET(Arb!$V$2,,,Arb!$AJ$5,),BV254))/BW254)</f>
        <v/>
      </c>
      <c r="CA254" s="51" t="str">
        <f t="shared" ca="1" si="94"/>
        <v/>
      </c>
      <c r="CB254" s="91" t="str">
        <f ca="1">IF(BV254="","",DATE(INDEX(OFFSET(Arb!$C$2,,,Arb!$AJ$5,),BV254),INDEX(OFFSET(Arb!$B$2,,,Arb!$AJ$5,),BV254),INDEX(OFFSET(Arb!$A$2,,,Arb!$AJ$5,),BV254))+ROW()*0.001)</f>
        <v/>
      </c>
    </row>
    <row r="255" spans="1:80" x14ac:dyDescent="0.25">
      <c r="A255" s="433">
        <v>113</v>
      </c>
      <c r="C255" s="52" t="str">
        <f ca="1">IF(B255="","",INDEX(OFFSET(Arb!$H$2,,,Arb!$AJ$5,),B255))</f>
        <v/>
      </c>
      <c r="D255" s="3" t="str">
        <f t="shared" ca="1" si="75"/>
        <v/>
      </c>
      <c r="E255" s="165" t="str">
        <f ca="1">IF(B255="","",INDEX(OFFSET(Arb!$X$2,,,Arb!$AJ$5,),B255)/C255)</f>
        <v/>
      </c>
      <c r="F255" s="165" t="str">
        <f ca="1">IF(B255="","",(INDEX(OFFSET(Arb!$U$2,,,Arb!$AJ$5,),B255)+INDEX(OFFSET(Arb!$V$2,,,Arb!$AJ$5,),B255))/C255)</f>
        <v/>
      </c>
      <c r="G255" s="51" t="str">
        <f t="shared" ca="1" si="85"/>
        <v/>
      </c>
      <c r="H255" s="355" t="str">
        <f ca="1">IF(B255="","",DATE(INDEX(OFFSET(Arb!$C$2,,,Arb!$AJ$5,),B255),INDEX(OFFSET(Arb!$B$2,,,Arb!$AJ$5,),B255),INDEX(OFFSET(Arb!$A$2,,,Arb!$AJ$5,),B255))+ROW()*0.001)</f>
        <v/>
      </c>
      <c r="I255" s="436">
        <v>113</v>
      </c>
      <c r="K255" s="52" t="str">
        <f ca="1">IF(J255="","",INDEX(OFFSET(Arb!$H$2,,,Arb!$AJ$5,),J255))</f>
        <v/>
      </c>
      <c r="L255" s="3" t="str">
        <f t="shared" ca="1" si="76"/>
        <v/>
      </c>
      <c r="M255" s="165" t="str">
        <f ca="1">IF(J255="","",INDEX(OFFSET(Arb!$X$2,,,Arb!$AJ$5,),J255)/K255)</f>
        <v/>
      </c>
      <c r="N255" s="165" t="str">
        <f ca="1">IF(J255="","",(INDEX(OFFSET(Arb!$U$2,,,Arb!$AJ$5,),J255)+INDEX(OFFSET(Arb!$V$2,,,Arb!$AJ$5,),J255))/K255)</f>
        <v/>
      </c>
      <c r="O255" s="51" t="str">
        <f t="shared" ca="1" si="86"/>
        <v/>
      </c>
      <c r="P255" s="91" t="str">
        <f ca="1">IF(J255="","",DATE(INDEX(OFFSET(Arb!$C$2,,,Arb!$AJ$5,),J255),INDEX(OFFSET(Arb!$B$2,,,Arb!$AJ$5,),J255),INDEX(OFFSET(Arb!$A$2,,,Arb!$AJ$5,),J255))+ROW()*0.001)</f>
        <v/>
      </c>
      <c r="Q255" s="442">
        <v>113</v>
      </c>
      <c r="S255" s="52" t="str">
        <f ca="1">IF(R255="","",INDEX(OFFSET(Arb!$H$2,,,Arb!$AJ$5,),R255))</f>
        <v/>
      </c>
      <c r="T255" s="3" t="str">
        <f t="shared" ca="1" si="77"/>
        <v/>
      </c>
      <c r="U255" s="165" t="str">
        <f ca="1">IF(R255="","",INDEX(OFFSET(Arb!$X$2,,,Arb!$AJ$5,),R255)/S255)</f>
        <v/>
      </c>
      <c r="V255" s="165" t="str">
        <f ca="1">IF(R255="","",(INDEX(OFFSET(Arb!$U$2,,,Arb!$AJ$5,),R255)+INDEX(OFFSET(Arb!$V$2,,,Arb!$AJ$5,),R255))/S255)</f>
        <v/>
      </c>
      <c r="W255" s="51" t="str">
        <f t="shared" ca="1" si="87"/>
        <v/>
      </c>
      <c r="X255" s="88" t="str">
        <f ca="1">IF(R255="","",DATE(INDEX(OFFSET(Arb!$C$2,,,Arb!$AJ$5,),R255),INDEX(OFFSET(Arb!$B$2,,,Arb!$AJ$5,),R255),INDEX(OFFSET(Arb!$A$2,,,Arb!$AJ$5,),R255))+ROW()*0.001)</f>
        <v/>
      </c>
      <c r="Y255" s="436">
        <v>113</v>
      </c>
      <c r="AA255" s="52" t="str">
        <f ca="1">IF(Z255="","",INDEX(OFFSET(Arb!$H$2,,,Arb!$AJ$5,),Z255))</f>
        <v/>
      </c>
      <c r="AB255" s="3" t="str">
        <f t="shared" ca="1" si="78"/>
        <v/>
      </c>
      <c r="AC255" s="165" t="str">
        <f ca="1">IF(Z255="","",INDEX(OFFSET(Arb!$X$2,,,Arb!$AJ$5,),Z255)/AA255)</f>
        <v/>
      </c>
      <c r="AD255" s="165" t="str">
        <f ca="1">IF(Z255="","",(INDEX(OFFSET(Arb!$U$2,,,Arb!$AJ$5,),Z255)+INDEX(OFFSET(Arb!$V$2,,,Arb!$AJ$5,),Z255))/AA255)</f>
        <v/>
      </c>
      <c r="AE255" s="51" t="str">
        <f t="shared" ca="1" si="88"/>
        <v/>
      </c>
      <c r="AF255" s="91" t="str">
        <f ca="1">IF(Z255="","",DATE(INDEX(OFFSET(Arb!$C$2,,,Arb!$AJ$5,),Z255),INDEX(OFFSET(Arb!$B$2,,,Arb!$AJ$5,),Z255),INDEX(OFFSET(Arb!$A$2,,,Arb!$AJ$5,),Z255))+ROW()*0.001)</f>
        <v/>
      </c>
      <c r="AG255" s="442">
        <v>113</v>
      </c>
      <c r="AI255" s="52" t="str">
        <f ca="1">IF(AH255="","",INDEX(OFFSET(Arb!$H$2,,,Arb!$AJ$5,),AH255))</f>
        <v/>
      </c>
      <c r="AJ255" s="3" t="str">
        <f t="shared" ca="1" si="79"/>
        <v/>
      </c>
      <c r="AK255" s="165" t="str">
        <f ca="1">IF(AH255="","",INDEX(OFFSET(Arb!$X$2,,,Arb!$AJ$5,),AH255)/AI255)</f>
        <v/>
      </c>
      <c r="AL255" s="165" t="str">
        <f ca="1">IF(AH255="","",(INDEX(OFFSET(Arb!$U$2,,,Arb!$AJ$5,),AH255)+INDEX(OFFSET(Arb!$V$2,,,Arb!$AJ$5,),AH255))/AI255)</f>
        <v/>
      </c>
      <c r="AM255" s="51" t="str">
        <f t="shared" ca="1" si="89"/>
        <v/>
      </c>
      <c r="AN255" s="88" t="str">
        <f ca="1">IF(AH255="","",DATE(INDEX(OFFSET(Arb!$C$2,,,Arb!$AJ$5,),AH255),INDEX(OFFSET(Arb!$B$2,,,Arb!$AJ$5,),AH255),INDEX(OFFSET(Arb!$A$2,,,Arb!$AJ$5,),AH255))+ROW()*0.001)</f>
        <v/>
      </c>
      <c r="AO255" s="436">
        <v>113</v>
      </c>
      <c r="AQ255" s="52" t="str">
        <f ca="1">IF(AP255="","",INDEX(OFFSET(Arb!$H$2,,,Arb!$AJ$5,),AP255))</f>
        <v/>
      </c>
      <c r="AR255" s="3" t="str">
        <f t="shared" ca="1" si="80"/>
        <v/>
      </c>
      <c r="AS255" s="165" t="str">
        <f ca="1">IF(AP255="","",INDEX(OFFSET(Arb!$X$2,,,Arb!$AJ$5,),AP255)/AQ255)</f>
        <v/>
      </c>
      <c r="AT255" s="165" t="str">
        <f ca="1">IF(AP255="","",(INDEX(OFFSET(Arb!$U$2,,,Arb!$AJ$5,),AP255)+INDEX(OFFSET(Arb!$V$2,,,Arb!$AJ$5,),AP255))/AQ255)</f>
        <v/>
      </c>
      <c r="AU255" s="51" t="str">
        <f t="shared" ca="1" si="90"/>
        <v/>
      </c>
      <c r="AV255" s="91" t="str">
        <f ca="1">IF(AP255="","",DATE(INDEX(OFFSET(Arb!$C$2,,,Arb!$AJ$5,),AP255),INDEX(OFFSET(Arb!$B$2,,,Arb!$AJ$5,),AP255),INDEX(OFFSET(Arb!$A$2,,,Arb!$AJ$5,),AP255))+ROW()*0.001)</f>
        <v/>
      </c>
      <c r="AW255" s="442">
        <v>113</v>
      </c>
      <c r="AY255" s="52" t="str">
        <f ca="1">IF(AX255="","",INDEX(OFFSET(Arb!$H$2,,,Arb!$AJ$5,),AX255))</f>
        <v/>
      </c>
      <c r="AZ255" s="3" t="str">
        <f t="shared" ca="1" si="81"/>
        <v/>
      </c>
      <c r="BA255" s="165" t="str">
        <f ca="1">IF(AX255="","",INDEX(OFFSET(Arb!$X$2,,,Arb!$AJ$5,),AX255)/AY255)</f>
        <v/>
      </c>
      <c r="BB255" s="165" t="str">
        <f ca="1">IF(AX255="","",(INDEX(OFFSET(Arb!$U$2,,,Arb!$AJ$5,),AX255)+INDEX(OFFSET(Arb!$V$2,,,Arb!$AJ$5,),AX255))/AY255)</f>
        <v/>
      </c>
      <c r="BC255" s="51" t="str">
        <f t="shared" ca="1" si="91"/>
        <v/>
      </c>
      <c r="BD255" s="88" t="str">
        <f ca="1">IF(AX255="","",DATE(INDEX(OFFSET(Arb!$C$2,,,Arb!$AJ$5,),AX255),INDEX(OFFSET(Arb!$B$2,,,Arb!$AJ$5,),AX255),INDEX(OFFSET(Arb!$A$2,,,Arb!$AJ$5,),AX255))+ROW()*0.001)</f>
        <v/>
      </c>
      <c r="BE255" s="436">
        <v>113</v>
      </c>
      <c r="BG255" s="52" t="str">
        <f ca="1">IF(BF255="","",INDEX(OFFSET(Arb!$H$2,,,Arb!$AJ$5,),BF255))</f>
        <v/>
      </c>
      <c r="BH255" s="3" t="str">
        <f t="shared" ca="1" si="82"/>
        <v/>
      </c>
      <c r="BI255" s="165" t="str">
        <f ca="1">IF(BF255="","",INDEX(OFFSET(Arb!$X$2,,,Arb!$AJ$5,),BF255)/BG255)</f>
        <v/>
      </c>
      <c r="BJ255" s="165" t="str">
        <f ca="1">IF(BF255="","",(INDEX(OFFSET(Arb!$U$2,,,Arb!$AJ$5,),BF255)+INDEX(OFFSET(Arb!$V$2,,,Arb!$AJ$5,),BF255))/BG255)</f>
        <v/>
      </c>
      <c r="BK255" s="51" t="str">
        <f t="shared" ca="1" si="92"/>
        <v/>
      </c>
      <c r="BL255" s="91" t="str">
        <f ca="1">IF(BF255="","",DATE(INDEX(OFFSET(Arb!$C$2,,,Arb!$AJ$5,),BF255),INDEX(OFFSET(Arb!$B$2,,,Arb!$AJ$5,),BF255),INDEX(OFFSET(Arb!$A$2,,,Arb!$AJ$5,),BF255))+ROW()*0.001)</f>
        <v/>
      </c>
      <c r="BM255" s="442">
        <v>113</v>
      </c>
      <c r="BO255" s="52" t="str">
        <f ca="1">IF(BN255="","",INDEX(OFFSET(Arb!$H$2,,,Arb!$AJ$5,),BN255))</f>
        <v/>
      </c>
      <c r="BP255" s="3" t="str">
        <f t="shared" ca="1" si="83"/>
        <v/>
      </c>
      <c r="BQ255" s="165" t="str">
        <f ca="1">IF(BN255="","",INDEX(OFFSET(Arb!$X$2,,,Arb!$AJ$5,),BN255)/BO255)</f>
        <v/>
      </c>
      <c r="BR255" s="165" t="str">
        <f ca="1">IF(BN255="","",(INDEX(OFFSET(Arb!$U$2,,,Arb!$AJ$5,),BN255)+INDEX(OFFSET(Arb!$V$2,,,Arb!$AJ$5,),BN255))/BO255)</f>
        <v/>
      </c>
      <c r="BS255" s="51" t="str">
        <f t="shared" ca="1" si="93"/>
        <v/>
      </c>
      <c r="BT255" s="88" t="str">
        <f ca="1">IF(BN255="","",DATE(INDEX(OFFSET(Arb!$C$2,,,Arb!$AJ$5,),BN255),INDEX(OFFSET(Arb!$B$2,,,Arb!$AJ$5,),BN255),INDEX(OFFSET(Arb!$A$2,,,Arb!$AJ$5,),BN255))+ROW()*0.001)</f>
        <v/>
      </c>
      <c r="BU255" s="436">
        <v>113</v>
      </c>
      <c r="BW255" s="52" t="str">
        <f ca="1">IF(BV255="","",INDEX(OFFSET(Arb!$H$2,,,Arb!$AJ$5,),BV255))</f>
        <v/>
      </c>
      <c r="BX255" s="3" t="str">
        <f t="shared" ca="1" si="84"/>
        <v/>
      </c>
      <c r="BY255" s="165" t="str">
        <f ca="1">IF(BV255="","",INDEX(OFFSET(Arb!$X$2,,,Arb!$AJ$5,),BV255)/BW255)</f>
        <v/>
      </c>
      <c r="BZ255" s="165" t="str">
        <f ca="1">IF(BV255="","",(INDEX(OFFSET(Arb!$U$2,,,Arb!$AJ$5,),BV255)+INDEX(OFFSET(Arb!$V$2,,,Arb!$AJ$5,),BV255))/BW255)</f>
        <v/>
      </c>
      <c r="CA255" s="51" t="str">
        <f t="shared" ca="1" si="94"/>
        <v/>
      </c>
      <c r="CB255" s="91" t="str">
        <f ca="1">IF(BV255="","",DATE(INDEX(OFFSET(Arb!$C$2,,,Arb!$AJ$5,),BV255),INDEX(OFFSET(Arb!$B$2,,,Arb!$AJ$5,),BV255),INDEX(OFFSET(Arb!$A$2,,,Arb!$AJ$5,),BV255))+ROW()*0.001)</f>
        <v/>
      </c>
    </row>
    <row r="256" spans="1:80" x14ac:dyDescent="0.25">
      <c r="A256" s="433">
        <v>114</v>
      </c>
      <c r="C256" s="52" t="str">
        <f ca="1">IF(B256="","",INDEX(OFFSET(Arb!$H$2,,,Arb!$AJ$5,),B256))</f>
        <v/>
      </c>
      <c r="D256" s="3" t="str">
        <f t="shared" ca="1" si="75"/>
        <v/>
      </c>
      <c r="E256" s="165" t="str">
        <f ca="1">IF(B256="","",INDEX(OFFSET(Arb!$X$2,,,Arb!$AJ$5,),B256)/C256)</f>
        <v/>
      </c>
      <c r="F256" s="165" t="str">
        <f ca="1">IF(B256="","",(INDEX(OFFSET(Arb!$U$2,,,Arb!$AJ$5,),B256)+INDEX(OFFSET(Arb!$V$2,,,Arb!$AJ$5,),B256))/C256)</f>
        <v/>
      </c>
      <c r="G256" s="51" t="str">
        <f t="shared" ca="1" si="85"/>
        <v/>
      </c>
      <c r="H256" s="355" t="str">
        <f ca="1">IF(B256="","",DATE(INDEX(OFFSET(Arb!$C$2,,,Arb!$AJ$5,),B256),INDEX(OFFSET(Arb!$B$2,,,Arb!$AJ$5,),B256),INDEX(OFFSET(Arb!$A$2,,,Arb!$AJ$5,),B256))+ROW()*0.001)</f>
        <v/>
      </c>
      <c r="I256" s="436">
        <v>114</v>
      </c>
      <c r="K256" s="52" t="str">
        <f ca="1">IF(J256="","",INDEX(OFFSET(Arb!$H$2,,,Arb!$AJ$5,),J256))</f>
        <v/>
      </c>
      <c r="L256" s="3" t="str">
        <f t="shared" ca="1" si="76"/>
        <v/>
      </c>
      <c r="M256" s="165" t="str">
        <f ca="1">IF(J256="","",INDEX(OFFSET(Arb!$X$2,,,Arb!$AJ$5,),J256)/K256)</f>
        <v/>
      </c>
      <c r="N256" s="165" t="str">
        <f ca="1">IF(J256="","",(INDEX(OFFSET(Arb!$U$2,,,Arb!$AJ$5,),J256)+INDEX(OFFSET(Arb!$V$2,,,Arb!$AJ$5,),J256))/K256)</f>
        <v/>
      </c>
      <c r="O256" s="51" t="str">
        <f t="shared" ca="1" si="86"/>
        <v/>
      </c>
      <c r="P256" s="91" t="str">
        <f ca="1">IF(J256="","",DATE(INDEX(OFFSET(Arb!$C$2,,,Arb!$AJ$5,),J256),INDEX(OFFSET(Arb!$B$2,,,Arb!$AJ$5,),J256),INDEX(OFFSET(Arb!$A$2,,,Arb!$AJ$5,),J256))+ROW()*0.001)</f>
        <v/>
      </c>
      <c r="Q256" s="442">
        <v>114</v>
      </c>
      <c r="S256" s="52" t="str">
        <f ca="1">IF(R256="","",INDEX(OFFSET(Arb!$H$2,,,Arb!$AJ$5,),R256))</f>
        <v/>
      </c>
      <c r="T256" s="3" t="str">
        <f t="shared" ca="1" si="77"/>
        <v/>
      </c>
      <c r="U256" s="165" t="str">
        <f ca="1">IF(R256="","",INDEX(OFFSET(Arb!$X$2,,,Arb!$AJ$5,),R256)/S256)</f>
        <v/>
      </c>
      <c r="V256" s="165" t="str">
        <f ca="1">IF(R256="","",(INDEX(OFFSET(Arb!$U$2,,,Arb!$AJ$5,),R256)+INDEX(OFFSET(Arb!$V$2,,,Arb!$AJ$5,),R256))/S256)</f>
        <v/>
      </c>
      <c r="W256" s="51" t="str">
        <f t="shared" ca="1" si="87"/>
        <v/>
      </c>
      <c r="X256" s="88" t="str">
        <f ca="1">IF(R256="","",DATE(INDEX(OFFSET(Arb!$C$2,,,Arb!$AJ$5,),R256),INDEX(OFFSET(Arb!$B$2,,,Arb!$AJ$5,),R256),INDEX(OFFSET(Arb!$A$2,,,Arb!$AJ$5,),R256))+ROW()*0.001)</f>
        <v/>
      </c>
      <c r="Y256" s="436">
        <v>114</v>
      </c>
      <c r="AA256" s="52" t="str">
        <f ca="1">IF(Z256="","",INDEX(OFFSET(Arb!$H$2,,,Arb!$AJ$5,),Z256))</f>
        <v/>
      </c>
      <c r="AB256" s="3" t="str">
        <f t="shared" ca="1" si="78"/>
        <v/>
      </c>
      <c r="AC256" s="165" t="str">
        <f ca="1">IF(Z256="","",INDEX(OFFSET(Arb!$X$2,,,Arb!$AJ$5,),Z256)/AA256)</f>
        <v/>
      </c>
      <c r="AD256" s="165" t="str">
        <f ca="1">IF(Z256="","",(INDEX(OFFSET(Arb!$U$2,,,Arb!$AJ$5,),Z256)+INDEX(OFFSET(Arb!$V$2,,,Arb!$AJ$5,),Z256))/AA256)</f>
        <v/>
      </c>
      <c r="AE256" s="51" t="str">
        <f t="shared" ca="1" si="88"/>
        <v/>
      </c>
      <c r="AF256" s="91" t="str">
        <f ca="1">IF(Z256="","",DATE(INDEX(OFFSET(Arb!$C$2,,,Arb!$AJ$5,),Z256),INDEX(OFFSET(Arb!$B$2,,,Arb!$AJ$5,),Z256),INDEX(OFFSET(Arb!$A$2,,,Arb!$AJ$5,),Z256))+ROW()*0.001)</f>
        <v/>
      </c>
      <c r="AG256" s="442">
        <v>114</v>
      </c>
      <c r="AI256" s="52" t="str">
        <f ca="1">IF(AH256="","",INDEX(OFFSET(Arb!$H$2,,,Arb!$AJ$5,),AH256))</f>
        <v/>
      </c>
      <c r="AJ256" s="3" t="str">
        <f t="shared" ca="1" si="79"/>
        <v/>
      </c>
      <c r="AK256" s="165" t="str">
        <f ca="1">IF(AH256="","",INDEX(OFFSET(Arb!$X$2,,,Arb!$AJ$5,),AH256)/AI256)</f>
        <v/>
      </c>
      <c r="AL256" s="165" t="str">
        <f ca="1">IF(AH256="","",(INDEX(OFFSET(Arb!$U$2,,,Arb!$AJ$5,),AH256)+INDEX(OFFSET(Arb!$V$2,,,Arb!$AJ$5,),AH256))/AI256)</f>
        <v/>
      </c>
      <c r="AM256" s="51" t="str">
        <f t="shared" ca="1" si="89"/>
        <v/>
      </c>
      <c r="AN256" s="88" t="str">
        <f ca="1">IF(AH256="","",DATE(INDEX(OFFSET(Arb!$C$2,,,Arb!$AJ$5,),AH256),INDEX(OFFSET(Arb!$B$2,,,Arb!$AJ$5,),AH256),INDEX(OFFSET(Arb!$A$2,,,Arb!$AJ$5,),AH256))+ROW()*0.001)</f>
        <v/>
      </c>
      <c r="AO256" s="436">
        <v>114</v>
      </c>
      <c r="AQ256" s="52" t="str">
        <f ca="1">IF(AP256="","",INDEX(OFFSET(Arb!$H$2,,,Arb!$AJ$5,),AP256))</f>
        <v/>
      </c>
      <c r="AR256" s="3" t="str">
        <f t="shared" ca="1" si="80"/>
        <v/>
      </c>
      <c r="AS256" s="165" t="str">
        <f ca="1">IF(AP256="","",INDEX(OFFSET(Arb!$X$2,,,Arb!$AJ$5,),AP256)/AQ256)</f>
        <v/>
      </c>
      <c r="AT256" s="165" t="str">
        <f ca="1">IF(AP256="","",(INDEX(OFFSET(Arb!$U$2,,,Arb!$AJ$5,),AP256)+INDEX(OFFSET(Arb!$V$2,,,Arb!$AJ$5,),AP256))/AQ256)</f>
        <v/>
      </c>
      <c r="AU256" s="51" t="str">
        <f t="shared" ca="1" si="90"/>
        <v/>
      </c>
      <c r="AV256" s="91" t="str">
        <f ca="1">IF(AP256="","",DATE(INDEX(OFFSET(Arb!$C$2,,,Arb!$AJ$5,),AP256),INDEX(OFFSET(Arb!$B$2,,,Arb!$AJ$5,),AP256),INDEX(OFFSET(Arb!$A$2,,,Arb!$AJ$5,),AP256))+ROW()*0.001)</f>
        <v/>
      </c>
      <c r="AW256" s="442">
        <v>114</v>
      </c>
      <c r="AY256" s="52" t="str">
        <f ca="1">IF(AX256="","",INDEX(OFFSET(Arb!$H$2,,,Arb!$AJ$5,),AX256))</f>
        <v/>
      </c>
      <c r="AZ256" s="3" t="str">
        <f t="shared" ca="1" si="81"/>
        <v/>
      </c>
      <c r="BA256" s="165" t="str">
        <f ca="1">IF(AX256="","",INDEX(OFFSET(Arb!$X$2,,,Arb!$AJ$5,),AX256)/AY256)</f>
        <v/>
      </c>
      <c r="BB256" s="165" t="str">
        <f ca="1">IF(AX256="","",(INDEX(OFFSET(Arb!$U$2,,,Arb!$AJ$5,),AX256)+INDEX(OFFSET(Arb!$V$2,,,Arb!$AJ$5,),AX256))/AY256)</f>
        <v/>
      </c>
      <c r="BC256" s="51" t="str">
        <f t="shared" ca="1" si="91"/>
        <v/>
      </c>
      <c r="BD256" s="88" t="str">
        <f ca="1">IF(AX256="","",DATE(INDEX(OFFSET(Arb!$C$2,,,Arb!$AJ$5,),AX256),INDEX(OFFSET(Arb!$B$2,,,Arb!$AJ$5,),AX256),INDEX(OFFSET(Arb!$A$2,,,Arb!$AJ$5,),AX256))+ROW()*0.001)</f>
        <v/>
      </c>
      <c r="BE256" s="436">
        <v>114</v>
      </c>
      <c r="BG256" s="52" t="str">
        <f ca="1">IF(BF256="","",INDEX(OFFSET(Arb!$H$2,,,Arb!$AJ$5,),BF256))</f>
        <v/>
      </c>
      <c r="BH256" s="3" t="str">
        <f t="shared" ca="1" si="82"/>
        <v/>
      </c>
      <c r="BI256" s="165" t="str">
        <f ca="1">IF(BF256="","",INDEX(OFFSET(Arb!$X$2,,,Arb!$AJ$5,),BF256)/BG256)</f>
        <v/>
      </c>
      <c r="BJ256" s="165" t="str">
        <f ca="1">IF(BF256="","",(INDEX(OFFSET(Arb!$U$2,,,Arb!$AJ$5,),BF256)+INDEX(OFFSET(Arb!$V$2,,,Arb!$AJ$5,),BF256))/BG256)</f>
        <v/>
      </c>
      <c r="BK256" s="51" t="str">
        <f t="shared" ca="1" si="92"/>
        <v/>
      </c>
      <c r="BL256" s="91" t="str">
        <f ca="1">IF(BF256="","",DATE(INDEX(OFFSET(Arb!$C$2,,,Arb!$AJ$5,),BF256),INDEX(OFFSET(Arb!$B$2,,,Arb!$AJ$5,),BF256),INDEX(OFFSET(Arb!$A$2,,,Arb!$AJ$5,),BF256))+ROW()*0.001)</f>
        <v/>
      </c>
      <c r="BM256" s="442">
        <v>114</v>
      </c>
      <c r="BO256" s="52" t="str">
        <f ca="1">IF(BN256="","",INDEX(OFFSET(Arb!$H$2,,,Arb!$AJ$5,),BN256))</f>
        <v/>
      </c>
      <c r="BP256" s="3" t="str">
        <f t="shared" ca="1" si="83"/>
        <v/>
      </c>
      <c r="BQ256" s="165" t="str">
        <f ca="1">IF(BN256="","",INDEX(OFFSET(Arb!$X$2,,,Arb!$AJ$5,),BN256)/BO256)</f>
        <v/>
      </c>
      <c r="BR256" s="165" t="str">
        <f ca="1">IF(BN256="","",(INDEX(OFFSET(Arb!$U$2,,,Arb!$AJ$5,),BN256)+INDEX(OFFSET(Arb!$V$2,,,Arb!$AJ$5,),BN256))/BO256)</f>
        <v/>
      </c>
      <c r="BS256" s="51" t="str">
        <f t="shared" ca="1" si="93"/>
        <v/>
      </c>
      <c r="BT256" s="88" t="str">
        <f ca="1">IF(BN256="","",DATE(INDEX(OFFSET(Arb!$C$2,,,Arb!$AJ$5,),BN256),INDEX(OFFSET(Arb!$B$2,,,Arb!$AJ$5,),BN256),INDEX(OFFSET(Arb!$A$2,,,Arb!$AJ$5,),BN256))+ROW()*0.001)</f>
        <v/>
      </c>
      <c r="BU256" s="436">
        <v>114</v>
      </c>
      <c r="BW256" s="52" t="str">
        <f ca="1">IF(BV256="","",INDEX(OFFSET(Arb!$H$2,,,Arb!$AJ$5,),BV256))</f>
        <v/>
      </c>
      <c r="BX256" s="3" t="str">
        <f t="shared" ca="1" si="84"/>
        <v/>
      </c>
      <c r="BY256" s="165" t="str">
        <f ca="1">IF(BV256="","",INDEX(OFFSET(Arb!$X$2,,,Arb!$AJ$5,),BV256)/BW256)</f>
        <v/>
      </c>
      <c r="BZ256" s="165" t="str">
        <f ca="1">IF(BV256="","",(INDEX(OFFSET(Arb!$U$2,,,Arb!$AJ$5,),BV256)+INDEX(OFFSET(Arb!$V$2,,,Arb!$AJ$5,),BV256))/BW256)</f>
        <v/>
      </c>
      <c r="CA256" s="51" t="str">
        <f t="shared" ca="1" si="94"/>
        <v/>
      </c>
      <c r="CB256" s="91" t="str">
        <f ca="1">IF(BV256="","",DATE(INDEX(OFFSET(Arb!$C$2,,,Arb!$AJ$5,),BV256),INDEX(OFFSET(Arb!$B$2,,,Arb!$AJ$5,),BV256),INDEX(OFFSET(Arb!$A$2,,,Arb!$AJ$5,),BV256))+ROW()*0.001)</f>
        <v/>
      </c>
    </row>
    <row r="257" spans="1:80" x14ac:dyDescent="0.25">
      <c r="A257" s="433">
        <v>115</v>
      </c>
      <c r="C257" s="52" t="str">
        <f ca="1">IF(B257="","",INDEX(OFFSET(Arb!$H$2,,,Arb!$AJ$5,),B257))</f>
        <v/>
      </c>
      <c r="D257" s="3" t="str">
        <f t="shared" ca="1" si="75"/>
        <v/>
      </c>
      <c r="E257" s="165" t="str">
        <f ca="1">IF(B257="","",INDEX(OFFSET(Arb!$X$2,,,Arb!$AJ$5,),B257)/C257)</f>
        <v/>
      </c>
      <c r="F257" s="165" t="str">
        <f ca="1">IF(B257="","",(INDEX(OFFSET(Arb!$U$2,,,Arb!$AJ$5,),B257)+INDEX(OFFSET(Arb!$V$2,,,Arb!$AJ$5,),B257))/C257)</f>
        <v/>
      </c>
      <c r="G257" s="51" t="str">
        <f t="shared" ca="1" si="85"/>
        <v/>
      </c>
      <c r="H257" s="355" t="str">
        <f ca="1">IF(B257="","",DATE(INDEX(OFFSET(Arb!$C$2,,,Arb!$AJ$5,),B257),INDEX(OFFSET(Arb!$B$2,,,Arb!$AJ$5,),B257),INDEX(OFFSET(Arb!$A$2,,,Arb!$AJ$5,),B257))+ROW()*0.001)</f>
        <v/>
      </c>
      <c r="I257" s="436">
        <v>115</v>
      </c>
      <c r="K257" s="52" t="str">
        <f ca="1">IF(J257="","",INDEX(OFFSET(Arb!$H$2,,,Arb!$AJ$5,),J257))</f>
        <v/>
      </c>
      <c r="L257" s="3" t="str">
        <f t="shared" ca="1" si="76"/>
        <v/>
      </c>
      <c r="M257" s="165" t="str">
        <f ca="1">IF(J257="","",INDEX(OFFSET(Arb!$X$2,,,Arb!$AJ$5,),J257)/K257)</f>
        <v/>
      </c>
      <c r="N257" s="165" t="str">
        <f ca="1">IF(J257="","",(INDEX(OFFSET(Arb!$U$2,,,Arb!$AJ$5,),J257)+INDEX(OFFSET(Arb!$V$2,,,Arb!$AJ$5,),J257))/K257)</f>
        <v/>
      </c>
      <c r="O257" s="51" t="str">
        <f t="shared" ca="1" si="86"/>
        <v/>
      </c>
      <c r="P257" s="91" t="str">
        <f ca="1">IF(J257="","",DATE(INDEX(OFFSET(Arb!$C$2,,,Arb!$AJ$5,),J257),INDEX(OFFSET(Arb!$B$2,,,Arb!$AJ$5,),J257),INDEX(OFFSET(Arb!$A$2,,,Arb!$AJ$5,),J257))+ROW()*0.001)</f>
        <v/>
      </c>
      <c r="Q257" s="442">
        <v>115</v>
      </c>
      <c r="S257" s="52" t="str">
        <f ca="1">IF(R257="","",INDEX(OFFSET(Arb!$H$2,,,Arb!$AJ$5,),R257))</f>
        <v/>
      </c>
      <c r="T257" s="3" t="str">
        <f t="shared" ca="1" si="77"/>
        <v/>
      </c>
      <c r="U257" s="165" t="str">
        <f ca="1">IF(R257="","",INDEX(OFFSET(Arb!$X$2,,,Arb!$AJ$5,),R257)/S257)</f>
        <v/>
      </c>
      <c r="V257" s="165" t="str">
        <f ca="1">IF(R257="","",(INDEX(OFFSET(Arb!$U$2,,,Arb!$AJ$5,),R257)+INDEX(OFFSET(Arb!$V$2,,,Arb!$AJ$5,),R257))/S257)</f>
        <v/>
      </c>
      <c r="W257" s="51" t="str">
        <f t="shared" ca="1" si="87"/>
        <v/>
      </c>
      <c r="X257" s="88" t="str">
        <f ca="1">IF(R257="","",DATE(INDEX(OFFSET(Arb!$C$2,,,Arb!$AJ$5,),R257),INDEX(OFFSET(Arb!$B$2,,,Arb!$AJ$5,),R257),INDEX(OFFSET(Arb!$A$2,,,Arb!$AJ$5,),R257))+ROW()*0.001)</f>
        <v/>
      </c>
      <c r="Y257" s="436">
        <v>115</v>
      </c>
      <c r="AA257" s="52" t="str">
        <f ca="1">IF(Z257="","",INDEX(OFFSET(Arb!$H$2,,,Arb!$AJ$5,),Z257))</f>
        <v/>
      </c>
      <c r="AB257" s="3" t="str">
        <f t="shared" ca="1" si="78"/>
        <v/>
      </c>
      <c r="AC257" s="165" t="str">
        <f ca="1">IF(Z257="","",INDEX(OFFSET(Arb!$X$2,,,Arb!$AJ$5,),Z257)/AA257)</f>
        <v/>
      </c>
      <c r="AD257" s="165" t="str">
        <f ca="1">IF(Z257="","",(INDEX(OFFSET(Arb!$U$2,,,Arb!$AJ$5,),Z257)+INDEX(OFFSET(Arb!$V$2,,,Arb!$AJ$5,),Z257))/AA257)</f>
        <v/>
      </c>
      <c r="AE257" s="51" t="str">
        <f t="shared" ca="1" si="88"/>
        <v/>
      </c>
      <c r="AF257" s="91" t="str">
        <f ca="1">IF(Z257="","",DATE(INDEX(OFFSET(Arb!$C$2,,,Arb!$AJ$5,),Z257),INDEX(OFFSET(Arb!$B$2,,,Arb!$AJ$5,),Z257),INDEX(OFFSET(Arb!$A$2,,,Arb!$AJ$5,),Z257))+ROW()*0.001)</f>
        <v/>
      </c>
      <c r="AG257" s="442">
        <v>115</v>
      </c>
      <c r="AI257" s="52" t="str">
        <f ca="1">IF(AH257="","",INDEX(OFFSET(Arb!$H$2,,,Arb!$AJ$5,),AH257))</f>
        <v/>
      </c>
      <c r="AJ257" s="3" t="str">
        <f t="shared" ca="1" si="79"/>
        <v/>
      </c>
      <c r="AK257" s="165" t="str">
        <f ca="1">IF(AH257="","",INDEX(OFFSET(Arb!$X$2,,,Arb!$AJ$5,),AH257)/AI257)</f>
        <v/>
      </c>
      <c r="AL257" s="165" t="str">
        <f ca="1">IF(AH257="","",(INDEX(OFFSET(Arb!$U$2,,,Arb!$AJ$5,),AH257)+INDEX(OFFSET(Arb!$V$2,,,Arb!$AJ$5,),AH257))/AI257)</f>
        <v/>
      </c>
      <c r="AM257" s="51" t="str">
        <f t="shared" ca="1" si="89"/>
        <v/>
      </c>
      <c r="AN257" s="88" t="str">
        <f ca="1">IF(AH257="","",DATE(INDEX(OFFSET(Arb!$C$2,,,Arb!$AJ$5,),AH257),INDEX(OFFSET(Arb!$B$2,,,Arb!$AJ$5,),AH257),INDEX(OFFSET(Arb!$A$2,,,Arb!$AJ$5,),AH257))+ROW()*0.001)</f>
        <v/>
      </c>
      <c r="AO257" s="436">
        <v>115</v>
      </c>
      <c r="AQ257" s="52" t="str">
        <f ca="1">IF(AP257="","",INDEX(OFFSET(Arb!$H$2,,,Arb!$AJ$5,),AP257))</f>
        <v/>
      </c>
      <c r="AR257" s="3" t="str">
        <f t="shared" ca="1" si="80"/>
        <v/>
      </c>
      <c r="AS257" s="165" t="str">
        <f ca="1">IF(AP257="","",INDEX(OFFSET(Arb!$X$2,,,Arb!$AJ$5,),AP257)/AQ257)</f>
        <v/>
      </c>
      <c r="AT257" s="165" t="str">
        <f ca="1">IF(AP257="","",(INDEX(OFFSET(Arb!$U$2,,,Arb!$AJ$5,),AP257)+INDEX(OFFSET(Arb!$V$2,,,Arb!$AJ$5,),AP257))/AQ257)</f>
        <v/>
      </c>
      <c r="AU257" s="51" t="str">
        <f t="shared" ca="1" si="90"/>
        <v/>
      </c>
      <c r="AV257" s="91" t="str">
        <f ca="1">IF(AP257="","",DATE(INDEX(OFFSET(Arb!$C$2,,,Arb!$AJ$5,),AP257),INDEX(OFFSET(Arb!$B$2,,,Arb!$AJ$5,),AP257),INDEX(OFFSET(Arb!$A$2,,,Arb!$AJ$5,),AP257))+ROW()*0.001)</f>
        <v/>
      </c>
      <c r="AW257" s="442">
        <v>115</v>
      </c>
      <c r="AY257" s="52" t="str">
        <f ca="1">IF(AX257="","",INDEX(OFFSET(Arb!$H$2,,,Arb!$AJ$5,),AX257))</f>
        <v/>
      </c>
      <c r="AZ257" s="3" t="str">
        <f t="shared" ca="1" si="81"/>
        <v/>
      </c>
      <c r="BA257" s="165" t="str">
        <f ca="1">IF(AX257="","",INDEX(OFFSET(Arb!$X$2,,,Arb!$AJ$5,),AX257)/AY257)</f>
        <v/>
      </c>
      <c r="BB257" s="165" t="str">
        <f ca="1">IF(AX257="","",(INDEX(OFFSET(Arb!$U$2,,,Arb!$AJ$5,),AX257)+INDEX(OFFSET(Arb!$V$2,,,Arb!$AJ$5,),AX257))/AY257)</f>
        <v/>
      </c>
      <c r="BC257" s="51" t="str">
        <f t="shared" ca="1" si="91"/>
        <v/>
      </c>
      <c r="BD257" s="88" t="str">
        <f ca="1">IF(AX257="","",DATE(INDEX(OFFSET(Arb!$C$2,,,Arb!$AJ$5,),AX257),INDEX(OFFSET(Arb!$B$2,,,Arb!$AJ$5,),AX257),INDEX(OFFSET(Arb!$A$2,,,Arb!$AJ$5,),AX257))+ROW()*0.001)</f>
        <v/>
      </c>
      <c r="BE257" s="436">
        <v>115</v>
      </c>
      <c r="BG257" s="52" t="str">
        <f ca="1">IF(BF257="","",INDEX(OFFSET(Arb!$H$2,,,Arb!$AJ$5,),BF257))</f>
        <v/>
      </c>
      <c r="BH257" s="3" t="str">
        <f t="shared" ca="1" si="82"/>
        <v/>
      </c>
      <c r="BI257" s="165" t="str">
        <f ca="1">IF(BF257="","",INDEX(OFFSET(Arb!$X$2,,,Arb!$AJ$5,),BF257)/BG257)</f>
        <v/>
      </c>
      <c r="BJ257" s="165" t="str">
        <f ca="1">IF(BF257="","",(INDEX(OFFSET(Arb!$U$2,,,Arb!$AJ$5,),BF257)+INDEX(OFFSET(Arb!$V$2,,,Arb!$AJ$5,),BF257))/BG257)</f>
        <v/>
      </c>
      <c r="BK257" s="51" t="str">
        <f t="shared" ca="1" si="92"/>
        <v/>
      </c>
      <c r="BL257" s="91" t="str">
        <f ca="1">IF(BF257="","",DATE(INDEX(OFFSET(Arb!$C$2,,,Arb!$AJ$5,),BF257),INDEX(OFFSET(Arb!$B$2,,,Arb!$AJ$5,),BF257),INDEX(OFFSET(Arb!$A$2,,,Arb!$AJ$5,),BF257))+ROW()*0.001)</f>
        <v/>
      </c>
      <c r="BM257" s="442">
        <v>115</v>
      </c>
      <c r="BO257" s="52" t="str">
        <f ca="1">IF(BN257="","",INDEX(OFFSET(Arb!$H$2,,,Arb!$AJ$5,),BN257))</f>
        <v/>
      </c>
      <c r="BP257" s="3" t="str">
        <f t="shared" ca="1" si="83"/>
        <v/>
      </c>
      <c r="BQ257" s="165" t="str">
        <f ca="1">IF(BN257="","",INDEX(OFFSET(Arb!$X$2,,,Arb!$AJ$5,),BN257)/BO257)</f>
        <v/>
      </c>
      <c r="BR257" s="165" t="str">
        <f ca="1">IF(BN257="","",(INDEX(OFFSET(Arb!$U$2,,,Arb!$AJ$5,),BN257)+INDEX(OFFSET(Arb!$V$2,,,Arb!$AJ$5,),BN257))/BO257)</f>
        <v/>
      </c>
      <c r="BS257" s="51" t="str">
        <f t="shared" ca="1" si="93"/>
        <v/>
      </c>
      <c r="BT257" s="88" t="str">
        <f ca="1">IF(BN257="","",DATE(INDEX(OFFSET(Arb!$C$2,,,Arb!$AJ$5,),BN257),INDEX(OFFSET(Arb!$B$2,,,Arb!$AJ$5,),BN257),INDEX(OFFSET(Arb!$A$2,,,Arb!$AJ$5,),BN257))+ROW()*0.001)</f>
        <v/>
      </c>
      <c r="BU257" s="436">
        <v>115</v>
      </c>
      <c r="BW257" s="52" t="str">
        <f ca="1">IF(BV257="","",INDEX(OFFSET(Arb!$H$2,,,Arb!$AJ$5,),BV257))</f>
        <v/>
      </c>
      <c r="BX257" s="3" t="str">
        <f t="shared" ca="1" si="84"/>
        <v/>
      </c>
      <c r="BY257" s="165" t="str">
        <f ca="1">IF(BV257="","",INDEX(OFFSET(Arb!$X$2,,,Arb!$AJ$5,),BV257)/BW257)</f>
        <v/>
      </c>
      <c r="BZ257" s="165" t="str">
        <f ca="1">IF(BV257="","",(INDEX(OFFSET(Arb!$U$2,,,Arb!$AJ$5,),BV257)+INDEX(OFFSET(Arb!$V$2,,,Arb!$AJ$5,),BV257))/BW257)</f>
        <v/>
      </c>
      <c r="CA257" s="51" t="str">
        <f t="shared" ca="1" si="94"/>
        <v/>
      </c>
      <c r="CB257" s="91" t="str">
        <f ca="1">IF(BV257="","",DATE(INDEX(OFFSET(Arb!$C$2,,,Arb!$AJ$5,),BV257),INDEX(OFFSET(Arb!$B$2,,,Arb!$AJ$5,),BV257),INDEX(OFFSET(Arb!$A$2,,,Arb!$AJ$5,),BV257))+ROW()*0.001)</f>
        <v/>
      </c>
    </row>
    <row r="258" spans="1:80" x14ac:dyDescent="0.25">
      <c r="A258" s="433">
        <v>116</v>
      </c>
      <c r="C258" s="52" t="str">
        <f ca="1">IF(B258="","",INDEX(OFFSET(Arb!$H$2,,,Arb!$AJ$5,),B258))</f>
        <v/>
      </c>
      <c r="D258" s="3" t="str">
        <f t="shared" ca="1" si="75"/>
        <v/>
      </c>
      <c r="E258" s="165" t="str">
        <f ca="1">IF(B258="","",INDEX(OFFSET(Arb!$X$2,,,Arb!$AJ$5,),B258)/C258)</f>
        <v/>
      </c>
      <c r="F258" s="165" t="str">
        <f ca="1">IF(B258="","",(INDEX(OFFSET(Arb!$U$2,,,Arb!$AJ$5,),B258)+INDEX(OFFSET(Arb!$V$2,,,Arb!$AJ$5,),B258))/C258)</f>
        <v/>
      </c>
      <c r="G258" s="51" t="str">
        <f t="shared" ca="1" si="85"/>
        <v/>
      </c>
      <c r="H258" s="355" t="str">
        <f ca="1">IF(B258="","",DATE(INDEX(OFFSET(Arb!$C$2,,,Arb!$AJ$5,),B258),INDEX(OFFSET(Arb!$B$2,,,Arb!$AJ$5,),B258),INDEX(OFFSET(Arb!$A$2,,,Arb!$AJ$5,),B258))+ROW()*0.001)</f>
        <v/>
      </c>
      <c r="I258" s="436">
        <v>116</v>
      </c>
      <c r="K258" s="52" t="str">
        <f ca="1">IF(J258="","",INDEX(OFFSET(Arb!$H$2,,,Arb!$AJ$5,),J258))</f>
        <v/>
      </c>
      <c r="L258" s="3" t="str">
        <f t="shared" ca="1" si="76"/>
        <v/>
      </c>
      <c r="M258" s="165" t="str">
        <f ca="1">IF(J258="","",INDEX(OFFSET(Arb!$X$2,,,Arb!$AJ$5,),J258)/K258)</f>
        <v/>
      </c>
      <c r="N258" s="165" t="str">
        <f ca="1">IF(J258="","",(INDEX(OFFSET(Arb!$U$2,,,Arb!$AJ$5,),J258)+INDEX(OFFSET(Arb!$V$2,,,Arb!$AJ$5,),J258))/K258)</f>
        <v/>
      </c>
      <c r="O258" s="51" t="str">
        <f t="shared" ca="1" si="86"/>
        <v/>
      </c>
      <c r="P258" s="91" t="str">
        <f ca="1">IF(J258="","",DATE(INDEX(OFFSET(Arb!$C$2,,,Arb!$AJ$5,),J258),INDEX(OFFSET(Arb!$B$2,,,Arb!$AJ$5,),J258),INDEX(OFFSET(Arb!$A$2,,,Arb!$AJ$5,),J258))+ROW()*0.001)</f>
        <v/>
      </c>
      <c r="Q258" s="442">
        <v>116</v>
      </c>
      <c r="S258" s="52" t="str">
        <f ca="1">IF(R258="","",INDEX(OFFSET(Arb!$H$2,,,Arb!$AJ$5,),R258))</f>
        <v/>
      </c>
      <c r="T258" s="3" t="str">
        <f t="shared" ca="1" si="77"/>
        <v/>
      </c>
      <c r="U258" s="165" t="str">
        <f ca="1">IF(R258="","",INDEX(OFFSET(Arb!$X$2,,,Arb!$AJ$5,),R258)/S258)</f>
        <v/>
      </c>
      <c r="V258" s="165" t="str">
        <f ca="1">IF(R258="","",(INDEX(OFFSET(Arb!$U$2,,,Arb!$AJ$5,),R258)+INDEX(OFFSET(Arb!$V$2,,,Arb!$AJ$5,),R258))/S258)</f>
        <v/>
      </c>
      <c r="W258" s="51" t="str">
        <f t="shared" ca="1" si="87"/>
        <v/>
      </c>
      <c r="X258" s="88" t="str">
        <f ca="1">IF(R258="","",DATE(INDEX(OFFSET(Arb!$C$2,,,Arb!$AJ$5,),R258),INDEX(OFFSET(Arb!$B$2,,,Arb!$AJ$5,),R258),INDEX(OFFSET(Arb!$A$2,,,Arb!$AJ$5,),R258))+ROW()*0.001)</f>
        <v/>
      </c>
      <c r="Y258" s="436">
        <v>116</v>
      </c>
      <c r="AA258" s="52" t="str">
        <f ca="1">IF(Z258="","",INDEX(OFFSET(Arb!$H$2,,,Arb!$AJ$5,),Z258))</f>
        <v/>
      </c>
      <c r="AB258" s="3" t="str">
        <f t="shared" ca="1" si="78"/>
        <v/>
      </c>
      <c r="AC258" s="165" t="str">
        <f ca="1">IF(Z258="","",INDEX(OFFSET(Arb!$X$2,,,Arb!$AJ$5,),Z258)/AA258)</f>
        <v/>
      </c>
      <c r="AD258" s="165" t="str">
        <f ca="1">IF(Z258="","",(INDEX(OFFSET(Arb!$U$2,,,Arb!$AJ$5,),Z258)+INDEX(OFFSET(Arb!$V$2,,,Arb!$AJ$5,),Z258))/AA258)</f>
        <v/>
      </c>
      <c r="AE258" s="51" t="str">
        <f t="shared" ca="1" si="88"/>
        <v/>
      </c>
      <c r="AF258" s="91" t="str">
        <f ca="1">IF(Z258="","",DATE(INDEX(OFFSET(Arb!$C$2,,,Arb!$AJ$5,),Z258),INDEX(OFFSET(Arb!$B$2,,,Arb!$AJ$5,),Z258),INDEX(OFFSET(Arb!$A$2,,,Arb!$AJ$5,),Z258))+ROW()*0.001)</f>
        <v/>
      </c>
      <c r="AG258" s="442">
        <v>116</v>
      </c>
      <c r="AI258" s="52" t="str">
        <f ca="1">IF(AH258="","",INDEX(OFFSET(Arb!$H$2,,,Arb!$AJ$5,),AH258))</f>
        <v/>
      </c>
      <c r="AJ258" s="3" t="str">
        <f t="shared" ca="1" si="79"/>
        <v/>
      </c>
      <c r="AK258" s="165" t="str">
        <f ca="1">IF(AH258="","",INDEX(OFFSET(Arb!$X$2,,,Arb!$AJ$5,),AH258)/AI258)</f>
        <v/>
      </c>
      <c r="AL258" s="165" t="str">
        <f ca="1">IF(AH258="","",(INDEX(OFFSET(Arb!$U$2,,,Arb!$AJ$5,),AH258)+INDEX(OFFSET(Arb!$V$2,,,Arb!$AJ$5,),AH258))/AI258)</f>
        <v/>
      </c>
      <c r="AM258" s="51" t="str">
        <f t="shared" ca="1" si="89"/>
        <v/>
      </c>
      <c r="AN258" s="88" t="str">
        <f ca="1">IF(AH258="","",DATE(INDEX(OFFSET(Arb!$C$2,,,Arb!$AJ$5,),AH258),INDEX(OFFSET(Arb!$B$2,,,Arb!$AJ$5,),AH258),INDEX(OFFSET(Arb!$A$2,,,Arb!$AJ$5,),AH258))+ROW()*0.001)</f>
        <v/>
      </c>
      <c r="AO258" s="436">
        <v>116</v>
      </c>
      <c r="AQ258" s="52" t="str">
        <f ca="1">IF(AP258="","",INDEX(OFFSET(Arb!$H$2,,,Arb!$AJ$5,),AP258))</f>
        <v/>
      </c>
      <c r="AR258" s="3" t="str">
        <f t="shared" ca="1" si="80"/>
        <v/>
      </c>
      <c r="AS258" s="165" t="str">
        <f ca="1">IF(AP258="","",INDEX(OFFSET(Arb!$X$2,,,Arb!$AJ$5,),AP258)/AQ258)</f>
        <v/>
      </c>
      <c r="AT258" s="165" t="str">
        <f ca="1">IF(AP258="","",(INDEX(OFFSET(Arb!$U$2,,,Arb!$AJ$5,),AP258)+INDEX(OFFSET(Arb!$V$2,,,Arb!$AJ$5,),AP258))/AQ258)</f>
        <v/>
      </c>
      <c r="AU258" s="51" t="str">
        <f t="shared" ca="1" si="90"/>
        <v/>
      </c>
      <c r="AV258" s="91" t="str">
        <f ca="1">IF(AP258="","",DATE(INDEX(OFFSET(Arb!$C$2,,,Arb!$AJ$5,),AP258),INDEX(OFFSET(Arb!$B$2,,,Arb!$AJ$5,),AP258),INDEX(OFFSET(Arb!$A$2,,,Arb!$AJ$5,),AP258))+ROW()*0.001)</f>
        <v/>
      </c>
      <c r="AW258" s="442">
        <v>116</v>
      </c>
      <c r="AY258" s="52" t="str">
        <f ca="1">IF(AX258="","",INDEX(OFFSET(Arb!$H$2,,,Arb!$AJ$5,),AX258))</f>
        <v/>
      </c>
      <c r="AZ258" s="3" t="str">
        <f t="shared" ca="1" si="81"/>
        <v/>
      </c>
      <c r="BA258" s="165" t="str">
        <f ca="1">IF(AX258="","",INDEX(OFFSET(Arb!$X$2,,,Arb!$AJ$5,),AX258)/AY258)</f>
        <v/>
      </c>
      <c r="BB258" s="165" t="str">
        <f ca="1">IF(AX258="","",(INDEX(OFFSET(Arb!$U$2,,,Arb!$AJ$5,),AX258)+INDEX(OFFSET(Arb!$V$2,,,Arb!$AJ$5,),AX258))/AY258)</f>
        <v/>
      </c>
      <c r="BC258" s="51" t="str">
        <f t="shared" ca="1" si="91"/>
        <v/>
      </c>
      <c r="BD258" s="88" t="str">
        <f ca="1">IF(AX258="","",DATE(INDEX(OFFSET(Arb!$C$2,,,Arb!$AJ$5,),AX258),INDEX(OFFSET(Arb!$B$2,,,Arb!$AJ$5,),AX258),INDEX(OFFSET(Arb!$A$2,,,Arb!$AJ$5,),AX258))+ROW()*0.001)</f>
        <v/>
      </c>
      <c r="BE258" s="436">
        <v>116</v>
      </c>
      <c r="BG258" s="52" t="str">
        <f ca="1">IF(BF258="","",INDEX(OFFSET(Arb!$H$2,,,Arb!$AJ$5,),BF258))</f>
        <v/>
      </c>
      <c r="BH258" s="3" t="str">
        <f t="shared" ca="1" si="82"/>
        <v/>
      </c>
      <c r="BI258" s="165" t="str">
        <f ca="1">IF(BF258="","",INDEX(OFFSET(Arb!$X$2,,,Arb!$AJ$5,),BF258)/BG258)</f>
        <v/>
      </c>
      <c r="BJ258" s="165" t="str">
        <f ca="1">IF(BF258="","",(INDEX(OFFSET(Arb!$U$2,,,Arb!$AJ$5,),BF258)+INDEX(OFFSET(Arb!$V$2,,,Arb!$AJ$5,),BF258))/BG258)</f>
        <v/>
      </c>
      <c r="BK258" s="51" t="str">
        <f t="shared" ca="1" si="92"/>
        <v/>
      </c>
      <c r="BL258" s="91" t="str">
        <f ca="1">IF(BF258="","",DATE(INDEX(OFFSET(Arb!$C$2,,,Arb!$AJ$5,),BF258),INDEX(OFFSET(Arb!$B$2,,,Arb!$AJ$5,),BF258),INDEX(OFFSET(Arb!$A$2,,,Arb!$AJ$5,),BF258))+ROW()*0.001)</f>
        <v/>
      </c>
      <c r="BM258" s="442">
        <v>116</v>
      </c>
      <c r="BO258" s="52" t="str">
        <f ca="1">IF(BN258="","",INDEX(OFFSET(Arb!$H$2,,,Arb!$AJ$5,),BN258))</f>
        <v/>
      </c>
      <c r="BP258" s="3" t="str">
        <f t="shared" ca="1" si="83"/>
        <v/>
      </c>
      <c r="BQ258" s="165" t="str">
        <f ca="1">IF(BN258="","",INDEX(OFFSET(Arb!$X$2,,,Arb!$AJ$5,),BN258)/BO258)</f>
        <v/>
      </c>
      <c r="BR258" s="165" t="str">
        <f ca="1">IF(BN258="","",(INDEX(OFFSET(Arb!$U$2,,,Arb!$AJ$5,),BN258)+INDEX(OFFSET(Arb!$V$2,,,Arb!$AJ$5,),BN258))/BO258)</f>
        <v/>
      </c>
      <c r="BS258" s="51" t="str">
        <f t="shared" ca="1" si="93"/>
        <v/>
      </c>
      <c r="BT258" s="88" t="str">
        <f ca="1">IF(BN258="","",DATE(INDEX(OFFSET(Arb!$C$2,,,Arb!$AJ$5,),BN258),INDEX(OFFSET(Arb!$B$2,,,Arb!$AJ$5,),BN258),INDEX(OFFSET(Arb!$A$2,,,Arb!$AJ$5,),BN258))+ROW()*0.001)</f>
        <v/>
      </c>
      <c r="BU258" s="436">
        <v>116</v>
      </c>
      <c r="BW258" s="52" t="str">
        <f ca="1">IF(BV258="","",INDEX(OFFSET(Arb!$H$2,,,Arb!$AJ$5,),BV258))</f>
        <v/>
      </c>
      <c r="BX258" s="3" t="str">
        <f t="shared" ca="1" si="84"/>
        <v/>
      </c>
      <c r="BY258" s="165" t="str">
        <f ca="1">IF(BV258="","",INDEX(OFFSET(Arb!$X$2,,,Arb!$AJ$5,),BV258)/BW258)</f>
        <v/>
      </c>
      <c r="BZ258" s="165" t="str">
        <f ca="1">IF(BV258="","",(INDEX(OFFSET(Arb!$U$2,,,Arb!$AJ$5,),BV258)+INDEX(OFFSET(Arb!$V$2,,,Arb!$AJ$5,),BV258))/BW258)</f>
        <v/>
      </c>
      <c r="CA258" s="51" t="str">
        <f t="shared" ca="1" si="94"/>
        <v/>
      </c>
      <c r="CB258" s="91" t="str">
        <f ca="1">IF(BV258="","",DATE(INDEX(OFFSET(Arb!$C$2,,,Arb!$AJ$5,),BV258),INDEX(OFFSET(Arb!$B$2,,,Arb!$AJ$5,),BV258),INDEX(OFFSET(Arb!$A$2,,,Arb!$AJ$5,),BV258))+ROW()*0.001)</f>
        <v/>
      </c>
    </row>
    <row r="259" spans="1:80" x14ac:dyDescent="0.25">
      <c r="A259" s="433">
        <v>117</v>
      </c>
      <c r="C259" s="52" t="str">
        <f ca="1">IF(B259="","",INDEX(OFFSET(Arb!$H$2,,,Arb!$AJ$5,),B259))</f>
        <v/>
      </c>
      <c r="D259" s="3" t="str">
        <f t="shared" ca="1" si="75"/>
        <v/>
      </c>
      <c r="E259" s="165" t="str">
        <f ca="1">IF(B259="","",INDEX(OFFSET(Arb!$X$2,,,Arb!$AJ$5,),B259)/C259)</f>
        <v/>
      </c>
      <c r="F259" s="165" t="str">
        <f ca="1">IF(B259="","",(INDEX(OFFSET(Arb!$U$2,,,Arb!$AJ$5,),B259)+INDEX(OFFSET(Arb!$V$2,,,Arb!$AJ$5,),B259))/C259)</f>
        <v/>
      </c>
      <c r="G259" s="51" t="str">
        <f t="shared" ca="1" si="85"/>
        <v/>
      </c>
      <c r="H259" s="355" t="str">
        <f ca="1">IF(B259="","",DATE(INDEX(OFFSET(Arb!$C$2,,,Arb!$AJ$5,),B259),INDEX(OFFSET(Arb!$B$2,,,Arb!$AJ$5,),B259),INDEX(OFFSET(Arb!$A$2,,,Arb!$AJ$5,),B259))+ROW()*0.001)</f>
        <v/>
      </c>
      <c r="I259" s="436">
        <v>117</v>
      </c>
      <c r="K259" s="52" t="str">
        <f ca="1">IF(J259="","",INDEX(OFFSET(Arb!$H$2,,,Arb!$AJ$5,),J259))</f>
        <v/>
      </c>
      <c r="L259" s="3" t="str">
        <f t="shared" ca="1" si="76"/>
        <v/>
      </c>
      <c r="M259" s="165" t="str">
        <f ca="1">IF(J259="","",INDEX(OFFSET(Arb!$X$2,,,Arb!$AJ$5,),J259)/K259)</f>
        <v/>
      </c>
      <c r="N259" s="165" t="str">
        <f ca="1">IF(J259="","",(INDEX(OFFSET(Arb!$U$2,,,Arb!$AJ$5,),J259)+INDEX(OFFSET(Arb!$V$2,,,Arb!$AJ$5,),J259))/K259)</f>
        <v/>
      </c>
      <c r="O259" s="51" t="str">
        <f t="shared" ca="1" si="86"/>
        <v/>
      </c>
      <c r="P259" s="91" t="str">
        <f ca="1">IF(J259="","",DATE(INDEX(OFFSET(Arb!$C$2,,,Arb!$AJ$5,),J259),INDEX(OFFSET(Arb!$B$2,,,Arb!$AJ$5,),J259),INDEX(OFFSET(Arb!$A$2,,,Arb!$AJ$5,),J259))+ROW()*0.001)</f>
        <v/>
      </c>
      <c r="Q259" s="442">
        <v>117</v>
      </c>
      <c r="S259" s="52" t="str">
        <f ca="1">IF(R259="","",INDEX(OFFSET(Arb!$H$2,,,Arb!$AJ$5,),R259))</f>
        <v/>
      </c>
      <c r="T259" s="3" t="str">
        <f t="shared" ca="1" si="77"/>
        <v/>
      </c>
      <c r="U259" s="165" t="str">
        <f ca="1">IF(R259="","",INDEX(OFFSET(Arb!$X$2,,,Arb!$AJ$5,),R259)/S259)</f>
        <v/>
      </c>
      <c r="V259" s="165" t="str">
        <f ca="1">IF(R259="","",(INDEX(OFFSET(Arb!$U$2,,,Arb!$AJ$5,),R259)+INDEX(OFFSET(Arb!$V$2,,,Arb!$AJ$5,),R259))/S259)</f>
        <v/>
      </c>
      <c r="W259" s="51" t="str">
        <f t="shared" ca="1" si="87"/>
        <v/>
      </c>
      <c r="X259" s="88" t="str">
        <f ca="1">IF(R259="","",DATE(INDEX(OFFSET(Arb!$C$2,,,Arb!$AJ$5,),R259),INDEX(OFFSET(Arb!$B$2,,,Arb!$AJ$5,),R259),INDEX(OFFSET(Arb!$A$2,,,Arb!$AJ$5,),R259))+ROW()*0.001)</f>
        <v/>
      </c>
      <c r="Y259" s="436">
        <v>117</v>
      </c>
      <c r="AA259" s="52" t="str">
        <f ca="1">IF(Z259="","",INDEX(OFFSET(Arb!$H$2,,,Arb!$AJ$5,),Z259))</f>
        <v/>
      </c>
      <c r="AB259" s="3" t="str">
        <f t="shared" ca="1" si="78"/>
        <v/>
      </c>
      <c r="AC259" s="165" t="str">
        <f ca="1">IF(Z259="","",INDEX(OFFSET(Arb!$X$2,,,Arb!$AJ$5,),Z259)/AA259)</f>
        <v/>
      </c>
      <c r="AD259" s="165" t="str">
        <f ca="1">IF(Z259="","",(INDEX(OFFSET(Arb!$U$2,,,Arb!$AJ$5,),Z259)+INDEX(OFFSET(Arb!$V$2,,,Arb!$AJ$5,),Z259))/AA259)</f>
        <v/>
      </c>
      <c r="AE259" s="51" t="str">
        <f t="shared" ca="1" si="88"/>
        <v/>
      </c>
      <c r="AF259" s="91" t="str">
        <f ca="1">IF(Z259="","",DATE(INDEX(OFFSET(Arb!$C$2,,,Arb!$AJ$5,),Z259),INDEX(OFFSET(Arb!$B$2,,,Arb!$AJ$5,),Z259),INDEX(OFFSET(Arb!$A$2,,,Arb!$AJ$5,),Z259))+ROW()*0.001)</f>
        <v/>
      </c>
      <c r="AG259" s="442">
        <v>117</v>
      </c>
      <c r="AI259" s="52" t="str">
        <f ca="1">IF(AH259="","",INDEX(OFFSET(Arb!$H$2,,,Arb!$AJ$5,),AH259))</f>
        <v/>
      </c>
      <c r="AJ259" s="3" t="str">
        <f t="shared" ca="1" si="79"/>
        <v/>
      </c>
      <c r="AK259" s="165" t="str">
        <f ca="1">IF(AH259="","",INDEX(OFFSET(Arb!$X$2,,,Arb!$AJ$5,),AH259)/AI259)</f>
        <v/>
      </c>
      <c r="AL259" s="165" t="str">
        <f ca="1">IF(AH259="","",(INDEX(OFFSET(Arb!$U$2,,,Arb!$AJ$5,),AH259)+INDEX(OFFSET(Arb!$V$2,,,Arb!$AJ$5,),AH259))/AI259)</f>
        <v/>
      </c>
      <c r="AM259" s="51" t="str">
        <f t="shared" ca="1" si="89"/>
        <v/>
      </c>
      <c r="AN259" s="88" t="str">
        <f ca="1">IF(AH259="","",DATE(INDEX(OFFSET(Arb!$C$2,,,Arb!$AJ$5,),AH259),INDEX(OFFSET(Arb!$B$2,,,Arb!$AJ$5,),AH259),INDEX(OFFSET(Arb!$A$2,,,Arb!$AJ$5,),AH259))+ROW()*0.001)</f>
        <v/>
      </c>
      <c r="AO259" s="436">
        <v>117</v>
      </c>
      <c r="AQ259" s="52" t="str">
        <f ca="1">IF(AP259="","",INDEX(OFFSET(Arb!$H$2,,,Arb!$AJ$5,),AP259))</f>
        <v/>
      </c>
      <c r="AR259" s="3" t="str">
        <f t="shared" ca="1" si="80"/>
        <v/>
      </c>
      <c r="AS259" s="165" t="str">
        <f ca="1">IF(AP259="","",INDEX(OFFSET(Arb!$X$2,,,Arb!$AJ$5,),AP259)/AQ259)</f>
        <v/>
      </c>
      <c r="AT259" s="165" t="str">
        <f ca="1">IF(AP259="","",(INDEX(OFFSET(Arb!$U$2,,,Arb!$AJ$5,),AP259)+INDEX(OFFSET(Arb!$V$2,,,Arb!$AJ$5,),AP259))/AQ259)</f>
        <v/>
      </c>
      <c r="AU259" s="51" t="str">
        <f t="shared" ca="1" si="90"/>
        <v/>
      </c>
      <c r="AV259" s="91" t="str">
        <f ca="1">IF(AP259="","",DATE(INDEX(OFFSET(Arb!$C$2,,,Arb!$AJ$5,),AP259),INDEX(OFFSET(Arb!$B$2,,,Arb!$AJ$5,),AP259),INDEX(OFFSET(Arb!$A$2,,,Arb!$AJ$5,),AP259))+ROW()*0.001)</f>
        <v/>
      </c>
      <c r="AW259" s="442">
        <v>117</v>
      </c>
      <c r="AY259" s="52" t="str">
        <f ca="1">IF(AX259="","",INDEX(OFFSET(Arb!$H$2,,,Arb!$AJ$5,),AX259))</f>
        <v/>
      </c>
      <c r="AZ259" s="3" t="str">
        <f t="shared" ca="1" si="81"/>
        <v/>
      </c>
      <c r="BA259" s="165" t="str">
        <f ca="1">IF(AX259="","",INDEX(OFFSET(Arb!$X$2,,,Arb!$AJ$5,),AX259)/AY259)</f>
        <v/>
      </c>
      <c r="BB259" s="165" t="str">
        <f ca="1">IF(AX259="","",(INDEX(OFFSET(Arb!$U$2,,,Arb!$AJ$5,),AX259)+INDEX(OFFSET(Arb!$V$2,,,Arb!$AJ$5,),AX259))/AY259)</f>
        <v/>
      </c>
      <c r="BC259" s="51" t="str">
        <f t="shared" ca="1" si="91"/>
        <v/>
      </c>
      <c r="BD259" s="88" t="str">
        <f ca="1">IF(AX259="","",DATE(INDEX(OFFSET(Arb!$C$2,,,Arb!$AJ$5,),AX259),INDEX(OFFSET(Arb!$B$2,,,Arb!$AJ$5,),AX259),INDEX(OFFSET(Arb!$A$2,,,Arb!$AJ$5,),AX259))+ROW()*0.001)</f>
        <v/>
      </c>
      <c r="BE259" s="436">
        <v>117</v>
      </c>
      <c r="BG259" s="52" t="str">
        <f ca="1">IF(BF259="","",INDEX(OFFSET(Arb!$H$2,,,Arb!$AJ$5,),BF259))</f>
        <v/>
      </c>
      <c r="BH259" s="3" t="str">
        <f t="shared" ca="1" si="82"/>
        <v/>
      </c>
      <c r="BI259" s="165" t="str">
        <f ca="1">IF(BF259="","",INDEX(OFFSET(Arb!$X$2,,,Arb!$AJ$5,),BF259)/BG259)</f>
        <v/>
      </c>
      <c r="BJ259" s="165" t="str">
        <f ca="1">IF(BF259="","",(INDEX(OFFSET(Arb!$U$2,,,Arb!$AJ$5,),BF259)+INDEX(OFFSET(Arb!$V$2,,,Arb!$AJ$5,),BF259))/BG259)</f>
        <v/>
      </c>
      <c r="BK259" s="51" t="str">
        <f t="shared" ca="1" si="92"/>
        <v/>
      </c>
      <c r="BL259" s="91" t="str">
        <f ca="1">IF(BF259="","",DATE(INDEX(OFFSET(Arb!$C$2,,,Arb!$AJ$5,),BF259),INDEX(OFFSET(Arb!$B$2,,,Arb!$AJ$5,),BF259),INDEX(OFFSET(Arb!$A$2,,,Arb!$AJ$5,),BF259))+ROW()*0.001)</f>
        <v/>
      </c>
      <c r="BM259" s="442">
        <v>117</v>
      </c>
      <c r="BO259" s="52" t="str">
        <f ca="1">IF(BN259="","",INDEX(OFFSET(Arb!$H$2,,,Arb!$AJ$5,),BN259))</f>
        <v/>
      </c>
      <c r="BP259" s="3" t="str">
        <f t="shared" ca="1" si="83"/>
        <v/>
      </c>
      <c r="BQ259" s="165" t="str">
        <f ca="1">IF(BN259="","",INDEX(OFFSET(Arb!$X$2,,,Arb!$AJ$5,),BN259)/BO259)</f>
        <v/>
      </c>
      <c r="BR259" s="165" t="str">
        <f ca="1">IF(BN259="","",(INDEX(OFFSET(Arb!$U$2,,,Arb!$AJ$5,),BN259)+INDEX(OFFSET(Arb!$V$2,,,Arb!$AJ$5,),BN259))/BO259)</f>
        <v/>
      </c>
      <c r="BS259" s="51" t="str">
        <f t="shared" ca="1" si="93"/>
        <v/>
      </c>
      <c r="BT259" s="88" t="str">
        <f ca="1">IF(BN259="","",DATE(INDEX(OFFSET(Arb!$C$2,,,Arb!$AJ$5,),BN259),INDEX(OFFSET(Arb!$B$2,,,Arb!$AJ$5,),BN259),INDEX(OFFSET(Arb!$A$2,,,Arb!$AJ$5,),BN259))+ROW()*0.001)</f>
        <v/>
      </c>
      <c r="BU259" s="436">
        <v>117</v>
      </c>
      <c r="BW259" s="52" t="str">
        <f ca="1">IF(BV259="","",INDEX(OFFSET(Arb!$H$2,,,Arb!$AJ$5,),BV259))</f>
        <v/>
      </c>
      <c r="BX259" s="3" t="str">
        <f t="shared" ca="1" si="84"/>
        <v/>
      </c>
      <c r="BY259" s="165" t="str">
        <f ca="1">IF(BV259="","",INDEX(OFFSET(Arb!$X$2,,,Arb!$AJ$5,),BV259)/BW259)</f>
        <v/>
      </c>
      <c r="BZ259" s="165" t="str">
        <f ca="1">IF(BV259="","",(INDEX(OFFSET(Arb!$U$2,,,Arb!$AJ$5,),BV259)+INDEX(OFFSET(Arb!$V$2,,,Arb!$AJ$5,),BV259))/BW259)</f>
        <v/>
      </c>
      <c r="CA259" s="51" t="str">
        <f t="shared" ca="1" si="94"/>
        <v/>
      </c>
      <c r="CB259" s="91" t="str">
        <f ca="1">IF(BV259="","",DATE(INDEX(OFFSET(Arb!$C$2,,,Arb!$AJ$5,),BV259),INDEX(OFFSET(Arb!$B$2,,,Arb!$AJ$5,),BV259),INDEX(OFFSET(Arb!$A$2,,,Arb!$AJ$5,),BV259))+ROW()*0.001)</f>
        <v/>
      </c>
    </row>
    <row r="260" spans="1:80" x14ac:dyDescent="0.25">
      <c r="A260" s="433">
        <v>118</v>
      </c>
      <c r="C260" s="52" t="str">
        <f ca="1">IF(B260="","",INDEX(OFFSET(Arb!$H$2,,,Arb!$AJ$5,),B260))</f>
        <v/>
      </c>
      <c r="D260" s="3" t="str">
        <f t="shared" ca="1" si="75"/>
        <v/>
      </c>
      <c r="E260" s="165" t="str">
        <f ca="1">IF(B260="","",INDEX(OFFSET(Arb!$X$2,,,Arb!$AJ$5,),B260)/C260)</f>
        <v/>
      </c>
      <c r="F260" s="165" t="str">
        <f ca="1">IF(B260="","",(INDEX(OFFSET(Arb!$U$2,,,Arb!$AJ$5,),B260)+INDEX(OFFSET(Arb!$V$2,,,Arb!$AJ$5,),B260))/C260)</f>
        <v/>
      </c>
      <c r="G260" s="51" t="str">
        <f t="shared" ca="1" si="85"/>
        <v/>
      </c>
      <c r="H260" s="355" t="str">
        <f ca="1">IF(B260="","",DATE(INDEX(OFFSET(Arb!$C$2,,,Arb!$AJ$5,),B260),INDEX(OFFSET(Arb!$B$2,,,Arb!$AJ$5,),B260),INDEX(OFFSET(Arb!$A$2,,,Arb!$AJ$5,),B260))+ROW()*0.001)</f>
        <v/>
      </c>
      <c r="I260" s="436">
        <v>118</v>
      </c>
      <c r="K260" s="52" t="str">
        <f ca="1">IF(J260="","",INDEX(OFFSET(Arb!$H$2,,,Arb!$AJ$5,),J260))</f>
        <v/>
      </c>
      <c r="L260" s="3" t="str">
        <f t="shared" ca="1" si="76"/>
        <v/>
      </c>
      <c r="M260" s="165" t="str">
        <f ca="1">IF(J260="","",INDEX(OFFSET(Arb!$X$2,,,Arb!$AJ$5,),J260)/K260)</f>
        <v/>
      </c>
      <c r="N260" s="165" t="str">
        <f ca="1">IF(J260="","",(INDEX(OFFSET(Arb!$U$2,,,Arb!$AJ$5,),J260)+INDEX(OFFSET(Arb!$V$2,,,Arb!$AJ$5,),J260))/K260)</f>
        <v/>
      </c>
      <c r="O260" s="51" t="str">
        <f t="shared" ca="1" si="86"/>
        <v/>
      </c>
      <c r="P260" s="91" t="str">
        <f ca="1">IF(J260="","",DATE(INDEX(OFFSET(Arb!$C$2,,,Arb!$AJ$5,),J260),INDEX(OFFSET(Arb!$B$2,,,Arb!$AJ$5,),J260),INDEX(OFFSET(Arb!$A$2,,,Arb!$AJ$5,),J260))+ROW()*0.001)</f>
        <v/>
      </c>
      <c r="Q260" s="442">
        <v>118</v>
      </c>
      <c r="S260" s="52" t="str">
        <f ca="1">IF(R260="","",INDEX(OFFSET(Arb!$H$2,,,Arb!$AJ$5,),R260))</f>
        <v/>
      </c>
      <c r="T260" s="3" t="str">
        <f t="shared" ca="1" si="77"/>
        <v/>
      </c>
      <c r="U260" s="165" t="str">
        <f ca="1">IF(R260="","",INDEX(OFFSET(Arb!$X$2,,,Arb!$AJ$5,),R260)/S260)</f>
        <v/>
      </c>
      <c r="V260" s="165" t="str">
        <f ca="1">IF(R260="","",(INDEX(OFFSET(Arb!$U$2,,,Arb!$AJ$5,),R260)+INDEX(OFFSET(Arb!$V$2,,,Arb!$AJ$5,),R260))/S260)</f>
        <v/>
      </c>
      <c r="W260" s="51" t="str">
        <f t="shared" ca="1" si="87"/>
        <v/>
      </c>
      <c r="X260" s="88" t="str">
        <f ca="1">IF(R260="","",DATE(INDEX(OFFSET(Arb!$C$2,,,Arb!$AJ$5,),R260),INDEX(OFFSET(Arb!$B$2,,,Arb!$AJ$5,),R260),INDEX(OFFSET(Arb!$A$2,,,Arb!$AJ$5,),R260))+ROW()*0.001)</f>
        <v/>
      </c>
      <c r="Y260" s="436">
        <v>118</v>
      </c>
      <c r="AA260" s="52" t="str">
        <f ca="1">IF(Z260="","",INDEX(OFFSET(Arb!$H$2,,,Arb!$AJ$5,),Z260))</f>
        <v/>
      </c>
      <c r="AB260" s="3" t="str">
        <f t="shared" ca="1" si="78"/>
        <v/>
      </c>
      <c r="AC260" s="165" t="str">
        <f ca="1">IF(Z260="","",INDEX(OFFSET(Arb!$X$2,,,Arb!$AJ$5,),Z260)/AA260)</f>
        <v/>
      </c>
      <c r="AD260" s="165" t="str">
        <f ca="1">IF(Z260="","",(INDEX(OFFSET(Arb!$U$2,,,Arb!$AJ$5,),Z260)+INDEX(OFFSET(Arb!$V$2,,,Arb!$AJ$5,),Z260))/AA260)</f>
        <v/>
      </c>
      <c r="AE260" s="51" t="str">
        <f t="shared" ca="1" si="88"/>
        <v/>
      </c>
      <c r="AF260" s="91" t="str">
        <f ca="1">IF(Z260="","",DATE(INDEX(OFFSET(Arb!$C$2,,,Arb!$AJ$5,),Z260),INDEX(OFFSET(Arb!$B$2,,,Arb!$AJ$5,),Z260),INDEX(OFFSET(Arb!$A$2,,,Arb!$AJ$5,),Z260))+ROW()*0.001)</f>
        <v/>
      </c>
      <c r="AG260" s="442">
        <v>118</v>
      </c>
      <c r="AI260" s="52" t="str">
        <f ca="1">IF(AH260="","",INDEX(OFFSET(Arb!$H$2,,,Arb!$AJ$5,),AH260))</f>
        <v/>
      </c>
      <c r="AJ260" s="3" t="str">
        <f t="shared" ca="1" si="79"/>
        <v/>
      </c>
      <c r="AK260" s="165" t="str">
        <f ca="1">IF(AH260="","",INDEX(OFFSET(Arb!$X$2,,,Arb!$AJ$5,),AH260)/AI260)</f>
        <v/>
      </c>
      <c r="AL260" s="165" t="str">
        <f ca="1">IF(AH260="","",(INDEX(OFFSET(Arb!$U$2,,,Arb!$AJ$5,),AH260)+INDEX(OFFSET(Arb!$V$2,,,Arb!$AJ$5,),AH260))/AI260)</f>
        <v/>
      </c>
      <c r="AM260" s="51" t="str">
        <f t="shared" ca="1" si="89"/>
        <v/>
      </c>
      <c r="AN260" s="88" t="str">
        <f ca="1">IF(AH260="","",DATE(INDEX(OFFSET(Arb!$C$2,,,Arb!$AJ$5,),AH260),INDEX(OFFSET(Arb!$B$2,,,Arb!$AJ$5,),AH260),INDEX(OFFSET(Arb!$A$2,,,Arb!$AJ$5,),AH260))+ROW()*0.001)</f>
        <v/>
      </c>
      <c r="AO260" s="436">
        <v>118</v>
      </c>
      <c r="AQ260" s="52" t="str">
        <f ca="1">IF(AP260="","",INDEX(OFFSET(Arb!$H$2,,,Arb!$AJ$5,),AP260))</f>
        <v/>
      </c>
      <c r="AR260" s="3" t="str">
        <f t="shared" ca="1" si="80"/>
        <v/>
      </c>
      <c r="AS260" s="165" t="str">
        <f ca="1">IF(AP260="","",INDEX(OFFSET(Arb!$X$2,,,Arb!$AJ$5,),AP260)/AQ260)</f>
        <v/>
      </c>
      <c r="AT260" s="165" t="str">
        <f ca="1">IF(AP260="","",(INDEX(OFFSET(Arb!$U$2,,,Arb!$AJ$5,),AP260)+INDEX(OFFSET(Arb!$V$2,,,Arb!$AJ$5,),AP260))/AQ260)</f>
        <v/>
      </c>
      <c r="AU260" s="51" t="str">
        <f t="shared" ca="1" si="90"/>
        <v/>
      </c>
      <c r="AV260" s="91" t="str">
        <f ca="1">IF(AP260="","",DATE(INDEX(OFFSET(Arb!$C$2,,,Arb!$AJ$5,),AP260),INDEX(OFFSET(Arb!$B$2,,,Arb!$AJ$5,),AP260),INDEX(OFFSET(Arb!$A$2,,,Arb!$AJ$5,),AP260))+ROW()*0.001)</f>
        <v/>
      </c>
      <c r="AW260" s="442">
        <v>118</v>
      </c>
      <c r="AY260" s="52" t="str">
        <f ca="1">IF(AX260="","",INDEX(OFFSET(Arb!$H$2,,,Arb!$AJ$5,),AX260))</f>
        <v/>
      </c>
      <c r="AZ260" s="3" t="str">
        <f t="shared" ca="1" si="81"/>
        <v/>
      </c>
      <c r="BA260" s="165" t="str">
        <f ca="1">IF(AX260="","",INDEX(OFFSET(Arb!$X$2,,,Arb!$AJ$5,),AX260)/AY260)</f>
        <v/>
      </c>
      <c r="BB260" s="165" t="str">
        <f ca="1">IF(AX260="","",(INDEX(OFFSET(Arb!$U$2,,,Arb!$AJ$5,),AX260)+INDEX(OFFSET(Arb!$V$2,,,Arb!$AJ$5,),AX260))/AY260)</f>
        <v/>
      </c>
      <c r="BC260" s="51" t="str">
        <f t="shared" ca="1" si="91"/>
        <v/>
      </c>
      <c r="BD260" s="88" t="str">
        <f ca="1">IF(AX260="","",DATE(INDEX(OFFSET(Arb!$C$2,,,Arb!$AJ$5,),AX260),INDEX(OFFSET(Arb!$B$2,,,Arb!$AJ$5,),AX260),INDEX(OFFSET(Arb!$A$2,,,Arb!$AJ$5,),AX260))+ROW()*0.001)</f>
        <v/>
      </c>
      <c r="BE260" s="436">
        <v>118</v>
      </c>
      <c r="BG260" s="52" t="str">
        <f ca="1">IF(BF260="","",INDEX(OFFSET(Arb!$H$2,,,Arb!$AJ$5,),BF260))</f>
        <v/>
      </c>
      <c r="BH260" s="3" t="str">
        <f t="shared" ca="1" si="82"/>
        <v/>
      </c>
      <c r="BI260" s="165" t="str">
        <f ca="1">IF(BF260="","",INDEX(OFFSET(Arb!$X$2,,,Arb!$AJ$5,),BF260)/BG260)</f>
        <v/>
      </c>
      <c r="BJ260" s="165" t="str">
        <f ca="1">IF(BF260="","",(INDEX(OFFSET(Arb!$U$2,,,Arb!$AJ$5,),BF260)+INDEX(OFFSET(Arb!$V$2,,,Arb!$AJ$5,),BF260))/BG260)</f>
        <v/>
      </c>
      <c r="BK260" s="51" t="str">
        <f t="shared" ca="1" si="92"/>
        <v/>
      </c>
      <c r="BL260" s="91" t="str">
        <f ca="1">IF(BF260="","",DATE(INDEX(OFFSET(Arb!$C$2,,,Arb!$AJ$5,),BF260),INDEX(OFFSET(Arb!$B$2,,,Arb!$AJ$5,),BF260),INDEX(OFFSET(Arb!$A$2,,,Arb!$AJ$5,),BF260))+ROW()*0.001)</f>
        <v/>
      </c>
      <c r="BM260" s="442">
        <v>118</v>
      </c>
      <c r="BO260" s="52" t="str">
        <f ca="1">IF(BN260="","",INDEX(OFFSET(Arb!$H$2,,,Arb!$AJ$5,),BN260))</f>
        <v/>
      </c>
      <c r="BP260" s="3" t="str">
        <f t="shared" ca="1" si="83"/>
        <v/>
      </c>
      <c r="BQ260" s="165" t="str">
        <f ca="1">IF(BN260="","",INDEX(OFFSET(Arb!$X$2,,,Arb!$AJ$5,),BN260)/BO260)</f>
        <v/>
      </c>
      <c r="BR260" s="165" t="str">
        <f ca="1">IF(BN260="","",(INDEX(OFFSET(Arb!$U$2,,,Arb!$AJ$5,),BN260)+INDEX(OFFSET(Arb!$V$2,,,Arb!$AJ$5,),BN260))/BO260)</f>
        <v/>
      </c>
      <c r="BS260" s="51" t="str">
        <f t="shared" ca="1" si="93"/>
        <v/>
      </c>
      <c r="BT260" s="88" t="str">
        <f ca="1">IF(BN260="","",DATE(INDEX(OFFSET(Arb!$C$2,,,Arb!$AJ$5,),BN260),INDEX(OFFSET(Arb!$B$2,,,Arb!$AJ$5,),BN260),INDEX(OFFSET(Arb!$A$2,,,Arb!$AJ$5,),BN260))+ROW()*0.001)</f>
        <v/>
      </c>
      <c r="BU260" s="436">
        <v>118</v>
      </c>
      <c r="BW260" s="52" t="str">
        <f ca="1">IF(BV260="","",INDEX(OFFSET(Arb!$H$2,,,Arb!$AJ$5,),BV260))</f>
        <v/>
      </c>
      <c r="BX260" s="3" t="str">
        <f t="shared" ca="1" si="84"/>
        <v/>
      </c>
      <c r="BY260" s="165" t="str">
        <f ca="1">IF(BV260="","",INDEX(OFFSET(Arb!$X$2,,,Arb!$AJ$5,),BV260)/BW260)</f>
        <v/>
      </c>
      <c r="BZ260" s="165" t="str">
        <f ca="1">IF(BV260="","",(INDEX(OFFSET(Arb!$U$2,,,Arb!$AJ$5,),BV260)+INDEX(OFFSET(Arb!$V$2,,,Arb!$AJ$5,),BV260))/BW260)</f>
        <v/>
      </c>
      <c r="CA260" s="51" t="str">
        <f t="shared" ca="1" si="94"/>
        <v/>
      </c>
      <c r="CB260" s="91" t="str">
        <f ca="1">IF(BV260="","",DATE(INDEX(OFFSET(Arb!$C$2,,,Arb!$AJ$5,),BV260),INDEX(OFFSET(Arb!$B$2,,,Arb!$AJ$5,),BV260),INDEX(OFFSET(Arb!$A$2,,,Arb!$AJ$5,),BV260))+ROW()*0.001)</f>
        <v/>
      </c>
    </row>
    <row r="261" spans="1:80" x14ac:dyDescent="0.25">
      <c r="A261" s="433">
        <v>119</v>
      </c>
      <c r="C261" s="52" t="str">
        <f ca="1">IF(B261="","",INDEX(OFFSET(Arb!$H$2,,,Arb!$AJ$5,),B261))</f>
        <v/>
      </c>
      <c r="D261" s="3" t="str">
        <f t="shared" ca="1" si="75"/>
        <v/>
      </c>
      <c r="E261" s="165" t="str">
        <f ca="1">IF(B261="","",INDEX(OFFSET(Arb!$X$2,,,Arb!$AJ$5,),B261)/C261)</f>
        <v/>
      </c>
      <c r="F261" s="165" t="str">
        <f ca="1">IF(B261="","",(INDEX(OFFSET(Arb!$U$2,,,Arb!$AJ$5,),B261)+INDEX(OFFSET(Arb!$V$2,,,Arb!$AJ$5,),B261))/C261)</f>
        <v/>
      </c>
      <c r="G261" s="51" t="str">
        <f t="shared" ca="1" si="85"/>
        <v/>
      </c>
      <c r="H261" s="355" t="str">
        <f ca="1">IF(B261="","",DATE(INDEX(OFFSET(Arb!$C$2,,,Arb!$AJ$5,),B261),INDEX(OFFSET(Arb!$B$2,,,Arb!$AJ$5,),B261),INDEX(OFFSET(Arb!$A$2,,,Arb!$AJ$5,),B261))+ROW()*0.001)</f>
        <v/>
      </c>
      <c r="I261" s="436">
        <v>119</v>
      </c>
      <c r="K261" s="52" t="str">
        <f ca="1">IF(J261="","",INDEX(OFFSET(Arb!$H$2,,,Arb!$AJ$5,),J261))</f>
        <v/>
      </c>
      <c r="L261" s="3" t="str">
        <f t="shared" ca="1" si="76"/>
        <v/>
      </c>
      <c r="M261" s="165" t="str">
        <f ca="1">IF(J261="","",INDEX(OFFSET(Arb!$X$2,,,Arb!$AJ$5,),J261)/K261)</f>
        <v/>
      </c>
      <c r="N261" s="165" t="str">
        <f ca="1">IF(J261="","",(INDEX(OFFSET(Arb!$U$2,,,Arb!$AJ$5,),J261)+INDEX(OFFSET(Arb!$V$2,,,Arb!$AJ$5,),J261))/K261)</f>
        <v/>
      </c>
      <c r="O261" s="51" t="str">
        <f t="shared" ca="1" si="86"/>
        <v/>
      </c>
      <c r="P261" s="91" t="str">
        <f ca="1">IF(J261="","",DATE(INDEX(OFFSET(Arb!$C$2,,,Arb!$AJ$5,),J261),INDEX(OFFSET(Arb!$B$2,,,Arb!$AJ$5,),J261),INDEX(OFFSET(Arb!$A$2,,,Arb!$AJ$5,),J261))+ROW()*0.001)</f>
        <v/>
      </c>
      <c r="Q261" s="442">
        <v>119</v>
      </c>
      <c r="S261" s="52" t="str">
        <f ca="1">IF(R261="","",INDEX(OFFSET(Arb!$H$2,,,Arb!$AJ$5,),R261))</f>
        <v/>
      </c>
      <c r="T261" s="3" t="str">
        <f t="shared" ca="1" si="77"/>
        <v/>
      </c>
      <c r="U261" s="165" t="str">
        <f ca="1">IF(R261="","",INDEX(OFFSET(Arb!$X$2,,,Arb!$AJ$5,),R261)/S261)</f>
        <v/>
      </c>
      <c r="V261" s="165" t="str">
        <f ca="1">IF(R261="","",(INDEX(OFFSET(Arb!$U$2,,,Arb!$AJ$5,),R261)+INDEX(OFFSET(Arb!$V$2,,,Arb!$AJ$5,),R261))/S261)</f>
        <v/>
      </c>
      <c r="W261" s="51" t="str">
        <f t="shared" ca="1" si="87"/>
        <v/>
      </c>
      <c r="X261" s="88" t="str">
        <f ca="1">IF(R261="","",DATE(INDEX(OFFSET(Arb!$C$2,,,Arb!$AJ$5,),R261),INDEX(OFFSET(Arb!$B$2,,,Arb!$AJ$5,),R261),INDEX(OFFSET(Arb!$A$2,,,Arb!$AJ$5,),R261))+ROW()*0.001)</f>
        <v/>
      </c>
      <c r="Y261" s="436">
        <v>119</v>
      </c>
      <c r="AA261" s="52" t="str">
        <f ca="1">IF(Z261="","",INDEX(OFFSET(Arb!$H$2,,,Arb!$AJ$5,),Z261))</f>
        <v/>
      </c>
      <c r="AB261" s="3" t="str">
        <f t="shared" ca="1" si="78"/>
        <v/>
      </c>
      <c r="AC261" s="165" t="str">
        <f ca="1">IF(Z261="","",INDEX(OFFSET(Arb!$X$2,,,Arb!$AJ$5,),Z261)/AA261)</f>
        <v/>
      </c>
      <c r="AD261" s="165" t="str">
        <f ca="1">IF(Z261="","",(INDEX(OFFSET(Arb!$U$2,,,Arb!$AJ$5,),Z261)+INDEX(OFFSET(Arb!$V$2,,,Arb!$AJ$5,),Z261))/AA261)</f>
        <v/>
      </c>
      <c r="AE261" s="51" t="str">
        <f t="shared" ca="1" si="88"/>
        <v/>
      </c>
      <c r="AF261" s="91" t="str">
        <f ca="1">IF(Z261="","",DATE(INDEX(OFFSET(Arb!$C$2,,,Arb!$AJ$5,),Z261),INDEX(OFFSET(Arb!$B$2,,,Arb!$AJ$5,),Z261),INDEX(OFFSET(Arb!$A$2,,,Arb!$AJ$5,),Z261))+ROW()*0.001)</f>
        <v/>
      </c>
      <c r="AG261" s="442">
        <v>119</v>
      </c>
      <c r="AI261" s="52" t="str">
        <f ca="1">IF(AH261="","",INDEX(OFFSET(Arb!$H$2,,,Arb!$AJ$5,),AH261))</f>
        <v/>
      </c>
      <c r="AJ261" s="3" t="str">
        <f t="shared" ca="1" si="79"/>
        <v/>
      </c>
      <c r="AK261" s="165" t="str">
        <f ca="1">IF(AH261="","",INDEX(OFFSET(Arb!$X$2,,,Arb!$AJ$5,),AH261)/AI261)</f>
        <v/>
      </c>
      <c r="AL261" s="165" t="str">
        <f ca="1">IF(AH261="","",(INDEX(OFFSET(Arb!$U$2,,,Arb!$AJ$5,),AH261)+INDEX(OFFSET(Arb!$V$2,,,Arb!$AJ$5,),AH261))/AI261)</f>
        <v/>
      </c>
      <c r="AM261" s="51" t="str">
        <f t="shared" ca="1" si="89"/>
        <v/>
      </c>
      <c r="AN261" s="88" t="str">
        <f ca="1">IF(AH261="","",DATE(INDEX(OFFSET(Arb!$C$2,,,Arb!$AJ$5,),AH261),INDEX(OFFSET(Arb!$B$2,,,Arb!$AJ$5,),AH261),INDEX(OFFSET(Arb!$A$2,,,Arb!$AJ$5,),AH261))+ROW()*0.001)</f>
        <v/>
      </c>
      <c r="AO261" s="436">
        <v>119</v>
      </c>
      <c r="AQ261" s="52" t="str">
        <f ca="1">IF(AP261="","",INDEX(OFFSET(Arb!$H$2,,,Arb!$AJ$5,),AP261))</f>
        <v/>
      </c>
      <c r="AR261" s="3" t="str">
        <f t="shared" ca="1" si="80"/>
        <v/>
      </c>
      <c r="AS261" s="165" t="str">
        <f ca="1">IF(AP261="","",INDEX(OFFSET(Arb!$X$2,,,Arb!$AJ$5,),AP261)/AQ261)</f>
        <v/>
      </c>
      <c r="AT261" s="165" t="str">
        <f ca="1">IF(AP261="","",(INDEX(OFFSET(Arb!$U$2,,,Arb!$AJ$5,),AP261)+INDEX(OFFSET(Arb!$V$2,,,Arb!$AJ$5,),AP261))/AQ261)</f>
        <v/>
      </c>
      <c r="AU261" s="51" t="str">
        <f t="shared" ca="1" si="90"/>
        <v/>
      </c>
      <c r="AV261" s="91" t="str">
        <f ca="1">IF(AP261="","",DATE(INDEX(OFFSET(Arb!$C$2,,,Arb!$AJ$5,),AP261),INDEX(OFFSET(Arb!$B$2,,,Arb!$AJ$5,),AP261),INDEX(OFFSET(Arb!$A$2,,,Arb!$AJ$5,),AP261))+ROW()*0.001)</f>
        <v/>
      </c>
      <c r="AW261" s="442">
        <v>119</v>
      </c>
      <c r="AY261" s="52" t="str">
        <f ca="1">IF(AX261="","",INDEX(OFFSET(Arb!$H$2,,,Arb!$AJ$5,),AX261))</f>
        <v/>
      </c>
      <c r="AZ261" s="3" t="str">
        <f t="shared" ca="1" si="81"/>
        <v/>
      </c>
      <c r="BA261" s="165" t="str">
        <f ca="1">IF(AX261="","",INDEX(OFFSET(Arb!$X$2,,,Arb!$AJ$5,),AX261)/AY261)</f>
        <v/>
      </c>
      <c r="BB261" s="165" t="str">
        <f ca="1">IF(AX261="","",(INDEX(OFFSET(Arb!$U$2,,,Arb!$AJ$5,),AX261)+INDEX(OFFSET(Arb!$V$2,,,Arb!$AJ$5,),AX261))/AY261)</f>
        <v/>
      </c>
      <c r="BC261" s="51" t="str">
        <f t="shared" ca="1" si="91"/>
        <v/>
      </c>
      <c r="BD261" s="88" t="str">
        <f ca="1">IF(AX261="","",DATE(INDEX(OFFSET(Arb!$C$2,,,Arb!$AJ$5,),AX261),INDEX(OFFSET(Arb!$B$2,,,Arb!$AJ$5,),AX261),INDEX(OFFSET(Arb!$A$2,,,Arb!$AJ$5,),AX261))+ROW()*0.001)</f>
        <v/>
      </c>
      <c r="BE261" s="436">
        <v>119</v>
      </c>
      <c r="BG261" s="52" t="str">
        <f ca="1">IF(BF261="","",INDEX(OFFSET(Arb!$H$2,,,Arb!$AJ$5,),BF261))</f>
        <v/>
      </c>
      <c r="BH261" s="3" t="str">
        <f t="shared" ca="1" si="82"/>
        <v/>
      </c>
      <c r="BI261" s="165" t="str">
        <f ca="1">IF(BF261="","",INDEX(OFFSET(Arb!$X$2,,,Arb!$AJ$5,),BF261)/BG261)</f>
        <v/>
      </c>
      <c r="BJ261" s="165" t="str">
        <f ca="1">IF(BF261="","",(INDEX(OFFSET(Arb!$U$2,,,Arb!$AJ$5,),BF261)+INDEX(OFFSET(Arb!$V$2,,,Arb!$AJ$5,),BF261))/BG261)</f>
        <v/>
      </c>
      <c r="BK261" s="51" t="str">
        <f t="shared" ca="1" si="92"/>
        <v/>
      </c>
      <c r="BL261" s="91" t="str">
        <f ca="1">IF(BF261="","",DATE(INDEX(OFFSET(Arb!$C$2,,,Arb!$AJ$5,),BF261),INDEX(OFFSET(Arb!$B$2,,,Arb!$AJ$5,),BF261),INDEX(OFFSET(Arb!$A$2,,,Arb!$AJ$5,),BF261))+ROW()*0.001)</f>
        <v/>
      </c>
      <c r="BM261" s="442">
        <v>119</v>
      </c>
      <c r="BO261" s="52" t="str">
        <f ca="1">IF(BN261="","",INDEX(OFFSET(Arb!$H$2,,,Arb!$AJ$5,),BN261))</f>
        <v/>
      </c>
      <c r="BP261" s="3" t="str">
        <f t="shared" ca="1" si="83"/>
        <v/>
      </c>
      <c r="BQ261" s="165" t="str">
        <f ca="1">IF(BN261="","",INDEX(OFFSET(Arb!$X$2,,,Arb!$AJ$5,),BN261)/BO261)</f>
        <v/>
      </c>
      <c r="BR261" s="165" t="str">
        <f ca="1">IF(BN261="","",(INDEX(OFFSET(Arb!$U$2,,,Arb!$AJ$5,),BN261)+INDEX(OFFSET(Arb!$V$2,,,Arb!$AJ$5,),BN261))/BO261)</f>
        <v/>
      </c>
      <c r="BS261" s="51" t="str">
        <f t="shared" ca="1" si="93"/>
        <v/>
      </c>
      <c r="BT261" s="88" t="str">
        <f ca="1">IF(BN261="","",DATE(INDEX(OFFSET(Arb!$C$2,,,Arb!$AJ$5,),BN261),INDEX(OFFSET(Arb!$B$2,,,Arb!$AJ$5,),BN261),INDEX(OFFSET(Arb!$A$2,,,Arb!$AJ$5,),BN261))+ROW()*0.001)</f>
        <v/>
      </c>
      <c r="BU261" s="436">
        <v>119</v>
      </c>
      <c r="BW261" s="52" t="str">
        <f ca="1">IF(BV261="","",INDEX(OFFSET(Arb!$H$2,,,Arb!$AJ$5,),BV261))</f>
        <v/>
      </c>
      <c r="BX261" s="3" t="str">
        <f t="shared" ca="1" si="84"/>
        <v/>
      </c>
      <c r="BY261" s="165" t="str">
        <f ca="1">IF(BV261="","",INDEX(OFFSET(Arb!$X$2,,,Arb!$AJ$5,),BV261)/BW261)</f>
        <v/>
      </c>
      <c r="BZ261" s="165" t="str">
        <f ca="1">IF(BV261="","",(INDEX(OFFSET(Arb!$U$2,,,Arb!$AJ$5,),BV261)+INDEX(OFFSET(Arb!$V$2,,,Arb!$AJ$5,),BV261))/BW261)</f>
        <v/>
      </c>
      <c r="CA261" s="51" t="str">
        <f t="shared" ca="1" si="94"/>
        <v/>
      </c>
      <c r="CB261" s="91" t="str">
        <f ca="1">IF(BV261="","",DATE(INDEX(OFFSET(Arb!$C$2,,,Arb!$AJ$5,),BV261),INDEX(OFFSET(Arb!$B$2,,,Arb!$AJ$5,),BV261),INDEX(OFFSET(Arb!$A$2,,,Arb!$AJ$5,),BV261))+ROW()*0.001)</f>
        <v/>
      </c>
    </row>
    <row r="262" spans="1:80" x14ac:dyDescent="0.25">
      <c r="A262" s="433">
        <v>120</v>
      </c>
      <c r="C262" s="52" t="str">
        <f ca="1">IF(B262="","",INDEX(OFFSET(Arb!$H$2,,,Arb!$AJ$5,),B262))</f>
        <v/>
      </c>
      <c r="D262" s="3" t="str">
        <f t="shared" ca="1" si="75"/>
        <v/>
      </c>
      <c r="E262" s="165" t="str">
        <f ca="1">IF(B262="","",INDEX(OFFSET(Arb!$X$2,,,Arb!$AJ$5,),B262)/C262)</f>
        <v/>
      </c>
      <c r="F262" s="165" t="str">
        <f ca="1">IF(B262="","",(INDEX(OFFSET(Arb!$U$2,,,Arb!$AJ$5,),B262)+INDEX(OFFSET(Arb!$V$2,,,Arb!$AJ$5,),B262))/C262)</f>
        <v/>
      </c>
      <c r="G262" s="51" t="str">
        <f t="shared" ca="1" si="85"/>
        <v/>
      </c>
      <c r="H262" s="355" t="str">
        <f ca="1">IF(B262="","",DATE(INDEX(OFFSET(Arb!$C$2,,,Arb!$AJ$5,),B262),INDEX(OFFSET(Arb!$B$2,,,Arb!$AJ$5,),B262),INDEX(OFFSET(Arb!$A$2,,,Arb!$AJ$5,),B262))+ROW()*0.001)</f>
        <v/>
      </c>
      <c r="I262" s="436">
        <v>120</v>
      </c>
      <c r="K262" s="52" t="str">
        <f ca="1">IF(J262="","",INDEX(OFFSET(Arb!$H$2,,,Arb!$AJ$5,),J262))</f>
        <v/>
      </c>
      <c r="L262" s="3" t="str">
        <f t="shared" ca="1" si="76"/>
        <v/>
      </c>
      <c r="M262" s="165" t="str">
        <f ca="1">IF(J262="","",INDEX(OFFSET(Arb!$X$2,,,Arb!$AJ$5,),J262)/K262)</f>
        <v/>
      </c>
      <c r="N262" s="165" t="str">
        <f ca="1">IF(J262="","",(INDEX(OFFSET(Arb!$U$2,,,Arb!$AJ$5,),J262)+INDEX(OFFSET(Arb!$V$2,,,Arb!$AJ$5,),J262))/K262)</f>
        <v/>
      </c>
      <c r="O262" s="51" t="str">
        <f t="shared" ca="1" si="86"/>
        <v/>
      </c>
      <c r="P262" s="91" t="str">
        <f ca="1">IF(J262="","",DATE(INDEX(OFFSET(Arb!$C$2,,,Arb!$AJ$5,),J262),INDEX(OFFSET(Arb!$B$2,,,Arb!$AJ$5,),J262),INDEX(OFFSET(Arb!$A$2,,,Arb!$AJ$5,),J262))+ROW()*0.001)</f>
        <v/>
      </c>
      <c r="Q262" s="442">
        <v>120</v>
      </c>
      <c r="S262" s="52" t="str">
        <f ca="1">IF(R262="","",INDEX(OFFSET(Arb!$H$2,,,Arb!$AJ$5,),R262))</f>
        <v/>
      </c>
      <c r="T262" s="3" t="str">
        <f t="shared" ca="1" si="77"/>
        <v/>
      </c>
      <c r="U262" s="165" t="str">
        <f ca="1">IF(R262="","",INDEX(OFFSET(Arb!$X$2,,,Arb!$AJ$5,),R262)/S262)</f>
        <v/>
      </c>
      <c r="V262" s="165" t="str">
        <f ca="1">IF(R262="","",(INDEX(OFFSET(Arb!$U$2,,,Arb!$AJ$5,),R262)+INDEX(OFFSET(Arb!$V$2,,,Arb!$AJ$5,),R262))/S262)</f>
        <v/>
      </c>
      <c r="W262" s="51" t="str">
        <f t="shared" ca="1" si="87"/>
        <v/>
      </c>
      <c r="X262" s="88" t="str">
        <f ca="1">IF(R262="","",DATE(INDEX(OFFSET(Arb!$C$2,,,Arb!$AJ$5,),R262),INDEX(OFFSET(Arb!$B$2,,,Arb!$AJ$5,),R262),INDEX(OFFSET(Arb!$A$2,,,Arb!$AJ$5,),R262))+ROW()*0.001)</f>
        <v/>
      </c>
      <c r="Y262" s="436">
        <v>120</v>
      </c>
      <c r="AA262" s="52" t="str">
        <f ca="1">IF(Z262="","",INDEX(OFFSET(Arb!$H$2,,,Arb!$AJ$5,),Z262))</f>
        <v/>
      </c>
      <c r="AB262" s="3" t="str">
        <f t="shared" ca="1" si="78"/>
        <v/>
      </c>
      <c r="AC262" s="165" t="str">
        <f ca="1">IF(Z262="","",INDEX(OFFSET(Arb!$X$2,,,Arb!$AJ$5,),Z262)/AA262)</f>
        <v/>
      </c>
      <c r="AD262" s="165" t="str">
        <f ca="1">IF(Z262="","",(INDEX(OFFSET(Arb!$U$2,,,Arb!$AJ$5,),Z262)+INDEX(OFFSET(Arb!$V$2,,,Arb!$AJ$5,),Z262))/AA262)</f>
        <v/>
      </c>
      <c r="AE262" s="51" t="str">
        <f t="shared" ca="1" si="88"/>
        <v/>
      </c>
      <c r="AF262" s="91" t="str">
        <f ca="1">IF(Z262="","",DATE(INDEX(OFFSET(Arb!$C$2,,,Arb!$AJ$5,),Z262),INDEX(OFFSET(Arb!$B$2,,,Arb!$AJ$5,),Z262),INDEX(OFFSET(Arb!$A$2,,,Arb!$AJ$5,),Z262))+ROW()*0.001)</f>
        <v/>
      </c>
      <c r="AG262" s="442">
        <v>120</v>
      </c>
      <c r="AI262" s="52" t="str">
        <f ca="1">IF(AH262="","",INDEX(OFFSET(Arb!$H$2,,,Arb!$AJ$5,),AH262))</f>
        <v/>
      </c>
      <c r="AJ262" s="3" t="str">
        <f t="shared" ca="1" si="79"/>
        <v/>
      </c>
      <c r="AK262" s="165" t="str">
        <f ca="1">IF(AH262="","",INDEX(OFFSET(Arb!$X$2,,,Arb!$AJ$5,),AH262)/AI262)</f>
        <v/>
      </c>
      <c r="AL262" s="165" t="str">
        <f ca="1">IF(AH262="","",(INDEX(OFFSET(Arb!$U$2,,,Arb!$AJ$5,),AH262)+INDEX(OFFSET(Arb!$V$2,,,Arb!$AJ$5,),AH262))/AI262)</f>
        <v/>
      </c>
      <c r="AM262" s="51" t="str">
        <f t="shared" ca="1" si="89"/>
        <v/>
      </c>
      <c r="AN262" s="88" t="str">
        <f ca="1">IF(AH262="","",DATE(INDEX(OFFSET(Arb!$C$2,,,Arb!$AJ$5,),AH262),INDEX(OFFSET(Arb!$B$2,,,Arb!$AJ$5,),AH262),INDEX(OFFSET(Arb!$A$2,,,Arb!$AJ$5,),AH262))+ROW()*0.001)</f>
        <v/>
      </c>
      <c r="AO262" s="436">
        <v>120</v>
      </c>
      <c r="AQ262" s="52" t="str">
        <f ca="1">IF(AP262="","",INDEX(OFFSET(Arb!$H$2,,,Arb!$AJ$5,),AP262))</f>
        <v/>
      </c>
      <c r="AR262" s="3" t="str">
        <f t="shared" ca="1" si="80"/>
        <v/>
      </c>
      <c r="AS262" s="165" t="str">
        <f ca="1">IF(AP262="","",INDEX(OFFSET(Arb!$X$2,,,Arb!$AJ$5,),AP262)/AQ262)</f>
        <v/>
      </c>
      <c r="AT262" s="165" t="str">
        <f ca="1">IF(AP262="","",(INDEX(OFFSET(Arb!$U$2,,,Arb!$AJ$5,),AP262)+INDEX(OFFSET(Arb!$V$2,,,Arb!$AJ$5,),AP262))/AQ262)</f>
        <v/>
      </c>
      <c r="AU262" s="51" t="str">
        <f t="shared" ca="1" si="90"/>
        <v/>
      </c>
      <c r="AV262" s="91" t="str">
        <f ca="1">IF(AP262="","",DATE(INDEX(OFFSET(Arb!$C$2,,,Arb!$AJ$5,),AP262),INDEX(OFFSET(Arb!$B$2,,,Arb!$AJ$5,),AP262),INDEX(OFFSET(Arb!$A$2,,,Arb!$AJ$5,),AP262))+ROW()*0.001)</f>
        <v/>
      </c>
      <c r="AW262" s="442">
        <v>120</v>
      </c>
      <c r="AY262" s="52" t="str">
        <f ca="1">IF(AX262="","",INDEX(OFFSET(Arb!$H$2,,,Arb!$AJ$5,),AX262))</f>
        <v/>
      </c>
      <c r="AZ262" s="3" t="str">
        <f t="shared" ca="1" si="81"/>
        <v/>
      </c>
      <c r="BA262" s="165" t="str">
        <f ca="1">IF(AX262="","",INDEX(OFFSET(Arb!$X$2,,,Arb!$AJ$5,),AX262)/AY262)</f>
        <v/>
      </c>
      <c r="BB262" s="165" t="str">
        <f ca="1">IF(AX262="","",(INDEX(OFFSET(Arb!$U$2,,,Arb!$AJ$5,),AX262)+INDEX(OFFSET(Arb!$V$2,,,Arb!$AJ$5,),AX262))/AY262)</f>
        <v/>
      </c>
      <c r="BC262" s="51" t="str">
        <f t="shared" ca="1" si="91"/>
        <v/>
      </c>
      <c r="BD262" s="88" t="str">
        <f ca="1">IF(AX262="","",DATE(INDEX(OFFSET(Arb!$C$2,,,Arb!$AJ$5,),AX262),INDEX(OFFSET(Arb!$B$2,,,Arb!$AJ$5,),AX262),INDEX(OFFSET(Arb!$A$2,,,Arb!$AJ$5,),AX262))+ROW()*0.001)</f>
        <v/>
      </c>
      <c r="BE262" s="436">
        <v>120</v>
      </c>
      <c r="BG262" s="52" t="str">
        <f ca="1">IF(BF262="","",INDEX(OFFSET(Arb!$H$2,,,Arb!$AJ$5,),BF262))</f>
        <v/>
      </c>
      <c r="BH262" s="3" t="str">
        <f t="shared" ca="1" si="82"/>
        <v/>
      </c>
      <c r="BI262" s="165" t="str">
        <f ca="1">IF(BF262="","",INDEX(OFFSET(Arb!$X$2,,,Arb!$AJ$5,),BF262)/BG262)</f>
        <v/>
      </c>
      <c r="BJ262" s="165" t="str">
        <f ca="1">IF(BF262="","",(INDEX(OFFSET(Arb!$U$2,,,Arb!$AJ$5,),BF262)+INDEX(OFFSET(Arb!$V$2,,,Arb!$AJ$5,),BF262))/BG262)</f>
        <v/>
      </c>
      <c r="BK262" s="51" t="str">
        <f t="shared" ca="1" si="92"/>
        <v/>
      </c>
      <c r="BL262" s="91" t="str">
        <f ca="1">IF(BF262="","",DATE(INDEX(OFFSET(Arb!$C$2,,,Arb!$AJ$5,),BF262),INDEX(OFFSET(Arb!$B$2,,,Arb!$AJ$5,),BF262),INDEX(OFFSET(Arb!$A$2,,,Arb!$AJ$5,),BF262))+ROW()*0.001)</f>
        <v/>
      </c>
      <c r="BM262" s="442">
        <v>120</v>
      </c>
      <c r="BO262" s="52" t="str">
        <f ca="1">IF(BN262="","",INDEX(OFFSET(Arb!$H$2,,,Arb!$AJ$5,),BN262))</f>
        <v/>
      </c>
      <c r="BP262" s="3" t="str">
        <f t="shared" ca="1" si="83"/>
        <v/>
      </c>
      <c r="BQ262" s="165" t="str">
        <f ca="1">IF(BN262="","",INDEX(OFFSET(Arb!$X$2,,,Arb!$AJ$5,),BN262)/BO262)</f>
        <v/>
      </c>
      <c r="BR262" s="165" t="str">
        <f ca="1">IF(BN262="","",(INDEX(OFFSET(Arb!$U$2,,,Arb!$AJ$5,),BN262)+INDEX(OFFSET(Arb!$V$2,,,Arb!$AJ$5,),BN262))/BO262)</f>
        <v/>
      </c>
      <c r="BS262" s="51" t="str">
        <f t="shared" ca="1" si="93"/>
        <v/>
      </c>
      <c r="BT262" s="88" t="str">
        <f ca="1">IF(BN262="","",DATE(INDEX(OFFSET(Arb!$C$2,,,Arb!$AJ$5,),BN262),INDEX(OFFSET(Arb!$B$2,,,Arb!$AJ$5,),BN262),INDEX(OFFSET(Arb!$A$2,,,Arb!$AJ$5,),BN262))+ROW()*0.001)</f>
        <v/>
      </c>
      <c r="BU262" s="436">
        <v>120</v>
      </c>
      <c r="BW262" s="52" t="str">
        <f ca="1">IF(BV262="","",INDEX(OFFSET(Arb!$H$2,,,Arb!$AJ$5,),BV262))</f>
        <v/>
      </c>
      <c r="BX262" s="3" t="str">
        <f t="shared" ca="1" si="84"/>
        <v/>
      </c>
      <c r="BY262" s="165" t="str">
        <f ca="1">IF(BV262="","",INDEX(OFFSET(Arb!$X$2,,,Arb!$AJ$5,),BV262)/BW262)</f>
        <v/>
      </c>
      <c r="BZ262" s="165" t="str">
        <f ca="1">IF(BV262="","",(INDEX(OFFSET(Arb!$U$2,,,Arb!$AJ$5,),BV262)+INDEX(OFFSET(Arb!$V$2,,,Arb!$AJ$5,),BV262))/BW262)</f>
        <v/>
      </c>
      <c r="CA262" s="51" t="str">
        <f t="shared" ca="1" si="94"/>
        <v/>
      </c>
      <c r="CB262" s="91" t="str">
        <f ca="1">IF(BV262="","",DATE(INDEX(OFFSET(Arb!$C$2,,,Arb!$AJ$5,),BV262),INDEX(OFFSET(Arb!$B$2,,,Arb!$AJ$5,),BV262),INDEX(OFFSET(Arb!$A$2,,,Arb!$AJ$5,),BV262))+ROW()*0.001)</f>
        <v/>
      </c>
    </row>
    <row r="263" spans="1:80" x14ac:dyDescent="0.25">
      <c r="A263" s="433">
        <v>121</v>
      </c>
      <c r="C263" s="52" t="str">
        <f ca="1">IF(B263="","",INDEX(OFFSET(Arb!$H$2,,,Arb!$AJ$5,),B263))</f>
        <v/>
      </c>
      <c r="D263" s="3" t="str">
        <f t="shared" ca="1" si="75"/>
        <v/>
      </c>
      <c r="E263" s="165" t="str">
        <f ca="1">IF(B263="","",INDEX(OFFSET(Arb!$X$2,,,Arb!$AJ$5,),B263)/C263)</f>
        <v/>
      </c>
      <c r="F263" s="165" t="str">
        <f ca="1">IF(B263="","",(INDEX(OFFSET(Arb!$U$2,,,Arb!$AJ$5,),B263)+INDEX(OFFSET(Arb!$V$2,,,Arb!$AJ$5,),B263))/C263)</f>
        <v/>
      </c>
      <c r="G263" s="51" t="str">
        <f t="shared" ca="1" si="85"/>
        <v/>
      </c>
      <c r="H263" s="355" t="str">
        <f ca="1">IF(B263="","",DATE(INDEX(OFFSET(Arb!$C$2,,,Arb!$AJ$5,),B263),INDEX(OFFSET(Arb!$B$2,,,Arb!$AJ$5,),B263),INDEX(OFFSET(Arb!$A$2,,,Arb!$AJ$5,),B263))+ROW()*0.001)</f>
        <v/>
      </c>
      <c r="I263" s="436">
        <v>121</v>
      </c>
      <c r="K263" s="52" t="str">
        <f ca="1">IF(J263="","",INDEX(OFFSET(Arb!$H$2,,,Arb!$AJ$5,),J263))</f>
        <v/>
      </c>
      <c r="L263" s="3" t="str">
        <f t="shared" ca="1" si="76"/>
        <v/>
      </c>
      <c r="M263" s="165" t="str">
        <f ca="1">IF(J263="","",INDEX(OFFSET(Arb!$X$2,,,Arb!$AJ$5,),J263)/K263)</f>
        <v/>
      </c>
      <c r="N263" s="165" t="str">
        <f ca="1">IF(J263="","",(INDEX(OFFSET(Arb!$U$2,,,Arb!$AJ$5,),J263)+INDEX(OFFSET(Arb!$V$2,,,Arb!$AJ$5,),J263))/K263)</f>
        <v/>
      </c>
      <c r="O263" s="51" t="str">
        <f t="shared" ca="1" si="86"/>
        <v/>
      </c>
      <c r="P263" s="91" t="str">
        <f ca="1">IF(J263="","",DATE(INDEX(OFFSET(Arb!$C$2,,,Arb!$AJ$5,),J263),INDEX(OFFSET(Arb!$B$2,,,Arb!$AJ$5,),J263),INDEX(OFFSET(Arb!$A$2,,,Arb!$AJ$5,),J263))+ROW()*0.001)</f>
        <v/>
      </c>
      <c r="Q263" s="442">
        <v>121</v>
      </c>
      <c r="S263" s="52" t="str">
        <f ca="1">IF(R263="","",INDEX(OFFSET(Arb!$H$2,,,Arb!$AJ$5,),R263))</f>
        <v/>
      </c>
      <c r="T263" s="3" t="str">
        <f t="shared" ca="1" si="77"/>
        <v/>
      </c>
      <c r="U263" s="165" t="str">
        <f ca="1">IF(R263="","",INDEX(OFFSET(Arb!$X$2,,,Arb!$AJ$5,),R263)/S263)</f>
        <v/>
      </c>
      <c r="V263" s="165" t="str">
        <f ca="1">IF(R263="","",(INDEX(OFFSET(Arb!$U$2,,,Arb!$AJ$5,),R263)+INDEX(OFFSET(Arb!$V$2,,,Arb!$AJ$5,),R263))/S263)</f>
        <v/>
      </c>
      <c r="W263" s="51" t="str">
        <f t="shared" ca="1" si="87"/>
        <v/>
      </c>
      <c r="X263" s="88" t="str">
        <f ca="1">IF(R263="","",DATE(INDEX(OFFSET(Arb!$C$2,,,Arb!$AJ$5,),R263),INDEX(OFFSET(Arb!$B$2,,,Arb!$AJ$5,),R263),INDEX(OFFSET(Arb!$A$2,,,Arb!$AJ$5,),R263))+ROW()*0.001)</f>
        <v/>
      </c>
      <c r="Y263" s="436">
        <v>121</v>
      </c>
      <c r="AA263" s="52" t="str">
        <f ca="1">IF(Z263="","",INDEX(OFFSET(Arb!$H$2,,,Arb!$AJ$5,),Z263))</f>
        <v/>
      </c>
      <c r="AB263" s="3" t="str">
        <f t="shared" ca="1" si="78"/>
        <v/>
      </c>
      <c r="AC263" s="165" t="str">
        <f ca="1">IF(Z263="","",INDEX(OFFSET(Arb!$X$2,,,Arb!$AJ$5,),Z263)/AA263)</f>
        <v/>
      </c>
      <c r="AD263" s="165" t="str">
        <f ca="1">IF(Z263="","",(INDEX(OFFSET(Arb!$U$2,,,Arb!$AJ$5,),Z263)+INDEX(OFFSET(Arb!$V$2,,,Arb!$AJ$5,),Z263))/AA263)</f>
        <v/>
      </c>
      <c r="AE263" s="51" t="str">
        <f t="shared" ca="1" si="88"/>
        <v/>
      </c>
      <c r="AF263" s="91" t="str">
        <f ca="1">IF(Z263="","",DATE(INDEX(OFFSET(Arb!$C$2,,,Arb!$AJ$5,),Z263),INDEX(OFFSET(Arb!$B$2,,,Arb!$AJ$5,),Z263),INDEX(OFFSET(Arb!$A$2,,,Arb!$AJ$5,),Z263))+ROW()*0.001)</f>
        <v/>
      </c>
      <c r="AG263" s="442">
        <v>121</v>
      </c>
      <c r="AI263" s="52" t="str">
        <f ca="1">IF(AH263="","",INDEX(OFFSET(Arb!$H$2,,,Arb!$AJ$5,),AH263))</f>
        <v/>
      </c>
      <c r="AJ263" s="3" t="str">
        <f t="shared" ca="1" si="79"/>
        <v/>
      </c>
      <c r="AK263" s="165" t="str">
        <f ca="1">IF(AH263="","",INDEX(OFFSET(Arb!$X$2,,,Arb!$AJ$5,),AH263)/AI263)</f>
        <v/>
      </c>
      <c r="AL263" s="165" t="str">
        <f ca="1">IF(AH263="","",(INDEX(OFFSET(Arb!$U$2,,,Arb!$AJ$5,),AH263)+INDEX(OFFSET(Arb!$V$2,,,Arb!$AJ$5,),AH263))/AI263)</f>
        <v/>
      </c>
      <c r="AM263" s="51" t="str">
        <f t="shared" ca="1" si="89"/>
        <v/>
      </c>
      <c r="AN263" s="88" t="str">
        <f ca="1">IF(AH263="","",DATE(INDEX(OFFSET(Arb!$C$2,,,Arb!$AJ$5,),AH263),INDEX(OFFSET(Arb!$B$2,,,Arb!$AJ$5,),AH263),INDEX(OFFSET(Arb!$A$2,,,Arb!$AJ$5,),AH263))+ROW()*0.001)</f>
        <v/>
      </c>
      <c r="AO263" s="436">
        <v>121</v>
      </c>
      <c r="AQ263" s="52" t="str">
        <f ca="1">IF(AP263="","",INDEX(OFFSET(Arb!$H$2,,,Arb!$AJ$5,),AP263))</f>
        <v/>
      </c>
      <c r="AR263" s="3" t="str">
        <f t="shared" ca="1" si="80"/>
        <v/>
      </c>
      <c r="AS263" s="165" t="str">
        <f ca="1">IF(AP263="","",INDEX(OFFSET(Arb!$X$2,,,Arb!$AJ$5,),AP263)/AQ263)</f>
        <v/>
      </c>
      <c r="AT263" s="165" t="str">
        <f ca="1">IF(AP263="","",(INDEX(OFFSET(Arb!$U$2,,,Arb!$AJ$5,),AP263)+INDEX(OFFSET(Arb!$V$2,,,Arb!$AJ$5,),AP263))/AQ263)</f>
        <v/>
      </c>
      <c r="AU263" s="51" t="str">
        <f t="shared" ca="1" si="90"/>
        <v/>
      </c>
      <c r="AV263" s="91" t="str">
        <f ca="1">IF(AP263="","",DATE(INDEX(OFFSET(Arb!$C$2,,,Arb!$AJ$5,),AP263),INDEX(OFFSET(Arb!$B$2,,,Arb!$AJ$5,),AP263),INDEX(OFFSET(Arb!$A$2,,,Arb!$AJ$5,),AP263))+ROW()*0.001)</f>
        <v/>
      </c>
      <c r="AW263" s="442">
        <v>121</v>
      </c>
      <c r="AY263" s="52" t="str">
        <f ca="1">IF(AX263="","",INDEX(OFFSET(Arb!$H$2,,,Arb!$AJ$5,),AX263))</f>
        <v/>
      </c>
      <c r="AZ263" s="3" t="str">
        <f t="shared" ca="1" si="81"/>
        <v/>
      </c>
      <c r="BA263" s="165" t="str">
        <f ca="1">IF(AX263="","",INDEX(OFFSET(Arb!$X$2,,,Arb!$AJ$5,),AX263)/AY263)</f>
        <v/>
      </c>
      <c r="BB263" s="165" t="str">
        <f ca="1">IF(AX263="","",(INDEX(OFFSET(Arb!$U$2,,,Arb!$AJ$5,),AX263)+INDEX(OFFSET(Arb!$V$2,,,Arb!$AJ$5,),AX263))/AY263)</f>
        <v/>
      </c>
      <c r="BC263" s="51" t="str">
        <f t="shared" ca="1" si="91"/>
        <v/>
      </c>
      <c r="BD263" s="88" t="str">
        <f ca="1">IF(AX263="","",DATE(INDEX(OFFSET(Arb!$C$2,,,Arb!$AJ$5,),AX263),INDEX(OFFSET(Arb!$B$2,,,Arb!$AJ$5,),AX263),INDEX(OFFSET(Arb!$A$2,,,Arb!$AJ$5,),AX263))+ROW()*0.001)</f>
        <v/>
      </c>
      <c r="BE263" s="436">
        <v>121</v>
      </c>
      <c r="BG263" s="52" t="str">
        <f ca="1">IF(BF263="","",INDEX(OFFSET(Arb!$H$2,,,Arb!$AJ$5,),BF263))</f>
        <v/>
      </c>
      <c r="BH263" s="3" t="str">
        <f t="shared" ca="1" si="82"/>
        <v/>
      </c>
      <c r="BI263" s="165" t="str">
        <f ca="1">IF(BF263="","",INDEX(OFFSET(Arb!$X$2,,,Arb!$AJ$5,),BF263)/BG263)</f>
        <v/>
      </c>
      <c r="BJ263" s="165" t="str">
        <f ca="1">IF(BF263="","",(INDEX(OFFSET(Arb!$U$2,,,Arb!$AJ$5,),BF263)+INDEX(OFFSET(Arb!$V$2,,,Arb!$AJ$5,),BF263))/BG263)</f>
        <v/>
      </c>
      <c r="BK263" s="51" t="str">
        <f t="shared" ca="1" si="92"/>
        <v/>
      </c>
      <c r="BL263" s="91" t="str">
        <f ca="1">IF(BF263="","",DATE(INDEX(OFFSET(Arb!$C$2,,,Arb!$AJ$5,),BF263),INDEX(OFFSET(Arb!$B$2,,,Arb!$AJ$5,),BF263),INDEX(OFFSET(Arb!$A$2,,,Arb!$AJ$5,),BF263))+ROW()*0.001)</f>
        <v/>
      </c>
      <c r="BM263" s="442">
        <v>121</v>
      </c>
      <c r="BO263" s="52" t="str">
        <f ca="1">IF(BN263="","",INDEX(OFFSET(Arb!$H$2,,,Arb!$AJ$5,),BN263))</f>
        <v/>
      </c>
      <c r="BP263" s="3" t="str">
        <f t="shared" ca="1" si="83"/>
        <v/>
      </c>
      <c r="BQ263" s="165" t="str">
        <f ca="1">IF(BN263="","",INDEX(OFFSET(Arb!$X$2,,,Arb!$AJ$5,),BN263)/BO263)</f>
        <v/>
      </c>
      <c r="BR263" s="165" t="str">
        <f ca="1">IF(BN263="","",(INDEX(OFFSET(Arb!$U$2,,,Arb!$AJ$5,),BN263)+INDEX(OFFSET(Arb!$V$2,,,Arb!$AJ$5,),BN263))/BO263)</f>
        <v/>
      </c>
      <c r="BS263" s="51" t="str">
        <f t="shared" ca="1" si="93"/>
        <v/>
      </c>
      <c r="BT263" s="88" t="str">
        <f ca="1">IF(BN263="","",DATE(INDEX(OFFSET(Arb!$C$2,,,Arb!$AJ$5,),BN263),INDEX(OFFSET(Arb!$B$2,,,Arb!$AJ$5,),BN263),INDEX(OFFSET(Arb!$A$2,,,Arb!$AJ$5,),BN263))+ROW()*0.001)</f>
        <v/>
      </c>
      <c r="BU263" s="436">
        <v>121</v>
      </c>
      <c r="BW263" s="52" t="str">
        <f ca="1">IF(BV263="","",INDEX(OFFSET(Arb!$H$2,,,Arb!$AJ$5,),BV263))</f>
        <v/>
      </c>
      <c r="BX263" s="3" t="str">
        <f t="shared" ca="1" si="84"/>
        <v/>
      </c>
      <c r="BY263" s="165" t="str">
        <f ca="1">IF(BV263="","",INDEX(OFFSET(Arb!$X$2,,,Arb!$AJ$5,),BV263)/BW263)</f>
        <v/>
      </c>
      <c r="BZ263" s="165" t="str">
        <f ca="1">IF(BV263="","",(INDEX(OFFSET(Arb!$U$2,,,Arb!$AJ$5,),BV263)+INDEX(OFFSET(Arb!$V$2,,,Arb!$AJ$5,),BV263))/BW263)</f>
        <v/>
      </c>
      <c r="CA263" s="51" t="str">
        <f t="shared" ca="1" si="94"/>
        <v/>
      </c>
      <c r="CB263" s="91" t="str">
        <f ca="1">IF(BV263="","",DATE(INDEX(OFFSET(Arb!$C$2,,,Arb!$AJ$5,),BV263),INDEX(OFFSET(Arb!$B$2,,,Arb!$AJ$5,),BV263),INDEX(OFFSET(Arb!$A$2,,,Arb!$AJ$5,),BV263))+ROW()*0.001)</f>
        <v/>
      </c>
    </row>
    <row r="264" spans="1:80" x14ac:dyDescent="0.25">
      <c r="A264" s="433">
        <v>122</v>
      </c>
      <c r="C264" s="52" t="str">
        <f ca="1">IF(B264="","",INDEX(OFFSET(Arb!$H$2,,,Arb!$AJ$5,),B264))</f>
        <v/>
      </c>
      <c r="D264" s="3" t="str">
        <f t="shared" ca="1" si="75"/>
        <v/>
      </c>
      <c r="E264" s="165" t="str">
        <f ca="1">IF(B264="","",INDEX(OFFSET(Arb!$X$2,,,Arb!$AJ$5,),B264)/C264)</f>
        <v/>
      </c>
      <c r="F264" s="165" t="str">
        <f ca="1">IF(B264="","",(INDEX(OFFSET(Arb!$U$2,,,Arb!$AJ$5,),B264)+INDEX(OFFSET(Arb!$V$2,,,Arb!$AJ$5,),B264))/C264)</f>
        <v/>
      </c>
      <c r="G264" s="51" t="str">
        <f t="shared" ca="1" si="85"/>
        <v/>
      </c>
      <c r="H264" s="355" t="str">
        <f ca="1">IF(B264="","",DATE(INDEX(OFFSET(Arb!$C$2,,,Arb!$AJ$5,),B264),INDEX(OFFSET(Arb!$B$2,,,Arb!$AJ$5,),B264),INDEX(OFFSET(Arb!$A$2,,,Arb!$AJ$5,),B264))+ROW()*0.001)</f>
        <v/>
      </c>
      <c r="I264" s="436">
        <v>122</v>
      </c>
      <c r="K264" s="52" t="str">
        <f ca="1">IF(J264="","",INDEX(OFFSET(Arb!$H$2,,,Arb!$AJ$5,),J264))</f>
        <v/>
      </c>
      <c r="L264" s="3" t="str">
        <f t="shared" ca="1" si="76"/>
        <v/>
      </c>
      <c r="M264" s="165" t="str">
        <f ca="1">IF(J264="","",INDEX(OFFSET(Arb!$X$2,,,Arb!$AJ$5,),J264)/K264)</f>
        <v/>
      </c>
      <c r="N264" s="165" t="str">
        <f ca="1">IF(J264="","",(INDEX(OFFSET(Arb!$U$2,,,Arb!$AJ$5,),J264)+INDEX(OFFSET(Arb!$V$2,,,Arb!$AJ$5,),J264))/K264)</f>
        <v/>
      </c>
      <c r="O264" s="51" t="str">
        <f t="shared" ca="1" si="86"/>
        <v/>
      </c>
      <c r="P264" s="91" t="str">
        <f ca="1">IF(J264="","",DATE(INDEX(OFFSET(Arb!$C$2,,,Arb!$AJ$5,),J264),INDEX(OFFSET(Arb!$B$2,,,Arb!$AJ$5,),J264),INDEX(OFFSET(Arb!$A$2,,,Arb!$AJ$5,),J264))+ROW()*0.001)</f>
        <v/>
      </c>
      <c r="Q264" s="442">
        <v>122</v>
      </c>
      <c r="S264" s="52" t="str">
        <f ca="1">IF(R264="","",INDEX(OFFSET(Arb!$H$2,,,Arb!$AJ$5,),R264))</f>
        <v/>
      </c>
      <c r="T264" s="3" t="str">
        <f t="shared" ca="1" si="77"/>
        <v/>
      </c>
      <c r="U264" s="165" t="str">
        <f ca="1">IF(R264="","",INDEX(OFFSET(Arb!$X$2,,,Arb!$AJ$5,),R264)/S264)</f>
        <v/>
      </c>
      <c r="V264" s="165" t="str">
        <f ca="1">IF(R264="","",(INDEX(OFFSET(Arb!$U$2,,,Arb!$AJ$5,),R264)+INDEX(OFFSET(Arb!$V$2,,,Arb!$AJ$5,),R264))/S264)</f>
        <v/>
      </c>
      <c r="W264" s="51" t="str">
        <f t="shared" ca="1" si="87"/>
        <v/>
      </c>
      <c r="X264" s="88" t="str">
        <f ca="1">IF(R264="","",DATE(INDEX(OFFSET(Arb!$C$2,,,Arb!$AJ$5,),R264),INDEX(OFFSET(Arb!$B$2,,,Arb!$AJ$5,),R264),INDEX(OFFSET(Arb!$A$2,,,Arb!$AJ$5,),R264))+ROW()*0.001)</f>
        <v/>
      </c>
      <c r="Y264" s="436">
        <v>122</v>
      </c>
      <c r="AA264" s="52" t="str">
        <f ca="1">IF(Z264="","",INDEX(OFFSET(Arb!$H$2,,,Arb!$AJ$5,),Z264))</f>
        <v/>
      </c>
      <c r="AB264" s="3" t="str">
        <f t="shared" ca="1" si="78"/>
        <v/>
      </c>
      <c r="AC264" s="165" t="str">
        <f ca="1">IF(Z264="","",INDEX(OFFSET(Arb!$X$2,,,Arb!$AJ$5,),Z264)/AA264)</f>
        <v/>
      </c>
      <c r="AD264" s="165" t="str">
        <f ca="1">IF(Z264="","",(INDEX(OFFSET(Arb!$U$2,,,Arb!$AJ$5,),Z264)+INDEX(OFFSET(Arb!$V$2,,,Arb!$AJ$5,),Z264))/AA264)</f>
        <v/>
      </c>
      <c r="AE264" s="51" t="str">
        <f t="shared" ca="1" si="88"/>
        <v/>
      </c>
      <c r="AF264" s="91" t="str">
        <f ca="1">IF(Z264="","",DATE(INDEX(OFFSET(Arb!$C$2,,,Arb!$AJ$5,),Z264),INDEX(OFFSET(Arb!$B$2,,,Arb!$AJ$5,),Z264),INDEX(OFFSET(Arb!$A$2,,,Arb!$AJ$5,),Z264))+ROW()*0.001)</f>
        <v/>
      </c>
      <c r="AG264" s="442">
        <v>122</v>
      </c>
      <c r="AI264" s="52" t="str">
        <f ca="1">IF(AH264="","",INDEX(OFFSET(Arb!$H$2,,,Arb!$AJ$5,),AH264))</f>
        <v/>
      </c>
      <c r="AJ264" s="3" t="str">
        <f t="shared" ca="1" si="79"/>
        <v/>
      </c>
      <c r="AK264" s="165" t="str">
        <f ca="1">IF(AH264="","",INDEX(OFFSET(Arb!$X$2,,,Arb!$AJ$5,),AH264)/AI264)</f>
        <v/>
      </c>
      <c r="AL264" s="165" t="str">
        <f ca="1">IF(AH264="","",(INDEX(OFFSET(Arb!$U$2,,,Arb!$AJ$5,),AH264)+INDEX(OFFSET(Arb!$V$2,,,Arb!$AJ$5,),AH264))/AI264)</f>
        <v/>
      </c>
      <c r="AM264" s="51" t="str">
        <f t="shared" ca="1" si="89"/>
        <v/>
      </c>
      <c r="AN264" s="88" t="str">
        <f ca="1">IF(AH264="","",DATE(INDEX(OFFSET(Arb!$C$2,,,Arb!$AJ$5,),AH264),INDEX(OFFSET(Arb!$B$2,,,Arb!$AJ$5,),AH264),INDEX(OFFSET(Arb!$A$2,,,Arb!$AJ$5,),AH264))+ROW()*0.001)</f>
        <v/>
      </c>
      <c r="AO264" s="436">
        <v>122</v>
      </c>
      <c r="AQ264" s="52" t="str">
        <f ca="1">IF(AP264="","",INDEX(OFFSET(Arb!$H$2,,,Arb!$AJ$5,),AP264))</f>
        <v/>
      </c>
      <c r="AR264" s="3" t="str">
        <f t="shared" ca="1" si="80"/>
        <v/>
      </c>
      <c r="AS264" s="165" t="str">
        <f ca="1">IF(AP264="","",INDEX(OFFSET(Arb!$X$2,,,Arb!$AJ$5,),AP264)/AQ264)</f>
        <v/>
      </c>
      <c r="AT264" s="165" t="str">
        <f ca="1">IF(AP264="","",(INDEX(OFFSET(Arb!$U$2,,,Arb!$AJ$5,),AP264)+INDEX(OFFSET(Arb!$V$2,,,Arb!$AJ$5,),AP264))/AQ264)</f>
        <v/>
      </c>
      <c r="AU264" s="51" t="str">
        <f t="shared" ca="1" si="90"/>
        <v/>
      </c>
      <c r="AV264" s="91" t="str">
        <f ca="1">IF(AP264="","",DATE(INDEX(OFFSET(Arb!$C$2,,,Arb!$AJ$5,),AP264),INDEX(OFFSET(Arb!$B$2,,,Arb!$AJ$5,),AP264),INDEX(OFFSET(Arb!$A$2,,,Arb!$AJ$5,),AP264))+ROW()*0.001)</f>
        <v/>
      </c>
      <c r="AW264" s="442">
        <v>122</v>
      </c>
      <c r="AY264" s="52" t="str">
        <f ca="1">IF(AX264="","",INDEX(OFFSET(Arb!$H$2,,,Arb!$AJ$5,),AX264))</f>
        <v/>
      </c>
      <c r="AZ264" s="3" t="str">
        <f t="shared" ca="1" si="81"/>
        <v/>
      </c>
      <c r="BA264" s="165" t="str">
        <f ca="1">IF(AX264="","",INDEX(OFFSET(Arb!$X$2,,,Arb!$AJ$5,),AX264)/AY264)</f>
        <v/>
      </c>
      <c r="BB264" s="165" t="str">
        <f ca="1">IF(AX264="","",(INDEX(OFFSET(Arb!$U$2,,,Arb!$AJ$5,),AX264)+INDEX(OFFSET(Arb!$V$2,,,Arb!$AJ$5,),AX264))/AY264)</f>
        <v/>
      </c>
      <c r="BC264" s="51" t="str">
        <f t="shared" ca="1" si="91"/>
        <v/>
      </c>
      <c r="BD264" s="88" t="str">
        <f ca="1">IF(AX264="","",DATE(INDEX(OFFSET(Arb!$C$2,,,Arb!$AJ$5,),AX264),INDEX(OFFSET(Arb!$B$2,,,Arb!$AJ$5,),AX264),INDEX(OFFSET(Arb!$A$2,,,Arb!$AJ$5,),AX264))+ROW()*0.001)</f>
        <v/>
      </c>
      <c r="BE264" s="436">
        <v>122</v>
      </c>
      <c r="BG264" s="52" t="str">
        <f ca="1">IF(BF264="","",INDEX(OFFSET(Arb!$H$2,,,Arb!$AJ$5,),BF264))</f>
        <v/>
      </c>
      <c r="BH264" s="3" t="str">
        <f t="shared" ca="1" si="82"/>
        <v/>
      </c>
      <c r="BI264" s="165" t="str">
        <f ca="1">IF(BF264="","",INDEX(OFFSET(Arb!$X$2,,,Arb!$AJ$5,),BF264)/BG264)</f>
        <v/>
      </c>
      <c r="BJ264" s="165" t="str">
        <f ca="1">IF(BF264="","",(INDEX(OFFSET(Arb!$U$2,,,Arb!$AJ$5,),BF264)+INDEX(OFFSET(Arb!$V$2,,,Arb!$AJ$5,),BF264))/BG264)</f>
        <v/>
      </c>
      <c r="BK264" s="51" t="str">
        <f t="shared" ca="1" si="92"/>
        <v/>
      </c>
      <c r="BL264" s="91" t="str">
        <f ca="1">IF(BF264="","",DATE(INDEX(OFFSET(Arb!$C$2,,,Arb!$AJ$5,),BF264),INDEX(OFFSET(Arb!$B$2,,,Arb!$AJ$5,),BF264),INDEX(OFFSET(Arb!$A$2,,,Arb!$AJ$5,),BF264))+ROW()*0.001)</f>
        <v/>
      </c>
      <c r="BM264" s="442">
        <v>122</v>
      </c>
      <c r="BO264" s="52" t="str">
        <f ca="1">IF(BN264="","",INDEX(OFFSET(Arb!$H$2,,,Arb!$AJ$5,),BN264))</f>
        <v/>
      </c>
      <c r="BP264" s="3" t="str">
        <f t="shared" ca="1" si="83"/>
        <v/>
      </c>
      <c r="BQ264" s="165" t="str">
        <f ca="1">IF(BN264="","",INDEX(OFFSET(Arb!$X$2,,,Arb!$AJ$5,),BN264)/BO264)</f>
        <v/>
      </c>
      <c r="BR264" s="165" t="str">
        <f ca="1">IF(BN264="","",(INDEX(OFFSET(Arb!$U$2,,,Arb!$AJ$5,),BN264)+INDEX(OFFSET(Arb!$V$2,,,Arb!$AJ$5,),BN264))/BO264)</f>
        <v/>
      </c>
      <c r="BS264" s="51" t="str">
        <f t="shared" ca="1" si="93"/>
        <v/>
      </c>
      <c r="BT264" s="88" t="str">
        <f ca="1">IF(BN264="","",DATE(INDEX(OFFSET(Arb!$C$2,,,Arb!$AJ$5,),BN264),INDEX(OFFSET(Arb!$B$2,,,Arb!$AJ$5,),BN264),INDEX(OFFSET(Arb!$A$2,,,Arb!$AJ$5,),BN264))+ROW()*0.001)</f>
        <v/>
      </c>
      <c r="BU264" s="436">
        <v>122</v>
      </c>
      <c r="BW264" s="52" t="str">
        <f ca="1">IF(BV264="","",INDEX(OFFSET(Arb!$H$2,,,Arb!$AJ$5,),BV264))</f>
        <v/>
      </c>
      <c r="BX264" s="3" t="str">
        <f t="shared" ca="1" si="84"/>
        <v/>
      </c>
      <c r="BY264" s="165" t="str">
        <f ca="1">IF(BV264="","",INDEX(OFFSET(Arb!$X$2,,,Arb!$AJ$5,),BV264)/BW264)</f>
        <v/>
      </c>
      <c r="BZ264" s="165" t="str">
        <f ca="1">IF(BV264="","",(INDEX(OFFSET(Arb!$U$2,,,Arb!$AJ$5,),BV264)+INDEX(OFFSET(Arb!$V$2,,,Arb!$AJ$5,),BV264))/BW264)</f>
        <v/>
      </c>
      <c r="CA264" s="51" t="str">
        <f t="shared" ca="1" si="94"/>
        <v/>
      </c>
      <c r="CB264" s="91" t="str">
        <f ca="1">IF(BV264="","",DATE(INDEX(OFFSET(Arb!$C$2,,,Arb!$AJ$5,),BV264),INDEX(OFFSET(Arb!$B$2,,,Arb!$AJ$5,),BV264),INDEX(OFFSET(Arb!$A$2,,,Arb!$AJ$5,),BV264))+ROW()*0.001)</f>
        <v/>
      </c>
    </row>
    <row r="265" spans="1:80" x14ac:dyDescent="0.25">
      <c r="A265" s="433">
        <v>123</v>
      </c>
      <c r="C265" s="52" t="str">
        <f ca="1">IF(B265="","",INDEX(OFFSET(Arb!$H$2,,,Arb!$AJ$5,),B265))</f>
        <v/>
      </c>
      <c r="D265" s="3" t="str">
        <f t="shared" ca="1" si="75"/>
        <v/>
      </c>
      <c r="E265" s="165" t="str">
        <f ca="1">IF(B265="","",INDEX(OFFSET(Arb!$X$2,,,Arb!$AJ$5,),B265)/C265)</f>
        <v/>
      </c>
      <c r="F265" s="165" t="str">
        <f ca="1">IF(B265="","",(INDEX(OFFSET(Arb!$U$2,,,Arb!$AJ$5,),B265)+INDEX(OFFSET(Arb!$V$2,,,Arb!$AJ$5,),B265))/C265)</f>
        <v/>
      </c>
      <c r="G265" s="51" t="str">
        <f t="shared" ca="1" si="85"/>
        <v/>
      </c>
      <c r="H265" s="355" t="str">
        <f ca="1">IF(B265="","",DATE(INDEX(OFFSET(Arb!$C$2,,,Arb!$AJ$5,),B265),INDEX(OFFSET(Arb!$B$2,,,Arb!$AJ$5,),B265),INDEX(OFFSET(Arb!$A$2,,,Arb!$AJ$5,),B265))+ROW()*0.001)</f>
        <v/>
      </c>
      <c r="I265" s="436">
        <v>123</v>
      </c>
      <c r="K265" s="52" t="str">
        <f ca="1">IF(J265="","",INDEX(OFFSET(Arb!$H$2,,,Arb!$AJ$5,),J265))</f>
        <v/>
      </c>
      <c r="L265" s="3" t="str">
        <f t="shared" ca="1" si="76"/>
        <v/>
      </c>
      <c r="M265" s="165" t="str">
        <f ca="1">IF(J265="","",INDEX(OFFSET(Arb!$X$2,,,Arb!$AJ$5,),J265)/K265)</f>
        <v/>
      </c>
      <c r="N265" s="165" t="str">
        <f ca="1">IF(J265="","",(INDEX(OFFSET(Arb!$U$2,,,Arb!$AJ$5,),J265)+INDEX(OFFSET(Arb!$V$2,,,Arb!$AJ$5,),J265))/K265)</f>
        <v/>
      </c>
      <c r="O265" s="51" t="str">
        <f t="shared" ca="1" si="86"/>
        <v/>
      </c>
      <c r="P265" s="91" t="str">
        <f ca="1">IF(J265="","",DATE(INDEX(OFFSET(Arb!$C$2,,,Arb!$AJ$5,),J265),INDEX(OFFSET(Arb!$B$2,,,Arb!$AJ$5,),J265),INDEX(OFFSET(Arb!$A$2,,,Arb!$AJ$5,),J265))+ROW()*0.001)</f>
        <v/>
      </c>
      <c r="Q265" s="442">
        <v>123</v>
      </c>
      <c r="S265" s="52" t="str">
        <f ca="1">IF(R265="","",INDEX(OFFSET(Arb!$H$2,,,Arb!$AJ$5,),R265))</f>
        <v/>
      </c>
      <c r="T265" s="3" t="str">
        <f t="shared" ca="1" si="77"/>
        <v/>
      </c>
      <c r="U265" s="165" t="str">
        <f ca="1">IF(R265="","",INDEX(OFFSET(Arb!$X$2,,,Arb!$AJ$5,),R265)/S265)</f>
        <v/>
      </c>
      <c r="V265" s="165" t="str">
        <f ca="1">IF(R265="","",(INDEX(OFFSET(Arb!$U$2,,,Arb!$AJ$5,),R265)+INDEX(OFFSET(Arb!$V$2,,,Arb!$AJ$5,),R265))/S265)</f>
        <v/>
      </c>
      <c r="W265" s="51" t="str">
        <f t="shared" ca="1" si="87"/>
        <v/>
      </c>
      <c r="X265" s="88" t="str">
        <f ca="1">IF(R265="","",DATE(INDEX(OFFSET(Arb!$C$2,,,Arb!$AJ$5,),R265),INDEX(OFFSET(Arb!$B$2,,,Arb!$AJ$5,),R265),INDEX(OFFSET(Arb!$A$2,,,Arb!$AJ$5,),R265))+ROW()*0.001)</f>
        <v/>
      </c>
      <c r="Y265" s="436">
        <v>123</v>
      </c>
      <c r="AA265" s="52" t="str">
        <f ca="1">IF(Z265="","",INDEX(OFFSET(Arb!$H$2,,,Arb!$AJ$5,),Z265))</f>
        <v/>
      </c>
      <c r="AB265" s="3" t="str">
        <f t="shared" ca="1" si="78"/>
        <v/>
      </c>
      <c r="AC265" s="165" t="str">
        <f ca="1">IF(Z265="","",INDEX(OFFSET(Arb!$X$2,,,Arb!$AJ$5,),Z265)/AA265)</f>
        <v/>
      </c>
      <c r="AD265" s="165" t="str">
        <f ca="1">IF(Z265="","",(INDEX(OFFSET(Arb!$U$2,,,Arb!$AJ$5,),Z265)+INDEX(OFFSET(Arb!$V$2,,,Arb!$AJ$5,),Z265))/AA265)</f>
        <v/>
      </c>
      <c r="AE265" s="51" t="str">
        <f t="shared" ca="1" si="88"/>
        <v/>
      </c>
      <c r="AF265" s="91" t="str">
        <f ca="1">IF(Z265="","",DATE(INDEX(OFFSET(Arb!$C$2,,,Arb!$AJ$5,),Z265),INDEX(OFFSET(Arb!$B$2,,,Arb!$AJ$5,),Z265),INDEX(OFFSET(Arb!$A$2,,,Arb!$AJ$5,),Z265))+ROW()*0.001)</f>
        <v/>
      </c>
      <c r="AG265" s="442">
        <v>123</v>
      </c>
      <c r="AI265" s="52" t="str">
        <f ca="1">IF(AH265="","",INDEX(OFFSET(Arb!$H$2,,,Arb!$AJ$5,),AH265))</f>
        <v/>
      </c>
      <c r="AJ265" s="3" t="str">
        <f t="shared" ca="1" si="79"/>
        <v/>
      </c>
      <c r="AK265" s="165" t="str">
        <f ca="1">IF(AH265="","",INDEX(OFFSET(Arb!$X$2,,,Arb!$AJ$5,),AH265)/AI265)</f>
        <v/>
      </c>
      <c r="AL265" s="165" t="str">
        <f ca="1">IF(AH265="","",(INDEX(OFFSET(Arb!$U$2,,,Arb!$AJ$5,),AH265)+INDEX(OFFSET(Arb!$V$2,,,Arb!$AJ$5,),AH265))/AI265)</f>
        <v/>
      </c>
      <c r="AM265" s="51" t="str">
        <f t="shared" ca="1" si="89"/>
        <v/>
      </c>
      <c r="AN265" s="88" t="str">
        <f ca="1">IF(AH265="","",DATE(INDEX(OFFSET(Arb!$C$2,,,Arb!$AJ$5,),AH265),INDEX(OFFSET(Arb!$B$2,,,Arb!$AJ$5,),AH265),INDEX(OFFSET(Arb!$A$2,,,Arb!$AJ$5,),AH265))+ROW()*0.001)</f>
        <v/>
      </c>
      <c r="AO265" s="436">
        <v>123</v>
      </c>
      <c r="AQ265" s="52" t="str">
        <f ca="1">IF(AP265="","",INDEX(OFFSET(Arb!$H$2,,,Arb!$AJ$5,),AP265))</f>
        <v/>
      </c>
      <c r="AR265" s="3" t="str">
        <f t="shared" ca="1" si="80"/>
        <v/>
      </c>
      <c r="AS265" s="165" t="str">
        <f ca="1">IF(AP265="","",INDEX(OFFSET(Arb!$X$2,,,Arb!$AJ$5,),AP265)/AQ265)</f>
        <v/>
      </c>
      <c r="AT265" s="165" t="str">
        <f ca="1">IF(AP265="","",(INDEX(OFFSET(Arb!$U$2,,,Arb!$AJ$5,),AP265)+INDEX(OFFSET(Arb!$V$2,,,Arb!$AJ$5,),AP265))/AQ265)</f>
        <v/>
      </c>
      <c r="AU265" s="51" t="str">
        <f t="shared" ca="1" si="90"/>
        <v/>
      </c>
      <c r="AV265" s="91" t="str">
        <f ca="1">IF(AP265="","",DATE(INDEX(OFFSET(Arb!$C$2,,,Arb!$AJ$5,),AP265),INDEX(OFFSET(Arb!$B$2,,,Arb!$AJ$5,),AP265),INDEX(OFFSET(Arb!$A$2,,,Arb!$AJ$5,),AP265))+ROW()*0.001)</f>
        <v/>
      </c>
      <c r="AW265" s="442">
        <v>123</v>
      </c>
      <c r="AY265" s="52" t="str">
        <f ca="1">IF(AX265="","",INDEX(OFFSET(Arb!$H$2,,,Arb!$AJ$5,),AX265))</f>
        <v/>
      </c>
      <c r="AZ265" s="3" t="str">
        <f t="shared" ca="1" si="81"/>
        <v/>
      </c>
      <c r="BA265" s="165" t="str">
        <f ca="1">IF(AX265="","",INDEX(OFFSET(Arb!$X$2,,,Arb!$AJ$5,),AX265)/AY265)</f>
        <v/>
      </c>
      <c r="BB265" s="165" t="str">
        <f ca="1">IF(AX265="","",(INDEX(OFFSET(Arb!$U$2,,,Arb!$AJ$5,),AX265)+INDEX(OFFSET(Arb!$V$2,,,Arb!$AJ$5,),AX265))/AY265)</f>
        <v/>
      </c>
      <c r="BC265" s="51" t="str">
        <f t="shared" ca="1" si="91"/>
        <v/>
      </c>
      <c r="BD265" s="88" t="str">
        <f ca="1">IF(AX265="","",DATE(INDEX(OFFSET(Arb!$C$2,,,Arb!$AJ$5,),AX265),INDEX(OFFSET(Arb!$B$2,,,Arb!$AJ$5,),AX265),INDEX(OFFSET(Arb!$A$2,,,Arb!$AJ$5,),AX265))+ROW()*0.001)</f>
        <v/>
      </c>
      <c r="BE265" s="436">
        <v>123</v>
      </c>
      <c r="BG265" s="52" t="str">
        <f ca="1">IF(BF265="","",INDEX(OFFSET(Arb!$H$2,,,Arb!$AJ$5,),BF265))</f>
        <v/>
      </c>
      <c r="BH265" s="3" t="str">
        <f t="shared" ca="1" si="82"/>
        <v/>
      </c>
      <c r="BI265" s="165" t="str">
        <f ca="1">IF(BF265="","",INDEX(OFFSET(Arb!$X$2,,,Arb!$AJ$5,),BF265)/BG265)</f>
        <v/>
      </c>
      <c r="BJ265" s="165" t="str">
        <f ca="1">IF(BF265="","",(INDEX(OFFSET(Arb!$U$2,,,Arb!$AJ$5,),BF265)+INDEX(OFFSET(Arb!$V$2,,,Arb!$AJ$5,),BF265))/BG265)</f>
        <v/>
      </c>
      <c r="BK265" s="51" t="str">
        <f t="shared" ca="1" si="92"/>
        <v/>
      </c>
      <c r="BL265" s="91" t="str">
        <f ca="1">IF(BF265="","",DATE(INDEX(OFFSET(Arb!$C$2,,,Arb!$AJ$5,),BF265),INDEX(OFFSET(Arb!$B$2,,,Arb!$AJ$5,),BF265),INDEX(OFFSET(Arb!$A$2,,,Arb!$AJ$5,),BF265))+ROW()*0.001)</f>
        <v/>
      </c>
      <c r="BM265" s="442">
        <v>123</v>
      </c>
      <c r="BO265" s="52" t="str">
        <f ca="1">IF(BN265="","",INDEX(OFFSET(Arb!$H$2,,,Arb!$AJ$5,),BN265))</f>
        <v/>
      </c>
      <c r="BP265" s="3" t="str">
        <f t="shared" ca="1" si="83"/>
        <v/>
      </c>
      <c r="BQ265" s="165" t="str">
        <f ca="1">IF(BN265="","",INDEX(OFFSET(Arb!$X$2,,,Arb!$AJ$5,),BN265)/BO265)</f>
        <v/>
      </c>
      <c r="BR265" s="165" t="str">
        <f ca="1">IF(BN265="","",(INDEX(OFFSET(Arb!$U$2,,,Arb!$AJ$5,),BN265)+INDEX(OFFSET(Arb!$V$2,,,Arb!$AJ$5,),BN265))/BO265)</f>
        <v/>
      </c>
      <c r="BS265" s="51" t="str">
        <f t="shared" ca="1" si="93"/>
        <v/>
      </c>
      <c r="BT265" s="88" t="str">
        <f ca="1">IF(BN265="","",DATE(INDEX(OFFSET(Arb!$C$2,,,Arb!$AJ$5,),BN265),INDEX(OFFSET(Arb!$B$2,,,Arb!$AJ$5,),BN265),INDEX(OFFSET(Arb!$A$2,,,Arb!$AJ$5,),BN265))+ROW()*0.001)</f>
        <v/>
      </c>
      <c r="BU265" s="436">
        <v>123</v>
      </c>
      <c r="BW265" s="52" t="str">
        <f ca="1">IF(BV265="","",INDEX(OFFSET(Arb!$H$2,,,Arb!$AJ$5,),BV265))</f>
        <v/>
      </c>
      <c r="BX265" s="3" t="str">
        <f t="shared" ca="1" si="84"/>
        <v/>
      </c>
      <c r="BY265" s="165" t="str">
        <f ca="1">IF(BV265="","",INDEX(OFFSET(Arb!$X$2,,,Arb!$AJ$5,),BV265)/BW265)</f>
        <v/>
      </c>
      <c r="BZ265" s="165" t="str">
        <f ca="1">IF(BV265="","",(INDEX(OFFSET(Arb!$U$2,,,Arb!$AJ$5,),BV265)+INDEX(OFFSET(Arb!$V$2,,,Arb!$AJ$5,),BV265))/BW265)</f>
        <v/>
      </c>
      <c r="CA265" s="51" t="str">
        <f t="shared" ca="1" si="94"/>
        <v/>
      </c>
      <c r="CB265" s="91" t="str">
        <f ca="1">IF(BV265="","",DATE(INDEX(OFFSET(Arb!$C$2,,,Arb!$AJ$5,),BV265),INDEX(OFFSET(Arb!$B$2,,,Arb!$AJ$5,),BV265),INDEX(OFFSET(Arb!$A$2,,,Arb!$AJ$5,),BV265))+ROW()*0.001)</f>
        <v/>
      </c>
    </row>
    <row r="266" spans="1:80" x14ac:dyDescent="0.25">
      <c r="A266" s="433">
        <v>124</v>
      </c>
      <c r="C266" s="52" t="str">
        <f ca="1">IF(B266="","",INDEX(OFFSET(Arb!$H$2,,,Arb!$AJ$5,),B266))</f>
        <v/>
      </c>
      <c r="D266" s="3" t="str">
        <f t="shared" ca="1" si="75"/>
        <v/>
      </c>
      <c r="E266" s="165" t="str">
        <f ca="1">IF(B266="","",INDEX(OFFSET(Arb!$X$2,,,Arb!$AJ$5,),B266)/C266)</f>
        <v/>
      </c>
      <c r="F266" s="165" t="str">
        <f ca="1">IF(B266="","",(INDEX(OFFSET(Arb!$U$2,,,Arb!$AJ$5,),B266)+INDEX(OFFSET(Arb!$V$2,,,Arb!$AJ$5,),B266))/C266)</f>
        <v/>
      </c>
      <c r="G266" s="51" t="str">
        <f t="shared" ca="1" si="85"/>
        <v/>
      </c>
      <c r="H266" s="355" t="str">
        <f ca="1">IF(B266="","",DATE(INDEX(OFFSET(Arb!$C$2,,,Arb!$AJ$5,),B266),INDEX(OFFSET(Arb!$B$2,,,Arb!$AJ$5,),B266),INDEX(OFFSET(Arb!$A$2,,,Arb!$AJ$5,),B266))+ROW()*0.001)</f>
        <v/>
      </c>
      <c r="I266" s="436">
        <v>124</v>
      </c>
      <c r="K266" s="52" t="str">
        <f ca="1">IF(J266="","",INDEX(OFFSET(Arb!$H$2,,,Arb!$AJ$5,),J266))</f>
        <v/>
      </c>
      <c r="L266" s="3" t="str">
        <f t="shared" ca="1" si="76"/>
        <v/>
      </c>
      <c r="M266" s="165" t="str">
        <f ca="1">IF(J266="","",INDEX(OFFSET(Arb!$X$2,,,Arb!$AJ$5,),J266)/K266)</f>
        <v/>
      </c>
      <c r="N266" s="165" t="str">
        <f ca="1">IF(J266="","",(INDEX(OFFSET(Arb!$U$2,,,Arb!$AJ$5,),J266)+INDEX(OFFSET(Arb!$V$2,,,Arb!$AJ$5,),J266))/K266)</f>
        <v/>
      </c>
      <c r="O266" s="51" t="str">
        <f t="shared" ca="1" si="86"/>
        <v/>
      </c>
      <c r="P266" s="91" t="str">
        <f ca="1">IF(J266="","",DATE(INDEX(OFFSET(Arb!$C$2,,,Arb!$AJ$5,),J266),INDEX(OFFSET(Arb!$B$2,,,Arb!$AJ$5,),J266),INDEX(OFFSET(Arb!$A$2,,,Arb!$AJ$5,),J266))+ROW()*0.001)</f>
        <v/>
      </c>
      <c r="Q266" s="442">
        <v>124</v>
      </c>
      <c r="S266" s="52" t="str">
        <f ca="1">IF(R266="","",INDEX(OFFSET(Arb!$H$2,,,Arb!$AJ$5,),R266))</f>
        <v/>
      </c>
      <c r="T266" s="3" t="str">
        <f t="shared" ca="1" si="77"/>
        <v/>
      </c>
      <c r="U266" s="165" t="str">
        <f ca="1">IF(R266="","",INDEX(OFFSET(Arb!$X$2,,,Arb!$AJ$5,),R266)/S266)</f>
        <v/>
      </c>
      <c r="V266" s="165" t="str">
        <f ca="1">IF(R266="","",(INDEX(OFFSET(Arb!$U$2,,,Arb!$AJ$5,),R266)+INDEX(OFFSET(Arb!$V$2,,,Arb!$AJ$5,),R266))/S266)</f>
        <v/>
      </c>
      <c r="W266" s="51" t="str">
        <f t="shared" ca="1" si="87"/>
        <v/>
      </c>
      <c r="X266" s="88" t="str">
        <f ca="1">IF(R266="","",DATE(INDEX(OFFSET(Arb!$C$2,,,Arb!$AJ$5,),R266),INDEX(OFFSET(Arb!$B$2,,,Arb!$AJ$5,),R266),INDEX(OFFSET(Arb!$A$2,,,Arb!$AJ$5,),R266))+ROW()*0.001)</f>
        <v/>
      </c>
      <c r="Y266" s="436">
        <v>124</v>
      </c>
      <c r="AA266" s="52" t="str">
        <f ca="1">IF(Z266="","",INDEX(OFFSET(Arb!$H$2,,,Arb!$AJ$5,),Z266))</f>
        <v/>
      </c>
      <c r="AB266" s="3" t="str">
        <f t="shared" ca="1" si="78"/>
        <v/>
      </c>
      <c r="AC266" s="165" t="str">
        <f ca="1">IF(Z266="","",INDEX(OFFSET(Arb!$X$2,,,Arb!$AJ$5,),Z266)/AA266)</f>
        <v/>
      </c>
      <c r="AD266" s="165" t="str">
        <f ca="1">IF(Z266="","",(INDEX(OFFSET(Arb!$U$2,,,Arb!$AJ$5,),Z266)+INDEX(OFFSET(Arb!$V$2,,,Arb!$AJ$5,),Z266))/AA266)</f>
        <v/>
      </c>
      <c r="AE266" s="51" t="str">
        <f t="shared" ca="1" si="88"/>
        <v/>
      </c>
      <c r="AF266" s="91" t="str">
        <f ca="1">IF(Z266="","",DATE(INDEX(OFFSET(Arb!$C$2,,,Arb!$AJ$5,),Z266),INDEX(OFFSET(Arb!$B$2,,,Arb!$AJ$5,),Z266),INDEX(OFFSET(Arb!$A$2,,,Arb!$AJ$5,),Z266))+ROW()*0.001)</f>
        <v/>
      </c>
      <c r="AG266" s="442">
        <v>124</v>
      </c>
      <c r="AI266" s="52" t="str">
        <f ca="1">IF(AH266="","",INDEX(OFFSET(Arb!$H$2,,,Arb!$AJ$5,),AH266))</f>
        <v/>
      </c>
      <c r="AJ266" s="3" t="str">
        <f t="shared" ca="1" si="79"/>
        <v/>
      </c>
      <c r="AK266" s="165" t="str">
        <f ca="1">IF(AH266="","",INDEX(OFFSET(Arb!$X$2,,,Arb!$AJ$5,),AH266)/AI266)</f>
        <v/>
      </c>
      <c r="AL266" s="165" t="str">
        <f ca="1">IF(AH266="","",(INDEX(OFFSET(Arb!$U$2,,,Arb!$AJ$5,),AH266)+INDEX(OFFSET(Arb!$V$2,,,Arb!$AJ$5,),AH266))/AI266)</f>
        <v/>
      </c>
      <c r="AM266" s="51" t="str">
        <f t="shared" ca="1" si="89"/>
        <v/>
      </c>
      <c r="AN266" s="88" t="str">
        <f ca="1">IF(AH266="","",DATE(INDEX(OFFSET(Arb!$C$2,,,Arb!$AJ$5,),AH266),INDEX(OFFSET(Arb!$B$2,,,Arb!$AJ$5,),AH266),INDEX(OFFSET(Arb!$A$2,,,Arb!$AJ$5,),AH266))+ROW()*0.001)</f>
        <v/>
      </c>
      <c r="AO266" s="436">
        <v>124</v>
      </c>
      <c r="AQ266" s="52" t="str">
        <f ca="1">IF(AP266="","",INDEX(OFFSET(Arb!$H$2,,,Arb!$AJ$5,),AP266))</f>
        <v/>
      </c>
      <c r="AR266" s="3" t="str">
        <f t="shared" ca="1" si="80"/>
        <v/>
      </c>
      <c r="AS266" s="165" t="str">
        <f ca="1">IF(AP266="","",INDEX(OFFSET(Arb!$X$2,,,Arb!$AJ$5,),AP266)/AQ266)</f>
        <v/>
      </c>
      <c r="AT266" s="165" t="str">
        <f ca="1">IF(AP266="","",(INDEX(OFFSET(Arb!$U$2,,,Arb!$AJ$5,),AP266)+INDEX(OFFSET(Arb!$V$2,,,Arb!$AJ$5,),AP266))/AQ266)</f>
        <v/>
      </c>
      <c r="AU266" s="51" t="str">
        <f t="shared" ca="1" si="90"/>
        <v/>
      </c>
      <c r="AV266" s="91" t="str">
        <f ca="1">IF(AP266="","",DATE(INDEX(OFFSET(Arb!$C$2,,,Arb!$AJ$5,),AP266),INDEX(OFFSET(Arb!$B$2,,,Arb!$AJ$5,),AP266),INDEX(OFFSET(Arb!$A$2,,,Arb!$AJ$5,),AP266))+ROW()*0.001)</f>
        <v/>
      </c>
      <c r="AW266" s="442">
        <v>124</v>
      </c>
      <c r="AY266" s="52" t="str">
        <f ca="1">IF(AX266="","",INDEX(OFFSET(Arb!$H$2,,,Arb!$AJ$5,),AX266))</f>
        <v/>
      </c>
      <c r="AZ266" s="3" t="str">
        <f t="shared" ca="1" si="81"/>
        <v/>
      </c>
      <c r="BA266" s="165" t="str">
        <f ca="1">IF(AX266="","",INDEX(OFFSET(Arb!$X$2,,,Arb!$AJ$5,),AX266)/AY266)</f>
        <v/>
      </c>
      <c r="BB266" s="165" t="str">
        <f ca="1">IF(AX266="","",(INDEX(OFFSET(Arb!$U$2,,,Arb!$AJ$5,),AX266)+INDEX(OFFSET(Arb!$V$2,,,Arb!$AJ$5,),AX266))/AY266)</f>
        <v/>
      </c>
      <c r="BC266" s="51" t="str">
        <f t="shared" ca="1" si="91"/>
        <v/>
      </c>
      <c r="BD266" s="88" t="str">
        <f ca="1">IF(AX266="","",DATE(INDEX(OFFSET(Arb!$C$2,,,Arb!$AJ$5,),AX266),INDEX(OFFSET(Arb!$B$2,,,Arb!$AJ$5,),AX266),INDEX(OFFSET(Arb!$A$2,,,Arb!$AJ$5,),AX266))+ROW()*0.001)</f>
        <v/>
      </c>
      <c r="BE266" s="436">
        <v>124</v>
      </c>
      <c r="BG266" s="52" t="str">
        <f ca="1">IF(BF266="","",INDEX(OFFSET(Arb!$H$2,,,Arb!$AJ$5,),BF266))</f>
        <v/>
      </c>
      <c r="BH266" s="3" t="str">
        <f t="shared" ca="1" si="82"/>
        <v/>
      </c>
      <c r="BI266" s="165" t="str">
        <f ca="1">IF(BF266="","",INDEX(OFFSET(Arb!$X$2,,,Arb!$AJ$5,),BF266)/BG266)</f>
        <v/>
      </c>
      <c r="BJ266" s="165" t="str">
        <f ca="1">IF(BF266="","",(INDEX(OFFSET(Arb!$U$2,,,Arb!$AJ$5,),BF266)+INDEX(OFFSET(Arb!$V$2,,,Arb!$AJ$5,),BF266))/BG266)</f>
        <v/>
      </c>
      <c r="BK266" s="51" t="str">
        <f t="shared" ca="1" si="92"/>
        <v/>
      </c>
      <c r="BL266" s="91" t="str">
        <f ca="1">IF(BF266="","",DATE(INDEX(OFFSET(Arb!$C$2,,,Arb!$AJ$5,),BF266),INDEX(OFFSET(Arb!$B$2,,,Arb!$AJ$5,),BF266),INDEX(OFFSET(Arb!$A$2,,,Arb!$AJ$5,),BF266))+ROW()*0.001)</f>
        <v/>
      </c>
      <c r="BM266" s="442">
        <v>124</v>
      </c>
      <c r="BO266" s="52" t="str">
        <f ca="1">IF(BN266="","",INDEX(OFFSET(Arb!$H$2,,,Arb!$AJ$5,),BN266))</f>
        <v/>
      </c>
      <c r="BP266" s="3" t="str">
        <f t="shared" ca="1" si="83"/>
        <v/>
      </c>
      <c r="BQ266" s="165" t="str">
        <f ca="1">IF(BN266="","",INDEX(OFFSET(Arb!$X$2,,,Arb!$AJ$5,),BN266)/BO266)</f>
        <v/>
      </c>
      <c r="BR266" s="165" t="str">
        <f ca="1">IF(BN266="","",(INDEX(OFFSET(Arb!$U$2,,,Arb!$AJ$5,),BN266)+INDEX(OFFSET(Arb!$V$2,,,Arb!$AJ$5,),BN266))/BO266)</f>
        <v/>
      </c>
      <c r="BS266" s="51" t="str">
        <f t="shared" ca="1" si="93"/>
        <v/>
      </c>
      <c r="BT266" s="88" t="str">
        <f ca="1">IF(BN266="","",DATE(INDEX(OFFSET(Arb!$C$2,,,Arb!$AJ$5,),BN266),INDEX(OFFSET(Arb!$B$2,,,Arb!$AJ$5,),BN266),INDEX(OFFSET(Arb!$A$2,,,Arb!$AJ$5,),BN266))+ROW()*0.001)</f>
        <v/>
      </c>
      <c r="BU266" s="436">
        <v>124</v>
      </c>
      <c r="BW266" s="52" t="str">
        <f ca="1">IF(BV266="","",INDEX(OFFSET(Arb!$H$2,,,Arb!$AJ$5,),BV266))</f>
        <v/>
      </c>
      <c r="BX266" s="3" t="str">
        <f t="shared" ca="1" si="84"/>
        <v/>
      </c>
      <c r="BY266" s="165" t="str">
        <f ca="1">IF(BV266="","",INDEX(OFFSET(Arb!$X$2,,,Arb!$AJ$5,),BV266)/BW266)</f>
        <v/>
      </c>
      <c r="BZ266" s="165" t="str">
        <f ca="1">IF(BV266="","",(INDEX(OFFSET(Arb!$U$2,,,Arb!$AJ$5,),BV266)+INDEX(OFFSET(Arb!$V$2,,,Arb!$AJ$5,),BV266))/BW266)</f>
        <v/>
      </c>
      <c r="CA266" s="51" t="str">
        <f t="shared" ca="1" si="94"/>
        <v/>
      </c>
      <c r="CB266" s="91" t="str">
        <f ca="1">IF(BV266="","",DATE(INDEX(OFFSET(Arb!$C$2,,,Arb!$AJ$5,),BV266),INDEX(OFFSET(Arb!$B$2,,,Arb!$AJ$5,),BV266),INDEX(OFFSET(Arb!$A$2,,,Arb!$AJ$5,),BV266))+ROW()*0.001)</f>
        <v/>
      </c>
    </row>
    <row r="267" spans="1:80" x14ac:dyDescent="0.25">
      <c r="A267" s="433">
        <v>125</v>
      </c>
      <c r="B267" s="1">
        <v>3449</v>
      </c>
      <c r="C267" s="52">
        <f ca="1">IF(B267="","",INDEX(OFFSET(Arb!$H$2,,,Arb!$AJ$5,),B267))</f>
        <v>57.36</v>
      </c>
      <c r="D267" s="3">
        <f t="shared" ca="1" si="75"/>
        <v>2.179218967921897</v>
      </c>
      <c r="E267" s="165">
        <f ca="1">IF(B267="","",INDEX(OFFSET(Arb!$X$2,,,Arb!$AJ$5,),B267)/C267)</f>
        <v>2.4232914923291493</v>
      </c>
      <c r="F267" s="165">
        <f ca="1">IF(B267="","",(INDEX(OFFSET(Arb!$U$2,,,Arb!$AJ$5,),B267)+INDEX(OFFSET(Arb!$V$2,,,Arb!$AJ$5,),B267))/C267)</f>
        <v>2.6847977684797768</v>
      </c>
      <c r="G267" s="51">
        <f t="shared" ca="1" si="85"/>
        <v>55.688398152649079</v>
      </c>
      <c r="H267" s="355">
        <f ca="1">IF(B267="","",DATE(INDEX(OFFSET(Arb!$C$2,,,Arb!$AJ$5,),B267),INDEX(OFFSET(Arb!$B$2,,,Arb!$AJ$5,),B267),INDEX(OFFSET(Arb!$A$2,,,Arb!$AJ$5,),B267))+ROW()*0.001)</f>
        <v>44177.267</v>
      </c>
      <c r="I267" s="436">
        <v>125</v>
      </c>
      <c r="J267" s="1">
        <v>2824</v>
      </c>
      <c r="K267" s="52">
        <f ca="1">IF(J267="","",INDEX(OFFSET(Arb!$H$2,,,Arb!$AJ$5,),J267))</f>
        <v>62.53</v>
      </c>
      <c r="L267" s="3">
        <f t="shared" ca="1" si="76"/>
        <v>1.999040460578922</v>
      </c>
      <c r="M267" s="165">
        <f ca="1">IF(J267="","",INDEX(OFFSET(Arb!$X$2,,,Arb!$AJ$5,),J267)/K267)</f>
        <v>2.5427794658563889</v>
      </c>
      <c r="N267" s="165">
        <f ca="1">IF(J267="","",(INDEX(OFFSET(Arb!$U$2,,,Arb!$AJ$5,),J267)+INDEX(OFFSET(Arb!$V$2,,,Arb!$AJ$5,),J267))/K267)</f>
        <v>2.8146489684951224</v>
      </c>
      <c r="O267" s="51">
        <f t="shared" ca="1" si="86"/>
        <v>48.089464341202515</v>
      </c>
      <c r="P267" s="91">
        <f ca="1">IF(J267="","",DATE(INDEX(OFFSET(Arb!$C$2,,,Arb!$AJ$5,),J267),INDEX(OFFSET(Arb!$B$2,,,Arb!$AJ$5,),J267),INDEX(OFFSET(Arb!$A$2,,,Arb!$AJ$5,),J267))+ROW()*0.001)</f>
        <v>43900.267</v>
      </c>
      <c r="Q267" s="442">
        <v>125</v>
      </c>
      <c r="S267" s="52" t="str">
        <f ca="1">IF(R267="","",INDEX(OFFSET(Arb!$H$2,,,Arb!$AJ$5,),R267))</f>
        <v/>
      </c>
      <c r="T267" s="3" t="str">
        <f t="shared" ca="1" si="77"/>
        <v/>
      </c>
      <c r="U267" s="165" t="str">
        <f ca="1">IF(R267="","",INDEX(OFFSET(Arb!$X$2,,,Arb!$AJ$5,),R267)/S267)</f>
        <v/>
      </c>
      <c r="V267" s="165" t="str">
        <f ca="1">IF(R267="","",(INDEX(OFFSET(Arb!$U$2,,,Arb!$AJ$5,),R267)+INDEX(OFFSET(Arb!$V$2,,,Arb!$AJ$5,),R267))/S267)</f>
        <v/>
      </c>
      <c r="W267" s="51" t="str">
        <f t="shared" ca="1" si="87"/>
        <v/>
      </c>
      <c r="X267" s="88" t="str">
        <f ca="1">IF(R267="","",DATE(INDEX(OFFSET(Arb!$C$2,,,Arb!$AJ$5,),R267),INDEX(OFFSET(Arb!$B$2,,,Arb!$AJ$5,),R267),INDEX(OFFSET(Arb!$A$2,,,Arb!$AJ$5,),R267))+ROW()*0.001)</f>
        <v/>
      </c>
      <c r="Y267" s="436">
        <v>125</v>
      </c>
      <c r="AA267" s="52" t="str">
        <f ca="1">IF(Z267="","",INDEX(OFFSET(Arb!$H$2,,,Arb!$AJ$5,),Z267))</f>
        <v/>
      </c>
      <c r="AB267" s="3" t="str">
        <f t="shared" ca="1" si="78"/>
        <v/>
      </c>
      <c r="AC267" s="165" t="str">
        <f ca="1">IF(Z267="","",INDEX(OFFSET(Arb!$X$2,,,Arb!$AJ$5,),Z267)/AA267)</f>
        <v/>
      </c>
      <c r="AD267" s="165" t="str">
        <f ca="1">IF(Z267="","",(INDEX(OFFSET(Arb!$U$2,,,Arb!$AJ$5,),Z267)+INDEX(OFFSET(Arb!$V$2,,,Arb!$AJ$5,),Z267))/AA267)</f>
        <v/>
      </c>
      <c r="AE267" s="51" t="str">
        <f t="shared" ca="1" si="88"/>
        <v/>
      </c>
      <c r="AF267" s="91" t="str">
        <f ca="1">IF(Z267="","",DATE(INDEX(OFFSET(Arb!$C$2,,,Arb!$AJ$5,),Z267),INDEX(OFFSET(Arb!$B$2,,,Arb!$AJ$5,),Z267),INDEX(OFFSET(Arb!$A$2,,,Arb!$AJ$5,),Z267))+ROW()*0.001)</f>
        <v/>
      </c>
      <c r="AG267" s="442">
        <v>125</v>
      </c>
      <c r="AI267" s="52" t="str">
        <f ca="1">IF(AH267="","",INDEX(OFFSET(Arb!$H$2,,,Arb!$AJ$5,),AH267))</f>
        <v/>
      </c>
      <c r="AJ267" s="3" t="str">
        <f t="shared" ca="1" si="79"/>
        <v/>
      </c>
      <c r="AK267" s="165" t="str">
        <f ca="1">IF(AH267="","",INDEX(OFFSET(Arb!$X$2,,,Arb!$AJ$5,),AH267)/AI267)</f>
        <v/>
      </c>
      <c r="AL267" s="165" t="str">
        <f ca="1">IF(AH267="","",(INDEX(OFFSET(Arb!$U$2,,,Arb!$AJ$5,),AH267)+INDEX(OFFSET(Arb!$V$2,,,Arb!$AJ$5,),AH267))/AI267)</f>
        <v/>
      </c>
      <c r="AM267" s="51" t="str">
        <f t="shared" ca="1" si="89"/>
        <v/>
      </c>
      <c r="AN267" s="88" t="str">
        <f ca="1">IF(AH267="","",DATE(INDEX(OFFSET(Arb!$C$2,,,Arb!$AJ$5,),AH267),INDEX(OFFSET(Arb!$B$2,,,Arb!$AJ$5,),AH267),INDEX(OFFSET(Arb!$A$2,,,Arb!$AJ$5,),AH267))+ROW()*0.001)</f>
        <v/>
      </c>
      <c r="AO267" s="436">
        <v>125</v>
      </c>
      <c r="AQ267" s="52" t="str">
        <f ca="1">IF(AP267="","",INDEX(OFFSET(Arb!$H$2,,,Arb!$AJ$5,),AP267))</f>
        <v/>
      </c>
      <c r="AR267" s="3" t="str">
        <f t="shared" ca="1" si="80"/>
        <v/>
      </c>
      <c r="AS267" s="165" t="str">
        <f ca="1">IF(AP267="","",INDEX(OFFSET(Arb!$X$2,,,Arb!$AJ$5,),AP267)/AQ267)</f>
        <v/>
      </c>
      <c r="AT267" s="165" t="str">
        <f ca="1">IF(AP267="","",(INDEX(OFFSET(Arb!$U$2,,,Arb!$AJ$5,),AP267)+INDEX(OFFSET(Arb!$V$2,,,Arb!$AJ$5,),AP267))/AQ267)</f>
        <v/>
      </c>
      <c r="AU267" s="51" t="str">
        <f t="shared" ca="1" si="90"/>
        <v/>
      </c>
      <c r="AV267" s="91" t="str">
        <f ca="1">IF(AP267="","",DATE(INDEX(OFFSET(Arb!$C$2,,,Arb!$AJ$5,),AP267),INDEX(OFFSET(Arb!$B$2,,,Arb!$AJ$5,),AP267),INDEX(OFFSET(Arb!$A$2,,,Arb!$AJ$5,),AP267))+ROW()*0.001)</f>
        <v/>
      </c>
      <c r="AW267" s="442">
        <v>125</v>
      </c>
      <c r="AY267" s="52" t="str">
        <f ca="1">IF(AX267="","",INDEX(OFFSET(Arb!$H$2,,,Arb!$AJ$5,),AX267))</f>
        <v/>
      </c>
      <c r="AZ267" s="3" t="str">
        <f t="shared" ca="1" si="81"/>
        <v/>
      </c>
      <c r="BA267" s="165" t="str">
        <f ca="1">IF(AX267="","",INDEX(OFFSET(Arb!$X$2,,,Arb!$AJ$5,),AX267)/AY267)</f>
        <v/>
      </c>
      <c r="BB267" s="165" t="str">
        <f ca="1">IF(AX267="","",(INDEX(OFFSET(Arb!$U$2,,,Arb!$AJ$5,),AX267)+INDEX(OFFSET(Arb!$V$2,,,Arb!$AJ$5,),AX267))/AY267)</f>
        <v/>
      </c>
      <c r="BC267" s="51" t="str">
        <f t="shared" ca="1" si="91"/>
        <v/>
      </c>
      <c r="BD267" s="88" t="str">
        <f ca="1">IF(AX267="","",DATE(INDEX(OFFSET(Arb!$C$2,,,Arb!$AJ$5,),AX267),INDEX(OFFSET(Arb!$B$2,,,Arb!$AJ$5,),AX267),INDEX(OFFSET(Arb!$A$2,,,Arb!$AJ$5,),AX267))+ROW()*0.001)</f>
        <v/>
      </c>
      <c r="BE267" s="436">
        <v>125</v>
      </c>
      <c r="BG267" s="52" t="str">
        <f ca="1">IF(BF267="","",INDEX(OFFSET(Arb!$H$2,,,Arb!$AJ$5,),BF267))</f>
        <v/>
      </c>
      <c r="BH267" s="3" t="str">
        <f t="shared" ca="1" si="82"/>
        <v/>
      </c>
      <c r="BI267" s="165" t="str">
        <f ca="1">IF(BF267="","",INDEX(OFFSET(Arb!$X$2,,,Arb!$AJ$5,),BF267)/BG267)</f>
        <v/>
      </c>
      <c r="BJ267" s="165" t="str">
        <f ca="1">IF(BF267="","",(INDEX(OFFSET(Arb!$U$2,,,Arb!$AJ$5,),BF267)+INDEX(OFFSET(Arb!$V$2,,,Arb!$AJ$5,),BF267))/BG267)</f>
        <v/>
      </c>
      <c r="BK267" s="51" t="str">
        <f t="shared" ca="1" si="92"/>
        <v/>
      </c>
      <c r="BL267" s="91" t="str">
        <f ca="1">IF(BF267="","",DATE(INDEX(OFFSET(Arb!$C$2,,,Arb!$AJ$5,),BF267),INDEX(OFFSET(Arb!$B$2,,,Arb!$AJ$5,),BF267),INDEX(OFFSET(Arb!$A$2,,,Arb!$AJ$5,),BF267))+ROW()*0.001)</f>
        <v/>
      </c>
      <c r="BM267" s="442">
        <v>125</v>
      </c>
      <c r="BO267" s="52" t="str">
        <f ca="1">IF(BN267="","",INDEX(OFFSET(Arb!$H$2,,,Arb!$AJ$5,),BN267))</f>
        <v/>
      </c>
      <c r="BP267" s="3" t="str">
        <f t="shared" ca="1" si="83"/>
        <v/>
      </c>
      <c r="BQ267" s="165" t="str">
        <f ca="1">IF(BN267="","",INDEX(OFFSET(Arb!$X$2,,,Arb!$AJ$5,),BN267)/BO267)</f>
        <v/>
      </c>
      <c r="BR267" s="165" t="str">
        <f ca="1">IF(BN267="","",(INDEX(OFFSET(Arb!$U$2,,,Arb!$AJ$5,),BN267)+INDEX(OFFSET(Arb!$V$2,,,Arb!$AJ$5,),BN267))/BO267)</f>
        <v/>
      </c>
      <c r="BS267" s="51" t="str">
        <f t="shared" ca="1" si="93"/>
        <v/>
      </c>
      <c r="BT267" s="88" t="str">
        <f ca="1">IF(BN267="","",DATE(INDEX(OFFSET(Arb!$C$2,,,Arb!$AJ$5,),BN267),INDEX(OFFSET(Arb!$B$2,,,Arb!$AJ$5,),BN267),INDEX(OFFSET(Arb!$A$2,,,Arb!$AJ$5,),BN267))+ROW()*0.001)</f>
        <v/>
      </c>
      <c r="BU267" s="436">
        <v>125</v>
      </c>
      <c r="BW267" s="52" t="str">
        <f ca="1">IF(BV267="","",INDEX(OFFSET(Arb!$H$2,,,Arb!$AJ$5,),BV267))</f>
        <v/>
      </c>
      <c r="BX267" s="3" t="str">
        <f t="shared" ca="1" si="84"/>
        <v/>
      </c>
      <c r="BY267" s="165" t="str">
        <f ca="1">IF(BV267="","",INDEX(OFFSET(Arb!$X$2,,,Arb!$AJ$5,),BV267)/BW267)</f>
        <v/>
      </c>
      <c r="BZ267" s="165" t="str">
        <f ca="1">IF(BV267="","",(INDEX(OFFSET(Arb!$U$2,,,Arb!$AJ$5,),BV267)+INDEX(OFFSET(Arb!$V$2,,,Arb!$AJ$5,),BV267))/BW267)</f>
        <v/>
      </c>
      <c r="CA267" s="51" t="str">
        <f t="shared" ca="1" si="94"/>
        <v/>
      </c>
      <c r="CB267" s="91" t="str">
        <f ca="1">IF(BV267="","",DATE(INDEX(OFFSET(Arb!$C$2,,,Arb!$AJ$5,),BV267),INDEX(OFFSET(Arb!$B$2,,,Arb!$AJ$5,),BV267),INDEX(OFFSET(Arb!$A$2,,,Arb!$AJ$5,),BV267))+ROW()*0.001)</f>
        <v/>
      </c>
    </row>
    <row r="268" spans="1:80" x14ac:dyDescent="0.25">
      <c r="A268" s="433">
        <v>126</v>
      </c>
      <c r="B268" s="1">
        <v>3067</v>
      </c>
      <c r="C268" s="52">
        <f ca="1">IF(B268="","",INDEX(OFFSET(Arb!$H$2,,,Arb!$AJ$5,),B268))</f>
        <v>67.11</v>
      </c>
      <c r="D268" s="3">
        <f t="shared" ca="1" si="75"/>
        <v>1.8775145283862316</v>
      </c>
      <c r="E268" s="165">
        <f ca="1">IF(B268="","",INDEX(OFFSET(Arb!$X$2,,,Arb!$AJ$5,),B268)/C268)</f>
        <v>2.3245417970496201</v>
      </c>
      <c r="F268" s="165">
        <f ca="1">IF(B268="","",(INDEX(OFFSET(Arb!$U$2,,,Arb!$AJ$5,),B268)+INDEX(OFFSET(Arb!$V$2,,,Arb!$AJ$5,),B268))/C268)</f>
        <v>2.5629563403367608</v>
      </c>
      <c r="G268" s="51">
        <f t="shared" ca="1" si="85"/>
        <v>42.985550648789086</v>
      </c>
      <c r="H268" s="355">
        <f ca="1">IF(B268="","",DATE(INDEX(OFFSET(Arb!$C$2,,,Arb!$AJ$5,),B268),INDEX(OFFSET(Arb!$B$2,,,Arb!$AJ$5,),B268),INDEX(OFFSET(Arb!$A$2,,,Arb!$AJ$5,),B268))+ROW()*0.001)</f>
        <v>44003.267999999996</v>
      </c>
      <c r="I268" s="436">
        <v>126</v>
      </c>
      <c r="J268" s="1">
        <v>2633</v>
      </c>
      <c r="K268" s="52">
        <f ca="1">IF(J268="","",INDEX(OFFSET(Arb!$H$2,,,Arb!$AJ$5,),J268))</f>
        <v>82.76</v>
      </c>
      <c r="L268" s="3">
        <f t="shared" ca="1" si="76"/>
        <v>1.5224746254229096</v>
      </c>
      <c r="M268" s="165">
        <f ca="1">IF(J268="","",INDEX(OFFSET(Arb!$X$2,,,Arb!$AJ$5,),J268)/K268)</f>
        <v>2.1145480908651519</v>
      </c>
      <c r="N268" s="165">
        <f ca="1">IF(J268="","",(INDEX(OFFSET(Arb!$U$2,,,Arb!$AJ$5,),J268)+INDEX(OFFSET(Arb!$V$2,,,Arb!$AJ$5,),J268))/K268)</f>
        <v>2.3682938617689704</v>
      </c>
      <c r="O268" s="51">
        <f t="shared" ca="1" si="86"/>
        <v>30.099964338798774</v>
      </c>
      <c r="P268" s="91">
        <f ca="1">IF(J268="","",DATE(INDEX(OFFSET(Arb!$C$2,,,Arb!$AJ$5,),J268),INDEX(OFFSET(Arb!$B$2,,,Arb!$AJ$5,),J268),INDEX(OFFSET(Arb!$A$2,,,Arb!$AJ$5,),J268))+ROW()*0.001)</f>
        <v>43815.267999999996</v>
      </c>
      <c r="Q268" s="442">
        <v>126</v>
      </c>
      <c r="S268" s="52" t="str">
        <f ca="1">IF(R268="","",INDEX(OFFSET(Arb!$H$2,,,Arb!$AJ$5,),R268))</f>
        <v/>
      </c>
      <c r="T268" s="3" t="str">
        <f t="shared" ca="1" si="77"/>
        <v/>
      </c>
      <c r="U268" s="165" t="str">
        <f ca="1">IF(R268="","",INDEX(OFFSET(Arb!$X$2,,,Arb!$AJ$5,),R268)/S268)</f>
        <v/>
      </c>
      <c r="V268" s="165" t="str">
        <f ca="1">IF(R268="","",(INDEX(OFFSET(Arb!$U$2,,,Arb!$AJ$5,),R268)+INDEX(OFFSET(Arb!$V$2,,,Arb!$AJ$5,),R268))/S268)</f>
        <v/>
      </c>
      <c r="W268" s="51" t="str">
        <f t="shared" ca="1" si="87"/>
        <v/>
      </c>
      <c r="X268" s="88" t="str">
        <f ca="1">IF(R268="","",DATE(INDEX(OFFSET(Arb!$C$2,,,Arb!$AJ$5,),R268),INDEX(OFFSET(Arb!$B$2,,,Arb!$AJ$5,),R268),INDEX(OFFSET(Arb!$A$2,,,Arb!$AJ$5,),R268))+ROW()*0.001)</f>
        <v/>
      </c>
      <c r="Y268" s="436">
        <v>126</v>
      </c>
      <c r="AA268" s="52" t="str">
        <f ca="1">IF(Z268="","",INDEX(OFFSET(Arb!$H$2,,,Arb!$AJ$5,),Z268))</f>
        <v/>
      </c>
      <c r="AB268" s="3" t="str">
        <f t="shared" ca="1" si="78"/>
        <v/>
      </c>
      <c r="AC268" s="165" t="str">
        <f ca="1">IF(Z268="","",INDEX(OFFSET(Arb!$X$2,,,Arb!$AJ$5,),Z268)/AA268)</f>
        <v/>
      </c>
      <c r="AD268" s="165" t="str">
        <f ca="1">IF(Z268="","",(INDEX(OFFSET(Arb!$U$2,,,Arb!$AJ$5,),Z268)+INDEX(OFFSET(Arb!$V$2,,,Arb!$AJ$5,),Z268))/AA268)</f>
        <v/>
      </c>
      <c r="AE268" s="51" t="str">
        <f t="shared" ca="1" si="88"/>
        <v/>
      </c>
      <c r="AF268" s="91" t="str">
        <f ca="1">IF(Z268="","",DATE(INDEX(OFFSET(Arb!$C$2,,,Arb!$AJ$5,),Z268),INDEX(OFFSET(Arb!$B$2,,,Arb!$AJ$5,),Z268),INDEX(OFFSET(Arb!$A$2,,,Arb!$AJ$5,),Z268))+ROW()*0.001)</f>
        <v/>
      </c>
      <c r="AG268" s="442">
        <v>126</v>
      </c>
      <c r="AI268" s="52" t="str">
        <f ca="1">IF(AH268="","",INDEX(OFFSET(Arb!$H$2,,,Arb!$AJ$5,),AH268))</f>
        <v/>
      </c>
      <c r="AJ268" s="3" t="str">
        <f t="shared" ca="1" si="79"/>
        <v/>
      </c>
      <c r="AK268" s="165" t="str">
        <f ca="1">IF(AH268="","",INDEX(OFFSET(Arb!$X$2,,,Arb!$AJ$5,),AH268)/AI268)</f>
        <v/>
      </c>
      <c r="AL268" s="165" t="str">
        <f ca="1">IF(AH268="","",(INDEX(OFFSET(Arb!$U$2,,,Arb!$AJ$5,),AH268)+INDEX(OFFSET(Arb!$V$2,,,Arb!$AJ$5,),AH268))/AI268)</f>
        <v/>
      </c>
      <c r="AM268" s="51" t="str">
        <f t="shared" ca="1" si="89"/>
        <v/>
      </c>
      <c r="AN268" s="88" t="str">
        <f ca="1">IF(AH268="","",DATE(INDEX(OFFSET(Arb!$C$2,,,Arb!$AJ$5,),AH268),INDEX(OFFSET(Arb!$B$2,,,Arb!$AJ$5,),AH268),INDEX(OFFSET(Arb!$A$2,,,Arb!$AJ$5,),AH268))+ROW()*0.001)</f>
        <v/>
      </c>
      <c r="AO268" s="436">
        <v>126</v>
      </c>
      <c r="AQ268" s="52" t="str">
        <f ca="1">IF(AP268="","",INDEX(OFFSET(Arb!$H$2,,,Arb!$AJ$5,),AP268))</f>
        <v/>
      </c>
      <c r="AR268" s="3" t="str">
        <f t="shared" ca="1" si="80"/>
        <v/>
      </c>
      <c r="AS268" s="165" t="str">
        <f ca="1">IF(AP268="","",INDEX(OFFSET(Arb!$X$2,,,Arb!$AJ$5,),AP268)/AQ268)</f>
        <v/>
      </c>
      <c r="AT268" s="165" t="str">
        <f ca="1">IF(AP268="","",(INDEX(OFFSET(Arb!$U$2,,,Arb!$AJ$5,),AP268)+INDEX(OFFSET(Arb!$V$2,,,Arb!$AJ$5,),AP268))/AQ268)</f>
        <v/>
      </c>
      <c r="AU268" s="51" t="str">
        <f t="shared" ca="1" si="90"/>
        <v/>
      </c>
      <c r="AV268" s="91" t="str">
        <f ca="1">IF(AP268="","",DATE(INDEX(OFFSET(Arb!$C$2,,,Arb!$AJ$5,),AP268),INDEX(OFFSET(Arb!$B$2,,,Arb!$AJ$5,),AP268),INDEX(OFFSET(Arb!$A$2,,,Arb!$AJ$5,),AP268))+ROW()*0.001)</f>
        <v/>
      </c>
      <c r="AW268" s="442">
        <v>126</v>
      </c>
      <c r="AY268" s="52" t="str">
        <f ca="1">IF(AX268="","",INDEX(OFFSET(Arb!$H$2,,,Arb!$AJ$5,),AX268))</f>
        <v/>
      </c>
      <c r="AZ268" s="3" t="str">
        <f t="shared" ca="1" si="81"/>
        <v/>
      </c>
      <c r="BA268" s="165" t="str">
        <f ca="1">IF(AX268="","",INDEX(OFFSET(Arb!$X$2,,,Arb!$AJ$5,),AX268)/AY268)</f>
        <v/>
      </c>
      <c r="BB268" s="165" t="str">
        <f ca="1">IF(AX268="","",(INDEX(OFFSET(Arb!$U$2,,,Arb!$AJ$5,),AX268)+INDEX(OFFSET(Arb!$V$2,,,Arb!$AJ$5,),AX268))/AY268)</f>
        <v/>
      </c>
      <c r="BC268" s="51" t="str">
        <f t="shared" ca="1" si="91"/>
        <v/>
      </c>
      <c r="BD268" s="88" t="str">
        <f ca="1">IF(AX268="","",DATE(INDEX(OFFSET(Arb!$C$2,,,Arb!$AJ$5,),AX268),INDEX(OFFSET(Arb!$B$2,,,Arb!$AJ$5,),AX268),INDEX(OFFSET(Arb!$A$2,,,Arb!$AJ$5,),AX268))+ROW()*0.001)</f>
        <v/>
      </c>
      <c r="BE268" s="436">
        <v>126</v>
      </c>
      <c r="BG268" s="52" t="str">
        <f ca="1">IF(BF268="","",INDEX(OFFSET(Arb!$H$2,,,Arb!$AJ$5,),BF268))</f>
        <v/>
      </c>
      <c r="BH268" s="3" t="str">
        <f t="shared" ca="1" si="82"/>
        <v/>
      </c>
      <c r="BI268" s="165" t="str">
        <f ca="1">IF(BF268="","",INDEX(OFFSET(Arb!$X$2,,,Arb!$AJ$5,),BF268)/BG268)</f>
        <v/>
      </c>
      <c r="BJ268" s="165" t="str">
        <f ca="1">IF(BF268="","",(INDEX(OFFSET(Arb!$U$2,,,Arb!$AJ$5,),BF268)+INDEX(OFFSET(Arb!$V$2,,,Arb!$AJ$5,),BF268))/BG268)</f>
        <v/>
      </c>
      <c r="BK268" s="51" t="str">
        <f t="shared" ca="1" si="92"/>
        <v/>
      </c>
      <c r="BL268" s="91" t="str">
        <f ca="1">IF(BF268="","",DATE(INDEX(OFFSET(Arb!$C$2,,,Arb!$AJ$5,),BF268),INDEX(OFFSET(Arb!$B$2,,,Arb!$AJ$5,),BF268),INDEX(OFFSET(Arb!$A$2,,,Arb!$AJ$5,),BF268))+ROW()*0.001)</f>
        <v/>
      </c>
      <c r="BM268" s="442">
        <v>126</v>
      </c>
      <c r="BO268" s="52" t="str">
        <f ca="1">IF(BN268="","",INDEX(OFFSET(Arb!$H$2,,,Arb!$AJ$5,),BN268))</f>
        <v/>
      </c>
      <c r="BP268" s="3" t="str">
        <f t="shared" ca="1" si="83"/>
        <v/>
      </c>
      <c r="BQ268" s="165" t="str">
        <f ca="1">IF(BN268="","",INDEX(OFFSET(Arb!$X$2,,,Arb!$AJ$5,),BN268)/BO268)</f>
        <v/>
      </c>
      <c r="BR268" s="165" t="str">
        <f ca="1">IF(BN268="","",(INDEX(OFFSET(Arb!$U$2,,,Arb!$AJ$5,),BN268)+INDEX(OFFSET(Arb!$V$2,,,Arb!$AJ$5,),BN268))/BO268)</f>
        <v/>
      </c>
      <c r="BS268" s="51" t="str">
        <f t="shared" ca="1" si="93"/>
        <v/>
      </c>
      <c r="BT268" s="88" t="str">
        <f ca="1">IF(BN268="","",DATE(INDEX(OFFSET(Arb!$C$2,,,Arb!$AJ$5,),BN268),INDEX(OFFSET(Arb!$B$2,,,Arb!$AJ$5,),BN268),INDEX(OFFSET(Arb!$A$2,,,Arb!$AJ$5,),BN268))+ROW()*0.001)</f>
        <v/>
      </c>
      <c r="BU268" s="436">
        <v>126</v>
      </c>
      <c r="BW268" s="52" t="str">
        <f ca="1">IF(BV268="","",INDEX(OFFSET(Arb!$H$2,,,Arb!$AJ$5,),BV268))</f>
        <v/>
      </c>
      <c r="BX268" s="3" t="str">
        <f t="shared" ca="1" si="84"/>
        <v/>
      </c>
      <c r="BY268" s="165" t="str">
        <f ca="1">IF(BV268="","",INDEX(OFFSET(Arb!$X$2,,,Arb!$AJ$5,),BV268)/BW268)</f>
        <v/>
      </c>
      <c r="BZ268" s="165" t="str">
        <f ca="1">IF(BV268="","",(INDEX(OFFSET(Arb!$U$2,,,Arb!$AJ$5,),BV268)+INDEX(OFFSET(Arb!$V$2,,,Arb!$AJ$5,),BV268))/BW268)</f>
        <v/>
      </c>
      <c r="CA268" s="51" t="str">
        <f t="shared" ca="1" si="94"/>
        <v/>
      </c>
      <c r="CB268" s="91" t="str">
        <f ca="1">IF(BV268="","",DATE(INDEX(OFFSET(Arb!$C$2,,,Arb!$AJ$5,),BV268),INDEX(OFFSET(Arb!$B$2,,,Arb!$AJ$5,),BV268),INDEX(OFFSET(Arb!$A$2,,,Arb!$AJ$5,),BV268))+ROW()*0.001)</f>
        <v/>
      </c>
    </row>
    <row r="269" spans="1:80" x14ac:dyDescent="0.25">
      <c r="A269" s="433">
        <v>127</v>
      </c>
      <c r="B269" s="1">
        <v>2484</v>
      </c>
      <c r="C269" s="52">
        <f ca="1">IF(B269="","",INDEX(OFFSET(Arb!$H$2,,,Arb!$AJ$5,),B269))</f>
        <v>83.66</v>
      </c>
      <c r="D269" s="3">
        <f t="shared" ca="1" si="75"/>
        <v>1.5180492469519484</v>
      </c>
      <c r="E269" s="165">
        <f ca="1">IF(B269="","",INDEX(OFFSET(Arb!$X$2,,,Arb!$AJ$5,),B269)/C269)</f>
        <v>1.9483624193162803</v>
      </c>
      <c r="F269" s="165">
        <f ca="1">IF(B269="","",(INDEX(OFFSET(Arb!$U$2,,,Arb!$AJ$5,),B269)+INDEX(OFFSET(Arb!$V$2,,,Arb!$AJ$5,),B269))/C269)</f>
        <v>2.1396127181448721</v>
      </c>
      <c r="G269" s="51">
        <f t="shared" ca="1" si="85"/>
        <v>29.786097987393021</v>
      </c>
      <c r="H269" s="355">
        <f ca="1">IF(B269="","",DATE(INDEX(OFFSET(Arb!$C$2,,,Arb!$AJ$5,),B269),INDEX(OFFSET(Arb!$B$2,,,Arb!$AJ$5,),B269),INDEX(OFFSET(Arb!$A$2,,,Arb!$AJ$5,),B269))+ROW()*0.001)</f>
        <v>43786.269</v>
      </c>
      <c r="I269" s="436">
        <v>127</v>
      </c>
      <c r="K269" s="52" t="str">
        <f ca="1">IF(J269="","",INDEX(OFFSET(Arb!$H$2,,,Arb!$AJ$5,),J269))</f>
        <v/>
      </c>
      <c r="L269" s="3" t="str">
        <f t="shared" ca="1" si="76"/>
        <v/>
      </c>
      <c r="M269" s="165" t="str">
        <f ca="1">IF(J269="","",INDEX(OFFSET(Arb!$X$2,,,Arb!$AJ$5,),J269)/K269)</f>
        <v/>
      </c>
      <c r="N269" s="165" t="str">
        <f ca="1">IF(J269="","",(INDEX(OFFSET(Arb!$U$2,,,Arb!$AJ$5,),J269)+INDEX(OFFSET(Arb!$V$2,,,Arb!$AJ$5,),J269))/K269)</f>
        <v/>
      </c>
      <c r="O269" s="51" t="str">
        <f t="shared" ca="1" si="86"/>
        <v/>
      </c>
      <c r="P269" s="91" t="str">
        <f ca="1">IF(J269="","",DATE(INDEX(OFFSET(Arb!$C$2,,,Arb!$AJ$5,),J269),INDEX(OFFSET(Arb!$B$2,,,Arb!$AJ$5,),J269),INDEX(OFFSET(Arb!$A$2,,,Arb!$AJ$5,),J269))+ROW()*0.001)</f>
        <v/>
      </c>
      <c r="Q269" s="442">
        <v>127</v>
      </c>
      <c r="S269" s="52" t="str">
        <f ca="1">IF(R269="","",INDEX(OFFSET(Arb!$H$2,,,Arb!$AJ$5,),R269))</f>
        <v/>
      </c>
      <c r="T269" s="3" t="str">
        <f t="shared" ca="1" si="77"/>
        <v/>
      </c>
      <c r="U269" s="165" t="str">
        <f ca="1">IF(R269="","",INDEX(OFFSET(Arb!$X$2,,,Arb!$AJ$5,),R269)/S269)</f>
        <v/>
      </c>
      <c r="V269" s="165" t="str">
        <f ca="1">IF(R269="","",(INDEX(OFFSET(Arb!$U$2,,,Arb!$AJ$5,),R269)+INDEX(OFFSET(Arb!$V$2,,,Arb!$AJ$5,),R269))/S269)</f>
        <v/>
      </c>
      <c r="W269" s="51" t="str">
        <f t="shared" ca="1" si="87"/>
        <v/>
      </c>
      <c r="X269" s="88" t="str">
        <f ca="1">IF(R269="","",DATE(INDEX(OFFSET(Arb!$C$2,,,Arb!$AJ$5,),R269),INDEX(OFFSET(Arb!$B$2,,,Arb!$AJ$5,),R269),INDEX(OFFSET(Arb!$A$2,,,Arb!$AJ$5,),R269))+ROW()*0.001)</f>
        <v/>
      </c>
      <c r="Y269" s="436">
        <v>127</v>
      </c>
      <c r="AA269" s="52" t="str">
        <f ca="1">IF(Z269="","",INDEX(OFFSET(Arb!$H$2,,,Arb!$AJ$5,),Z269))</f>
        <v/>
      </c>
      <c r="AB269" s="3" t="str">
        <f t="shared" ca="1" si="78"/>
        <v/>
      </c>
      <c r="AC269" s="165" t="str">
        <f ca="1">IF(Z269="","",INDEX(OFFSET(Arb!$X$2,,,Arb!$AJ$5,),Z269)/AA269)</f>
        <v/>
      </c>
      <c r="AD269" s="165" t="str">
        <f ca="1">IF(Z269="","",(INDEX(OFFSET(Arb!$U$2,,,Arb!$AJ$5,),Z269)+INDEX(OFFSET(Arb!$V$2,,,Arb!$AJ$5,),Z269))/AA269)</f>
        <v/>
      </c>
      <c r="AE269" s="51" t="str">
        <f t="shared" ca="1" si="88"/>
        <v/>
      </c>
      <c r="AF269" s="91" t="str">
        <f ca="1">IF(Z269="","",DATE(INDEX(OFFSET(Arb!$C$2,,,Arb!$AJ$5,),Z269),INDEX(OFFSET(Arb!$B$2,,,Arb!$AJ$5,),Z269),INDEX(OFFSET(Arb!$A$2,,,Arb!$AJ$5,),Z269))+ROW()*0.001)</f>
        <v/>
      </c>
      <c r="AG269" s="442">
        <v>127</v>
      </c>
      <c r="AI269" s="52" t="str">
        <f ca="1">IF(AH269="","",INDEX(OFFSET(Arb!$H$2,,,Arb!$AJ$5,),AH269))</f>
        <v/>
      </c>
      <c r="AJ269" s="3" t="str">
        <f t="shared" ca="1" si="79"/>
        <v/>
      </c>
      <c r="AK269" s="165" t="str">
        <f ca="1">IF(AH269="","",INDEX(OFFSET(Arb!$X$2,,,Arb!$AJ$5,),AH269)/AI269)</f>
        <v/>
      </c>
      <c r="AL269" s="165" t="str">
        <f ca="1">IF(AH269="","",(INDEX(OFFSET(Arb!$U$2,,,Arb!$AJ$5,),AH269)+INDEX(OFFSET(Arb!$V$2,,,Arb!$AJ$5,),AH269))/AI269)</f>
        <v/>
      </c>
      <c r="AM269" s="51" t="str">
        <f t="shared" ca="1" si="89"/>
        <v/>
      </c>
      <c r="AN269" s="88" t="str">
        <f ca="1">IF(AH269="","",DATE(INDEX(OFFSET(Arb!$C$2,,,Arb!$AJ$5,),AH269),INDEX(OFFSET(Arb!$B$2,,,Arb!$AJ$5,),AH269),INDEX(OFFSET(Arb!$A$2,,,Arb!$AJ$5,),AH269))+ROW()*0.001)</f>
        <v/>
      </c>
      <c r="AO269" s="436">
        <v>127</v>
      </c>
      <c r="AQ269" s="52" t="str">
        <f ca="1">IF(AP269="","",INDEX(OFFSET(Arb!$H$2,,,Arb!$AJ$5,),AP269))</f>
        <v/>
      </c>
      <c r="AR269" s="3" t="str">
        <f t="shared" ca="1" si="80"/>
        <v/>
      </c>
      <c r="AS269" s="165" t="str">
        <f ca="1">IF(AP269="","",INDEX(OFFSET(Arb!$X$2,,,Arb!$AJ$5,),AP269)/AQ269)</f>
        <v/>
      </c>
      <c r="AT269" s="165" t="str">
        <f ca="1">IF(AP269="","",(INDEX(OFFSET(Arb!$U$2,,,Arb!$AJ$5,),AP269)+INDEX(OFFSET(Arb!$V$2,,,Arb!$AJ$5,),AP269))/AQ269)</f>
        <v/>
      </c>
      <c r="AU269" s="51" t="str">
        <f t="shared" ca="1" si="90"/>
        <v/>
      </c>
      <c r="AV269" s="91" t="str">
        <f ca="1">IF(AP269="","",DATE(INDEX(OFFSET(Arb!$C$2,,,Arb!$AJ$5,),AP269),INDEX(OFFSET(Arb!$B$2,,,Arb!$AJ$5,),AP269),INDEX(OFFSET(Arb!$A$2,,,Arb!$AJ$5,),AP269))+ROW()*0.001)</f>
        <v/>
      </c>
      <c r="AW269" s="442">
        <v>127</v>
      </c>
      <c r="AY269" s="52" t="str">
        <f ca="1">IF(AX269="","",INDEX(OFFSET(Arb!$H$2,,,Arb!$AJ$5,),AX269))</f>
        <v/>
      </c>
      <c r="AZ269" s="3" t="str">
        <f t="shared" ca="1" si="81"/>
        <v/>
      </c>
      <c r="BA269" s="165" t="str">
        <f ca="1">IF(AX269="","",INDEX(OFFSET(Arb!$X$2,,,Arb!$AJ$5,),AX269)/AY269)</f>
        <v/>
      </c>
      <c r="BB269" s="165" t="str">
        <f ca="1">IF(AX269="","",(INDEX(OFFSET(Arb!$U$2,,,Arb!$AJ$5,),AX269)+INDEX(OFFSET(Arb!$V$2,,,Arb!$AJ$5,),AX269))/AY269)</f>
        <v/>
      </c>
      <c r="BC269" s="51" t="str">
        <f t="shared" ca="1" si="91"/>
        <v/>
      </c>
      <c r="BD269" s="88" t="str">
        <f ca="1">IF(AX269="","",DATE(INDEX(OFFSET(Arb!$C$2,,,Arb!$AJ$5,),AX269),INDEX(OFFSET(Arb!$B$2,,,Arb!$AJ$5,),AX269),INDEX(OFFSET(Arb!$A$2,,,Arb!$AJ$5,),AX269))+ROW()*0.001)</f>
        <v/>
      </c>
      <c r="BE269" s="436">
        <v>127</v>
      </c>
      <c r="BG269" s="52" t="str">
        <f ca="1">IF(BF269="","",INDEX(OFFSET(Arb!$H$2,,,Arb!$AJ$5,),BF269))</f>
        <v/>
      </c>
      <c r="BH269" s="3" t="str">
        <f t="shared" ca="1" si="82"/>
        <v/>
      </c>
      <c r="BI269" s="165" t="str">
        <f ca="1">IF(BF269="","",INDEX(OFFSET(Arb!$X$2,,,Arb!$AJ$5,),BF269)/BG269)</f>
        <v/>
      </c>
      <c r="BJ269" s="165" t="str">
        <f ca="1">IF(BF269="","",(INDEX(OFFSET(Arb!$U$2,,,Arb!$AJ$5,),BF269)+INDEX(OFFSET(Arb!$V$2,,,Arb!$AJ$5,),BF269))/BG269)</f>
        <v/>
      </c>
      <c r="BK269" s="51" t="str">
        <f t="shared" ca="1" si="92"/>
        <v/>
      </c>
      <c r="BL269" s="91" t="str">
        <f ca="1">IF(BF269="","",DATE(INDEX(OFFSET(Arb!$C$2,,,Arb!$AJ$5,),BF269),INDEX(OFFSET(Arb!$B$2,,,Arb!$AJ$5,),BF269),INDEX(OFFSET(Arb!$A$2,,,Arb!$AJ$5,),BF269))+ROW()*0.001)</f>
        <v/>
      </c>
      <c r="BM269" s="442">
        <v>127</v>
      </c>
      <c r="BO269" s="52" t="str">
        <f ca="1">IF(BN269="","",INDEX(OFFSET(Arb!$H$2,,,Arb!$AJ$5,),BN269))</f>
        <v/>
      </c>
      <c r="BP269" s="3" t="str">
        <f t="shared" ca="1" si="83"/>
        <v/>
      </c>
      <c r="BQ269" s="165" t="str">
        <f ca="1">IF(BN269="","",INDEX(OFFSET(Arb!$X$2,,,Arb!$AJ$5,),BN269)/BO269)</f>
        <v/>
      </c>
      <c r="BR269" s="165" t="str">
        <f ca="1">IF(BN269="","",(INDEX(OFFSET(Arb!$U$2,,,Arb!$AJ$5,),BN269)+INDEX(OFFSET(Arb!$V$2,,,Arb!$AJ$5,),BN269))/BO269)</f>
        <v/>
      </c>
      <c r="BS269" s="51" t="str">
        <f t="shared" ca="1" si="93"/>
        <v/>
      </c>
      <c r="BT269" s="88" t="str">
        <f ca="1">IF(BN269="","",DATE(INDEX(OFFSET(Arb!$C$2,,,Arb!$AJ$5,),BN269),INDEX(OFFSET(Arb!$B$2,,,Arb!$AJ$5,),BN269),INDEX(OFFSET(Arb!$A$2,,,Arb!$AJ$5,),BN269))+ROW()*0.001)</f>
        <v/>
      </c>
      <c r="BU269" s="436">
        <v>127</v>
      </c>
      <c r="BW269" s="52" t="str">
        <f ca="1">IF(BV269="","",INDEX(OFFSET(Arb!$H$2,,,Arb!$AJ$5,),BV269))</f>
        <v/>
      </c>
      <c r="BX269" s="3" t="str">
        <f t="shared" ca="1" si="84"/>
        <v/>
      </c>
      <c r="BY269" s="165" t="str">
        <f ca="1">IF(BV269="","",INDEX(OFFSET(Arb!$X$2,,,Arb!$AJ$5,),BV269)/BW269)</f>
        <v/>
      </c>
      <c r="BZ269" s="165" t="str">
        <f ca="1">IF(BV269="","",(INDEX(OFFSET(Arb!$U$2,,,Arb!$AJ$5,),BV269)+INDEX(OFFSET(Arb!$V$2,,,Arb!$AJ$5,),BV269))/BW269)</f>
        <v/>
      </c>
      <c r="CA269" s="51" t="str">
        <f t="shared" ca="1" si="94"/>
        <v/>
      </c>
      <c r="CB269" s="91" t="str">
        <f ca="1">IF(BV269="","",DATE(INDEX(OFFSET(Arb!$C$2,,,Arb!$AJ$5,),BV269),INDEX(OFFSET(Arb!$B$2,,,Arb!$AJ$5,),BV269),INDEX(OFFSET(Arb!$A$2,,,Arb!$AJ$5,),BV269))+ROW()*0.001)</f>
        <v/>
      </c>
    </row>
    <row r="270" spans="1:80" x14ac:dyDescent="0.25">
      <c r="A270" s="433">
        <v>128</v>
      </c>
      <c r="B270" s="1">
        <v>3059</v>
      </c>
      <c r="C270" s="52">
        <f ca="1">IF(B270="","",INDEX(OFFSET(Arb!$H$2,,,Arb!$AJ$5,),B270))</f>
        <v>65.66</v>
      </c>
      <c r="D270" s="3">
        <f t="shared" ca="1" si="75"/>
        <v>1.9494364910143163</v>
      </c>
      <c r="E270" s="165">
        <f ca="1">IF(B270="","",INDEX(OFFSET(Arb!$X$2,,,Arb!$AJ$5,),B270)/C270)</f>
        <v>2.5281754492841912</v>
      </c>
      <c r="F270" s="165">
        <f ca="1">IF(B270="","",(INDEX(OFFSET(Arb!$U$2,,,Arb!$AJ$5,),B270)+INDEX(OFFSET(Arb!$V$2,,,Arb!$AJ$5,),B270))/C270)</f>
        <v>2.7870849832470301</v>
      </c>
      <c r="G270" s="51">
        <f t="shared" ca="1" si="85"/>
        <v>45.319877961179841</v>
      </c>
      <c r="H270" s="355">
        <f ca="1">IF(B270="","",DATE(INDEX(OFFSET(Arb!$C$2,,,Arb!$AJ$5,),B270),INDEX(OFFSET(Arb!$B$2,,,Arb!$AJ$5,),B270),INDEX(OFFSET(Arb!$A$2,,,Arb!$AJ$5,),B270))+ROW()*0.001)</f>
        <v>43989.27</v>
      </c>
      <c r="I270" s="436">
        <v>128</v>
      </c>
      <c r="J270" s="1">
        <v>2679</v>
      </c>
      <c r="K270" s="52">
        <f ca="1">IF(J270="","",INDEX(OFFSET(Arb!$H$2,,,Arb!$AJ$5,),J270))</f>
        <v>73.08</v>
      </c>
      <c r="L270" s="3">
        <f t="shared" ca="1" si="76"/>
        <v>1.7515051997810618</v>
      </c>
      <c r="M270" s="165">
        <f ca="1">IF(J270="","",INDEX(OFFSET(Arb!$X$2,,,Arb!$AJ$5,),J270)/K270)</f>
        <v>2.2167487684729066</v>
      </c>
      <c r="N270" s="165">
        <f ca="1">IF(J270="","",(INDEX(OFFSET(Arb!$U$2,,,Arb!$AJ$5,),J270)+INDEX(OFFSET(Arb!$V$2,,,Arb!$AJ$5,),J270))/K270)</f>
        <v>2.3809523809523809</v>
      </c>
      <c r="O270" s="51">
        <f t="shared" ca="1" si="86"/>
        <v>37.778325937898636</v>
      </c>
      <c r="P270" s="91">
        <f ca="1">IF(J270="","",DATE(INDEX(OFFSET(Arb!$C$2,,,Arb!$AJ$5,),J270),INDEX(OFFSET(Arb!$B$2,,,Arb!$AJ$5,),J270),INDEX(OFFSET(Arb!$A$2,,,Arb!$AJ$5,),J270))+ROW()*0.001)</f>
        <v>43830.27</v>
      </c>
      <c r="Q270" s="442">
        <v>128</v>
      </c>
      <c r="R270" s="1">
        <v>2437</v>
      </c>
      <c r="S270" s="52">
        <f ca="1">IF(R270="","",INDEX(OFFSET(Arb!$H$2,,,Arb!$AJ$5,),R270))</f>
        <v>73.599999999999994</v>
      </c>
      <c r="T270" s="3">
        <f t="shared" ca="1" si="77"/>
        <v>1.7391304347826089</v>
      </c>
      <c r="U270" s="165">
        <f ca="1">IF(R270="","",INDEX(OFFSET(Arb!$X$2,,,Arb!$AJ$5,),R270)/S270)</f>
        <v>2.1195652173913047</v>
      </c>
      <c r="V270" s="165">
        <f ca="1">IF(R270="","",(INDEX(OFFSET(Arb!$U$2,,,Arb!$AJ$5,),R270)+INDEX(OFFSET(Arb!$V$2,,,Arb!$AJ$5,),R270))/S270)</f>
        <v>2.3369565217391308</v>
      </c>
      <c r="W270" s="51">
        <f t="shared" ca="1" si="87"/>
        <v>37.325698233427772</v>
      </c>
      <c r="X270" s="88">
        <f ca="1">IF(R270="","",DATE(INDEX(OFFSET(Arb!$C$2,,,Arb!$AJ$5,),R270),INDEX(OFFSET(Arb!$B$2,,,Arb!$AJ$5,),R270),INDEX(OFFSET(Arb!$A$2,,,Arb!$AJ$5,),R270))+ROW()*0.001)</f>
        <v>43772.27</v>
      </c>
      <c r="Y270" s="436">
        <v>128</v>
      </c>
      <c r="AA270" s="52" t="str">
        <f ca="1">IF(Z270="","",INDEX(OFFSET(Arb!$H$2,,,Arb!$AJ$5,),Z270))</f>
        <v/>
      </c>
      <c r="AB270" s="3" t="str">
        <f t="shared" ca="1" si="78"/>
        <v/>
      </c>
      <c r="AC270" s="165" t="str">
        <f ca="1">IF(Z270="","",INDEX(OFFSET(Arb!$X$2,,,Arb!$AJ$5,),Z270)/AA270)</f>
        <v/>
      </c>
      <c r="AD270" s="165" t="str">
        <f ca="1">IF(Z270="","",(INDEX(OFFSET(Arb!$U$2,,,Arb!$AJ$5,),Z270)+INDEX(OFFSET(Arb!$V$2,,,Arb!$AJ$5,),Z270))/AA270)</f>
        <v/>
      </c>
      <c r="AE270" s="51" t="str">
        <f t="shared" ca="1" si="88"/>
        <v/>
      </c>
      <c r="AF270" s="91" t="str">
        <f ca="1">IF(Z270="","",DATE(INDEX(OFFSET(Arb!$C$2,,,Arb!$AJ$5,),Z270),INDEX(OFFSET(Arb!$B$2,,,Arb!$AJ$5,),Z270),INDEX(OFFSET(Arb!$A$2,,,Arb!$AJ$5,),Z270))+ROW()*0.001)</f>
        <v/>
      </c>
      <c r="AG270" s="442">
        <v>128</v>
      </c>
      <c r="AI270" s="52" t="str">
        <f ca="1">IF(AH270="","",INDEX(OFFSET(Arb!$H$2,,,Arb!$AJ$5,),AH270))</f>
        <v/>
      </c>
      <c r="AJ270" s="3" t="str">
        <f t="shared" ca="1" si="79"/>
        <v/>
      </c>
      <c r="AK270" s="165" t="str">
        <f ca="1">IF(AH270="","",INDEX(OFFSET(Arb!$X$2,,,Arb!$AJ$5,),AH270)/AI270)</f>
        <v/>
      </c>
      <c r="AL270" s="165" t="str">
        <f ca="1">IF(AH270="","",(INDEX(OFFSET(Arb!$U$2,,,Arb!$AJ$5,),AH270)+INDEX(OFFSET(Arb!$V$2,,,Arb!$AJ$5,),AH270))/AI270)</f>
        <v/>
      </c>
      <c r="AM270" s="51" t="str">
        <f t="shared" ca="1" si="89"/>
        <v/>
      </c>
      <c r="AN270" s="88" t="str">
        <f ca="1">IF(AH270="","",DATE(INDEX(OFFSET(Arb!$C$2,,,Arb!$AJ$5,),AH270),INDEX(OFFSET(Arb!$B$2,,,Arb!$AJ$5,),AH270),INDEX(OFFSET(Arb!$A$2,,,Arb!$AJ$5,),AH270))+ROW()*0.001)</f>
        <v/>
      </c>
      <c r="AO270" s="436">
        <v>128</v>
      </c>
      <c r="AQ270" s="52" t="str">
        <f ca="1">IF(AP270="","",INDEX(OFFSET(Arb!$H$2,,,Arb!$AJ$5,),AP270))</f>
        <v/>
      </c>
      <c r="AR270" s="3" t="str">
        <f t="shared" ca="1" si="80"/>
        <v/>
      </c>
      <c r="AS270" s="165" t="str">
        <f ca="1">IF(AP270="","",INDEX(OFFSET(Arb!$X$2,,,Arb!$AJ$5,),AP270)/AQ270)</f>
        <v/>
      </c>
      <c r="AT270" s="165" t="str">
        <f ca="1">IF(AP270="","",(INDEX(OFFSET(Arb!$U$2,,,Arb!$AJ$5,),AP270)+INDEX(OFFSET(Arb!$V$2,,,Arb!$AJ$5,),AP270))/AQ270)</f>
        <v/>
      </c>
      <c r="AU270" s="51" t="str">
        <f t="shared" ca="1" si="90"/>
        <v/>
      </c>
      <c r="AV270" s="91" t="str">
        <f ca="1">IF(AP270="","",DATE(INDEX(OFFSET(Arb!$C$2,,,Arb!$AJ$5,),AP270),INDEX(OFFSET(Arb!$B$2,,,Arb!$AJ$5,),AP270),INDEX(OFFSET(Arb!$A$2,,,Arb!$AJ$5,),AP270))+ROW()*0.001)</f>
        <v/>
      </c>
      <c r="AW270" s="442">
        <v>128</v>
      </c>
      <c r="AY270" s="52" t="str">
        <f ca="1">IF(AX270="","",INDEX(OFFSET(Arb!$H$2,,,Arb!$AJ$5,),AX270))</f>
        <v/>
      </c>
      <c r="AZ270" s="3" t="str">
        <f t="shared" ca="1" si="81"/>
        <v/>
      </c>
      <c r="BA270" s="165" t="str">
        <f ca="1">IF(AX270="","",INDEX(OFFSET(Arb!$X$2,,,Arb!$AJ$5,),AX270)/AY270)</f>
        <v/>
      </c>
      <c r="BB270" s="165" t="str">
        <f ca="1">IF(AX270="","",(INDEX(OFFSET(Arb!$U$2,,,Arb!$AJ$5,),AX270)+INDEX(OFFSET(Arb!$V$2,,,Arb!$AJ$5,),AX270))/AY270)</f>
        <v/>
      </c>
      <c r="BC270" s="51" t="str">
        <f t="shared" ca="1" si="91"/>
        <v/>
      </c>
      <c r="BD270" s="88" t="str">
        <f ca="1">IF(AX270="","",DATE(INDEX(OFFSET(Arb!$C$2,,,Arb!$AJ$5,),AX270),INDEX(OFFSET(Arb!$B$2,,,Arb!$AJ$5,),AX270),INDEX(OFFSET(Arb!$A$2,,,Arb!$AJ$5,),AX270))+ROW()*0.001)</f>
        <v/>
      </c>
      <c r="BE270" s="436">
        <v>128</v>
      </c>
      <c r="BG270" s="52" t="str">
        <f ca="1">IF(BF270="","",INDEX(OFFSET(Arb!$H$2,,,Arb!$AJ$5,),BF270))</f>
        <v/>
      </c>
      <c r="BH270" s="3" t="str">
        <f t="shared" ca="1" si="82"/>
        <v/>
      </c>
      <c r="BI270" s="165" t="str">
        <f ca="1">IF(BF270="","",INDEX(OFFSET(Arb!$X$2,,,Arb!$AJ$5,),BF270)/BG270)</f>
        <v/>
      </c>
      <c r="BJ270" s="165" t="str">
        <f ca="1">IF(BF270="","",(INDEX(OFFSET(Arb!$U$2,,,Arb!$AJ$5,),BF270)+INDEX(OFFSET(Arb!$V$2,,,Arb!$AJ$5,),BF270))/BG270)</f>
        <v/>
      </c>
      <c r="BK270" s="51" t="str">
        <f t="shared" ca="1" si="92"/>
        <v/>
      </c>
      <c r="BL270" s="91" t="str">
        <f ca="1">IF(BF270="","",DATE(INDEX(OFFSET(Arb!$C$2,,,Arb!$AJ$5,),BF270),INDEX(OFFSET(Arb!$B$2,,,Arb!$AJ$5,),BF270),INDEX(OFFSET(Arb!$A$2,,,Arb!$AJ$5,),BF270))+ROW()*0.001)</f>
        <v/>
      </c>
      <c r="BM270" s="442">
        <v>128</v>
      </c>
      <c r="BO270" s="52" t="str">
        <f ca="1">IF(BN270="","",INDEX(OFFSET(Arb!$H$2,,,Arb!$AJ$5,),BN270))</f>
        <v/>
      </c>
      <c r="BP270" s="3" t="str">
        <f t="shared" ca="1" si="83"/>
        <v/>
      </c>
      <c r="BQ270" s="165" t="str">
        <f ca="1">IF(BN270="","",INDEX(OFFSET(Arb!$X$2,,,Arb!$AJ$5,),BN270)/BO270)</f>
        <v/>
      </c>
      <c r="BR270" s="165" t="str">
        <f ca="1">IF(BN270="","",(INDEX(OFFSET(Arb!$U$2,,,Arb!$AJ$5,),BN270)+INDEX(OFFSET(Arb!$V$2,,,Arb!$AJ$5,),BN270))/BO270)</f>
        <v/>
      </c>
      <c r="BS270" s="51" t="str">
        <f t="shared" ca="1" si="93"/>
        <v/>
      </c>
      <c r="BT270" s="88" t="str">
        <f ca="1">IF(BN270="","",DATE(INDEX(OFFSET(Arb!$C$2,,,Arb!$AJ$5,),BN270),INDEX(OFFSET(Arb!$B$2,,,Arb!$AJ$5,),BN270),INDEX(OFFSET(Arb!$A$2,,,Arb!$AJ$5,),BN270))+ROW()*0.001)</f>
        <v/>
      </c>
      <c r="BU270" s="436">
        <v>128</v>
      </c>
      <c r="BW270" s="52" t="str">
        <f ca="1">IF(BV270="","",INDEX(OFFSET(Arb!$H$2,,,Arb!$AJ$5,),BV270))</f>
        <v/>
      </c>
      <c r="BX270" s="3" t="str">
        <f t="shared" ca="1" si="84"/>
        <v/>
      </c>
      <c r="BY270" s="165" t="str">
        <f ca="1">IF(BV270="","",INDEX(OFFSET(Arb!$X$2,,,Arb!$AJ$5,),BV270)/BW270)</f>
        <v/>
      </c>
      <c r="BZ270" s="165" t="str">
        <f ca="1">IF(BV270="","",(INDEX(OFFSET(Arb!$U$2,,,Arb!$AJ$5,),BV270)+INDEX(OFFSET(Arb!$V$2,,,Arb!$AJ$5,),BV270))/BW270)</f>
        <v/>
      </c>
      <c r="CA270" s="51" t="str">
        <f t="shared" ca="1" si="94"/>
        <v/>
      </c>
      <c r="CB270" s="91" t="str">
        <f ca="1">IF(BV270="","",DATE(INDEX(OFFSET(Arb!$C$2,,,Arb!$AJ$5,),BV270),INDEX(OFFSET(Arb!$B$2,,,Arb!$AJ$5,),BV270),INDEX(OFFSET(Arb!$A$2,,,Arb!$AJ$5,),BV270))+ROW()*0.001)</f>
        <v/>
      </c>
    </row>
    <row r="271" spans="1:80" x14ac:dyDescent="0.25">
      <c r="A271" s="433">
        <v>129</v>
      </c>
      <c r="C271" s="52" t="str">
        <f ca="1">IF(B271="","",INDEX(OFFSET(Arb!$H$2,,,Arb!$AJ$5,),B271))</f>
        <v/>
      </c>
      <c r="D271" s="3" t="str">
        <f t="shared" ca="1" si="75"/>
        <v/>
      </c>
      <c r="E271" s="165" t="str">
        <f ca="1">IF(B271="","",INDEX(OFFSET(Arb!$X$2,,,Arb!$AJ$5,),B271)/C271)</f>
        <v/>
      </c>
      <c r="F271" s="165" t="str">
        <f ca="1">IF(B271="","",(INDEX(OFFSET(Arb!$U$2,,,Arb!$AJ$5,),B271)+INDEX(OFFSET(Arb!$V$2,,,Arb!$AJ$5,),B271))/C271)</f>
        <v/>
      </c>
      <c r="G271" s="51" t="str">
        <f t="shared" ca="1" si="85"/>
        <v/>
      </c>
      <c r="H271" s="355" t="str">
        <f ca="1">IF(B271="","",DATE(INDEX(OFFSET(Arb!$C$2,,,Arb!$AJ$5,),B271),INDEX(OFFSET(Arb!$B$2,,,Arb!$AJ$5,),B271),INDEX(OFFSET(Arb!$A$2,,,Arb!$AJ$5,),B271))+ROW()*0.001)</f>
        <v/>
      </c>
      <c r="I271" s="436">
        <v>129</v>
      </c>
      <c r="K271" s="52" t="str">
        <f ca="1">IF(J271="","",INDEX(OFFSET(Arb!$H$2,,,Arb!$AJ$5,),J271))</f>
        <v/>
      </c>
      <c r="L271" s="3" t="str">
        <f t="shared" ca="1" si="76"/>
        <v/>
      </c>
      <c r="M271" s="165" t="str">
        <f ca="1">IF(J271="","",INDEX(OFFSET(Arb!$X$2,,,Arb!$AJ$5,),J271)/K271)</f>
        <v/>
      </c>
      <c r="N271" s="165" t="str">
        <f ca="1">IF(J271="","",(INDEX(OFFSET(Arb!$U$2,,,Arb!$AJ$5,),J271)+INDEX(OFFSET(Arb!$V$2,,,Arb!$AJ$5,),J271))/K271)</f>
        <v/>
      </c>
      <c r="O271" s="51" t="str">
        <f t="shared" ca="1" si="86"/>
        <v/>
      </c>
      <c r="P271" s="91" t="str">
        <f ca="1">IF(J271="","",DATE(INDEX(OFFSET(Arb!$C$2,,,Arb!$AJ$5,),J271),INDEX(OFFSET(Arb!$B$2,,,Arb!$AJ$5,),J271),INDEX(OFFSET(Arb!$A$2,,,Arb!$AJ$5,),J271))+ROW()*0.001)</f>
        <v/>
      </c>
      <c r="Q271" s="442">
        <v>129</v>
      </c>
      <c r="S271" s="52" t="str">
        <f ca="1">IF(R271="","",INDEX(OFFSET(Arb!$H$2,,,Arb!$AJ$5,),R271))</f>
        <v/>
      </c>
      <c r="T271" s="3" t="str">
        <f t="shared" ca="1" si="77"/>
        <v/>
      </c>
      <c r="U271" s="165" t="str">
        <f ca="1">IF(R271="","",INDEX(OFFSET(Arb!$X$2,,,Arb!$AJ$5,),R271)/S271)</f>
        <v/>
      </c>
      <c r="V271" s="165" t="str">
        <f ca="1">IF(R271="","",(INDEX(OFFSET(Arb!$U$2,,,Arb!$AJ$5,),R271)+INDEX(OFFSET(Arb!$V$2,,,Arb!$AJ$5,),R271))/S271)</f>
        <v/>
      </c>
      <c r="W271" s="51" t="str">
        <f t="shared" ca="1" si="87"/>
        <v/>
      </c>
      <c r="X271" s="88" t="str">
        <f ca="1">IF(R271="","",DATE(INDEX(OFFSET(Arb!$C$2,,,Arb!$AJ$5,),R271),INDEX(OFFSET(Arb!$B$2,,,Arb!$AJ$5,),R271),INDEX(OFFSET(Arb!$A$2,,,Arb!$AJ$5,),R271))+ROW()*0.001)</f>
        <v/>
      </c>
      <c r="Y271" s="436">
        <v>129</v>
      </c>
      <c r="AA271" s="52" t="str">
        <f ca="1">IF(Z271="","",INDEX(OFFSET(Arb!$H$2,,,Arb!$AJ$5,),Z271))</f>
        <v/>
      </c>
      <c r="AB271" s="3" t="str">
        <f t="shared" ca="1" si="78"/>
        <v/>
      </c>
      <c r="AC271" s="165" t="str">
        <f ca="1">IF(Z271="","",INDEX(OFFSET(Arb!$X$2,,,Arb!$AJ$5,),Z271)/AA271)</f>
        <v/>
      </c>
      <c r="AD271" s="165" t="str">
        <f ca="1">IF(Z271="","",(INDEX(OFFSET(Arb!$U$2,,,Arb!$AJ$5,),Z271)+INDEX(OFFSET(Arb!$V$2,,,Arb!$AJ$5,),Z271))/AA271)</f>
        <v/>
      </c>
      <c r="AE271" s="51" t="str">
        <f t="shared" ca="1" si="88"/>
        <v/>
      </c>
      <c r="AF271" s="91" t="str">
        <f ca="1">IF(Z271="","",DATE(INDEX(OFFSET(Arb!$C$2,,,Arb!$AJ$5,),Z271),INDEX(OFFSET(Arb!$B$2,,,Arb!$AJ$5,),Z271),INDEX(OFFSET(Arb!$A$2,,,Arb!$AJ$5,),Z271))+ROW()*0.001)</f>
        <v/>
      </c>
      <c r="AG271" s="442">
        <v>129</v>
      </c>
      <c r="AI271" s="52" t="str">
        <f ca="1">IF(AH271="","",INDEX(OFFSET(Arb!$H$2,,,Arb!$AJ$5,),AH271))</f>
        <v/>
      </c>
      <c r="AJ271" s="3" t="str">
        <f t="shared" ca="1" si="79"/>
        <v/>
      </c>
      <c r="AK271" s="165" t="str">
        <f ca="1">IF(AH271="","",INDEX(OFFSET(Arb!$X$2,,,Arb!$AJ$5,),AH271)/AI271)</f>
        <v/>
      </c>
      <c r="AL271" s="165" t="str">
        <f ca="1">IF(AH271="","",(INDEX(OFFSET(Arb!$U$2,,,Arb!$AJ$5,),AH271)+INDEX(OFFSET(Arb!$V$2,,,Arb!$AJ$5,),AH271))/AI271)</f>
        <v/>
      </c>
      <c r="AM271" s="51" t="str">
        <f t="shared" ca="1" si="89"/>
        <v/>
      </c>
      <c r="AN271" s="88" t="str">
        <f ca="1">IF(AH271="","",DATE(INDEX(OFFSET(Arb!$C$2,,,Arb!$AJ$5,),AH271),INDEX(OFFSET(Arb!$B$2,,,Arb!$AJ$5,),AH271),INDEX(OFFSET(Arb!$A$2,,,Arb!$AJ$5,),AH271))+ROW()*0.001)</f>
        <v/>
      </c>
      <c r="AO271" s="436">
        <v>129</v>
      </c>
      <c r="AQ271" s="52" t="str">
        <f ca="1">IF(AP271="","",INDEX(OFFSET(Arb!$H$2,,,Arb!$AJ$5,),AP271))</f>
        <v/>
      </c>
      <c r="AR271" s="3" t="str">
        <f t="shared" ca="1" si="80"/>
        <v/>
      </c>
      <c r="AS271" s="165" t="str">
        <f ca="1">IF(AP271="","",INDEX(OFFSET(Arb!$X$2,,,Arb!$AJ$5,),AP271)/AQ271)</f>
        <v/>
      </c>
      <c r="AT271" s="165" t="str">
        <f ca="1">IF(AP271="","",(INDEX(OFFSET(Arb!$U$2,,,Arb!$AJ$5,),AP271)+INDEX(OFFSET(Arb!$V$2,,,Arb!$AJ$5,),AP271))/AQ271)</f>
        <v/>
      </c>
      <c r="AU271" s="51" t="str">
        <f t="shared" ca="1" si="90"/>
        <v/>
      </c>
      <c r="AV271" s="91" t="str">
        <f ca="1">IF(AP271="","",DATE(INDEX(OFFSET(Arb!$C$2,,,Arb!$AJ$5,),AP271),INDEX(OFFSET(Arb!$B$2,,,Arb!$AJ$5,),AP271),INDEX(OFFSET(Arb!$A$2,,,Arb!$AJ$5,),AP271))+ROW()*0.001)</f>
        <v/>
      </c>
      <c r="AW271" s="442">
        <v>129</v>
      </c>
      <c r="AY271" s="52" t="str">
        <f ca="1">IF(AX271="","",INDEX(OFFSET(Arb!$H$2,,,Arb!$AJ$5,),AX271))</f>
        <v/>
      </c>
      <c r="AZ271" s="3" t="str">
        <f t="shared" ca="1" si="81"/>
        <v/>
      </c>
      <c r="BA271" s="165" t="str">
        <f ca="1">IF(AX271="","",INDEX(OFFSET(Arb!$X$2,,,Arb!$AJ$5,),AX271)/AY271)</f>
        <v/>
      </c>
      <c r="BB271" s="165" t="str">
        <f ca="1">IF(AX271="","",(INDEX(OFFSET(Arb!$U$2,,,Arb!$AJ$5,),AX271)+INDEX(OFFSET(Arb!$V$2,,,Arb!$AJ$5,),AX271))/AY271)</f>
        <v/>
      </c>
      <c r="BC271" s="51" t="str">
        <f t="shared" ca="1" si="91"/>
        <v/>
      </c>
      <c r="BD271" s="88" t="str">
        <f ca="1">IF(AX271="","",DATE(INDEX(OFFSET(Arb!$C$2,,,Arb!$AJ$5,),AX271),INDEX(OFFSET(Arb!$B$2,,,Arb!$AJ$5,),AX271),INDEX(OFFSET(Arb!$A$2,,,Arb!$AJ$5,),AX271))+ROW()*0.001)</f>
        <v/>
      </c>
      <c r="BE271" s="436">
        <v>129</v>
      </c>
      <c r="BG271" s="52" t="str">
        <f ca="1">IF(BF271="","",INDEX(OFFSET(Arb!$H$2,,,Arb!$AJ$5,),BF271))</f>
        <v/>
      </c>
      <c r="BH271" s="3" t="str">
        <f t="shared" ca="1" si="82"/>
        <v/>
      </c>
      <c r="BI271" s="165" t="str">
        <f ca="1">IF(BF271="","",INDEX(OFFSET(Arb!$X$2,,,Arb!$AJ$5,),BF271)/BG271)</f>
        <v/>
      </c>
      <c r="BJ271" s="165" t="str">
        <f ca="1">IF(BF271="","",(INDEX(OFFSET(Arb!$U$2,,,Arb!$AJ$5,),BF271)+INDEX(OFFSET(Arb!$V$2,,,Arb!$AJ$5,),BF271))/BG271)</f>
        <v/>
      </c>
      <c r="BK271" s="51" t="str">
        <f t="shared" ca="1" si="92"/>
        <v/>
      </c>
      <c r="BL271" s="91" t="str">
        <f ca="1">IF(BF271="","",DATE(INDEX(OFFSET(Arb!$C$2,,,Arb!$AJ$5,),BF271),INDEX(OFFSET(Arb!$B$2,,,Arb!$AJ$5,),BF271),INDEX(OFFSET(Arb!$A$2,,,Arb!$AJ$5,),BF271))+ROW()*0.001)</f>
        <v/>
      </c>
      <c r="BM271" s="442">
        <v>129</v>
      </c>
      <c r="BO271" s="52" t="str">
        <f ca="1">IF(BN271="","",INDEX(OFFSET(Arb!$H$2,,,Arb!$AJ$5,),BN271))</f>
        <v/>
      </c>
      <c r="BP271" s="3" t="str">
        <f t="shared" ca="1" si="83"/>
        <v/>
      </c>
      <c r="BQ271" s="165" t="str">
        <f ca="1">IF(BN271="","",INDEX(OFFSET(Arb!$X$2,,,Arb!$AJ$5,),BN271)/BO271)</f>
        <v/>
      </c>
      <c r="BR271" s="165" t="str">
        <f ca="1">IF(BN271="","",(INDEX(OFFSET(Arb!$U$2,,,Arb!$AJ$5,),BN271)+INDEX(OFFSET(Arb!$V$2,,,Arb!$AJ$5,),BN271))/BO271)</f>
        <v/>
      </c>
      <c r="BS271" s="51" t="str">
        <f t="shared" ca="1" si="93"/>
        <v/>
      </c>
      <c r="BT271" s="88" t="str">
        <f ca="1">IF(BN271="","",DATE(INDEX(OFFSET(Arb!$C$2,,,Arb!$AJ$5,),BN271),INDEX(OFFSET(Arb!$B$2,,,Arb!$AJ$5,),BN271),INDEX(OFFSET(Arb!$A$2,,,Arb!$AJ$5,),BN271))+ROW()*0.001)</f>
        <v/>
      </c>
      <c r="BU271" s="436">
        <v>129</v>
      </c>
      <c r="BW271" s="52" t="str">
        <f ca="1">IF(BV271="","",INDEX(OFFSET(Arb!$H$2,,,Arb!$AJ$5,),BV271))</f>
        <v/>
      </c>
      <c r="BX271" s="3" t="str">
        <f t="shared" ca="1" si="84"/>
        <v/>
      </c>
      <c r="BY271" s="165" t="str">
        <f ca="1">IF(BV271="","",INDEX(OFFSET(Arb!$X$2,,,Arb!$AJ$5,),BV271)/BW271)</f>
        <v/>
      </c>
      <c r="BZ271" s="165" t="str">
        <f ca="1">IF(BV271="","",(INDEX(OFFSET(Arb!$U$2,,,Arb!$AJ$5,),BV271)+INDEX(OFFSET(Arb!$V$2,,,Arb!$AJ$5,),BV271))/BW271)</f>
        <v/>
      </c>
      <c r="CA271" s="51" t="str">
        <f t="shared" ca="1" si="94"/>
        <v/>
      </c>
      <c r="CB271" s="91" t="str">
        <f ca="1">IF(BV271="","",DATE(INDEX(OFFSET(Arb!$C$2,,,Arb!$AJ$5,),BV271),INDEX(OFFSET(Arb!$B$2,,,Arb!$AJ$5,),BV271),INDEX(OFFSET(Arb!$A$2,,,Arb!$AJ$5,),BV271))+ROW()*0.001)</f>
        <v/>
      </c>
    </row>
    <row r="272" spans="1:80" x14ac:dyDescent="0.25">
      <c r="A272" s="433">
        <v>130</v>
      </c>
      <c r="B272" s="1">
        <v>2820</v>
      </c>
      <c r="C272" s="52">
        <f ca="1">IF(B272="","",INDEX(OFFSET(Arb!$H$2,,,Arb!$AJ$5,),B272))</f>
        <v>63.35</v>
      </c>
      <c r="D272" s="3">
        <f t="shared" ca="1" si="75"/>
        <v>2.0520915548539858</v>
      </c>
      <c r="E272" s="165">
        <f ca="1">IF(B272="","",INDEX(OFFSET(Arb!$X$2,,,Arb!$AJ$5,),B272)/C272)</f>
        <v>2.6203630623520127</v>
      </c>
      <c r="F272" s="165">
        <f ca="1">IF(B272="","",(INDEX(OFFSET(Arb!$U$2,,,Arb!$AJ$5,),B272)+INDEX(OFFSET(Arb!$V$2,,,Arb!$AJ$5,),B272))/C272)</f>
        <v>2.9834254143646408</v>
      </c>
      <c r="G272" s="51">
        <f t="shared" ca="1" si="85"/>
        <v>48.91751140843941</v>
      </c>
      <c r="H272" s="355">
        <f ca="1">IF(B272="","",DATE(INDEX(OFFSET(Arb!$C$2,,,Arb!$AJ$5,),B272),INDEX(OFFSET(Arb!$B$2,,,Arb!$AJ$5,),B272),INDEX(OFFSET(Arb!$A$2,,,Arb!$AJ$5,),B272))+ROW()*0.001)</f>
        <v>43899.271999999997</v>
      </c>
      <c r="I272" s="436">
        <v>130</v>
      </c>
      <c r="J272" s="1">
        <v>2905</v>
      </c>
      <c r="K272" s="52">
        <f ca="1">IF(J272="","",INDEX(OFFSET(Arb!$H$2,,,Arb!$AJ$5,),J272))</f>
        <v>69.58</v>
      </c>
      <c r="L272" s="3">
        <f t="shared" ca="1" si="76"/>
        <v>1.8683529749928141</v>
      </c>
      <c r="M272" s="165">
        <f ca="1">IF(J272="","",INDEX(OFFSET(Arb!$X$2,,,Arb!$AJ$5,),J272)/K272)</f>
        <v>2.6013222190284564</v>
      </c>
      <c r="N272" s="165">
        <f ca="1">IF(J272="","",(INDEX(OFFSET(Arb!$U$2,,,Arb!$AJ$5,),J272)+INDEX(OFFSET(Arb!$V$2,,,Arb!$AJ$5,),J272))/K272)</f>
        <v>3.0755964357574017</v>
      </c>
      <c r="O272" s="51">
        <f t="shared" ca="1" si="86"/>
        <v>41.707108915363015</v>
      </c>
      <c r="P272" s="91">
        <f ca="1">IF(J272="","",DATE(INDEX(OFFSET(Arb!$C$2,,,Arb!$AJ$5,),J272),INDEX(OFFSET(Arb!$B$2,,,Arb!$AJ$5,),J272),INDEX(OFFSET(Arb!$A$2,,,Arb!$AJ$5,),J272))+ROW()*0.001)</f>
        <v>43927.271999999997</v>
      </c>
      <c r="Q272" s="442">
        <v>130</v>
      </c>
      <c r="R272" s="1">
        <v>2676</v>
      </c>
      <c r="S272" s="52">
        <f ca="1">IF(R272="","",INDEX(OFFSET(Arb!$H$2,,,Arb!$AJ$5,),R272))</f>
        <v>76.48</v>
      </c>
      <c r="T272" s="3">
        <f t="shared" ca="1" si="77"/>
        <v>1.6997907949790794</v>
      </c>
      <c r="U272" s="165">
        <f ca="1">IF(R272="","",INDEX(OFFSET(Arb!$X$2,,,Arb!$AJ$5,),R272)/S272)</f>
        <v>2.1051255230125521</v>
      </c>
      <c r="V272" s="165">
        <f ca="1">IF(R272="","",(INDEX(OFFSET(Arb!$U$2,,,Arb!$AJ$5,),R272)+INDEX(OFFSET(Arb!$V$2,,,Arb!$AJ$5,),R272))/S272)</f>
        <v>2.4712343096234308</v>
      </c>
      <c r="W272" s="51">
        <f t="shared" ca="1" si="87"/>
        <v>35.51421445521116</v>
      </c>
      <c r="X272" s="88">
        <f ca="1">IF(R272="","",DATE(INDEX(OFFSET(Arb!$C$2,,,Arb!$AJ$5,),R272),INDEX(OFFSET(Arb!$B$2,,,Arb!$AJ$5,),R272),INDEX(OFFSET(Arb!$A$2,,,Arb!$AJ$5,),R272))+ROW()*0.001)</f>
        <v>43827.271999999997</v>
      </c>
      <c r="Y272" s="436">
        <v>130</v>
      </c>
      <c r="AA272" s="52" t="str">
        <f ca="1">IF(Z272="","",INDEX(OFFSET(Arb!$H$2,,,Arb!$AJ$5,),Z272))</f>
        <v/>
      </c>
      <c r="AB272" s="3" t="str">
        <f t="shared" ca="1" si="78"/>
        <v/>
      </c>
      <c r="AC272" s="165" t="str">
        <f ca="1">IF(Z272="","",INDEX(OFFSET(Arb!$X$2,,,Arb!$AJ$5,),Z272)/AA272)</f>
        <v/>
      </c>
      <c r="AD272" s="165" t="str">
        <f ca="1">IF(Z272="","",(INDEX(OFFSET(Arb!$U$2,,,Arb!$AJ$5,),Z272)+INDEX(OFFSET(Arb!$V$2,,,Arb!$AJ$5,),Z272))/AA272)</f>
        <v/>
      </c>
      <c r="AE272" s="51" t="str">
        <f t="shared" ca="1" si="88"/>
        <v/>
      </c>
      <c r="AF272" s="91" t="str">
        <f ca="1">IF(Z272="","",DATE(INDEX(OFFSET(Arb!$C$2,,,Arb!$AJ$5,),Z272),INDEX(OFFSET(Arb!$B$2,,,Arb!$AJ$5,),Z272),INDEX(OFFSET(Arb!$A$2,,,Arb!$AJ$5,),Z272))+ROW()*0.001)</f>
        <v/>
      </c>
      <c r="AG272" s="442">
        <v>130</v>
      </c>
      <c r="AI272" s="52" t="str">
        <f ca="1">IF(AH272="","",INDEX(OFFSET(Arb!$H$2,,,Arb!$AJ$5,),AH272))</f>
        <v/>
      </c>
      <c r="AJ272" s="3" t="str">
        <f t="shared" ca="1" si="79"/>
        <v/>
      </c>
      <c r="AK272" s="165" t="str">
        <f ca="1">IF(AH272="","",INDEX(OFFSET(Arb!$X$2,,,Arb!$AJ$5,),AH272)/AI272)</f>
        <v/>
      </c>
      <c r="AL272" s="165" t="str">
        <f ca="1">IF(AH272="","",(INDEX(OFFSET(Arb!$U$2,,,Arb!$AJ$5,),AH272)+INDEX(OFFSET(Arb!$V$2,,,Arb!$AJ$5,),AH272))/AI272)</f>
        <v/>
      </c>
      <c r="AM272" s="51" t="str">
        <f t="shared" ca="1" si="89"/>
        <v/>
      </c>
      <c r="AN272" s="88" t="str">
        <f ca="1">IF(AH272="","",DATE(INDEX(OFFSET(Arb!$C$2,,,Arb!$AJ$5,),AH272),INDEX(OFFSET(Arb!$B$2,,,Arb!$AJ$5,),AH272),INDEX(OFFSET(Arb!$A$2,,,Arb!$AJ$5,),AH272))+ROW()*0.001)</f>
        <v/>
      </c>
      <c r="AO272" s="436">
        <v>130</v>
      </c>
      <c r="AQ272" s="52" t="str">
        <f ca="1">IF(AP272="","",INDEX(OFFSET(Arb!$H$2,,,Arb!$AJ$5,),AP272))</f>
        <v/>
      </c>
      <c r="AR272" s="3" t="str">
        <f t="shared" ca="1" si="80"/>
        <v/>
      </c>
      <c r="AS272" s="165" t="str">
        <f ca="1">IF(AP272="","",INDEX(OFFSET(Arb!$X$2,,,Arb!$AJ$5,),AP272)/AQ272)</f>
        <v/>
      </c>
      <c r="AT272" s="165" t="str">
        <f ca="1">IF(AP272="","",(INDEX(OFFSET(Arb!$U$2,,,Arb!$AJ$5,),AP272)+INDEX(OFFSET(Arb!$V$2,,,Arb!$AJ$5,),AP272))/AQ272)</f>
        <v/>
      </c>
      <c r="AU272" s="51" t="str">
        <f t="shared" ca="1" si="90"/>
        <v/>
      </c>
      <c r="AV272" s="91" t="str">
        <f ca="1">IF(AP272="","",DATE(INDEX(OFFSET(Arb!$C$2,,,Arb!$AJ$5,),AP272),INDEX(OFFSET(Arb!$B$2,,,Arb!$AJ$5,),AP272),INDEX(OFFSET(Arb!$A$2,,,Arb!$AJ$5,),AP272))+ROW()*0.001)</f>
        <v/>
      </c>
      <c r="AW272" s="442">
        <v>130</v>
      </c>
      <c r="AY272" s="52" t="str">
        <f ca="1">IF(AX272="","",INDEX(OFFSET(Arb!$H$2,,,Arb!$AJ$5,),AX272))</f>
        <v/>
      </c>
      <c r="AZ272" s="3" t="str">
        <f t="shared" ca="1" si="81"/>
        <v/>
      </c>
      <c r="BA272" s="165" t="str">
        <f ca="1">IF(AX272="","",INDEX(OFFSET(Arb!$X$2,,,Arb!$AJ$5,),AX272)/AY272)</f>
        <v/>
      </c>
      <c r="BB272" s="165" t="str">
        <f ca="1">IF(AX272="","",(INDEX(OFFSET(Arb!$U$2,,,Arb!$AJ$5,),AX272)+INDEX(OFFSET(Arb!$V$2,,,Arb!$AJ$5,),AX272))/AY272)</f>
        <v/>
      </c>
      <c r="BC272" s="51" t="str">
        <f t="shared" ca="1" si="91"/>
        <v/>
      </c>
      <c r="BD272" s="88" t="str">
        <f ca="1">IF(AX272="","",DATE(INDEX(OFFSET(Arb!$C$2,,,Arb!$AJ$5,),AX272),INDEX(OFFSET(Arb!$B$2,,,Arb!$AJ$5,),AX272),INDEX(OFFSET(Arb!$A$2,,,Arb!$AJ$5,),AX272))+ROW()*0.001)</f>
        <v/>
      </c>
      <c r="BE272" s="436">
        <v>130</v>
      </c>
      <c r="BG272" s="52" t="str">
        <f ca="1">IF(BF272="","",INDEX(OFFSET(Arb!$H$2,,,Arb!$AJ$5,),BF272))</f>
        <v/>
      </c>
      <c r="BH272" s="3" t="str">
        <f t="shared" ca="1" si="82"/>
        <v/>
      </c>
      <c r="BI272" s="165" t="str">
        <f ca="1">IF(BF272="","",INDEX(OFFSET(Arb!$X$2,,,Arb!$AJ$5,),BF272)/BG272)</f>
        <v/>
      </c>
      <c r="BJ272" s="165" t="str">
        <f ca="1">IF(BF272="","",(INDEX(OFFSET(Arb!$U$2,,,Arb!$AJ$5,),BF272)+INDEX(OFFSET(Arb!$V$2,,,Arb!$AJ$5,),BF272))/BG272)</f>
        <v/>
      </c>
      <c r="BK272" s="51" t="str">
        <f t="shared" ca="1" si="92"/>
        <v/>
      </c>
      <c r="BL272" s="91" t="str">
        <f ca="1">IF(BF272="","",DATE(INDEX(OFFSET(Arb!$C$2,,,Arb!$AJ$5,),BF272),INDEX(OFFSET(Arb!$B$2,,,Arb!$AJ$5,),BF272),INDEX(OFFSET(Arb!$A$2,,,Arb!$AJ$5,),BF272))+ROW()*0.001)</f>
        <v/>
      </c>
      <c r="BM272" s="442">
        <v>130</v>
      </c>
      <c r="BO272" s="52" t="str">
        <f ca="1">IF(BN272="","",INDEX(OFFSET(Arb!$H$2,,,Arb!$AJ$5,),BN272))</f>
        <v/>
      </c>
      <c r="BP272" s="3" t="str">
        <f t="shared" ca="1" si="83"/>
        <v/>
      </c>
      <c r="BQ272" s="165" t="str">
        <f ca="1">IF(BN272="","",INDEX(OFFSET(Arb!$X$2,,,Arb!$AJ$5,),BN272)/BO272)</f>
        <v/>
      </c>
      <c r="BR272" s="165" t="str">
        <f ca="1">IF(BN272="","",(INDEX(OFFSET(Arb!$U$2,,,Arb!$AJ$5,),BN272)+INDEX(OFFSET(Arb!$V$2,,,Arb!$AJ$5,),BN272))/BO272)</f>
        <v/>
      </c>
      <c r="BS272" s="51" t="str">
        <f t="shared" ca="1" si="93"/>
        <v/>
      </c>
      <c r="BT272" s="88" t="str">
        <f ca="1">IF(BN272="","",DATE(INDEX(OFFSET(Arb!$C$2,,,Arb!$AJ$5,),BN272),INDEX(OFFSET(Arb!$B$2,,,Arb!$AJ$5,),BN272),INDEX(OFFSET(Arb!$A$2,,,Arb!$AJ$5,),BN272))+ROW()*0.001)</f>
        <v/>
      </c>
      <c r="BU272" s="436">
        <v>130</v>
      </c>
      <c r="BW272" s="52" t="str">
        <f ca="1">IF(BV272="","",INDEX(OFFSET(Arb!$H$2,,,Arb!$AJ$5,),BV272))</f>
        <v/>
      </c>
      <c r="BX272" s="3" t="str">
        <f t="shared" ca="1" si="84"/>
        <v/>
      </c>
      <c r="BY272" s="165" t="str">
        <f ca="1">IF(BV272="","",INDEX(OFFSET(Arb!$X$2,,,Arb!$AJ$5,),BV272)/BW272)</f>
        <v/>
      </c>
      <c r="BZ272" s="165" t="str">
        <f ca="1">IF(BV272="","",(INDEX(OFFSET(Arb!$U$2,,,Arb!$AJ$5,),BV272)+INDEX(OFFSET(Arb!$V$2,,,Arb!$AJ$5,),BV272))/BW272)</f>
        <v/>
      </c>
      <c r="CA272" s="51" t="str">
        <f t="shared" ca="1" si="94"/>
        <v/>
      </c>
      <c r="CB272" s="91" t="str">
        <f ca="1">IF(BV272="","",DATE(INDEX(OFFSET(Arb!$C$2,,,Arb!$AJ$5,),BV272),INDEX(OFFSET(Arb!$B$2,,,Arb!$AJ$5,),BV272),INDEX(OFFSET(Arb!$A$2,,,Arb!$AJ$5,),BV272))+ROW()*0.001)</f>
        <v/>
      </c>
    </row>
    <row r="273" spans="1:80" x14ac:dyDescent="0.25">
      <c r="A273" s="433">
        <v>131</v>
      </c>
      <c r="B273" s="1">
        <v>3176</v>
      </c>
      <c r="C273" s="52">
        <f ca="1">IF(B273="","",INDEX(OFFSET(Arb!$H$2,,,Arb!$AJ$5,),B273))</f>
        <v>62.14</v>
      </c>
      <c r="D273" s="3">
        <f t="shared" ca="1" si="75"/>
        <v>2.1081429031219825</v>
      </c>
      <c r="E273" s="165">
        <f ca="1">IF(B273="","",INDEX(OFFSET(Arb!$X$2,,,Arb!$AJ$5,),B273)/C273)</f>
        <v>2.6874798841326037</v>
      </c>
      <c r="F273" s="165">
        <f ca="1">IF(B273="","",(INDEX(OFFSET(Arb!$U$2,,,Arb!$AJ$5,),B273)+INDEX(OFFSET(Arb!$V$2,,,Arb!$AJ$5,),B273))/C273)</f>
        <v>3.0093337624718379</v>
      </c>
      <c r="G273" s="51">
        <f t="shared" ca="1" si="85"/>
        <v>50.936655738123498</v>
      </c>
      <c r="H273" s="355">
        <f ca="1">IF(B273="","",DATE(INDEX(OFFSET(Arb!$C$2,,,Arb!$AJ$5,),B273),INDEX(OFFSET(Arb!$B$2,,,Arb!$AJ$5,),B273),INDEX(OFFSET(Arb!$A$2,,,Arb!$AJ$5,),B273))+ROW()*0.001)</f>
        <v>44045.273000000001</v>
      </c>
      <c r="I273" s="436">
        <v>131</v>
      </c>
      <c r="J273" s="1">
        <v>3046</v>
      </c>
      <c r="K273" s="52">
        <f ca="1">IF(J273="","",INDEX(OFFSET(Arb!$H$2,,,Arb!$AJ$5,),J273))</f>
        <v>62.75</v>
      </c>
      <c r="L273" s="3">
        <f t="shared" ca="1" si="76"/>
        <v>2.0876494023904382</v>
      </c>
      <c r="M273" s="165">
        <f ca="1">IF(J273="","",INDEX(OFFSET(Arb!$X$2,,,Arb!$AJ$5,),J273)/K273)</f>
        <v>2.6772908366533863</v>
      </c>
      <c r="N273" s="165">
        <f ca="1">IF(J273="","",(INDEX(OFFSET(Arb!$U$2,,,Arb!$AJ$5,),J273)+INDEX(OFFSET(Arb!$V$2,,,Arb!$AJ$5,),J273))/K273)</f>
        <v>3.1394422310756971</v>
      </c>
      <c r="O273" s="51">
        <f t="shared" ca="1" si="86"/>
        <v>50.097748678164024</v>
      </c>
      <c r="P273" s="91">
        <f ca="1">IF(J273="","",DATE(INDEX(OFFSET(Arb!$C$2,,,Arb!$AJ$5,),J273),INDEX(OFFSET(Arb!$B$2,,,Arb!$AJ$5,),J273),INDEX(OFFSET(Arb!$A$2,,,Arb!$AJ$5,),J273))+ROW()*0.001)</f>
        <v>43980.273000000001</v>
      </c>
      <c r="Q273" s="442">
        <v>131</v>
      </c>
      <c r="R273" s="1">
        <v>2606</v>
      </c>
      <c r="S273" s="52">
        <f ca="1">IF(R273="","",INDEX(OFFSET(Arb!$H$2,,,Arb!$AJ$5,),R273))</f>
        <v>70.209999999999994</v>
      </c>
      <c r="T273" s="3">
        <f t="shared" ca="1" si="77"/>
        <v>1.8658310781939895</v>
      </c>
      <c r="U273" s="165">
        <f ca="1">IF(R273="","",INDEX(OFFSET(Arb!$X$2,,,Arb!$AJ$5,),R273)/S273)</f>
        <v>2.3643355647343687</v>
      </c>
      <c r="V273" s="165">
        <f ca="1">IF(R273="","",(INDEX(OFFSET(Arb!$U$2,,,Arb!$AJ$5,),R273)+INDEX(OFFSET(Arb!$V$2,,,Arb!$AJ$5,),R273))/S273)</f>
        <v>2.7916251246261217</v>
      </c>
      <c r="W273" s="51">
        <f t="shared" ca="1" si="87"/>
        <v>41.388844019417661</v>
      </c>
      <c r="X273" s="88">
        <f ca="1">IF(R273="","",DATE(INDEX(OFFSET(Arb!$C$2,,,Arb!$AJ$5,),R273),INDEX(OFFSET(Arb!$B$2,,,Arb!$AJ$5,),R273),INDEX(OFFSET(Arb!$A$2,,,Arb!$AJ$5,),R273))+ROW()*0.001)</f>
        <v>43809.273000000001</v>
      </c>
      <c r="Y273" s="436">
        <v>131</v>
      </c>
      <c r="Z273" s="1">
        <v>3169</v>
      </c>
      <c r="AA273" s="52">
        <f ca="1">IF(Z273="","",INDEX(OFFSET(Arb!$H$2,,,Arb!$AJ$5,),Z273))</f>
        <v>70.790000000000006</v>
      </c>
      <c r="AB273" s="3">
        <f t="shared" ca="1" si="78"/>
        <v>1.8505438621274191</v>
      </c>
      <c r="AC273" s="165">
        <f ca="1">IF(Z273="","",INDEX(OFFSET(Arb!$X$2,,,Arb!$AJ$5,),Z273)/AA273)</f>
        <v>2.3308376889391154</v>
      </c>
      <c r="AD273" s="165">
        <f ca="1">IF(Z273="","",(INDEX(OFFSET(Arb!$U$2,,,Arb!$AJ$5,),Z273)+INDEX(OFFSET(Arb!$V$2,,,Arb!$AJ$5,),Z273))/AA273)</f>
        <v>2.6274897584404573</v>
      </c>
      <c r="AE273" s="51">
        <f t="shared" ca="1" si="88"/>
        <v>40.81401314596733</v>
      </c>
      <c r="AF273" s="91">
        <f ca="1">IF(Z273="","",DATE(INDEX(OFFSET(Arb!$C$2,,,Arb!$AJ$5,),Z273),INDEX(OFFSET(Arb!$B$2,,,Arb!$AJ$5,),Z273),INDEX(OFFSET(Arb!$A$2,,,Arb!$AJ$5,),Z273))+ROW()*0.001)</f>
        <v>44035.273000000001</v>
      </c>
      <c r="AG273" s="442">
        <v>131</v>
      </c>
      <c r="AH273" s="1">
        <v>2449</v>
      </c>
      <c r="AI273" s="52">
        <f ca="1">IF(AH273="","",INDEX(OFFSET(Arb!$H$2,,,Arb!$AJ$5,),AH273))</f>
        <v>74.95</v>
      </c>
      <c r="AJ273" s="3">
        <f t="shared" ca="1" si="79"/>
        <v>1.7478318879252834</v>
      </c>
      <c r="AK273" s="165">
        <f ca="1">IF(AH273="","",INDEX(OFFSET(Arb!$X$2,,,Arb!$AJ$5,),AH273)/AI273)</f>
        <v>2.428285523682455</v>
      </c>
      <c r="AL273" s="165">
        <f ca="1">IF(AH273="","",(INDEX(OFFSET(Arb!$U$2,,,Arb!$AJ$5,),AH273)+INDEX(OFFSET(Arb!$V$2,,,Arb!$AJ$5,),AH273))/AI273)</f>
        <v>2.8018679119412941</v>
      </c>
      <c r="AM273" s="51">
        <f t="shared" ca="1" si="89"/>
        <v>37.038191070842906</v>
      </c>
      <c r="AN273" s="88">
        <f ca="1">IF(AH273="","",DATE(INDEX(OFFSET(Arb!$C$2,,,Arb!$AJ$5,),AH273),INDEX(OFFSET(Arb!$B$2,,,Arb!$AJ$5,),AH273),INDEX(OFFSET(Arb!$A$2,,,Arb!$AJ$5,),AH273))+ROW()*0.001)</f>
        <v>43775.273000000001</v>
      </c>
      <c r="AO273" s="436">
        <v>131</v>
      </c>
      <c r="AP273" s="1">
        <v>2729</v>
      </c>
      <c r="AQ273" s="52">
        <f ca="1">IF(AP273="","",INDEX(OFFSET(Arb!$H$2,,,Arb!$AJ$5,),AP273))</f>
        <v>75.38</v>
      </c>
      <c r="AR273" s="3">
        <f t="shared" ca="1" si="80"/>
        <v>1.7378615017245955</v>
      </c>
      <c r="AS273" s="165">
        <f ca="1">IF(AP273="","",INDEX(OFFSET(Arb!$X$2,,,Arb!$AJ$5,),AP273)/AQ273)</f>
        <v>2.387901300079597</v>
      </c>
      <c r="AT273" s="165">
        <f ca="1">IF(AP273="","",(INDEX(OFFSET(Arb!$U$2,,,Arb!$AJ$5,),AP273)+INDEX(OFFSET(Arb!$V$2,,,Arb!$AJ$5,),AP273))/AQ273)</f>
        <v>2.7593526134253121</v>
      </c>
      <c r="AU273" s="51">
        <f t="shared" ca="1" si="90"/>
        <v>36.679729538200924</v>
      </c>
      <c r="AV273" s="91">
        <f ca="1">IF(AP273="","",DATE(INDEX(OFFSET(Arb!$C$2,,,Arb!$AJ$5,),AP273),INDEX(OFFSET(Arb!$B$2,,,Arb!$AJ$5,),AP273),INDEX(OFFSET(Arb!$A$2,,,Arb!$AJ$5,),AP273))+ROW()*0.001)</f>
        <v>43869.273000000001</v>
      </c>
      <c r="AW273" s="442">
        <v>131</v>
      </c>
      <c r="AY273" s="52" t="str">
        <f ca="1">IF(AX273="","",INDEX(OFFSET(Arb!$H$2,,,Arb!$AJ$5,),AX273))</f>
        <v/>
      </c>
      <c r="AZ273" s="3" t="str">
        <f t="shared" ca="1" si="81"/>
        <v/>
      </c>
      <c r="BA273" s="165" t="str">
        <f ca="1">IF(AX273="","",INDEX(OFFSET(Arb!$X$2,,,Arb!$AJ$5,),AX273)/AY273)</f>
        <v/>
      </c>
      <c r="BB273" s="165" t="str">
        <f ca="1">IF(AX273="","",(INDEX(OFFSET(Arb!$U$2,,,Arb!$AJ$5,),AX273)+INDEX(OFFSET(Arb!$V$2,,,Arb!$AJ$5,),AX273))/AY273)</f>
        <v/>
      </c>
      <c r="BC273" s="51" t="str">
        <f t="shared" ca="1" si="91"/>
        <v/>
      </c>
      <c r="BD273" s="88" t="str">
        <f ca="1">IF(AX273="","",DATE(INDEX(OFFSET(Arb!$C$2,,,Arb!$AJ$5,),AX273),INDEX(OFFSET(Arb!$B$2,,,Arb!$AJ$5,),AX273),INDEX(OFFSET(Arb!$A$2,,,Arb!$AJ$5,),AX273))+ROW()*0.001)</f>
        <v/>
      </c>
      <c r="BE273" s="436">
        <v>131</v>
      </c>
      <c r="BG273" s="52" t="str">
        <f ca="1">IF(BF273="","",INDEX(OFFSET(Arb!$H$2,,,Arb!$AJ$5,),BF273))</f>
        <v/>
      </c>
      <c r="BH273" s="3" t="str">
        <f t="shared" ca="1" si="82"/>
        <v/>
      </c>
      <c r="BI273" s="165" t="str">
        <f ca="1">IF(BF273="","",INDEX(OFFSET(Arb!$X$2,,,Arb!$AJ$5,),BF273)/BG273)</f>
        <v/>
      </c>
      <c r="BJ273" s="165" t="str">
        <f ca="1">IF(BF273="","",(INDEX(OFFSET(Arb!$U$2,,,Arb!$AJ$5,),BF273)+INDEX(OFFSET(Arb!$V$2,,,Arb!$AJ$5,),BF273))/BG273)</f>
        <v/>
      </c>
      <c r="BK273" s="51" t="str">
        <f t="shared" ca="1" si="92"/>
        <v/>
      </c>
      <c r="BL273" s="91" t="str">
        <f ca="1">IF(BF273="","",DATE(INDEX(OFFSET(Arb!$C$2,,,Arb!$AJ$5,),BF273),INDEX(OFFSET(Arb!$B$2,,,Arb!$AJ$5,),BF273),INDEX(OFFSET(Arb!$A$2,,,Arb!$AJ$5,),BF273))+ROW()*0.001)</f>
        <v/>
      </c>
      <c r="BM273" s="442">
        <v>131</v>
      </c>
      <c r="BO273" s="52" t="str">
        <f ca="1">IF(BN273="","",INDEX(OFFSET(Arb!$H$2,,,Arb!$AJ$5,),BN273))</f>
        <v/>
      </c>
      <c r="BP273" s="3" t="str">
        <f t="shared" ca="1" si="83"/>
        <v/>
      </c>
      <c r="BQ273" s="165" t="str">
        <f ca="1">IF(BN273="","",INDEX(OFFSET(Arb!$X$2,,,Arb!$AJ$5,),BN273)/BO273)</f>
        <v/>
      </c>
      <c r="BR273" s="165" t="str">
        <f ca="1">IF(BN273="","",(INDEX(OFFSET(Arb!$U$2,,,Arb!$AJ$5,),BN273)+INDEX(OFFSET(Arb!$V$2,,,Arb!$AJ$5,),BN273))/BO273)</f>
        <v/>
      </c>
      <c r="BS273" s="51" t="str">
        <f t="shared" ca="1" si="93"/>
        <v/>
      </c>
      <c r="BT273" s="88" t="str">
        <f ca="1">IF(BN273="","",DATE(INDEX(OFFSET(Arb!$C$2,,,Arb!$AJ$5,),BN273),INDEX(OFFSET(Arb!$B$2,,,Arb!$AJ$5,),BN273),INDEX(OFFSET(Arb!$A$2,,,Arb!$AJ$5,),BN273))+ROW()*0.001)</f>
        <v/>
      </c>
      <c r="BU273" s="436">
        <v>131</v>
      </c>
      <c r="BW273" s="52" t="str">
        <f ca="1">IF(BV273="","",INDEX(OFFSET(Arb!$H$2,,,Arb!$AJ$5,),BV273))</f>
        <v/>
      </c>
      <c r="BX273" s="3" t="str">
        <f t="shared" ca="1" si="84"/>
        <v/>
      </c>
      <c r="BY273" s="165" t="str">
        <f ca="1">IF(BV273="","",INDEX(OFFSET(Arb!$X$2,,,Arb!$AJ$5,),BV273)/BW273)</f>
        <v/>
      </c>
      <c r="BZ273" s="165" t="str">
        <f ca="1">IF(BV273="","",(INDEX(OFFSET(Arb!$U$2,,,Arb!$AJ$5,),BV273)+INDEX(OFFSET(Arb!$V$2,,,Arb!$AJ$5,),BV273))/BW273)</f>
        <v/>
      </c>
      <c r="CA273" s="51" t="str">
        <f t="shared" ca="1" si="94"/>
        <v/>
      </c>
      <c r="CB273" s="91" t="str">
        <f ca="1">IF(BV273="","",DATE(INDEX(OFFSET(Arb!$C$2,,,Arb!$AJ$5,),BV273),INDEX(OFFSET(Arb!$B$2,,,Arb!$AJ$5,),BV273),INDEX(OFFSET(Arb!$A$2,,,Arb!$AJ$5,),BV273))+ROW()*0.001)</f>
        <v/>
      </c>
    </row>
    <row r="274" spans="1:80" x14ac:dyDescent="0.25">
      <c r="A274" s="433">
        <v>132</v>
      </c>
      <c r="B274" s="1">
        <v>2988</v>
      </c>
      <c r="C274" s="52">
        <f ca="1">IF(B274="","",INDEX(OFFSET(Arb!$H$2,,,Arb!$AJ$5,),B274))</f>
        <v>67.14</v>
      </c>
      <c r="D274" s="3">
        <f t="shared" ca="1" si="75"/>
        <v>1.9660411081322609</v>
      </c>
      <c r="E274" s="165">
        <f ca="1">IF(B274="","",INDEX(OFFSET(Arb!$X$2,,,Arb!$AJ$5,),B274)/C274)</f>
        <v>2.5915996425379801</v>
      </c>
      <c r="F274" s="165">
        <f ca="1">IF(B274="","",(INDEX(OFFSET(Arb!$U$2,,,Arb!$AJ$5,),B274)+INDEX(OFFSET(Arb!$V$2,,,Arb!$AJ$5,),B274))/C274)</f>
        <v>2.8894846589216563</v>
      </c>
      <c r="G274" s="51">
        <f t="shared" ca="1" si="85"/>
        <v>44.998280003022401</v>
      </c>
      <c r="H274" s="355">
        <f ca="1">IF(B274="","",DATE(INDEX(OFFSET(Arb!$C$2,,,Arb!$AJ$5,),B274),INDEX(OFFSET(Arb!$B$2,,,Arb!$AJ$5,),B274),INDEX(OFFSET(Arb!$A$2,,,Arb!$AJ$5,),B274))+ROW()*0.001)</f>
        <v>43956.273999999998</v>
      </c>
      <c r="I274" s="436">
        <v>132</v>
      </c>
      <c r="J274" s="1">
        <v>3165</v>
      </c>
      <c r="K274" s="52">
        <f ca="1">IF(J274="","",INDEX(OFFSET(Arb!$H$2,,,Arb!$AJ$5,),J274))</f>
        <v>68.099999999999994</v>
      </c>
      <c r="L274" s="3">
        <f t="shared" ca="1" si="76"/>
        <v>1.9383259911894275</v>
      </c>
      <c r="M274" s="165">
        <f ca="1">IF(J274="","",INDEX(OFFSET(Arb!$X$2,,,Arb!$AJ$5,),J274)/K274)</f>
        <v>2.643171806167401</v>
      </c>
      <c r="N274" s="165">
        <f ca="1">IF(J274="","",(INDEX(OFFSET(Arb!$U$2,,,Arb!$AJ$5,),J274)+INDEX(OFFSET(Arb!$V$2,,,Arb!$AJ$5,),J274))/K274)</f>
        <v>3.0249632892804703</v>
      </c>
      <c r="O274" s="51">
        <f t="shared" ca="1" si="86"/>
        <v>43.925235266687075</v>
      </c>
      <c r="P274" s="91">
        <f ca="1">IF(J274="","",DATE(INDEX(OFFSET(Arb!$C$2,,,Arb!$AJ$5,),J274),INDEX(OFFSET(Arb!$B$2,,,Arb!$AJ$5,),J274),INDEX(OFFSET(Arb!$A$2,,,Arb!$AJ$5,),J274))+ROW()*0.001)</f>
        <v>44032.273999999998</v>
      </c>
      <c r="Q274" s="442">
        <v>132</v>
      </c>
      <c r="S274" s="52" t="str">
        <f ca="1">IF(R274="","",INDEX(OFFSET(Arb!$H$2,,,Arb!$AJ$5,),R274))</f>
        <v/>
      </c>
      <c r="T274" s="3" t="str">
        <f t="shared" ca="1" si="77"/>
        <v/>
      </c>
      <c r="U274" s="165" t="str">
        <f ca="1">IF(R274="","",INDEX(OFFSET(Arb!$X$2,,,Arb!$AJ$5,),R274)/S274)</f>
        <v/>
      </c>
      <c r="V274" s="165" t="str">
        <f ca="1">IF(R274="","",(INDEX(OFFSET(Arb!$U$2,,,Arb!$AJ$5,),R274)+INDEX(OFFSET(Arb!$V$2,,,Arb!$AJ$5,),R274))/S274)</f>
        <v/>
      </c>
      <c r="W274" s="51" t="str">
        <f t="shared" ca="1" si="87"/>
        <v/>
      </c>
      <c r="X274" s="88" t="str">
        <f ca="1">IF(R274="","",DATE(INDEX(OFFSET(Arb!$C$2,,,Arb!$AJ$5,),R274),INDEX(OFFSET(Arb!$B$2,,,Arb!$AJ$5,),R274),INDEX(OFFSET(Arb!$A$2,,,Arb!$AJ$5,),R274))+ROW()*0.001)</f>
        <v/>
      </c>
      <c r="Y274" s="436">
        <v>132</v>
      </c>
      <c r="AA274" s="52" t="str">
        <f ca="1">IF(Z274="","",INDEX(OFFSET(Arb!$H$2,,,Arb!$AJ$5,),Z274))</f>
        <v/>
      </c>
      <c r="AB274" s="3" t="str">
        <f t="shared" ca="1" si="78"/>
        <v/>
      </c>
      <c r="AC274" s="165" t="str">
        <f ca="1">IF(Z274="","",INDEX(OFFSET(Arb!$X$2,,,Arb!$AJ$5,),Z274)/AA274)</f>
        <v/>
      </c>
      <c r="AD274" s="165" t="str">
        <f ca="1">IF(Z274="","",(INDEX(OFFSET(Arb!$U$2,,,Arb!$AJ$5,),Z274)+INDEX(OFFSET(Arb!$V$2,,,Arb!$AJ$5,),Z274))/AA274)</f>
        <v/>
      </c>
      <c r="AE274" s="51" t="str">
        <f t="shared" ca="1" si="88"/>
        <v/>
      </c>
      <c r="AF274" s="91" t="str">
        <f ca="1">IF(Z274="","",DATE(INDEX(OFFSET(Arb!$C$2,,,Arb!$AJ$5,),Z274),INDEX(OFFSET(Arb!$B$2,,,Arb!$AJ$5,),Z274),INDEX(OFFSET(Arb!$A$2,,,Arb!$AJ$5,),Z274))+ROW()*0.001)</f>
        <v/>
      </c>
      <c r="AG274" s="442">
        <v>132</v>
      </c>
      <c r="AI274" s="52" t="str">
        <f ca="1">IF(AH274="","",INDEX(OFFSET(Arb!$H$2,,,Arb!$AJ$5,),AH274))</f>
        <v/>
      </c>
      <c r="AJ274" s="3" t="str">
        <f t="shared" ca="1" si="79"/>
        <v/>
      </c>
      <c r="AK274" s="165" t="str">
        <f ca="1">IF(AH274="","",INDEX(OFFSET(Arb!$X$2,,,Arb!$AJ$5,),AH274)/AI274)</f>
        <v/>
      </c>
      <c r="AL274" s="165" t="str">
        <f ca="1">IF(AH274="","",(INDEX(OFFSET(Arb!$U$2,,,Arb!$AJ$5,),AH274)+INDEX(OFFSET(Arb!$V$2,,,Arb!$AJ$5,),AH274))/AI274)</f>
        <v/>
      </c>
      <c r="AM274" s="51" t="str">
        <f t="shared" ca="1" si="89"/>
        <v/>
      </c>
      <c r="AN274" s="88" t="str">
        <f ca="1">IF(AH274="","",DATE(INDEX(OFFSET(Arb!$C$2,,,Arb!$AJ$5,),AH274),INDEX(OFFSET(Arb!$B$2,,,Arb!$AJ$5,),AH274),INDEX(OFFSET(Arb!$A$2,,,Arb!$AJ$5,),AH274))+ROW()*0.001)</f>
        <v/>
      </c>
      <c r="AO274" s="436">
        <v>132</v>
      </c>
      <c r="AQ274" s="52" t="str">
        <f ca="1">IF(AP274="","",INDEX(OFFSET(Arb!$H$2,,,Arb!$AJ$5,),AP274))</f>
        <v/>
      </c>
      <c r="AR274" s="3" t="str">
        <f t="shared" ca="1" si="80"/>
        <v/>
      </c>
      <c r="AS274" s="165" t="str">
        <f ca="1">IF(AP274="","",INDEX(OFFSET(Arb!$X$2,,,Arb!$AJ$5,),AP274)/AQ274)</f>
        <v/>
      </c>
      <c r="AT274" s="165" t="str">
        <f ca="1">IF(AP274="","",(INDEX(OFFSET(Arb!$U$2,,,Arb!$AJ$5,),AP274)+INDEX(OFFSET(Arb!$V$2,,,Arb!$AJ$5,),AP274))/AQ274)</f>
        <v/>
      </c>
      <c r="AU274" s="51" t="str">
        <f t="shared" ca="1" si="90"/>
        <v/>
      </c>
      <c r="AV274" s="91" t="str">
        <f ca="1">IF(AP274="","",DATE(INDEX(OFFSET(Arb!$C$2,,,Arb!$AJ$5,),AP274),INDEX(OFFSET(Arb!$B$2,,,Arb!$AJ$5,),AP274),INDEX(OFFSET(Arb!$A$2,,,Arb!$AJ$5,),AP274))+ROW()*0.001)</f>
        <v/>
      </c>
      <c r="AW274" s="442">
        <v>132</v>
      </c>
      <c r="AY274" s="52" t="str">
        <f ca="1">IF(AX274="","",INDEX(OFFSET(Arb!$H$2,,,Arb!$AJ$5,),AX274))</f>
        <v/>
      </c>
      <c r="AZ274" s="3" t="str">
        <f t="shared" ca="1" si="81"/>
        <v/>
      </c>
      <c r="BA274" s="165" t="str">
        <f ca="1">IF(AX274="","",INDEX(OFFSET(Arb!$X$2,,,Arb!$AJ$5,),AX274)/AY274)</f>
        <v/>
      </c>
      <c r="BB274" s="165" t="str">
        <f ca="1">IF(AX274="","",(INDEX(OFFSET(Arb!$U$2,,,Arb!$AJ$5,),AX274)+INDEX(OFFSET(Arb!$V$2,,,Arb!$AJ$5,),AX274))/AY274)</f>
        <v/>
      </c>
      <c r="BC274" s="51" t="str">
        <f t="shared" ca="1" si="91"/>
        <v/>
      </c>
      <c r="BD274" s="88" t="str">
        <f ca="1">IF(AX274="","",DATE(INDEX(OFFSET(Arb!$C$2,,,Arb!$AJ$5,),AX274),INDEX(OFFSET(Arb!$B$2,,,Arb!$AJ$5,),AX274),INDEX(OFFSET(Arb!$A$2,,,Arb!$AJ$5,),AX274))+ROW()*0.001)</f>
        <v/>
      </c>
      <c r="BE274" s="436">
        <v>132</v>
      </c>
      <c r="BG274" s="52" t="str">
        <f ca="1">IF(BF274="","",INDEX(OFFSET(Arb!$H$2,,,Arb!$AJ$5,),BF274))</f>
        <v/>
      </c>
      <c r="BH274" s="3" t="str">
        <f t="shared" ca="1" si="82"/>
        <v/>
      </c>
      <c r="BI274" s="165" t="str">
        <f ca="1">IF(BF274="","",INDEX(OFFSET(Arb!$X$2,,,Arb!$AJ$5,),BF274)/BG274)</f>
        <v/>
      </c>
      <c r="BJ274" s="165" t="str">
        <f ca="1">IF(BF274="","",(INDEX(OFFSET(Arb!$U$2,,,Arb!$AJ$5,),BF274)+INDEX(OFFSET(Arb!$V$2,,,Arb!$AJ$5,),BF274))/BG274)</f>
        <v/>
      </c>
      <c r="BK274" s="51" t="str">
        <f t="shared" ca="1" si="92"/>
        <v/>
      </c>
      <c r="BL274" s="91" t="str">
        <f ca="1">IF(BF274="","",DATE(INDEX(OFFSET(Arb!$C$2,,,Arb!$AJ$5,),BF274),INDEX(OFFSET(Arb!$B$2,,,Arb!$AJ$5,),BF274),INDEX(OFFSET(Arb!$A$2,,,Arb!$AJ$5,),BF274))+ROW()*0.001)</f>
        <v/>
      </c>
      <c r="BM274" s="442">
        <v>132</v>
      </c>
      <c r="BO274" s="52" t="str">
        <f ca="1">IF(BN274="","",INDEX(OFFSET(Arb!$H$2,,,Arb!$AJ$5,),BN274))</f>
        <v/>
      </c>
      <c r="BP274" s="3" t="str">
        <f t="shared" ca="1" si="83"/>
        <v/>
      </c>
      <c r="BQ274" s="165" t="str">
        <f ca="1">IF(BN274="","",INDEX(OFFSET(Arb!$X$2,,,Arb!$AJ$5,),BN274)/BO274)</f>
        <v/>
      </c>
      <c r="BR274" s="165" t="str">
        <f ca="1">IF(BN274="","",(INDEX(OFFSET(Arb!$U$2,,,Arb!$AJ$5,),BN274)+INDEX(OFFSET(Arb!$V$2,,,Arb!$AJ$5,),BN274))/BO274)</f>
        <v/>
      </c>
      <c r="BS274" s="51" t="str">
        <f t="shared" ca="1" si="93"/>
        <v/>
      </c>
      <c r="BT274" s="88" t="str">
        <f ca="1">IF(BN274="","",DATE(INDEX(OFFSET(Arb!$C$2,,,Arb!$AJ$5,),BN274),INDEX(OFFSET(Arb!$B$2,,,Arb!$AJ$5,),BN274),INDEX(OFFSET(Arb!$A$2,,,Arb!$AJ$5,),BN274))+ROW()*0.001)</f>
        <v/>
      </c>
      <c r="BU274" s="436">
        <v>132</v>
      </c>
      <c r="BW274" s="52" t="str">
        <f ca="1">IF(BV274="","",INDEX(OFFSET(Arb!$H$2,,,Arb!$AJ$5,),BV274))</f>
        <v/>
      </c>
      <c r="BX274" s="3" t="str">
        <f t="shared" ca="1" si="84"/>
        <v/>
      </c>
      <c r="BY274" s="165" t="str">
        <f ca="1">IF(BV274="","",INDEX(OFFSET(Arb!$X$2,,,Arb!$AJ$5,),BV274)/BW274)</f>
        <v/>
      </c>
      <c r="BZ274" s="165" t="str">
        <f ca="1">IF(BV274="","",(INDEX(OFFSET(Arb!$U$2,,,Arb!$AJ$5,),BV274)+INDEX(OFFSET(Arb!$V$2,,,Arb!$AJ$5,),BV274))/BW274)</f>
        <v/>
      </c>
      <c r="CA274" s="51" t="str">
        <f t="shared" ca="1" si="94"/>
        <v/>
      </c>
      <c r="CB274" s="91" t="str">
        <f ca="1">IF(BV274="","",DATE(INDEX(OFFSET(Arb!$C$2,,,Arb!$AJ$5,),BV274),INDEX(OFFSET(Arb!$B$2,,,Arb!$AJ$5,),BV274),INDEX(OFFSET(Arb!$A$2,,,Arb!$AJ$5,),BV274))+ROW()*0.001)</f>
        <v/>
      </c>
    </row>
    <row r="275" spans="1:80" x14ac:dyDescent="0.25">
      <c r="A275" s="433">
        <v>133</v>
      </c>
      <c r="B275" s="1">
        <v>2612</v>
      </c>
      <c r="C275" s="52">
        <f ca="1">IF(B275="","",INDEX(OFFSET(Arb!$H$2,,,Arb!$AJ$5,),B275))</f>
        <v>67.12</v>
      </c>
      <c r="D275" s="3">
        <f t="shared" ca="1" si="75"/>
        <v>1.9815256257449343</v>
      </c>
      <c r="E275" s="165">
        <f ca="1">IF(B275="","",INDEX(OFFSET(Arb!$X$2,,,Arb!$AJ$5,),B275)/C275)</f>
        <v>2.7115613825983313</v>
      </c>
      <c r="F275" s="165">
        <f ca="1">IF(B275="","",(INDEX(OFFSET(Arb!$U$2,,,Arb!$AJ$5,),B275)+INDEX(OFFSET(Arb!$V$2,,,Arb!$AJ$5,),B275))/C275)</f>
        <v>3.0989272943980928</v>
      </c>
      <c r="G275" s="51">
        <f t="shared" ca="1" si="85"/>
        <v>45.362145264321946</v>
      </c>
      <c r="H275" s="355">
        <f ca="1">IF(B275="","",DATE(INDEX(OFFSET(Arb!$C$2,,,Arb!$AJ$5,),B275),INDEX(OFFSET(Arb!$B$2,,,Arb!$AJ$5,),B275),INDEX(OFFSET(Arb!$A$2,,,Arb!$AJ$5,),B275))+ROW()*0.001)</f>
        <v>43811.275000000001</v>
      </c>
      <c r="I275" s="436">
        <v>133</v>
      </c>
      <c r="J275" s="1">
        <v>2695</v>
      </c>
      <c r="K275" s="52">
        <f ca="1">IF(J275="","",INDEX(OFFSET(Arb!$H$2,,,Arb!$AJ$5,),J275))</f>
        <v>68.8</v>
      </c>
      <c r="L275" s="3">
        <f t="shared" ca="1" si="76"/>
        <v>1.933139534883721</v>
      </c>
      <c r="M275" s="165">
        <f ca="1">IF(J275="","",INDEX(OFFSET(Arb!$X$2,,,Arb!$AJ$5,),J275)/K275)</f>
        <v>2.3691860465116279</v>
      </c>
      <c r="N275" s="165">
        <f ca="1">IF(J275="","",(INDEX(OFFSET(Arb!$U$2,,,Arb!$AJ$5,),J275)+INDEX(OFFSET(Arb!$V$2,,,Arb!$AJ$5,),J275))/K275)</f>
        <v>2.7470930232558142</v>
      </c>
      <c r="O275" s="51">
        <f t="shared" ca="1" si="86"/>
        <v>43.495221946941875</v>
      </c>
      <c r="P275" s="91">
        <f ca="1">IF(J275="","",DATE(INDEX(OFFSET(Arb!$C$2,,,Arb!$AJ$5,),J275),INDEX(OFFSET(Arb!$B$2,,,Arb!$AJ$5,),J275),INDEX(OFFSET(Arb!$A$2,,,Arb!$AJ$5,),J275))+ROW()*0.001)</f>
        <v>43839.275000000001</v>
      </c>
      <c r="Q275" s="442">
        <v>133</v>
      </c>
      <c r="R275" s="1">
        <v>3051</v>
      </c>
      <c r="S275" s="52">
        <f ca="1">IF(R275="","",INDEX(OFFSET(Arb!$H$2,,,Arb!$AJ$5,),R275))</f>
        <v>69.16</v>
      </c>
      <c r="T275" s="3">
        <f t="shared" ca="1" si="77"/>
        <v>1.9230769230769231</v>
      </c>
      <c r="U275" s="165">
        <f ca="1">IF(R275="","",INDEX(OFFSET(Arb!$X$2,,,Arb!$AJ$5,),R275)/S275)</f>
        <v>2.3857721226142279</v>
      </c>
      <c r="V275" s="165">
        <f ca="1">IF(R275="","",(INDEX(OFFSET(Arb!$U$2,,,Arb!$AJ$5,),R275)+INDEX(OFFSET(Arb!$V$2,,,Arb!$AJ$5,),R275))/S275)</f>
        <v>2.718334297281666</v>
      </c>
      <c r="W275" s="51">
        <f t="shared" ca="1" si="87"/>
        <v>43.111032325009504</v>
      </c>
      <c r="X275" s="88">
        <f ca="1">IF(R275="","",DATE(INDEX(OFFSET(Arb!$C$2,,,Arb!$AJ$5,),R275),INDEX(OFFSET(Arb!$B$2,,,Arb!$AJ$5,),R275),INDEX(OFFSET(Arb!$A$2,,,Arb!$AJ$5,),R275))+ROW()*0.001)</f>
        <v>43982.275000000001</v>
      </c>
      <c r="Y275" s="436">
        <v>133</v>
      </c>
      <c r="AA275" s="52" t="str">
        <f ca="1">IF(Z275="","",INDEX(OFFSET(Arb!$H$2,,,Arb!$AJ$5,),Z275))</f>
        <v/>
      </c>
      <c r="AB275" s="3" t="str">
        <f t="shared" ca="1" si="78"/>
        <v/>
      </c>
      <c r="AC275" s="165" t="str">
        <f ca="1">IF(Z275="","",INDEX(OFFSET(Arb!$X$2,,,Arb!$AJ$5,),Z275)/AA275)</f>
        <v/>
      </c>
      <c r="AD275" s="165" t="str">
        <f ca="1">IF(Z275="","",(INDEX(OFFSET(Arb!$U$2,,,Arb!$AJ$5,),Z275)+INDEX(OFFSET(Arb!$V$2,,,Arb!$AJ$5,),Z275))/AA275)</f>
        <v/>
      </c>
      <c r="AE275" s="51" t="str">
        <f t="shared" ca="1" si="88"/>
        <v/>
      </c>
      <c r="AF275" s="91" t="str">
        <f ca="1">IF(Z275="","",DATE(INDEX(OFFSET(Arb!$C$2,,,Arb!$AJ$5,),Z275),INDEX(OFFSET(Arb!$B$2,,,Arb!$AJ$5,),Z275),INDEX(OFFSET(Arb!$A$2,,,Arb!$AJ$5,),Z275))+ROW()*0.001)</f>
        <v/>
      </c>
      <c r="AG275" s="442">
        <v>133</v>
      </c>
      <c r="AI275" s="52" t="str">
        <f ca="1">IF(AH275="","",INDEX(OFFSET(Arb!$H$2,,,Arb!$AJ$5,),AH275))</f>
        <v/>
      </c>
      <c r="AJ275" s="3" t="str">
        <f t="shared" ca="1" si="79"/>
        <v/>
      </c>
      <c r="AK275" s="165" t="str">
        <f ca="1">IF(AH275="","",INDEX(OFFSET(Arb!$X$2,,,Arb!$AJ$5,),AH275)/AI275)</f>
        <v/>
      </c>
      <c r="AL275" s="165" t="str">
        <f ca="1">IF(AH275="","",(INDEX(OFFSET(Arb!$U$2,,,Arb!$AJ$5,),AH275)+INDEX(OFFSET(Arb!$V$2,,,Arb!$AJ$5,),AH275))/AI275)</f>
        <v/>
      </c>
      <c r="AM275" s="51" t="str">
        <f t="shared" ca="1" si="89"/>
        <v/>
      </c>
      <c r="AN275" s="88" t="str">
        <f ca="1">IF(AH275="","",DATE(INDEX(OFFSET(Arb!$C$2,,,Arb!$AJ$5,),AH275),INDEX(OFFSET(Arb!$B$2,,,Arb!$AJ$5,),AH275),INDEX(OFFSET(Arb!$A$2,,,Arb!$AJ$5,),AH275))+ROW()*0.001)</f>
        <v/>
      </c>
      <c r="AO275" s="436">
        <v>133</v>
      </c>
      <c r="AQ275" s="52" t="str">
        <f ca="1">IF(AP275="","",INDEX(OFFSET(Arb!$H$2,,,Arb!$AJ$5,),AP275))</f>
        <v/>
      </c>
      <c r="AR275" s="3" t="str">
        <f t="shared" ca="1" si="80"/>
        <v/>
      </c>
      <c r="AS275" s="165" t="str">
        <f ca="1">IF(AP275="","",INDEX(OFFSET(Arb!$X$2,,,Arb!$AJ$5,),AP275)/AQ275)</f>
        <v/>
      </c>
      <c r="AT275" s="165" t="str">
        <f ca="1">IF(AP275="","",(INDEX(OFFSET(Arb!$U$2,,,Arb!$AJ$5,),AP275)+INDEX(OFFSET(Arb!$V$2,,,Arb!$AJ$5,),AP275))/AQ275)</f>
        <v/>
      </c>
      <c r="AU275" s="51" t="str">
        <f t="shared" ca="1" si="90"/>
        <v/>
      </c>
      <c r="AV275" s="91" t="str">
        <f ca="1">IF(AP275="","",DATE(INDEX(OFFSET(Arb!$C$2,,,Arb!$AJ$5,),AP275),INDEX(OFFSET(Arb!$B$2,,,Arb!$AJ$5,),AP275),INDEX(OFFSET(Arb!$A$2,,,Arb!$AJ$5,),AP275))+ROW()*0.001)</f>
        <v/>
      </c>
      <c r="AW275" s="442">
        <v>133</v>
      </c>
      <c r="AY275" s="52" t="str">
        <f ca="1">IF(AX275="","",INDEX(OFFSET(Arb!$H$2,,,Arb!$AJ$5,),AX275))</f>
        <v/>
      </c>
      <c r="AZ275" s="3" t="str">
        <f t="shared" ca="1" si="81"/>
        <v/>
      </c>
      <c r="BA275" s="165" t="str">
        <f ca="1">IF(AX275="","",INDEX(OFFSET(Arb!$X$2,,,Arb!$AJ$5,),AX275)/AY275)</f>
        <v/>
      </c>
      <c r="BB275" s="165" t="str">
        <f ca="1">IF(AX275="","",(INDEX(OFFSET(Arb!$U$2,,,Arb!$AJ$5,),AX275)+INDEX(OFFSET(Arb!$V$2,,,Arb!$AJ$5,),AX275))/AY275)</f>
        <v/>
      </c>
      <c r="BC275" s="51" t="str">
        <f t="shared" ca="1" si="91"/>
        <v/>
      </c>
      <c r="BD275" s="88" t="str">
        <f ca="1">IF(AX275="","",DATE(INDEX(OFFSET(Arb!$C$2,,,Arb!$AJ$5,),AX275),INDEX(OFFSET(Arb!$B$2,,,Arb!$AJ$5,),AX275),INDEX(OFFSET(Arb!$A$2,,,Arb!$AJ$5,),AX275))+ROW()*0.001)</f>
        <v/>
      </c>
      <c r="BE275" s="436">
        <v>133</v>
      </c>
      <c r="BG275" s="52" t="str">
        <f ca="1">IF(BF275="","",INDEX(OFFSET(Arb!$H$2,,,Arb!$AJ$5,),BF275))</f>
        <v/>
      </c>
      <c r="BH275" s="3" t="str">
        <f t="shared" ca="1" si="82"/>
        <v/>
      </c>
      <c r="BI275" s="165" t="str">
        <f ca="1">IF(BF275="","",INDEX(OFFSET(Arb!$X$2,,,Arb!$AJ$5,),BF275)/BG275)</f>
        <v/>
      </c>
      <c r="BJ275" s="165" t="str">
        <f ca="1">IF(BF275="","",(INDEX(OFFSET(Arb!$U$2,,,Arb!$AJ$5,),BF275)+INDEX(OFFSET(Arb!$V$2,,,Arb!$AJ$5,),BF275))/BG275)</f>
        <v/>
      </c>
      <c r="BK275" s="51" t="str">
        <f t="shared" ca="1" si="92"/>
        <v/>
      </c>
      <c r="BL275" s="91" t="str">
        <f ca="1">IF(BF275="","",DATE(INDEX(OFFSET(Arb!$C$2,,,Arb!$AJ$5,),BF275),INDEX(OFFSET(Arb!$B$2,,,Arb!$AJ$5,),BF275),INDEX(OFFSET(Arb!$A$2,,,Arb!$AJ$5,),BF275))+ROW()*0.001)</f>
        <v/>
      </c>
      <c r="BM275" s="442">
        <v>133</v>
      </c>
      <c r="BO275" s="52" t="str">
        <f ca="1">IF(BN275="","",INDEX(OFFSET(Arb!$H$2,,,Arb!$AJ$5,),BN275))</f>
        <v/>
      </c>
      <c r="BP275" s="3" t="str">
        <f t="shared" ca="1" si="83"/>
        <v/>
      </c>
      <c r="BQ275" s="165" t="str">
        <f ca="1">IF(BN275="","",INDEX(OFFSET(Arb!$X$2,,,Arb!$AJ$5,),BN275)/BO275)</f>
        <v/>
      </c>
      <c r="BR275" s="165" t="str">
        <f ca="1">IF(BN275="","",(INDEX(OFFSET(Arb!$U$2,,,Arb!$AJ$5,),BN275)+INDEX(OFFSET(Arb!$V$2,,,Arb!$AJ$5,),BN275))/BO275)</f>
        <v/>
      </c>
      <c r="BS275" s="51" t="str">
        <f t="shared" ca="1" si="93"/>
        <v/>
      </c>
      <c r="BT275" s="88" t="str">
        <f ca="1">IF(BN275="","",DATE(INDEX(OFFSET(Arb!$C$2,,,Arb!$AJ$5,),BN275),INDEX(OFFSET(Arb!$B$2,,,Arb!$AJ$5,),BN275),INDEX(OFFSET(Arb!$A$2,,,Arb!$AJ$5,),BN275))+ROW()*0.001)</f>
        <v/>
      </c>
      <c r="BU275" s="436">
        <v>133</v>
      </c>
      <c r="BW275" s="52" t="str">
        <f ca="1">IF(BV275="","",INDEX(OFFSET(Arb!$H$2,,,Arb!$AJ$5,),BV275))</f>
        <v/>
      </c>
      <c r="BX275" s="3" t="str">
        <f t="shared" ca="1" si="84"/>
        <v/>
      </c>
      <c r="BY275" s="165" t="str">
        <f ca="1">IF(BV275="","",INDEX(OFFSET(Arb!$X$2,,,Arb!$AJ$5,),BV275)/BW275)</f>
        <v/>
      </c>
      <c r="BZ275" s="165" t="str">
        <f ca="1">IF(BV275="","",(INDEX(OFFSET(Arb!$U$2,,,Arb!$AJ$5,),BV275)+INDEX(OFFSET(Arb!$V$2,,,Arb!$AJ$5,),BV275))/BW275)</f>
        <v/>
      </c>
      <c r="CA275" s="51" t="str">
        <f t="shared" ca="1" si="94"/>
        <v/>
      </c>
      <c r="CB275" s="91" t="str">
        <f ca="1">IF(BV275="","",DATE(INDEX(OFFSET(Arb!$C$2,,,Arb!$AJ$5,),BV275),INDEX(OFFSET(Arb!$B$2,,,Arb!$AJ$5,),BV275),INDEX(OFFSET(Arb!$A$2,,,Arb!$AJ$5,),BV275))+ROW()*0.001)</f>
        <v/>
      </c>
    </row>
    <row r="276" spans="1:80" x14ac:dyDescent="0.25">
      <c r="A276" s="433">
        <v>134</v>
      </c>
      <c r="B276" s="1">
        <v>2587</v>
      </c>
      <c r="C276" s="52">
        <f ca="1">IF(B276="","",INDEX(OFFSET(Arb!$H$2,,,Arb!$AJ$5,),B276))</f>
        <v>68.31</v>
      </c>
      <c r="D276" s="3">
        <f t="shared" ca="1" si="75"/>
        <v>1.9616454399063095</v>
      </c>
      <c r="E276" s="165">
        <f ca="1">IF(B276="","",INDEX(OFFSET(Arb!$X$2,,,Arb!$AJ$5,),B276)/C276)</f>
        <v>2.3715415019762847</v>
      </c>
      <c r="F276" s="165">
        <f ca="1">IF(B276="","",(INDEX(OFFSET(Arb!$U$2,,,Arb!$AJ$5,),B276)+INDEX(OFFSET(Arb!$V$2,,,Arb!$AJ$5,),B276))/C276)</f>
        <v>2.7521592738984042</v>
      </c>
      <c r="G276" s="51">
        <f t="shared" ca="1" si="85"/>
        <v>44.357980802754334</v>
      </c>
      <c r="H276" s="355">
        <f ca="1">IF(B276="","",DATE(INDEX(OFFSET(Arb!$C$2,,,Arb!$AJ$5,),B276),INDEX(OFFSET(Arb!$B$2,,,Arb!$AJ$5,),B276),INDEX(OFFSET(Arb!$A$2,,,Arb!$AJ$5,),B276))+ROW()*0.001)</f>
        <v>43805.275999999998</v>
      </c>
      <c r="I276" s="436">
        <v>134</v>
      </c>
      <c r="K276" s="52" t="str">
        <f ca="1">IF(J276="","",INDEX(OFFSET(Arb!$H$2,,,Arb!$AJ$5,),J276))</f>
        <v/>
      </c>
      <c r="L276" s="3" t="str">
        <f t="shared" ca="1" si="76"/>
        <v/>
      </c>
      <c r="M276" s="165" t="str">
        <f ca="1">IF(J276="","",INDEX(OFFSET(Arb!$X$2,,,Arb!$AJ$5,),J276)/K276)</f>
        <v/>
      </c>
      <c r="N276" s="165" t="str">
        <f ca="1">IF(J276="","",(INDEX(OFFSET(Arb!$U$2,,,Arb!$AJ$5,),J276)+INDEX(OFFSET(Arb!$V$2,,,Arb!$AJ$5,),J276))/K276)</f>
        <v/>
      </c>
      <c r="O276" s="51" t="str">
        <f t="shared" ca="1" si="86"/>
        <v/>
      </c>
      <c r="P276" s="91" t="str">
        <f ca="1">IF(J276="","",DATE(INDEX(OFFSET(Arb!$C$2,,,Arb!$AJ$5,),J276),INDEX(OFFSET(Arb!$B$2,,,Arb!$AJ$5,),J276),INDEX(OFFSET(Arb!$A$2,,,Arb!$AJ$5,),J276))+ROW()*0.001)</f>
        <v/>
      </c>
      <c r="Q276" s="442">
        <v>134</v>
      </c>
      <c r="S276" s="52" t="str">
        <f ca="1">IF(R276="","",INDEX(OFFSET(Arb!$H$2,,,Arb!$AJ$5,),R276))</f>
        <v/>
      </c>
      <c r="T276" s="3" t="str">
        <f t="shared" ca="1" si="77"/>
        <v/>
      </c>
      <c r="U276" s="165" t="str">
        <f ca="1">IF(R276="","",INDEX(OFFSET(Arb!$X$2,,,Arb!$AJ$5,),R276)/S276)</f>
        <v/>
      </c>
      <c r="V276" s="165" t="str">
        <f ca="1">IF(R276="","",(INDEX(OFFSET(Arb!$U$2,,,Arb!$AJ$5,),R276)+INDEX(OFFSET(Arb!$V$2,,,Arb!$AJ$5,),R276))/S276)</f>
        <v/>
      </c>
      <c r="W276" s="51" t="str">
        <f t="shared" ca="1" si="87"/>
        <v/>
      </c>
      <c r="X276" s="88" t="str">
        <f ca="1">IF(R276="","",DATE(INDEX(OFFSET(Arb!$C$2,,,Arb!$AJ$5,),R276),INDEX(OFFSET(Arb!$B$2,,,Arb!$AJ$5,),R276),INDEX(OFFSET(Arb!$A$2,,,Arb!$AJ$5,),R276))+ROW()*0.001)</f>
        <v/>
      </c>
      <c r="Y276" s="436">
        <v>134</v>
      </c>
      <c r="AA276" s="52" t="str">
        <f ca="1">IF(Z276="","",INDEX(OFFSET(Arb!$H$2,,,Arb!$AJ$5,),Z276))</f>
        <v/>
      </c>
      <c r="AB276" s="3" t="str">
        <f t="shared" ca="1" si="78"/>
        <v/>
      </c>
      <c r="AC276" s="165" t="str">
        <f ca="1">IF(Z276="","",INDEX(OFFSET(Arb!$X$2,,,Arb!$AJ$5,),Z276)/AA276)</f>
        <v/>
      </c>
      <c r="AD276" s="165" t="str">
        <f ca="1">IF(Z276="","",(INDEX(OFFSET(Arb!$U$2,,,Arb!$AJ$5,),Z276)+INDEX(OFFSET(Arb!$V$2,,,Arb!$AJ$5,),Z276))/AA276)</f>
        <v/>
      </c>
      <c r="AE276" s="51" t="str">
        <f t="shared" ca="1" si="88"/>
        <v/>
      </c>
      <c r="AF276" s="91" t="str">
        <f ca="1">IF(Z276="","",DATE(INDEX(OFFSET(Arb!$C$2,,,Arb!$AJ$5,),Z276),INDEX(OFFSET(Arb!$B$2,,,Arb!$AJ$5,),Z276),INDEX(OFFSET(Arb!$A$2,,,Arb!$AJ$5,),Z276))+ROW()*0.001)</f>
        <v/>
      </c>
      <c r="AG276" s="442">
        <v>134</v>
      </c>
      <c r="AI276" s="52" t="str">
        <f ca="1">IF(AH276="","",INDEX(OFFSET(Arb!$H$2,,,Arb!$AJ$5,),AH276))</f>
        <v/>
      </c>
      <c r="AJ276" s="3" t="str">
        <f t="shared" ca="1" si="79"/>
        <v/>
      </c>
      <c r="AK276" s="165" t="str">
        <f ca="1">IF(AH276="","",INDEX(OFFSET(Arb!$X$2,,,Arb!$AJ$5,),AH276)/AI276)</f>
        <v/>
      </c>
      <c r="AL276" s="165" t="str">
        <f ca="1">IF(AH276="","",(INDEX(OFFSET(Arb!$U$2,,,Arb!$AJ$5,),AH276)+INDEX(OFFSET(Arb!$V$2,,,Arb!$AJ$5,),AH276))/AI276)</f>
        <v/>
      </c>
      <c r="AM276" s="51" t="str">
        <f t="shared" ca="1" si="89"/>
        <v/>
      </c>
      <c r="AN276" s="88" t="str">
        <f ca="1">IF(AH276="","",DATE(INDEX(OFFSET(Arb!$C$2,,,Arb!$AJ$5,),AH276),INDEX(OFFSET(Arb!$B$2,,,Arb!$AJ$5,),AH276),INDEX(OFFSET(Arb!$A$2,,,Arb!$AJ$5,),AH276))+ROW()*0.001)</f>
        <v/>
      </c>
      <c r="AO276" s="436">
        <v>134</v>
      </c>
      <c r="AQ276" s="52" t="str">
        <f ca="1">IF(AP276="","",INDEX(OFFSET(Arb!$H$2,,,Arb!$AJ$5,),AP276))</f>
        <v/>
      </c>
      <c r="AR276" s="3" t="str">
        <f t="shared" ca="1" si="80"/>
        <v/>
      </c>
      <c r="AS276" s="165" t="str">
        <f ca="1">IF(AP276="","",INDEX(OFFSET(Arb!$X$2,,,Arb!$AJ$5,),AP276)/AQ276)</f>
        <v/>
      </c>
      <c r="AT276" s="165" t="str">
        <f ca="1">IF(AP276="","",(INDEX(OFFSET(Arb!$U$2,,,Arb!$AJ$5,),AP276)+INDEX(OFFSET(Arb!$V$2,,,Arb!$AJ$5,),AP276))/AQ276)</f>
        <v/>
      </c>
      <c r="AU276" s="51" t="str">
        <f t="shared" ca="1" si="90"/>
        <v/>
      </c>
      <c r="AV276" s="91" t="str">
        <f ca="1">IF(AP276="","",DATE(INDEX(OFFSET(Arb!$C$2,,,Arb!$AJ$5,),AP276),INDEX(OFFSET(Arb!$B$2,,,Arb!$AJ$5,),AP276),INDEX(OFFSET(Arb!$A$2,,,Arb!$AJ$5,),AP276))+ROW()*0.001)</f>
        <v/>
      </c>
      <c r="AW276" s="442">
        <v>134</v>
      </c>
      <c r="AY276" s="52" t="str">
        <f ca="1">IF(AX276="","",INDEX(OFFSET(Arb!$H$2,,,Arb!$AJ$5,),AX276))</f>
        <v/>
      </c>
      <c r="AZ276" s="3" t="str">
        <f t="shared" ca="1" si="81"/>
        <v/>
      </c>
      <c r="BA276" s="165" t="str">
        <f ca="1">IF(AX276="","",INDEX(OFFSET(Arb!$X$2,,,Arb!$AJ$5,),AX276)/AY276)</f>
        <v/>
      </c>
      <c r="BB276" s="165" t="str">
        <f ca="1">IF(AX276="","",(INDEX(OFFSET(Arb!$U$2,,,Arb!$AJ$5,),AX276)+INDEX(OFFSET(Arb!$V$2,,,Arb!$AJ$5,),AX276))/AY276)</f>
        <v/>
      </c>
      <c r="BC276" s="51" t="str">
        <f t="shared" ca="1" si="91"/>
        <v/>
      </c>
      <c r="BD276" s="88" t="str">
        <f ca="1">IF(AX276="","",DATE(INDEX(OFFSET(Arb!$C$2,,,Arb!$AJ$5,),AX276),INDEX(OFFSET(Arb!$B$2,,,Arb!$AJ$5,),AX276),INDEX(OFFSET(Arb!$A$2,,,Arb!$AJ$5,),AX276))+ROW()*0.001)</f>
        <v/>
      </c>
      <c r="BE276" s="436">
        <v>134</v>
      </c>
      <c r="BG276" s="52" t="str">
        <f ca="1">IF(BF276="","",INDEX(OFFSET(Arb!$H$2,,,Arb!$AJ$5,),BF276))</f>
        <v/>
      </c>
      <c r="BH276" s="3" t="str">
        <f t="shared" ca="1" si="82"/>
        <v/>
      </c>
      <c r="BI276" s="165" t="str">
        <f ca="1">IF(BF276="","",INDEX(OFFSET(Arb!$X$2,,,Arb!$AJ$5,),BF276)/BG276)</f>
        <v/>
      </c>
      <c r="BJ276" s="165" t="str">
        <f ca="1">IF(BF276="","",(INDEX(OFFSET(Arb!$U$2,,,Arb!$AJ$5,),BF276)+INDEX(OFFSET(Arb!$V$2,,,Arb!$AJ$5,),BF276))/BG276)</f>
        <v/>
      </c>
      <c r="BK276" s="51" t="str">
        <f t="shared" ca="1" si="92"/>
        <v/>
      </c>
      <c r="BL276" s="91" t="str">
        <f ca="1">IF(BF276="","",DATE(INDEX(OFFSET(Arb!$C$2,,,Arb!$AJ$5,),BF276),INDEX(OFFSET(Arb!$B$2,,,Arb!$AJ$5,),BF276),INDEX(OFFSET(Arb!$A$2,,,Arb!$AJ$5,),BF276))+ROW()*0.001)</f>
        <v/>
      </c>
      <c r="BM276" s="442">
        <v>134</v>
      </c>
      <c r="BO276" s="52" t="str">
        <f ca="1">IF(BN276="","",INDEX(OFFSET(Arb!$H$2,,,Arb!$AJ$5,),BN276))</f>
        <v/>
      </c>
      <c r="BP276" s="3" t="str">
        <f t="shared" ca="1" si="83"/>
        <v/>
      </c>
      <c r="BQ276" s="165" t="str">
        <f ca="1">IF(BN276="","",INDEX(OFFSET(Arb!$X$2,,,Arb!$AJ$5,),BN276)/BO276)</f>
        <v/>
      </c>
      <c r="BR276" s="165" t="str">
        <f ca="1">IF(BN276="","",(INDEX(OFFSET(Arb!$U$2,,,Arb!$AJ$5,),BN276)+INDEX(OFFSET(Arb!$V$2,,,Arb!$AJ$5,),BN276))/BO276)</f>
        <v/>
      </c>
      <c r="BS276" s="51" t="str">
        <f t="shared" ca="1" si="93"/>
        <v/>
      </c>
      <c r="BT276" s="88" t="str">
        <f ca="1">IF(BN276="","",DATE(INDEX(OFFSET(Arb!$C$2,,,Arb!$AJ$5,),BN276),INDEX(OFFSET(Arb!$B$2,,,Arb!$AJ$5,),BN276),INDEX(OFFSET(Arb!$A$2,,,Arb!$AJ$5,),BN276))+ROW()*0.001)</f>
        <v/>
      </c>
      <c r="BU276" s="436">
        <v>134</v>
      </c>
      <c r="BW276" s="52" t="str">
        <f ca="1">IF(BV276="","",INDEX(OFFSET(Arb!$H$2,,,Arb!$AJ$5,),BV276))</f>
        <v/>
      </c>
      <c r="BX276" s="3" t="str">
        <f t="shared" ca="1" si="84"/>
        <v/>
      </c>
      <c r="BY276" s="165" t="str">
        <f ca="1">IF(BV276="","",INDEX(OFFSET(Arb!$X$2,,,Arb!$AJ$5,),BV276)/BW276)</f>
        <v/>
      </c>
      <c r="BZ276" s="165" t="str">
        <f ca="1">IF(BV276="","",(INDEX(OFFSET(Arb!$U$2,,,Arb!$AJ$5,),BV276)+INDEX(OFFSET(Arb!$V$2,,,Arb!$AJ$5,),BV276))/BW276)</f>
        <v/>
      </c>
      <c r="CA276" s="51" t="str">
        <f t="shared" ca="1" si="94"/>
        <v/>
      </c>
      <c r="CB276" s="91" t="str">
        <f ca="1">IF(BV276="","",DATE(INDEX(OFFSET(Arb!$C$2,,,Arb!$AJ$5,),BV276),INDEX(OFFSET(Arb!$B$2,,,Arb!$AJ$5,),BV276),INDEX(OFFSET(Arb!$A$2,,,Arb!$AJ$5,),BV276))+ROW()*0.001)</f>
        <v/>
      </c>
    </row>
    <row r="277" spans="1:80" x14ac:dyDescent="0.25">
      <c r="A277" s="433">
        <v>135</v>
      </c>
      <c r="B277" s="1">
        <v>3086</v>
      </c>
      <c r="C277" s="52">
        <f ca="1">IF(B277="","",INDEX(OFFSET(Arb!$H$2,,,Arb!$AJ$5,),B277))</f>
        <v>62.85</v>
      </c>
      <c r="D277" s="3">
        <f t="shared" ca="1" si="75"/>
        <v>2.1479713603818613</v>
      </c>
      <c r="E277" s="165">
        <f ca="1">IF(B277="","",INDEX(OFFSET(Arb!$X$2,,,Arb!$AJ$5,),B277)/C277)</f>
        <v>2.6412092283213999</v>
      </c>
      <c r="F277" s="165">
        <f ca="1">IF(B277="","",(INDEX(OFFSET(Arb!$U$2,,,Arb!$AJ$5,),B277)+INDEX(OFFSET(Arb!$V$2,,,Arb!$AJ$5,),B277))/C277)</f>
        <v>2.9276054097056483</v>
      </c>
      <c r="G277" s="51">
        <f t="shared" ca="1" si="85"/>
        <v>51.487884049331576</v>
      </c>
      <c r="H277" s="355">
        <f ca="1">IF(B277="","",DATE(INDEX(OFFSET(Arb!$C$2,,,Arb!$AJ$5,),B277),INDEX(OFFSET(Arb!$B$2,,,Arb!$AJ$5,),B277),INDEX(OFFSET(Arb!$A$2,,,Arb!$AJ$5,),B277))+ROW()*0.001)</f>
        <v>44003.277000000002</v>
      </c>
      <c r="I277" s="436">
        <v>135</v>
      </c>
      <c r="J277" s="1">
        <v>2810</v>
      </c>
      <c r="K277" s="52">
        <f ca="1">IF(J277="","",INDEX(OFFSET(Arb!$H$2,,,Arb!$AJ$5,),J277))</f>
        <v>66.75</v>
      </c>
      <c r="L277" s="3">
        <f t="shared" ca="1" si="76"/>
        <v>2.0224719101123596</v>
      </c>
      <c r="M277" s="165">
        <f ca="1">IF(J277="","",INDEX(OFFSET(Arb!$X$2,,,Arb!$AJ$5,),J277)/K277)</f>
        <v>2.7715355805243447</v>
      </c>
      <c r="N277" s="165">
        <f ca="1">IF(J277="","",(INDEX(OFFSET(Arb!$U$2,,,Arb!$AJ$5,),J277)+INDEX(OFFSET(Arb!$V$2,,,Arb!$AJ$5,),J277))/K277)</f>
        <v>3.161048689138577</v>
      </c>
      <c r="O277" s="51">
        <f t="shared" ca="1" si="86"/>
        <v>46.479009542891312</v>
      </c>
      <c r="P277" s="91">
        <f ca="1">IF(J277="","",DATE(INDEX(OFFSET(Arb!$C$2,,,Arb!$AJ$5,),J277),INDEX(OFFSET(Arb!$B$2,,,Arb!$AJ$5,),J277),INDEX(OFFSET(Arb!$A$2,,,Arb!$AJ$5,),J277))+ROW()*0.001)</f>
        <v>43898.277000000002</v>
      </c>
      <c r="Q277" s="442">
        <v>135</v>
      </c>
      <c r="R277" s="1">
        <v>2834</v>
      </c>
      <c r="S277" s="52">
        <f ca="1">IF(R277="","",INDEX(OFFSET(Arb!$H$2,,,Arb!$AJ$5,),R277))</f>
        <v>67.37</v>
      </c>
      <c r="T277" s="3">
        <f t="shared" ca="1" si="77"/>
        <v>2.0038592845480183</v>
      </c>
      <c r="U277" s="165">
        <f ca="1">IF(R277="","",INDEX(OFFSET(Arb!$X$2,,,Arb!$AJ$5,),R277)/S277)</f>
        <v>2.2265103161644646</v>
      </c>
      <c r="V277" s="165">
        <f ca="1">IF(R277="","",(INDEX(OFFSET(Arb!$U$2,,,Arb!$AJ$5,),R277)+INDEX(OFFSET(Arb!$V$2,,,Arb!$AJ$5,),R277))/S277)</f>
        <v>2.5085349562119634</v>
      </c>
      <c r="W277" s="51">
        <f t="shared" ca="1" si="87"/>
        <v>45.754192319477518</v>
      </c>
      <c r="X277" s="88">
        <f ca="1">IF(R277="","",DATE(INDEX(OFFSET(Arb!$C$2,,,Arb!$AJ$5,),R277),INDEX(OFFSET(Arb!$B$2,,,Arb!$AJ$5,),R277),INDEX(OFFSET(Arb!$A$2,,,Arb!$AJ$5,),R277))+ROW()*0.001)</f>
        <v>43902.277000000002</v>
      </c>
      <c r="Y277" s="436">
        <v>135</v>
      </c>
      <c r="Z277" s="1">
        <v>2526</v>
      </c>
      <c r="AA277" s="52">
        <f ca="1">IF(Z277="","",INDEX(OFFSET(Arb!$H$2,,,Arb!$AJ$5,),Z277))</f>
        <v>70.44</v>
      </c>
      <c r="AB277" s="3">
        <f t="shared" ca="1" si="78"/>
        <v>1.9165247018739353</v>
      </c>
      <c r="AC277" s="165">
        <f ca="1">IF(Z277="","",INDEX(OFFSET(Arb!$X$2,,,Arb!$AJ$5,),Z277)/AA277)</f>
        <v>2.4559909142532654</v>
      </c>
      <c r="AD277" s="165">
        <f ca="1">IF(Z277="","",(INDEX(OFFSET(Arb!$U$2,,,Arb!$AJ$5,),Z277)+INDEX(OFFSET(Arb!$V$2,,,Arb!$AJ$5,),Z277))/AA277)</f>
        <v>2.7115275411697901</v>
      </c>
      <c r="AE277" s="51">
        <f t="shared" ca="1" si="88"/>
        <v>42.41613898307078</v>
      </c>
      <c r="AF277" s="91">
        <f ca="1">IF(Z277="","",DATE(INDEX(OFFSET(Arb!$C$2,,,Arb!$AJ$5,),Z277),INDEX(OFFSET(Arb!$B$2,,,Arb!$AJ$5,),Z277),INDEX(OFFSET(Arb!$A$2,,,Arb!$AJ$5,),Z277))+ROW()*0.001)</f>
        <v>43794.277000000002</v>
      </c>
      <c r="AG277" s="442">
        <v>135</v>
      </c>
      <c r="AI277" s="52" t="str">
        <f ca="1">IF(AH277="","",INDEX(OFFSET(Arb!$H$2,,,Arb!$AJ$5,),AH277))</f>
        <v/>
      </c>
      <c r="AJ277" s="3" t="str">
        <f t="shared" ca="1" si="79"/>
        <v/>
      </c>
      <c r="AK277" s="165" t="str">
        <f ca="1">IF(AH277="","",INDEX(OFFSET(Arb!$X$2,,,Arb!$AJ$5,),AH277)/AI277)</f>
        <v/>
      </c>
      <c r="AL277" s="165" t="str">
        <f ca="1">IF(AH277="","",(INDEX(OFFSET(Arb!$U$2,,,Arb!$AJ$5,),AH277)+INDEX(OFFSET(Arb!$V$2,,,Arb!$AJ$5,),AH277))/AI277)</f>
        <v/>
      </c>
      <c r="AM277" s="51" t="str">
        <f t="shared" ca="1" si="89"/>
        <v/>
      </c>
      <c r="AN277" s="88" t="str">
        <f ca="1">IF(AH277="","",DATE(INDEX(OFFSET(Arb!$C$2,,,Arb!$AJ$5,),AH277),INDEX(OFFSET(Arb!$B$2,,,Arb!$AJ$5,),AH277),INDEX(OFFSET(Arb!$A$2,,,Arb!$AJ$5,),AH277))+ROW()*0.001)</f>
        <v/>
      </c>
      <c r="AO277" s="436">
        <v>135</v>
      </c>
      <c r="AQ277" s="52" t="str">
        <f ca="1">IF(AP277="","",INDEX(OFFSET(Arb!$H$2,,,Arb!$AJ$5,),AP277))</f>
        <v/>
      </c>
      <c r="AR277" s="3" t="str">
        <f t="shared" ca="1" si="80"/>
        <v/>
      </c>
      <c r="AS277" s="165" t="str">
        <f ca="1">IF(AP277="","",INDEX(OFFSET(Arb!$X$2,,,Arb!$AJ$5,),AP277)/AQ277)</f>
        <v/>
      </c>
      <c r="AT277" s="165" t="str">
        <f ca="1">IF(AP277="","",(INDEX(OFFSET(Arb!$U$2,,,Arb!$AJ$5,),AP277)+INDEX(OFFSET(Arb!$V$2,,,Arb!$AJ$5,),AP277))/AQ277)</f>
        <v/>
      </c>
      <c r="AU277" s="51" t="str">
        <f t="shared" ca="1" si="90"/>
        <v/>
      </c>
      <c r="AV277" s="91" t="str">
        <f ca="1">IF(AP277="","",DATE(INDEX(OFFSET(Arb!$C$2,,,Arb!$AJ$5,),AP277),INDEX(OFFSET(Arb!$B$2,,,Arb!$AJ$5,),AP277),INDEX(OFFSET(Arb!$A$2,,,Arb!$AJ$5,),AP277))+ROW()*0.001)</f>
        <v/>
      </c>
      <c r="AW277" s="442">
        <v>135</v>
      </c>
      <c r="AY277" s="52" t="str">
        <f ca="1">IF(AX277="","",INDEX(OFFSET(Arb!$H$2,,,Arb!$AJ$5,),AX277))</f>
        <v/>
      </c>
      <c r="AZ277" s="3" t="str">
        <f t="shared" ca="1" si="81"/>
        <v/>
      </c>
      <c r="BA277" s="165" t="str">
        <f ca="1">IF(AX277="","",INDEX(OFFSET(Arb!$X$2,,,Arb!$AJ$5,),AX277)/AY277)</f>
        <v/>
      </c>
      <c r="BB277" s="165" t="str">
        <f ca="1">IF(AX277="","",(INDEX(OFFSET(Arb!$U$2,,,Arb!$AJ$5,),AX277)+INDEX(OFFSET(Arb!$V$2,,,Arb!$AJ$5,),AX277))/AY277)</f>
        <v/>
      </c>
      <c r="BC277" s="51" t="str">
        <f t="shared" ca="1" si="91"/>
        <v/>
      </c>
      <c r="BD277" s="88" t="str">
        <f ca="1">IF(AX277="","",DATE(INDEX(OFFSET(Arb!$C$2,,,Arb!$AJ$5,),AX277),INDEX(OFFSET(Arb!$B$2,,,Arb!$AJ$5,),AX277),INDEX(OFFSET(Arb!$A$2,,,Arb!$AJ$5,),AX277))+ROW()*0.001)</f>
        <v/>
      </c>
      <c r="BE277" s="436">
        <v>135</v>
      </c>
      <c r="BG277" s="52" t="str">
        <f ca="1">IF(BF277="","",INDEX(OFFSET(Arb!$H$2,,,Arb!$AJ$5,),BF277))</f>
        <v/>
      </c>
      <c r="BH277" s="3" t="str">
        <f t="shared" ca="1" si="82"/>
        <v/>
      </c>
      <c r="BI277" s="165" t="str">
        <f ca="1">IF(BF277="","",INDEX(OFFSET(Arb!$X$2,,,Arb!$AJ$5,),BF277)/BG277)</f>
        <v/>
      </c>
      <c r="BJ277" s="165" t="str">
        <f ca="1">IF(BF277="","",(INDEX(OFFSET(Arb!$U$2,,,Arb!$AJ$5,),BF277)+INDEX(OFFSET(Arb!$V$2,,,Arb!$AJ$5,),BF277))/BG277)</f>
        <v/>
      </c>
      <c r="BK277" s="51" t="str">
        <f t="shared" ca="1" si="92"/>
        <v/>
      </c>
      <c r="BL277" s="91" t="str">
        <f ca="1">IF(BF277="","",DATE(INDEX(OFFSET(Arb!$C$2,,,Arb!$AJ$5,),BF277),INDEX(OFFSET(Arb!$B$2,,,Arb!$AJ$5,),BF277),INDEX(OFFSET(Arb!$A$2,,,Arb!$AJ$5,),BF277))+ROW()*0.001)</f>
        <v/>
      </c>
      <c r="BM277" s="442">
        <v>135</v>
      </c>
      <c r="BO277" s="52" t="str">
        <f ca="1">IF(BN277="","",INDEX(OFFSET(Arb!$H$2,,,Arb!$AJ$5,),BN277))</f>
        <v/>
      </c>
      <c r="BP277" s="3" t="str">
        <f t="shared" ca="1" si="83"/>
        <v/>
      </c>
      <c r="BQ277" s="165" t="str">
        <f ca="1">IF(BN277="","",INDEX(OFFSET(Arb!$X$2,,,Arb!$AJ$5,),BN277)/BO277)</f>
        <v/>
      </c>
      <c r="BR277" s="165" t="str">
        <f ca="1">IF(BN277="","",(INDEX(OFFSET(Arb!$U$2,,,Arb!$AJ$5,),BN277)+INDEX(OFFSET(Arb!$V$2,,,Arb!$AJ$5,),BN277))/BO277)</f>
        <v/>
      </c>
      <c r="BS277" s="51" t="str">
        <f t="shared" ca="1" si="93"/>
        <v/>
      </c>
      <c r="BT277" s="88" t="str">
        <f ca="1">IF(BN277="","",DATE(INDEX(OFFSET(Arb!$C$2,,,Arb!$AJ$5,),BN277),INDEX(OFFSET(Arb!$B$2,,,Arb!$AJ$5,),BN277),INDEX(OFFSET(Arb!$A$2,,,Arb!$AJ$5,),BN277))+ROW()*0.001)</f>
        <v/>
      </c>
      <c r="BU277" s="436">
        <v>135</v>
      </c>
      <c r="BW277" s="52" t="str">
        <f ca="1">IF(BV277="","",INDEX(OFFSET(Arb!$H$2,,,Arb!$AJ$5,),BV277))</f>
        <v/>
      </c>
      <c r="BX277" s="3" t="str">
        <f t="shared" ca="1" si="84"/>
        <v/>
      </c>
      <c r="BY277" s="165" t="str">
        <f ca="1">IF(BV277="","",INDEX(OFFSET(Arb!$X$2,,,Arb!$AJ$5,),BV277)/BW277)</f>
        <v/>
      </c>
      <c r="BZ277" s="165" t="str">
        <f ca="1">IF(BV277="","",(INDEX(OFFSET(Arb!$U$2,,,Arb!$AJ$5,),BV277)+INDEX(OFFSET(Arb!$V$2,,,Arb!$AJ$5,),BV277))/BW277)</f>
        <v/>
      </c>
      <c r="CA277" s="51" t="str">
        <f t="shared" ca="1" si="94"/>
        <v/>
      </c>
      <c r="CB277" s="91" t="str">
        <f ca="1">IF(BV277="","",DATE(INDEX(OFFSET(Arb!$C$2,,,Arb!$AJ$5,),BV277),INDEX(OFFSET(Arb!$B$2,,,Arb!$AJ$5,),BV277),INDEX(OFFSET(Arb!$A$2,,,Arb!$AJ$5,),BV277))+ROW()*0.001)</f>
        <v/>
      </c>
    </row>
    <row r="278" spans="1:80" x14ac:dyDescent="0.25">
      <c r="A278" s="433">
        <v>136</v>
      </c>
      <c r="B278" s="1">
        <v>3291</v>
      </c>
      <c r="C278" s="52">
        <f ca="1">IF(B278="","",INDEX(OFFSET(Arb!$H$2,,,Arb!$AJ$5,),B278))</f>
        <v>66.45</v>
      </c>
      <c r="D278" s="3">
        <f t="shared" ca="1" si="75"/>
        <v>2.0466516177577123</v>
      </c>
      <c r="E278" s="165">
        <f ca="1">IF(B278="","",INDEX(OFFSET(Arb!$X$2,,,Arb!$AJ$5,),B278)/C278)</f>
        <v>2.6636568848758464</v>
      </c>
      <c r="F278" s="165">
        <f ca="1">IF(B278="","",(INDEX(OFFSET(Arb!$U$2,,,Arb!$AJ$5,),B278)+INDEX(OFFSET(Arb!$V$2,,,Arb!$AJ$5,),B278))/C278)</f>
        <v>3.0097817908201656</v>
      </c>
      <c r="G278" s="51">
        <f t="shared" ca="1" si="85"/>
        <v>47.183232267314224</v>
      </c>
      <c r="H278" s="355">
        <f ca="1">IF(B278="","",DATE(INDEX(OFFSET(Arb!$C$2,,,Arb!$AJ$5,),B278),INDEX(OFFSET(Arb!$B$2,,,Arb!$AJ$5,),B278),INDEX(OFFSET(Arb!$A$2,,,Arb!$AJ$5,),B278))+ROW()*0.001)</f>
        <v>44084.277999999998</v>
      </c>
      <c r="I278" s="436">
        <v>136</v>
      </c>
      <c r="J278" s="1">
        <v>2694</v>
      </c>
      <c r="K278" s="52">
        <f ca="1">IF(J278="","",INDEX(OFFSET(Arb!$H$2,,,Arb!$AJ$5,),J278))</f>
        <v>69.83</v>
      </c>
      <c r="L278" s="3">
        <f t="shared" ca="1" si="76"/>
        <v>1.9475869969926967</v>
      </c>
      <c r="M278" s="165">
        <f ca="1">IF(J278="","",INDEX(OFFSET(Arb!$X$2,,,Arb!$AJ$5,),J278)/K278)</f>
        <v>2.5776886724903338</v>
      </c>
      <c r="N278" s="165">
        <f ca="1">IF(J278="","",(INDEX(OFFSET(Arb!$U$2,,,Arb!$AJ$5,),J278)+INDEX(OFFSET(Arb!$V$2,,,Arb!$AJ$5,),J278))/K278)</f>
        <v>2.9070600028640987</v>
      </c>
      <c r="O278" s="51">
        <f t="shared" ca="1" si="86"/>
        <v>43.366831467417207</v>
      </c>
      <c r="P278" s="91">
        <f ca="1">IF(J278="","",DATE(INDEX(OFFSET(Arb!$C$2,,,Arb!$AJ$5,),J278),INDEX(OFFSET(Arb!$B$2,,,Arb!$AJ$5,),J278),INDEX(OFFSET(Arb!$A$2,,,Arb!$AJ$5,),J278))+ROW()*0.001)</f>
        <v>43839.277999999998</v>
      </c>
      <c r="Q278" s="442">
        <v>136</v>
      </c>
      <c r="S278" s="52" t="str">
        <f ca="1">IF(R278="","",INDEX(OFFSET(Arb!$H$2,,,Arb!$AJ$5,),R278))</f>
        <v/>
      </c>
      <c r="T278" s="3" t="str">
        <f t="shared" ca="1" si="77"/>
        <v/>
      </c>
      <c r="U278" s="165" t="str">
        <f ca="1">IF(R278="","",INDEX(OFFSET(Arb!$X$2,,,Arb!$AJ$5,),R278)/S278)</f>
        <v/>
      </c>
      <c r="V278" s="165" t="str">
        <f ca="1">IF(R278="","",(INDEX(OFFSET(Arb!$U$2,,,Arb!$AJ$5,),R278)+INDEX(OFFSET(Arb!$V$2,,,Arb!$AJ$5,),R278))/S278)</f>
        <v/>
      </c>
      <c r="W278" s="51" t="str">
        <f t="shared" ca="1" si="87"/>
        <v/>
      </c>
      <c r="X278" s="88" t="str">
        <f ca="1">IF(R278="","",DATE(INDEX(OFFSET(Arb!$C$2,,,Arb!$AJ$5,),R278),INDEX(OFFSET(Arb!$B$2,,,Arb!$AJ$5,),R278),INDEX(OFFSET(Arb!$A$2,,,Arb!$AJ$5,),R278))+ROW()*0.001)</f>
        <v/>
      </c>
      <c r="Y278" s="436">
        <v>136</v>
      </c>
      <c r="AA278" s="52" t="str">
        <f ca="1">IF(Z278="","",INDEX(OFFSET(Arb!$H$2,,,Arb!$AJ$5,),Z278))</f>
        <v/>
      </c>
      <c r="AB278" s="3" t="str">
        <f t="shared" ca="1" si="78"/>
        <v/>
      </c>
      <c r="AC278" s="165" t="str">
        <f ca="1">IF(Z278="","",INDEX(OFFSET(Arb!$X$2,,,Arb!$AJ$5,),Z278)/AA278)</f>
        <v/>
      </c>
      <c r="AD278" s="165" t="str">
        <f ca="1">IF(Z278="","",(INDEX(OFFSET(Arb!$U$2,,,Arb!$AJ$5,),Z278)+INDEX(OFFSET(Arb!$V$2,,,Arb!$AJ$5,),Z278))/AA278)</f>
        <v/>
      </c>
      <c r="AE278" s="51" t="str">
        <f t="shared" ca="1" si="88"/>
        <v/>
      </c>
      <c r="AF278" s="91" t="str">
        <f ca="1">IF(Z278="","",DATE(INDEX(OFFSET(Arb!$C$2,,,Arb!$AJ$5,),Z278),INDEX(OFFSET(Arb!$B$2,,,Arb!$AJ$5,),Z278),INDEX(OFFSET(Arb!$A$2,,,Arb!$AJ$5,),Z278))+ROW()*0.001)</f>
        <v/>
      </c>
      <c r="AG278" s="442">
        <v>136</v>
      </c>
      <c r="AI278" s="52" t="str">
        <f ca="1">IF(AH278="","",INDEX(OFFSET(Arb!$H$2,,,Arb!$AJ$5,),AH278))</f>
        <v/>
      </c>
      <c r="AJ278" s="3" t="str">
        <f t="shared" ca="1" si="79"/>
        <v/>
      </c>
      <c r="AK278" s="165" t="str">
        <f ca="1">IF(AH278="","",INDEX(OFFSET(Arb!$X$2,,,Arb!$AJ$5,),AH278)/AI278)</f>
        <v/>
      </c>
      <c r="AL278" s="165" t="str">
        <f ca="1">IF(AH278="","",(INDEX(OFFSET(Arb!$U$2,,,Arb!$AJ$5,),AH278)+INDEX(OFFSET(Arb!$V$2,,,Arb!$AJ$5,),AH278))/AI278)</f>
        <v/>
      </c>
      <c r="AM278" s="51" t="str">
        <f t="shared" ca="1" si="89"/>
        <v/>
      </c>
      <c r="AN278" s="88" t="str">
        <f ca="1">IF(AH278="","",DATE(INDEX(OFFSET(Arb!$C$2,,,Arb!$AJ$5,),AH278),INDEX(OFFSET(Arb!$B$2,,,Arb!$AJ$5,),AH278),INDEX(OFFSET(Arb!$A$2,,,Arb!$AJ$5,),AH278))+ROW()*0.001)</f>
        <v/>
      </c>
      <c r="AO278" s="436">
        <v>136</v>
      </c>
      <c r="AQ278" s="52" t="str">
        <f ca="1">IF(AP278="","",INDEX(OFFSET(Arb!$H$2,,,Arb!$AJ$5,),AP278))</f>
        <v/>
      </c>
      <c r="AR278" s="3" t="str">
        <f t="shared" ca="1" si="80"/>
        <v/>
      </c>
      <c r="AS278" s="165" t="str">
        <f ca="1">IF(AP278="","",INDEX(OFFSET(Arb!$X$2,,,Arb!$AJ$5,),AP278)/AQ278)</f>
        <v/>
      </c>
      <c r="AT278" s="165" t="str">
        <f ca="1">IF(AP278="","",(INDEX(OFFSET(Arb!$U$2,,,Arb!$AJ$5,),AP278)+INDEX(OFFSET(Arb!$V$2,,,Arb!$AJ$5,),AP278))/AQ278)</f>
        <v/>
      </c>
      <c r="AU278" s="51" t="str">
        <f t="shared" ca="1" si="90"/>
        <v/>
      </c>
      <c r="AV278" s="91" t="str">
        <f ca="1">IF(AP278="","",DATE(INDEX(OFFSET(Arb!$C$2,,,Arb!$AJ$5,),AP278),INDEX(OFFSET(Arb!$B$2,,,Arb!$AJ$5,),AP278),INDEX(OFFSET(Arb!$A$2,,,Arb!$AJ$5,),AP278))+ROW()*0.001)</f>
        <v/>
      </c>
      <c r="AW278" s="442">
        <v>136</v>
      </c>
      <c r="AY278" s="52" t="str">
        <f ca="1">IF(AX278="","",INDEX(OFFSET(Arb!$H$2,,,Arb!$AJ$5,),AX278))</f>
        <v/>
      </c>
      <c r="AZ278" s="3" t="str">
        <f t="shared" ca="1" si="81"/>
        <v/>
      </c>
      <c r="BA278" s="165" t="str">
        <f ca="1">IF(AX278="","",INDEX(OFFSET(Arb!$X$2,,,Arb!$AJ$5,),AX278)/AY278)</f>
        <v/>
      </c>
      <c r="BB278" s="165" t="str">
        <f ca="1">IF(AX278="","",(INDEX(OFFSET(Arb!$U$2,,,Arb!$AJ$5,),AX278)+INDEX(OFFSET(Arb!$V$2,,,Arb!$AJ$5,),AX278))/AY278)</f>
        <v/>
      </c>
      <c r="BC278" s="51" t="str">
        <f t="shared" ca="1" si="91"/>
        <v/>
      </c>
      <c r="BD278" s="88" t="str">
        <f ca="1">IF(AX278="","",DATE(INDEX(OFFSET(Arb!$C$2,,,Arb!$AJ$5,),AX278),INDEX(OFFSET(Arb!$B$2,,,Arb!$AJ$5,),AX278),INDEX(OFFSET(Arb!$A$2,,,Arb!$AJ$5,),AX278))+ROW()*0.001)</f>
        <v/>
      </c>
      <c r="BE278" s="436">
        <v>136</v>
      </c>
      <c r="BG278" s="52" t="str">
        <f ca="1">IF(BF278="","",INDEX(OFFSET(Arb!$H$2,,,Arb!$AJ$5,),BF278))</f>
        <v/>
      </c>
      <c r="BH278" s="3" t="str">
        <f t="shared" ca="1" si="82"/>
        <v/>
      </c>
      <c r="BI278" s="165" t="str">
        <f ca="1">IF(BF278="","",INDEX(OFFSET(Arb!$X$2,,,Arb!$AJ$5,),BF278)/BG278)</f>
        <v/>
      </c>
      <c r="BJ278" s="165" t="str">
        <f ca="1">IF(BF278="","",(INDEX(OFFSET(Arb!$U$2,,,Arb!$AJ$5,),BF278)+INDEX(OFFSET(Arb!$V$2,,,Arb!$AJ$5,),BF278))/BG278)</f>
        <v/>
      </c>
      <c r="BK278" s="51" t="str">
        <f t="shared" ca="1" si="92"/>
        <v/>
      </c>
      <c r="BL278" s="91" t="str">
        <f ca="1">IF(BF278="","",DATE(INDEX(OFFSET(Arb!$C$2,,,Arb!$AJ$5,),BF278),INDEX(OFFSET(Arb!$B$2,,,Arb!$AJ$5,),BF278),INDEX(OFFSET(Arb!$A$2,,,Arb!$AJ$5,),BF278))+ROW()*0.001)</f>
        <v/>
      </c>
      <c r="BM278" s="442">
        <v>136</v>
      </c>
      <c r="BO278" s="52" t="str">
        <f ca="1">IF(BN278="","",INDEX(OFFSET(Arb!$H$2,,,Arb!$AJ$5,),BN278))</f>
        <v/>
      </c>
      <c r="BP278" s="3" t="str">
        <f t="shared" ca="1" si="83"/>
        <v/>
      </c>
      <c r="BQ278" s="165" t="str">
        <f ca="1">IF(BN278="","",INDEX(OFFSET(Arb!$X$2,,,Arb!$AJ$5,),BN278)/BO278)</f>
        <v/>
      </c>
      <c r="BR278" s="165" t="str">
        <f ca="1">IF(BN278="","",(INDEX(OFFSET(Arb!$U$2,,,Arb!$AJ$5,),BN278)+INDEX(OFFSET(Arb!$V$2,,,Arb!$AJ$5,),BN278))/BO278)</f>
        <v/>
      </c>
      <c r="BS278" s="51" t="str">
        <f t="shared" ca="1" si="93"/>
        <v/>
      </c>
      <c r="BT278" s="88" t="str">
        <f ca="1">IF(BN278="","",DATE(INDEX(OFFSET(Arb!$C$2,,,Arb!$AJ$5,),BN278),INDEX(OFFSET(Arb!$B$2,,,Arb!$AJ$5,),BN278),INDEX(OFFSET(Arb!$A$2,,,Arb!$AJ$5,),BN278))+ROW()*0.001)</f>
        <v/>
      </c>
      <c r="BU278" s="436">
        <v>136</v>
      </c>
      <c r="BW278" s="52" t="str">
        <f ca="1">IF(BV278="","",INDEX(OFFSET(Arb!$H$2,,,Arb!$AJ$5,),BV278))</f>
        <v/>
      </c>
      <c r="BX278" s="3" t="str">
        <f t="shared" ca="1" si="84"/>
        <v/>
      </c>
      <c r="BY278" s="165" t="str">
        <f ca="1">IF(BV278="","",INDEX(OFFSET(Arb!$X$2,,,Arb!$AJ$5,),BV278)/BW278)</f>
        <v/>
      </c>
      <c r="BZ278" s="165" t="str">
        <f ca="1">IF(BV278="","",(INDEX(OFFSET(Arb!$U$2,,,Arb!$AJ$5,),BV278)+INDEX(OFFSET(Arb!$V$2,,,Arb!$AJ$5,),BV278))/BW278)</f>
        <v/>
      </c>
      <c r="CA278" s="51" t="str">
        <f t="shared" ca="1" si="94"/>
        <v/>
      </c>
      <c r="CB278" s="91" t="str">
        <f ca="1">IF(BV278="","",DATE(INDEX(OFFSET(Arb!$C$2,,,Arb!$AJ$5,),BV278),INDEX(OFFSET(Arb!$B$2,,,Arb!$AJ$5,),BV278),INDEX(OFFSET(Arb!$A$2,,,Arb!$AJ$5,),BV278))+ROW()*0.001)</f>
        <v/>
      </c>
    </row>
    <row r="279" spans="1:80" x14ac:dyDescent="0.25">
      <c r="A279" s="433">
        <v>137</v>
      </c>
      <c r="B279" s="1">
        <v>3187</v>
      </c>
      <c r="C279" s="52">
        <f ca="1">IF(B279="","",INDEX(OFFSET(Arb!$H$2,,,Arb!$AJ$5,),B279))</f>
        <v>64.38</v>
      </c>
      <c r="D279" s="3">
        <f t="shared" ca="1" si="75"/>
        <v>2.1279900590245417</v>
      </c>
      <c r="E279" s="165">
        <f ca="1">IF(B279="","",INDEX(OFFSET(Arb!$X$2,,,Arb!$AJ$5,),B279)/C279)</f>
        <v>2.8269648959304132</v>
      </c>
      <c r="F279" s="165">
        <f ca="1">IF(B279="","",(INDEX(OFFSET(Arb!$U$2,,,Arb!$AJ$5,),B279)+INDEX(OFFSET(Arb!$V$2,,,Arb!$AJ$5,),B279))/C279)</f>
        <v>3.2308170239204723</v>
      </c>
      <c r="G279" s="51">
        <f t="shared" ca="1" si="85"/>
        <v>50.157302240020655</v>
      </c>
      <c r="H279" s="355">
        <f ca="1">IF(B279="","",DATE(INDEX(OFFSET(Arb!$C$2,,,Arb!$AJ$5,),B279),INDEX(OFFSET(Arb!$B$2,,,Arb!$AJ$5,),B279),INDEX(OFFSET(Arb!$A$2,,,Arb!$AJ$5,),B279))+ROW()*0.001)</f>
        <v>44054.279000000002</v>
      </c>
      <c r="I279" s="436">
        <v>137</v>
      </c>
      <c r="J279" s="1">
        <v>3042</v>
      </c>
      <c r="K279" s="52">
        <f ca="1">IF(J279="","",INDEX(OFFSET(Arb!$H$2,,,Arb!$AJ$5,),J279))</f>
        <v>65.94</v>
      </c>
      <c r="L279" s="3">
        <f t="shared" ca="1" si="76"/>
        <v>2.0776463451622686</v>
      </c>
      <c r="M279" s="165">
        <f ca="1">IF(J279="","",INDEX(OFFSET(Arb!$X$2,,,Arb!$AJ$5,),J279)/K279)</f>
        <v>2.4567788898999092</v>
      </c>
      <c r="N279" s="165">
        <f ca="1">IF(J279="","",(INDEX(OFFSET(Arb!$U$2,,,Arb!$AJ$5,),J279)+INDEX(OFFSET(Arb!$V$2,,,Arb!$AJ$5,),J279))/K279)</f>
        <v>2.8207461328480439</v>
      </c>
      <c r="O279" s="51">
        <f t="shared" ca="1" si="86"/>
        <v>48.156799911410012</v>
      </c>
      <c r="P279" s="91">
        <f ca="1">IF(J279="","",DATE(INDEX(OFFSET(Arb!$C$2,,,Arb!$AJ$5,),J279),INDEX(OFFSET(Arb!$B$2,,,Arb!$AJ$5,),J279),INDEX(OFFSET(Arb!$A$2,,,Arb!$AJ$5,),J279))+ROW()*0.001)</f>
        <v>43980.279000000002</v>
      </c>
      <c r="Q279" s="442">
        <v>137</v>
      </c>
      <c r="R279" s="1">
        <v>2696</v>
      </c>
      <c r="S279" s="52">
        <f ca="1">IF(R279="","",INDEX(OFFSET(Arb!$H$2,,,Arb!$AJ$5,),R279))</f>
        <v>65.98</v>
      </c>
      <c r="T279" s="3">
        <f t="shared" ca="1" si="77"/>
        <v>2.0763867838739012</v>
      </c>
      <c r="U279" s="165">
        <f ca="1">IF(R279="","",INDEX(OFFSET(Arb!$X$2,,,Arb!$AJ$5,),R279)/S279)</f>
        <v>2.3795089421036675</v>
      </c>
      <c r="V279" s="165">
        <f ca="1">IF(R279="","",(INDEX(OFFSET(Arb!$U$2,,,Arb!$AJ$5,),R279)+INDEX(OFFSET(Arb!$V$2,,,Arb!$AJ$5,),R279))/S279)</f>
        <v>2.6220066686874808</v>
      </c>
      <c r="W279" s="51">
        <f t="shared" ca="1" si="87"/>
        <v>48.107179306439846</v>
      </c>
      <c r="X279" s="88">
        <f ca="1">IF(R279="","",DATE(INDEX(OFFSET(Arb!$C$2,,,Arb!$AJ$5,),R279),INDEX(OFFSET(Arb!$B$2,,,Arb!$AJ$5,),R279),INDEX(OFFSET(Arb!$A$2,,,Arb!$AJ$5,),R279))+ROW()*0.001)</f>
        <v>43841.279000000002</v>
      </c>
      <c r="Y279" s="436">
        <v>137</v>
      </c>
      <c r="Z279" s="1">
        <v>3355</v>
      </c>
      <c r="AA279" s="52">
        <f ca="1">IF(Z279="","",INDEX(OFFSET(Arb!$H$2,,,Arb!$AJ$5,),Z279))</f>
        <v>66.010000000000005</v>
      </c>
      <c r="AB279" s="3">
        <f t="shared" ca="1" si="78"/>
        <v>2.0754431146795937</v>
      </c>
      <c r="AC279" s="165">
        <f ca="1">IF(Z279="","",INDEX(OFFSET(Arb!$X$2,,,Arb!$AJ$5,),Z279)/AA279)</f>
        <v>2.605665808210877</v>
      </c>
      <c r="AD279" s="165">
        <f ca="1">IF(Z279="","",(INDEX(OFFSET(Arb!$U$2,,,Arb!$AJ$5,),Z279)+INDEX(OFFSET(Arb!$V$2,,,Arb!$AJ$5,),Z279))/AA279)</f>
        <v>2.9086502045144673</v>
      </c>
      <c r="AE279" s="51">
        <f t="shared" ca="1" si="88"/>
        <v>48.070017120985227</v>
      </c>
      <c r="AF279" s="91">
        <f ca="1">IF(Z279="","",DATE(INDEX(OFFSET(Arb!$C$2,,,Arb!$AJ$5,),Z279),INDEX(OFFSET(Arb!$B$2,,,Arb!$AJ$5,),Z279),INDEX(OFFSET(Arb!$A$2,,,Arb!$AJ$5,),Z279))+ROW()*0.001)</f>
        <v>44099.279000000002</v>
      </c>
      <c r="AG279" s="442">
        <v>137</v>
      </c>
      <c r="AI279" s="52" t="str">
        <f ca="1">IF(AH279="","",INDEX(OFFSET(Arb!$H$2,,,Arb!$AJ$5,),AH279))</f>
        <v/>
      </c>
      <c r="AJ279" s="3" t="str">
        <f t="shared" ca="1" si="79"/>
        <v/>
      </c>
      <c r="AK279" s="165" t="str">
        <f ca="1">IF(AH279="","",INDEX(OFFSET(Arb!$X$2,,,Arb!$AJ$5,),AH279)/AI279)</f>
        <v/>
      </c>
      <c r="AL279" s="165" t="str">
        <f ca="1">IF(AH279="","",(INDEX(OFFSET(Arb!$U$2,,,Arb!$AJ$5,),AH279)+INDEX(OFFSET(Arb!$V$2,,,Arb!$AJ$5,),AH279))/AI279)</f>
        <v/>
      </c>
      <c r="AM279" s="51" t="str">
        <f t="shared" ca="1" si="89"/>
        <v/>
      </c>
      <c r="AN279" s="88" t="str">
        <f ca="1">IF(AH279="","",DATE(INDEX(OFFSET(Arb!$C$2,,,Arb!$AJ$5,),AH279),INDEX(OFFSET(Arb!$B$2,,,Arb!$AJ$5,),AH279),INDEX(OFFSET(Arb!$A$2,,,Arb!$AJ$5,),AH279))+ROW()*0.001)</f>
        <v/>
      </c>
      <c r="AO279" s="436">
        <v>137</v>
      </c>
      <c r="AQ279" s="52" t="str">
        <f ca="1">IF(AP279="","",INDEX(OFFSET(Arb!$H$2,,,Arb!$AJ$5,),AP279))</f>
        <v/>
      </c>
      <c r="AR279" s="3" t="str">
        <f t="shared" ca="1" si="80"/>
        <v/>
      </c>
      <c r="AS279" s="165" t="str">
        <f ca="1">IF(AP279="","",INDEX(OFFSET(Arb!$X$2,,,Arb!$AJ$5,),AP279)/AQ279)</f>
        <v/>
      </c>
      <c r="AT279" s="165" t="str">
        <f ca="1">IF(AP279="","",(INDEX(OFFSET(Arb!$U$2,,,Arb!$AJ$5,),AP279)+INDEX(OFFSET(Arb!$V$2,,,Arb!$AJ$5,),AP279))/AQ279)</f>
        <v/>
      </c>
      <c r="AU279" s="51" t="str">
        <f t="shared" ca="1" si="90"/>
        <v/>
      </c>
      <c r="AV279" s="91" t="str">
        <f ca="1">IF(AP279="","",DATE(INDEX(OFFSET(Arb!$C$2,,,Arb!$AJ$5,),AP279),INDEX(OFFSET(Arb!$B$2,,,Arb!$AJ$5,),AP279),INDEX(OFFSET(Arb!$A$2,,,Arb!$AJ$5,),AP279))+ROW()*0.001)</f>
        <v/>
      </c>
      <c r="AW279" s="442">
        <v>137</v>
      </c>
      <c r="AY279" s="52" t="str">
        <f ca="1">IF(AX279="","",INDEX(OFFSET(Arb!$H$2,,,Arb!$AJ$5,),AX279))</f>
        <v/>
      </c>
      <c r="AZ279" s="3" t="str">
        <f t="shared" ca="1" si="81"/>
        <v/>
      </c>
      <c r="BA279" s="165" t="str">
        <f ca="1">IF(AX279="","",INDEX(OFFSET(Arb!$X$2,,,Arb!$AJ$5,),AX279)/AY279)</f>
        <v/>
      </c>
      <c r="BB279" s="165" t="str">
        <f ca="1">IF(AX279="","",(INDEX(OFFSET(Arb!$U$2,,,Arb!$AJ$5,),AX279)+INDEX(OFFSET(Arb!$V$2,,,Arb!$AJ$5,),AX279))/AY279)</f>
        <v/>
      </c>
      <c r="BC279" s="51" t="str">
        <f t="shared" ca="1" si="91"/>
        <v/>
      </c>
      <c r="BD279" s="88" t="str">
        <f ca="1">IF(AX279="","",DATE(INDEX(OFFSET(Arb!$C$2,,,Arb!$AJ$5,),AX279),INDEX(OFFSET(Arb!$B$2,,,Arb!$AJ$5,),AX279),INDEX(OFFSET(Arb!$A$2,,,Arb!$AJ$5,),AX279))+ROW()*0.001)</f>
        <v/>
      </c>
      <c r="BE279" s="436">
        <v>137</v>
      </c>
      <c r="BG279" s="52" t="str">
        <f ca="1">IF(BF279="","",INDEX(OFFSET(Arb!$H$2,,,Arb!$AJ$5,),BF279))</f>
        <v/>
      </c>
      <c r="BH279" s="3" t="str">
        <f t="shared" ca="1" si="82"/>
        <v/>
      </c>
      <c r="BI279" s="165" t="str">
        <f ca="1">IF(BF279="","",INDEX(OFFSET(Arb!$X$2,,,Arb!$AJ$5,),BF279)/BG279)</f>
        <v/>
      </c>
      <c r="BJ279" s="165" t="str">
        <f ca="1">IF(BF279="","",(INDEX(OFFSET(Arb!$U$2,,,Arb!$AJ$5,),BF279)+INDEX(OFFSET(Arb!$V$2,,,Arb!$AJ$5,),BF279))/BG279)</f>
        <v/>
      </c>
      <c r="BK279" s="51" t="str">
        <f t="shared" ca="1" si="92"/>
        <v/>
      </c>
      <c r="BL279" s="91" t="str">
        <f ca="1">IF(BF279="","",DATE(INDEX(OFFSET(Arb!$C$2,,,Arb!$AJ$5,),BF279),INDEX(OFFSET(Arb!$B$2,,,Arb!$AJ$5,),BF279),INDEX(OFFSET(Arb!$A$2,,,Arb!$AJ$5,),BF279))+ROW()*0.001)</f>
        <v/>
      </c>
      <c r="BM279" s="442">
        <v>137</v>
      </c>
      <c r="BO279" s="52" t="str">
        <f ca="1">IF(BN279="","",INDEX(OFFSET(Arb!$H$2,,,Arb!$AJ$5,),BN279))</f>
        <v/>
      </c>
      <c r="BP279" s="3" t="str">
        <f t="shared" ca="1" si="83"/>
        <v/>
      </c>
      <c r="BQ279" s="165" t="str">
        <f ca="1">IF(BN279="","",INDEX(OFFSET(Arb!$X$2,,,Arb!$AJ$5,),BN279)/BO279)</f>
        <v/>
      </c>
      <c r="BR279" s="165" t="str">
        <f ca="1">IF(BN279="","",(INDEX(OFFSET(Arb!$U$2,,,Arb!$AJ$5,),BN279)+INDEX(OFFSET(Arb!$V$2,,,Arb!$AJ$5,),BN279))/BO279)</f>
        <v/>
      </c>
      <c r="BS279" s="51" t="str">
        <f t="shared" ca="1" si="93"/>
        <v/>
      </c>
      <c r="BT279" s="88" t="str">
        <f ca="1">IF(BN279="","",DATE(INDEX(OFFSET(Arb!$C$2,,,Arb!$AJ$5,),BN279),INDEX(OFFSET(Arb!$B$2,,,Arb!$AJ$5,),BN279),INDEX(OFFSET(Arb!$A$2,,,Arb!$AJ$5,),BN279))+ROW()*0.001)</f>
        <v/>
      </c>
      <c r="BU279" s="436">
        <v>137</v>
      </c>
      <c r="BW279" s="52" t="str">
        <f ca="1">IF(BV279="","",INDEX(OFFSET(Arb!$H$2,,,Arb!$AJ$5,),BV279))</f>
        <v/>
      </c>
      <c r="BX279" s="3" t="str">
        <f t="shared" ca="1" si="84"/>
        <v/>
      </c>
      <c r="BY279" s="165" t="str">
        <f ca="1">IF(BV279="","",INDEX(OFFSET(Arb!$X$2,,,Arb!$AJ$5,),BV279)/BW279)</f>
        <v/>
      </c>
      <c r="BZ279" s="165" t="str">
        <f ca="1">IF(BV279="","",(INDEX(OFFSET(Arb!$U$2,,,Arb!$AJ$5,),BV279)+INDEX(OFFSET(Arb!$V$2,,,Arb!$AJ$5,),BV279))/BW279)</f>
        <v/>
      </c>
      <c r="CA279" s="51" t="str">
        <f t="shared" ca="1" si="94"/>
        <v/>
      </c>
      <c r="CB279" s="91" t="str">
        <f ca="1">IF(BV279="","",DATE(INDEX(OFFSET(Arb!$C$2,,,Arb!$AJ$5,),BV279),INDEX(OFFSET(Arb!$B$2,,,Arb!$AJ$5,),BV279),INDEX(OFFSET(Arb!$A$2,,,Arb!$AJ$5,),BV279))+ROW()*0.001)</f>
        <v/>
      </c>
    </row>
    <row r="280" spans="1:80" x14ac:dyDescent="0.25">
      <c r="A280" s="433">
        <v>138</v>
      </c>
      <c r="B280" s="1">
        <v>3057</v>
      </c>
      <c r="C280" s="52">
        <f ca="1">IF(B280="","",INDEX(OFFSET(Arb!$H$2,,,Arb!$AJ$5,),B280))</f>
        <v>61.94</v>
      </c>
      <c r="D280" s="3">
        <f t="shared" ca="1" si="75"/>
        <v>2.2279625443978044</v>
      </c>
      <c r="E280" s="165">
        <f ca="1">IF(B280="","",INDEX(OFFSET(Arb!$X$2,,,Arb!$AJ$5,),B280)/C280)</f>
        <v>2.8253148207943171</v>
      </c>
      <c r="F280" s="165">
        <f ca="1">IF(B280="","",(INDEX(OFFSET(Arb!$U$2,,,Arb!$AJ$5,),B280)+INDEX(OFFSET(Arb!$V$2,,,Arb!$AJ$5,),B280))/C280)</f>
        <v>3.2935098482402325</v>
      </c>
      <c r="G280" s="51">
        <f t="shared" ca="1" si="85"/>
        <v>53.95333565158824</v>
      </c>
      <c r="H280" s="355">
        <f ca="1">IF(B280="","",DATE(INDEX(OFFSET(Arb!$C$2,,,Arb!$AJ$5,),B280),INDEX(OFFSET(Arb!$B$2,,,Arb!$AJ$5,),B280),INDEX(OFFSET(Arb!$A$2,,,Arb!$AJ$5,),B280))+ROW()*0.001)</f>
        <v>43988.28</v>
      </c>
      <c r="I280" s="436">
        <v>138</v>
      </c>
      <c r="J280" s="1">
        <v>3010</v>
      </c>
      <c r="K280" s="52">
        <f ca="1">IF(J280="","",INDEX(OFFSET(Arb!$H$2,,,Arb!$AJ$5,),J280))</f>
        <v>65.819999999999993</v>
      </c>
      <c r="L280" s="3">
        <f t="shared" ca="1" si="76"/>
        <v>2.0966271649954424</v>
      </c>
      <c r="M280" s="165">
        <f ca="1">IF(J280="","",INDEX(OFFSET(Arb!$X$2,,,Arb!$AJ$5,),J280)/K280)</f>
        <v>2.8562746885445156</v>
      </c>
      <c r="N280" s="165">
        <f ca="1">IF(J280="","",(INDEX(OFFSET(Arb!$U$2,,,Arb!$AJ$5,),J280)+INDEX(OFFSET(Arb!$V$2,,,Arb!$AJ$5,),J280))/K280)</f>
        <v>3.3424491036159227</v>
      </c>
      <c r="O280" s="51">
        <f t="shared" ca="1" si="86"/>
        <v>48.658750123741243</v>
      </c>
      <c r="P280" s="91">
        <f ca="1">IF(J280="","",DATE(INDEX(OFFSET(Arb!$C$2,,,Arb!$AJ$5,),J280),INDEX(OFFSET(Arb!$B$2,,,Arb!$AJ$5,),J280),INDEX(OFFSET(Arb!$A$2,,,Arb!$AJ$5,),J280))+ROW()*0.001)</f>
        <v>43957.279999999999</v>
      </c>
      <c r="Q280" s="442">
        <v>138</v>
      </c>
      <c r="R280" s="1">
        <v>3446</v>
      </c>
      <c r="S280" s="52">
        <f ca="1">IF(R280="","",INDEX(OFFSET(Arb!$H$2,,,Arb!$AJ$5,),R280))</f>
        <v>67.290000000000006</v>
      </c>
      <c r="T280" s="3">
        <f t="shared" ca="1" si="77"/>
        <v>2.0508247882300488</v>
      </c>
      <c r="U280" s="165">
        <f ca="1">IF(R280="","",INDEX(OFFSET(Arb!$X$2,,,Arb!$AJ$5,),R280)/S280)</f>
        <v>2.199435280130777</v>
      </c>
      <c r="V280" s="165">
        <f ca="1">IF(R280="","",(INDEX(OFFSET(Arb!$U$2,,,Arb!$AJ$5,),R280)+INDEX(OFFSET(Arb!$V$2,,,Arb!$AJ$5,),R280))/S280)</f>
        <v>2.4372120671719419</v>
      </c>
      <c r="W280" s="51">
        <f t="shared" ca="1" si="87"/>
        <v>46.865520375679957</v>
      </c>
      <c r="X280" s="88">
        <f ca="1">IF(R280="","",DATE(INDEX(OFFSET(Arb!$C$2,,,Arb!$AJ$5,),R280),INDEX(OFFSET(Arb!$B$2,,,Arb!$AJ$5,),R280),INDEX(OFFSET(Arb!$A$2,,,Arb!$AJ$5,),R280))+ROW()*0.001)</f>
        <v>44177.279999999999</v>
      </c>
      <c r="Y280" s="436">
        <v>138</v>
      </c>
      <c r="Z280" s="1">
        <v>2852</v>
      </c>
      <c r="AA280" s="52">
        <f ca="1">IF(Z280="","",INDEX(OFFSET(Arb!$H$2,,,Arb!$AJ$5,),Z280))</f>
        <v>67.52</v>
      </c>
      <c r="AB280" s="3">
        <f t="shared" ca="1" si="78"/>
        <v>2.0438388625592419</v>
      </c>
      <c r="AC280" s="165">
        <f ca="1">IF(Z280="","",INDEX(OFFSET(Arb!$X$2,,,Arb!$AJ$5,),Z280)/AA280)</f>
        <v>2.9768957345971567</v>
      </c>
      <c r="AD280" s="165">
        <f ca="1">IF(Z280="","",(INDEX(OFFSET(Arb!$U$2,,,Arb!$AJ$5,),Z280)+INDEX(OFFSET(Arb!$V$2,,,Arb!$AJ$5,),Z280))/AA280)</f>
        <v>3.5693127962085311</v>
      </c>
      <c r="AE280" s="51">
        <f t="shared" ca="1" si="88"/>
        <v>46.594451597182733</v>
      </c>
      <c r="AF280" s="91">
        <f ca="1">IF(Z280="","",DATE(INDEX(OFFSET(Arb!$C$2,,,Arb!$AJ$5,),Z280),INDEX(OFFSET(Arb!$B$2,,,Arb!$AJ$5,),Z280),INDEX(OFFSET(Arb!$A$2,,,Arb!$AJ$5,),Z280))+ROW()*0.001)</f>
        <v>43905.279999999999</v>
      </c>
      <c r="AG280" s="442">
        <v>138</v>
      </c>
      <c r="AH280" s="1">
        <v>2413</v>
      </c>
      <c r="AI280" s="52">
        <f ca="1">IF(AH280="","",INDEX(OFFSET(Arb!$H$2,,,Arb!$AJ$5,),AH280))</f>
        <v>67.569999999999993</v>
      </c>
      <c r="AJ280" s="3">
        <f t="shared" ca="1" si="79"/>
        <v>2.0423264762468554</v>
      </c>
      <c r="AK280" s="165">
        <f ca="1">IF(AH280="","",INDEX(OFFSET(Arb!$X$2,,,Arb!$AJ$5,),AH280)/AI280)</f>
        <v>2.6195056977948799</v>
      </c>
      <c r="AL280" s="165">
        <f ca="1">IF(AH280="","",(INDEX(OFFSET(Arb!$U$2,,,Arb!$AJ$5,),AH280)+INDEX(OFFSET(Arb!$V$2,,,Arb!$AJ$5,),AH280))/AI280)</f>
        <v>2.9598934438360223</v>
      </c>
      <c r="AM280" s="51">
        <f t="shared" ca="1" si="89"/>
        <v>46.53585306869504</v>
      </c>
      <c r="AN280" s="88">
        <f ca="1">IF(AH280="","",DATE(INDEX(OFFSET(Arb!$C$2,,,Arb!$AJ$5,),AH280),INDEX(OFFSET(Arb!$B$2,,,Arb!$AJ$5,),AH280),INDEX(OFFSET(Arb!$A$2,,,Arb!$AJ$5,),AH280))+ROW()*0.001)</f>
        <v>43764.28</v>
      </c>
      <c r="AO280" s="436">
        <v>138</v>
      </c>
      <c r="AP280" s="1">
        <v>2744</v>
      </c>
      <c r="AQ280" s="52">
        <f ca="1">IF(AP280="","",INDEX(OFFSET(Arb!$H$2,,,Arb!$AJ$5,),AP280))</f>
        <v>71.08</v>
      </c>
      <c r="AR280" s="3">
        <f t="shared" ca="1" si="80"/>
        <v>1.9414743950478335</v>
      </c>
      <c r="AS280" s="165">
        <f ca="1">IF(AP280="","",INDEX(OFFSET(Arb!$X$2,,,Arb!$AJ$5,),AP280)/AQ280)</f>
        <v>2.6308384918401799</v>
      </c>
      <c r="AT280" s="165">
        <f ca="1">IF(AP280="","",(INDEX(OFFSET(Arb!$U$2,,,Arb!$AJ$5,),AP280)+INDEX(OFFSET(Arb!$V$2,,,Arb!$AJ$5,),AP280))/AQ280)</f>
        <v>3.1373100731570061</v>
      </c>
      <c r="AU280" s="51">
        <f t="shared" ca="1" si="90"/>
        <v>42.697134468081224</v>
      </c>
      <c r="AV280" s="91">
        <f ca="1">IF(AP280="","",DATE(INDEX(OFFSET(Arb!$C$2,,,Arb!$AJ$5,),AP280),INDEX(OFFSET(Arb!$B$2,,,Arb!$AJ$5,),AP280),INDEX(OFFSET(Arb!$A$2,,,Arb!$AJ$5,),AP280))+ROW()*0.001)</f>
        <v>43870.28</v>
      </c>
      <c r="AW280" s="442">
        <v>138</v>
      </c>
      <c r="AX280" s="1">
        <v>2493</v>
      </c>
      <c r="AY280" s="52">
        <f ca="1">IF(AX280="","",INDEX(OFFSET(Arb!$H$2,,,Arb!$AJ$5,),AX280))</f>
        <v>86.1</v>
      </c>
      <c r="AZ280" s="3">
        <f t="shared" ca="1" si="81"/>
        <v>1.6027874564459932</v>
      </c>
      <c r="BA280" s="165">
        <f ca="1">IF(AX280="","",INDEX(OFFSET(Arb!$X$2,,,Arb!$AJ$5,),AX280)/AY280)</f>
        <v>2.0905923344947737</v>
      </c>
      <c r="BB280" s="165">
        <f ca="1">IF(AX280="","",(INDEX(OFFSET(Arb!$U$2,,,Arb!$AJ$5,),AX280)+INDEX(OFFSET(Arb!$V$2,,,Arb!$AJ$5,),AX280))/AY280)</f>
        <v>2.3344947735191641</v>
      </c>
      <c r="BC280" s="51">
        <f t="shared" ca="1" si="91"/>
        <v>30.822224845564712</v>
      </c>
      <c r="BD280" s="88">
        <f ca="1">IF(AX280="","",DATE(INDEX(OFFSET(Arb!$C$2,,,Arb!$AJ$5,),AX280),INDEX(OFFSET(Arb!$B$2,,,Arb!$AJ$5,),AX280),INDEX(OFFSET(Arb!$A$2,,,Arb!$AJ$5,),AX280))+ROW()*0.001)</f>
        <v>43787.28</v>
      </c>
      <c r="BE280" s="436">
        <v>138</v>
      </c>
      <c r="BG280" s="52" t="str">
        <f ca="1">IF(BF280="","",INDEX(OFFSET(Arb!$H$2,,,Arb!$AJ$5,),BF280))</f>
        <v/>
      </c>
      <c r="BH280" s="3" t="str">
        <f t="shared" ca="1" si="82"/>
        <v/>
      </c>
      <c r="BI280" s="165" t="str">
        <f ca="1">IF(BF280="","",INDEX(OFFSET(Arb!$X$2,,,Arb!$AJ$5,),BF280)/BG280)</f>
        <v/>
      </c>
      <c r="BJ280" s="165" t="str">
        <f ca="1">IF(BF280="","",(INDEX(OFFSET(Arb!$U$2,,,Arb!$AJ$5,),BF280)+INDEX(OFFSET(Arb!$V$2,,,Arb!$AJ$5,),BF280))/BG280)</f>
        <v/>
      </c>
      <c r="BK280" s="51" t="str">
        <f t="shared" ca="1" si="92"/>
        <v/>
      </c>
      <c r="BL280" s="91" t="str">
        <f ca="1">IF(BF280="","",DATE(INDEX(OFFSET(Arb!$C$2,,,Arb!$AJ$5,),BF280),INDEX(OFFSET(Arb!$B$2,,,Arb!$AJ$5,),BF280),INDEX(OFFSET(Arb!$A$2,,,Arb!$AJ$5,),BF280))+ROW()*0.001)</f>
        <v/>
      </c>
      <c r="BM280" s="442">
        <v>138</v>
      </c>
      <c r="BO280" s="52" t="str">
        <f ca="1">IF(BN280="","",INDEX(OFFSET(Arb!$H$2,,,Arb!$AJ$5,),BN280))</f>
        <v/>
      </c>
      <c r="BP280" s="3" t="str">
        <f t="shared" ca="1" si="83"/>
        <v/>
      </c>
      <c r="BQ280" s="165" t="str">
        <f ca="1">IF(BN280="","",INDEX(OFFSET(Arb!$X$2,,,Arb!$AJ$5,),BN280)/BO280)</f>
        <v/>
      </c>
      <c r="BR280" s="165" t="str">
        <f ca="1">IF(BN280="","",(INDEX(OFFSET(Arb!$U$2,,,Arb!$AJ$5,),BN280)+INDEX(OFFSET(Arb!$V$2,,,Arb!$AJ$5,),BN280))/BO280)</f>
        <v/>
      </c>
      <c r="BS280" s="51" t="str">
        <f t="shared" ca="1" si="93"/>
        <v/>
      </c>
      <c r="BT280" s="88" t="str">
        <f ca="1">IF(BN280="","",DATE(INDEX(OFFSET(Arb!$C$2,,,Arb!$AJ$5,),BN280),INDEX(OFFSET(Arb!$B$2,,,Arb!$AJ$5,),BN280),INDEX(OFFSET(Arb!$A$2,,,Arb!$AJ$5,),BN280))+ROW()*0.001)</f>
        <v/>
      </c>
      <c r="BU280" s="436">
        <v>138</v>
      </c>
      <c r="BW280" s="52" t="str">
        <f ca="1">IF(BV280="","",INDEX(OFFSET(Arb!$H$2,,,Arb!$AJ$5,),BV280))</f>
        <v/>
      </c>
      <c r="BX280" s="3" t="str">
        <f t="shared" ca="1" si="84"/>
        <v/>
      </c>
      <c r="BY280" s="165" t="str">
        <f ca="1">IF(BV280="","",INDEX(OFFSET(Arb!$X$2,,,Arb!$AJ$5,),BV280)/BW280)</f>
        <v/>
      </c>
      <c r="BZ280" s="165" t="str">
        <f ca="1">IF(BV280="","",(INDEX(OFFSET(Arb!$U$2,,,Arb!$AJ$5,),BV280)+INDEX(OFFSET(Arb!$V$2,,,Arb!$AJ$5,),BV280))/BW280)</f>
        <v/>
      </c>
      <c r="CA280" s="51" t="str">
        <f t="shared" ca="1" si="94"/>
        <v/>
      </c>
      <c r="CB280" s="91" t="str">
        <f ca="1">IF(BV280="","",DATE(INDEX(OFFSET(Arb!$C$2,,,Arb!$AJ$5,),BV280),INDEX(OFFSET(Arb!$B$2,,,Arb!$AJ$5,),BV280),INDEX(OFFSET(Arb!$A$2,,,Arb!$AJ$5,),BV280))+ROW()*0.001)</f>
        <v/>
      </c>
    </row>
    <row r="281" spans="1:80" x14ac:dyDescent="0.25">
      <c r="A281" s="433">
        <v>139</v>
      </c>
      <c r="B281" s="1">
        <v>3244</v>
      </c>
      <c r="C281" s="52">
        <f ca="1">IF(B281="","",INDEX(OFFSET(Arb!$H$2,,,Arb!$AJ$5,),B281))</f>
        <v>62.18</v>
      </c>
      <c r="D281" s="3">
        <f t="shared" ca="1" si="75"/>
        <v>2.2354454808620137</v>
      </c>
      <c r="E281" s="165">
        <f ca="1">IF(B281="","",INDEX(OFFSET(Arb!$X$2,,,Arb!$AJ$5,),B281)/C281)</f>
        <v>2.8144097780636863</v>
      </c>
      <c r="F281" s="165">
        <f ca="1">IF(B281="","",(INDEX(OFFSET(Arb!$U$2,,,Arb!$AJ$5,),B281)+INDEX(OFFSET(Arb!$V$2,,,Arb!$AJ$5,),B281))/C281)</f>
        <v>3.1199742682534577</v>
      </c>
      <c r="G281" s="51">
        <f t="shared" ca="1" si="85"/>
        <v>53.988198435863083</v>
      </c>
      <c r="H281" s="355">
        <f ca="1">IF(B281="","",DATE(INDEX(OFFSET(Arb!$C$2,,,Arb!$AJ$5,),B281),INDEX(OFFSET(Arb!$B$2,,,Arb!$AJ$5,),B281),INDEX(OFFSET(Arb!$A$2,,,Arb!$AJ$5,),B281))+ROW()*0.001)</f>
        <v>44066.281000000003</v>
      </c>
      <c r="I281" s="436">
        <v>139</v>
      </c>
      <c r="J281" s="1">
        <v>3311</v>
      </c>
      <c r="K281" s="52">
        <f ca="1">IF(J281="","",INDEX(OFFSET(Arb!$H$2,,,Arb!$AJ$5,),J281))</f>
        <v>65.61</v>
      </c>
      <c r="L281" s="3">
        <f t="shared" ca="1" si="76"/>
        <v>2.1185794848346289</v>
      </c>
      <c r="M281" s="165">
        <f ca="1">IF(J281="","",INDEX(OFFSET(Arb!$X$2,,,Arb!$AJ$5,),J281)/K281)</f>
        <v>2.8196921201036429</v>
      </c>
      <c r="N281" s="165">
        <f ca="1">IF(J281="","",(INDEX(OFFSET(Arb!$U$2,,,Arb!$AJ$5,),J281)+INDEX(OFFSET(Arb!$V$2,,,Arb!$AJ$5,),J281))/K281)</f>
        <v>3.1245237006553879</v>
      </c>
      <c r="O281" s="51">
        <f t="shared" ca="1" si="86"/>
        <v>49.278331118457011</v>
      </c>
      <c r="P281" s="91">
        <f ca="1">IF(J281="","",DATE(INDEX(OFFSET(Arb!$C$2,,,Arb!$AJ$5,),J281),INDEX(OFFSET(Arb!$B$2,,,Arb!$AJ$5,),J281),INDEX(OFFSET(Arb!$A$2,,,Arb!$AJ$5,),J281))+ROW()*0.001)</f>
        <v>44093.281000000003</v>
      </c>
      <c r="Q281" s="442">
        <v>139</v>
      </c>
      <c r="R281" s="1">
        <v>3336</v>
      </c>
      <c r="S281" s="52">
        <f ca="1">IF(R281="","",INDEX(OFFSET(Arb!$H$2,,,Arb!$AJ$5,),R281))</f>
        <v>67.08</v>
      </c>
      <c r="T281" s="3">
        <f t="shared" ca="1" si="77"/>
        <v>2.0721526535480024</v>
      </c>
      <c r="U281" s="165">
        <f ca="1">IF(R281="","",INDEX(OFFSET(Arb!$X$2,,,Arb!$AJ$5,),R281)/S281)</f>
        <v>2.7429934406678593</v>
      </c>
      <c r="V281" s="165">
        <f ca="1">IF(R281="","",(INDEX(OFFSET(Arb!$U$2,,,Arb!$AJ$5,),R281)+INDEX(OFFSET(Arb!$V$2,,,Arb!$AJ$5,),R281))/S281)</f>
        <v>3.0709600477042338</v>
      </c>
      <c r="W281" s="51">
        <f t="shared" ca="1" si="87"/>
        <v>47.456626626841356</v>
      </c>
      <c r="X281" s="88">
        <f ca="1">IF(R281="","",DATE(INDEX(OFFSET(Arb!$C$2,,,Arb!$AJ$5,),R281),INDEX(OFFSET(Arb!$B$2,,,Arb!$AJ$5,),R281),INDEX(OFFSET(Arb!$A$2,,,Arb!$AJ$5,),R281))+ROW()*0.001)</f>
        <v>44096.281000000003</v>
      </c>
      <c r="Y281" s="436">
        <v>139</v>
      </c>
      <c r="Z281" s="1">
        <v>2909</v>
      </c>
      <c r="AA281" s="52">
        <f ca="1">IF(Z281="","",INDEX(OFFSET(Arb!$H$2,,,Arb!$AJ$5,),Z281))</f>
        <v>67.5</v>
      </c>
      <c r="AB281" s="3">
        <f t="shared" ca="1" si="78"/>
        <v>2.0592592592592593</v>
      </c>
      <c r="AC281" s="165">
        <f ca="1">IF(Z281="","",INDEX(OFFSET(Arb!$X$2,,,Arb!$AJ$5,),Z281)/AA281)</f>
        <v>2.5777777777777779</v>
      </c>
      <c r="AD281" s="165">
        <f ca="1">IF(Z281="","",(INDEX(OFFSET(Arb!$U$2,,,Arb!$AJ$5,),Z281)+INDEX(OFFSET(Arb!$V$2,,,Arb!$AJ$5,),Z281))/AA281)</f>
        <v>2.8148148148148149</v>
      </c>
      <c r="AE281" s="51">
        <f t="shared" ca="1" si="88"/>
        <v>46.955734871095238</v>
      </c>
      <c r="AF281" s="91">
        <f ca="1">IF(Z281="","",DATE(INDEX(OFFSET(Arb!$C$2,,,Arb!$AJ$5,),Z281),INDEX(OFFSET(Arb!$B$2,,,Arb!$AJ$5,),Z281),INDEX(OFFSET(Arb!$A$2,,,Arb!$AJ$5,),Z281))+ROW()*0.001)</f>
        <v>43929.281000000003</v>
      </c>
      <c r="AG281" s="442">
        <v>139</v>
      </c>
      <c r="AH281" s="1">
        <v>2625</v>
      </c>
      <c r="AI281" s="52">
        <f ca="1">IF(AH281="","",INDEX(OFFSET(Arb!$H$2,,,Arb!$AJ$5,),AH281))</f>
        <v>68.83</v>
      </c>
      <c r="AJ281" s="3">
        <f t="shared" ca="1" si="79"/>
        <v>2.0194682551213132</v>
      </c>
      <c r="AK281" s="165">
        <f ca="1">IF(AH281="","",INDEX(OFFSET(Arb!$X$2,,,Arb!$AJ$5,),AH281)/AI281)</f>
        <v>2.368153421473195</v>
      </c>
      <c r="AL281" s="165">
        <f ca="1">IF(AH281="","",(INDEX(OFFSET(Arb!$U$2,,,Arb!$AJ$5,),AH281)+INDEX(OFFSET(Arb!$V$2,,,Arb!$AJ$5,),AH281))/AI281)</f>
        <v>2.7313671364230716</v>
      </c>
      <c r="AM281" s="51">
        <f t="shared" ca="1" si="89"/>
        <v>45.423735607616997</v>
      </c>
      <c r="AN281" s="88">
        <f ca="1">IF(AH281="","",DATE(INDEX(OFFSET(Arb!$C$2,,,Arb!$AJ$5,),AH281),INDEX(OFFSET(Arb!$B$2,,,Arb!$AJ$5,),AH281),INDEX(OFFSET(Arb!$A$2,,,Arb!$AJ$5,),AH281))+ROW()*0.001)</f>
        <v>43814.281000000003</v>
      </c>
      <c r="AO281" s="436">
        <v>139</v>
      </c>
      <c r="AP281" s="1">
        <v>3302</v>
      </c>
      <c r="AQ281" s="52">
        <f ca="1">IF(AP281="","",INDEX(OFFSET(Arb!$H$2,,,Arb!$AJ$5,),AP281))</f>
        <v>73.84</v>
      </c>
      <c r="AR281" s="3">
        <f t="shared" ca="1" si="80"/>
        <v>1.8824485373781148</v>
      </c>
      <c r="AS281" s="165">
        <f ca="1">IF(AP281="","",INDEX(OFFSET(Arb!$X$2,,,Arb!$AJ$5,),AP281)/AQ281)</f>
        <v>2.3429035752979415</v>
      </c>
      <c r="AT281" s="165">
        <f ca="1">IF(AP281="","",(INDEX(OFFSET(Arb!$U$2,,,Arb!$AJ$5,),AP281)+INDEX(OFFSET(Arb!$V$2,,,Arb!$AJ$5,),AP281))/AQ281)</f>
        <v>2.6002166847237267</v>
      </c>
      <c r="AU281" s="51">
        <f t="shared" ca="1" si="90"/>
        <v>40.309664727299364</v>
      </c>
      <c r="AV281" s="91">
        <f ca="1">IF(AP281="","",DATE(INDEX(OFFSET(Arb!$C$2,,,Arb!$AJ$5,),AP281),INDEX(OFFSET(Arb!$B$2,,,Arb!$AJ$5,),AP281),INDEX(OFFSET(Arb!$A$2,,,Arb!$AJ$5,),AP281))+ROW()*0.001)</f>
        <v>44090.281000000003</v>
      </c>
      <c r="AW281" s="442">
        <v>139</v>
      </c>
      <c r="AX281" s="1">
        <v>2672</v>
      </c>
      <c r="AY281" s="52">
        <f ca="1">IF(AX281="","",INDEX(OFFSET(Arb!$H$2,,,Arb!$AJ$5,),AX281))</f>
        <v>75.040000000000006</v>
      </c>
      <c r="AZ281" s="3">
        <f t="shared" ca="1" si="81"/>
        <v>1.8523454157782515</v>
      </c>
      <c r="BA281" s="165">
        <f ca="1">IF(AX281="","",INDEX(OFFSET(Arb!$X$2,,,Arb!$AJ$5,),AX281)/AY281)</f>
        <v>2.4653518123667375</v>
      </c>
      <c r="BB281" s="165">
        <f ca="1">IF(AX281="","",(INDEX(OFFSET(Arb!$U$2,,,Arb!$AJ$5,),AX281)+INDEX(OFFSET(Arb!$V$2,,,Arb!$AJ$5,),AX281))/AY281)</f>
        <v>2.8118336886993602</v>
      </c>
      <c r="BC281" s="51">
        <f t="shared" ca="1" si="91"/>
        <v>39.219969577550437</v>
      </c>
      <c r="BD281" s="88">
        <f ca="1">IF(AX281="","",DATE(INDEX(OFFSET(Arb!$C$2,,,Arb!$AJ$5,),AX281),INDEX(OFFSET(Arb!$B$2,,,Arb!$AJ$5,),AX281),INDEX(OFFSET(Arb!$A$2,,,Arb!$AJ$5,),AX281))+ROW()*0.001)</f>
        <v>43827.281000000003</v>
      </c>
      <c r="BE281" s="436">
        <v>139</v>
      </c>
      <c r="BF281" s="1">
        <v>2519</v>
      </c>
      <c r="BG281" s="52">
        <f ca="1">IF(BF281="","",INDEX(OFFSET(Arb!$H$2,,,Arb!$AJ$5,),BF281))</f>
        <v>87.08</v>
      </c>
      <c r="BH281" s="3">
        <f t="shared" ca="1" si="82"/>
        <v>1.5962333486449243</v>
      </c>
      <c r="BI281" s="165">
        <f ca="1">IF(BF281="","",INDEX(OFFSET(Arb!$X$2,,,Arb!$AJ$5,),BF281)/BG281)</f>
        <v>2.090032154340836</v>
      </c>
      <c r="BJ281" s="165">
        <f ca="1">IF(BF281="","",(INDEX(OFFSET(Arb!$U$2,,,Arb!$AJ$5,),BF281)+INDEX(OFFSET(Arb!$V$2,,,Arb!$AJ$5,),BF281))/BG281)</f>
        <v>2.3541570969223704</v>
      </c>
      <c r="BK281" s="51">
        <f t="shared" ca="1" si="92"/>
        <v>30.453957755031663</v>
      </c>
      <c r="BL281" s="91">
        <f ca="1">IF(BF281="","",DATE(INDEX(OFFSET(Arb!$C$2,,,Arb!$AJ$5,),BF281),INDEX(OFFSET(Arb!$B$2,,,Arb!$AJ$5,),BF281),INDEX(OFFSET(Arb!$A$2,,,Arb!$AJ$5,),BF281))+ROW()*0.001)</f>
        <v>43791.281000000003</v>
      </c>
      <c r="BM281" s="442">
        <v>139</v>
      </c>
      <c r="BO281" s="52" t="str">
        <f ca="1">IF(BN281="","",INDEX(OFFSET(Arb!$H$2,,,Arb!$AJ$5,),BN281))</f>
        <v/>
      </c>
      <c r="BP281" s="3" t="str">
        <f t="shared" ca="1" si="83"/>
        <v/>
      </c>
      <c r="BQ281" s="165" t="str">
        <f ca="1">IF(BN281="","",INDEX(OFFSET(Arb!$X$2,,,Arb!$AJ$5,),BN281)/BO281)</f>
        <v/>
      </c>
      <c r="BR281" s="165" t="str">
        <f ca="1">IF(BN281="","",(INDEX(OFFSET(Arb!$U$2,,,Arb!$AJ$5,),BN281)+INDEX(OFFSET(Arb!$V$2,,,Arb!$AJ$5,),BN281))/BO281)</f>
        <v/>
      </c>
      <c r="BS281" s="51" t="str">
        <f t="shared" ca="1" si="93"/>
        <v/>
      </c>
      <c r="BT281" s="88" t="str">
        <f ca="1">IF(BN281="","",DATE(INDEX(OFFSET(Arb!$C$2,,,Arb!$AJ$5,),BN281),INDEX(OFFSET(Arb!$B$2,,,Arb!$AJ$5,),BN281),INDEX(OFFSET(Arb!$A$2,,,Arb!$AJ$5,),BN281))+ROW()*0.001)</f>
        <v/>
      </c>
      <c r="BU281" s="436">
        <v>139</v>
      </c>
      <c r="BW281" s="52" t="str">
        <f ca="1">IF(BV281="","",INDEX(OFFSET(Arb!$H$2,,,Arb!$AJ$5,),BV281))</f>
        <v/>
      </c>
      <c r="BX281" s="3" t="str">
        <f t="shared" ca="1" si="84"/>
        <v/>
      </c>
      <c r="BY281" s="165" t="str">
        <f ca="1">IF(BV281="","",INDEX(OFFSET(Arb!$X$2,,,Arb!$AJ$5,),BV281)/BW281)</f>
        <v/>
      </c>
      <c r="BZ281" s="165" t="str">
        <f ca="1">IF(BV281="","",(INDEX(OFFSET(Arb!$U$2,,,Arb!$AJ$5,),BV281)+INDEX(OFFSET(Arb!$V$2,,,Arb!$AJ$5,),BV281))/BW281)</f>
        <v/>
      </c>
      <c r="CA281" s="51" t="str">
        <f t="shared" ca="1" si="94"/>
        <v/>
      </c>
      <c r="CB281" s="91" t="str">
        <f ca="1">IF(BV281="","",DATE(INDEX(OFFSET(Arb!$C$2,,,Arb!$AJ$5,),BV281),INDEX(OFFSET(Arb!$B$2,,,Arb!$AJ$5,),BV281),INDEX(OFFSET(Arb!$A$2,,,Arb!$AJ$5,),BV281))+ROW()*0.001)</f>
        <v/>
      </c>
    </row>
    <row r="282" spans="1:80" x14ac:dyDescent="0.25">
      <c r="A282" s="433">
        <v>140</v>
      </c>
      <c r="B282" s="1">
        <v>3240</v>
      </c>
      <c r="C282" s="52">
        <f ca="1">IF(B282="","",INDEX(OFFSET(Arb!$H$2,,,Arb!$AJ$5,),B282))</f>
        <v>61.27</v>
      </c>
      <c r="D282" s="3">
        <f t="shared" ca="1" si="75"/>
        <v>2.2849681736575809</v>
      </c>
      <c r="E282" s="165">
        <f ca="1">IF(B282="","",INDEX(OFFSET(Arb!$X$2,,,Arb!$AJ$5,),B282)/C282)</f>
        <v>2.6929982046678633</v>
      </c>
      <c r="F282" s="165">
        <f ca="1">IF(B282="","",(INDEX(OFFSET(Arb!$U$2,,,Arb!$AJ$5,),B282)+INDEX(OFFSET(Arb!$V$2,,,Arb!$AJ$5,),B282))/C282)</f>
        <v>3.0520646319569118</v>
      </c>
      <c r="G282" s="51">
        <f t="shared" ca="1" si="85"/>
        <v>55.756678511405411</v>
      </c>
      <c r="H282" s="355">
        <f ca="1">IF(B282="","",DATE(INDEX(OFFSET(Arb!$C$2,,,Arb!$AJ$5,),B282),INDEX(OFFSET(Arb!$B$2,,,Arb!$AJ$5,),B282),INDEX(OFFSET(Arb!$A$2,,,Arb!$AJ$5,),B282))+ROW()*0.001)</f>
        <v>44064.281999999999</v>
      </c>
      <c r="I282" s="436">
        <v>140</v>
      </c>
      <c r="J282" s="1">
        <v>3109</v>
      </c>
      <c r="K282" s="52">
        <f ca="1">IF(J282="","",INDEX(OFFSET(Arb!$H$2,,,Arb!$AJ$5,),J282))</f>
        <v>73.75</v>
      </c>
      <c r="L282" s="3">
        <f t="shared" ca="1" si="76"/>
        <v>1.8983050847457628</v>
      </c>
      <c r="M282" s="165">
        <f ca="1">IF(J282="","",INDEX(OFFSET(Arb!$X$2,,,Arb!$AJ$5,),J282)/K282)</f>
        <v>2.3728813559322033</v>
      </c>
      <c r="N282" s="165">
        <f ca="1">IF(J282="","",(INDEX(OFFSET(Arb!$U$2,,,Arb!$AJ$5,),J282)+INDEX(OFFSET(Arb!$V$2,,,Arb!$AJ$5,),J282))/K282)</f>
        <v>2.5898305084745763</v>
      </c>
      <c r="O282" s="51">
        <f t="shared" ca="1" si="86"/>
        <v>40.683925381897623</v>
      </c>
      <c r="P282" s="91">
        <f ca="1">IF(J282="","",DATE(INDEX(OFFSET(Arb!$C$2,,,Arb!$AJ$5,),J282),INDEX(OFFSET(Arb!$B$2,,,Arb!$AJ$5,),J282),INDEX(OFFSET(Arb!$A$2,,,Arb!$AJ$5,),J282))+ROW()*0.001)</f>
        <v>44007.281999999999</v>
      </c>
      <c r="Q282" s="442">
        <v>140</v>
      </c>
      <c r="S282" s="52" t="str">
        <f ca="1">IF(R282="","",INDEX(OFFSET(Arb!$H$2,,,Arb!$AJ$5,),R282))</f>
        <v/>
      </c>
      <c r="T282" s="3" t="str">
        <f t="shared" ca="1" si="77"/>
        <v/>
      </c>
      <c r="U282" s="165" t="str">
        <f ca="1">IF(R282="","",INDEX(OFFSET(Arb!$X$2,,,Arb!$AJ$5,),R282)/S282)</f>
        <v/>
      </c>
      <c r="V282" s="165" t="str">
        <f ca="1">IF(R282="","",(INDEX(OFFSET(Arb!$U$2,,,Arb!$AJ$5,),R282)+INDEX(OFFSET(Arb!$V$2,,,Arb!$AJ$5,),R282))/S282)</f>
        <v/>
      </c>
      <c r="W282" s="51" t="str">
        <f t="shared" ca="1" si="87"/>
        <v/>
      </c>
      <c r="X282" s="88" t="str">
        <f ca="1">IF(R282="","",DATE(INDEX(OFFSET(Arb!$C$2,,,Arb!$AJ$5,),R282),INDEX(OFFSET(Arb!$B$2,,,Arb!$AJ$5,),R282),INDEX(OFFSET(Arb!$A$2,,,Arb!$AJ$5,),R282))+ROW()*0.001)</f>
        <v/>
      </c>
      <c r="Y282" s="436">
        <v>140</v>
      </c>
      <c r="AA282" s="52" t="str">
        <f ca="1">IF(Z282="","",INDEX(OFFSET(Arb!$H$2,,,Arb!$AJ$5,),Z282))</f>
        <v/>
      </c>
      <c r="AB282" s="3" t="str">
        <f t="shared" ca="1" si="78"/>
        <v/>
      </c>
      <c r="AC282" s="165" t="str">
        <f ca="1">IF(Z282="","",INDEX(OFFSET(Arb!$X$2,,,Arb!$AJ$5,),Z282)/AA282)</f>
        <v/>
      </c>
      <c r="AD282" s="165" t="str">
        <f ca="1">IF(Z282="","",(INDEX(OFFSET(Arb!$U$2,,,Arb!$AJ$5,),Z282)+INDEX(OFFSET(Arb!$V$2,,,Arb!$AJ$5,),Z282))/AA282)</f>
        <v/>
      </c>
      <c r="AE282" s="51" t="str">
        <f t="shared" ca="1" si="88"/>
        <v/>
      </c>
      <c r="AF282" s="91" t="str">
        <f ca="1">IF(Z282="","",DATE(INDEX(OFFSET(Arb!$C$2,,,Arb!$AJ$5,),Z282),INDEX(OFFSET(Arb!$B$2,,,Arb!$AJ$5,),Z282),INDEX(OFFSET(Arb!$A$2,,,Arb!$AJ$5,),Z282))+ROW()*0.001)</f>
        <v/>
      </c>
      <c r="AG282" s="442">
        <v>140</v>
      </c>
      <c r="AI282" s="52" t="str">
        <f ca="1">IF(AH282="","",INDEX(OFFSET(Arb!$H$2,,,Arb!$AJ$5,),AH282))</f>
        <v/>
      </c>
      <c r="AJ282" s="3" t="str">
        <f t="shared" ca="1" si="79"/>
        <v/>
      </c>
      <c r="AK282" s="165" t="str">
        <f ca="1">IF(AH282="","",INDEX(OFFSET(Arb!$X$2,,,Arb!$AJ$5,),AH282)/AI282)</f>
        <v/>
      </c>
      <c r="AL282" s="165" t="str">
        <f ca="1">IF(AH282="","",(INDEX(OFFSET(Arb!$U$2,,,Arb!$AJ$5,),AH282)+INDEX(OFFSET(Arb!$V$2,,,Arb!$AJ$5,),AH282))/AI282)</f>
        <v/>
      </c>
      <c r="AM282" s="51" t="str">
        <f t="shared" ca="1" si="89"/>
        <v/>
      </c>
      <c r="AN282" s="88" t="str">
        <f ca="1">IF(AH282="","",DATE(INDEX(OFFSET(Arb!$C$2,,,Arb!$AJ$5,),AH282),INDEX(OFFSET(Arb!$B$2,,,Arb!$AJ$5,),AH282),INDEX(OFFSET(Arb!$A$2,,,Arb!$AJ$5,),AH282))+ROW()*0.001)</f>
        <v/>
      </c>
      <c r="AO282" s="436">
        <v>140</v>
      </c>
      <c r="AQ282" s="52" t="str">
        <f ca="1">IF(AP282="","",INDEX(OFFSET(Arb!$H$2,,,Arb!$AJ$5,),AP282))</f>
        <v/>
      </c>
      <c r="AR282" s="3" t="str">
        <f t="shared" ca="1" si="80"/>
        <v/>
      </c>
      <c r="AS282" s="165" t="str">
        <f ca="1">IF(AP282="","",INDEX(OFFSET(Arb!$X$2,,,Arb!$AJ$5,),AP282)/AQ282)</f>
        <v/>
      </c>
      <c r="AT282" s="165" t="str">
        <f ca="1">IF(AP282="","",(INDEX(OFFSET(Arb!$U$2,,,Arb!$AJ$5,),AP282)+INDEX(OFFSET(Arb!$V$2,,,Arb!$AJ$5,),AP282))/AQ282)</f>
        <v/>
      </c>
      <c r="AU282" s="51" t="str">
        <f t="shared" ca="1" si="90"/>
        <v/>
      </c>
      <c r="AV282" s="91" t="str">
        <f ca="1">IF(AP282="","",DATE(INDEX(OFFSET(Arb!$C$2,,,Arb!$AJ$5,),AP282),INDEX(OFFSET(Arb!$B$2,,,Arb!$AJ$5,),AP282),INDEX(OFFSET(Arb!$A$2,,,Arb!$AJ$5,),AP282))+ROW()*0.001)</f>
        <v/>
      </c>
      <c r="AW282" s="442">
        <v>140</v>
      </c>
      <c r="AY282" s="52" t="str">
        <f ca="1">IF(AX282="","",INDEX(OFFSET(Arb!$H$2,,,Arb!$AJ$5,),AX282))</f>
        <v/>
      </c>
      <c r="AZ282" s="3" t="str">
        <f t="shared" ca="1" si="81"/>
        <v/>
      </c>
      <c r="BA282" s="165" t="str">
        <f ca="1">IF(AX282="","",INDEX(OFFSET(Arb!$X$2,,,Arb!$AJ$5,),AX282)/AY282)</f>
        <v/>
      </c>
      <c r="BB282" s="165" t="str">
        <f ca="1">IF(AX282="","",(INDEX(OFFSET(Arb!$U$2,,,Arb!$AJ$5,),AX282)+INDEX(OFFSET(Arb!$V$2,,,Arb!$AJ$5,),AX282))/AY282)</f>
        <v/>
      </c>
      <c r="BC282" s="51" t="str">
        <f t="shared" ca="1" si="91"/>
        <v/>
      </c>
      <c r="BD282" s="88" t="str">
        <f ca="1">IF(AX282="","",DATE(INDEX(OFFSET(Arb!$C$2,,,Arb!$AJ$5,),AX282),INDEX(OFFSET(Arb!$B$2,,,Arb!$AJ$5,),AX282),INDEX(OFFSET(Arb!$A$2,,,Arb!$AJ$5,),AX282))+ROW()*0.001)</f>
        <v/>
      </c>
      <c r="BE282" s="436">
        <v>140</v>
      </c>
      <c r="BG282" s="52" t="str">
        <f ca="1">IF(BF282="","",INDEX(OFFSET(Arb!$H$2,,,Arb!$AJ$5,),BF282))</f>
        <v/>
      </c>
      <c r="BH282" s="3" t="str">
        <f t="shared" ca="1" si="82"/>
        <v/>
      </c>
      <c r="BI282" s="165" t="str">
        <f ca="1">IF(BF282="","",INDEX(OFFSET(Arb!$X$2,,,Arb!$AJ$5,),BF282)/BG282)</f>
        <v/>
      </c>
      <c r="BJ282" s="165" t="str">
        <f ca="1">IF(BF282="","",(INDEX(OFFSET(Arb!$U$2,,,Arb!$AJ$5,),BF282)+INDEX(OFFSET(Arb!$V$2,,,Arb!$AJ$5,),BF282))/BG282)</f>
        <v/>
      </c>
      <c r="BK282" s="51" t="str">
        <f t="shared" ca="1" si="92"/>
        <v/>
      </c>
      <c r="BL282" s="91" t="str">
        <f ca="1">IF(BF282="","",DATE(INDEX(OFFSET(Arb!$C$2,,,Arb!$AJ$5,),BF282),INDEX(OFFSET(Arb!$B$2,,,Arb!$AJ$5,),BF282),INDEX(OFFSET(Arb!$A$2,,,Arb!$AJ$5,),BF282))+ROW()*0.001)</f>
        <v/>
      </c>
      <c r="BM282" s="442">
        <v>140</v>
      </c>
      <c r="BO282" s="52" t="str">
        <f ca="1">IF(BN282="","",INDEX(OFFSET(Arb!$H$2,,,Arb!$AJ$5,),BN282))</f>
        <v/>
      </c>
      <c r="BP282" s="3" t="str">
        <f t="shared" ca="1" si="83"/>
        <v/>
      </c>
      <c r="BQ282" s="165" t="str">
        <f ca="1">IF(BN282="","",INDEX(OFFSET(Arb!$X$2,,,Arb!$AJ$5,),BN282)/BO282)</f>
        <v/>
      </c>
      <c r="BR282" s="165" t="str">
        <f ca="1">IF(BN282="","",(INDEX(OFFSET(Arb!$U$2,,,Arb!$AJ$5,),BN282)+INDEX(OFFSET(Arb!$V$2,,,Arb!$AJ$5,),BN282))/BO282)</f>
        <v/>
      </c>
      <c r="BS282" s="51" t="str">
        <f t="shared" ca="1" si="93"/>
        <v/>
      </c>
      <c r="BT282" s="88" t="str">
        <f ca="1">IF(BN282="","",DATE(INDEX(OFFSET(Arb!$C$2,,,Arb!$AJ$5,),BN282),INDEX(OFFSET(Arb!$B$2,,,Arb!$AJ$5,),BN282),INDEX(OFFSET(Arb!$A$2,,,Arb!$AJ$5,),BN282))+ROW()*0.001)</f>
        <v/>
      </c>
      <c r="BU282" s="436">
        <v>140</v>
      </c>
      <c r="BW282" s="52" t="str">
        <f ca="1">IF(BV282="","",INDEX(OFFSET(Arb!$H$2,,,Arb!$AJ$5,),BV282))</f>
        <v/>
      </c>
      <c r="BX282" s="3" t="str">
        <f t="shared" ca="1" si="84"/>
        <v/>
      </c>
      <c r="BY282" s="165" t="str">
        <f ca="1">IF(BV282="","",INDEX(OFFSET(Arb!$X$2,,,Arb!$AJ$5,),BV282)/BW282)</f>
        <v/>
      </c>
      <c r="BZ282" s="165" t="str">
        <f ca="1">IF(BV282="","",(INDEX(OFFSET(Arb!$U$2,,,Arb!$AJ$5,),BV282)+INDEX(OFFSET(Arb!$V$2,,,Arb!$AJ$5,),BV282))/BW282)</f>
        <v/>
      </c>
      <c r="CA282" s="51" t="str">
        <f t="shared" ca="1" si="94"/>
        <v/>
      </c>
      <c r="CB282" s="91" t="str">
        <f ca="1">IF(BV282="","",DATE(INDEX(OFFSET(Arb!$C$2,,,Arb!$AJ$5,),BV282),INDEX(OFFSET(Arb!$B$2,,,Arb!$AJ$5,),BV282),INDEX(OFFSET(Arb!$A$2,,,Arb!$AJ$5,),BV282))+ROW()*0.001)</f>
        <v/>
      </c>
    </row>
    <row r="283" spans="1:80" x14ac:dyDescent="0.25">
      <c r="A283" s="433">
        <v>141</v>
      </c>
      <c r="B283" s="1">
        <v>3358</v>
      </c>
      <c r="C283" s="52">
        <f ca="1">IF(B283="","",INDEX(OFFSET(Arb!$H$2,,,Arb!$AJ$5,),B283))</f>
        <v>58.3</v>
      </c>
      <c r="D283" s="3">
        <f t="shared" ca="1" si="75"/>
        <v>2.4185248713550602</v>
      </c>
      <c r="E283" s="165">
        <f ca="1">IF(B283="","",INDEX(OFFSET(Arb!$X$2,,,Arb!$AJ$5,),B283)/C283)</f>
        <v>2.8301886792452833</v>
      </c>
      <c r="F283" s="165">
        <f ca="1">IF(B283="","",(INDEX(OFFSET(Arb!$U$2,,,Arb!$AJ$5,),B283)+INDEX(OFFSET(Arb!$V$2,,,Arb!$AJ$5,),B283))/C283)</f>
        <v>3.1560891938250428</v>
      </c>
      <c r="G283" s="51">
        <f t="shared" ca="1" si="85"/>
        <v>61.104447962744707</v>
      </c>
      <c r="H283" s="355">
        <f ca="1">IF(B283="","",DATE(INDEX(OFFSET(Arb!$C$2,,,Arb!$AJ$5,),B283),INDEX(OFFSET(Arb!$B$2,,,Arb!$AJ$5,),B283),INDEX(OFFSET(Arb!$A$2,,,Arb!$AJ$5,),B283))+ROW()*0.001)</f>
        <v>44099.283000000003</v>
      </c>
      <c r="I283" s="436">
        <v>141</v>
      </c>
      <c r="J283" s="1">
        <v>3350</v>
      </c>
      <c r="K283" s="52">
        <f ca="1">IF(J283="","",INDEX(OFFSET(Arb!$H$2,,,Arb!$AJ$5,),J283))</f>
        <v>60.62</v>
      </c>
      <c r="L283" s="3">
        <f t="shared" ca="1" si="76"/>
        <v>2.3259650280435502</v>
      </c>
      <c r="M283" s="165">
        <f ca="1">IF(J283="","",INDEX(OFFSET(Arb!$X$2,,,Arb!$AJ$5,),J283)/K283)</f>
        <v>3.1012867040580669</v>
      </c>
      <c r="N283" s="165">
        <f ca="1">IF(J283="","",(INDEX(OFFSET(Arb!$U$2,,,Arb!$AJ$5,),J283)+INDEX(OFFSET(Arb!$V$2,,,Arb!$AJ$5,),J283))/K283)</f>
        <v>3.464203233256351</v>
      </c>
      <c r="O283" s="51">
        <f t="shared" ca="1" si="86"/>
        <v>57.182387409197396</v>
      </c>
      <c r="P283" s="91">
        <f ca="1">IF(J283="","",DATE(INDEX(OFFSET(Arb!$C$2,,,Arb!$AJ$5,),J283),INDEX(OFFSET(Arb!$B$2,,,Arb!$AJ$5,),J283),INDEX(OFFSET(Arb!$A$2,,,Arb!$AJ$5,),J283))+ROW()*0.001)</f>
        <v>44098.283000000003</v>
      </c>
      <c r="Q283" s="442">
        <v>141</v>
      </c>
      <c r="R283" s="1">
        <v>3266</v>
      </c>
      <c r="S283" s="52">
        <f ca="1">IF(R283="","",INDEX(OFFSET(Arb!$H$2,,,Arb!$AJ$5,),R283))</f>
        <v>61.93</v>
      </c>
      <c r="T283" s="3">
        <f t="shared" ca="1" si="77"/>
        <v>2.2767640884870013</v>
      </c>
      <c r="U283" s="165">
        <f ca="1">IF(R283="","",INDEX(OFFSET(Arb!$X$2,,,Arb!$AJ$5,),R283)/S283)</f>
        <v>2.8419182948490231</v>
      </c>
      <c r="V283" s="165">
        <f ca="1">IF(R283="","",(INDEX(OFFSET(Arb!$U$2,,,Arb!$AJ$5,),R283)+INDEX(OFFSET(Arb!$V$2,,,Arb!$AJ$5,),R283))/S283)</f>
        <v>3.0841272404327467</v>
      </c>
      <c r="W283" s="51">
        <f t="shared" ca="1" si="87"/>
        <v>55.141367450588682</v>
      </c>
      <c r="X283" s="88">
        <f ca="1">IF(R283="","",DATE(INDEX(OFFSET(Arb!$C$2,,,Arb!$AJ$5,),R283),INDEX(OFFSET(Arb!$B$2,,,Arb!$AJ$5,),R283),INDEX(OFFSET(Arb!$A$2,,,Arb!$AJ$5,),R283))+ROW()*0.001)</f>
        <v>44073.283000000003</v>
      </c>
      <c r="Y283" s="436">
        <v>141</v>
      </c>
      <c r="Z283" s="1">
        <v>2546</v>
      </c>
      <c r="AA283" s="52">
        <f ca="1">IF(Z283="","",INDEX(OFFSET(Arb!$H$2,,,Arb!$AJ$5,),Z283))</f>
        <v>66.72</v>
      </c>
      <c r="AB283" s="3">
        <f t="shared" ca="1" si="78"/>
        <v>2.1133093525179856</v>
      </c>
      <c r="AC283" s="165">
        <f ca="1">IF(Z283="","",INDEX(OFFSET(Arb!$X$2,,,Arb!$AJ$5,),Z283)/AA283)</f>
        <v>2.5179856115107913</v>
      </c>
      <c r="AD283" s="165">
        <f ca="1">IF(Z283="","",(INDEX(OFFSET(Arb!$U$2,,,Arb!$AJ$5,),Z283)+INDEX(OFFSET(Arb!$V$2,,,Arb!$AJ$5,),Z283))/AA283)</f>
        <v>2.7727817745803356</v>
      </c>
      <c r="AE283" s="51">
        <f t="shared" ca="1" si="88"/>
        <v>48.581856182768504</v>
      </c>
      <c r="AF283" s="91">
        <f ca="1">IF(Z283="","",DATE(INDEX(OFFSET(Arb!$C$2,,,Arb!$AJ$5,),Z283),INDEX(OFFSET(Arb!$B$2,,,Arb!$AJ$5,),Z283),INDEX(OFFSET(Arb!$A$2,,,Arb!$AJ$5,),Z283))+ROW()*0.001)</f>
        <v>43797.283000000003</v>
      </c>
      <c r="AG283" s="442">
        <v>141</v>
      </c>
      <c r="AH283" s="1">
        <v>2734</v>
      </c>
      <c r="AI283" s="52">
        <f ca="1">IF(AH283="","",INDEX(OFFSET(Arb!$H$2,,,Arb!$AJ$5,),AH283))</f>
        <v>68.61</v>
      </c>
      <c r="AJ283" s="3">
        <f t="shared" ca="1" si="79"/>
        <v>2.0550940096195891</v>
      </c>
      <c r="AK283" s="165">
        <f ca="1">IF(AH283="","",INDEX(OFFSET(Arb!$X$2,,,Arb!$AJ$5,),AH283)/AI283)</f>
        <v>2.5214983238594959</v>
      </c>
      <c r="AL283" s="165">
        <f ca="1">IF(AH283="","",(INDEX(OFFSET(Arb!$U$2,,,Arb!$AJ$5,),AH283)+INDEX(OFFSET(Arb!$V$2,,,Arb!$AJ$5,),AH283))/AI283)</f>
        <v>2.7838507506194432</v>
      </c>
      <c r="AM283" s="51">
        <f t="shared" ca="1" si="89"/>
        <v>46.32876840241989</v>
      </c>
      <c r="AN283" s="88">
        <f ca="1">IF(AH283="","",DATE(INDEX(OFFSET(Arb!$C$2,,,Arb!$AJ$5,),AH283),INDEX(OFFSET(Arb!$B$2,,,Arb!$AJ$5,),AH283),INDEX(OFFSET(Arb!$A$2,,,Arb!$AJ$5,),AH283))+ROW()*0.001)</f>
        <v>43869.283000000003</v>
      </c>
      <c r="AO283" s="436">
        <v>141</v>
      </c>
      <c r="AP283" s="1">
        <v>3317</v>
      </c>
      <c r="AQ283" s="52">
        <f ca="1">IF(AP283="","",INDEX(OFFSET(Arb!$H$2,,,Arb!$AJ$5,),AP283))</f>
        <v>68.7</v>
      </c>
      <c r="AR283" s="3">
        <f t="shared" ca="1" si="80"/>
        <v>2.052401746724891</v>
      </c>
      <c r="AS283" s="165">
        <f ca="1">IF(AP283="","",INDEX(OFFSET(Arb!$X$2,,,Arb!$AJ$5,),AP283)/AQ283)</f>
        <v>2.6637554585152836</v>
      </c>
      <c r="AT283" s="165">
        <f ca="1">IF(AP283="","",(INDEX(OFFSET(Arb!$U$2,,,Arb!$AJ$5,),AP283)+INDEX(OFFSET(Arb!$V$2,,,Arb!$AJ$5,),AP283))/AQ283)</f>
        <v>2.9839883551673942</v>
      </c>
      <c r="AU283" s="51">
        <f t="shared" ca="1" si="90"/>
        <v>46.225638110643942</v>
      </c>
      <c r="AV283" s="91">
        <f ca="1">IF(AP283="","",DATE(INDEX(OFFSET(Arb!$C$2,,,Arb!$AJ$5,),AP283),INDEX(OFFSET(Arb!$B$2,,,Arb!$AJ$5,),AP283),INDEX(OFFSET(Arb!$A$2,,,Arb!$AJ$5,),AP283))+ROW()*0.001)</f>
        <v>44094.283000000003</v>
      </c>
      <c r="AW283" s="442">
        <v>141</v>
      </c>
      <c r="AX283" s="1">
        <v>3321</v>
      </c>
      <c r="AY283" s="52">
        <f ca="1">IF(AX283="","",INDEX(OFFSET(Arb!$H$2,,,Arb!$AJ$5,),AX283))</f>
        <v>78.930000000000007</v>
      </c>
      <c r="AZ283" s="3">
        <f t="shared" ca="1" si="81"/>
        <v>1.7863930064614213</v>
      </c>
      <c r="BA283" s="165">
        <f ca="1">IF(AX283="","",INDEX(OFFSET(Arb!$X$2,,,Arb!$AJ$5,),AX283)/AY283)</f>
        <v>2.1538071709109334</v>
      </c>
      <c r="BB283" s="165">
        <f ca="1">IF(AX283="","",(INDEX(OFFSET(Arb!$U$2,,,Arb!$AJ$5,),AX283)+INDEX(OFFSET(Arb!$V$2,,,Arb!$AJ$5,),AX283))/AY283)</f>
        <v>2.381857341948562</v>
      </c>
      <c r="BC283" s="51">
        <f t="shared" ca="1" si="91"/>
        <v>36.508819735579856</v>
      </c>
      <c r="BD283" s="88">
        <f ca="1">IF(AX283="","",DATE(INDEX(OFFSET(Arb!$C$2,,,Arb!$AJ$5,),AX283),INDEX(OFFSET(Arb!$B$2,,,Arb!$AJ$5,),AX283),INDEX(OFFSET(Arb!$A$2,,,Arb!$AJ$5,),AX283))+ROW()*0.001)</f>
        <v>44095.283000000003</v>
      </c>
      <c r="BE283" s="436">
        <v>141</v>
      </c>
      <c r="BF283" s="1">
        <v>2655</v>
      </c>
      <c r="BG283" s="52">
        <f ca="1">IF(BF283="","",INDEX(OFFSET(Arb!$H$2,,,Arb!$AJ$5,),BF283))</f>
        <v>79.709999999999994</v>
      </c>
      <c r="BH283" s="3">
        <f t="shared" ca="1" si="82"/>
        <v>1.7689123071132857</v>
      </c>
      <c r="BI283" s="165">
        <f ca="1">IF(BF283="","",INDEX(OFFSET(Arb!$X$2,,,Arb!$AJ$5,),BF283)/BG283)</f>
        <v>2.4338226069501947</v>
      </c>
      <c r="BJ283" s="165">
        <f ca="1">IF(BF283="","",(INDEX(OFFSET(Arb!$U$2,,,Arb!$AJ$5,),BF283)+INDEX(OFFSET(Arb!$V$2,,,Arb!$AJ$5,),BF283))/BG283)</f>
        <v>2.8227324049680091</v>
      </c>
      <c r="BK283" s="51">
        <f t="shared" ca="1" si="92"/>
        <v>35.903566571927961</v>
      </c>
      <c r="BL283" s="91">
        <f ca="1">IF(BF283="","",DATE(INDEX(OFFSET(Arb!$C$2,,,Arb!$AJ$5,),BF283),INDEX(OFFSET(Arb!$B$2,,,Arb!$AJ$5,),BF283),INDEX(OFFSET(Arb!$A$2,,,Arb!$AJ$5,),BF283))+ROW()*0.001)</f>
        <v>43818.283000000003</v>
      </c>
      <c r="BM283" s="442">
        <v>141</v>
      </c>
      <c r="BO283" s="52" t="str">
        <f ca="1">IF(BN283="","",INDEX(OFFSET(Arb!$H$2,,,Arb!$AJ$5,),BN283))</f>
        <v/>
      </c>
      <c r="BP283" s="3" t="str">
        <f t="shared" ca="1" si="83"/>
        <v/>
      </c>
      <c r="BQ283" s="165" t="str">
        <f ca="1">IF(BN283="","",INDEX(OFFSET(Arb!$X$2,,,Arb!$AJ$5,),BN283)/BO283)</f>
        <v/>
      </c>
      <c r="BR283" s="165" t="str">
        <f ca="1">IF(BN283="","",(INDEX(OFFSET(Arb!$U$2,,,Arb!$AJ$5,),BN283)+INDEX(OFFSET(Arb!$V$2,,,Arb!$AJ$5,),BN283))/BO283)</f>
        <v/>
      </c>
      <c r="BS283" s="51" t="str">
        <f t="shared" ca="1" si="93"/>
        <v/>
      </c>
      <c r="BT283" s="88" t="str">
        <f ca="1">IF(BN283="","",DATE(INDEX(OFFSET(Arb!$C$2,,,Arb!$AJ$5,),BN283),INDEX(OFFSET(Arb!$B$2,,,Arb!$AJ$5,),BN283),INDEX(OFFSET(Arb!$A$2,,,Arb!$AJ$5,),BN283))+ROW()*0.001)</f>
        <v/>
      </c>
      <c r="BU283" s="436">
        <v>141</v>
      </c>
      <c r="BW283" s="52" t="str">
        <f ca="1">IF(BV283="","",INDEX(OFFSET(Arb!$H$2,,,Arb!$AJ$5,),BV283))</f>
        <v/>
      </c>
      <c r="BX283" s="3" t="str">
        <f t="shared" ca="1" si="84"/>
        <v/>
      </c>
      <c r="BY283" s="165" t="str">
        <f ca="1">IF(BV283="","",INDEX(OFFSET(Arb!$X$2,,,Arb!$AJ$5,),BV283)/BW283)</f>
        <v/>
      </c>
      <c r="BZ283" s="165" t="str">
        <f ca="1">IF(BV283="","",(INDEX(OFFSET(Arb!$U$2,,,Arb!$AJ$5,),BV283)+INDEX(OFFSET(Arb!$V$2,,,Arb!$AJ$5,),BV283))/BW283)</f>
        <v/>
      </c>
      <c r="CA283" s="51" t="str">
        <f t="shared" ca="1" si="94"/>
        <v/>
      </c>
      <c r="CB283" s="91" t="str">
        <f ca="1">IF(BV283="","",DATE(INDEX(OFFSET(Arb!$C$2,,,Arb!$AJ$5,),BV283),INDEX(OFFSET(Arb!$B$2,,,Arb!$AJ$5,),BV283),INDEX(OFFSET(Arb!$A$2,,,Arb!$AJ$5,),BV283))+ROW()*0.001)</f>
        <v/>
      </c>
    </row>
    <row r="284" spans="1:80" x14ac:dyDescent="0.25">
      <c r="A284" s="433">
        <v>142</v>
      </c>
      <c r="B284" s="1">
        <v>3356</v>
      </c>
      <c r="C284" s="52">
        <f ca="1">IF(B284="","",INDEX(OFFSET(Arb!$H$2,,,Arb!$AJ$5,),B284))</f>
        <v>59.01</v>
      </c>
      <c r="D284" s="3">
        <f t="shared" ca="1" si="75"/>
        <v>2.4063718013895952</v>
      </c>
      <c r="E284" s="165">
        <f ca="1">IF(B284="","",INDEX(OFFSET(Arb!$X$2,,,Arb!$AJ$5,),B284)/C284)</f>
        <v>2.9655990510083039</v>
      </c>
      <c r="F284" s="165">
        <f ca="1">IF(B284="","",(INDEX(OFFSET(Arb!$U$2,,,Arb!$AJ$5,),B284)+INDEX(OFFSET(Arb!$V$2,,,Arb!$AJ$5,),B284))/C284)</f>
        <v>3.219793255380444</v>
      </c>
      <c r="G284" s="51">
        <f t="shared" ca="1" si="85"/>
        <v>60.284415548871479</v>
      </c>
      <c r="H284" s="355">
        <f ca="1">IF(B284="","",DATE(INDEX(OFFSET(Arb!$C$2,,,Arb!$AJ$5,),B284),INDEX(OFFSET(Arb!$B$2,,,Arb!$AJ$5,),B284),INDEX(OFFSET(Arb!$A$2,,,Arb!$AJ$5,),B284))+ROW()*0.001)</f>
        <v>44099.284</v>
      </c>
      <c r="I284" s="436">
        <v>142</v>
      </c>
      <c r="J284" s="1">
        <v>3152</v>
      </c>
      <c r="K284" s="52">
        <f ca="1">IF(J284="","",INDEX(OFFSET(Arb!$H$2,,,Arb!$AJ$5,),J284))</f>
        <v>65.03</v>
      </c>
      <c r="L284" s="3">
        <f t="shared" ca="1" si="76"/>
        <v>2.1836075657388898</v>
      </c>
      <c r="M284" s="165">
        <f ca="1">IF(J284="","",INDEX(OFFSET(Arb!$X$2,,,Arb!$AJ$5,),J284)/K284)</f>
        <v>2.6910656620021527</v>
      </c>
      <c r="N284" s="165">
        <f ca="1">IF(J284="","",(INDEX(OFFSET(Arb!$U$2,,,Arb!$AJ$5,),J284)+INDEX(OFFSET(Arb!$V$2,,,Arb!$AJ$5,),J284))/K284)</f>
        <v>3.0755036137167462</v>
      </c>
      <c r="O284" s="51">
        <f t="shared" ca="1" si="86"/>
        <v>51.107568323773911</v>
      </c>
      <c r="P284" s="91">
        <f ca="1">IF(J284="","",DATE(INDEX(OFFSET(Arb!$C$2,,,Arb!$AJ$5,),J284),INDEX(OFFSET(Arb!$B$2,,,Arb!$AJ$5,),J284),INDEX(OFFSET(Arb!$A$2,,,Arb!$AJ$5,),J284))+ROW()*0.001)</f>
        <v>44028.284</v>
      </c>
      <c r="Q284" s="442">
        <v>142</v>
      </c>
      <c r="R284" s="1">
        <v>3419</v>
      </c>
      <c r="S284" s="52">
        <f ca="1">IF(R284="","",INDEX(OFFSET(Arb!$H$2,,,Arb!$AJ$5,),R284))</f>
        <v>67.489999999999995</v>
      </c>
      <c r="T284" s="3">
        <f t="shared" ca="1" si="77"/>
        <v>2.1040154096903247</v>
      </c>
      <c r="U284" s="165">
        <f ca="1">IF(R284="","",INDEX(OFFSET(Arb!$X$2,,,Arb!$AJ$5,),R284)/S284)</f>
        <v>2.4151726181656543</v>
      </c>
      <c r="V284" s="165">
        <f ca="1">IF(R284="","",(INDEX(OFFSET(Arb!$U$2,,,Arb!$AJ$5,),R284)+INDEX(OFFSET(Arb!$V$2,,,Arb!$AJ$5,),R284))/S284)</f>
        <v>2.7263298266409839</v>
      </c>
      <c r="W284" s="51">
        <f t="shared" ca="1" si="87"/>
        <v>47.981251538267855</v>
      </c>
      <c r="X284" s="88">
        <f ca="1">IF(R284="","",DATE(INDEX(OFFSET(Arb!$C$2,,,Arb!$AJ$5,),R284),INDEX(OFFSET(Arb!$B$2,,,Arb!$AJ$5,),R284),INDEX(OFFSET(Arb!$A$2,,,Arb!$AJ$5,),R284))+ROW()*0.001)</f>
        <v>44148.284</v>
      </c>
      <c r="Y284" s="436">
        <v>142</v>
      </c>
      <c r="Z284" s="1">
        <v>2576</v>
      </c>
      <c r="AA284" s="52">
        <f ca="1">IF(Z284="","",INDEX(OFFSET(Arb!$H$2,,,Arb!$AJ$5,),Z284))</f>
        <v>68.09</v>
      </c>
      <c r="AB284" s="3">
        <f t="shared" ca="1" si="78"/>
        <v>2.0854751064767219</v>
      </c>
      <c r="AC284" s="165">
        <f ca="1">IF(Z284="","",INDEX(OFFSET(Arb!$X$2,,,Arb!$AJ$5,),Z284)/AA284)</f>
        <v>2.5848142164781907</v>
      </c>
      <c r="AD284" s="165">
        <f ca="1">IF(Z284="","",(INDEX(OFFSET(Arb!$U$2,,,Arb!$AJ$5,),Z284)+INDEX(OFFSET(Arb!$V$2,,,Arb!$AJ$5,),Z284))/AA284)</f>
        <v>2.9372888823615799</v>
      </c>
      <c r="AE284" s="51">
        <f t="shared" ca="1" si="88"/>
        <v>47.264702823156227</v>
      </c>
      <c r="AF284" s="91">
        <f ca="1">IF(Z284="","",DATE(INDEX(OFFSET(Arb!$C$2,,,Arb!$AJ$5,),Z284),INDEX(OFFSET(Arb!$B$2,,,Arb!$AJ$5,),Z284),INDEX(OFFSET(Arb!$A$2,,,Arb!$AJ$5,),Z284))+ROW()*0.001)</f>
        <v>43801.284</v>
      </c>
      <c r="AG284" s="442">
        <v>142</v>
      </c>
      <c r="AH284" s="1">
        <v>3048</v>
      </c>
      <c r="AI284" s="52">
        <f ca="1">IF(AH284="","",INDEX(OFFSET(Arb!$H$2,,,Arb!$AJ$5,),AH284))</f>
        <v>68.69</v>
      </c>
      <c r="AJ284" s="3">
        <f t="shared" ca="1" si="79"/>
        <v>2.0672586985005097</v>
      </c>
      <c r="AK284" s="165">
        <f ca="1">IF(AH284="","",INDEX(OFFSET(Arb!$X$2,,,Arb!$AJ$5,),AH284)/AI284)</f>
        <v>2.5040034939583635</v>
      </c>
      <c r="AL284" s="165">
        <f ca="1">IF(AH284="","",(INDEX(OFFSET(Arb!$U$2,,,Arb!$AJ$5,),AH284)+INDEX(OFFSET(Arb!$V$2,,,Arb!$AJ$5,),AH284))/AI284)</f>
        <v>2.7514922113844813</v>
      </c>
      <c r="AM284" s="51">
        <f t="shared" ca="1" si="89"/>
        <v>46.565001563671935</v>
      </c>
      <c r="AN284" s="88">
        <f ca="1">IF(AH284="","",DATE(INDEX(OFFSET(Arb!$C$2,,,Arb!$AJ$5,),AH284),INDEX(OFFSET(Arb!$B$2,,,Arb!$AJ$5,),AH284),INDEX(OFFSET(Arb!$A$2,,,Arb!$AJ$5,),AH284))+ROW()*0.001)</f>
        <v>43981.284</v>
      </c>
      <c r="AO284" s="436">
        <v>142</v>
      </c>
      <c r="AP284" s="1">
        <v>3182</v>
      </c>
      <c r="AQ284" s="52">
        <f ca="1">IF(AP284="","",INDEX(OFFSET(Arb!$H$2,,,Arb!$AJ$5,),AP284))</f>
        <v>70.38</v>
      </c>
      <c r="AR284" s="3">
        <f t="shared" ca="1" si="80"/>
        <v>2.0176186416595625</v>
      </c>
      <c r="AS284" s="165">
        <f ca="1">IF(AP284="","",INDEX(OFFSET(Arb!$X$2,,,Arb!$AJ$5,),AP284)/AQ284)</f>
        <v>2.6854219948849107</v>
      </c>
      <c r="AT284" s="165">
        <f ca="1">IF(AP284="","",(INDEX(OFFSET(Arb!$U$2,,,Arb!$AJ$5,),AP284)+INDEX(OFFSET(Arb!$V$2,,,Arb!$AJ$5,),AP284))/AQ284)</f>
        <v>3.0264279624893438</v>
      </c>
      <c r="AU284" s="51">
        <f t="shared" ca="1" si="90"/>
        <v>44.68017376613151</v>
      </c>
      <c r="AV284" s="91">
        <f ca="1">IF(AP284="","",DATE(INDEX(OFFSET(Arb!$C$2,,,Arb!$AJ$5,),AP284),INDEX(OFFSET(Arb!$B$2,,,Arb!$AJ$5,),AP284),INDEX(OFFSET(Arb!$A$2,,,Arb!$AJ$5,),AP284))+ROW()*0.001)</f>
        <v>44052.284</v>
      </c>
      <c r="AW284" s="442">
        <v>142</v>
      </c>
      <c r="AX284" s="1">
        <v>2636</v>
      </c>
      <c r="AY284" s="52">
        <f ca="1">IF(AX284="","",INDEX(OFFSET(Arb!$H$2,,,Arb!$AJ$5,),AX284))</f>
        <v>72.709999999999994</v>
      </c>
      <c r="AZ284" s="3">
        <f t="shared" ca="1" si="81"/>
        <v>1.952963828909366</v>
      </c>
      <c r="BA284" s="165">
        <f ca="1">IF(AX284="","",INDEX(OFFSET(Arb!$X$2,,,Arb!$AJ$5,),AX284)/AY284)</f>
        <v>2.2692889561270806</v>
      </c>
      <c r="BB284" s="165">
        <f ca="1">IF(AX284="","",(INDEX(OFFSET(Arb!$U$2,,,Arb!$AJ$5,),AX284)+INDEX(OFFSET(Arb!$V$2,,,Arb!$AJ$5,),AX284))/AY284)</f>
        <v>2.4480814193370928</v>
      </c>
      <c r="BC284" s="51">
        <f t="shared" ca="1" si="91"/>
        <v>42.273533819689739</v>
      </c>
      <c r="BD284" s="88">
        <f ca="1">IF(AX284="","",DATE(INDEX(OFFSET(Arb!$C$2,,,Arb!$AJ$5,),AX284),INDEX(OFFSET(Arb!$B$2,,,Arb!$AJ$5,),AX284),INDEX(OFFSET(Arb!$A$2,,,Arb!$AJ$5,),AX284))+ROW()*0.001)</f>
        <v>43816.284</v>
      </c>
      <c r="BE284" s="436">
        <v>142</v>
      </c>
      <c r="BF284" s="1">
        <v>2874</v>
      </c>
      <c r="BG284" s="52">
        <f ca="1">IF(BF284="","",INDEX(OFFSET(Arb!$H$2,,,Arb!$AJ$5,),BF284))</f>
        <v>73.739999999999995</v>
      </c>
      <c r="BH284" s="3">
        <f t="shared" ca="1" si="82"/>
        <v>1.9256848386221861</v>
      </c>
      <c r="BI284" s="165">
        <f ca="1">IF(BF284="","",INDEX(OFFSET(Arb!$X$2,,,Arb!$AJ$5,),BF284)/BG284)</f>
        <v>2.4410089503661516</v>
      </c>
      <c r="BJ284" s="165">
        <f ca="1">IF(BF284="","",(INDEX(OFFSET(Arb!$U$2,,,Arb!$AJ$5,),BF284)+INDEX(OFFSET(Arb!$V$2,,,Arb!$AJ$5,),BF284))/BG284)</f>
        <v>2.7935991320857068</v>
      </c>
      <c r="BK284" s="51">
        <f t="shared" ca="1" si="92"/>
        <v>41.274638018247757</v>
      </c>
      <c r="BL284" s="91">
        <f ca="1">IF(BF284="","",DATE(INDEX(OFFSET(Arb!$C$2,,,Arb!$AJ$5,),BF284),INDEX(OFFSET(Arb!$B$2,,,Arb!$AJ$5,),BF284),INDEX(OFFSET(Arb!$A$2,,,Arb!$AJ$5,),BF284))+ROW()*0.001)</f>
        <v>43912.284</v>
      </c>
      <c r="BM284" s="442">
        <v>142</v>
      </c>
      <c r="BN284" s="1">
        <v>2851</v>
      </c>
      <c r="BO284" s="52">
        <f ca="1">IF(BN284="","",INDEX(OFFSET(Arb!$H$2,,,Arb!$AJ$5,),BN284))</f>
        <v>74.31</v>
      </c>
      <c r="BP284" s="3">
        <f t="shared" ca="1" si="83"/>
        <v>1.9109137397389315</v>
      </c>
      <c r="BQ284" s="165">
        <f ca="1">IF(BN284="","",INDEX(OFFSET(Arb!$X$2,,,Arb!$AJ$5,),BN284)/BO284)</f>
        <v>2.5299421343022472</v>
      </c>
      <c r="BR284" s="165">
        <f ca="1">IF(BN284="","",(INDEX(OFFSET(Arb!$U$2,,,Arb!$AJ$5,),BN284)+INDEX(OFFSET(Arb!$V$2,,,Arb!$AJ$5,),BN284))/BO284)</f>
        <v>2.9067420266451354</v>
      </c>
      <c r="BS284" s="51">
        <f t="shared" ca="1" si="93"/>
        <v>40.737864141358742</v>
      </c>
      <c r="BT284" s="88">
        <f ca="1">IF(BN284="","",DATE(INDEX(OFFSET(Arb!$C$2,,,Arb!$AJ$5,),BN284),INDEX(OFFSET(Arb!$B$2,,,Arb!$AJ$5,),BN284),INDEX(OFFSET(Arb!$A$2,,,Arb!$AJ$5,),BN284))+ROW()*0.001)</f>
        <v>43905.284</v>
      </c>
      <c r="BU284" s="436">
        <v>142</v>
      </c>
      <c r="BV284" s="1">
        <v>2499</v>
      </c>
      <c r="BW284" s="52">
        <f ca="1">IF(BV284="","",INDEX(OFFSET(Arb!$H$2,,,Arb!$AJ$5,),BV284))</f>
        <v>88.93</v>
      </c>
      <c r="BX284" s="3">
        <f t="shared" ca="1" si="84"/>
        <v>1.596761497807264</v>
      </c>
      <c r="BY284" s="165">
        <f ca="1">IF(BV284="","",INDEX(OFFSET(Arb!$X$2,,,Arb!$AJ$5,),BV284)/BW284)</f>
        <v>1.8441470819745867</v>
      </c>
      <c r="BZ284" s="165">
        <f ca="1">IF(BV284="","",(INDEX(OFFSET(Arb!$U$2,,,Arb!$AJ$5,),BV284)+INDEX(OFFSET(Arb!$V$2,,,Arb!$AJ$5,),BV284))/BW284)</f>
        <v>2.0690430675812435</v>
      </c>
      <c r="CA284" s="51">
        <f t="shared" ca="1" si="94"/>
        <v>30.019019488751589</v>
      </c>
      <c r="CB284" s="91">
        <f ca="1">IF(BV284="","",DATE(INDEX(OFFSET(Arb!$C$2,,,Arb!$AJ$5,),BV284),INDEX(OFFSET(Arb!$B$2,,,Arb!$AJ$5,),BV284),INDEX(OFFSET(Arb!$A$2,,,Arb!$AJ$5,),BV284))+ROW()*0.001)</f>
        <v>43787.284</v>
      </c>
    </row>
    <row r="285" spans="1:80" x14ac:dyDescent="0.25">
      <c r="A285" s="433">
        <v>143</v>
      </c>
      <c r="B285" s="1">
        <v>3203</v>
      </c>
      <c r="C285" s="52">
        <f ca="1">IF(B285="","",INDEX(OFFSET(Arb!$H$2,,,Arb!$AJ$5,),B285))</f>
        <v>62.44</v>
      </c>
      <c r="D285" s="3">
        <f t="shared" ca="1" si="75"/>
        <v>2.2901985906470212</v>
      </c>
      <c r="E285" s="165">
        <f ca="1">IF(B285="","",INDEX(OFFSET(Arb!$X$2,,,Arb!$AJ$5,),B285)/C285)</f>
        <v>2.8507367072389496</v>
      </c>
      <c r="F285" s="165">
        <f ca="1">IF(B285="","",(INDEX(OFFSET(Arb!$U$2,,,Arb!$AJ$5,),B285)+INDEX(OFFSET(Arb!$V$2,,,Arb!$AJ$5,),B285))/C285)</f>
        <v>3.2351057014734148</v>
      </c>
      <c r="G285" s="51">
        <f t="shared" ca="1" si="85"/>
        <v>55.149219737623696</v>
      </c>
      <c r="H285" s="355">
        <f ca="1">IF(B285="","",DATE(INDEX(OFFSET(Arb!$C$2,,,Arb!$AJ$5,),B285),INDEX(OFFSET(Arb!$B$2,,,Arb!$AJ$5,),B285),INDEX(OFFSET(Arb!$A$2,,,Arb!$AJ$5,),B285))+ROW()*0.001)</f>
        <v>44058.285000000003</v>
      </c>
      <c r="I285" s="436">
        <v>143</v>
      </c>
      <c r="J285" s="1">
        <v>3260</v>
      </c>
      <c r="K285" s="52">
        <f ca="1">IF(J285="","",INDEX(OFFSET(Arb!$H$2,,,Arb!$AJ$5,),J285))</f>
        <v>63.79</v>
      </c>
      <c r="L285" s="3">
        <f t="shared" ca="1" si="76"/>
        <v>2.2417306787897791</v>
      </c>
      <c r="M285" s="165">
        <f ca="1">IF(J285="","",INDEX(OFFSET(Arb!$X$2,,,Arb!$AJ$5,),J285)/K285)</f>
        <v>2.8060824580655277</v>
      </c>
      <c r="N285" s="165">
        <f ca="1">IF(J285="","",(INDEX(OFFSET(Arb!$U$2,,,Arb!$AJ$5,),J285)+INDEX(OFFSET(Arb!$V$2,,,Arb!$AJ$5,),J285))/K285)</f>
        <v>3.1823169775826932</v>
      </c>
      <c r="O285" s="51">
        <f t="shared" ca="1" si="86"/>
        <v>53.179820749139488</v>
      </c>
      <c r="P285" s="91">
        <f ca="1">IF(J285="","",DATE(INDEX(OFFSET(Arb!$C$2,,,Arb!$AJ$5,),J285),INDEX(OFFSET(Arb!$B$2,,,Arb!$AJ$5,),J285),INDEX(OFFSET(Arb!$A$2,,,Arb!$AJ$5,),J285))+ROW()*0.001)</f>
        <v>44071.285000000003</v>
      </c>
      <c r="Q285" s="442">
        <v>143</v>
      </c>
      <c r="R285" s="1">
        <v>3159</v>
      </c>
      <c r="S285" s="52">
        <f ca="1">IF(R285="","",INDEX(OFFSET(Arb!$H$2,,,Arb!$AJ$5,),R285))</f>
        <v>65.430000000000007</v>
      </c>
      <c r="T285" s="3">
        <f t="shared" ca="1" si="77"/>
        <v>2.1855418003973712</v>
      </c>
      <c r="U285" s="165">
        <f ca="1">IF(R285="","",INDEX(OFFSET(Arb!$X$2,,,Arb!$AJ$5,),R285)/S285)</f>
        <v>2.8274491823322632</v>
      </c>
      <c r="V285" s="165">
        <f ca="1">IF(R285="","",(INDEX(OFFSET(Arb!$U$2,,,Arb!$AJ$5,),R285)+INDEX(OFFSET(Arb!$V$2,,,Arb!$AJ$5,),R285))/S285)</f>
        <v>3.1178358551123333</v>
      </c>
      <c r="W285" s="51">
        <f t="shared" ca="1" si="87"/>
        <v>50.933735455289209</v>
      </c>
      <c r="X285" s="88">
        <f ca="1">IF(R285="","",DATE(INDEX(OFFSET(Arb!$C$2,,,Arb!$AJ$5,),R285),INDEX(OFFSET(Arb!$B$2,,,Arb!$AJ$5,),R285),INDEX(OFFSET(Arb!$A$2,,,Arb!$AJ$5,),R285))+ROW()*0.001)</f>
        <v>44029.285000000003</v>
      </c>
      <c r="Y285" s="436">
        <v>143</v>
      </c>
      <c r="Z285" s="1">
        <v>3034</v>
      </c>
      <c r="AA285" s="52">
        <f ca="1">IF(Z285="","",INDEX(OFFSET(Arb!$H$2,,,Arb!$AJ$5,),Z285))</f>
        <v>66.73</v>
      </c>
      <c r="AB285" s="3">
        <f t="shared" ca="1" si="78"/>
        <v>2.1429641840251761</v>
      </c>
      <c r="AC285" s="165">
        <f ca="1">IF(Z285="","",INDEX(OFFSET(Arb!$X$2,,,Arb!$AJ$5,),Z285)/AA285)</f>
        <v>2.9372096508317096</v>
      </c>
      <c r="AD285" s="165">
        <f ca="1">IF(Z285="","",(INDEX(OFFSET(Arb!$U$2,,,Arb!$AJ$5,),Z285)+INDEX(OFFSET(Arb!$V$2,,,Arb!$AJ$5,),Z285))/AA285)</f>
        <v>3.4017683200959086</v>
      </c>
      <c r="AE285" s="51">
        <f t="shared" ca="1" si="88"/>
        <v>49.258409013787642</v>
      </c>
      <c r="AF285" s="91">
        <f ca="1">IF(Z285="","",DATE(INDEX(OFFSET(Arb!$C$2,,,Arb!$AJ$5,),Z285),INDEX(OFFSET(Arb!$B$2,,,Arb!$AJ$5,),Z285),INDEX(OFFSET(Arb!$A$2,,,Arb!$AJ$5,),Z285))+ROW()*0.001)</f>
        <v>43979.285000000003</v>
      </c>
      <c r="AG285" s="442">
        <v>143</v>
      </c>
      <c r="AH285" s="1">
        <v>3001</v>
      </c>
      <c r="AI285" s="52">
        <f ca="1">IF(AH285="","",INDEX(OFFSET(Arb!$H$2,,,Arb!$AJ$5,),AH285))</f>
        <v>69.27</v>
      </c>
      <c r="AJ285" s="3">
        <f t="shared" ca="1" si="79"/>
        <v>2.0643857369712721</v>
      </c>
      <c r="AK285" s="165">
        <f ca="1">IF(AH285="","",INDEX(OFFSET(Arb!$X$2,,,Arb!$AJ$5,),AH285)/AI285)</f>
        <v>2.4830373899234881</v>
      </c>
      <c r="AL285" s="165">
        <f ca="1">IF(AH285="","",(INDEX(OFFSET(Arb!$U$2,,,Arb!$AJ$5,),AH285)+INDEX(OFFSET(Arb!$V$2,,,Arb!$AJ$5,),AH285))/AI285)</f>
        <v>2.74289014003176</v>
      </c>
      <c r="AM285" s="51">
        <f t="shared" ca="1" si="89"/>
        <v>46.227400640514027</v>
      </c>
      <c r="AN285" s="88">
        <f ca="1">IF(AH285="","",DATE(INDEX(OFFSET(Arb!$C$2,,,Arb!$AJ$5,),AH285),INDEX(OFFSET(Arb!$B$2,,,Arb!$AJ$5,),AH285),INDEX(OFFSET(Arb!$A$2,,,Arb!$AJ$5,),AH285))+ROW()*0.001)</f>
        <v>43957.285000000003</v>
      </c>
      <c r="AO285" s="436">
        <v>143</v>
      </c>
      <c r="AP285" s="1">
        <v>2975</v>
      </c>
      <c r="AQ285" s="52">
        <f ca="1">IF(AP285="","",INDEX(OFFSET(Arb!$H$2,,,Arb!$AJ$5,),AP285))</f>
        <v>71.33</v>
      </c>
      <c r="AR285" s="3">
        <f t="shared" ca="1" si="80"/>
        <v>2.0047665778774708</v>
      </c>
      <c r="AS285" s="165">
        <f ca="1">IF(AP285="","",INDEX(OFFSET(Arb!$X$2,,,Arb!$AJ$5,),AP285)/AQ285)</f>
        <v>2.6776952194027759</v>
      </c>
      <c r="AT285" s="165">
        <f ca="1">IF(AP285="","",(INDEX(OFFSET(Arb!$U$2,,,Arb!$AJ$5,),AP285)+INDEX(OFFSET(Arb!$V$2,,,Arb!$AJ$5,),AP285))/AQ285)</f>
        <v>3.0421982335623161</v>
      </c>
      <c r="AU285" s="51">
        <f t="shared" ca="1" si="90"/>
        <v>43.980839206967012</v>
      </c>
      <c r="AV285" s="91">
        <f ca="1">IF(AP285="","",DATE(INDEX(OFFSET(Arb!$C$2,,,Arb!$AJ$5,),AP285),INDEX(OFFSET(Arb!$B$2,,,Arb!$AJ$5,),AP285),INDEX(OFFSET(Arb!$A$2,,,Arb!$AJ$5,),AP285))+ROW()*0.001)</f>
        <v>43954.285000000003</v>
      </c>
      <c r="AW285" s="442">
        <v>143</v>
      </c>
      <c r="AX285" s="1">
        <v>2937</v>
      </c>
      <c r="AY285" s="52">
        <f ca="1">IF(AX285="","",INDEX(OFFSET(Arb!$H$2,,,Arb!$AJ$5,),AX285))</f>
        <v>72.45</v>
      </c>
      <c r="AZ285" s="3">
        <f t="shared" ca="1" si="81"/>
        <v>1.973775017253278</v>
      </c>
      <c r="BA285" s="165">
        <f ca="1">IF(AX285="","",INDEX(OFFSET(Arb!$X$2,,,Arb!$AJ$5,),AX285)/AY285)</f>
        <v>2.4982746721877156</v>
      </c>
      <c r="BB285" s="165">
        <f ca="1">IF(AX285="","",(INDEX(OFFSET(Arb!$U$2,,,Arb!$AJ$5,),AX285)+INDEX(OFFSET(Arb!$V$2,,,Arb!$AJ$5,),AX285))/AY285)</f>
        <v>2.9123533471359555</v>
      </c>
      <c r="BC285" s="51">
        <f t="shared" ca="1" si="91"/>
        <v>42.83127770930713</v>
      </c>
      <c r="BD285" s="88">
        <f ca="1">IF(AX285="","",DATE(INDEX(OFFSET(Arb!$C$2,,,Arb!$AJ$5,),AX285),INDEX(OFFSET(Arb!$B$2,,,Arb!$AJ$5,),AX285),INDEX(OFFSET(Arb!$A$2,,,Arb!$AJ$5,),AX285))+ROW()*0.001)</f>
        <v>43940.285000000003</v>
      </c>
      <c r="BE285" s="436">
        <v>143</v>
      </c>
      <c r="BF285" s="1">
        <v>2715</v>
      </c>
      <c r="BG285" s="52">
        <f ca="1">IF(BF285="","",INDEX(OFFSET(Arb!$H$2,,,Arb!$AJ$5,),BF285))</f>
        <v>75.75</v>
      </c>
      <c r="BH285" s="3">
        <f t="shared" ca="1" si="82"/>
        <v>1.8877887788778878</v>
      </c>
      <c r="BI285" s="165">
        <f ca="1">IF(BF285="","",INDEX(OFFSET(Arb!$X$2,,,Arb!$AJ$5,),BF285)/BG285)</f>
        <v>2.3102310231023102</v>
      </c>
      <c r="BJ285" s="165">
        <f ca="1">IF(BF285="","",(INDEX(OFFSET(Arb!$U$2,,,Arb!$AJ$5,),BF285)+INDEX(OFFSET(Arb!$V$2,,,Arb!$AJ$5,),BF285))/BG285)</f>
        <v>2.6534653465346536</v>
      </c>
      <c r="BK285" s="51">
        <f t="shared" ca="1" si="92"/>
        <v>39.707798522394484</v>
      </c>
      <c r="BL285" s="91">
        <f ca="1">IF(BF285="","",DATE(INDEX(OFFSET(Arb!$C$2,,,Arb!$AJ$5,),BF285),INDEX(OFFSET(Arb!$B$2,,,Arb!$AJ$5,),BF285),INDEX(OFFSET(Arb!$A$2,,,Arb!$AJ$5,),BF285))+ROW()*0.001)</f>
        <v>43851.285000000003</v>
      </c>
      <c r="BM285" s="442">
        <v>143</v>
      </c>
      <c r="BO285" s="52" t="str">
        <f ca="1">IF(BN285="","",INDEX(OFFSET(Arb!$H$2,,,Arb!$AJ$5,),BN285))</f>
        <v/>
      </c>
      <c r="BP285" s="3" t="str">
        <f t="shared" ca="1" si="83"/>
        <v/>
      </c>
      <c r="BQ285" s="165" t="str">
        <f ca="1">IF(BN285="","",INDEX(OFFSET(Arb!$X$2,,,Arb!$AJ$5,),BN285)/BO285)</f>
        <v/>
      </c>
      <c r="BR285" s="165" t="str">
        <f ca="1">IF(BN285="","",(INDEX(OFFSET(Arb!$U$2,,,Arb!$AJ$5,),BN285)+INDEX(OFFSET(Arb!$V$2,,,Arb!$AJ$5,),BN285))/BO285)</f>
        <v/>
      </c>
      <c r="BS285" s="51" t="str">
        <f t="shared" ca="1" si="93"/>
        <v/>
      </c>
      <c r="BT285" s="88" t="str">
        <f ca="1">IF(BN285="","",DATE(INDEX(OFFSET(Arb!$C$2,,,Arb!$AJ$5,),BN285),INDEX(OFFSET(Arb!$B$2,,,Arb!$AJ$5,),BN285),INDEX(OFFSET(Arb!$A$2,,,Arb!$AJ$5,),BN285))+ROW()*0.001)</f>
        <v/>
      </c>
      <c r="BU285" s="436">
        <v>143</v>
      </c>
      <c r="BW285" s="52" t="str">
        <f ca="1">IF(BV285="","",INDEX(OFFSET(Arb!$H$2,,,Arb!$AJ$5,),BV285))</f>
        <v/>
      </c>
      <c r="BX285" s="3" t="str">
        <f t="shared" ca="1" si="84"/>
        <v/>
      </c>
      <c r="BY285" s="165" t="str">
        <f ca="1">IF(BV285="","",INDEX(OFFSET(Arb!$X$2,,,Arb!$AJ$5,),BV285)/BW285)</f>
        <v/>
      </c>
      <c r="BZ285" s="165" t="str">
        <f ca="1">IF(BV285="","",(INDEX(OFFSET(Arb!$U$2,,,Arb!$AJ$5,),BV285)+INDEX(OFFSET(Arb!$V$2,,,Arb!$AJ$5,),BV285))/BW285)</f>
        <v/>
      </c>
      <c r="CA285" s="51" t="str">
        <f t="shared" ca="1" si="94"/>
        <v/>
      </c>
      <c r="CB285" s="91" t="str">
        <f ca="1">IF(BV285="","",DATE(INDEX(OFFSET(Arb!$C$2,,,Arb!$AJ$5,),BV285),INDEX(OFFSET(Arb!$B$2,,,Arb!$AJ$5,),BV285),INDEX(OFFSET(Arb!$A$2,,,Arb!$AJ$5,),BV285))+ROW()*0.001)</f>
        <v/>
      </c>
    </row>
    <row r="286" spans="1:80" x14ac:dyDescent="0.25">
      <c r="A286" s="433">
        <v>144</v>
      </c>
      <c r="B286" s="1">
        <v>2862</v>
      </c>
      <c r="C286" s="52">
        <f ca="1">IF(B286="","",INDEX(OFFSET(Arb!$H$2,,,Arb!$AJ$5,),B286))</f>
        <v>63.62</v>
      </c>
      <c r="D286" s="3">
        <f t="shared" ca="1" si="75"/>
        <v>2.2634391700723042</v>
      </c>
      <c r="E286" s="165">
        <f ca="1">IF(B286="","",INDEX(OFFSET(Arb!$X$2,,,Arb!$AJ$5,),B286)/C286)</f>
        <v>2.7349889971707011</v>
      </c>
      <c r="F286" s="165">
        <f ca="1">IF(B286="","",(INDEX(OFFSET(Arb!$U$2,,,Arb!$AJ$5,),B286)+INDEX(OFFSET(Arb!$V$2,,,Arb!$AJ$5,),B286))/C286)</f>
        <v>3.1436655139893115</v>
      </c>
      <c r="G286" s="51">
        <f t="shared" ca="1" si="85"/>
        <v>53.795198865476351</v>
      </c>
      <c r="H286" s="355">
        <f ca="1">IF(B286="","",DATE(INDEX(OFFSET(Arb!$C$2,,,Arb!$AJ$5,),B286),INDEX(OFFSET(Arb!$B$2,,,Arb!$AJ$5,),B286),INDEX(OFFSET(Arb!$A$2,,,Arb!$AJ$5,),B286))+ROW()*0.001)</f>
        <v>43909.286</v>
      </c>
      <c r="I286" s="436">
        <v>144</v>
      </c>
      <c r="J286" s="1">
        <v>3367</v>
      </c>
      <c r="K286" s="52">
        <f ca="1">IF(J286="","",INDEX(OFFSET(Arb!$H$2,,,Arb!$AJ$5,),J286))</f>
        <v>66.41</v>
      </c>
      <c r="L286" s="3">
        <f t="shared" ca="1" si="76"/>
        <v>2.1683481403403104</v>
      </c>
      <c r="M286" s="165">
        <f ca="1">IF(J286="","",INDEX(OFFSET(Arb!$X$2,,,Arb!$AJ$5,),J286)/K286)</f>
        <v>2.6050293630477337</v>
      </c>
      <c r="N286" s="165">
        <f ca="1">IF(J286="","",(INDEX(OFFSET(Arb!$U$2,,,Arb!$AJ$5,),J286)+INDEX(OFFSET(Arb!$V$2,,,Arb!$AJ$5,),J286))/K286)</f>
        <v>3.0567685589519651</v>
      </c>
      <c r="O286" s="51">
        <f t="shared" ca="1" si="86"/>
        <v>50.009882138688681</v>
      </c>
      <c r="P286" s="91">
        <f ca="1">IF(J286="","",DATE(INDEX(OFFSET(Arb!$C$2,,,Arb!$AJ$5,),J286),INDEX(OFFSET(Arb!$B$2,,,Arb!$AJ$5,),J286),INDEX(OFFSET(Arb!$A$2,,,Arb!$AJ$5,),J286))+ROW()*0.001)</f>
        <v>44115.286</v>
      </c>
      <c r="Q286" s="442">
        <v>144</v>
      </c>
      <c r="R286" s="1">
        <v>3411</v>
      </c>
      <c r="S286" s="52">
        <f ca="1">IF(R286="","",INDEX(OFFSET(Arb!$H$2,,,Arb!$AJ$5,),R286))</f>
        <v>67.150000000000006</v>
      </c>
      <c r="T286" s="3">
        <f t="shared" ca="1" si="77"/>
        <v>2.1444527177959789</v>
      </c>
      <c r="U286" s="165">
        <f ca="1">IF(R286="","",INDEX(OFFSET(Arb!$X$2,,,Arb!$AJ$5,),R286)/S286)</f>
        <v>2.3827252419955323</v>
      </c>
      <c r="V286" s="165">
        <f ca="1">IF(R286="","",(INDEX(OFFSET(Arb!$U$2,,,Arb!$AJ$5,),R286)+INDEX(OFFSET(Arb!$V$2,,,Arb!$AJ$5,),R286))/S286)</f>
        <v>2.6656738644825015</v>
      </c>
      <c r="W286" s="51">
        <f t="shared" ca="1" si="87"/>
        <v>49.076605775109584</v>
      </c>
      <c r="X286" s="88">
        <f ca="1">IF(R286="","",DATE(INDEX(OFFSET(Arb!$C$2,,,Arb!$AJ$5,),R286),INDEX(OFFSET(Arb!$B$2,,,Arb!$AJ$5,),R286),INDEX(OFFSET(Arb!$A$2,,,Arb!$AJ$5,),R286))+ROW()*0.001)</f>
        <v>44147.286</v>
      </c>
      <c r="Y286" s="436">
        <v>144</v>
      </c>
      <c r="Z286" s="1">
        <v>3068</v>
      </c>
      <c r="AA286" s="52">
        <f ca="1">IF(Z286="","",INDEX(OFFSET(Arb!$H$2,,,Arb!$AJ$5,),Z286))</f>
        <v>69.680000000000007</v>
      </c>
      <c r="AB286" s="3">
        <f t="shared" ca="1" si="78"/>
        <v>2.0665901262916186</v>
      </c>
      <c r="AC286" s="165">
        <f ca="1">IF(Z286="","",INDEX(OFFSET(Arb!$X$2,,,Arb!$AJ$5,),Z286)/AA286)</f>
        <v>2.5401836969001144</v>
      </c>
      <c r="AD286" s="165">
        <f ca="1">IF(Z286="","",(INDEX(OFFSET(Arb!$U$2,,,Arb!$AJ$5,),Z286)+INDEX(OFFSET(Arb!$V$2,,,Arb!$AJ$5,),Z286))/AA286)</f>
        <v>2.8989667049368539</v>
      </c>
      <c r="AE286" s="51">
        <f t="shared" ca="1" si="88"/>
        <v>46.08598838369322</v>
      </c>
      <c r="AF286" s="91">
        <f ca="1">IF(Z286="","",DATE(INDEX(OFFSET(Arb!$C$2,,,Arb!$AJ$5,),Z286),INDEX(OFFSET(Arb!$B$2,,,Arb!$AJ$5,),Z286),INDEX(OFFSET(Arb!$A$2,,,Arb!$AJ$5,),Z286))+ROW()*0.001)</f>
        <v>44003.286</v>
      </c>
      <c r="AG286" s="442">
        <v>144</v>
      </c>
      <c r="AH286" s="1">
        <v>2416</v>
      </c>
      <c r="AI286" s="52">
        <f ca="1">IF(AH286="","",INDEX(OFFSET(Arb!$H$2,,,Arb!$AJ$5,),AH286))</f>
        <v>72.540000000000006</v>
      </c>
      <c r="AJ286" s="3">
        <f t="shared" ca="1" si="79"/>
        <v>1.9851116625310172</v>
      </c>
      <c r="AK286" s="165">
        <f ca="1">IF(AH286="","",INDEX(OFFSET(Arb!$X$2,,,Arb!$AJ$5,),AH286)/AI286)</f>
        <v>2.5089605734767022</v>
      </c>
      <c r="AL286" s="165">
        <f ca="1">IF(AH286="","",(INDEX(OFFSET(Arb!$U$2,,,Arb!$AJ$5,),AH286)+INDEX(OFFSET(Arb!$V$2,,,Arb!$AJ$5,),AH286))/AI286)</f>
        <v>2.8122415219189412</v>
      </c>
      <c r="AM286" s="51">
        <f t="shared" ca="1" si="89"/>
        <v>43.039865978211019</v>
      </c>
      <c r="AN286" s="88">
        <f ca="1">IF(AH286="","",DATE(INDEX(OFFSET(Arb!$C$2,,,Arb!$AJ$5,),AH286),INDEX(OFFSET(Arb!$B$2,,,Arb!$AJ$5,),AH286),INDEX(OFFSET(Arb!$A$2,,,Arb!$AJ$5,),AH286))+ROW()*0.001)</f>
        <v>43766.286</v>
      </c>
      <c r="AO286" s="436">
        <v>144</v>
      </c>
      <c r="AP286" s="1">
        <v>2752</v>
      </c>
      <c r="AQ286" s="52">
        <f ca="1">IF(AP286="","",INDEX(OFFSET(Arb!$H$2,,,Arb!$AJ$5,),AP286))</f>
        <v>74.709999999999994</v>
      </c>
      <c r="AR286" s="3">
        <f t="shared" ca="1" si="80"/>
        <v>1.9274528175612369</v>
      </c>
      <c r="AS286" s="165">
        <f ca="1">IF(AP286="","",INDEX(OFFSET(Arb!$X$2,,,Arb!$AJ$5,),AP286)/AQ286)</f>
        <v>2.4896265560165975</v>
      </c>
      <c r="AT286" s="165">
        <f ca="1">IF(AP286="","",(INDEX(OFFSET(Arb!$U$2,,,Arb!$AJ$5,),AP286)+INDEX(OFFSET(Arb!$V$2,,,Arb!$AJ$5,),AP286))/AQ286)</f>
        <v>2.78409851425512</v>
      </c>
      <c r="AU286" s="51">
        <f t="shared" ca="1" si="90"/>
        <v>40.936329111646089</v>
      </c>
      <c r="AV286" s="91">
        <f ca="1">IF(AP286="","",DATE(INDEX(OFFSET(Arb!$C$2,,,Arb!$AJ$5,),AP286),INDEX(OFFSET(Arb!$B$2,,,Arb!$AJ$5,),AP286),INDEX(OFFSET(Arb!$A$2,,,Arb!$AJ$5,),AP286))+ROW()*0.001)</f>
        <v>43882.286</v>
      </c>
      <c r="AW286" s="442">
        <v>144</v>
      </c>
      <c r="AX286" s="1">
        <v>2506</v>
      </c>
      <c r="AY286" s="52">
        <f ca="1">IF(AX286="","",INDEX(OFFSET(Arb!$H$2,,,Arb!$AJ$5,),AX286))</f>
        <v>78.849999999999994</v>
      </c>
      <c r="AZ286" s="3">
        <f t="shared" ca="1" si="81"/>
        <v>1.8262523779327839</v>
      </c>
      <c r="BA286" s="165">
        <f ca="1">IF(AX286="","",INDEX(OFFSET(Arb!$X$2,,,Arb!$AJ$5,),AX286)/AY286)</f>
        <v>2.38427393785669</v>
      </c>
      <c r="BB286" s="165">
        <f ca="1">IF(AX286="","",(INDEX(OFFSET(Arb!$U$2,,,Arb!$AJ$5,),AX286)+INDEX(OFFSET(Arb!$V$2,,,Arb!$AJ$5,),AX286))/AY286)</f>
        <v>2.7520608750792648</v>
      </c>
      <c r="BC286" s="51">
        <f t="shared" ca="1" si="91"/>
        <v>37.349935949974558</v>
      </c>
      <c r="BD286" s="88">
        <f ca="1">IF(AX286="","",DATE(INDEX(OFFSET(Arb!$C$2,,,Arb!$AJ$5,),AX286),INDEX(OFFSET(Arb!$B$2,,,Arb!$AJ$5,),AX286),INDEX(OFFSET(Arb!$A$2,,,Arb!$AJ$5,),AX286))+ROW()*0.001)</f>
        <v>43788.286</v>
      </c>
      <c r="BE286" s="436">
        <v>144</v>
      </c>
      <c r="BG286" s="52" t="str">
        <f ca="1">IF(BF286="","",INDEX(OFFSET(Arb!$H$2,,,Arb!$AJ$5,),BF286))</f>
        <v/>
      </c>
      <c r="BH286" s="3" t="str">
        <f t="shared" ca="1" si="82"/>
        <v/>
      </c>
      <c r="BI286" s="165" t="str">
        <f ca="1">IF(BF286="","",INDEX(OFFSET(Arb!$X$2,,,Arb!$AJ$5,),BF286)/BG286)</f>
        <v/>
      </c>
      <c r="BJ286" s="165" t="str">
        <f ca="1">IF(BF286="","",(INDEX(OFFSET(Arb!$U$2,,,Arb!$AJ$5,),BF286)+INDEX(OFFSET(Arb!$V$2,,,Arb!$AJ$5,),BF286))/BG286)</f>
        <v/>
      </c>
      <c r="BK286" s="51" t="str">
        <f t="shared" ca="1" si="92"/>
        <v/>
      </c>
      <c r="BL286" s="91" t="str">
        <f ca="1">IF(BF286="","",DATE(INDEX(OFFSET(Arb!$C$2,,,Arb!$AJ$5,),BF286),INDEX(OFFSET(Arb!$B$2,,,Arb!$AJ$5,),BF286),INDEX(OFFSET(Arb!$A$2,,,Arb!$AJ$5,),BF286))+ROW()*0.001)</f>
        <v/>
      </c>
      <c r="BM286" s="442">
        <v>144</v>
      </c>
      <c r="BO286" s="52" t="str">
        <f ca="1">IF(BN286="","",INDEX(OFFSET(Arb!$H$2,,,Arb!$AJ$5,),BN286))</f>
        <v/>
      </c>
      <c r="BP286" s="3" t="str">
        <f t="shared" ca="1" si="83"/>
        <v/>
      </c>
      <c r="BQ286" s="165" t="str">
        <f ca="1">IF(BN286="","",INDEX(OFFSET(Arb!$X$2,,,Arb!$AJ$5,),BN286)/BO286)</f>
        <v/>
      </c>
      <c r="BR286" s="165" t="str">
        <f ca="1">IF(BN286="","",(INDEX(OFFSET(Arb!$U$2,,,Arb!$AJ$5,),BN286)+INDEX(OFFSET(Arb!$V$2,,,Arb!$AJ$5,),BN286))/BO286)</f>
        <v/>
      </c>
      <c r="BS286" s="51" t="str">
        <f t="shared" ca="1" si="93"/>
        <v/>
      </c>
      <c r="BT286" s="88" t="str">
        <f ca="1">IF(BN286="","",DATE(INDEX(OFFSET(Arb!$C$2,,,Arb!$AJ$5,),BN286),INDEX(OFFSET(Arb!$B$2,,,Arb!$AJ$5,),BN286),INDEX(OFFSET(Arb!$A$2,,,Arb!$AJ$5,),BN286))+ROW()*0.001)</f>
        <v/>
      </c>
      <c r="BU286" s="436">
        <v>144</v>
      </c>
      <c r="BW286" s="52" t="str">
        <f ca="1">IF(BV286="","",INDEX(OFFSET(Arb!$H$2,,,Arb!$AJ$5,),BV286))</f>
        <v/>
      </c>
      <c r="BX286" s="3" t="str">
        <f t="shared" ca="1" si="84"/>
        <v/>
      </c>
      <c r="BY286" s="165" t="str">
        <f ca="1">IF(BV286="","",INDEX(OFFSET(Arb!$X$2,,,Arb!$AJ$5,),BV286)/BW286)</f>
        <v/>
      </c>
      <c r="BZ286" s="165" t="str">
        <f ca="1">IF(BV286="","",(INDEX(OFFSET(Arb!$U$2,,,Arb!$AJ$5,),BV286)+INDEX(OFFSET(Arb!$V$2,,,Arb!$AJ$5,),BV286))/BW286)</f>
        <v/>
      </c>
      <c r="CA286" s="51" t="str">
        <f t="shared" ca="1" si="94"/>
        <v/>
      </c>
      <c r="CB286" s="91" t="str">
        <f ca="1">IF(BV286="","",DATE(INDEX(OFFSET(Arb!$C$2,,,Arb!$AJ$5,),BV286),INDEX(OFFSET(Arb!$B$2,,,Arb!$AJ$5,),BV286),INDEX(OFFSET(Arb!$A$2,,,Arb!$AJ$5,),BV286))+ROW()*0.001)</f>
        <v/>
      </c>
    </row>
    <row r="287" spans="1:80" x14ac:dyDescent="0.25">
      <c r="A287" s="433">
        <v>145</v>
      </c>
      <c r="B287" s="1">
        <v>3254</v>
      </c>
      <c r="C287" s="52">
        <f ca="1">IF(B287="","",INDEX(OFFSET(Arb!$H$2,,,Arb!$AJ$5,),B287))</f>
        <v>61.85</v>
      </c>
      <c r="D287" s="3">
        <f t="shared" ca="1" si="75"/>
        <v>2.3443815683104283</v>
      </c>
      <c r="E287" s="165">
        <f ca="1">IF(B287="","",INDEX(OFFSET(Arb!$X$2,,,Arb!$AJ$5,),B287)/C287)</f>
        <v>2.8940986257073567</v>
      </c>
      <c r="F287" s="165">
        <f ca="1">IF(B287="","",(INDEX(OFFSET(Arb!$U$2,,,Arb!$AJ$5,),B287)+INDEX(OFFSET(Arb!$V$2,,,Arb!$AJ$5,),B287))/C287)</f>
        <v>3.1851253031527889</v>
      </c>
      <c r="G287" s="51">
        <f t="shared" ca="1" si="85"/>
        <v>56.830406280413207</v>
      </c>
      <c r="H287" s="355">
        <f ca="1">IF(B287="","",DATE(INDEX(OFFSET(Arb!$C$2,,,Arb!$AJ$5,),B287),INDEX(OFFSET(Arb!$B$2,,,Arb!$AJ$5,),B287),INDEX(OFFSET(Arb!$A$2,,,Arb!$AJ$5,),B287))+ROW()*0.001)</f>
        <v>44070.286999999997</v>
      </c>
      <c r="I287" s="436">
        <v>145</v>
      </c>
      <c r="J287" s="1">
        <v>3327</v>
      </c>
      <c r="K287" s="52">
        <f ca="1">IF(J287="","",INDEX(OFFSET(Arb!$H$2,,,Arb!$AJ$5,),J287))</f>
        <v>64.59</v>
      </c>
      <c r="L287" s="3">
        <f t="shared" ca="1" si="76"/>
        <v>2.2449295556587705</v>
      </c>
      <c r="M287" s="165">
        <f ca="1">IF(J287="","",INDEX(OFFSET(Arb!$X$2,,,Arb!$AJ$5,),J287)/K287)</f>
        <v>2.7558445579811113</v>
      </c>
      <c r="N287" s="165">
        <f ca="1">IF(J287="","",(INDEX(OFFSET(Arb!$U$2,,,Arb!$AJ$5,),J287)+INDEX(OFFSET(Arb!$V$2,,,Arb!$AJ$5,),J287))/K287)</f>
        <v>3.0035609227434588</v>
      </c>
      <c r="O287" s="51">
        <f t="shared" ca="1" si="86"/>
        <v>52.793113300025908</v>
      </c>
      <c r="P287" s="91">
        <f ca="1">IF(J287="","",DATE(INDEX(OFFSET(Arb!$C$2,,,Arb!$AJ$5,),J287),INDEX(OFFSET(Arb!$B$2,,,Arb!$AJ$5,),J287),INDEX(OFFSET(Arb!$A$2,,,Arb!$AJ$5,),J287))+ROW()*0.001)</f>
        <v>44095.286999999997</v>
      </c>
      <c r="Q287" s="442">
        <v>145</v>
      </c>
      <c r="R287" s="1">
        <v>3316</v>
      </c>
      <c r="S287" s="52">
        <f ca="1">IF(R287="","",INDEX(OFFSET(Arb!$H$2,,,Arb!$AJ$5,),R287))</f>
        <v>67.319999999999993</v>
      </c>
      <c r="T287" s="3">
        <f t="shared" ca="1" si="77"/>
        <v>2.1538918597742129</v>
      </c>
      <c r="U287" s="165">
        <f ca="1">IF(R287="","",INDEX(OFFSET(Arb!$X$2,,,Arb!$AJ$5,),R287)/S287)</f>
        <v>2.5698158051099229</v>
      </c>
      <c r="V287" s="165">
        <f ca="1">IF(R287="","",(INDEX(OFFSET(Arb!$U$2,,,Arb!$AJ$5,),R287)+INDEX(OFFSET(Arb!$V$2,,,Arb!$AJ$5,),R287))/S287)</f>
        <v>2.8371954842543081</v>
      </c>
      <c r="W287" s="51">
        <f t="shared" ca="1" si="87"/>
        <v>49.20545761639319</v>
      </c>
      <c r="X287" s="88">
        <f ca="1">IF(R287="","",DATE(INDEX(OFFSET(Arb!$C$2,,,Arb!$AJ$5,),R287),INDEX(OFFSET(Arb!$B$2,,,Arb!$AJ$5,),R287),INDEX(OFFSET(Arb!$A$2,,,Arb!$AJ$5,),R287))+ROW()*0.001)</f>
        <v>44094.286999999997</v>
      </c>
      <c r="Y287" s="436">
        <v>145</v>
      </c>
      <c r="Z287" s="1">
        <v>2710</v>
      </c>
      <c r="AA287" s="52">
        <f ca="1">IF(Z287="","",INDEX(OFFSET(Arb!$H$2,,,Arb!$AJ$5,),Z287))</f>
        <v>67.39</v>
      </c>
      <c r="AB287" s="3">
        <f t="shared" ca="1" si="78"/>
        <v>2.1516545481525449</v>
      </c>
      <c r="AC287" s="165">
        <f ca="1">IF(Z287="","",INDEX(OFFSET(Arb!$X$2,,,Arb!$AJ$5,),Z287)/AA287)</f>
        <v>2.6413414453182966</v>
      </c>
      <c r="AD287" s="165">
        <f ca="1">IF(Z287="","",(INDEX(OFFSET(Arb!$U$2,,,Arb!$AJ$5,),Z287)+INDEX(OFFSET(Arb!$V$2,,,Arb!$AJ$5,),Z287))/AA287)</f>
        <v>3.0271553642973736</v>
      </c>
      <c r="AE287" s="51">
        <f t="shared" ca="1" si="88"/>
        <v>49.118600212405255</v>
      </c>
      <c r="AF287" s="91">
        <f ca="1">IF(Z287="","",DATE(INDEX(OFFSET(Arb!$C$2,,,Arb!$AJ$5,),Z287),INDEX(OFFSET(Arb!$B$2,,,Arb!$AJ$5,),Z287),INDEX(OFFSET(Arb!$A$2,,,Arb!$AJ$5,),Z287))+ROW()*0.001)</f>
        <v>43850.286999999997</v>
      </c>
      <c r="AG287" s="442">
        <v>145</v>
      </c>
      <c r="AH287" s="1">
        <v>3285</v>
      </c>
      <c r="AI287" s="52">
        <f ca="1">IF(AH287="","",INDEX(OFFSET(Arb!$H$2,,,Arb!$AJ$5,),AH287))</f>
        <v>69.17</v>
      </c>
      <c r="AJ287" s="3">
        <f t="shared" ca="1" si="79"/>
        <v>2.0962845164088475</v>
      </c>
      <c r="AK287" s="165">
        <f ca="1">IF(AH287="","",INDEX(OFFSET(Arb!$X$2,,,Arb!$AJ$5,),AH287)/AI287)</f>
        <v>2.5878270926702327</v>
      </c>
      <c r="AL287" s="165">
        <f ca="1">IF(AH287="","",(INDEX(OFFSET(Arb!$U$2,,,Arb!$AJ$5,),AH287)+INDEX(OFFSET(Arb!$V$2,,,Arb!$AJ$5,),AH287))/AI287)</f>
        <v>3.0070839959520024</v>
      </c>
      <c r="AM287" s="51">
        <f t="shared" ca="1" si="89"/>
        <v>46.989198677022266</v>
      </c>
      <c r="AN287" s="88">
        <f ca="1">IF(AH287="","",DATE(INDEX(OFFSET(Arb!$C$2,,,Arb!$AJ$5,),AH287),INDEX(OFFSET(Arb!$B$2,,,Arb!$AJ$5,),AH287),INDEX(OFFSET(Arb!$A$2,,,Arb!$AJ$5,),AH287))+ROW()*0.001)</f>
        <v>44083.286999999997</v>
      </c>
      <c r="AO287" s="436">
        <v>145</v>
      </c>
      <c r="AP287" s="1">
        <v>3393</v>
      </c>
      <c r="AQ287" s="52">
        <f ca="1">IF(AP287="","",INDEX(OFFSET(Arb!$H$2,,,Arb!$AJ$5,),AP287))</f>
        <v>70.2</v>
      </c>
      <c r="AR287" s="3">
        <f t="shared" ca="1" si="80"/>
        <v>2.0655270655270654</v>
      </c>
      <c r="AS287" s="165">
        <f ca="1">IF(AP287="","",INDEX(OFFSET(Arb!$X$2,,,Arb!$AJ$5,),AP287)/AQ287)</f>
        <v>2.3931623931623931</v>
      </c>
      <c r="AT287" s="165">
        <f ca="1">IF(AP287="","",(INDEX(OFFSET(Arb!$U$2,,,Arb!$AJ$5,),AP287)+INDEX(OFFSET(Arb!$V$2,,,Arb!$AJ$5,),AP287))/AQ287)</f>
        <v>2.8062678062678064</v>
      </c>
      <c r="AU287" s="51">
        <f t="shared" ca="1" si="90"/>
        <v>45.823173904518107</v>
      </c>
      <c r="AV287" s="91">
        <f ca="1">IF(AP287="","",DATE(INDEX(OFFSET(Arb!$C$2,,,Arb!$AJ$5,),AP287),INDEX(OFFSET(Arb!$B$2,,,Arb!$AJ$5,),AP287),INDEX(OFFSET(Arb!$A$2,,,Arb!$AJ$5,),AP287))+ROW()*0.001)</f>
        <v>44141.286999999997</v>
      </c>
      <c r="AW287" s="442">
        <v>145</v>
      </c>
      <c r="AX287" s="1">
        <v>2816</v>
      </c>
      <c r="AY287" s="52">
        <f ca="1">IF(AX287="","",INDEX(OFFSET(Arb!$H$2,,,Arb!$AJ$5,),AX287))</f>
        <v>71.36</v>
      </c>
      <c r="AZ287" s="3">
        <f t="shared" ca="1" si="81"/>
        <v>2.0319506726457401</v>
      </c>
      <c r="BA287" s="165">
        <f ca="1">IF(AX287="","",INDEX(OFFSET(Arb!$X$2,,,Arb!$AJ$5,),AX287)/AY287)</f>
        <v>2.3262331838565022</v>
      </c>
      <c r="BB287" s="165">
        <f ca="1">IF(AX287="","",(INDEX(OFFSET(Arb!$U$2,,,Arb!$AJ$5,),AX287)+INDEX(OFFSET(Arb!$V$2,,,Arb!$AJ$5,),AX287))/AY287)</f>
        <v>2.4943946188340806</v>
      </c>
      <c r="BC287" s="51">
        <f t="shared" ca="1" si="91"/>
        <v>44.564088419437198</v>
      </c>
      <c r="BD287" s="88">
        <f ca="1">IF(AX287="","",DATE(INDEX(OFFSET(Arb!$C$2,,,Arb!$AJ$5,),AX287),INDEX(OFFSET(Arb!$B$2,,,Arb!$AJ$5,),AX287),INDEX(OFFSET(Arb!$A$2,,,Arb!$AJ$5,),AX287))+ROW()*0.001)</f>
        <v>43898.286999999997</v>
      </c>
      <c r="BE287" s="436">
        <v>145</v>
      </c>
      <c r="BF287" s="1">
        <v>2912</v>
      </c>
      <c r="BG287" s="52">
        <f ca="1">IF(BF287="","",INDEX(OFFSET(Arb!$H$2,,,Arb!$AJ$5,),BF287))</f>
        <v>73.03</v>
      </c>
      <c r="BH287" s="3">
        <f t="shared" ca="1" si="82"/>
        <v>1.9854854169519376</v>
      </c>
      <c r="BI287" s="165">
        <f ca="1">IF(BF287="","",INDEX(OFFSET(Arb!$X$2,,,Arb!$AJ$5,),BF287)/BG287)</f>
        <v>2.4236615089689169</v>
      </c>
      <c r="BJ287" s="165">
        <f ca="1">IF(BF287="","",(INDEX(OFFSET(Arb!$U$2,,,Arb!$AJ$5,),BF287)+INDEX(OFFSET(Arb!$V$2,,,Arb!$AJ$5,),BF287))/BG287)</f>
        <v>2.7659865808571817</v>
      </c>
      <c r="BK287" s="51">
        <f t="shared" ca="1" si="92"/>
        <v>42.845581995937387</v>
      </c>
      <c r="BL287" s="91">
        <f ca="1">IF(BF287="","",DATE(INDEX(OFFSET(Arb!$C$2,,,Arb!$AJ$5,),BF287),INDEX(OFFSET(Arb!$B$2,,,Arb!$AJ$5,),BF287),INDEX(OFFSET(Arb!$A$2,,,Arb!$AJ$5,),BF287))+ROW()*0.001)</f>
        <v>43930.286999999997</v>
      </c>
      <c r="BM287" s="442">
        <v>145</v>
      </c>
      <c r="BO287" s="52" t="str">
        <f ca="1">IF(BN287="","",INDEX(OFFSET(Arb!$H$2,,,Arb!$AJ$5,),BN287))</f>
        <v/>
      </c>
      <c r="BP287" s="3" t="str">
        <f t="shared" ca="1" si="83"/>
        <v/>
      </c>
      <c r="BQ287" s="165" t="str">
        <f ca="1">IF(BN287="","",INDEX(OFFSET(Arb!$X$2,,,Arb!$AJ$5,),BN287)/BO287)</f>
        <v/>
      </c>
      <c r="BR287" s="165" t="str">
        <f ca="1">IF(BN287="","",(INDEX(OFFSET(Arb!$U$2,,,Arb!$AJ$5,),BN287)+INDEX(OFFSET(Arb!$V$2,,,Arb!$AJ$5,),BN287))/BO287)</f>
        <v/>
      </c>
      <c r="BS287" s="51" t="str">
        <f t="shared" ca="1" si="93"/>
        <v/>
      </c>
      <c r="BT287" s="88" t="str">
        <f ca="1">IF(BN287="","",DATE(INDEX(OFFSET(Arb!$C$2,,,Arb!$AJ$5,),BN287),INDEX(OFFSET(Arb!$B$2,,,Arb!$AJ$5,),BN287),INDEX(OFFSET(Arb!$A$2,,,Arb!$AJ$5,),BN287))+ROW()*0.001)</f>
        <v/>
      </c>
      <c r="BU287" s="436">
        <v>145</v>
      </c>
      <c r="BW287" s="52" t="str">
        <f ca="1">IF(BV287="","",INDEX(OFFSET(Arb!$H$2,,,Arb!$AJ$5,),BV287))</f>
        <v/>
      </c>
      <c r="BX287" s="3" t="str">
        <f t="shared" ca="1" si="84"/>
        <v/>
      </c>
      <c r="BY287" s="165" t="str">
        <f ca="1">IF(BV287="","",INDEX(OFFSET(Arb!$X$2,,,Arb!$AJ$5,),BV287)/BW287)</f>
        <v/>
      </c>
      <c r="BZ287" s="165" t="str">
        <f ca="1">IF(BV287="","",(INDEX(OFFSET(Arb!$U$2,,,Arb!$AJ$5,),BV287)+INDEX(OFFSET(Arb!$V$2,,,Arb!$AJ$5,),BV287))/BW287)</f>
        <v/>
      </c>
      <c r="CA287" s="51" t="str">
        <f t="shared" ca="1" si="94"/>
        <v/>
      </c>
      <c r="CB287" s="91" t="str">
        <f ca="1">IF(BV287="","",DATE(INDEX(OFFSET(Arb!$C$2,,,Arb!$AJ$5,),BV287),INDEX(OFFSET(Arb!$B$2,,,Arb!$AJ$5,),BV287),INDEX(OFFSET(Arb!$A$2,,,Arb!$AJ$5,),BV287))+ROW()*0.001)</f>
        <v/>
      </c>
    </row>
    <row r="288" spans="1:80" x14ac:dyDescent="0.25">
      <c r="A288" s="433">
        <v>146</v>
      </c>
      <c r="B288" s="1">
        <v>3241</v>
      </c>
      <c r="C288" s="52">
        <f ca="1">IF(B288="","",INDEX(OFFSET(Arb!$H$2,,,Arb!$AJ$5,),B288))</f>
        <v>59.17</v>
      </c>
      <c r="D288" s="3">
        <f t="shared" ca="1" si="75"/>
        <v>2.467466621598783</v>
      </c>
      <c r="E288" s="165">
        <f ca="1">IF(B288="","",INDEX(OFFSET(Arb!$X$2,,,Arb!$AJ$5,),B288)/C288)</f>
        <v>3.0927835051546393</v>
      </c>
      <c r="F288" s="165">
        <f ca="1">IF(B288="","",(INDEX(OFFSET(Arb!$U$2,,,Arb!$AJ$5,),B288)+INDEX(OFFSET(Arb!$V$2,,,Arb!$AJ$5,),B288))/C288)</f>
        <v>3.5152949129626498</v>
      </c>
      <c r="G288" s="51">
        <f t="shared" ca="1" si="85"/>
        <v>61.697908674639912</v>
      </c>
      <c r="H288" s="355">
        <f ca="1">IF(B288="","",DATE(INDEX(OFFSET(Arb!$C$2,,,Arb!$AJ$5,),B288),INDEX(OFFSET(Arb!$B$2,,,Arb!$AJ$5,),B288),INDEX(OFFSET(Arb!$A$2,,,Arb!$AJ$5,),B288))+ROW()*0.001)</f>
        <v>44064.288</v>
      </c>
      <c r="I288" s="436">
        <v>146</v>
      </c>
      <c r="J288" s="1">
        <v>2978</v>
      </c>
      <c r="K288" s="52">
        <f ca="1">IF(J288="","",INDEX(OFFSET(Arb!$H$2,,,Arb!$AJ$5,),J288))</f>
        <v>64.33</v>
      </c>
      <c r="L288" s="3">
        <f t="shared" ca="1" si="76"/>
        <v>2.2695476449556971</v>
      </c>
      <c r="M288" s="165">
        <f ca="1">IF(J288="","",INDEX(OFFSET(Arb!$X$2,,,Arb!$AJ$5,),J288)/K288)</f>
        <v>3.0157002953520911</v>
      </c>
      <c r="N288" s="165">
        <f ca="1">IF(J288="","",(INDEX(OFFSET(Arb!$U$2,,,Arb!$AJ$5,),J288)+INDEX(OFFSET(Arb!$V$2,,,Arb!$AJ$5,),J288))/K288)</f>
        <v>3.3576869267837712</v>
      </c>
      <c r="O288" s="51">
        <f t="shared" ca="1" si="86"/>
        <v>53.522953882747565</v>
      </c>
      <c r="P288" s="91">
        <f ca="1">IF(J288="","",DATE(INDEX(OFFSET(Arb!$C$2,,,Arb!$AJ$5,),J288),INDEX(OFFSET(Arb!$B$2,,,Arb!$AJ$5,),J288),INDEX(OFFSET(Arb!$A$2,,,Arb!$AJ$5,),J288))+ROW()*0.001)</f>
        <v>43955.288</v>
      </c>
      <c r="Q288" s="442">
        <v>146</v>
      </c>
      <c r="R288" s="1">
        <v>3304</v>
      </c>
      <c r="S288" s="52">
        <f ca="1">IF(R288="","",INDEX(OFFSET(Arb!$H$2,,,Arb!$AJ$5,),R288))</f>
        <v>65.09</v>
      </c>
      <c r="T288" s="3">
        <f t="shared" ca="1" si="77"/>
        <v>2.2430480872637886</v>
      </c>
      <c r="U288" s="165">
        <f ca="1">IF(R288="","",INDEX(OFFSET(Arb!$X$2,,,Arb!$AJ$5,),R288)/S288)</f>
        <v>2.9804885543094177</v>
      </c>
      <c r="V288" s="165">
        <f ca="1">IF(R288="","",(INDEX(OFFSET(Arb!$U$2,,,Arb!$AJ$5,),R288)+INDEX(OFFSET(Arb!$V$2,,,Arb!$AJ$5,),R288))/S288)</f>
        <v>3.3338454447687815</v>
      </c>
      <c r="W288" s="51">
        <f t="shared" ca="1" si="87"/>
        <v>52.464900009243571</v>
      </c>
      <c r="X288" s="88">
        <f ca="1">IF(R288="","",DATE(INDEX(OFFSET(Arb!$C$2,,,Arb!$AJ$5,),R288),INDEX(OFFSET(Arb!$B$2,,,Arb!$AJ$5,),R288),INDEX(OFFSET(Arb!$A$2,,,Arb!$AJ$5,),R288))+ROW()*0.001)</f>
        <v>44090.288</v>
      </c>
      <c r="Y288" s="436">
        <v>146</v>
      </c>
      <c r="Z288" s="1">
        <v>2657</v>
      </c>
      <c r="AA288" s="52">
        <f ca="1">IF(Z288="","",INDEX(OFFSET(Arb!$H$2,,,Arb!$AJ$5,),Z288))</f>
        <v>65.28</v>
      </c>
      <c r="AB288" s="3">
        <f t="shared" ca="1" si="78"/>
        <v>2.2365196078431371</v>
      </c>
      <c r="AC288" s="165">
        <f ca="1">IF(Z288="","",INDEX(OFFSET(Arb!$X$2,,,Arb!$AJ$5,),Z288)/AA288)</f>
        <v>2.7573529411764706</v>
      </c>
      <c r="AD288" s="165">
        <f ca="1">IF(Z288="","",(INDEX(OFFSET(Arb!$U$2,,,Arb!$AJ$5,),Z288)+INDEX(OFFSET(Arb!$V$2,,,Arb!$AJ$5,),Z288))/AA288)</f>
        <v>3.201593137254902</v>
      </c>
      <c r="AE288" s="51">
        <f t="shared" ca="1" si="88"/>
        <v>52.205572576508935</v>
      </c>
      <c r="AF288" s="91">
        <f ca="1">IF(Z288="","",DATE(INDEX(OFFSET(Arb!$C$2,,,Arb!$AJ$5,),Z288),INDEX(OFFSET(Arb!$B$2,,,Arb!$AJ$5,),Z288),INDEX(OFFSET(Arb!$A$2,,,Arb!$AJ$5,),Z288))+ROW()*0.001)</f>
        <v>43820.288</v>
      </c>
      <c r="AG288" s="442">
        <v>146</v>
      </c>
      <c r="AH288" s="1">
        <v>2691</v>
      </c>
      <c r="AI288" s="52">
        <f ca="1">IF(AH288="","",INDEX(OFFSET(Arb!$H$2,,,Arb!$AJ$5,),AH288))</f>
        <v>66.03</v>
      </c>
      <c r="AJ288" s="3">
        <f t="shared" ca="1" si="79"/>
        <v>2.2111161593215205</v>
      </c>
      <c r="AK288" s="165">
        <f ca="1">IF(AH288="","",INDEX(OFFSET(Arb!$X$2,,,Arb!$AJ$5,),AH288)/AI288)</f>
        <v>2.862335302135393</v>
      </c>
      <c r="AL288" s="165">
        <f ca="1">IF(AH288="","",(INDEX(OFFSET(Arb!$U$2,,,Arb!$AJ$5,),AH288)+INDEX(OFFSET(Arb!$V$2,,,Arb!$AJ$5,),AH288))/AI288)</f>
        <v>3.195517189156444</v>
      </c>
      <c r="AM288" s="51">
        <f t="shared" ca="1" si="89"/>
        <v>51.20152611290581</v>
      </c>
      <c r="AN288" s="88">
        <f ca="1">IF(AH288="","",DATE(INDEX(OFFSET(Arb!$C$2,,,Arb!$AJ$5,),AH288),INDEX(OFFSET(Arb!$B$2,,,Arb!$AJ$5,),AH288),INDEX(OFFSET(Arb!$A$2,,,Arb!$AJ$5,),AH288))+ROW()*0.001)</f>
        <v>43839.288</v>
      </c>
      <c r="AO288" s="436">
        <v>146</v>
      </c>
      <c r="AP288" s="1">
        <v>2939</v>
      </c>
      <c r="AQ288" s="52">
        <f ca="1">IF(AP288="","",INDEX(OFFSET(Arb!$H$2,,,Arb!$AJ$5,),AP288))</f>
        <v>67.55</v>
      </c>
      <c r="AR288" s="3">
        <f t="shared" ca="1" si="80"/>
        <v>2.161361954108068</v>
      </c>
      <c r="AS288" s="165">
        <f ca="1">IF(AP288="","",INDEX(OFFSET(Arb!$X$2,,,Arb!$AJ$5,),AP288)/AQ288)</f>
        <v>2.7979274611398965</v>
      </c>
      <c r="AT288" s="165">
        <f ca="1">IF(AP288="","",(INDEX(OFFSET(Arb!$U$2,,,Arb!$AJ$5,),AP288)+INDEX(OFFSET(Arb!$V$2,,,Arb!$AJ$5,),AP288))/AQ288)</f>
        <v>3.2568467801628427</v>
      </c>
      <c r="AU288" s="51">
        <f t="shared" ca="1" si="90"/>
        <v>49.25836703156557</v>
      </c>
      <c r="AV288" s="91">
        <f ca="1">IF(AP288="","",DATE(INDEX(OFFSET(Arb!$C$2,,,Arb!$AJ$5,),AP288),INDEX(OFFSET(Arb!$B$2,,,Arb!$AJ$5,),AP288),INDEX(OFFSET(Arb!$A$2,,,Arb!$AJ$5,),AP288))+ROW()*0.001)</f>
        <v>43940.288</v>
      </c>
      <c r="AW288" s="442">
        <v>146</v>
      </c>
      <c r="AX288" s="1">
        <v>2703</v>
      </c>
      <c r="AY288" s="52">
        <f ca="1">IF(AX288="","",INDEX(OFFSET(Arb!$H$2,,,Arb!$AJ$5,),AX288))</f>
        <v>68.959999999999994</v>
      </c>
      <c r="AZ288" s="3">
        <f t="shared" ca="1" si="81"/>
        <v>2.117169373549884</v>
      </c>
      <c r="BA288" s="165">
        <f ca="1">IF(AX288="","",INDEX(OFFSET(Arb!$X$2,,,Arb!$AJ$5,),AX288)/AY288)</f>
        <v>2.653712296983759</v>
      </c>
      <c r="BB288" s="165">
        <f ca="1">IF(AX288="","",(INDEX(OFFSET(Arb!$U$2,,,Arb!$AJ$5,),AX288)+INDEX(OFFSET(Arb!$V$2,,,Arb!$AJ$5,),AX288))/AY288)</f>
        <v>3.0017401392111371</v>
      </c>
      <c r="BC288" s="51">
        <f t="shared" ca="1" si="91"/>
        <v>47.558459795202104</v>
      </c>
      <c r="BD288" s="88">
        <f ca="1">IF(AX288="","",DATE(INDEX(OFFSET(Arb!$C$2,,,Arb!$AJ$5,),AX288),INDEX(OFFSET(Arb!$B$2,,,Arb!$AJ$5,),AX288),INDEX(OFFSET(Arb!$A$2,,,Arb!$AJ$5,),AX288))+ROW()*0.001)</f>
        <v>43841.288</v>
      </c>
      <c r="BE288" s="436">
        <v>146</v>
      </c>
      <c r="BF288" s="1">
        <v>3287</v>
      </c>
      <c r="BG288" s="52">
        <f ca="1">IF(BF288="","",INDEX(OFFSET(Arb!$H$2,,,Arb!$AJ$5,),BF288))</f>
        <v>70.989999999999995</v>
      </c>
      <c r="BH288" s="3">
        <f t="shared" ca="1" si="82"/>
        <v>2.0566276940414143</v>
      </c>
      <c r="BI288" s="165">
        <f ca="1">IF(BF288="","",INDEX(OFFSET(Arb!$X$2,,,Arb!$AJ$5,),BF288)/BG288)</f>
        <v>2.7609522467953234</v>
      </c>
      <c r="BJ288" s="165">
        <f ca="1">IF(BF288="","",(INDEX(OFFSET(Arb!$U$2,,,Arb!$AJ$5,),BF288)+INDEX(OFFSET(Arb!$V$2,,,Arb!$AJ$5,),BF288))/BG288)</f>
        <v>3.2680659247781381</v>
      </c>
      <c r="BK288" s="51">
        <f t="shared" ca="1" si="92"/>
        <v>45.269730766977119</v>
      </c>
      <c r="BL288" s="91">
        <f ca="1">IF(BF288="","",DATE(INDEX(OFFSET(Arb!$C$2,,,Arb!$AJ$5,),BF288),INDEX(OFFSET(Arb!$B$2,,,Arb!$AJ$5,),BF288),INDEX(OFFSET(Arb!$A$2,,,Arb!$AJ$5,),BF288))+ROW()*0.001)</f>
        <v>44084.288</v>
      </c>
      <c r="BM288" s="442">
        <v>146</v>
      </c>
      <c r="BN288" s="1">
        <v>2918</v>
      </c>
      <c r="BO288" s="52">
        <f ca="1">IF(BN288="","",INDEX(OFFSET(Arb!$H$2,,,Arb!$AJ$5,),BN288))</f>
        <v>73.17</v>
      </c>
      <c r="BP288" s="3">
        <f t="shared" ca="1" si="83"/>
        <v>1.9953532868662021</v>
      </c>
      <c r="BQ288" s="165">
        <f ca="1">IF(BN288="","",INDEX(OFFSET(Arb!$X$2,,,Arb!$AJ$5,),BN288)/BO288)</f>
        <v>2.4600246002460024</v>
      </c>
      <c r="BR288" s="165">
        <f ca="1">IF(BN288="","",(INDEX(OFFSET(Arb!$U$2,,,Arb!$AJ$5,),BN288)+INDEX(OFFSET(Arb!$V$2,,,Arb!$AJ$5,),BN288))/BO288)</f>
        <v>2.8290282902829027</v>
      </c>
      <c r="BS288" s="51">
        <f t="shared" ca="1" si="93"/>
        <v>43.000837838579066</v>
      </c>
      <c r="BT288" s="88">
        <f ca="1">IF(BN288="","",DATE(INDEX(OFFSET(Arb!$C$2,,,Arb!$AJ$5,),BN288),INDEX(OFFSET(Arb!$B$2,,,Arb!$AJ$5,),BN288),INDEX(OFFSET(Arb!$A$2,,,Arb!$AJ$5,),BN288))+ROW()*0.001)</f>
        <v>43934.288</v>
      </c>
      <c r="BU288" s="436">
        <v>146</v>
      </c>
      <c r="BV288" s="1">
        <v>2626</v>
      </c>
      <c r="BW288" s="52">
        <f ca="1">IF(BV288="","",INDEX(OFFSET(Arb!$H$2,,,Arb!$AJ$5,),BV288))</f>
        <v>73.239999999999995</v>
      </c>
      <c r="BX288" s="3">
        <f t="shared" ca="1" si="84"/>
        <v>1.9934462042599674</v>
      </c>
      <c r="BY288" s="165">
        <f ca="1">IF(BV288="","",INDEX(OFFSET(Arb!$X$2,,,Arb!$AJ$5,),BV288)/BW288)</f>
        <v>2.4303659202621519</v>
      </c>
      <c r="BZ288" s="165">
        <f ca="1">IF(BV288="","",(INDEX(OFFSET(Arb!$U$2,,,Arb!$AJ$5,),BV288)+INDEX(OFFSET(Arb!$V$2,,,Arb!$AJ$5,),BV288))/BW288)</f>
        <v>2.7307482250136541</v>
      </c>
      <c r="CA288" s="51">
        <f t="shared" ca="1" si="94"/>
        <v>42.930993658021379</v>
      </c>
      <c r="CB288" s="91">
        <f ca="1">IF(BV288="","",DATE(INDEX(OFFSET(Arb!$C$2,,,Arb!$AJ$5,),BV288),INDEX(OFFSET(Arb!$B$2,,,Arb!$AJ$5,),BV288),INDEX(OFFSET(Arb!$A$2,,,Arb!$AJ$5,),BV288))+ROW()*0.001)</f>
        <v>43814.288</v>
      </c>
    </row>
    <row r="289" spans="1:80" x14ac:dyDescent="0.25">
      <c r="A289" s="433">
        <v>147</v>
      </c>
      <c r="B289" s="1">
        <v>3225</v>
      </c>
      <c r="C289" s="52">
        <f ca="1">IF(B289="","",INDEX(OFFSET(Arb!$H$2,,,Arb!$AJ$5,),B289))</f>
        <v>60.28</v>
      </c>
      <c r="D289" s="3">
        <f t="shared" ca="1" si="75"/>
        <v>2.4386197743861975</v>
      </c>
      <c r="E289" s="165">
        <f ca="1">IF(B289="","",INDEX(OFFSET(Arb!$X$2,,,Arb!$AJ$5,),B289)/C289)</f>
        <v>3.0524220305242205</v>
      </c>
      <c r="F289" s="165">
        <f ca="1">IF(B289="","",(INDEX(OFFSET(Arb!$U$2,,,Arb!$AJ$5,),B289)+INDEX(OFFSET(Arb!$V$2,,,Arb!$AJ$5,),B289))/C289)</f>
        <v>3.2680822826808229</v>
      </c>
      <c r="G289" s="51">
        <f t="shared" ca="1" si="85"/>
        <v>60.18843843684688</v>
      </c>
      <c r="H289" s="355">
        <f ca="1">IF(B289="","",DATE(INDEX(OFFSET(Arb!$C$2,,,Arb!$AJ$5,),B289),INDEX(OFFSET(Arb!$B$2,,,Arb!$AJ$5,),B289),INDEX(OFFSET(Arb!$A$2,,,Arb!$AJ$5,),B289))+ROW()*0.001)</f>
        <v>44061.288999999997</v>
      </c>
      <c r="I289" s="436">
        <v>147</v>
      </c>
      <c r="J289" s="1">
        <v>2908</v>
      </c>
      <c r="K289" s="52">
        <f ca="1">IF(J289="","",INDEX(OFFSET(Arb!$H$2,,,Arb!$AJ$5,),J289))</f>
        <v>63.94</v>
      </c>
      <c r="L289" s="3">
        <f t="shared" ca="1" si="76"/>
        <v>2.2990303409446358</v>
      </c>
      <c r="M289" s="165">
        <f ca="1">IF(J289="","",INDEX(OFFSET(Arb!$X$2,,,Arb!$AJ$5,),J289)/K289)</f>
        <v>2.9402564904598063</v>
      </c>
      <c r="N289" s="165">
        <f ca="1">IF(J289="","",(INDEX(OFFSET(Arb!$U$2,,,Arb!$AJ$5,),J289)+INDEX(OFFSET(Arb!$V$2,,,Arb!$AJ$5,),J289))/K289)</f>
        <v>3.2999687206756336</v>
      </c>
      <c r="O289" s="51">
        <f t="shared" ca="1" si="86"/>
        <v>54.449527548247843</v>
      </c>
      <c r="P289" s="91">
        <f ca="1">IF(J289="","",DATE(INDEX(OFFSET(Arb!$C$2,,,Arb!$AJ$5,),J289),INDEX(OFFSET(Arb!$B$2,,,Arb!$AJ$5,),J289),INDEX(OFFSET(Arb!$A$2,,,Arb!$AJ$5,),J289))+ROW()*0.001)</f>
        <v>43929.288999999997</v>
      </c>
      <c r="Q289" s="442">
        <v>147</v>
      </c>
      <c r="R289" s="1">
        <v>3191</v>
      </c>
      <c r="S289" s="52">
        <f ca="1">IF(R289="","",INDEX(OFFSET(Arb!$H$2,,,Arb!$AJ$5,),R289))</f>
        <v>66.569999999999993</v>
      </c>
      <c r="T289" s="3">
        <f t="shared" ca="1" si="77"/>
        <v>2.2082018927444795</v>
      </c>
      <c r="U289" s="165">
        <f ca="1">IF(R289="","",INDEX(OFFSET(Arb!$X$2,,,Arb!$AJ$5,),R289)/S289)</f>
        <v>2.7339642481598321</v>
      </c>
      <c r="V289" s="165">
        <f ca="1">IF(R289="","",(INDEX(OFFSET(Arb!$U$2,,,Arb!$AJ$5,),R289)+INDEX(OFFSET(Arb!$V$2,,,Arb!$AJ$5,),R289))/S289)</f>
        <v>3.0193780982424521</v>
      </c>
      <c r="W289" s="51">
        <f t="shared" ca="1" si="87"/>
        <v>50.843336578672591</v>
      </c>
      <c r="X289" s="88">
        <f ca="1">IF(R289="","",DATE(INDEX(OFFSET(Arb!$C$2,,,Arb!$AJ$5,),R289),INDEX(OFFSET(Arb!$B$2,,,Arb!$AJ$5,),R289),INDEX(OFFSET(Arb!$A$2,,,Arb!$AJ$5,),R289))+ROW()*0.001)</f>
        <v>44057.288999999997</v>
      </c>
      <c r="Y289" s="436">
        <v>147</v>
      </c>
      <c r="Z289" s="1">
        <v>2856</v>
      </c>
      <c r="AA289" s="52">
        <f ca="1">IF(Z289="","",INDEX(OFFSET(Arb!$H$2,,,Arb!$AJ$5,),Z289))</f>
        <v>66.569999999999993</v>
      </c>
      <c r="AB289" s="3">
        <f t="shared" ca="1" si="78"/>
        <v>2.2082018927444795</v>
      </c>
      <c r="AC289" s="165">
        <f ca="1">IF(Z289="","",INDEX(OFFSET(Arb!$X$2,,,Arb!$AJ$5,),Z289)/AA289)</f>
        <v>2.6288117770767614</v>
      </c>
      <c r="AD289" s="165">
        <f ca="1">IF(Z289="","",(INDEX(OFFSET(Arb!$U$2,,,Arb!$AJ$5,),Z289)+INDEX(OFFSET(Arb!$V$2,,,Arb!$AJ$5,),Z289))/AA289)</f>
        <v>2.9292474087426772</v>
      </c>
      <c r="AE289" s="51">
        <f t="shared" ca="1" si="88"/>
        <v>50.843336578672591</v>
      </c>
      <c r="AF289" s="91">
        <f ca="1">IF(Z289="","",DATE(INDEX(OFFSET(Arb!$C$2,,,Arb!$AJ$5,),Z289),INDEX(OFFSET(Arb!$B$2,,,Arb!$AJ$5,),Z289),INDEX(OFFSET(Arb!$A$2,,,Arb!$AJ$5,),Z289))+ROW()*0.001)</f>
        <v>43906.288999999997</v>
      </c>
      <c r="AG289" s="442">
        <v>147</v>
      </c>
      <c r="AH289" s="1">
        <v>2800</v>
      </c>
      <c r="AI289" s="52">
        <f ca="1">IF(AH289="","",INDEX(OFFSET(Arb!$H$2,,,Arb!$AJ$5,),AH289))</f>
        <v>71.650000000000006</v>
      </c>
      <c r="AJ289" s="3">
        <f t="shared" ca="1" si="79"/>
        <v>2.0516399162595951</v>
      </c>
      <c r="AK289" s="165">
        <f ca="1">IF(AH289="","",INDEX(OFFSET(Arb!$X$2,,,Arb!$AJ$5,),AH289)/AI289)</f>
        <v>2.5680390788555476</v>
      </c>
      <c r="AL289" s="165">
        <f ca="1">IF(AH289="","",(INDEX(OFFSET(Arb!$U$2,,,Arb!$AJ$5,),AH289)+INDEX(OFFSET(Arb!$V$2,,,Arb!$AJ$5,),AH289))/AI289)</f>
        <v>2.8890439637124912</v>
      </c>
      <c r="AM289" s="51">
        <f t="shared" ca="1" si="89"/>
        <v>44.868345873771261</v>
      </c>
      <c r="AN289" s="88">
        <f ca="1">IF(AH289="","",DATE(INDEX(OFFSET(Arb!$C$2,,,Arb!$AJ$5,),AH289),INDEX(OFFSET(Arb!$B$2,,,Arb!$AJ$5,),AH289),INDEX(OFFSET(Arb!$A$2,,,Arb!$AJ$5,),AH289))+ROW()*0.001)</f>
        <v>43896.288999999997</v>
      </c>
      <c r="AO289" s="436">
        <v>147</v>
      </c>
      <c r="AP289" s="1">
        <v>2946</v>
      </c>
      <c r="AQ289" s="52">
        <f ca="1">IF(AP289="","",INDEX(OFFSET(Arb!$H$2,,,Arb!$AJ$5,),AP289))</f>
        <v>71.77</v>
      </c>
      <c r="AR289" s="3">
        <f t="shared" ca="1" si="80"/>
        <v>2.0482095583112723</v>
      </c>
      <c r="AS289" s="165">
        <f ca="1">IF(AP289="","",INDEX(OFFSET(Arb!$X$2,,,Arb!$AJ$5,),AP289)/AQ289)</f>
        <v>2.5358785007663371</v>
      </c>
      <c r="AT289" s="165">
        <f ca="1">IF(AP289="","",(INDEX(OFFSET(Arb!$U$2,,,Arb!$AJ$5,),AP289)+INDEX(OFFSET(Arb!$V$2,,,Arb!$AJ$5,),AP289))/AQ289)</f>
        <v>2.8424132645952351</v>
      </c>
      <c r="AU289" s="51">
        <f t="shared" ca="1" si="90"/>
        <v>44.740886138253053</v>
      </c>
      <c r="AV289" s="91">
        <f ca="1">IF(AP289="","",DATE(INDEX(OFFSET(Arb!$C$2,,,Arb!$AJ$5,),AP289),INDEX(OFFSET(Arb!$B$2,,,Arb!$AJ$5,),AP289),INDEX(OFFSET(Arb!$A$2,,,Arb!$AJ$5,),AP289))+ROW()*0.001)</f>
        <v>43946.288999999997</v>
      </c>
      <c r="AW289" s="442">
        <v>147</v>
      </c>
      <c r="AX289" s="1">
        <v>2663</v>
      </c>
      <c r="AY289" s="52">
        <f ca="1">IF(AX289="","",INDEX(OFFSET(Arb!$H$2,,,Arb!$AJ$5,),AX289))</f>
        <v>75.06</v>
      </c>
      <c r="AZ289" s="3">
        <f t="shared" ca="1" si="81"/>
        <v>1.9584332533972821</v>
      </c>
      <c r="BA289" s="165">
        <f ca="1">IF(AX289="","",INDEX(OFFSET(Arb!$X$2,,,Arb!$AJ$5,),AX289)/AY289)</f>
        <v>2.4646949107380762</v>
      </c>
      <c r="BB289" s="165">
        <f ca="1">IF(AX289="","",(INDEX(OFFSET(Arb!$U$2,,,Arb!$AJ$5,),AX289)+INDEX(OFFSET(Arb!$V$2,,,Arb!$AJ$5,),AX289))/AY289)</f>
        <v>2.7844391153743673</v>
      </c>
      <c r="BC289" s="51">
        <f t="shared" ca="1" si="91"/>
        <v>41.458447783491451</v>
      </c>
      <c r="BD289" s="88">
        <f ca="1">IF(AX289="","",DATE(INDEX(OFFSET(Arb!$C$2,,,Arb!$AJ$5,),AX289),INDEX(OFFSET(Arb!$B$2,,,Arb!$AJ$5,),AX289),INDEX(OFFSET(Arb!$A$2,,,Arb!$AJ$5,),AX289))+ROW()*0.001)</f>
        <v>43822.288999999997</v>
      </c>
      <c r="BE289" s="436">
        <v>147</v>
      </c>
      <c r="BF289" s="1">
        <v>3020</v>
      </c>
      <c r="BG289" s="52">
        <f ca="1">IF(BF289="","",INDEX(OFFSET(Arb!$H$2,,,Arb!$AJ$5,),BF289))</f>
        <v>76.02</v>
      </c>
      <c r="BH289" s="3">
        <f t="shared" ca="1" si="82"/>
        <v>1.9337016574585637</v>
      </c>
      <c r="BI289" s="165">
        <f ca="1">IF(BF289="","",INDEX(OFFSET(Arb!$X$2,,,Arb!$AJ$5,),BF289)/BG289)</f>
        <v>2.3941068139963169</v>
      </c>
      <c r="BJ289" s="165">
        <f ca="1">IF(BF289="","",(INDEX(OFFSET(Arb!$U$2,,,Arb!$AJ$5,),BF289)+INDEX(OFFSET(Arb!$V$2,,,Arb!$AJ$5,),BF289))/BG289)</f>
        <v>2.722967640094712</v>
      </c>
      <c r="BK289" s="51">
        <f t="shared" ca="1" si="92"/>
        <v>40.572355215408678</v>
      </c>
      <c r="BL289" s="91">
        <f ca="1">IF(BF289="","",DATE(INDEX(OFFSET(Arb!$C$2,,,Arb!$AJ$5,),BF289),INDEX(OFFSET(Arb!$B$2,,,Arb!$AJ$5,),BF289),INDEX(OFFSET(Arb!$A$2,,,Arb!$AJ$5,),BF289))+ROW()*0.001)</f>
        <v>43962.288999999997</v>
      </c>
      <c r="BM289" s="442">
        <v>147</v>
      </c>
      <c r="BN289" s="1">
        <v>3337</v>
      </c>
      <c r="BO289" s="52">
        <f ca="1">IF(BN289="","",INDEX(OFFSET(Arb!$H$2,,,Arb!$AJ$5,),BN289))</f>
        <v>78.67</v>
      </c>
      <c r="BP289" s="3">
        <f t="shared" ca="1" si="83"/>
        <v>1.8685648913181645</v>
      </c>
      <c r="BQ289" s="165">
        <f ca="1">IF(BN289="","",INDEX(OFFSET(Arb!$X$2,,,Arb!$AJ$5,),BN289)/BO289)</f>
        <v>2.4024405745519255</v>
      </c>
      <c r="BR289" s="165">
        <f ca="1">IF(BN289="","",(INDEX(OFFSET(Arb!$U$2,,,Arb!$AJ$5,),BN289)+INDEX(OFFSET(Arb!$V$2,,,Arb!$AJ$5,),BN289))/BO289)</f>
        <v>2.7456463709164867</v>
      </c>
      <c r="BS289" s="51">
        <f t="shared" ca="1" si="93"/>
        <v>38.276483758814116</v>
      </c>
      <c r="BT289" s="88">
        <f ca="1">IF(BN289="","",DATE(INDEX(OFFSET(Arb!$C$2,,,Arb!$AJ$5,),BN289),INDEX(OFFSET(Arb!$B$2,,,Arb!$AJ$5,),BN289),INDEX(OFFSET(Arb!$A$2,,,Arb!$AJ$5,),BN289))+ROW()*0.001)</f>
        <v>44096.288999999997</v>
      </c>
      <c r="BU289" s="436">
        <v>147</v>
      </c>
      <c r="BV289" s="1">
        <v>2621</v>
      </c>
      <c r="BW289" s="52">
        <f ca="1">IF(BV289="","",INDEX(OFFSET(Arb!$H$2,,,Arb!$AJ$5,),BV289))</f>
        <v>81.56</v>
      </c>
      <c r="BX289" s="3">
        <f t="shared" ca="1" si="84"/>
        <v>1.8023540951446788</v>
      </c>
      <c r="BY289" s="165">
        <f ca="1">IF(BV289="","",INDEX(OFFSET(Arb!$X$2,,,Arb!$AJ$5,),BV289)/BW289)</f>
        <v>2.2314860225600786</v>
      </c>
      <c r="BZ289" s="165">
        <f ca="1">IF(BV289="","",(INDEX(OFFSET(Arb!$U$2,,,Arb!$AJ$5,),BV289)+INDEX(OFFSET(Arb!$V$2,,,Arb!$AJ$5,),BV289))/BW289)</f>
        <v>2.501226091221187</v>
      </c>
      <c r="CA289" s="51">
        <f t="shared" ca="1" si="94"/>
        <v>35.999487743754536</v>
      </c>
      <c r="CB289" s="91">
        <f ca="1">IF(BV289="","",DATE(INDEX(OFFSET(Arb!$C$2,,,Arb!$AJ$5,),BV289),INDEX(OFFSET(Arb!$B$2,,,Arb!$AJ$5,),BV289),INDEX(OFFSET(Arb!$A$2,,,Arb!$AJ$5,),BV289))+ROW()*0.001)</f>
        <v>43813.288999999997</v>
      </c>
    </row>
    <row r="290" spans="1:80" x14ac:dyDescent="0.25">
      <c r="A290" s="433">
        <v>148</v>
      </c>
      <c r="B290" s="1">
        <v>2773</v>
      </c>
      <c r="C290" s="52">
        <f ca="1">IF(B290="","",INDEX(OFFSET(Arb!$H$2,,,Arb!$AJ$5,),B290))</f>
        <v>65.489999999999995</v>
      </c>
      <c r="D290" s="3">
        <f t="shared" ca="1" si="75"/>
        <v>2.2598870056497176</v>
      </c>
      <c r="E290" s="165">
        <f ca="1">IF(B290="","",INDEX(OFFSET(Arb!$X$2,,,Arb!$AJ$5,),B290)/C290)</f>
        <v>2.6874331959077722</v>
      </c>
      <c r="F290" s="165">
        <f ca="1">IF(B290="","",(INDEX(OFFSET(Arb!$U$2,,,Arb!$AJ$5,),B290)+INDEX(OFFSET(Arb!$V$2,,,Arb!$AJ$5,),B290))/C290)</f>
        <v>3.0386318521911746</v>
      </c>
      <c r="G290" s="51">
        <f t="shared" ca="1" si="85"/>
        <v>52.632559124605919</v>
      </c>
      <c r="H290" s="355">
        <f ca="1">IF(B290="","",DATE(INDEX(OFFSET(Arb!$C$2,,,Arb!$AJ$5,),B290),INDEX(OFFSET(Arb!$B$2,,,Arb!$AJ$5,),B290),INDEX(OFFSET(Arb!$A$2,,,Arb!$AJ$5,),B290))+ROW()*0.001)</f>
        <v>43889.29</v>
      </c>
      <c r="I290" s="436">
        <v>148</v>
      </c>
      <c r="J290" s="1">
        <v>3062</v>
      </c>
      <c r="K290" s="52">
        <f ca="1">IF(J290="","",INDEX(OFFSET(Arb!$H$2,,,Arb!$AJ$5,),J290))</f>
        <v>65.5</v>
      </c>
      <c r="L290" s="3">
        <f t="shared" ca="1" si="76"/>
        <v>2.2595419847328246</v>
      </c>
      <c r="M290" s="165">
        <f ca="1">IF(J290="","",INDEX(OFFSET(Arb!$X$2,,,Arb!$AJ$5,),J290)/K290)</f>
        <v>2.8244274809160306</v>
      </c>
      <c r="N290" s="165">
        <f ca="1">IF(J290="","",(INDEX(OFFSET(Arb!$U$2,,,Arb!$AJ$5,),J290)+INDEX(OFFSET(Arb!$V$2,,,Arb!$AJ$5,),J290))/K290)</f>
        <v>3.1755725190839694</v>
      </c>
      <c r="O290" s="51">
        <f t="shared" ca="1" si="86"/>
        <v>52.618899495703054</v>
      </c>
      <c r="P290" s="91">
        <f ca="1">IF(J290="","",DATE(INDEX(OFFSET(Arb!$C$2,,,Arb!$AJ$5,),J290),INDEX(OFFSET(Arb!$B$2,,,Arb!$AJ$5,),J290),INDEX(OFFSET(Arb!$A$2,,,Arb!$AJ$5,),J290))+ROW()*0.001)</f>
        <v>43991.29</v>
      </c>
      <c r="Q290" s="442">
        <v>148</v>
      </c>
      <c r="R290" s="1">
        <v>3380</v>
      </c>
      <c r="S290" s="52">
        <f ca="1">IF(R290="","",INDEX(OFFSET(Arb!$H$2,,,Arb!$AJ$5,),R290))</f>
        <v>65.88</v>
      </c>
      <c r="T290" s="3">
        <f t="shared" ca="1" si="77"/>
        <v>2.2465088038858534</v>
      </c>
      <c r="U290" s="165">
        <f ca="1">IF(R290="","",INDEX(OFFSET(Arb!$X$2,,,Arb!$AJ$5,),R290)/S290)</f>
        <v>2.6259866423800853</v>
      </c>
      <c r="V290" s="165">
        <f ca="1">IF(R290="","",(INDEX(OFFSET(Arb!$U$2,,,Arb!$AJ$5,),R290)+INDEX(OFFSET(Arb!$V$2,,,Arb!$AJ$5,),R290))/S290)</f>
        <v>3.0661809350333944</v>
      </c>
      <c r="W290" s="51">
        <f t="shared" ca="1" si="87"/>
        <v>52.103976210912577</v>
      </c>
      <c r="X290" s="88">
        <f ca="1">IF(R290="","",DATE(INDEX(OFFSET(Arb!$C$2,,,Arb!$AJ$5,),R290),INDEX(OFFSET(Arb!$B$2,,,Arb!$AJ$5,),R290),INDEX(OFFSET(Arb!$A$2,,,Arb!$AJ$5,),R290))+ROW()*0.001)</f>
        <v>44133.29</v>
      </c>
      <c r="Y290" s="436">
        <v>148</v>
      </c>
      <c r="Z290" s="1">
        <v>2801</v>
      </c>
      <c r="AA290" s="52">
        <f ca="1">IF(Z290="","",INDEX(OFFSET(Arb!$H$2,,,Arb!$AJ$5,),Z290))</f>
        <v>67.400000000000006</v>
      </c>
      <c r="AB290" s="3">
        <f t="shared" ca="1" si="78"/>
        <v>2.1958456973293767</v>
      </c>
      <c r="AC290" s="165">
        <f ca="1">IF(Z290="","",INDEX(OFFSET(Arb!$X$2,,,Arb!$AJ$5,),Z290)/AA290)</f>
        <v>2.7448071216617209</v>
      </c>
      <c r="AD290" s="165">
        <f ca="1">IF(Z290="","",(INDEX(OFFSET(Arb!$U$2,,,Arb!$AJ$5,),Z290)+INDEX(OFFSET(Arb!$V$2,,,Arb!$AJ$5,),Z290))/AA290)</f>
        <v>3.0860534124629075</v>
      </c>
      <c r="AE290" s="51">
        <f t="shared" ca="1" si="88"/>
        <v>50.122202482168163</v>
      </c>
      <c r="AF290" s="91">
        <f ca="1">IF(Z290="","",DATE(INDEX(OFFSET(Arb!$C$2,,,Arb!$AJ$5,),Z290),INDEX(OFFSET(Arb!$B$2,,,Arb!$AJ$5,),Z290),INDEX(OFFSET(Arb!$A$2,,,Arb!$AJ$5,),Z290))+ROW()*0.001)</f>
        <v>43896.29</v>
      </c>
      <c r="AG290" s="442">
        <v>148</v>
      </c>
      <c r="AH290" s="1">
        <v>2775</v>
      </c>
      <c r="AI290" s="52">
        <f ca="1">IF(AH290="","",INDEX(OFFSET(Arb!$H$2,,,Arb!$AJ$5,),AH290))</f>
        <v>67.95</v>
      </c>
      <c r="AJ290" s="3">
        <f t="shared" ca="1" si="79"/>
        <v>2.1780721118469462</v>
      </c>
      <c r="AK290" s="165">
        <f ca="1">IF(AH290="","",INDEX(OFFSET(Arb!$X$2,,,Arb!$AJ$5,),AH290)/AI290)</f>
        <v>2.7961736571008093</v>
      </c>
      <c r="AL290" s="165">
        <f ca="1">IF(AH290="","",(INDEX(OFFSET(Arb!$U$2,,,Arb!$AJ$5,),AH290)+INDEX(OFFSET(Arb!$V$2,,,Arb!$AJ$5,),AH290))/AI290)</f>
        <v>3.0905077262693155</v>
      </c>
      <c r="AM290" s="51">
        <f t="shared" ca="1" si="89"/>
        <v>49.434470521184203</v>
      </c>
      <c r="AN290" s="88">
        <f ca="1">IF(AH290="","",DATE(INDEX(OFFSET(Arb!$C$2,,,Arb!$AJ$5,),AH290),INDEX(OFFSET(Arb!$B$2,,,Arb!$AJ$5,),AH290),INDEX(OFFSET(Arb!$A$2,,,Arb!$AJ$5,),AH290))+ROW()*0.001)</f>
        <v>43889.29</v>
      </c>
      <c r="AO290" s="436">
        <v>148</v>
      </c>
      <c r="AP290" s="1">
        <v>3163</v>
      </c>
      <c r="AQ290" s="52">
        <f ca="1">IF(AP290="","",INDEX(OFFSET(Arb!$H$2,,,Arb!$AJ$5,),AP290))</f>
        <v>69.06</v>
      </c>
      <c r="AR290" s="3">
        <f t="shared" ca="1" si="80"/>
        <v>2.1430640023168257</v>
      </c>
      <c r="AS290" s="165">
        <f ca="1">IF(AP290="","",INDEX(OFFSET(Arb!$X$2,,,Arb!$AJ$5,),AP290)/AQ290)</f>
        <v>2.8091514624963798</v>
      </c>
      <c r="AT290" s="165">
        <f ca="1">IF(AP290="","",(INDEX(OFFSET(Arb!$U$2,,,Arb!$AJ$5,),AP290)+INDEX(OFFSET(Arb!$V$2,,,Arb!$AJ$5,),AP290))/AQ290)</f>
        <v>3.1566753547639732</v>
      </c>
      <c r="AU290" s="51">
        <f t="shared" ca="1" si="90"/>
        <v>48.091330768548346</v>
      </c>
      <c r="AV290" s="91">
        <f ca="1">IF(AP290="","",DATE(INDEX(OFFSET(Arb!$C$2,,,Arb!$AJ$5,),AP290),INDEX(OFFSET(Arb!$B$2,,,Arb!$AJ$5,),AP290),INDEX(OFFSET(Arb!$A$2,,,Arb!$AJ$5,),AP290))+ROW()*0.001)</f>
        <v>44032.29</v>
      </c>
      <c r="AW290" s="442">
        <v>148</v>
      </c>
      <c r="AX290" s="1">
        <v>3377</v>
      </c>
      <c r="AY290" s="52">
        <f ca="1">IF(AX290="","",INDEX(OFFSET(Arb!$H$2,,,Arb!$AJ$5,),AX290))</f>
        <v>70.33</v>
      </c>
      <c r="AZ290" s="3">
        <f t="shared" ca="1" si="81"/>
        <v>2.1043651357884259</v>
      </c>
      <c r="BA290" s="165">
        <f ca="1">IF(AX290="","",INDEX(OFFSET(Arb!$X$2,,,Arb!$AJ$5,),AX290)/AY290)</f>
        <v>2.5593630029859238</v>
      </c>
      <c r="BB290" s="165">
        <f ca="1">IF(AX290="","",(INDEX(OFFSET(Arb!$U$2,,,Arb!$AJ$5,),AX290)+INDEX(OFFSET(Arb!$V$2,,,Arb!$AJ$5,),AX290))/AY290)</f>
        <v>3.0712356035831081</v>
      </c>
      <c r="BC290" s="51">
        <f t="shared" ca="1" si="91"/>
        <v>46.624364048330044</v>
      </c>
      <c r="BD290" s="88">
        <f ca="1">IF(AX290="","",DATE(INDEX(OFFSET(Arb!$C$2,,,Arb!$AJ$5,),AX290),INDEX(OFFSET(Arb!$B$2,,,Arb!$AJ$5,),AX290),INDEX(OFFSET(Arb!$A$2,,,Arb!$AJ$5,),AX290))+ROW()*0.001)</f>
        <v>44129.29</v>
      </c>
      <c r="BE290" s="436">
        <v>148</v>
      </c>
      <c r="BF290" s="1">
        <v>3369</v>
      </c>
      <c r="BG290" s="52">
        <f ca="1">IF(BF290="","",INDEX(OFFSET(Arb!$H$2,,,Arb!$AJ$5,),BF290))</f>
        <v>70.930000000000007</v>
      </c>
      <c r="BH290" s="3">
        <f t="shared" ca="1" si="82"/>
        <v>2.0865642182433382</v>
      </c>
      <c r="BI290" s="165">
        <f ca="1">IF(BF290="","",INDEX(OFFSET(Arb!$X$2,,,Arb!$AJ$5,),BF290)/BG290)</f>
        <v>2.3403355420837442</v>
      </c>
      <c r="BJ290" s="165">
        <f ca="1">IF(BF290="","",(INDEX(OFFSET(Arb!$U$2,,,Arb!$AJ$5,),BF290)+INDEX(OFFSET(Arb!$V$2,,,Arb!$AJ$5,),BF290))/BG290)</f>
        <v>2.5377132384040602</v>
      </c>
      <c r="BK290" s="51">
        <f t="shared" ca="1" si="92"/>
        <v>45.955874946808692</v>
      </c>
      <c r="BL290" s="91">
        <f ca="1">IF(BF290="","",DATE(INDEX(OFFSET(Arb!$C$2,,,Arb!$AJ$5,),BF290),INDEX(OFFSET(Arb!$B$2,,,Arb!$AJ$5,),BF290),INDEX(OFFSET(Arb!$A$2,,,Arb!$AJ$5,),BF290))+ROW()*0.001)</f>
        <v>44117.29</v>
      </c>
      <c r="BM290" s="442">
        <v>148</v>
      </c>
      <c r="BN290" s="1">
        <v>2687</v>
      </c>
      <c r="BO290" s="52">
        <f ca="1">IF(BN290="","",INDEX(OFFSET(Arb!$H$2,,,Arb!$AJ$5,),BN290))</f>
        <v>72.58</v>
      </c>
      <c r="BP290" s="3">
        <f t="shared" ca="1" si="83"/>
        <v>2.0391292367043263</v>
      </c>
      <c r="BQ290" s="165">
        <f ca="1">IF(BN290="","",INDEX(OFFSET(Arb!$X$2,,,Arb!$AJ$5,),BN290)/BO290)</f>
        <v>2.5489115458804079</v>
      </c>
      <c r="BR290" s="165">
        <f ca="1">IF(BN290="","",(INDEX(OFFSET(Arb!$U$2,,,Arb!$AJ$5,),BN290)+INDEX(OFFSET(Arb!$V$2,,,Arb!$AJ$5,),BN290))/BO290)</f>
        <v>2.8382474510884541</v>
      </c>
      <c r="BS290" s="51">
        <f t="shared" ca="1" si="93"/>
        <v>44.193981765711698</v>
      </c>
      <c r="BT290" s="88">
        <f ca="1">IF(BN290="","",DATE(INDEX(OFFSET(Arb!$C$2,,,Arb!$AJ$5,),BN290),INDEX(OFFSET(Arb!$B$2,,,Arb!$AJ$5,),BN290),INDEX(OFFSET(Arb!$A$2,,,Arb!$AJ$5,),BN290))+ROW()*0.001)</f>
        <v>43838.29</v>
      </c>
      <c r="BU290" s="436">
        <v>148</v>
      </c>
      <c r="BV290" s="1">
        <v>2786</v>
      </c>
      <c r="BW290" s="52">
        <f ca="1">IF(BV290="","",INDEX(OFFSET(Arb!$H$2,,,Arb!$AJ$5,),BV290))</f>
        <v>73.45</v>
      </c>
      <c r="BX290" s="3">
        <f t="shared" ca="1" si="84"/>
        <v>2.0149761742682095</v>
      </c>
      <c r="BY290" s="165">
        <f ca="1">IF(BV290="","",INDEX(OFFSET(Arb!$X$2,,,Arb!$AJ$5,),BV290)/BW290)</f>
        <v>2.3008849557522124</v>
      </c>
      <c r="BZ290" s="165">
        <f ca="1">IF(BV290="","",(INDEX(OFFSET(Arb!$U$2,,,Arb!$AJ$5,),BV290)+INDEX(OFFSET(Arb!$V$2,,,Arb!$AJ$5,),BV290))/BW290)</f>
        <v>2.5459496255956431</v>
      </c>
      <c r="CA290" s="51">
        <f t="shared" ca="1" si="94"/>
        <v>43.307778861180182</v>
      </c>
      <c r="CB290" s="91">
        <f ca="1">IF(BV290="","",DATE(INDEX(OFFSET(Arb!$C$2,,,Arb!$AJ$5,),BV290),INDEX(OFFSET(Arb!$B$2,,,Arb!$AJ$5,),BV290),INDEX(OFFSET(Arb!$A$2,,,Arb!$AJ$5,),BV290))+ROW()*0.001)</f>
        <v>43892.29</v>
      </c>
    </row>
    <row r="291" spans="1:80" x14ac:dyDescent="0.25">
      <c r="A291" s="433">
        <v>149</v>
      </c>
      <c r="B291" s="1">
        <v>3315</v>
      </c>
      <c r="C291" s="52">
        <f ca="1">IF(B291="","",INDEX(OFFSET(Arb!$H$2,,,Arb!$AJ$5,),B291))</f>
        <v>66.47</v>
      </c>
      <c r="D291" s="3">
        <f t="shared" ca="1" si="75"/>
        <v>2.2416127576350235</v>
      </c>
      <c r="E291" s="165">
        <f ca="1">IF(B291="","",INDEX(OFFSET(Arb!$X$2,,,Arb!$AJ$5,),B291)/C291)</f>
        <v>2.9035655182789228</v>
      </c>
      <c r="F291" s="165">
        <f ca="1">IF(B291="","",(INDEX(OFFSET(Arb!$U$2,,,Arb!$AJ$5,),B291)+INDEX(OFFSET(Arb!$V$2,,,Arb!$AJ$5,),B291))/C291)</f>
        <v>3.2646306604483226</v>
      </c>
      <c r="G291" s="51">
        <f t="shared" ca="1" si="85"/>
        <v>51.666955326039968</v>
      </c>
      <c r="H291" s="355">
        <f ca="1">IF(B291="","",DATE(INDEX(OFFSET(Arb!$C$2,,,Arb!$AJ$5,),B291),INDEX(OFFSET(Arb!$B$2,,,Arb!$AJ$5,),B291),INDEX(OFFSET(Arb!$A$2,,,Arb!$AJ$5,),B291))+ROW()*0.001)</f>
        <v>44094.290999999997</v>
      </c>
      <c r="I291" s="436">
        <v>149</v>
      </c>
      <c r="J291" s="1">
        <v>2948</v>
      </c>
      <c r="K291" s="52">
        <f ca="1">IF(J291="","",INDEX(OFFSET(Arb!$H$2,,,Arb!$AJ$5,),J291))</f>
        <v>67.239999999999995</v>
      </c>
      <c r="L291" s="3">
        <f t="shared" ca="1" si="76"/>
        <v>2.2159428911362284</v>
      </c>
      <c r="M291" s="165">
        <f ca="1">IF(J291="","",INDEX(OFFSET(Arb!$X$2,,,Arb!$AJ$5,),J291)/K291)</f>
        <v>2.9446757882212973</v>
      </c>
      <c r="N291" s="165">
        <f ca="1">IF(J291="","",(INDEX(OFFSET(Arb!$U$2,,,Arb!$AJ$5,),J291)+INDEX(OFFSET(Arb!$V$2,,,Arb!$AJ$5,),J291))/K291)</f>
        <v>3.2421177870315292</v>
      </c>
      <c r="O291" s="51">
        <f t="shared" ca="1" si="86"/>
        <v>50.665160834427702</v>
      </c>
      <c r="P291" s="91">
        <f ca="1">IF(J291="","",DATE(INDEX(OFFSET(Arb!$C$2,,,Arb!$AJ$5,),J291),INDEX(OFFSET(Arb!$B$2,,,Arb!$AJ$5,),J291),INDEX(OFFSET(Arb!$A$2,,,Arb!$AJ$5,),J291))+ROW()*0.001)</f>
        <v>43948.290999999997</v>
      </c>
      <c r="Q291" s="442">
        <v>149</v>
      </c>
      <c r="R291" s="1">
        <v>3396</v>
      </c>
      <c r="S291" s="52">
        <f ca="1">IF(R291="","",INDEX(OFFSET(Arb!$H$2,,,Arb!$AJ$5,),R291))</f>
        <v>68.040000000000006</v>
      </c>
      <c r="T291" s="3">
        <f t="shared" ca="1" si="77"/>
        <v>2.1898883009994119</v>
      </c>
      <c r="U291" s="165">
        <f ca="1">IF(R291="","",INDEX(OFFSET(Arb!$X$2,,,Arb!$AJ$5,),R291)/S291)</f>
        <v>2.3956496178718401</v>
      </c>
      <c r="V291" s="165">
        <f ca="1">IF(R291="","",(INDEX(OFFSET(Arb!$U$2,,,Arb!$AJ$5,),R291)+INDEX(OFFSET(Arb!$V$2,,,Arb!$AJ$5,),R291))/S291)</f>
        <v>2.6161081716637269</v>
      </c>
      <c r="W291" s="51">
        <f t="shared" ca="1" si="87"/>
        <v>49.656625767549052</v>
      </c>
      <c r="X291" s="88">
        <f ca="1">IF(R291="","",DATE(INDEX(OFFSET(Arb!$C$2,,,Arb!$AJ$5,),R291),INDEX(OFFSET(Arb!$B$2,,,Arb!$AJ$5,),R291),INDEX(OFFSET(Arb!$A$2,,,Arb!$AJ$5,),R291))+ROW()*0.001)</f>
        <v>44144.290999999997</v>
      </c>
      <c r="Y291" s="436">
        <v>149</v>
      </c>
      <c r="Z291" s="1">
        <v>2889</v>
      </c>
      <c r="AA291" s="52">
        <f ca="1">IF(Z291="","",INDEX(OFFSET(Arb!$H$2,,,Arb!$AJ$5,),Z291))</f>
        <v>69.3</v>
      </c>
      <c r="AB291" s="3">
        <f t="shared" ca="1" si="78"/>
        <v>2.15007215007215</v>
      </c>
      <c r="AC291" s="165">
        <f ca="1">IF(Z291="","",INDEX(OFFSET(Arb!$X$2,,,Arb!$AJ$5,),Z291)/AA291)</f>
        <v>2.8138528138528138</v>
      </c>
      <c r="AD291" s="165">
        <f ca="1">IF(Z291="","",(INDEX(OFFSET(Arb!$U$2,,,Arb!$AJ$5,),Z291)+INDEX(OFFSET(Arb!$V$2,,,Arb!$AJ$5,),Z291))/AA291)</f>
        <v>3.1890331890331893</v>
      </c>
      <c r="AE291" s="51">
        <f t="shared" ca="1" si="88"/>
        <v>48.131569642795711</v>
      </c>
      <c r="AF291" s="91">
        <f ca="1">IF(Z291="","",DATE(INDEX(OFFSET(Arb!$C$2,,,Arb!$AJ$5,),Z291),INDEX(OFFSET(Arb!$B$2,,,Arb!$AJ$5,),Z291),INDEX(OFFSET(Arb!$A$2,,,Arb!$AJ$5,),Z291))+ROW()*0.001)</f>
        <v>43919.290999999997</v>
      </c>
      <c r="AG291" s="442">
        <v>149</v>
      </c>
      <c r="AH291" s="1">
        <v>2991</v>
      </c>
      <c r="AI291" s="52">
        <f ca="1">IF(AH291="","",INDEX(OFFSET(Arb!$H$2,,,Arb!$AJ$5,),AH291))</f>
        <v>72.05</v>
      </c>
      <c r="AJ291" s="3">
        <f t="shared" ca="1" si="79"/>
        <v>2.0680083275503125</v>
      </c>
      <c r="AK291" s="165">
        <f ca="1">IF(AH291="","",INDEX(OFFSET(Arb!$X$2,,,Arb!$AJ$5,),AH291)/AI291)</f>
        <v>2.5537820957668287</v>
      </c>
      <c r="AL291" s="165">
        <f ca="1">IF(AH291="","",(INDEX(OFFSET(Arb!$U$2,,,Arb!$AJ$5,),AH291)+INDEX(OFFSET(Arb!$V$2,,,Arb!$AJ$5,),AH291))/AI291)</f>
        <v>2.8452463566967383</v>
      </c>
      <c r="AM291" s="51">
        <f t="shared" ca="1" si="89"/>
        <v>45.050410122214956</v>
      </c>
      <c r="AN291" s="88">
        <f ca="1">IF(AH291="","",DATE(INDEX(OFFSET(Arb!$C$2,,,Arb!$AJ$5,),AH291),INDEX(OFFSET(Arb!$B$2,,,Arb!$AJ$5,),AH291),INDEX(OFFSET(Arb!$A$2,,,Arb!$AJ$5,),AH291))+ROW()*0.001)</f>
        <v>43956.290999999997</v>
      </c>
      <c r="AO291" s="436">
        <v>149</v>
      </c>
      <c r="AP291" s="1">
        <v>3218</v>
      </c>
      <c r="AQ291" s="52">
        <f ca="1">IF(AP291="","",INDEX(OFFSET(Arb!$H$2,,,Arb!$AJ$5,),AP291))</f>
        <v>77.78</v>
      </c>
      <c r="AR291" s="3">
        <f t="shared" ca="1" si="80"/>
        <v>1.9156595525842119</v>
      </c>
      <c r="AS291" s="165">
        <f ca="1">IF(AP291="","",INDEX(OFFSET(Arb!$X$2,,,Arb!$AJ$5,),AP291)/AQ291)</f>
        <v>2.5070712265363846</v>
      </c>
      <c r="AT291" s="165">
        <f ca="1">IF(AP291="","",(INDEX(OFFSET(Arb!$U$2,,,Arb!$AJ$5,),AP291)+INDEX(OFFSET(Arb!$V$2,,,Arb!$AJ$5,),AP291))/AQ291)</f>
        <v>2.8027770635124711</v>
      </c>
      <c r="AU291" s="51">
        <f t="shared" ca="1" si="90"/>
        <v>39.554967112870955</v>
      </c>
      <c r="AV291" s="91">
        <f ca="1">IF(AP291="","",DATE(INDEX(OFFSET(Arb!$C$2,,,Arb!$AJ$5,),AP291),INDEX(OFFSET(Arb!$B$2,,,Arb!$AJ$5,),AP291),INDEX(OFFSET(Arb!$A$2,,,Arb!$AJ$5,),AP291))+ROW()*0.001)</f>
        <v>44059.290999999997</v>
      </c>
      <c r="AW291" s="442">
        <v>149</v>
      </c>
      <c r="AX291" s="1">
        <v>2485</v>
      </c>
      <c r="AY291" s="52">
        <f ca="1">IF(AX291="","",INDEX(OFFSET(Arb!$H$2,,,Arb!$AJ$5,),AX291))</f>
        <v>79.23</v>
      </c>
      <c r="AZ291" s="3">
        <f t="shared" ca="1" si="81"/>
        <v>1.8806007825318691</v>
      </c>
      <c r="BA291" s="165">
        <f ca="1">IF(AX291="","",INDEX(OFFSET(Arb!$X$2,,,Arb!$AJ$5,),AX291)/AY291)</f>
        <v>2.2718667171525935</v>
      </c>
      <c r="BB291" s="165">
        <f ca="1">IF(AX291="","",(INDEX(OFFSET(Arb!$U$2,,,Arb!$AJ$5,),AX291)+INDEX(OFFSET(Arb!$V$2,,,Arb!$AJ$5,),AX291))/AY291)</f>
        <v>2.5369178341537295</v>
      </c>
      <c r="BC291" s="51">
        <f t="shared" ca="1" si="91"/>
        <v>38.332232060307639</v>
      </c>
      <c r="BD291" s="88">
        <f ca="1">IF(AX291="","",DATE(INDEX(OFFSET(Arb!$C$2,,,Arb!$AJ$5,),AX291),INDEX(OFFSET(Arb!$B$2,,,Arb!$AJ$5,),AX291),INDEX(OFFSET(Arb!$A$2,,,Arb!$AJ$5,),AX291))+ROW()*0.001)</f>
        <v>43786.290999999997</v>
      </c>
      <c r="BE291" s="436">
        <v>149</v>
      </c>
      <c r="BG291" s="52" t="str">
        <f ca="1">IF(BF291="","",INDEX(OFFSET(Arb!$H$2,,,Arb!$AJ$5,),BF291))</f>
        <v/>
      </c>
      <c r="BH291" s="3" t="str">
        <f t="shared" ca="1" si="82"/>
        <v/>
      </c>
      <c r="BI291" s="165" t="str">
        <f ca="1">IF(BF291="","",INDEX(OFFSET(Arb!$X$2,,,Arb!$AJ$5,),BF291)/BG291)</f>
        <v/>
      </c>
      <c r="BJ291" s="165" t="str">
        <f ca="1">IF(BF291="","",(INDEX(OFFSET(Arb!$U$2,,,Arb!$AJ$5,),BF291)+INDEX(OFFSET(Arb!$V$2,,,Arb!$AJ$5,),BF291))/BG291)</f>
        <v/>
      </c>
      <c r="BK291" s="51" t="str">
        <f t="shared" ca="1" si="92"/>
        <v/>
      </c>
      <c r="BL291" s="91" t="str">
        <f ca="1">IF(BF291="","",DATE(INDEX(OFFSET(Arb!$C$2,,,Arb!$AJ$5,),BF291),INDEX(OFFSET(Arb!$B$2,,,Arb!$AJ$5,),BF291),INDEX(OFFSET(Arb!$A$2,,,Arb!$AJ$5,),BF291))+ROW()*0.001)</f>
        <v/>
      </c>
      <c r="BM291" s="442">
        <v>149</v>
      </c>
      <c r="BO291" s="52" t="str">
        <f ca="1">IF(BN291="","",INDEX(OFFSET(Arb!$H$2,,,Arb!$AJ$5,),BN291))</f>
        <v/>
      </c>
      <c r="BP291" s="3" t="str">
        <f t="shared" ca="1" si="83"/>
        <v/>
      </c>
      <c r="BQ291" s="165" t="str">
        <f ca="1">IF(BN291="","",INDEX(OFFSET(Arb!$X$2,,,Arb!$AJ$5,),BN291)/BO291)</f>
        <v/>
      </c>
      <c r="BR291" s="165" t="str">
        <f ca="1">IF(BN291="","",(INDEX(OFFSET(Arb!$U$2,,,Arb!$AJ$5,),BN291)+INDEX(OFFSET(Arb!$V$2,,,Arb!$AJ$5,),BN291))/BO291)</f>
        <v/>
      </c>
      <c r="BS291" s="51" t="str">
        <f t="shared" ca="1" si="93"/>
        <v/>
      </c>
      <c r="BT291" s="88" t="str">
        <f ca="1">IF(BN291="","",DATE(INDEX(OFFSET(Arb!$C$2,,,Arb!$AJ$5,),BN291),INDEX(OFFSET(Arb!$B$2,,,Arb!$AJ$5,),BN291),INDEX(OFFSET(Arb!$A$2,,,Arb!$AJ$5,),BN291))+ROW()*0.001)</f>
        <v/>
      </c>
      <c r="BU291" s="436">
        <v>149</v>
      </c>
      <c r="BW291" s="52" t="str">
        <f ca="1">IF(BV291="","",INDEX(OFFSET(Arb!$H$2,,,Arb!$AJ$5,),BV291))</f>
        <v/>
      </c>
      <c r="BX291" s="3" t="str">
        <f t="shared" ca="1" si="84"/>
        <v/>
      </c>
      <c r="BY291" s="165" t="str">
        <f ca="1">IF(BV291="","",INDEX(OFFSET(Arb!$X$2,,,Arb!$AJ$5,),BV291)/BW291)</f>
        <v/>
      </c>
      <c r="BZ291" s="165" t="str">
        <f ca="1">IF(BV291="","",(INDEX(OFFSET(Arb!$U$2,,,Arb!$AJ$5,),BV291)+INDEX(OFFSET(Arb!$V$2,,,Arb!$AJ$5,),BV291))/BW291)</f>
        <v/>
      </c>
      <c r="CA291" s="51" t="str">
        <f t="shared" ca="1" si="94"/>
        <v/>
      </c>
      <c r="CB291" s="91" t="str">
        <f ca="1">IF(BV291="","",DATE(INDEX(OFFSET(Arb!$C$2,,,Arb!$AJ$5,),BV291),INDEX(OFFSET(Arb!$B$2,,,Arb!$AJ$5,),BV291),INDEX(OFFSET(Arb!$A$2,,,Arb!$AJ$5,),BV291))+ROW()*0.001)</f>
        <v/>
      </c>
    </row>
    <row r="292" spans="1:80" x14ac:dyDescent="0.25">
      <c r="A292" s="433">
        <v>150</v>
      </c>
      <c r="B292" s="1">
        <v>3438</v>
      </c>
      <c r="C292" s="52">
        <f ca="1">IF(B292="","",INDEX(OFFSET(Arb!$H$2,,,Arb!$AJ$5,),B292))</f>
        <v>59.06</v>
      </c>
      <c r="D292" s="3">
        <f t="shared" ca="1" si="75"/>
        <v>2.5397900440230274</v>
      </c>
      <c r="E292" s="165">
        <f ca="1">IF(B292="","",INDEX(OFFSET(Arb!$X$2,,,Arb!$AJ$5,),B292)/C292)</f>
        <v>2.8953606501862512</v>
      </c>
      <c r="F292" s="165">
        <f ca="1">IF(B292="","",(INDEX(OFFSET(Arb!$U$2,,,Arb!$AJ$5,),B292)+INDEX(OFFSET(Arb!$V$2,,,Arb!$AJ$5,),B292))/C292)</f>
        <v>3.1832035218421941</v>
      </c>
      <c r="G292" s="51">
        <f t="shared" ca="1" si="85"/>
        <v>63.589097601777183</v>
      </c>
      <c r="H292" s="355">
        <f ca="1">IF(B292="","",DATE(INDEX(OFFSET(Arb!$C$2,,,Arb!$AJ$5,),B292),INDEX(OFFSET(Arb!$B$2,,,Arb!$AJ$5,),B292),INDEX(OFFSET(Arb!$A$2,,,Arb!$AJ$5,),B292))+ROW()*0.001)</f>
        <v>44167.292000000001</v>
      </c>
      <c r="I292" s="436">
        <v>150</v>
      </c>
      <c r="J292" s="1">
        <v>3014</v>
      </c>
      <c r="K292" s="52">
        <f ca="1">IF(J292="","",INDEX(OFFSET(Arb!$H$2,,,Arb!$AJ$5,),J292))</f>
        <v>64.48</v>
      </c>
      <c r="L292" s="3">
        <f t="shared" ca="1" si="76"/>
        <v>2.3263027295285359</v>
      </c>
      <c r="M292" s="165">
        <f ca="1">IF(J292="","",INDEX(OFFSET(Arb!$X$2,,,Arb!$AJ$5,),J292)/K292)</f>
        <v>2.8070719602977667</v>
      </c>
      <c r="N292" s="165">
        <f ca="1">IF(J292="","",(INDEX(OFFSET(Arb!$U$2,,,Arb!$AJ$5,),J292)+INDEX(OFFSET(Arb!$V$2,,,Arb!$AJ$5,),J292))/K292)</f>
        <v>3.1637717121588089</v>
      </c>
      <c r="O292" s="51">
        <f t="shared" ca="1" si="86"/>
        <v>54.772046152311567</v>
      </c>
      <c r="P292" s="91">
        <f ca="1">IF(J292="","",DATE(INDEX(OFFSET(Arb!$C$2,,,Arb!$AJ$5,),J292),INDEX(OFFSET(Arb!$B$2,,,Arb!$AJ$5,),J292),INDEX(OFFSET(Arb!$A$2,,,Arb!$AJ$5,),J292))+ROW()*0.001)</f>
        <v>43958.292000000001</v>
      </c>
      <c r="Q292" s="442">
        <v>150</v>
      </c>
      <c r="R292" s="1">
        <v>3173</v>
      </c>
      <c r="S292" s="52">
        <f ca="1">IF(R292="","",INDEX(OFFSET(Arb!$H$2,,,Arb!$AJ$5,),R292))</f>
        <v>66.5</v>
      </c>
      <c r="T292" s="3">
        <f t="shared" ca="1" si="77"/>
        <v>2.255639097744361</v>
      </c>
      <c r="U292" s="165">
        <f ca="1">IF(R292="","",INDEX(OFFSET(Arb!$X$2,,,Arb!$AJ$5,),R292)/S292)</f>
        <v>3.0526315789473686</v>
      </c>
      <c r="V292" s="165">
        <f ca="1">IF(R292="","",(INDEX(OFFSET(Arb!$U$2,,,Arb!$AJ$5,),R292)+INDEX(OFFSET(Arb!$V$2,,,Arb!$AJ$5,),R292))/S292)</f>
        <v>3.3984962406015038</v>
      </c>
      <c r="W292" s="51">
        <f t="shared" ca="1" si="87"/>
        <v>51.973829497912256</v>
      </c>
      <c r="X292" s="88">
        <f ca="1">IF(R292="","",DATE(INDEX(OFFSET(Arb!$C$2,,,Arb!$AJ$5,),R292),INDEX(OFFSET(Arb!$B$2,,,Arb!$AJ$5,),R292),INDEX(OFFSET(Arb!$A$2,,,Arb!$AJ$5,),R292))+ROW()*0.001)</f>
        <v>44042.292000000001</v>
      </c>
      <c r="Y292" s="436">
        <v>150</v>
      </c>
      <c r="Z292" s="1">
        <v>3053</v>
      </c>
      <c r="AA292" s="52">
        <f ca="1">IF(Z292="","",INDEX(OFFSET(Arb!$H$2,,,Arb!$AJ$5,),Z292))</f>
        <v>70.569999999999993</v>
      </c>
      <c r="AB292" s="3">
        <f t="shared" ca="1" si="78"/>
        <v>2.1255491001842146</v>
      </c>
      <c r="AC292" s="165">
        <f ca="1">IF(Z292="","",INDEX(OFFSET(Arb!$X$2,,,Arb!$AJ$5,),Z292)/AA292)</f>
        <v>2.4939776108828116</v>
      </c>
      <c r="AD292" s="165">
        <f ca="1">IF(Z292="","",(INDEX(OFFSET(Arb!$U$2,,,Arb!$AJ$5,),Z292)+INDEX(OFFSET(Arb!$V$2,,,Arb!$AJ$5,),Z292))/AA292)</f>
        <v>2.6923621935666717</v>
      </c>
      <c r="AE292" s="51">
        <f t="shared" ca="1" si="88"/>
        <v>46.981547184011589</v>
      </c>
      <c r="AF292" s="91">
        <f ca="1">IF(Z292="","",DATE(INDEX(OFFSET(Arb!$C$2,,,Arb!$AJ$5,),Z292),INDEX(OFFSET(Arb!$B$2,,,Arb!$AJ$5,),Z292),INDEX(OFFSET(Arb!$A$2,,,Arb!$AJ$5,),Z292))+ROW()*0.001)</f>
        <v>43982.292000000001</v>
      </c>
      <c r="AG292" s="442">
        <v>150</v>
      </c>
      <c r="AH292" s="1">
        <v>3180</v>
      </c>
      <c r="AI292" s="52">
        <f ca="1">IF(AH292="","",INDEX(OFFSET(Arb!$H$2,,,Arb!$AJ$5,),AH292))</f>
        <v>72.099999999999994</v>
      </c>
      <c r="AJ292" s="3">
        <f t="shared" ca="1" si="79"/>
        <v>2.0804438280166435</v>
      </c>
      <c r="AK292" s="165">
        <f ca="1">IF(AH292="","",INDEX(OFFSET(Arb!$X$2,,,Arb!$AJ$5,),AH292)/AI292)</f>
        <v>2.5381414701803053</v>
      </c>
      <c r="AL292" s="165">
        <f ca="1">IF(AH292="","",(INDEX(OFFSET(Arb!$U$2,,,Arb!$AJ$5,),AH292)+INDEX(OFFSET(Arb!$V$2,,,Arb!$AJ$5,),AH292))/AI292)</f>
        <v>2.8016643550624134</v>
      </c>
      <c r="AM292" s="51">
        <f t="shared" ca="1" si="89"/>
        <v>45.299307651386336</v>
      </c>
      <c r="AN292" s="88">
        <f ca="1">IF(AH292="","",DATE(INDEX(OFFSET(Arb!$C$2,,,Arb!$AJ$5,),AH292),INDEX(OFFSET(Arb!$B$2,,,Arb!$AJ$5,),AH292),INDEX(OFFSET(Arb!$A$2,,,Arb!$AJ$5,),AH292))+ROW()*0.001)</f>
        <v>44052.292000000001</v>
      </c>
      <c r="AO292" s="436">
        <v>150</v>
      </c>
      <c r="AP292" s="1">
        <v>2557</v>
      </c>
      <c r="AQ292" s="52">
        <f ca="1">IF(AP292="","",INDEX(OFFSET(Arb!$H$2,,,Arb!$AJ$5,),AP292))</f>
        <v>72.5</v>
      </c>
      <c r="AR292" s="3">
        <f t="shared" ca="1" si="80"/>
        <v>2.0689655172413794</v>
      </c>
      <c r="AS292" s="165">
        <f ca="1">IF(AP292="","",INDEX(OFFSET(Arb!$X$2,,,Arb!$AJ$5,),AP292)/AQ292)</f>
        <v>2.5241379310344829</v>
      </c>
      <c r="AT292" s="165">
        <f ca="1">IF(AP292="","",(INDEX(OFFSET(Arb!$U$2,,,Arb!$AJ$5,),AP292)+INDEX(OFFSET(Arb!$V$2,,,Arb!$AJ$5,),AP292))/AQ292)</f>
        <v>2.8275862068965516</v>
      </c>
      <c r="AU292" s="51">
        <f t="shared" ca="1" si="90"/>
        <v>44.875252290712758</v>
      </c>
      <c r="AV292" s="91">
        <f ca="1">IF(AP292="","",DATE(INDEX(OFFSET(Arb!$C$2,,,Arb!$AJ$5,),AP292),INDEX(OFFSET(Arb!$B$2,,,Arb!$AJ$5,),AP292),INDEX(OFFSET(Arb!$A$2,,,Arb!$AJ$5,),AP292))+ROW()*0.001)</f>
        <v>43798.292000000001</v>
      </c>
      <c r="AW292" s="442">
        <v>150</v>
      </c>
      <c r="AX292" s="1">
        <v>2503</v>
      </c>
      <c r="AY292" s="52">
        <f ca="1">IF(AX292="","",INDEX(OFFSET(Arb!$H$2,,,Arb!$AJ$5,),AX292))</f>
        <v>73.17</v>
      </c>
      <c r="AZ292" s="3">
        <f t="shared" ca="1" si="81"/>
        <v>2.0500205002050018</v>
      </c>
      <c r="BA292" s="165">
        <f ca="1">IF(AX292="","",INDEX(OFFSET(Arb!$X$2,,,Arb!$AJ$5,),AX292)/AY292)</f>
        <v>2.5010250102501024</v>
      </c>
      <c r="BB292" s="165">
        <f ca="1">IF(AX292="","",(INDEX(OFFSET(Arb!$U$2,,,Arb!$AJ$5,),AX292)+INDEX(OFFSET(Arb!$V$2,,,Arb!$AJ$5,),AX292))/AY292)</f>
        <v>2.8153614869482029</v>
      </c>
      <c r="BC292" s="51">
        <f t="shared" ca="1" si="91"/>
        <v>44.178942984841512</v>
      </c>
      <c r="BD292" s="88">
        <f ca="1">IF(AX292="","",DATE(INDEX(OFFSET(Arb!$C$2,,,Arb!$AJ$5,),AX292),INDEX(OFFSET(Arb!$B$2,,,Arb!$AJ$5,),AX292),INDEX(OFFSET(Arb!$A$2,,,Arb!$AJ$5,),AX292))+ROW()*0.001)</f>
        <v>43788.292000000001</v>
      </c>
      <c r="BE292" s="436">
        <v>150</v>
      </c>
      <c r="BF292" s="1">
        <v>2700</v>
      </c>
      <c r="BG292" s="52">
        <f ca="1">IF(BF292="","",INDEX(OFFSET(Arb!$H$2,,,Arb!$AJ$5,),BF292))</f>
        <v>74.819999999999993</v>
      </c>
      <c r="BH292" s="3">
        <f t="shared" ca="1" si="82"/>
        <v>2.0048115477145152</v>
      </c>
      <c r="BI292" s="165">
        <f ca="1">IF(BF292="","",INDEX(OFFSET(Arb!$X$2,,,Arb!$AJ$5,),BF292)/BG292)</f>
        <v>2.6062550120288694</v>
      </c>
      <c r="BJ292" s="165">
        <f ca="1">IF(BF292="","",(INDEX(OFFSET(Arb!$U$2,,,Arb!$AJ$5,),BF292)+INDEX(OFFSET(Arb!$V$2,,,Arb!$AJ$5,),BF292))/BG292)</f>
        <v>2.9002940390269982</v>
      </c>
      <c r="BK292" s="51">
        <f t="shared" ca="1" si="92"/>
        <v>42.535487812936211</v>
      </c>
      <c r="BL292" s="91">
        <f ca="1">IF(BF292="","",DATE(INDEX(OFFSET(Arb!$C$2,,,Arb!$AJ$5,),BF292),INDEX(OFFSET(Arb!$B$2,,,Arb!$AJ$5,),BF292),INDEX(OFFSET(Arb!$A$2,,,Arb!$AJ$5,),BF292))+ROW()*0.001)</f>
        <v>43841.292000000001</v>
      </c>
      <c r="BM292" s="442">
        <v>150</v>
      </c>
      <c r="BN292" s="1">
        <v>2601</v>
      </c>
      <c r="BO292" s="52">
        <f ca="1">IF(BN292="","",INDEX(OFFSET(Arb!$H$2,,,Arb!$AJ$5,),BN292))</f>
        <v>75.849999999999994</v>
      </c>
      <c r="BP292" s="3">
        <f t="shared" ca="1" si="83"/>
        <v>1.9775873434410021</v>
      </c>
      <c r="BQ292" s="165">
        <f ca="1">IF(BN292="","",INDEX(OFFSET(Arb!$X$2,,,Arb!$AJ$5,),BN292)/BO292)</f>
        <v>2.5049439683586026</v>
      </c>
      <c r="BR292" s="165">
        <f ca="1">IF(BN292="","",(INDEX(OFFSET(Arb!$U$2,,,Arb!$AJ$5,),BN292)+INDEX(OFFSET(Arb!$V$2,,,Arb!$AJ$5,),BN292))/BO292)</f>
        <v>2.8609096901779831</v>
      </c>
      <c r="BS292" s="51">
        <f t="shared" ca="1" si="93"/>
        <v>41.558227834233435</v>
      </c>
      <c r="BT292" s="88">
        <f ca="1">IF(BN292="","",DATE(INDEX(OFFSET(Arb!$C$2,,,Arb!$AJ$5,),BN292),INDEX(OFFSET(Arb!$B$2,,,Arb!$AJ$5,),BN292),INDEX(OFFSET(Arb!$A$2,,,Arb!$AJ$5,),BN292))+ROW()*0.001)</f>
        <v>43809.292000000001</v>
      </c>
      <c r="BU292" s="436">
        <v>150</v>
      </c>
      <c r="BV292" s="1">
        <v>2743</v>
      </c>
      <c r="BW292" s="52">
        <f ca="1">IF(BV292="","",INDEX(OFFSET(Arb!$H$2,,,Arb!$AJ$5,),BV292))</f>
        <v>76.44</v>
      </c>
      <c r="BX292" s="3">
        <f t="shared" ca="1" si="84"/>
        <v>1.9623233908948194</v>
      </c>
      <c r="BY292" s="165">
        <f ca="1">IF(BV292="","",INDEX(OFFSET(Arb!$X$2,,,Arb!$AJ$5,),BV292)/BW292)</f>
        <v>2.524856096284668</v>
      </c>
      <c r="BZ292" s="165">
        <f ca="1">IF(BV292="","",(INDEX(OFFSET(Arb!$U$2,,,Arb!$AJ$5,),BV292)+INDEX(OFFSET(Arb!$V$2,,,Arb!$AJ$5,),BV292))/BW292)</f>
        <v>2.838827838827839</v>
      </c>
      <c r="CA292" s="51">
        <f t="shared" ca="1" si="94"/>
        <v>41.014399858376542</v>
      </c>
      <c r="CB292" s="91">
        <f ca="1">IF(BV292="","",DATE(INDEX(OFFSET(Arb!$C$2,,,Arb!$AJ$5,),BV292),INDEX(OFFSET(Arb!$B$2,,,Arb!$AJ$5,),BV292),INDEX(OFFSET(Arb!$A$2,,,Arb!$AJ$5,),BV292))+ROW()*0.001)</f>
        <v>43870.292000000001</v>
      </c>
    </row>
    <row r="293" spans="1:80" x14ac:dyDescent="0.25">
      <c r="A293" s="433">
        <v>151</v>
      </c>
      <c r="B293" s="1">
        <v>3188</v>
      </c>
      <c r="C293" s="52">
        <f ca="1">IF(B293="","",INDEX(OFFSET(Arb!$H$2,,,Arb!$AJ$5,),B293))</f>
        <v>62.08</v>
      </c>
      <c r="D293" s="3">
        <f t="shared" ca="1" si="75"/>
        <v>2.4323453608247423</v>
      </c>
      <c r="E293" s="165">
        <f ca="1">IF(B293="","",INDEX(OFFSET(Arb!$X$2,,,Arb!$AJ$5,),B293)/C293)</f>
        <v>3.1572164948453607</v>
      </c>
      <c r="F293" s="165">
        <f ca="1">IF(B293="","",(INDEX(OFFSET(Arb!$U$2,,,Arb!$AJ$5,),B293)+INDEX(OFFSET(Arb!$V$2,,,Arb!$AJ$5,),B293))/C293)</f>
        <v>3.4632731958762886</v>
      </c>
      <c r="G293" s="51">
        <f t="shared" ca="1" si="85"/>
        <v>58.809745311628042</v>
      </c>
      <c r="H293" s="355">
        <f ca="1">IF(B293="","",DATE(INDEX(OFFSET(Arb!$C$2,,,Arb!$AJ$5,),B293),INDEX(OFFSET(Arb!$B$2,,,Arb!$AJ$5,),B293),INDEX(OFFSET(Arb!$A$2,,,Arb!$AJ$5,),B293))+ROW()*0.001)</f>
        <v>44054.292999999998</v>
      </c>
      <c r="I293" s="436">
        <v>151</v>
      </c>
      <c r="J293" s="1">
        <v>3384</v>
      </c>
      <c r="K293" s="52">
        <f ca="1">IF(J293="","",INDEX(OFFSET(Arb!$H$2,,,Arb!$AJ$5,),J293))</f>
        <v>63.63</v>
      </c>
      <c r="L293" s="3">
        <f t="shared" ca="1" si="76"/>
        <v>2.3730944523023729</v>
      </c>
      <c r="M293" s="165">
        <f ca="1">IF(J293="","",INDEX(OFFSET(Arb!$X$2,,,Arb!$AJ$5,),J293)/K293)</f>
        <v>2.9388653151029387</v>
      </c>
      <c r="N293" s="165">
        <f ca="1">IF(J293="","",(INDEX(OFFSET(Arb!$U$2,,,Arb!$AJ$5,),J293)+INDEX(OFFSET(Arb!$V$2,,,Arb!$AJ$5,),J293))/K293)</f>
        <v>3.2531824611032532</v>
      </c>
      <c r="O293" s="51">
        <f t="shared" ca="1" si="86"/>
        <v>56.395172983111586</v>
      </c>
      <c r="P293" s="91">
        <f ca="1">IF(J293="","",DATE(INDEX(OFFSET(Arb!$C$2,,,Arb!$AJ$5,),J293),INDEX(OFFSET(Arb!$B$2,,,Arb!$AJ$5,),J293),INDEX(OFFSET(Arb!$A$2,,,Arb!$AJ$5,),J293))+ROW()*0.001)</f>
        <v>44137.292999999998</v>
      </c>
      <c r="Q293" s="442">
        <v>151</v>
      </c>
      <c r="R293" s="1">
        <v>2904</v>
      </c>
      <c r="S293" s="52">
        <f ca="1">IF(R293="","",INDEX(OFFSET(Arb!$H$2,,,Arb!$AJ$5,),R293))</f>
        <v>64.88</v>
      </c>
      <c r="T293" s="3">
        <f t="shared" ca="1" si="77"/>
        <v>2.3273736128236746</v>
      </c>
      <c r="U293" s="165">
        <f ca="1">IF(R293="","",INDEX(OFFSET(Arb!$X$2,,,Arb!$AJ$5,),R293)/S293)</f>
        <v>2.8205918618988903</v>
      </c>
      <c r="V293" s="165">
        <f ca="1">IF(R293="","",(INDEX(OFFSET(Arb!$U$2,,,Arb!$AJ$5,),R293)+INDEX(OFFSET(Arb!$V$2,,,Arb!$AJ$5,),R293))/S293)</f>
        <v>3.1442663378545008</v>
      </c>
      <c r="W293" s="51">
        <f t="shared" ca="1" si="87"/>
        <v>54.560554143863811</v>
      </c>
      <c r="X293" s="88">
        <f ca="1">IF(R293="","",DATE(INDEX(OFFSET(Arb!$C$2,,,Arb!$AJ$5,),R293),INDEX(OFFSET(Arb!$B$2,,,Arb!$AJ$5,),R293),INDEX(OFFSET(Arb!$A$2,,,Arb!$AJ$5,),R293))+ROW()*0.001)</f>
        <v>43927.292999999998</v>
      </c>
      <c r="Y293" s="436">
        <v>151</v>
      </c>
      <c r="Z293" s="1">
        <v>3432</v>
      </c>
      <c r="AA293" s="52">
        <f ca="1">IF(Z293="","",INDEX(OFFSET(Arb!$H$2,,,Arb!$AJ$5,),Z293))</f>
        <v>65.91</v>
      </c>
      <c r="AB293" s="3">
        <f t="shared" ca="1" si="78"/>
        <v>2.2910028827188591</v>
      </c>
      <c r="AC293" s="165">
        <f ca="1">IF(Z293="","",INDEX(OFFSET(Arb!$X$2,,,Arb!$AJ$5,),Z293)/AA293)</f>
        <v>2.4123805188893948</v>
      </c>
      <c r="AD293" s="165">
        <f ca="1">IF(Z293="","",(INDEX(OFFSET(Arb!$U$2,,,Arb!$AJ$5,),Z293)+INDEX(OFFSET(Arb!$V$2,,,Arb!$AJ$5,),Z293))/AA293)</f>
        <v>2.7309968138370508</v>
      </c>
      <c r="AE293" s="51">
        <f t="shared" ca="1" si="88"/>
        <v>53.119010063496226</v>
      </c>
      <c r="AF293" s="91">
        <f ca="1">IF(Z293="","",DATE(INDEX(OFFSET(Arb!$C$2,,,Arb!$AJ$5,),Z293),INDEX(OFFSET(Arb!$B$2,,,Arb!$AJ$5,),Z293),INDEX(OFFSET(Arb!$A$2,,,Arb!$AJ$5,),Z293))+ROW()*0.001)</f>
        <v>44153.292999999998</v>
      </c>
      <c r="AG293" s="442">
        <v>151</v>
      </c>
      <c r="AH293" s="1">
        <v>3183</v>
      </c>
      <c r="AI293" s="52">
        <f ca="1">IF(AH293="","",INDEX(OFFSET(Arb!$H$2,,,Arb!$AJ$5,),AH293))</f>
        <v>68.25</v>
      </c>
      <c r="AJ293" s="3">
        <f t="shared" ca="1" si="79"/>
        <v>2.2124542124542126</v>
      </c>
      <c r="AK293" s="165">
        <f ca="1">IF(AH293="","",INDEX(OFFSET(Arb!$X$2,,,Arb!$AJ$5,),AH293)/AI293)</f>
        <v>2.7106227106227108</v>
      </c>
      <c r="AL293" s="165">
        <f ca="1">IF(AH293="","",(INDEX(OFFSET(Arb!$U$2,,,Arb!$AJ$5,),AH293)+INDEX(OFFSET(Arb!$V$2,,,Arb!$AJ$5,),AH293))/AI293)</f>
        <v>2.9304029304029302</v>
      </c>
      <c r="AM293" s="51">
        <f t="shared" ca="1" si="89"/>
        <v>50.060212396885589</v>
      </c>
      <c r="AN293" s="88">
        <f ca="1">IF(AH293="","",DATE(INDEX(OFFSET(Arb!$C$2,,,Arb!$AJ$5,),AH293),INDEX(OFFSET(Arb!$B$2,,,Arb!$AJ$5,),AH293),INDEX(OFFSET(Arb!$A$2,,,Arb!$AJ$5,),AH293))+ROW()*0.001)</f>
        <v>44052.292999999998</v>
      </c>
      <c r="AO293" s="436">
        <v>151</v>
      </c>
      <c r="AP293" s="1">
        <v>2692</v>
      </c>
      <c r="AQ293" s="52">
        <f ca="1">IF(AP293="","",INDEX(OFFSET(Arb!$H$2,,,Arb!$AJ$5,),AP293))</f>
        <v>68.58</v>
      </c>
      <c r="AR293" s="3">
        <f t="shared" ca="1" si="80"/>
        <v>2.2018081073199185</v>
      </c>
      <c r="AS293" s="165">
        <f ca="1">IF(AP293="","",INDEX(OFFSET(Arb!$X$2,,,Arb!$AJ$5,),AP293)/AQ293)</f>
        <v>2.7850685331000293</v>
      </c>
      <c r="AT293" s="165">
        <f ca="1">IF(AP293="","",(INDEX(OFFSET(Arb!$U$2,,,Arb!$AJ$5,),AP293)+INDEX(OFFSET(Arb!$V$2,,,Arb!$AJ$5,),AP293))/AQ293)</f>
        <v>3.0766987459900847</v>
      </c>
      <c r="AU293" s="51">
        <f t="shared" ca="1" si="90"/>
        <v>49.651398476551627</v>
      </c>
      <c r="AV293" s="91">
        <f ca="1">IF(AP293="","",DATE(INDEX(OFFSET(Arb!$C$2,,,Arb!$AJ$5,),AP293),INDEX(OFFSET(Arb!$B$2,,,Arb!$AJ$5,),AP293),INDEX(OFFSET(Arb!$A$2,,,Arb!$AJ$5,),AP293))+ROW()*0.001)</f>
        <v>43839.292999999998</v>
      </c>
      <c r="AW293" s="442">
        <v>151</v>
      </c>
      <c r="AX293" s="1">
        <v>2654</v>
      </c>
      <c r="AY293" s="52">
        <f ca="1">IF(AX293="","",INDEX(OFFSET(Arb!$H$2,,,Arb!$AJ$5,),AX293))</f>
        <v>69.239999999999995</v>
      </c>
      <c r="AZ293" s="3">
        <f t="shared" ca="1" si="81"/>
        <v>2.1808203350664357</v>
      </c>
      <c r="BA293" s="165">
        <f ca="1">IF(AX293="","",INDEX(OFFSET(Arb!$X$2,,,Arb!$AJ$5,),AX293)/AY293)</f>
        <v>2.7729636048526864</v>
      </c>
      <c r="BB293" s="165">
        <f ca="1">IF(AX293="","",(INDEX(OFFSET(Arb!$U$2,,,Arb!$AJ$5,),AX293)+INDEX(OFFSET(Arb!$V$2,,,Arb!$AJ$5,),AX293))/AY293)</f>
        <v>3.1773541305603699</v>
      </c>
      <c r="BC293" s="51">
        <f t="shared" ca="1" si="91"/>
        <v>48.849508900675296</v>
      </c>
      <c r="BD293" s="88">
        <f ca="1">IF(AX293="","",DATE(INDEX(OFFSET(Arb!$C$2,,,Arb!$AJ$5,),AX293),INDEX(OFFSET(Arb!$B$2,,,Arb!$AJ$5,),AX293),INDEX(OFFSET(Arb!$A$2,,,Arb!$AJ$5,),AX293))+ROW()*0.001)</f>
        <v>43818.292999999998</v>
      </c>
      <c r="BE293" s="436">
        <v>151</v>
      </c>
      <c r="BF293" s="1">
        <v>3099</v>
      </c>
      <c r="BG293" s="52">
        <f ca="1">IF(BF293="","",INDEX(OFFSET(Arb!$H$2,,,Arb!$AJ$5,),BF293))</f>
        <v>70.84</v>
      </c>
      <c r="BH293" s="3">
        <f t="shared" ca="1" si="82"/>
        <v>2.1315640880858271</v>
      </c>
      <c r="BI293" s="165">
        <f ca="1">IF(BF293="","",INDEX(OFFSET(Arb!$X$2,,,Arb!$AJ$5,),BF293)/BG293)</f>
        <v>2.9079616036137774</v>
      </c>
      <c r="BJ293" s="165">
        <f ca="1">IF(BF293="","",(INDEX(OFFSET(Arb!$U$2,,,Arb!$AJ$5,),BF293)+INDEX(OFFSET(Arb!$V$2,,,Arb!$AJ$5,),BF293))/BG293)</f>
        <v>3.3879164313946921</v>
      </c>
      <c r="BK293" s="51">
        <f t="shared" ca="1" si="92"/>
        <v>46.988725257625291</v>
      </c>
      <c r="BL293" s="91">
        <f ca="1">IF(BF293="","",DATE(INDEX(OFFSET(Arb!$C$2,,,Arb!$AJ$5,),BF293),INDEX(OFFSET(Arb!$B$2,,,Arb!$AJ$5,),BF293),INDEX(OFFSET(Arb!$A$2,,,Arb!$AJ$5,),BF293))+ROW()*0.001)</f>
        <v>44005.292999999998</v>
      </c>
      <c r="BM293" s="442">
        <v>151</v>
      </c>
      <c r="BN293" s="1">
        <v>2972</v>
      </c>
      <c r="BO293" s="52">
        <f ca="1">IF(BN293="","",INDEX(OFFSET(Arb!$H$2,,,Arb!$AJ$5,),BN293))</f>
        <v>75.55</v>
      </c>
      <c r="BP293" s="3">
        <f t="shared" ca="1" si="83"/>
        <v>1.9986763732627399</v>
      </c>
      <c r="BQ293" s="165">
        <f ca="1">IF(BN293="","",INDEX(OFFSET(Arb!$X$2,,,Arb!$AJ$5,),BN293)/BO293)</f>
        <v>2.6075446724023825</v>
      </c>
      <c r="BR293" s="165">
        <f ca="1">IF(BN293="","",(INDEX(OFFSET(Arb!$U$2,,,Arb!$AJ$5,),BN293)+INDEX(OFFSET(Arb!$V$2,,,Arb!$AJ$5,),BN293))/BO293)</f>
        <v>2.8855062872270021</v>
      </c>
      <c r="BS293" s="51">
        <f t="shared" ca="1" si="93"/>
        <v>42.118083948505387</v>
      </c>
      <c r="BT293" s="88">
        <f ca="1">IF(BN293="","",DATE(INDEX(OFFSET(Arb!$C$2,,,Arb!$AJ$5,),BN293),INDEX(OFFSET(Arb!$B$2,,,Arb!$AJ$5,),BN293),INDEX(OFFSET(Arb!$A$2,,,Arb!$AJ$5,),BN293))+ROW()*0.001)</f>
        <v>43952.292999999998</v>
      </c>
      <c r="BU293" s="436">
        <v>151</v>
      </c>
      <c r="BV293" s="1">
        <v>2701</v>
      </c>
      <c r="BW293" s="52">
        <f ca="1">IF(BV293="","",INDEX(OFFSET(Arb!$H$2,,,Arb!$AJ$5,),BV293))</f>
        <v>77.25</v>
      </c>
      <c r="BX293" s="3">
        <f t="shared" ca="1" si="84"/>
        <v>1.9546925566343043</v>
      </c>
      <c r="BY293" s="165">
        <f ca="1">IF(BV293="","",INDEX(OFFSET(Arb!$X$2,,,Arb!$AJ$5,),BV293)/BW293)</f>
        <v>2.4724919093851132</v>
      </c>
      <c r="BZ293" s="165">
        <f ca="1">IF(BV293="","",(INDEX(OFFSET(Arb!$U$2,,,Arb!$AJ$5,),BV293)+INDEX(OFFSET(Arb!$V$2,,,Arb!$AJ$5,),BV293))/BW293)</f>
        <v>2.796116504854369</v>
      </c>
      <c r="CA293" s="51">
        <f t="shared" ca="1" si="94"/>
        <v>40.554567378068512</v>
      </c>
      <c r="CB293" s="91">
        <f ca="1">IF(BV293="","",DATE(INDEX(OFFSET(Arb!$C$2,,,Arb!$AJ$5,),BV293),INDEX(OFFSET(Arb!$B$2,,,Arb!$AJ$5,),BV293),INDEX(OFFSET(Arb!$A$2,,,Arb!$AJ$5,),BV293))+ROW()*0.001)</f>
        <v>43841.292999999998</v>
      </c>
    </row>
    <row r="294" spans="1:80" x14ac:dyDescent="0.25">
      <c r="A294" s="433">
        <v>152</v>
      </c>
      <c r="B294" s="1">
        <v>3210</v>
      </c>
      <c r="C294" s="52">
        <f ca="1">IF(B294="","",INDEX(OFFSET(Arb!$H$2,,,Arb!$AJ$5,),B294))</f>
        <v>60.46</v>
      </c>
      <c r="D294" s="3">
        <f t="shared" ca="1" si="75"/>
        <v>2.5140588819053922</v>
      </c>
      <c r="E294" s="165">
        <f ca="1">IF(B294="","",INDEX(OFFSET(Arb!$X$2,,,Arb!$AJ$5,),B294)/C294)</f>
        <v>3.1260337413165731</v>
      </c>
      <c r="F294" s="165">
        <f ca="1">IF(B294="","",(INDEX(OFFSET(Arb!$U$2,,,Arb!$AJ$5,),B294)+INDEX(OFFSET(Arb!$V$2,,,Arb!$AJ$5,),B294))/C294)</f>
        <v>3.4733708236850811</v>
      </c>
      <c r="G294" s="51">
        <f t="shared" ca="1" si="85"/>
        <v>61.921005564456401</v>
      </c>
      <c r="H294" s="355">
        <f ca="1">IF(B294="","",DATE(INDEX(OFFSET(Arb!$C$2,,,Arb!$AJ$5,),B294),INDEX(OFFSET(Arb!$B$2,,,Arb!$AJ$5,),B294),INDEX(OFFSET(Arb!$A$2,,,Arb!$AJ$5,),B294))+ROW()*0.001)</f>
        <v>44059.294000000002</v>
      </c>
      <c r="I294" s="436">
        <v>152</v>
      </c>
      <c r="J294" s="1">
        <v>3095</v>
      </c>
      <c r="K294" s="52">
        <f ca="1">IF(J294="","",INDEX(OFFSET(Arb!$H$2,,,Arb!$AJ$5,),J294))</f>
        <v>64.83</v>
      </c>
      <c r="L294" s="3">
        <f t="shared" ca="1" si="76"/>
        <v>2.3445935523677313</v>
      </c>
      <c r="M294" s="165">
        <f ca="1">IF(J294="","",INDEX(OFFSET(Arb!$X$2,,,Arb!$AJ$5,),J294)/K294)</f>
        <v>2.8690421101341972</v>
      </c>
      <c r="N294" s="165">
        <f ca="1">IF(J294="","",(INDEX(OFFSET(Arb!$U$2,,,Arb!$AJ$5,),J294)+INDEX(OFFSET(Arb!$V$2,,,Arb!$AJ$5,),J294))/K294)</f>
        <v>3.22381613450563</v>
      </c>
      <c r="O294" s="51">
        <f t="shared" ca="1" si="86"/>
        <v>54.993911008375406</v>
      </c>
      <c r="P294" s="91">
        <f ca="1">IF(J294="","",DATE(INDEX(OFFSET(Arb!$C$2,,,Arb!$AJ$5,),J294),INDEX(OFFSET(Arb!$B$2,,,Arb!$AJ$5,),J294),INDEX(OFFSET(Arb!$A$2,,,Arb!$AJ$5,),J294))+ROW()*0.001)</f>
        <v>44004.294000000002</v>
      </c>
      <c r="Q294" s="442">
        <v>152</v>
      </c>
      <c r="R294" s="1">
        <v>2815</v>
      </c>
      <c r="S294" s="52">
        <f ca="1">IF(R294="","",INDEX(OFFSET(Arb!$H$2,,,Arb!$AJ$5,),R294))</f>
        <v>65.91</v>
      </c>
      <c r="T294" s="3">
        <f t="shared" ca="1" si="77"/>
        <v>2.3061750872401761</v>
      </c>
      <c r="U294" s="165">
        <f ca="1">IF(R294="","",INDEX(OFFSET(Arb!$X$2,,,Arb!$AJ$5,),R294)/S294)</f>
        <v>2.7309968138370508</v>
      </c>
      <c r="V294" s="165">
        <f ca="1">IF(R294="","",(INDEX(OFFSET(Arb!$U$2,,,Arb!$AJ$5,),R294)+INDEX(OFFSET(Arb!$V$2,,,Arb!$AJ$5,),R294))/S294)</f>
        <v>2.9737520861781217</v>
      </c>
      <c r="W294" s="51">
        <f t="shared" ca="1" si="87"/>
        <v>53.47079158709554</v>
      </c>
      <c r="X294" s="88">
        <f ca="1">IF(R294="","",DATE(INDEX(OFFSET(Arb!$C$2,,,Arb!$AJ$5,),R294),INDEX(OFFSET(Arb!$B$2,,,Arb!$AJ$5,),R294),INDEX(OFFSET(Arb!$A$2,,,Arb!$AJ$5,),R294))+ROW()*0.001)</f>
        <v>43898.294000000002</v>
      </c>
      <c r="Y294" s="436">
        <v>152</v>
      </c>
      <c r="Z294" s="1">
        <v>3145</v>
      </c>
      <c r="AA294" s="52">
        <f ca="1">IF(Z294="","",INDEX(OFFSET(Arb!$H$2,,,Arb!$AJ$5,),Z294))</f>
        <v>67.010000000000005</v>
      </c>
      <c r="AB294" s="3">
        <f t="shared" ca="1" si="78"/>
        <v>2.2683181614684376</v>
      </c>
      <c r="AC294" s="165">
        <f ca="1">IF(Z294="","",INDEX(OFFSET(Arb!$X$2,,,Arb!$AJ$5,),Z294)/AA294)</f>
        <v>2.8503208476346811</v>
      </c>
      <c r="AD294" s="165">
        <f ca="1">IF(Z294="","",(INDEX(OFFSET(Arb!$U$2,,,Arb!$AJ$5,),Z294)+INDEX(OFFSET(Arb!$V$2,,,Arb!$AJ$5,),Z294))/AA294)</f>
        <v>3.2233994926130425</v>
      </c>
      <c r="AE294" s="51">
        <f t="shared" ca="1" si="88"/>
        <v>51.987207848706461</v>
      </c>
      <c r="AF294" s="91">
        <f ca="1">IF(Z294="","",DATE(INDEX(OFFSET(Arb!$C$2,,,Arb!$AJ$5,),Z294),INDEX(OFFSET(Arb!$B$2,,,Arb!$AJ$5,),Z294),INDEX(OFFSET(Arb!$A$2,,,Arb!$AJ$5,),Z294))+ROW()*0.001)</f>
        <v>44024.294000000002</v>
      </c>
      <c r="AG294" s="442">
        <v>152</v>
      </c>
      <c r="AH294" s="1">
        <v>3108</v>
      </c>
      <c r="AI294" s="52">
        <f ca="1">IF(AH294="","",INDEX(OFFSET(Arb!$H$2,,,Arb!$AJ$5,),AH294))</f>
        <v>67.930000000000007</v>
      </c>
      <c r="AJ294" s="3">
        <f t="shared" ca="1" si="79"/>
        <v>2.237597526865891</v>
      </c>
      <c r="AK294" s="165">
        <f ca="1">IF(AH294="","",INDEX(OFFSET(Arb!$X$2,,,Arb!$AJ$5,),AH294)/AI294)</f>
        <v>2.7381127631385245</v>
      </c>
      <c r="AL294" s="165">
        <f ca="1">IF(AH294="","",(INDEX(OFFSET(Arb!$U$2,,,Arb!$AJ$5,),AH294)+INDEX(OFFSET(Arb!$V$2,,,Arb!$AJ$5,),AH294))/AI294)</f>
        <v>2.9442072721919619</v>
      </c>
      <c r="AM294" s="51">
        <f t="shared" ca="1" si="89"/>
        <v>50.795951337996165</v>
      </c>
      <c r="AN294" s="88">
        <f ca="1">IF(AH294="","",DATE(INDEX(OFFSET(Arb!$C$2,,,Arb!$AJ$5,),AH294),INDEX(OFFSET(Arb!$B$2,,,Arb!$AJ$5,),AH294),INDEX(OFFSET(Arb!$A$2,,,Arb!$AJ$5,),AH294))+ROW()*0.001)</f>
        <v>44007.294000000002</v>
      </c>
      <c r="AO294" s="436">
        <v>152</v>
      </c>
      <c r="AP294" s="1">
        <v>2622</v>
      </c>
      <c r="AQ294" s="52">
        <f ca="1">IF(AP294="","",INDEX(OFFSET(Arb!$H$2,,,Arb!$AJ$5,),AP294))</f>
        <v>69.239999999999995</v>
      </c>
      <c r="AR294" s="3">
        <f t="shared" ca="1" si="80"/>
        <v>2.1952628538417103</v>
      </c>
      <c r="AS294" s="165">
        <f ca="1">IF(AP294="","",INDEX(OFFSET(Arb!$X$2,,,Arb!$AJ$5,),AP294)/AQ294)</f>
        <v>2.715193529751589</v>
      </c>
      <c r="AT294" s="165">
        <f ca="1">IF(AP294="","",(INDEX(OFFSET(Arb!$U$2,,,Arb!$AJ$5,),AP294)+INDEX(OFFSET(Arb!$V$2,,,Arb!$AJ$5,),AP294))/AQ294)</f>
        <v>3.1051415366839978</v>
      </c>
      <c r="AU294" s="51">
        <f t="shared" ca="1" si="90"/>
        <v>49.173015582136721</v>
      </c>
      <c r="AV294" s="91">
        <f ca="1">IF(AP294="","",DATE(INDEX(OFFSET(Arb!$C$2,,,Arb!$AJ$5,),AP294),INDEX(OFFSET(Arb!$B$2,,,Arb!$AJ$5,),AP294),INDEX(OFFSET(Arb!$A$2,,,Arb!$AJ$5,),AP294))+ROW()*0.001)</f>
        <v>43814.294000000002</v>
      </c>
      <c r="AW294" s="442">
        <v>152</v>
      </c>
      <c r="AX294" s="1">
        <v>3261</v>
      </c>
      <c r="AY294" s="52">
        <f ca="1">IF(AX294="","",INDEX(OFFSET(Arb!$H$2,,,Arb!$AJ$5,),AX294))</f>
        <v>69.87</v>
      </c>
      <c r="AZ294" s="3">
        <f t="shared" ca="1" si="81"/>
        <v>2.1754687276370399</v>
      </c>
      <c r="BA294" s="165">
        <f ca="1">IF(AX294="","",INDEX(OFFSET(Arb!$X$2,,,Arb!$AJ$5,),AX294)/AY294)</f>
        <v>2.8338342636324603</v>
      </c>
      <c r="BB294" s="165">
        <f ca="1">IF(AX294="","",(INDEX(OFFSET(Arb!$U$2,,,Arb!$AJ$5,),AX294)+INDEX(OFFSET(Arb!$V$2,,,Arb!$AJ$5,),AX294))/AY294)</f>
        <v>3.2632030914555603</v>
      </c>
      <c r="BC294" s="51">
        <f t="shared" ca="1" si="91"/>
        <v>48.421649499630753</v>
      </c>
      <c r="BD294" s="88">
        <f ca="1">IF(AX294="","",DATE(INDEX(OFFSET(Arb!$C$2,,,Arb!$AJ$5,),AX294),INDEX(OFFSET(Arb!$B$2,,,Arb!$AJ$5,),AX294),INDEX(OFFSET(Arb!$A$2,,,Arb!$AJ$5,),AX294))+ROW()*0.001)</f>
        <v>44073.294000000002</v>
      </c>
      <c r="BE294" s="436">
        <v>152</v>
      </c>
      <c r="BF294" s="1">
        <v>2434</v>
      </c>
      <c r="BG294" s="52">
        <f ca="1">IF(BF294="","",INDEX(OFFSET(Arb!$H$2,,,Arb!$AJ$5,),BF294))</f>
        <v>72.47</v>
      </c>
      <c r="BH294" s="3">
        <f t="shared" ca="1" si="82"/>
        <v>2.0974196219125156</v>
      </c>
      <c r="BI294" s="165">
        <f ca="1">IF(BF294="","",INDEX(OFFSET(Arb!$X$2,,,Arb!$AJ$5,),BF294)/BG294)</f>
        <v>2.5941769007865325</v>
      </c>
      <c r="BJ294" s="165">
        <f ca="1">IF(BF294="","",(INDEX(OFFSET(Arb!$U$2,,,Arb!$AJ$5,),BF294)+INDEX(OFFSET(Arb!$V$2,,,Arb!$AJ$5,),BF294))/BG294)</f>
        <v>2.842555540223541</v>
      </c>
      <c r="BK294" s="51">
        <f t="shared" ca="1" si="92"/>
        <v>45.505595184153108</v>
      </c>
      <c r="BL294" s="91">
        <f ca="1">IF(BF294="","",DATE(INDEX(OFFSET(Arb!$C$2,,,Arb!$AJ$5,),BF294),INDEX(OFFSET(Arb!$B$2,,,Arb!$AJ$5,),BF294),INDEX(OFFSET(Arb!$A$2,,,Arb!$AJ$5,),BF294))+ROW()*0.001)</f>
        <v>43772.294000000002</v>
      </c>
      <c r="BM294" s="442">
        <v>152</v>
      </c>
      <c r="BN294" s="1">
        <v>2867</v>
      </c>
      <c r="BO294" s="52">
        <f ca="1">IF(BN294="","",INDEX(OFFSET(Arb!$H$2,,,Arb!$AJ$5,),BN294))</f>
        <v>72.959999999999994</v>
      </c>
      <c r="BP294" s="3">
        <f t="shared" ca="1" si="83"/>
        <v>2.0833333333333335</v>
      </c>
      <c r="BQ294" s="165">
        <f ca="1">IF(BN294="","",INDEX(OFFSET(Arb!$X$2,,,Arb!$AJ$5,),BN294)/BO294)</f>
        <v>2.7412280701754388</v>
      </c>
      <c r="BR294" s="165">
        <f ca="1">IF(BN294="","",(INDEX(OFFSET(Arb!$U$2,,,Arb!$AJ$5,),BN294)+INDEX(OFFSET(Arb!$V$2,,,Arb!$AJ$5,),BN294))/BO294)</f>
        <v>3.0564692982456143</v>
      </c>
      <c r="BS294" s="51">
        <f t="shared" ca="1" si="93"/>
        <v>44.987270095361431</v>
      </c>
      <c r="BT294" s="88">
        <f ca="1">IF(BN294="","",DATE(INDEX(OFFSET(Arb!$C$2,,,Arb!$AJ$5,),BN294),INDEX(OFFSET(Arb!$B$2,,,Arb!$AJ$5,),BN294),INDEX(OFFSET(Arb!$A$2,,,Arb!$AJ$5,),BN294))+ROW()*0.001)</f>
        <v>43910.294000000002</v>
      </c>
      <c r="BU294" s="436">
        <v>152</v>
      </c>
      <c r="BV294" s="1">
        <v>2442</v>
      </c>
      <c r="BW294" s="52">
        <f ca="1">IF(BV294="","",INDEX(OFFSET(Arb!$H$2,,,Arb!$AJ$5,),BV294))</f>
        <v>73.67</v>
      </c>
      <c r="BX294" s="3">
        <f t="shared" ca="1" si="84"/>
        <v>2.0632550563322924</v>
      </c>
      <c r="BY294" s="165">
        <f ca="1">IF(BV294="","",INDEX(OFFSET(Arb!$X$2,,,Arb!$AJ$5,),BV294)/BW294)</f>
        <v>2.4976245418759331</v>
      </c>
      <c r="BZ294" s="165">
        <f ca="1">IF(BV294="","",(INDEX(OFFSET(Arb!$U$2,,,Arb!$AJ$5,),BV294)+INDEX(OFFSET(Arb!$V$2,,,Arb!$AJ$5,),BV294))/BW294)</f>
        <v>2.7419573774942312</v>
      </c>
      <c r="CA294" s="51">
        <f t="shared" ca="1" si="94"/>
        <v>44.252692966486734</v>
      </c>
      <c r="CB294" s="91">
        <f ca="1">IF(BV294="","",DATE(INDEX(OFFSET(Arb!$C$2,,,Arb!$AJ$5,),BV294),INDEX(OFFSET(Arb!$B$2,,,Arb!$AJ$5,),BV294),INDEX(OFFSET(Arb!$A$2,,,Arb!$AJ$5,),BV294))+ROW()*0.001)</f>
        <v>43773.294000000002</v>
      </c>
    </row>
    <row r="295" spans="1:80" x14ac:dyDescent="0.25">
      <c r="A295" s="433">
        <v>153</v>
      </c>
      <c r="B295" s="1">
        <v>3184</v>
      </c>
      <c r="C295" s="52">
        <f ca="1">IF(B295="","",INDEX(OFFSET(Arb!$H$2,,,Arb!$AJ$5,),B295))</f>
        <v>65.7</v>
      </c>
      <c r="D295" s="3">
        <f t="shared" ca="1" si="75"/>
        <v>2.3287671232876712</v>
      </c>
      <c r="E295" s="165">
        <f ca="1">IF(B295="","",INDEX(OFFSET(Arb!$X$2,,,Arb!$AJ$5,),B295)/C295)</f>
        <v>2.7092846270928463</v>
      </c>
      <c r="F295" s="165">
        <f ca="1">IF(B295="","",(INDEX(OFFSET(Arb!$U$2,,,Arb!$AJ$5,),B295)+INDEX(OFFSET(Arb!$V$2,,,Arb!$AJ$5,),B295))/C295)</f>
        <v>3.0593607305936072</v>
      </c>
      <c r="G295" s="51">
        <f t="shared" ca="1" si="85"/>
        <v>54.11536074521193</v>
      </c>
      <c r="H295" s="355">
        <f ca="1">IF(B295="","",DATE(INDEX(OFFSET(Arb!$C$2,,,Arb!$AJ$5,),B295),INDEX(OFFSET(Arb!$B$2,,,Arb!$AJ$5,),B295),INDEX(OFFSET(Arb!$A$2,,,Arb!$AJ$5,),B295))+ROW()*0.001)</f>
        <v>44052.294999999998</v>
      </c>
      <c r="I295" s="436">
        <v>153</v>
      </c>
      <c r="J295" s="1">
        <v>3397</v>
      </c>
      <c r="K295" s="52">
        <f ca="1">IF(J295="","",INDEX(OFFSET(Arb!$H$2,,,Arb!$AJ$5,),J295))</f>
        <v>68.849999999999994</v>
      </c>
      <c r="L295" s="3">
        <f t="shared" ca="1" si="76"/>
        <v>2.2222222222222223</v>
      </c>
      <c r="M295" s="165">
        <f ca="1">IF(J295="","",INDEX(OFFSET(Arb!$X$2,,,Arb!$AJ$5,),J295)/K295)</f>
        <v>2.6870007262164126</v>
      </c>
      <c r="N295" s="165">
        <f ca="1">IF(J295="","",(INDEX(OFFSET(Arb!$U$2,,,Arb!$AJ$5,),J295)+INDEX(OFFSET(Arb!$V$2,,,Arb!$AJ$5,),J295))/K295)</f>
        <v>2.9920116194626001</v>
      </c>
      <c r="O295" s="51">
        <f t="shared" ca="1" si="86"/>
        <v>49.974099865685901</v>
      </c>
      <c r="P295" s="91">
        <f ca="1">IF(J295="","",DATE(INDEX(OFFSET(Arb!$C$2,,,Arb!$AJ$5,),J295),INDEX(OFFSET(Arb!$B$2,,,Arb!$AJ$5,),J295),INDEX(OFFSET(Arb!$A$2,,,Arb!$AJ$5,),J295))+ROW()*0.001)</f>
        <v>44144.294999999998</v>
      </c>
      <c r="Q295" s="442">
        <v>153</v>
      </c>
      <c r="R295" s="1">
        <v>3395</v>
      </c>
      <c r="S295" s="52">
        <f ca="1">IF(R295="","",INDEX(OFFSET(Arb!$H$2,,,Arb!$AJ$5,),R295))</f>
        <v>69.27</v>
      </c>
      <c r="T295" s="3">
        <f t="shared" ca="1" si="77"/>
        <v>2.2087483759203121</v>
      </c>
      <c r="U295" s="165">
        <f ca="1">IF(R295="","",INDEX(OFFSET(Arb!$X$2,,,Arb!$AJ$5,),R295)/S295)</f>
        <v>2.5119099177132957</v>
      </c>
      <c r="V295" s="165">
        <f ca="1">IF(R295="","",(INDEX(OFFSET(Arb!$U$2,,,Arb!$AJ$5,),R295)+INDEX(OFFSET(Arb!$V$2,,,Arb!$AJ$5,),R295))/S295)</f>
        <v>2.8872527789808</v>
      </c>
      <c r="W295" s="51">
        <f t="shared" ca="1" si="87"/>
        <v>49.46008599999054</v>
      </c>
      <c r="X295" s="88">
        <f ca="1">IF(R295="","",DATE(INDEX(OFFSET(Arb!$C$2,,,Arb!$AJ$5,),R295),INDEX(OFFSET(Arb!$B$2,,,Arb!$AJ$5,),R295),INDEX(OFFSET(Arb!$A$2,,,Arb!$AJ$5,),R295))+ROW()*0.001)</f>
        <v>44144.294999999998</v>
      </c>
      <c r="Y295" s="436">
        <v>153</v>
      </c>
      <c r="Z295" s="1">
        <v>2954</v>
      </c>
      <c r="AA295" s="52">
        <f ca="1">IF(Z295="","",INDEX(OFFSET(Arb!$H$2,,,Arb!$AJ$5,),Z295))</f>
        <v>70.75</v>
      </c>
      <c r="AB295" s="3">
        <f t="shared" ca="1" si="78"/>
        <v>2.1625441696113072</v>
      </c>
      <c r="AC295" s="165">
        <f ca="1">IF(Z295="","",INDEX(OFFSET(Arb!$X$2,,,Arb!$AJ$5,),Z295)/AA295)</f>
        <v>2.6431095406360425</v>
      </c>
      <c r="AD295" s="165">
        <f ca="1">IF(Z295="","",(INDEX(OFFSET(Arb!$U$2,,,Arb!$AJ$5,),Z295)+INDEX(OFFSET(Arb!$V$2,,,Arb!$AJ$5,),Z295))/AA295)</f>
        <v>2.9681978798586575</v>
      </c>
      <c r="AE295" s="51">
        <f t="shared" ca="1" si="88"/>
        <v>47.714099405535706</v>
      </c>
      <c r="AF295" s="91">
        <f ca="1">IF(Z295="","",DATE(INDEX(OFFSET(Arb!$C$2,,,Arb!$AJ$5,),Z295),INDEX(OFFSET(Arb!$B$2,,,Arb!$AJ$5,),Z295),INDEX(OFFSET(Arb!$A$2,,,Arb!$AJ$5,),Z295))+ROW()*0.001)</f>
        <v>43949.294999999998</v>
      </c>
      <c r="AG295" s="442">
        <v>153</v>
      </c>
      <c r="AH295" s="1">
        <v>3110</v>
      </c>
      <c r="AI295" s="52">
        <f ca="1">IF(AH295="","",INDEX(OFFSET(Arb!$H$2,,,Arb!$AJ$5,),AH295))</f>
        <v>71.75</v>
      </c>
      <c r="AJ295" s="3">
        <f t="shared" ca="1" si="79"/>
        <v>2.1324041811846688</v>
      </c>
      <c r="AK295" s="165">
        <f ca="1">IF(AH295="","",INDEX(OFFSET(Arb!$X$2,,,Arb!$AJ$5,),AH295)/AI295)</f>
        <v>2.5783972125435541</v>
      </c>
      <c r="AL295" s="165">
        <f ca="1">IF(AH295="","",(INDEX(OFFSET(Arb!$U$2,,,Arb!$AJ$5,),AH295)+INDEX(OFFSET(Arb!$V$2,,,Arb!$AJ$5,),AH295))/AI295)</f>
        <v>2.9965156794425085</v>
      </c>
      <c r="AM295" s="51">
        <f t="shared" ca="1" si="89"/>
        <v>46.589113522464281</v>
      </c>
      <c r="AN295" s="88">
        <f ca="1">IF(AH295="","",DATE(INDEX(OFFSET(Arb!$C$2,,,Arb!$AJ$5,),AH295),INDEX(OFFSET(Arb!$B$2,,,Arb!$AJ$5,),AH295),INDEX(OFFSET(Arb!$A$2,,,Arb!$AJ$5,),AH295))+ROW()*0.001)</f>
        <v>44007.294999999998</v>
      </c>
      <c r="AO295" s="436">
        <v>153</v>
      </c>
      <c r="AP295" s="1">
        <v>2518</v>
      </c>
      <c r="AQ295" s="52">
        <f ca="1">IF(AP295="","",INDEX(OFFSET(Arb!$H$2,,,Arb!$AJ$5,),AP295))</f>
        <v>72.09</v>
      </c>
      <c r="AR295" s="3">
        <f t="shared" ca="1" si="80"/>
        <v>2.1223470661672907</v>
      </c>
      <c r="AS295" s="165">
        <f ca="1">IF(AP295="","",INDEX(OFFSET(Arb!$X$2,,,Arb!$AJ$5,),AP295)/AQ295)</f>
        <v>2.5523650991815785</v>
      </c>
      <c r="AT295" s="165">
        <f ca="1">IF(AP295="","",(INDEX(OFFSET(Arb!$U$2,,,Arb!$AJ$5,),AP295)+INDEX(OFFSET(Arb!$V$2,,,Arb!$AJ$5,),AP295))/AQ295)</f>
        <v>2.8297960882230542</v>
      </c>
      <c r="AU295" s="51">
        <f t="shared" ca="1" si="90"/>
        <v>46.216190296715624</v>
      </c>
      <c r="AV295" s="91">
        <f ca="1">IF(AP295="","",DATE(INDEX(OFFSET(Arb!$C$2,,,Arb!$AJ$5,),AP295),INDEX(OFFSET(Arb!$B$2,,,Arb!$AJ$5,),AP295),INDEX(OFFSET(Arb!$A$2,,,Arb!$AJ$5,),AP295))+ROW()*0.001)</f>
        <v>43791.294999999998</v>
      </c>
      <c r="AW295" s="442">
        <v>153</v>
      </c>
      <c r="AX295" s="1">
        <v>3407</v>
      </c>
      <c r="AY295" s="52">
        <f ca="1">IF(AX295="","",INDEX(OFFSET(Arb!$H$2,,,Arb!$AJ$5,),AX295))</f>
        <v>72.680000000000007</v>
      </c>
      <c r="AZ295" s="3">
        <f t="shared" ca="1" si="81"/>
        <v>2.1051183269124931</v>
      </c>
      <c r="BA295" s="165">
        <f ca="1">IF(AX295="","",INDEX(OFFSET(Arb!$X$2,,,Arb!$AJ$5,),AX295)/AY295)</f>
        <v>2.5178866263070994</v>
      </c>
      <c r="BB295" s="165">
        <f ca="1">IF(AX295="","",(INDEX(OFFSET(Arb!$U$2,,,Arb!$AJ$5,),AX295)+INDEX(OFFSET(Arb!$V$2,,,Arb!$AJ$5,),AX295))/AY295)</f>
        <v>2.8481012658227844</v>
      </c>
      <c r="BC295" s="51">
        <f t="shared" ca="1" si="91"/>
        <v>45.580210284451567</v>
      </c>
      <c r="BD295" s="88">
        <f ca="1">IF(AX295="","",DATE(INDEX(OFFSET(Arb!$C$2,,,Arb!$AJ$5,),AX295),INDEX(OFFSET(Arb!$B$2,,,Arb!$AJ$5,),AX295),INDEX(OFFSET(Arb!$A$2,,,Arb!$AJ$5,),AX295))+ROW()*0.001)</f>
        <v>44146.294999999998</v>
      </c>
      <c r="BE295" s="436">
        <v>153</v>
      </c>
      <c r="BF295" s="1">
        <v>3375</v>
      </c>
      <c r="BG295" s="52">
        <f ca="1">IF(BF295="","",INDEX(OFFSET(Arb!$H$2,,,Arb!$AJ$5,),BF295))</f>
        <v>73.010000000000005</v>
      </c>
      <c r="BH295" s="3">
        <f t="shared" ca="1" si="82"/>
        <v>2.0956033420079438</v>
      </c>
      <c r="BI295" s="165">
        <f ca="1">IF(BF295="","",INDEX(OFFSET(Arb!$X$2,,,Arb!$AJ$5,),BF295)/BG295)</f>
        <v>2.3010546500479383</v>
      </c>
      <c r="BJ295" s="165">
        <f ca="1">IF(BF295="","",(INDEX(OFFSET(Arb!$U$2,,,Arb!$AJ$5,),BF295)+INDEX(OFFSET(Arb!$V$2,,,Arb!$AJ$5,),BF295))/BG295)</f>
        <v>2.588686481303931</v>
      </c>
      <c r="BK295" s="51">
        <f t="shared" ca="1" si="92"/>
        <v>45.230531777831501</v>
      </c>
      <c r="BL295" s="91">
        <f ca="1">IF(BF295="","",DATE(INDEX(OFFSET(Arb!$C$2,,,Arb!$AJ$5,),BF295),INDEX(OFFSET(Arb!$B$2,,,Arb!$AJ$5,),BF295),INDEX(OFFSET(Arb!$A$2,,,Arb!$AJ$5,),BF295))+ROW()*0.001)</f>
        <v>44129.294999999998</v>
      </c>
      <c r="BM295" s="442">
        <v>153</v>
      </c>
      <c r="BN295" s="1">
        <v>3076</v>
      </c>
      <c r="BO295" s="52">
        <f ca="1">IF(BN295="","",INDEX(OFFSET(Arb!$H$2,,,Arb!$AJ$5,),BN295))</f>
        <v>74.83</v>
      </c>
      <c r="BP295" s="3">
        <f t="shared" ca="1" si="83"/>
        <v>2.044634504877723</v>
      </c>
      <c r="BQ295" s="165">
        <f ca="1">IF(BN295="","",INDEX(OFFSET(Arb!$X$2,,,Arb!$AJ$5,),BN295)/BO295)</f>
        <v>2.5123613523987705</v>
      </c>
      <c r="BR295" s="165">
        <f ca="1">IF(BN295="","",(INDEX(OFFSET(Arb!$U$2,,,Arb!$AJ$5,),BN295)+INDEX(OFFSET(Arb!$V$2,,,Arb!$AJ$5,),BN295))/BO295)</f>
        <v>2.7662702124816252</v>
      </c>
      <c r="BS295" s="51">
        <f t="shared" ca="1" si="93"/>
        <v>43.376341483930979</v>
      </c>
      <c r="BT295" s="88">
        <f ca="1">IF(BN295="","",DATE(INDEX(OFFSET(Arb!$C$2,,,Arb!$AJ$5,),BN295),INDEX(OFFSET(Arb!$B$2,,,Arb!$AJ$5,),BN295),INDEX(OFFSET(Arb!$A$2,,,Arb!$AJ$5,),BN295))+ROW()*0.001)</f>
        <v>44003.294999999998</v>
      </c>
      <c r="BU295" s="436">
        <v>153</v>
      </c>
      <c r="BV295" s="1">
        <v>2997</v>
      </c>
      <c r="BW295" s="52">
        <f ca="1">IF(BV295="","",INDEX(OFFSET(Arb!$H$2,,,Arb!$AJ$5,),BV295))</f>
        <v>77.459999999999994</v>
      </c>
      <c r="BX295" s="3">
        <f t="shared" ca="1" si="84"/>
        <v>1.975213013168087</v>
      </c>
      <c r="BY295" s="165">
        <f ca="1">IF(BV295="","",INDEX(OFFSET(Arb!$X$2,,,Arb!$AJ$5,),BV295)/BW295)</f>
        <v>2.388329460366641</v>
      </c>
      <c r="BZ295" s="165">
        <f ca="1">IF(BV295="","",(INDEX(OFFSET(Arb!$U$2,,,Arb!$AJ$5,),BV295)+INDEX(OFFSET(Arb!$V$2,,,Arb!$AJ$5,),BV295))/BW295)</f>
        <v>2.7756261296152855</v>
      </c>
      <c r="CA295" s="51">
        <f t="shared" ca="1" si="94"/>
        <v>40.90250897837489</v>
      </c>
      <c r="CB295" s="91">
        <f ca="1">IF(BV295="","",DATE(INDEX(OFFSET(Arb!$C$2,,,Arb!$AJ$5,),BV295),INDEX(OFFSET(Arb!$B$2,,,Arb!$AJ$5,),BV295),INDEX(OFFSET(Arb!$A$2,,,Arb!$AJ$5,),BV295))+ROW()*0.001)</f>
        <v>43957.294999999998</v>
      </c>
    </row>
    <row r="296" spans="1:80" x14ac:dyDescent="0.25">
      <c r="A296" s="433">
        <v>154</v>
      </c>
      <c r="B296" s="1">
        <v>3227</v>
      </c>
      <c r="C296" s="52">
        <f ca="1">IF(B296="","",INDEX(OFFSET(Arb!$H$2,,,Arb!$AJ$5,),B296))</f>
        <v>60.75</v>
      </c>
      <c r="D296" s="3">
        <f t="shared" ca="1" si="75"/>
        <v>2.5349794238683128</v>
      </c>
      <c r="E296" s="165">
        <f ca="1">IF(B296="","",INDEX(OFFSET(Arb!$X$2,,,Arb!$AJ$5,),B296)/C296)</f>
        <v>3.094650205761317</v>
      </c>
      <c r="F296" s="165">
        <f ca="1">IF(B296="","",(INDEX(OFFSET(Arb!$U$2,,,Arb!$AJ$5,),B296)+INDEX(OFFSET(Arb!$V$2,,,Arb!$AJ$5,),B296))/C296)</f>
        <v>3.3580246913580245</v>
      </c>
      <c r="G296" s="51">
        <f t="shared" ca="1" si="85"/>
        <v>62.227491807794657</v>
      </c>
      <c r="H296" s="355">
        <f ca="1">IF(B296="","",DATE(INDEX(OFFSET(Arb!$C$2,,,Arb!$AJ$5,),B296),INDEX(OFFSET(Arb!$B$2,,,Arb!$AJ$5,),B296),INDEX(OFFSET(Arb!$A$2,,,Arb!$AJ$5,),B296))+ROW()*0.001)</f>
        <v>44061.296000000002</v>
      </c>
      <c r="I296" s="436">
        <v>154</v>
      </c>
      <c r="J296" s="1">
        <v>2842</v>
      </c>
      <c r="K296" s="52">
        <f ca="1">IF(J296="","",INDEX(OFFSET(Arb!$H$2,,,Arb!$AJ$5,),J296))</f>
        <v>66.37</v>
      </c>
      <c r="L296" s="3">
        <f t="shared" ca="1" si="76"/>
        <v>2.3203254482446889</v>
      </c>
      <c r="M296" s="165">
        <f ca="1">IF(J296="","",INDEX(OFFSET(Arb!$X$2,,,Arb!$AJ$5,),J296)/K296)</f>
        <v>2.6668675606448695</v>
      </c>
      <c r="N296" s="165">
        <f ca="1">IF(J296="","",(INDEX(OFFSET(Arb!$U$2,,,Arb!$AJ$5,),J296)+INDEX(OFFSET(Arb!$V$2,,,Arb!$AJ$5,),J296))/K296)</f>
        <v>2.8928732861232485</v>
      </c>
      <c r="O296" s="51">
        <f t="shared" ca="1" si="86"/>
        <v>53.537598468425607</v>
      </c>
      <c r="P296" s="91">
        <f ca="1">IF(J296="","",DATE(INDEX(OFFSET(Arb!$C$2,,,Arb!$AJ$5,),J296),INDEX(OFFSET(Arb!$B$2,,,Arb!$AJ$5,),J296),INDEX(OFFSET(Arb!$A$2,,,Arb!$AJ$5,),J296))+ROW()*0.001)</f>
        <v>43904.296000000002</v>
      </c>
      <c r="Q296" s="442">
        <v>154</v>
      </c>
      <c r="R296" s="1">
        <v>3415</v>
      </c>
      <c r="S296" s="52">
        <f ca="1">IF(R296="","",INDEX(OFFSET(Arb!$H$2,,,Arb!$AJ$5,),R296))</f>
        <v>67.069999999999993</v>
      </c>
      <c r="T296" s="3">
        <f t="shared" ca="1" si="77"/>
        <v>2.2961085433129567</v>
      </c>
      <c r="U296" s="165">
        <f ca="1">IF(R296="","",INDEX(OFFSET(Arb!$X$2,,,Arb!$AJ$5,),R296)/S296)</f>
        <v>2.4750260921425378</v>
      </c>
      <c r="V296" s="165">
        <f ca="1">IF(R296="","",(INDEX(OFFSET(Arb!$U$2,,,Arb!$AJ$5,),R296)+INDEX(OFFSET(Arb!$V$2,,,Arb!$AJ$5,),R296))/S296)</f>
        <v>2.728492619651111</v>
      </c>
      <c r="W296" s="51">
        <f t="shared" ca="1" si="87"/>
        <v>52.591172746893875</v>
      </c>
      <c r="X296" s="88">
        <f ca="1">IF(R296="","",DATE(INDEX(OFFSET(Arb!$C$2,,,Arb!$AJ$5,),R296),INDEX(OFFSET(Arb!$B$2,,,Arb!$AJ$5,),R296),INDEX(OFFSET(Arb!$A$2,,,Arb!$AJ$5,),R296))+ROW()*0.001)</f>
        <v>44147.296000000002</v>
      </c>
      <c r="Y296" s="436">
        <v>154</v>
      </c>
      <c r="Z296" s="1">
        <v>2961</v>
      </c>
      <c r="AA296" s="52">
        <f ca="1">IF(Z296="","",INDEX(OFFSET(Arb!$H$2,,,Arb!$AJ$5,),Z296))</f>
        <v>67.31</v>
      </c>
      <c r="AB296" s="3">
        <f t="shared" ca="1" si="78"/>
        <v>2.2879215569751894</v>
      </c>
      <c r="AC296" s="165">
        <f ca="1">IF(Z296="","",INDEX(OFFSET(Arb!$X$2,,,Arb!$AJ$5,),Z296)/AA296)</f>
        <v>2.92675679690982</v>
      </c>
      <c r="AD296" s="165">
        <f ca="1">IF(Z296="","",(INDEX(OFFSET(Arb!$U$2,,,Arb!$AJ$5,),Z296)+INDEX(OFFSET(Arb!$V$2,,,Arb!$AJ$5,),Z296))/AA296)</f>
        <v>3.2536027336205615</v>
      </c>
      <c r="AE296" s="51">
        <f t="shared" ca="1" si="88"/>
        <v>52.272788981387791</v>
      </c>
      <c r="AF296" s="91">
        <f ca="1">IF(Z296="","",DATE(INDEX(OFFSET(Arb!$C$2,,,Arb!$AJ$5,),Z296),INDEX(OFFSET(Arb!$B$2,,,Arb!$AJ$5,),Z296),INDEX(OFFSET(Arb!$A$2,,,Arb!$AJ$5,),Z296))+ROW()*0.001)</f>
        <v>43951.296000000002</v>
      </c>
      <c r="AG296" s="442">
        <v>154</v>
      </c>
      <c r="AH296" s="1">
        <v>3383</v>
      </c>
      <c r="AI296" s="52">
        <f ca="1">IF(AH296="","",INDEX(OFFSET(Arb!$H$2,,,Arb!$AJ$5,),AH296))</f>
        <v>70.42</v>
      </c>
      <c r="AJ296" s="3">
        <f t="shared" ca="1" si="79"/>
        <v>2.1868787276341948</v>
      </c>
      <c r="AK296" s="165">
        <f ca="1">IF(AH296="","",INDEX(OFFSET(Arb!$X$2,,,Arb!$AJ$5,),AH296)/AI296)</f>
        <v>2.6838966202783299</v>
      </c>
      <c r="AL296" s="165">
        <f ca="1">IF(AH296="","",(INDEX(OFFSET(Arb!$U$2,,,Arb!$AJ$5,),AH296)+INDEX(OFFSET(Arb!$V$2,,,Arb!$AJ$5,),AH296))/AI296)</f>
        <v>3.2377165577960807</v>
      </c>
      <c r="AM296" s="51">
        <f t="shared" ca="1" si="89"/>
        <v>48.409181638912301</v>
      </c>
      <c r="AN296" s="88">
        <f ca="1">IF(AH296="","",DATE(INDEX(OFFSET(Arb!$C$2,,,Arb!$AJ$5,),AH296),INDEX(OFFSET(Arb!$B$2,,,Arb!$AJ$5,),AH296),INDEX(OFFSET(Arb!$A$2,,,Arb!$AJ$5,),AH296))+ROW()*0.001)</f>
        <v>44135.296000000002</v>
      </c>
      <c r="AO296" s="436">
        <v>154</v>
      </c>
      <c r="AP296" s="1">
        <v>3174</v>
      </c>
      <c r="AQ296" s="52">
        <f ca="1">IF(AP296="","",INDEX(OFFSET(Arb!$H$2,,,Arb!$AJ$5,),AP296))</f>
        <v>70.84</v>
      </c>
      <c r="AR296" s="3">
        <f t="shared" ca="1" si="80"/>
        <v>2.1739130434782608</v>
      </c>
      <c r="AS296" s="165">
        <f ca="1">IF(AP296="","",INDEX(OFFSET(Arb!$X$2,,,Arb!$AJ$5,),AP296)/AQ296)</f>
        <v>2.6256352343308862</v>
      </c>
      <c r="AT296" s="165">
        <f ca="1">IF(AP296="","",(INDEX(OFFSET(Arb!$U$2,,,Arb!$AJ$5,),AP296)+INDEX(OFFSET(Arb!$V$2,,,Arb!$AJ$5,),AP296))/AQ296)</f>
        <v>2.9644268774703555</v>
      </c>
      <c r="AU296" s="51">
        <f t="shared" ca="1" si="90"/>
        <v>47.922276090558249</v>
      </c>
      <c r="AV296" s="91">
        <f ca="1">IF(AP296="","",DATE(INDEX(OFFSET(Arb!$C$2,,,Arb!$AJ$5,),AP296),INDEX(OFFSET(Arb!$B$2,,,Arb!$AJ$5,),AP296),INDEX(OFFSET(Arb!$A$2,,,Arb!$AJ$5,),AP296))+ROW()*0.001)</f>
        <v>44042.296000000002</v>
      </c>
      <c r="AW296" s="442">
        <v>154</v>
      </c>
      <c r="AX296" s="1">
        <v>3032</v>
      </c>
      <c r="AY296" s="52">
        <f ca="1">IF(AX296="","",INDEX(OFFSET(Arb!$H$2,,,Arb!$AJ$5,),AX296))</f>
        <v>71.13</v>
      </c>
      <c r="AZ296" s="3">
        <f t="shared" ca="1" si="81"/>
        <v>2.1650499086180233</v>
      </c>
      <c r="BA296" s="165">
        <f ca="1">IF(AX296="","",INDEX(OFFSET(Arb!$X$2,,,Arb!$AJ$5,),AX296)/AY296)</f>
        <v>2.6992830029523409</v>
      </c>
      <c r="BB296" s="165">
        <f ca="1">IF(AX296="","",(INDEX(OFFSET(Arb!$U$2,,,Arb!$AJ$5,),AX296)+INDEX(OFFSET(Arb!$V$2,,,Arb!$AJ$5,),AX296))/AY296)</f>
        <v>3.0085758470406301</v>
      </c>
      <c r="BC296" s="51">
        <f t="shared" ca="1" si="91"/>
        <v>47.590602319508328</v>
      </c>
      <c r="BD296" s="88">
        <f ca="1">IF(AX296="","",DATE(INDEX(OFFSET(Arb!$C$2,,,Arb!$AJ$5,),AX296),INDEX(OFFSET(Arb!$B$2,,,Arb!$AJ$5,),AX296),INDEX(OFFSET(Arb!$A$2,,,Arb!$AJ$5,),AX296))+ROW()*0.001)</f>
        <v>43978.296000000002</v>
      </c>
      <c r="BE296" s="436">
        <v>154</v>
      </c>
      <c r="BF296" s="1">
        <v>3021</v>
      </c>
      <c r="BG296" s="52">
        <f ca="1">IF(BF296="","",INDEX(OFFSET(Arb!$H$2,,,Arb!$AJ$5,),BF296))</f>
        <v>71.62</v>
      </c>
      <c r="BH296" s="3">
        <f t="shared" ca="1" si="82"/>
        <v>2.150237363864842</v>
      </c>
      <c r="BI296" s="165">
        <f ca="1">IF(BF296="","",INDEX(OFFSET(Arb!$X$2,,,Arb!$AJ$5,),BF296)/BG296)</f>
        <v>2.6249650935492879</v>
      </c>
      <c r="BJ296" s="165">
        <f ca="1">IF(BF296="","",(INDEX(OFFSET(Arb!$U$2,,,Arb!$AJ$5,),BF296)+INDEX(OFFSET(Arb!$V$2,,,Arb!$AJ$5,),BF296))/BG296)</f>
        <v>2.918179279530857</v>
      </c>
      <c r="BK296" s="51">
        <f t="shared" ca="1" si="92"/>
        <v>47.038410497763415</v>
      </c>
      <c r="BL296" s="91">
        <f ca="1">IF(BF296="","",DATE(INDEX(OFFSET(Arb!$C$2,,,Arb!$AJ$5,),BF296),INDEX(OFFSET(Arb!$B$2,,,Arb!$AJ$5,),BF296),INDEX(OFFSET(Arb!$A$2,,,Arb!$AJ$5,),BF296))+ROW()*0.001)</f>
        <v>43964.296000000002</v>
      </c>
      <c r="BM296" s="442">
        <v>154</v>
      </c>
      <c r="BN296" s="1">
        <v>2737</v>
      </c>
      <c r="BO296" s="52">
        <f ca="1">IF(BN296="","",INDEX(OFFSET(Arb!$H$2,,,Arb!$AJ$5,),BN296))</f>
        <v>74.099999999999994</v>
      </c>
      <c r="BP296" s="3">
        <f t="shared" ca="1" si="83"/>
        <v>2.0782726045883941</v>
      </c>
      <c r="BQ296" s="165">
        <f ca="1">IF(BN296="","",INDEX(OFFSET(Arb!$X$2,,,Arb!$AJ$5,),BN296)/BO296)</f>
        <v>2.6180836707152499</v>
      </c>
      <c r="BR296" s="165">
        <f ca="1">IF(BN296="","",(INDEX(OFFSET(Arb!$U$2,,,Arb!$AJ$5,),BN296)+INDEX(OFFSET(Arb!$V$2,,,Arb!$AJ$5,),BN296))/BO296)</f>
        <v>2.9689608636977058</v>
      </c>
      <c r="BS296" s="51">
        <f t="shared" ca="1" si="93"/>
        <v>44.393565041496821</v>
      </c>
      <c r="BT296" s="88">
        <f ca="1">IF(BN296="","",DATE(INDEX(OFFSET(Arb!$C$2,,,Arb!$AJ$5,),BN296),INDEX(OFFSET(Arb!$B$2,,,Arb!$AJ$5,),BN296),INDEX(OFFSET(Arb!$A$2,,,Arb!$AJ$5,),BN296))+ROW()*0.001)</f>
        <v>43869.296000000002</v>
      </c>
      <c r="BU296" s="436">
        <v>154</v>
      </c>
      <c r="BV296" s="1">
        <v>3131</v>
      </c>
      <c r="BW296" s="52">
        <f ca="1">IF(BV296="","",INDEX(OFFSET(Arb!$H$2,,,Arb!$AJ$5,),BV296))</f>
        <v>74.13</v>
      </c>
      <c r="BX296" s="3">
        <f t="shared" ca="1" si="84"/>
        <v>2.0774315391879132</v>
      </c>
      <c r="BY296" s="165">
        <f ca="1">IF(BV296="","",INDEX(OFFSET(Arb!$X$2,,,Arb!$AJ$5,),BV296)/BW296)</f>
        <v>2.5495750708215299</v>
      </c>
      <c r="BZ296" s="165">
        <f ca="1">IF(BV296="","",(INDEX(OFFSET(Arb!$U$2,,,Arb!$AJ$5,),BV296)+INDEX(OFFSET(Arb!$V$2,,,Arb!$AJ$5,),BV296))/BW296)</f>
        <v>2.8193713746121678</v>
      </c>
      <c r="CA296" s="51">
        <f t="shared" ca="1" si="94"/>
        <v>44.363027457332841</v>
      </c>
      <c r="CB296" s="91">
        <f ca="1">IF(BV296="","",DATE(INDEX(OFFSET(Arb!$C$2,,,Arb!$AJ$5,),BV296),INDEX(OFFSET(Arb!$B$2,,,Arb!$AJ$5,),BV296),INDEX(OFFSET(Arb!$A$2,,,Arb!$AJ$5,),BV296))+ROW()*0.001)</f>
        <v>44018.296000000002</v>
      </c>
    </row>
    <row r="297" spans="1:80" x14ac:dyDescent="0.25">
      <c r="A297" s="433">
        <v>155</v>
      </c>
      <c r="B297" s="1">
        <v>3223</v>
      </c>
      <c r="C297" s="52">
        <f ca="1">IF(B297="","",INDEX(OFFSET(Arb!$H$2,,,Arb!$AJ$5,),B297))</f>
        <v>64.09</v>
      </c>
      <c r="D297" s="3">
        <f t="shared" ca="1" si="75"/>
        <v>2.4184740209080977</v>
      </c>
      <c r="E297" s="165">
        <f ca="1">IF(B297="","",INDEX(OFFSET(Arb!$X$2,,,Arb!$AJ$5,),B297)/C297)</f>
        <v>2.8709627086909033</v>
      </c>
      <c r="F297" s="165">
        <f ca="1">IF(B297="","",(INDEX(OFFSET(Arb!$U$2,,,Arb!$AJ$5,),B297)+INDEX(OFFSET(Arb!$V$2,,,Arb!$AJ$5,),B297))/C297)</f>
        <v>3.1050085816820094</v>
      </c>
      <c r="G297" s="51">
        <f t="shared" ca="1" si="85"/>
        <v>57.184521549131375</v>
      </c>
      <c r="H297" s="355">
        <f ca="1">IF(B297="","",DATE(INDEX(OFFSET(Arb!$C$2,,,Arb!$AJ$5,),B297),INDEX(OFFSET(Arb!$B$2,,,Arb!$AJ$5,),B297),INDEX(OFFSET(Arb!$A$2,,,Arb!$AJ$5,),B297))+ROW()*0.001)</f>
        <v>44061.296999999999</v>
      </c>
      <c r="I297" s="436">
        <v>155</v>
      </c>
      <c r="J297" s="1">
        <v>2980</v>
      </c>
      <c r="K297" s="52">
        <f ca="1">IF(J297="","",INDEX(OFFSET(Arb!$H$2,,,Arb!$AJ$5,),J297))</f>
        <v>65.03</v>
      </c>
      <c r="L297" s="3">
        <f t="shared" ca="1" si="76"/>
        <v>2.3835153006304783</v>
      </c>
      <c r="M297" s="165">
        <f ca="1">IF(J297="","",INDEX(OFFSET(Arb!$X$2,,,Arb!$AJ$5,),J297)/K297)</f>
        <v>3.0447485775795786</v>
      </c>
      <c r="N297" s="165">
        <f ca="1">IF(J297="","",(INDEX(OFFSET(Arb!$U$2,,,Arb!$AJ$5,),J297)+INDEX(OFFSET(Arb!$V$2,,,Arb!$AJ$5,),J297))/K297)</f>
        <v>3.5675841919114255</v>
      </c>
      <c r="O297" s="51">
        <f t="shared" ca="1" si="86"/>
        <v>55.786430212570117</v>
      </c>
      <c r="P297" s="91">
        <f ca="1">IF(J297="","",DATE(INDEX(OFFSET(Arb!$C$2,,,Arb!$AJ$5,),J297),INDEX(OFFSET(Arb!$B$2,,,Arb!$AJ$5,),J297),INDEX(OFFSET(Arb!$A$2,,,Arb!$AJ$5,),J297))+ROW()*0.001)</f>
        <v>43956.296999999999</v>
      </c>
      <c r="Q297" s="442">
        <v>155</v>
      </c>
      <c r="R297" s="1">
        <v>3374</v>
      </c>
      <c r="S297" s="52">
        <f ca="1">IF(R297="","",INDEX(OFFSET(Arb!$H$2,,,Arb!$AJ$5,),R297))</f>
        <v>66.31</v>
      </c>
      <c r="T297" s="3">
        <f t="shared" ca="1" si="77"/>
        <v>2.3375056552556175</v>
      </c>
      <c r="U297" s="165">
        <f ca="1">IF(R297="","",INDEX(OFFSET(Arb!$X$2,,,Arb!$AJ$5,),R297)/S297)</f>
        <v>2.6994420147790681</v>
      </c>
      <c r="V297" s="165">
        <f ca="1">IF(R297="","",(INDEX(OFFSET(Arb!$U$2,,,Arb!$AJ$5,),R297)+INDEX(OFFSET(Arb!$V$2,,,Arb!$AJ$5,),R297))/S297)</f>
        <v>2.9859749660684662</v>
      </c>
      <c r="W297" s="51">
        <f t="shared" ca="1" si="87"/>
        <v>53.968159334778214</v>
      </c>
      <c r="X297" s="88">
        <f ca="1">IF(R297="","",DATE(INDEX(OFFSET(Arb!$C$2,,,Arb!$AJ$5,),R297),INDEX(OFFSET(Arb!$B$2,,,Arb!$AJ$5,),R297),INDEX(OFFSET(Arb!$A$2,,,Arb!$AJ$5,),R297))+ROW()*0.001)</f>
        <v>44129.296999999999</v>
      </c>
      <c r="Y297" s="436">
        <v>155</v>
      </c>
      <c r="Z297" s="1">
        <v>3205</v>
      </c>
      <c r="AA297" s="52">
        <f ca="1">IF(Z297="","",INDEX(OFFSET(Arb!$H$2,,,Arb!$AJ$5,),Z297))</f>
        <v>66.709999999999994</v>
      </c>
      <c r="AB297" s="3">
        <f t="shared" ca="1" si="78"/>
        <v>2.3234897316744116</v>
      </c>
      <c r="AC297" s="165">
        <f ca="1">IF(Z297="","",INDEX(OFFSET(Arb!$X$2,,,Arb!$AJ$5,),Z297)/AA297)</f>
        <v>2.6083046020086944</v>
      </c>
      <c r="AD297" s="165">
        <f ca="1">IF(Z297="","",(INDEX(OFFSET(Arb!$U$2,,,Arb!$AJ$5,),Z297)+INDEX(OFFSET(Arb!$V$2,,,Arb!$AJ$5,),Z297))/AA297)</f>
        <v>2.8181681906760607</v>
      </c>
      <c r="AE297" s="51">
        <f t="shared" ca="1" si="88"/>
        <v>53.419196876275407</v>
      </c>
      <c r="AF297" s="91">
        <f ca="1">IF(Z297="","",DATE(INDEX(OFFSET(Arb!$C$2,,,Arb!$AJ$5,),Z297),INDEX(OFFSET(Arb!$B$2,,,Arb!$AJ$5,),Z297),INDEX(OFFSET(Arb!$A$2,,,Arb!$AJ$5,),Z297))+ROW()*0.001)</f>
        <v>44058.296999999999</v>
      </c>
      <c r="AG297" s="442">
        <v>155</v>
      </c>
      <c r="AH297" s="1">
        <v>2876</v>
      </c>
      <c r="AI297" s="52">
        <f ca="1">IF(AH297="","",INDEX(OFFSET(Arb!$H$2,,,Arb!$AJ$5,),AH297))</f>
        <v>67.34</v>
      </c>
      <c r="AJ297" s="3">
        <f t="shared" ca="1" si="79"/>
        <v>2.3017523017523018</v>
      </c>
      <c r="AK297" s="165">
        <f ca="1">IF(AH297="","",INDEX(OFFSET(Arb!$X$2,,,Arb!$AJ$5,),AH297)/AI297)</f>
        <v>2.6878526878526876</v>
      </c>
      <c r="AL297" s="165">
        <f ca="1">IF(AH297="","",(INDEX(OFFSET(Arb!$U$2,,,Arb!$AJ$5,),AH297)+INDEX(OFFSET(Arb!$V$2,,,Arb!$AJ$5,),AH297))/AI297)</f>
        <v>3.0888030888030888</v>
      </c>
      <c r="AM297" s="51">
        <f t="shared" ca="1" si="89"/>
        <v>52.572382982638572</v>
      </c>
      <c r="AN297" s="88">
        <f ca="1">IF(AH297="","",DATE(INDEX(OFFSET(Arb!$C$2,,,Arb!$AJ$5,),AH297),INDEX(OFFSET(Arb!$B$2,,,Arb!$AJ$5,),AH297),INDEX(OFFSET(Arb!$A$2,,,Arb!$AJ$5,),AH297))+ROW()*0.001)</f>
        <v>43916.296999999999</v>
      </c>
      <c r="AO297" s="436">
        <v>155</v>
      </c>
      <c r="AP297" s="1">
        <v>3297</v>
      </c>
      <c r="AQ297" s="52">
        <f ca="1">IF(AP297="","",INDEX(OFFSET(Arb!$H$2,,,Arb!$AJ$5,),AP297))</f>
        <v>68.77</v>
      </c>
      <c r="AR297" s="3">
        <f t="shared" ca="1" si="80"/>
        <v>2.2538897775192672</v>
      </c>
      <c r="AS297" s="165">
        <f ca="1">IF(AP297="","",INDEX(OFFSET(Arb!$X$2,,,Arb!$AJ$5,),AP297)/AQ297)</f>
        <v>2.9809509960738696</v>
      </c>
      <c r="AT297" s="165">
        <f ca="1">IF(AP297="","",(INDEX(OFFSET(Arb!$U$2,,,Arb!$AJ$5,),AP297)+INDEX(OFFSET(Arb!$V$2,,,Arb!$AJ$5,),AP297))/AQ297)</f>
        <v>3.2863167078668027</v>
      </c>
      <c r="AU297" s="51">
        <f t="shared" ca="1" si="90"/>
        <v>50.727517822210082</v>
      </c>
      <c r="AV297" s="91">
        <f ca="1">IF(AP297="","",DATE(INDEX(OFFSET(Arb!$C$2,,,Arb!$AJ$5,),AP297),INDEX(OFFSET(Arb!$B$2,,,Arb!$AJ$5,),AP297),INDEX(OFFSET(Arb!$A$2,,,Arb!$AJ$5,),AP297))+ROW()*0.001)</f>
        <v>44089.296999999999</v>
      </c>
      <c r="AW297" s="442">
        <v>155</v>
      </c>
      <c r="AX297" s="1">
        <v>3044</v>
      </c>
      <c r="AY297" s="52">
        <f ca="1">IF(AX297="","",INDEX(OFFSET(Arb!$H$2,,,Arb!$AJ$5,),AX297))</f>
        <v>68.900000000000006</v>
      </c>
      <c r="AZ297" s="3">
        <f t="shared" ca="1" si="81"/>
        <v>2.2496371552975325</v>
      </c>
      <c r="BA297" s="165">
        <f ca="1">IF(AX297="","",INDEX(OFFSET(Arb!$X$2,,,Arb!$AJ$5,),AX297)/AY297)</f>
        <v>2.8011611030478951</v>
      </c>
      <c r="BB297" s="165">
        <f ca="1">IF(AX297="","",(INDEX(OFFSET(Arb!$U$2,,,Arb!$AJ$5,),AX297)+INDEX(OFFSET(Arb!$V$2,,,Arb!$AJ$5,),AX297))/AY297)</f>
        <v>3.0478955007256889</v>
      </c>
      <c r="BC297" s="51">
        <f t="shared" ca="1" si="91"/>
        <v>50.564914386872495</v>
      </c>
      <c r="BD297" s="88">
        <f ca="1">IF(AX297="","",DATE(INDEX(OFFSET(Arb!$C$2,,,Arb!$AJ$5,),AX297),INDEX(OFFSET(Arb!$B$2,,,Arb!$AJ$5,),AX297),INDEX(OFFSET(Arb!$A$2,,,Arb!$AJ$5,),AX297))+ROW()*0.001)</f>
        <v>43980.296999999999</v>
      </c>
      <c r="BE297" s="436">
        <v>155</v>
      </c>
      <c r="BF297" s="1">
        <v>3121</v>
      </c>
      <c r="BG297" s="52">
        <f ca="1">IF(BF297="","",INDEX(OFFSET(Arb!$H$2,,,Arb!$AJ$5,),BF297))</f>
        <v>74.64</v>
      </c>
      <c r="BH297" s="3">
        <f t="shared" ca="1" si="82"/>
        <v>2.0766345123258305</v>
      </c>
      <c r="BI297" s="165">
        <f ca="1">IF(BF297="","",INDEX(OFFSET(Arb!$X$2,,,Arb!$AJ$5,),BF297)/BG297)</f>
        <v>2.7465166130760985</v>
      </c>
      <c r="BJ297" s="165">
        <f ca="1">IF(BF297="","",(INDEX(OFFSET(Arb!$U$2,,,Arb!$AJ$5,),BF297)+INDEX(OFFSET(Arb!$V$2,,,Arb!$AJ$5,),BF297))/BG297)</f>
        <v>3.1484458735262595</v>
      </c>
      <c r="BK297" s="51">
        <f t="shared" ca="1" si="92"/>
        <v>44.13368401398359</v>
      </c>
      <c r="BL297" s="91">
        <f ca="1">IF(BF297="","",DATE(INDEX(OFFSET(Arb!$C$2,,,Arb!$AJ$5,),BF297),INDEX(OFFSET(Arb!$B$2,,,Arb!$AJ$5,),BF297),INDEX(OFFSET(Arb!$A$2,,,Arb!$AJ$5,),BF297))+ROW()*0.001)</f>
        <v>44013.296999999999</v>
      </c>
      <c r="BM297" s="442">
        <v>155</v>
      </c>
      <c r="BN297" s="1">
        <v>2747</v>
      </c>
      <c r="BO297" s="52">
        <f ca="1">IF(BN297="","",INDEX(OFFSET(Arb!$H$2,,,Arb!$AJ$5,),BN297))</f>
        <v>75.22</v>
      </c>
      <c r="BP297" s="3">
        <f t="shared" ca="1" si="83"/>
        <v>2.0606221749534699</v>
      </c>
      <c r="BQ297" s="165">
        <f ca="1">IF(BN297="","",INDEX(OFFSET(Arb!$X$2,,,Arb!$AJ$5,),BN297)/BO297)</f>
        <v>2.6987503323584154</v>
      </c>
      <c r="BR297" s="165">
        <f ca="1">IF(BN297="","",(INDEX(OFFSET(Arb!$U$2,,,Arb!$AJ$5,),BN297)+INDEX(OFFSET(Arb!$V$2,,,Arb!$AJ$5,),BN297))/BO297)</f>
        <v>3.0045200744482852</v>
      </c>
      <c r="BS297" s="51">
        <f t="shared" ca="1" si="93"/>
        <v>43.556732626806792</v>
      </c>
      <c r="BT297" s="88">
        <f ca="1">IF(BN297="","",DATE(INDEX(OFFSET(Arb!$C$2,,,Arb!$AJ$5,),BN297),INDEX(OFFSET(Arb!$B$2,,,Arb!$AJ$5,),BN297),INDEX(OFFSET(Arb!$A$2,,,Arb!$AJ$5,),BN297))+ROW()*0.001)</f>
        <v>43870.296999999999</v>
      </c>
      <c r="BU297" s="436">
        <v>155</v>
      </c>
      <c r="BV297" s="1">
        <v>2882</v>
      </c>
      <c r="BW297" s="52">
        <f ca="1">IF(BV297="","",INDEX(OFFSET(Arb!$H$2,,,Arb!$AJ$5,),BV297))</f>
        <v>75.36</v>
      </c>
      <c r="BX297" s="3">
        <f t="shared" ca="1" si="84"/>
        <v>2.0567940552016983</v>
      </c>
      <c r="BY297" s="165">
        <f ca="1">IF(BV297="","",INDEX(OFFSET(Arb!$X$2,,,Arb!$AJ$5,),BV297)/BW297)</f>
        <v>2.5212314225053079</v>
      </c>
      <c r="BZ297" s="165">
        <f ca="1">IF(BV297="","",(INDEX(OFFSET(Arb!$U$2,,,Arb!$AJ$5,),BV297)+INDEX(OFFSET(Arb!$V$2,,,Arb!$AJ$5,),BV297))/BW297)</f>
        <v>2.9193205944798302</v>
      </c>
      <c r="CA297" s="51">
        <f t="shared" ca="1" si="94"/>
        <v>43.419262341712233</v>
      </c>
      <c r="CB297" s="91">
        <f ca="1">IF(BV297="","",DATE(INDEX(OFFSET(Arb!$C$2,,,Arb!$AJ$5,),BV297),INDEX(OFFSET(Arb!$B$2,,,Arb!$AJ$5,),BV297),INDEX(OFFSET(Arb!$A$2,,,Arb!$AJ$5,),BV297))+ROW()*0.001)</f>
        <v>43917.296999999999</v>
      </c>
    </row>
    <row r="298" spans="1:80" x14ac:dyDescent="0.25">
      <c r="A298" s="433">
        <v>156</v>
      </c>
      <c r="B298" s="1">
        <v>3279</v>
      </c>
      <c r="C298" s="52">
        <f ca="1">IF(B298="","",INDEX(OFFSET(Arb!$H$2,,,Arb!$AJ$5,),B298))</f>
        <v>64.64</v>
      </c>
      <c r="D298" s="3">
        <f t="shared" ca="1" si="75"/>
        <v>2.4133663366336635</v>
      </c>
      <c r="E298" s="165">
        <f ca="1">IF(B298="","",INDEX(OFFSET(Arb!$X$2,,,Arb!$AJ$5,),B298)/C298)</f>
        <v>2.7691831683168315</v>
      </c>
      <c r="F298" s="165">
        <f ca="1">IF(B298="","",(INDEX(OFFSET(Arb!$U$2,,,Arb!$AJ$5,),B298)+INDEX(OFFSET(Arb!$V$2,,,Arb!$AJ$5,),B298))/C298)</f>
        <v>3.1095297029702968</v>
      </c>
      <c r="G298" s="51">
        <f t="shared" ca="1" si="85"/>
        <v>56.72344021772664</v>
      </c>
      <c r="H298" s="355">
        <f ca="1">IF(B298="","",DATE(INDEX(OFFSET(Arb!$C$2,,,Arb!$AJ$5,),B298),INDEX(OFFSET(Arb!$B$2,,,Arb!$AJ$5,),B298),INDEX(OFFSET(Arb!$A$2,,,Arb!$AJ$5,),B298))+ROW()*0.001)</f>
        <v>44075.298000000003</v>
      </c>
      <c r="I298" s="436">
        <v>156</v>
      </c>
      <c r="J298" s="1">
        <v>3283</v>
      </c>
      <c r="K298" s="52">
        <f ca="1">IF(J298="","",INDEX(OFFSET(Arb!$H$2,,,Arb!$AJ$5,),J298))</f>
        <v>66.47</v>
      </c>
      <c r="L298" s="3">
        <f t="shared" ca="1" si="76"/>
        <v>2.3469234241010981</v>
      </c>
      <c r="M298" s="165">
        <f ca="1">IF(J298="","",INDEX(OFFSET(Arb!$X$2,,,Arb!$AJ$5,),J298)/K298)</f>
        <v>2.8584323755077481</v>
      </c>
      <c r="N298" s="165">
        <f ca="1">IF(J298="","",(INDEX(OFFSET(Arb!$U$2,,,Arb!$AJ$5,),J298)+INDEX(OFFSET(Arb!$V$2,,,Arb!$AJ$5,),J298))/K298)</f>
        <v>3.2194975176771474</v>
      </c>
      <c r="O298" s="51">
        <f t="shared" ca="1" si="86"/>
        <v>54.094261952095543</v>
      </c>
      <c r="P298" s="91">
        <f ca="1">IF(J298="","",DATE(INDEX(OFFSET(Arb!$C$2,,,Arb!$AJ$5,),J298),INDEX(OFFSET(Arb!$B$2,,,Arb!$AJ$5,),J298),INDEX(OFFSET(Arb!$A$2,,,Arb!$AJ$5,),J298))+ROW()*0.001)</f>
        <v>44083.298000000003</v>
      </c>
      <c r="Q298" s="442">
        <v>156</v>
      </c>
      <c r="R298" s="1">
        <v>2952</v>
      </c>
      <c r="S298" s="52">
        <f ca="1">IF(R298="","",INDEX(OFFSET(Arb!$H$2,,,Arb!$AJ$5,),R298))</f>
        <v>67.42</v>
      </c>
      <c r="T298" s="3">
        <f t="shared" ca="1" si="77"/>
        <v>2.3138534559477901</v>
      </c>
      <c r="U298" s="165">
        <f ca="1">IF(R298="","",INDEX(OFFSET(Arb!$X$2,,,Arb!$AJ$5,),R298)/S298)</f>
        <v>2.8626520320379707</v>
      </c>
      <c r="V298" s="165">
        <f ca="1">IF(R298="","",(INDEX(OFFSET(Arb!$U$2,,,Arb!$AJ$5,),R298)+INDEX(OFFSET(Arb!$V$2,,,Arb!$AJ$5,),R298))/S298)</f>
        <v>3.1296351231088697</v>
      </c>
      <c r="W298" s="51">
        <f t="shared" ca="1" si="87"/>
        <v>52.804870486267923</v>
      </c>
      <c r="X298" s="88">
        <f ca="1">IF(R298="","",DATE(INDEX(OFFSET(Arb!$C$2,,,Arb!$AJ$5,),R298),INDEX(OFFSET(Arb!$B$2,,,Arb!$AJ$5,),R298),INDEX(OFFSET(Arb!$A$2,,,Arb!$AJ$5,),R298))+ROW()*0.001)</f>
        <v>43949.298000000003</v>
      </c>
      <c r="Y298" s="436">
        <v>156</v>
      </c>
      <c r="Z298" s="1">
        <v>2774</v>
      </c>
      <c r="AA298" s="52">
        <f ca="1">IF(Z298="","",INDEX(OFFSET(Arb!$H$2,,,Arb!$AJ$5,),Z298))</f>
        <v>67.58</v>
      </c>
      <c r="AB298" s="3">
        <f t="shared" ca="1" si="78"/>
        <v>2.3083752589523527</v>
      </c>
      <c r="AC298" s="165">
        <f ca="1">IF(Z298="","",INDEX(OFFSET(Arb!$X$2,,,Arb!$AJ$5,),Z298)/AA298)</f>
        <v>2.7374963006806747</v>
      </c>
      <c r="AD298" s="165">
        <f ca="1">IF(Z298="","",(INDEX(OFFSET(Arb!$U$2,,,Arb!$AJ$5,),Z298)+INDEX(OFFSET(Arb!$V$2,,,Arb!$AJ$5,),Z298))/AA298)</f>
        <v>2.9446581828943477</v>
      </c>
      <c r="AE298" s="51">
        <f t="shared" ca="1" si="88"/>
        <v>52.592514461554273</v>
      </c>
      <c r="AF298" s="91">
        <f ca="1">IF(Z298="","",DATE(INDEX(OFFSET(Arb!$C$2,,,Arb!$AJ$5,),Z298),INDEX(OFFSET(Arb!$B$2,,,Arb!$AJ$5,),Z298),INDEX(OFFSET(Arb!$A$2,,,Arb!$AJ$5,),Z298))+ROW()*0.001)</f>
        <v>43889.298000000003</v>
      </c>
      <c r="AG298" s="442">
        <v>156</v>
      </c>
      <c r="AH298" s="1">
        <v>3431</v>
      </c>
      <c r="AI298" s="52">
        <f ca="1">IF(AH298="","",INDEX(OFFSET(Arb!$H$2,,,Arb!$AJ$5,),AH298))</f>
        <v>67.89</v>
      </c>
      <c r="AJ298" s="3">
        <f t="shared" ca="1" si="79"/>
        <v>2.2978347326557667</v>
      </c>
      <c r="AK298" s="165">
        <f ca="1">IF(AH298="","",INDEX(OFFSET(Arb!$X$2,,,Arb!$AJ$5,),AH298)/AI298)</f>
        <v>2.7544557372219769</v>
      </c>
      <c r="AL298" s="165">
        <f ca="1">IF(AH298="","",(INDEX(OFFSET(Arb!$U$2,,,Arb!$AJ$5,),AH298)+INDEX(OFFSET(Arb!$V$2,,,Arb!$AJ$5,),AH298))/AI298)</f>
        <v>3.0048608042421563</v>
      </c>
      <c r="AM298" s="51">
        <f t="shared" ca="1" si="89"/>
        <v>52.184914822725894</v>
      </c>
      <c r="AN298" s="88">
        <f ca="1">IF(AH298="","",DATE(INDEX(OFFSET(Arb!$C$2,,,Arb!$AJ$5,),AH298),INDEX(OFFSET(Arb!$B$2,,,Arb!$AJ$5,),AH298),INDEX(OFFSET(Arb!$A$2,,,Arb!$AJ$5,),AH298))+ROW()*0.001)</f>
        <v>44153.298000000003</v>
      </c>
      <c r="AO298" s="436">
        <v>156</v>
      </c>
      <c r="AP298" s="1">
        <v>3215</v>
      </c>
      <c r="AQ298" s="52">
        <f ca="1">IF(AP298="","",INDEX(OFFSET(Arb!$H$2,,,Arb!$AJ$5,),AP298))</f>
        <v>71.680000000000007</v>
      </c>
      <c r="AR298" s="3">
        <f t="shared" ca="1" si="80"/>
        <v>2.1763392857142856</v>
      </c>
      <c r="AS298" s="165">
        <f ca="1">IF(AP298="","",INDEX(OFFSET(Arb!$X$2,,,Arb!$AJ$5,),AP298)/AQ298)</f>
        <v>2.8738839285714284</v>
      </c>
      <c r="AT298" s="165">
        <f ca="1">IF(AP298="","",(INDEX(OFFSET(Arb!$U$2,,,Arb!$AJ$5,),AP298)+INDEX(OFFSET(Arb!$V$2,,,Arb!$AJ$5,),AP298))/AQ298)</f>
        <v>3.2784598214285712</v>
      </c>
      <c r="AU298" s="51">
        <f t="shared" ca="1" si="90"/>
        <v>47.581514285097398</v>
      </c>
      <c r="AV298" s="91">
        <f ca="1">IF(AP298="","",DATE(INDEX(OFFSET(Arb!$C$2,,,Arb!$AJ$5,),AP298),INDEX(OFFSET(Arb!$B$2,,,Arb!$AJ$5,),AP298),INDEX(OFFSET(Arb!$A$2,,,Arb!$AJ$5,),AP298))+ROW()*0.001)</f>
        <v>44059.298000000003</v>
      </c>
      <c r="AW298" s="442">
        <v>156</v>
      </c>
      <c r="AX298" s="1">
        <v>2732</v>
      </c>
      <c r="AY298" s="52">
        <f ca="1">IF(AX298="","",INDEX(OFFSET(Arb!$H$2,,,Arb!$AJ$5,),AX298))</f>
        <v>73.73</v>
      </c>
      <c r="AZ298" s="3">
        <f t="shared" ca="1" si="81"/>
        <v>2.1158280211582801</v>
      </c>
      <c r="BA298" s="165">
        <f ca="1">IF(AX298="","",INDEX(OFFSET(Arb!$X$2,,,Arb!$AJ$5,),AX298)/AY298)</f>
        <v>2.54984402549844</v>
      </c>
      <c r="BB298" s="165">
        <f ca="1">IF(AX298="","",(INDEX(OFFSET(Arb!$U$2,,,Arb!$AJ$5,),AX298)+INDEX(OFFSET(Arb!$V$2,,,Arb!$AJ$5,),AX298))/AY298)</f>
        <v>2.7804150278041502</v>
      </c>
      <c r="BC298" s="51">
        <f t="shared" ca="1" si="91"/>
        <v>45.35442402765846</v>
      </c>
      <c r="BD298" s="88">
        <f ca="1">IF(AX298="","",DATE(INDEX(OFFSET(Arb!$C$2,,,Arb!$AJ$5,),AX298),INDEX(OFFSET(Arb!$B$2,,,Arb!$AJ$5,),AX298),INDEX(OFFSET(Arb!$A$2,,,Arb!$AJ$5,),AX298))+ROW()*0.001)</f>
        <v>43869.298000000003</v>
      </c>
      <c r="BE298" s="436">
        <v>156</v>
      </c>
      <c r="BF298" s="1">
        <v>2534</v>
      </c>
      <c r="BG298" s="52">
        <f ca="1">IF(BF298="","",INDEX(OFFSET(Arb!$H$2,,,Arb!$AJ$5,),BF298))</f>
        <v>73.77</v>
      </c>
      <c r="BH298" s="3">
        <f t="shared" ca="1" si="82"/>
        <v>2.1146807645384302</v>
      </c>
      <c r="BI298" s="165">
        <f ca="1">IF(BF298="","",INDEX(OFFSET(Arb!$X$2,,,Arb!$AJ$5,),BF298)/BG298)</f>
        <v>2.4942388504812256</v>
      </c>
      <c r="BJ298" s="165">
        <f ca="1">IF(BF298="","",(INDEX(OFFSET(Arb!$U$2,,,Arb!$AJ$5,),BF298)+INDEX(OFFSET(Arb!$V$2,,,Arb!$AJ$5,),BF298))/BG298)</f>
        <v>2.7246848312322083</v>
      </c>
      <c r="BK298" s="51">
        <f t="shared" ca="1" si="92"/>
        <v>45.312624983271341</v>
      </c>
      <c r="BL298" s="91">
        <f ca="1">IF(BF298="","",DATE(INDEX(OFFSET(Arb!$C$2,,,Arb!$AJ$5,),BF298),INDEX(OFFSET(Arb!$B$2,,,Arb!$AJ$5,),BF298),INDEX(OFFSET(Arb!$A$2,,,Arb!$AJ$5,),BF298))+ROW()*0.001)</f>
        <v>43795.298000000003</v>
      </c>
      <c r="BM298" s="442">
        <v>156</v>
      </c>
      <c r="BN298" s="1">
        <v>2422</v>
      </c>
      <c r="BO298" s="52">
        <f ca="1">IF(BN298="","",INDEX(OFFSET(Arb!$H$2,,,Arb!$AJ$5,),BN298))</f>
        <v>73.94</v>
      </c>
      <c r="BP298" s="3">
        <f t="shared" ca="1" si="83"/>
        <v>2.1098187719772787</v>
      </c>
      <c r="BQ298" s="165">
        <f ca="1">IF(BN298="","",INDEX(OFFSET(Arb!$X$2,,,Arb!$AJ$5,),BN298)/BO298)</f>
        <v>2.6237489856640521</v>
      </c>
      <c r="BR298" s="165">
        <f ca="1">IF(BN298="","",(INDEX(OFFSET(Arb!$U$2,,,Arb!$AJ$5,),BN298)+INDEX(OFFSET(Arb!$V$2,,,Arb!$AJ$5,),BN298))/BO298)</f>
        <v>2.9889099269678119</v>
      </c>
      <c r="BS298" s="51">
        <f t="shared" ca="1" si="93"/>
        <v>45.135659764403115</v>
      </c>
      <c r="BT298" s="88">
        <f ca="1">IF(BN298="","",DATE(INDEX(OFFSET(Arb!$C$2,,,Arb!$AJ$5,),BN298),INDEX(OFFSET(Arb!$B$2,,,Arb!$AJ$5,),BN298),INDEX(OFFSET(Arb!$A$2,,,Arb!$AJ$5,),BN298))+ROW()*0.001)</f>
        <v>43767.298000000003</v>
      </c>
      <c r="BU298" s="436">
        <v>156</v>
      </c>
      <c r="BV298" s="1">
        <v>3263</v>
      </c>
      <c r="BW298" s="52">
        <f ca="1">IF(BV298="","",INDEX(OFFSET(Arb!$H$2,,,Arb!$AJ$5,),BV298))</f>
        <v>74.22</v>
      </c>
      <c r="BX298" s="3">
        <f t="shared" ca="1" si="84"/>
        <v>2.1018593371059016</v>
      </c>
      <c r="BY298" s="165">
        <f ca="1">IF(BV298="","",INDEX(OFFSET(Arb!$X$2,,,Arb!$AJ$5,),BV298)/BW298)</f>
        <v>2.7620587442737805</v>
      </c>
      <c r="BZ298" s="165">
        <f ca="1">IF(BV298="","",(INDEX(OFFSET(Arb!$U$2,,,Arb!$AJ$5,),BV298)+INDEX(OFFSET(Arb!$V$2,,,Arb!$AJ$5,),BV298))/BW298)</f>
        <v>3.1258420910805715</v>
      </c>
      <c r="CA298" s="51">
        <f t="shared" ca="1" si="94"/>
        <v>44.846570635778612</v>
      </c>
      <c r="CB298" s="91">
        <f ca="1">IF(BV298="","",DATE(INDEX(OFFSET(Arb!$C$2,,,Arb!$AJ$5,),BV298),INDEX(OFFSET(Arb!$B$2,,,Arb!$AJ$5,),BV298),INDEX(OFFSET(Arb!$A$2,,,Arb!$AJ$5,),BV298))+ROW()*0.001)</f>
        <v>44073.298000000003</v>
      </c>
    </row>
    <row r="299" spans="1:80" x14ac:dyDescent="0.25">
      <c r="A299" s="433">
        <v>157</v>
      </c>
      <c r="B299" s="1">
        <v>3229</v>
      </c>
      <c r="C299" s="52">
        <f ca="1">IF(B299="","",INDEX(OFFSET(Arb!$H$2,,,Arb!$AJ$5,),B299))</f>
        <v>65.540000000000006</v>
      </c>
      <c r="D299" s="3">
        <f t="shared" ca="1" si="75"/>
        <v>2.3954836740921572</v>
      </c>
      <c r="E299" s="165">
        <f ca="1">IF(B299="","",INDEX(OFFSET(Arb!$X$2,,,Arb!$AJ$5,),B299)/C299)</f>
        <v>3.0515715593530666</v>
      </c>
      <c r="F299" s="165">
        <f ca="1">IF(B299="","",(INDEX(OFFSET(Arb!$U$2,,,Arb!$AJ$5,),B299)+INDEX(OFFSET(Arb!$V$2,,,Arb!$AJ$5,),B299))/C299)</f>
        <v>3.5398230088495573</v>
      </c>
      <c r="G299" s="51">
        <f t="shared" ca="1" si="85"/>
        <v>55.760795994877157</v>
      </c>
      <c r="H299" s="355">
        <f ca="1">IF(B299="","",DATE(INDEX(OFFSET(Arb!$C$2,,,Arb!$AJ$5,),B299),INDEX(OFFSET(Arb!$B$2,,,Arb!$AJ$5,),B299),INDEX(OFFSET(Arb!$A$2,,,Arb!$AJ$5,),B299))+ROW()*0.001)</f>
        <v>44061.298999999999</v>
      </c>
      <c r="I299" s="436">
        <v>157</v>
      </c>
      <c r="J299" s="1">
        <v>2962</v>
      </c>
      <c r="K299" s="52">
        <f ca="1">IF(J299="","",INDEX(OFFSET(Arb!$H$2,,,Arb!$AJ$5,),J299))</f>
        <v>65.680000000000007</v>
      </c>
      <c r="L299" s="3">
        <f t="shared" ca="1" si="76"/>
        <v>2.3903775883069427</v>
      </c>
      <c r="M299" s="165">
        <f ca="1">IF(J299="","",INDEX(OFFSET(Arb!$X$2,,,Arb!$AJ$5,),J299)/K299)</f>
        <v>2.8471376370280144</v>
      </c>
      <c r="N299" s="165">
        <f ca="1">IF(J299="","",(INDEX(OFFSET(Arb!$U$2,,,Arb!$AJ$5,),J299)+INDEX(OFFSET(Arb!$V$2,,,Arb!$AJ$5,),J299))/K299)</f>
        <v>3.2125456760048716</v>
      </c>
      <c r="O299" s="51">
        <f t="shared" ca="1" si="86"/>
        <v>55.558890291961191</v>
      </c>
      <c r="P299" s="91">
        <f ca="1">IF(J299="","",DATE(INDEX(OFFSET(Arb!$C$2,,,Arb!$AJ$5,),J299),INDEX(OFFSET(Arb!$B$2,,,Arb!$AJ$5,),J299),INDEX(OFFSET(Arb!$A$2,,,Arb!$AJ$5,),J299))+ROW()*0.001)</f>
        <v>43951.298999999999</v>
      </c>
      <c r="Q299" s="442">
        <v>157</v>
      </c>
      <c r="R299" s="1">
        <v>3072</v>
      </c>
      <c r="S299" s="52">
        <f ca="1">IF(R299="","",INDEX(OFFSET(Arb!$H$2,,,Arb!$AJ$5,),R299))</f>
        <v>66</v>
      </c>
      <c r="T299" s="3">
        <f t="shared" ca="1" si="77"/>
        <v>2.3787878787878789</v>
      </c>
      <c r="U299" s="165">
        <f ca="1">IF(R299="","",INDEX(OFFSET(Arb!$X$2,,,Arb!$AJ$5,),R299)/S299)</f>
        <v>2.893939393939394</v>
      </c>
      <c r="V299" s="165">
        <f ca="1">IF(R299="","",(INDEX(OFFSET(Arb!$U$2,,,Arb!$AJ$5,),R299)+INDEX(OFFSET(Arb!$V$2,,,Arb!$AJ$5,),R299))/S299)</f>
        <v>3.2424242424242422</v>
      </c>
      <c r="W299" s="51">
        <f t="shared" ca="1" si="87"/>
        <v>55.10172783532073</v>
      </c>
      <c r="X299" s="88">
        <f ca="1">IF(R299="","",DATE(INDEX(OFFSET(Arb!$C$2,,,Arb!$AJ$5,),R299),INDEX(OFFSET(Arb!$B$2,,,Arb!$AJ$5,),R299),INDEX(OFFSET(Arb!$A$2,,,Arb!$AJ$5,),R299))+ROW()*0.001)</f>
        <v>44003.298999999999</v>
      </c>
      <c r="Y299" s="436">
        <v>157</v>
      </c>
      <c r="Z299" s="1">
        <v>3000</v>
      </c>
      <c r="AA299" s="52">
        <f ca="1">IF(Z299="","",INDEX(OFFSET(Arb!$H$2,,,Arb!$AJ$5,),Z299))</f>
        <v>67.290000000000006</v>
      </c>
      <c r="AB299" s="3">
        <f t="shared" ca="1" si="78"/>
        <v>2.3331847228414322</v>
      </c>
      <c r="AC299" s="165">
        <f ca="1">IF(Z299="","",INDEX(OFFSET(Arb!$X$2,,,Arb!$AJ$5,),Z299)/AA299)</f>
        <v>2.9127656412542722</v>
      </c>
      <c r="AD299" s="165">
        <f ca="1">IF(Z299="","",(INDEX(OFFSET(Arb!$U$2,,,Arb!$AJ$5,),Z299)+INDEX(OFFSET(Arb!$V$2,,,Arb!$AJ$5,),Z299))/AA299)</f>
        <v>3.2842918710060927</v>
      </c>
      <c r="AE299" s="51">
        <f t="shared" ca="1" si="88"/>
        <v>53.318019557838795</v>
      </c>
      <c r="AF299" s="91">
        <f ca="1">IF(Z299="","",DATE(INDEX(OFFSET(Arb!$C$2,,,Arb!$AJ$5,),Z299),INDEX(OFFSET(Arb!$B$2,,,Arb!$AJ$5,),Z299),INDEX(OFFSET(Arb!$A$2,,,Arb!$AJ$5,),Z299))+ROW()*0.001)</f>
        <v>43957.298999999999</v>
      </c>
      <c r="AG299" s="442">
        <v>157</v>
      </c>
      <c r="AH299" s="1">
        <v>3324</v>
      </c>
      <c r="AI299" s="52">
        <f ca="1">IF(AH299="","",INDEX(OFFSET(Arb!$H$2,,,Arb!$AJ$5,),AH299))</f>
        <v>67.930000000000007</v>
      </c>
      <c r="AJ299" s="3">
        <f t="shared" ca="1" si="79"/>
        <v>2.3112027086706903</v>
      </c>
      <c r="AK299" s="165">
        <f ca="1">IF(AH299="","",INDEX(OFFSET(Arb!$X$2,,,Arb!$AJ$5,),AH299)/AI299)</f>
        <v>2.7675548358604445</v>
      </c>
      <c r="AL299" s="165">
        <f ca="1">IF(AH299="","",(INDEX(OFFSET(Arb!$U$2,,,Arb!$AJ$5,),AH299)+INDEX(OFFSET(Arb!$V$2,,,Arb!$AJ$5,),AH299))/AI299)</f>
        <v>2.9736493449138814</v>
      </c>
      <c r="AM299" s="51">
        <f t="shared" ca="1" si="89"/>
        <v>52.466870789903929</v>
      </c>
      <c r="AN299" s="88">
        <f ca="1">IF(AH299="","",DATE(INDEX(OFFSET(Arb!$C$2,,,Arb!$AJ$5,),AH299),INDEX(OFFSET(Arb!$B$2,,,Arb!$AJ$5,),AH299),INDEX(OFFSET(Arb!$A$2,,,Arb!$AJ$5,),AH299))+ROW()*0.001)</f>
        <v>44095.298999999999</v>
      </c>
      <c r="AO299" s="436">
        <v>157</v>
      </c>
      <c r="AP299" s="1">
        <v>3310</v>
      </c>
      <c r="AQ299" s="52">
        <f ca="1">IF(AP299="","",INDEX(OFFSET(Arb!$H$2,,,Arb!$AJ$5,),AP299))</f>
        <v>68.290000000000006</v>
      </c>
      <c r="AR299" s="3">
        <f t="shared" ca="1" si="80"/>
        <v>2.2990188900278223</v>
      </c>
      <c r="AS299" s="165">
        <f ca="1">IF(AP299="","",INDEX(OFFSET(Arb!$X$2,,,Arb!$AJ$5,),AP299)/AQ299)</f>
        <v>2.7676087274857224</v>
      </c>
      <c r="AT299" s="165">
        <f ca="1">IF(AP299="","",(INDEX(OFFSET(Arb!$U$2,,,Arb!$AJ$5,),AP299)+INDEX(OFFSET(Arb!$V$2,,,Arb!$AJ$5,),AP299))/AQ299)</f>
        <v>3.1044076731585881</v>
      </c>
      <c r="AU299" s="51">
        <f t="shared" ca="1" si="90"/>
        <v>51.9975422078547</v>
      </c>
      <c r="AV299" s="91">
        <f ca="1">IF(AP299="","",DATE(INDEX(OFFSET(Arb!$C$2,,,Arb!$AJ$5,),AP299),INDEX(OFFSET(Arb!$B$2,,,Arb!$AJ$5,),AP299),INDEX(OFFSET(Arb!$A$2,,,Arb!$AJ$5,),AP299))+ROW()*0.001)</f>
        <v>44093.298999999999</v>
      </c>
      <c r="AW299" s="442">
        <v>157</v>
      </c>
      <c r="AX299" s="1">
        <v>2868</v>
      </c>
      <c r="AY299" s="52">
        <f ca="1">IF(AX299="","",INDEX(OFFSET(Arb!$H$2,,,Arb!$AJ$5,),AX299))</f>
        <v>68.37</v>
      </c>
      <c r="AZ299" s="3">
        <f t="shared" ca="1" si="81"/>
        <v>2.2963287991809271</v>
      </c>
      <c r="BA299" s="165">
        <f ca="1">IF(AX299="","",INDEX(OFFSET(Arb!$X$2,,,Arb!$AJ$5,),AX299)/AY299)</f>
        <v>2.8375018282872602</v>
      </c>
      <c r="BB299" s="165">
        <f ca="1">IF(AX299="","",(INDEX(OFFSET(Arb!$U$2,,,Arb!$AJ$5,),AX299)+INDEX(OFFSET(Arb!$V$2,,,Arb!$AJ$5,),AX299))/AY299)</f>
        <v>3.2177855784700888</v>
      </c>
      <c r="BC299" s="51">
        <f t="shared" ca="1" si="91"/>
        <v>51.894152281028454</v>
      </c>
      <c r="BD299" s="88">
        <f ca="1">IF(AX299="","",DATE(INDEX(OFFSET(Arb!$C$2,,,Arb!$AJ$5,),AX299),INDEX(OFFSET(Arb!$B$2,,,Arb!$AJ$5,),AX299),INDEX(OFFSET(Arb!$A$2,,,Arb!$AJ$5,),AX299))+ROW()*0.001)</f>
        <v>43911.298999999999</v>
      </c>
      <c r="BE299" s="436">
        <v>157</v>
      </c>
      <c r="BF299" s="1">
        <v>3198</v>
      </c>
      <c r="BG299" s="52">
        <f ca="1">IF(BF299="","",INDEX(OFFSET(Arb!$H$2,,,Arb!$AJ$5,),BF299))</f>
        <v>69.3</v>
      </c>
      <c r="BH299" s="3">
        <f t="shared" ca="1" si="82"/>
        <v>2.2655122655122657</v>
      </c>
      <c r="BI299" s="165">
        <f ca="1">IF(BF299="","",INDEX(OFFSET(Arb!$X$2,,,Arb!$AJ$5,),BF299)/BG299)</f>
        <v>3.0303030303030303</v>
      </c>
      <c r="BJ299" s="165">
        <f ca="1">IF(BF299="","",(INDEX(OFFSET(Arb!$U$2,,,Arb!$AJ$5,),BF299)+INDEX(OFFSET(Arb!$V$2,,,Arb!$AJ$5,),BF299))/BG299)</f>
        <v>3.3910533910533913</v>
      </c>
      <c r="BK299" s="51">
        <f t="shared" ca="1" si="92"/>
        <v>50.715814992744484</v>
      </c>
      <c r="BL299" s="91">
        <f ca="1">IF(BF299="","",DATE(INDEX(OFFSET(Arb!$C$2,,,Arb!$AJ$5,),BF299),INDEX(OFFSET(Arb!$B$2,,,Arb!$AJ$5,),BF299),INDEX(OFFSET(Arb!$A$2,,,Arb!$AJ$5,),BF299))+ROW()*0.001)</f>
        <v>44057.298999999999</v>
      </c>
      <c r="BM299" s="442">
        <v>157</v>
      </c>
      <c r="BN299" s="1">
        <v>3354</v>
      </c>
      <c r="BO299" s="52">
        <f ca="1">IF(BN299="","",INDEX(OFFSET(Arb!$H$2,,,Arb!$AJ$5,),BN299))</f>
        <v>69.459999999999994</v>
      </c>
      <c r="BP299" s="3">
        <f t="shared" ca="1" si="83"/>
        <v>2.2602936942124967</v>
      </c>
      <c r="BQ299" s="165">
        <f ca="1">IF(BN299="","",INDEX(OFFSET(Arb!$X$2,,,Arb!$AJ$5,),BN299)/BO299)</f>
        <v>2.8793550244745179</v>
      </c>
      <c r="BR299" s="165">
        <f ca="1">IF(BN299="","",(INDEX(OFFSET(Arb!$U$2,,,Arb!$AJ$5,),BN299)+INDEX(OFFSET(Arb!$V$2,,,Arb!$AJ$5,),BN299))/BO299)</f>
        <v>3.3256550532680684</v>
      </c>
      <c r="BS299" s="51">
        <f t="shared" ca="1" si="93"/>
        <v>50.517375926259199</v>
      </c>
      <c r="BT299" s="88">
        <f ca="1">IF(BN299="","",DATE(INDEX(OFFSET(Arb!$C$2,,,Arb!$AJ$5,),BN299),INDEX(OFFSET(Arb!$B$2,,,Arb!$AJ$5,),BN299),INDEX(OFFSET(Arb!$A$2,,,Arb!$AJ$5,),BN299))+ROW()*0.001)</f>
        <v>44098.298999999999</v>
      </c>
      <c r="BU299" s="436">
        <v>157</v>
      </c>
      <c r="BV299" s="1">
        <v>3201</v>
      </c>
      <c r="BW299" s="52">
        <f ca="1">IF(BV299="","",INDEX(OFFSET(Arb!$H$2,,,Arb!$AJ$5,),BV299))</f>
        <v>69.86</v>
      </c>
      <c r="BX299" s="3">
        <f t="shared" ca="1" si="84"/>
        <v>2.2473518465502433</v>
      </c>
      <c r="BY299" s="165">
        <f ca="1">IF(BV299="","",INDEX(OFFSET(Arb!$X$2,,,Arb!$AJ$5,),BV299)/BW299)</f>
        <v>2.7340395075866017</v>
      </c>
      <c r="BZ299" s="165">
        <f ca="1">IF(BV299="","",(INDEX(OFFSET(Arb!$U$2,,,Arb!$AJ$5,),BV299)+INDEX(OFFSET(Arb!$V$2,,,Arb!$AJ$5,),BV299))/BW299)</f>
        <v>3.0632693959347268</v>
      </c>
      <c r="CA299" s="51">
        <f t="shared" ca="1" si="94"/>
        <v>50.026638239089159</v>
      </c>
      <c r="CB299" s="91">
        <f ca="1">IF(BV299="","",DATE(INDEX(OFFSET(Arb!$C$2,,,Arb!$AJ$5,),BV299),INDEX(OFFSET(Arb!$B$2,,,Arb!$AJ$5,),BV299),INDEX(OFFSET(Arb!$A$2,,,Arb!$AJ$5,),BV299))+ROW()*0.001)</f>
        <v>44058.298999999999</v>
      </c>
    </row>
    <row r="300" spans="1:80" x14ac:dyDescent="0.25">
      <c r="A300" s="433">
        <v>158</v>
      </c>
      <c r="B300" s="1">
        <v>3346</v>
      </c>
      <c r="C300" s="52">
        <f ca="1">IF(B300="","",INDEX(OFFSET(Arb!$H$2,,,Arb!$AJ$5,),B300))</f>
        <v>62.62</v>
      </c>
      <c r="D300" s="3">
        <f t="shared" ca="1" si="75"/>
        <v>2.523155541360588</v>
      </c>
      <c r="E300" s="165">
        <f ca="1">IF(B300="","",INDEX(OFFSET(Arb!$X$2,,,Arb!$AJ$5,),B300)/C300)</f>
        <v>3.018205046311083</v>
      </c>
      <c r="F300" s="165">
        <f ca="1">IF(B300="","",(INDEX(OFFSET(Arb!$U$2,,,Arb!$AJ$5,),B300)+INDEX(OFFSET(Arb!$V$2,,,Arb!$AJ$5,),B300))/C300)</f>
        <v>3.2896838070903867</v>
      </c>
      <c r="G300" s="51">
        <f t="shared" ca="1" si="85"/>
        <v>60.636640916130851</v>
      </c>
      <c r="H300" s="355">
        <f ca="1">IF(B300="","",DATE(INDEX(OFFSET(Arb!$C$2,,,Arb!$AJ$5,),B300),INDEX(OFFSET(Arb!$B$2,,,Arb!$AJ$5,),B300),INDEX(OFFSET(Arb!$A$2,,,Arb!$AJ$5,),B300))+ROW()*0.001)</f>
        <v>44098.3</v>
      </c>
      <c r="I300" s="436">
        <v>158</v>
      </c>
      <c r="J300" s="1">
        <v>3357</v>
      </c>
      <c r="K300" s="52">
        <f ca="1">IF(J300="","",INDEX(OFFSET(Arb!$H$2,,,Arb!$AJ$5,),J300))</f>
        <v>66.760000000000005</v>
      </c>
      <c r="L300" s="3">
        <f t="shared" ca="1" si="76"/>
        <v>2.3666866387058119</v>
      </c>
      <c r="M300" s="165">
        <f ca="1">IF(J300="","",INDEX(OFFSET(Arb!$X$2,,,Arb!$AJ$5,),J300)/K300)</f>
        <v>2.875973636908328</v>
      </c>
      <c r="N300" s="165">
        <f ca="1">IF(J300="","",(INDEX(OFFSET(Arb!$U$2,,,Arb!$AJ$5,),J300)+INDEX(OFFSET(Arb!$V$2,,,Arb!$AJ$5,),J300))/K300)</f>
        <v>3.2204913121629715</v>
      </c>
      <c r="O300" s="51">
        <f t="shared" ca="1" si="86"/>
        <v>54.383804330018094</v>
      </c>
      <c r="P300" s="91">
        <f ca="1">IF(J300="","",DATE(INDEX(OFFSET(Arb!$C$2,,,Arb!$AJ$5,),J300),INDEX(OFFSET(Arb!$B$2,,,Arb!$AJ$5,),J300),INDEX(OFFSET(Arb!$A$2,,,Arb!$AJ$5,),J300))+ROW()*0.001)</f>
        <v>44099.3</v>
      </c>
      <c r="Q300" s="442">
        <v>158</v>
      </c>
      <c r="R300" s="1">
        <v>2738</v>
      </c>
      <c r="S300" s="52">
        <f ca="1">IF(R300="","",INDEX(OFFSET(Arb!$H$2,,,Arb!$AJ$5,),R300))</f>
        <v>66.97</v>
      </c>
      <c r="T300" s="3">
        <f t="shared" ca="1" si="77"/>
        <v>2.3592653426907573</v>
      </c>
      <c r="U300" s="165">
        <f ca="1">IF(R300="","",INDEX(OFFSET(Arb!$X$2,,,Arb!$AJ$5,),R300)/S300)</f>
        <v>2.9714797670598778</v>
      </c>
      <c r="V300" s="165">
        <f ca="1">IF(R300="","",(INDEX(OFFSET(Arb!$U$2,,,Arb!$AJ$5,),R300)+INDEX(OFFSET(Arb!$V$2,,,Arb!$AJ$5,),R300))/S300)</f>
        <v>3.2701209496789607</v>
      </c>
      <c r="W300" s="51">
        <f t="shared" ca="1" si="87"/>
        <v>54.094216404802005</v>
      </c>
      <c r="X300" s="88">
        <f ca="1">IF(R300="","",DATE(INDEX(OFFSET(Arb!$C$2,,,Arb!$AJ$5,),R300),INDEX(OFFSET(Arb!$B$2,,,Arb!$AJ$5,),R300),INDEX(OFFSET(Arb!$A$2,,,Arb!$AJ$5,),R300))+ROW()*0.001)</f>
        <v>43869.3</v>
      </c>
      <c r="Y300" s="436">
        <v>158</v>
      </c>
      <c r="Z300" s="1">
        <v>3345</v>
      </c>
      <c r="AA300" s="52">
        <f ca="1">IF(Z300="","",INDEX(OFFSET(Arb!$H$2,,,Arb!$AJ$5,),Z300))</f>
        <v>69.16</v>
      </c>
      <c r="AB300" s="3">
        <f t="shared" ca="1" si="78"/>
        <v>2.2845575477154427</v>
      </c>
      <c r="AC300" s="165">
        <f ca="1">IF(Z300="","",INDEX(OFFSET(Arb!$X$2,,,Arb!$AJ$5,),Z300)/AA300)</f>
        <v>2.9496818970503185</v>
      </c>
      <c r="AD300" s="165">
        <f ca="1">IF(Z300="","",(INDEX(OFFSET(Arb!$U$2,,,Arb!$AJ$5,),Z300)+INDEX(OFFSET(Arb!$V$2,,,Arb!$AJ$5,),Z300))/AA300)</f>
        <v>3.1665702718334301</v>
      </c>
      <c r="AE300" s="51">
        <f t="shared" ca="1" si="88"/>
        <v>51.214609829710533</v>
      </c>
      <c r="AF300" s="91">
        <f ca="1">IF(Z300="","",DATE(INDEX(OFFSET(Arb!$C$2,,,Arb!$AJ$5,),Z300),INDEX(OFFSET(Arb!$B$2,,,Arb!$AJ$5,),Z300),INDEX(OFFSET(Arb!$A$2,,,Arb!$AJ$5,),Z300))+ROW()*0.001)</f>
        <v>44097.3</v>
      </c>
      <c r="AG300" s="442">
        <v>158</v>
      </c>
      <c r="AH300" s="1">
        <v>3132</v>
      </c>
      <c r="AI300" s="52">
        <f ca="1">IF(AH300="","",INDEX(OFFSET(Arb!$H$2,,,Arb!$AJ$5,),AH300))</f>
        <v>70.55</v>
      </c>
      <c r="AJ300" s="3">
        <f t="shared" ca="1" si="79"/>
        <v>2.23954642097803</v>
      </c>
      <c r="AK300" s="165">
        <f ca="1">IF(AH300="","",INDEX(OFFSET(Arb!$X$2,,,Arb!$AJ$5,),AH300)/AI300)</f>
        <v>2.820694542877392</v>
      </c>
      <c r="AL300" s="165">
        <f ca="1">IF(AH300="","",(INDEX(OFFSET(Arb!$U$2,,,Arb!$AJ$5,),AH300)+INDEX(OFFSET(Arb!$V$2,,,Arb!$AJ$5,),AH300))/AI300)</f>
        <v>3.1892274982282069</v>
      </c>
      <c r="AM300" s="51">
        <f t="shared" ca="1" si="89"/>
        <v>49.511081334084707</v>
      </c>
      <c r="AN300" s="88">
        <f ca="1">IF(AH300="","",DATE(INDEX(OFFSET(Arb!$C$2,,,Arb!$AJ$5,),AH300),INDEX(OFFSET(Arb!$B$2,,,Arb!$AJ$5,),AH300),INDEX(OFFSET(Arb!$A$2,,,Arb!$AJ$5,),AH300))+ROW()*0.001)</f>
        <v>44019.3</v>
      </c>
      <c r="AO300" s="436">
        <v>158</v>
      </c>
      <c r="AP300" s="1">
        <v>2804</v>
      </c>
      <c r="AQ300" s="52">
        <f ca="1">IF(AP300="","",INDEX(OFFSET(Arb!$H$2,,,Arb!$AJ$5,),AP300))</f>
        <v>71.48</v>
      </c>
      <c r="AR300" s="3">
        <f t="shared" ca="1" si="80"/>
        <v>2.2104085058757694</v>
      </c>
      <c r="AS300" s="165">
        <f ca="1">IF(AP300="","",INDEX(OFFSET(Arb!$X$2,,,Arb!$AJ$5,),AP300)/AQ300)</f>
        <v>2.7839955232232789</v>
      </c>
      <c r="AT300" s="165">
        <f ca="1">IF(AP300="","",(INDEX(OFFSET(Arb!$U$2,,,Arb!$AJ$5,),AP300)+INDEX(OFFSET(Arb!$V$2,,,Arb!$AJ$5,),AP300))/AQ300)</f>
        <v>3.1057638500279796</v>
      </c>
      <c r="AU300" s="51">
        <f t="shared" ca="1" si="90"/>
        <v>48.42098477396874</v>
      </c>
      <c r="AV300" s="91">
        <f ca="1">IF(AP300="","",DATE(INDEX(OFFSET(Arb!$C$2,,,Arb!$AJ$5,),AP300),INDEX(OFFSET(Arb!$B$2,,,Arb!$AJ$5,),AP300),INDEX(OFFSET(Arb!$A$2,,,Arb!$AJ$5,),AP300))+ROW()*0.001)</f>
        <v>43897.3</v>
      </c>
      <c r="AW300" s="442">
        <v>158</v>
      </c>
      <c r="AX300" s="1">
        <v>2455</v>
      </c>
      <c r="AY300" s="52">
        <f ca="1">IF(AX300="","",INDEX(OFFSET(Arb!$H$2,,,Arb!$AJ$5,),AX300))</f>
        <v>71.599999999999994</v>
      </c>
      <c r="AZ300" s="3">
        <f t="shared" ca="1" si="81"/>
        <v>2.2067039106145252</v>
      </c>
      <c r="BA300" s="165">
        <f ca="1">IF(AX300="","",INDEX(OFFSET(Arb!$X$2,,,Arb!$AJ$5,),AX300)/AY300)</f>
        <v>2.5139664804469275</v>
      </c>
      <c r="BB300" s="165">
        <f ca="1">IF(AX300="","",(INDEX(OFFSET(Arb!$U$2,,,Arb!$AJ$5,),AX300)+INDEX(OFFSET(Arb!$V$2,,,Arb!$AJ$5,),AX300))/AY300)</f>
        <v>2.6675977653631286</v>
      </c>
      <c r="BC300" s="51">
        <f t="shared" ca="1" si="91"/>
        <v>48.283106482983108</v>
      </c>
      <c r="BD300" s="88">
        <f ca="1">IF(AX300="","",DATE(INDEX(OFFSET(Arb!$C$2,,,Arb!$AJ$5,),AX300),INDEX(OFFSET(Arb!$B$2,,,Arb!$AJ$5,),AX300),INDEX(OFFSET(Arb!$A$2,,,Arb!$AJ$5,),AX300))+ROW()*0.001)</f>
        <v>43777.3</v>
      </c>
      <c r="BE300" s="436">
        <v>158</v>
      </c>
      <c r="BF300" s="1">
        <v>3058</v>
      </c>
      <c r="BG300" s="52">
        <f ca="1">IF(BF300="","",INDEX(OFFSET(Arb!$H$2,,,Arb!$AJ$5,),BF300))</f>
        <v>72.42</v>
      </c>
      <c r="BH300" s="3">
        <f t="shared" ca="1" si="82"/>
        <v>2.1817177575255453</v>
      </c>
      <c r="BI300" s="165">
        <f ca="1">IF(BF300="","",INDEX(OFFSET(Arb!$X$2,,,Arb!$AJ$5,),BF300)/BG300)</f>
        <v>2.7754763877381938</v>
      </c>
      <c r="BJ300" s="165">
        <f ca="1">IF(BF300="","",(INDEX(OFFSET(Arb!$U$2,,,Arb!$AJ$5,),BF300)+INDEX(OFFSET(Arb!$V$2,,,Arb!$AJ$5,),BF300))/BG300)</f>
        <v>3.1621099143882905</v>
      </c>
      <c r="BK300" s="51">
        <f t="shared" ca="1" si="92"/>
        <v>47.357400718398772</v>
      </c>
      <c r="BL300" s="91">
        <f ca="1">IF(BF300="","",DATE(INDEX(OFFSET(Arb!$C$2,,,Arb!$AJ$5,),BF300),INDEX(OFFSET(Arb!$B$2,,,Arb!$AJ$5,),BF300),INDEX(OFFSET(Arb!$A$2,,,Arb!$AJ$5,),BF300))+ROW()*0.001)</f>
        <v>43988.3</v>
      </c>
      <c r="BM300" s="442">
        <v>158</v>
      </c>
      <c r="BN300" s="1">
        <v>2993</v>
      </c>
      <c r="BO300" s="52">
        <f ca="1">IF(BN300="","",INDEX(OFFSET(Arb!$H$2,,,Arb!$AJ$5,),BN300))</f>
        <v>73.22</v>
      </c>
      <c r="BP300" s="3">
        <f t="shared" ca="1" si="83"/>
        <v>2.157880360557225</v>
      </c>
      <c r="BQ300" s="165">
        <f ca="1">IF(BN300="","",INDEX(OFFSET(Arb!$X$2,,,Arb!$AJ$5,),BN300)/BO300)</f>
        <v>2.6495493034689974</v>
      </c>
      <c r="BR300" s="165">
        <f ca="1">IF(BN300="","",(INDEX(OFFSET(Arb!$U$2,,,Arb!$AJ$5,),BN300)+INDEX(OFFSET(Arb!$V$2,,,Arb!$AJ$5,),BN300))/BO300)</f>
        <v>3.0319584812892653</v>
      </c>
      <c r="BS300" s="51">
        <f t="shared" ca="1" si="93"/>
        <v>46.481144228203917</v>
      </c>
      <c r="BT300" s="88">
        <f ca="1">IF(BN300="","",DATE(INDEX(OFFSET(Arb!$C$2,,,Arb!$AJ$5,),BN300),INDEX(OFFSET(Arb!$B$2,,,Arb!$AJ$5,),BN300),INDEX(OFFSET(Arb!$A$2,,,Arb!$AJ$5,),BN300))+ROW()*0.001)</f>
        <v>43956.3</v>
      </c>
      <c r="BU300" s="436">
        <v>158</v>
      </c>
      <c r="BV300" s="1">
        <v>2838</v>
      </c>
      <c r="BW300" s="52">
        <f ca="1">IF(BV300="","",INDEX(OFFSET(Arb!$H$2,,,Arb!$AJ$5,),BV300))</f>
        <v>73.349999999999994</v>
      </c>
      <c r="BX300" s="3">
        <f t="shared" ca="1" si="84"/>
        <v>2.154055896387185</v>
      </c>
      <c r="BY300" s="165">
        <f ca="1">IF(BV300="","",INDEX(OFFSET(Arb!$X$2,,,Arb!$AJ$5,),BV300)/BW300)</f>
        <v>2.6039536468984323</v>
      </c>
      <c r="BZ300" s="165">
        <f ca="1">IF(BV300="","",(INDEX(OFFSET(Arb!$U$2,,,Arb!$AJ$5,),BV300)+INDEX(OFFSET(Arb!$V$2,,,Arb!$AJ$5,),BV300))/BW300)</f>
        <v>2.9584185412406274</v>
      </c>
      <c r="CA300" s="51">
        <f t="shared" ca="1" si="94"/>
        <v>46.341185677733279</v>
      </c>
      <c r="CB300" s="91">
        <f ca="1">IF(BV300="","",DATE(INDEX(OFFSET(Arb!$C$2,,,Arb!$AJ$5,),BV300),INDEX(OFFSET(Arb!$B$2,,,Arb!$AJ$5,),BV300),INDEX(OFFSET(Arb!$A$2,,,Arb!$AJ$5,),BV300))+ROW()*0.001)</f>
        <v>43902.3</v>
      </c>
    </row>
    <row r="301" spans="1:80" x14ac:dyDescent="0.25">
      <c r="A301" s="433">
        <v>159</v>
      </c>
      <c r="B301" s="1">
        <v>3005</v>
      </c>
      <c r="C301" s="52">
        <f ca="1">IF(B301="","",INDEX(OFFSET(Arb!$H$2,,,Arb!$AJ$5,),B301))</f>
        <v>64.680000000000007</v>
      </c>
      <c r="D301" s="3">
        <f t="shared" ca="1" si="75"/>
        <v>2.458256029684601</v>
      </c>
      <c r="E301" s="165">
        <f ca="1">IF(B301="","",INDEX(OFFSET(Arb!$X$2,,,Arb!$AJ$5,),B301)/C301)</f>
        <v>2.7520098948670375</v>
      </c>
      <c r="F301" s="165">
        <f ca="1">IF(B301="","",(INDEX(OFFSET(Arb!$U$2,,,Arb!$AJ$5,),B301)+INDEX(OFFSET(Arb!$V$2,,,Arb!$AJ$5,),B301))/C301)</f>
        <v>3.0612244897959182</v>
      </c>
      <c r="G301" s="51">
        <f t="shared" ca="1" si="85"/>
        <v>57.753506903026242</v>
      </c>
      <c r="H301" s="355">
        <f ca="1">IF(B301="","",DATE(INDEX(OFFSET(Arb!$C$2,,,Arb!$AJ$5,),B301),INDEX(OFFSET(Arb!$B$2,,,Arb!$AJ$5,),B301),INDEX(OFFSET(Arb!$A$2,,,Arb!$AJ$5,),B301))+ROW()*0.001)</f>
        <v>43957.300999999999</v>
      </c>
      <c r="I301" s="436">
        <v>159</v>
      </c>
      <c r="J301" s="1">
        <v>3194</v>
      </c>
      <c r="K301" s="52">
        <f ca="1">IF(J301="","",INDEX(OFFSET(Arb!$H$2,,,Arb!$AJ$5,),J301))</f>
        <v>67.94</v>
      </c>
      <c r="L301" s="3">
        <f t="shared" ca="1" si="76"/>
        <v>2.3403002649396529</v>
      </c>
      <c r="M301" s="165">
        <f ca="1">IF(J301="","",INDEX(OFFSET(Arb!$X$2,,,Arb!$AJ$5,),J301)/K301)</f>
        <v>2.826022961436562</v>
      </c>
      <c r="N301" s="165">
        <f ca="1">IF(J301="","",(INDEX(OFFSET(Arb!$U$2,,,Arb!$AJ$5,),J301)+INDEX(OFFSET(Arb!$V$2,,,Arb!$AJ$5,),J301))/K301)</f>
        <v>3.0762437444804238</v>
      </c>
      <c r="O301" s="51">
        <f t="shared" ca="1" si="86"/>
        <v>53.121943714608427</v>
      </c>
      <c r="P301" s="91">
        <f ca="1">IF(J301="","",DATE(INDEX(OFFSET(Arb!$C$2,,,Arb!$AJ$5,),J301),INDEX(OFFSET(Arb!$B$2,,,Arb!$AJ$5,),J301),INDEX(OFFSET(Arb!$A$2,,,Arb!$AJ$5,),J301))+ROW()*0.001)</f>
        <v>44057.300999999999</v>
      </c>
      <c r="Q301" s="442">
        <v>159</v>
      </c>
      <c r="R301" s="1">
        <v>2783</v>
      </c>
      <c r="S301" s="52">
        <f ca="1">IF(R301="","",INDEX(OFFSET(Arb!$H$2,,,Arb!$AJ$5,),R301))</f>
        <v>69.72</v>
      </c>
      <c r="T301" s="3">
        <f t="shared" ca="1" si="77"/>
        <v>2.2805507745266782</v>
      </c>
      <c r="U301" s="165">
        <f ca="1">IF(R301="","",INDEX(OFFSET(Arb!$X$2,,,Arb!$AJ$5,),R301)/S301)</f>
        <v>2.9116465863453818</v>
      </c>
      <c r="V301" s="165">
        <f ca="1">IF(R301="","",(INDEX(OFFSET(Arb!$U$2,,,Arb!$AJ$5,),R301)+INDEX(OFFSET(Arb!$V$2,,,Arb!$AJ$5,),R301))/S301)</f>
        <v>3.327596098680436</v>
      </c>
      <c r="W301" s="51">
        <f t="shared" ca="1" si="87"/>
        <v>50.836990906440072</v>
      </c>
      <c r="X301" s="88">
        <f ca="1">IF(R301="","",DATE(INDEX(OFFSET(Arb!$C$2,,,Arb!$AJ$5,),R301),INDEX(OFFSET(Arb!$B$2,,,Arb!$AJ$5,),R301),INDEX(OFFSET(Arb!$A$2,,,Arb!$AJ$5,),R301))+ROW()*0.001)</f>
        <v>43891.300999999999</v>
      </c>
      <c r="Y301" s="436">
        <v>159</v>
      </c>
      <c r="Z301" s="1">
        <v>2647</v>
      </c>
      <c r="AA301" s="52">
        <f ca="1">IF(Z301="","",INDEX(OFFSET(Arb!$H$2,,,Arb!$AJ$5,),Z301))</f>
        <v>70.7</v>
      </c>
      <c r="AB301" s="3">
        <f t="shared" ca="1" si="78"/>
        <v>2.2489391796322487</v>
      </c>
      <c r="AC301" s="165">
        <f ca="1">IF(Z301="","",INDEX(OFFSET(Arb!$X$2,,,Arb!$AJ$5,),Z301)/AA301)</f>
        <v>2.644978783592645</v>
      </c>
      <c r="AD301" s="165">
        <f ca="1">IF(Z301="","",(INDEX(OFFSET(Arb!$U$2,,,Arb!$AJ$5,),Z301)+INDEX(OFFSET(Arb!$V$2,,,Arb!$AJ$5,),Z301))/AA301)</f>
        <v>2.9985855728429986</v>
      </c>
      <c r="AE301" s="51">
        <f t="shared" ca="1" si="88"/>
        <v>49.64486981792377</v>
      </c>
      <c r="AF301" s="91">
        <f ca="1">IF(Z301="","",DATE(INDEX(OFFSET(Arb!$C$2,,,Arb!$AJ$5,),Z301),INDEX(OFFSET(Arb!$B$2,,,Arb!$AJ$5,),Z301),INDEX(OFFSET(Arb!$A$2,,,Arb!$AJ$5,),Z301))+ROW()*0.001)</f>
        <v>43817.300999999999</v>
      </c>
      <c r="AG301" s="442">
        <v>159</v>
      </c>
      <c r="AH301" s="1">
        <v>3148</v>
      </c>
      <c r="AI301" s="52">
        <f ca="1">IF(AH301="","",INDEX(OFFSET(Arb!$H$2,,,Arb!$AJ$5,),AH301))</f>
        <v>71.86</v>
      </c>
      <c r="AJ301" s="3">
        <f t="shared" ca="1" si="79"/>
        <v>2.2126356804898415</v>
      </c>
      <c r="AK301" s="165">
        <f ca="1">IF(AH301="","",INDEX(OFFSET(Arb!$X$2,,,Arb!$AJ$5,),AH301)/AI301)</f>
        <v>2.7692735875313108</v>
      </c>
      <c r="AL301" s="165">
        <f ca="1">IF(AH301="","",(INDEX(OFFSET(Arb!$U$2,,,Arb!$AJ$5,),AH301)+INDEX(OFFSET(Arb!$V$2,,,Arb!$AJ$5,),AH301))/AI301)</f>
        <v>3.1032563317561928</v>
      </c>
      <c r="AM301" s="51">
        <f t="shared" ca="1" si="89"/>
        <v>48.290212640956668</v>
      </c>
      <c r="AN301" s="88">
        <f ca="1">IF(AH301="","",DATE(INDEX(OFFSET(Arb!$C$2,,,Arb!$AJ$5,),AH301),INDEX(OFFSET(Arb!$B$2,,,Arb!$AJ$5,),AH301),INDEX(OFFSET(Arb!$A$2,,,Arb!$AJ$5,),AH301))+ROW()*0.001)</f>
        <v>44024.300999999999</v>
      </c>
      <c r="AO301" s="436">
        <v>159</v>
      </c>
      <c r="AP301" s="1">
        <v>2727</v>
      </c>
      <c r="AQ301" s="52">
        <f ca="1">IF(AP301="","",INDEX(OFFSET(Arb!$H$2,,,Arb!$AJ$5,),AP301))</f>
        <v>72</v>
      </c>
      <c r="AR301" s="3">
        <f t="shared" ca="1" si="80"/>
        <v>2.2083333333333335</v>
      </c>
      <c r="AS301" s="165">
        <f ca="1">IF(AP301="","",INDEX(OFFSET(Arb!$X$2,,,Arb!$AJ$5,),AP301)/AQ301)</f>
        <v>2.75</v>
      </c>
      <c r="AT301" s="165">
        <f ca="1">IF(AP301="","",(INDEX(OFFSET(Arb!$U$2,,,Arb!$AJ$5,),AP301)+INDEX(OFFSET(Arb!$V$2,,,Arb!$AJ$5,),AP301))/AQ301)</f>
        <v>3.0833333333333335</v>
      </c>
      <c r="AU301" s="51">
        <f t="shared" ca="1" si="90"/>
        <v>48.130695315767049</v>
      </c>
      <c r="AV301" s="91">
        <f ca="1">IF(AP301="","",DATE(INDEX(OFFSET(Arb!$C$2,,,Arb!$AJ$5,),AP301),INDEX(OFFSET(Arb!$B$2,,,Arb!$AJ$5,),AP301),INDEX(OFFSET(Arb!$A$2,,,Arb!$AJ$5,),AP301))+ROW()*0.001)</f>
        <v>43868.300999999999</v>
      </c>
      <c r="AW301" s="442">
        <v>159</v>
      </c>
      <c r="AX301" s="1">
        <v>3277</v>
      </c>
      <c r="AY301" s="52">
        <f ca="1">IF(AX301="","",INDEX(OFFSET(Arb!$H$2,,,Arb!$AJ$5,),AX301))</f>
        <v>72.56</v>
      </c>
      <c r="AZ301" s="3">
        <f t="shared" ca="1" si="81"/>
        <v>2.1912899669239247</v>
      </c>
      <c r="BA301" s="165">
        <f ca="1">IF(AX301="","",INDEX(OFFSET(Arb!$X$2,,,Arb!$AJ$5,),AX301)/AY301)</f>
        <v>2.7563395810363835</v>
      </c>
      <c r="BB301" s="165">
        <f ca="1">IF(AX301="","",(INDEX(OFFSET(Arb!$U$2,,,Arb!$AJ$5,),AX301)+INDEX(OFFSET(Arb!$V$2,,,Arb!$AJ$5,),AX301))/AY301)</f>
        <v>3.0871003307607494</v>
      </c>
      <c r="BC301" s="51">
        <f t="shared" ca="1" si="91"/>
        <v>47.500919193010041</v>
      </c>
      <c r="BD301" s="88">
        <f ca="1">IF(AX301="","",DATE(INDEX(OFFSET(Arb!$C$2,,,Arb!$AJ$5,),AX301),INDEX(OFFSET(Arb!$B$2,,,Arb!$AJ$5,),AX301),INDEX(OFFSET(Arb!$A$2,,,Arb!$AJ$5,),AX301))+ROW()*0.001)</f>
        <v>44075.300999999999</v>
      </c>
      <c r="BE301" s="436">
        <v>159</v>
      </c>
      <c r="BF301" s="1">
        <v>3119</v>
      </c>
      <c r="BG301" s="52">
        <f ca="1">IF(BF301="","",INDEX(OFFSET(Arb!$H$2,,,Arb!$AJ$5,),BF301))</f>
        <v>73.45</v>
      </c>
      <c r="BH301" s="3">
        <f t="shared" ca="1" si="82"/>
        <v>2.164737916950306</v>
      </c>
      <c r="BI301" s="165">
        <f ca="1">IF(BF301="","",INDEX(OFFSET(Arb!$X$2,,,Arb!$AJ$5,),BF301)/BG301)</f>
        <v>2.7501701837985024</v>
      </c>
      <c r="BJ301" s="165">
        <f ca="1">IF(BF301="","",(INDEX(OFFSET(Arb!$U$2,,,Arb!$AJ$5,),BF301)+INDEX(OFFSET(Arb!$V$2,,,Arb!$AJ$5,),BF301))/BG301)</f>
        <v>3.0905377808032672</v>
      </c>
      <c r="BK301" s="51">
        <f t="shared" ca="1" si="92"/>
        <v>46.526600263024655</v>
      </c>
      <c r="BL301" s="91">
        <f ca="1">IF(BF301="","",DATE(INDEX(OFFSET(Arb!$C$2,,,Arb!$AJ$5,),BF301),INDEX(OFFSET(Arb!$B$2,,,Arb!$AJ$5,),BF301),INDEX(OFFSET(Arb!$A$2,,,Arb!$AJ$5,),BF301))+ROW()*0.001)</f>
        <v>44013.300999999999</v>
      </c>
      <c r="BM301" s="442">
        <v>159</v>
      </c>
      <c r="BN301" s="1">
        <v>2515</v>
      </c>
      <c r="BO301" s="52">
        <f ca="1">IF(BN301="","",INDEX(OFFSET(Arb!$H$2,,,Arb!$AJ$5,),BN301))</f>
        <v>73.81</v>
      </c>
      <c r="BP301" s="3">
        <f t="shared" ca="1" si="83"/>
        <v>2.1541796504538682</v>
      </c>
      <c r="BQ301" s="165">
        <f ca="1">IF(BN301="","",INDEX(OFFSET(Arb!$X$2,,,Arb!$AJ$5,),BN301)/BO301)</f>
        <v>2.6690150386126539</v>
      </c>
      <c r="BR301" s="165">
        <f ca="1">IF(BN301="","",(INDEX(OFFSET(Arb!$U$2,,,Arb!$AJ$5,),BN301)+INDEX(OFFSET(Arb!$V$2,,,Arb!$AJ$5,),BN301))/BO301)</f>
        <v>2.9128844330036578</v>
      </c>
      <c r="BS301" s="51">
        <f t="shared" ca="1" si="93"/>
        <v>46.141481070795507</v>
      </c>
      <c r="BT301" s="88">
        <f ca="1">IF(BN301="","",DATE(INDEX(OFFSET(Arb!$C$2,,,Arb!$AJ$5,),BN301),INDEX(OFFSET(Arb!$B$2,,,Arb!$AJ$5,),BN301),INDEX(OFFSET(Arb!$A$2,,,Arb!$AJ$5,),BN301))+ROW()*0.001)</f>
        <v>43789.300999999999</v>
      </c>
      <c r="BU301" s="436">
        <v>159</v>
      </c>
      <c r="BV301" s="1">
        <v>2686</v>
      </c>
      <c r="BW301" s="52">
        <f ca="1">IF(BV301="","",INDEX(OFFSET(Arb!$H$2,,,Arb!$AJ$5,),BV301))</f>
        <v>74.7</v>
      </c>
      <c r="BX301" s="3">
        <f t="shared" ca="1" si="84"/>
        <v>2.1285140562248994</v>
      </c>
      <c r="BY301" s="165">
        <f ca="1">IF(BV301="","",INDEX(OFFSET(Arb!$X$2,,,Arb!$AJ$5,),BV301)/BW301)</f>
        <v>2.7710843373493974</v>
      </c>
      <c r="BZ301" s="165">
        <f ca="1">IF(BV301="","",(INDEX(OFFSET(Arb!$U$2,,,Arb!$AJ$5,),BV301)+INDEX(OFFSET(Arb!$V$2,,,Arb!$AJ$5,),BV301))/BW301)</f>
        <v>3.0254350736278446</v>
      </c>
      <c r="CA301" s="51">
        <f t="shared" ca="1" si="94"/>
        <v>45.21081714261863</v>
      </c>
      <c r="CB301" s="91">
        <f ca="1">IF(BV301="","",DATE(INDEX(OFFSET(Arb!$C$2,,,Arb!$AJ$5,),BV301),INDEX(OFFSET(Arb!$B$2,,,Arb!$AJ$5,),BV301),INDEX(OFFSET(Arb!$A$2,,,Arb!$AJ$5,),BV301))+ROW()*0.001)</f>
        <v>43834.300999999999</v>
      </c>
    </row>
    <row r="302" spans="1:80" x14ac:dyDescent="0.25">
      <c r="A302" s="433">
        <v>160</v>
      </c>
      <c r="B302" s="1">
        <v>3332</v>
      </c>
      <c r="C302" s="52">
        <f ca="1">IF(B302="","",INDEX(OFFSET(Arb!$H$2,,,Arb!$AJ$5,),B302))</f>
        <v>62.63</v>
      </c>
      <c r="D302" s="3">
        <f t="shared" ca="1" si="75"/>
        <v>2.5546862525946032</v>
      </c>
      <c r="E302" s="165">
        <f ca="1">IF(B302="","",INDEX(OFFSET(Arb!$X$2,,,Arb!$AJ$5,),B302)/C302)</f>
        <v>3.1773910266645378</v>
      </c>
      <c r="F302" s="165">
        <f ca="1">IF(B302="","",(INDEX(OFFSET(Arb!$U$2,,,Arb!$AJ$5,),B302)+INDEX(OFFSET(Arb!$V$2,,,Arb!$AJ$5,),B302))/C302)</f>
        <v>3.432859651923998</v>
      </c>
      <c r="G302" s="51">
        <f t="shared" ca="1" si="85"/>
        <v>61.387526991576173</v>
      </c>
      <c r="H302" s="355">
        <f ca="1">IF(B302="","",DATE(INDEX(OFFSET(Arb!$C$2,,,Arb!$AJ$5,),B302),INDEX(OFFSET(Arb!$B$2,,,Arb!$AJ$5,),B302),INDEX(OFFSET(Arb!$A$2,,,Arb!$AJ$5,),B302))+ROW()*0.001)</f>
        <v>44096.302000000003</v>
      </c>
      <c r="I302" s="436">
        <v>160</v>
      </c>
      <c r="J302" s="1">
        <v>3055</v>
      </c>
      <c r="K302" s="52">
        <f ca="1">IF(J302="","",INDEX(OFFSET(Arb!$H$2,,,Arb!$AJ$5,),J302))</f>
        <v>66.989999999999995</v>
      </c>
      <c r="L302" s="3">
        <f t="shared" ca="1" si="76"/>
        <v>2.3884161815196299</v>
      </c>
      <c r="M302" s="165">
        <f ca="1">IF(J302="","",INDEX(OFFSET(Arb!$X$2,,,Arb!$AJ$5,),J302)/K302)</f>
        <v>2.7914614121510675</v>
      </c>
      <c r="N302" s="165">
        <f ca="1">IF(J302="","",(INDEX(OFFSET(Arb!$U$2,,,Arb!$AJ$5,),J302)+INDEX(OFFSET(Arb!$V$2,,,Arb!$AJ$5,),J302))/K302)</f>
        <v>3.0750858337065234</v>
      </c>
      <c r="O302" s="51">
        <f t="shared" ca="1" si="86"/>
        <v>54.751153802134432</v>
      </c>
      <c r="P302" s="91">
        <f ca="1">IF(J302="","",DATE(INDEX(OFFSET(Arb!$C$2,,,Arb!$AJ$5,),J302),INDEX(OFFSET(Arb!$B$2,,,Arb!$AJ$5,),J302),INDEX(OFFSET(Arb!$A$2,,,Arb!$AJ$5,),J302))+ROW()*0.001)</f>
        <v>43982.302000000003</v>
      </c>
      <c r="Q302" s="442">
        <v>160</v>
      </c>
      <c r="R302" s="1">
        <v>3259</v>
      </c>
      <c r="S302" s="52">
        <f ca="1">IF(R302="","",INDEX(OFFSET(Arb!$H$2,,,Arb!$AJ$5,),R302))</f>
        <v>68.989999999999995</v>
      </c>
      <c r="T302" s="3">
        <f t="shared" ca="1" si="77"/>
        <v>2.3191766922742429</v>
      </c>
      <c r="U302" s="165">
        <f ca="1">IF(R302="","",INDEX(OFFSET(Arb!$X$2,,,Arb!$AJ$5,),R302)/S302)</f>
        <v>2.6380634874619511</v>
      </c>
      <c r="V302" s="165">
        <f ca="1">IF(R302="","",(INDEX(OFFSET(Arb!$U$2,,,Arb!$AJ$5,),R302)+INDEX(OFFSET(Arb!$V$2,,,Arb!$AJ$5,),R302))/S302)</f>
        <v>2.9424554283229454</v>
      </c>
      <c r="W302" s="51">
        <f t="shared" ca="1" si="87"/>
        <v>52.080337694142571</v>
      </c>
      <c r="X302" s="88">
        <f ca="1">IF(R302="","",DATE(INDEX(OFFSET(Arb!$C$2,,,Arb!$AJ$5,),R302),INDEX(OFFSET(Arb!$B$2,,,Arb!$AJ$5,),R302),INDEX(OFFSET(Arb!$A$2,,,Arb!$AJ$5,),R302))+ROW()*0.001)</f>
        <v>44071.302000000003</v>
      </c>
      <c r="Y302" s="436">
        <v>160</v>
      </c>
      <c r="Z302" s="1">
        <v>3364</v>
      </c>
      <c r="AA302" s="52">
        <f ca="1">IF(Z302="","",INDEX(OFFSET(Arb!$H$2,,,Arb!$AJ$5,),Z302))</f>
        <v>69.28</v>
      </c>
      <c r="AB302" s="3">
        <f t="shared" ca="1" si="78"/>
        <v>2.3094688221709005</v>
      </c>
      <c r="AC302" s="165">
        <f ca="1">IF(Z302="","",INDEX(OFFSET(Arb!$X$2,,,Arb!$AJ$5,),Z302)/AA302)</f>
        <v>2.5404157043879909</v>
      </c>
      <c r="AD302" s="165">
        <f ca="1">IF(Z302="","",(INDEX(OFFSET(Arb!$U$2,,,Arb!$AJ$5,),Z302)+INDEX(OFFSET(Arb!$V$2,,,Arb!$AJ$5,),Z302))/AA302)</f>
        <v>2.9590069284064664</v>
      </c>
      <c r="AE302" s="51">
        <f t="shared" ca="1" si="88"/>
        <v>51.710274556535929</v>
      </c>
      <c r="AF302" s="91">
        <f ca="1">IF(Z302="","",DATE(INDEX(OFFSET(Arb!$C$2,,,Arb!$AJ$5,),Z302),INDEX(OFFSET(Arb!$B$2,,,Arb!$AJ$5,),Z302),INDEX(OFFSET(Arb!$A$2,,,Arb!$AJ$5,),Z302))+ROW()*0.001)</f>
        <v>44107.302000000003</v>
      </c>
      <c r="AG302" s="442">
        <v>160</v>
      </c>
      <c r="AH302" s="1">
        <v>3429</v>
      </c>
      <c r="AI302" s="52">
        <f ca="1">IF(AH302="","",INDEX(OFFSET(Arb!$H$2,,,Arb!$AJ$5,),AH302))</f>
        <v>69.319999999999993</v>
      </c>
      <c r="AJ302" s="3">
        <f t="shared" ca="1" si="79"/>
        <v>2.3081361800346221</v>
      </c>
      <c r="AK302" s="165">
        <f ca="1">IF(AH302="","",INDEX(OFFSET(Arb!$X$2,,,Arb!$AJ$5,),AH302)/AI302)</f>
        <v>2.3946912867859207</v>
      </c>
      <c r="AL302" s="165">
        <f ca="1">IF(AH302="","",(INDEX(OFFSET(Arb!$U$2,,,Arb!$AJ$5,),AH302)+INDEX(OFFSET(Arb!$V$2,,,Arb!$AJ$5,),AH302))/AI302)</f>
        <v>2.8707443739180616</v>
      </c>
      <c r="AM302" s="51">
        <f t="shared" ca="1" si="89"/>
        <v>51.659559200643848</v>
      </c>
      <c r="AN302" s="88">
        <f ca="1">IF(AH302="","",DATE(INDEX(OFFSET(Arb!$C$2,,,Arb!$AJ$5,),AH302),INDEX(OFFSET(Arb!$B$2,,,Arb!$AJ$5,),AH302),INDEX(OFFSET(Arb!$A$2,,,Arb!$AJ$5,),AH302))+ROW()*0.001)</f>
        <v>44150.302000000003</v>
      </c>
      <c r="AO302" s="436">
        <v>160</v>
      </c>
      <c r="AP302" s="1">
        <v>3082</v>
      </c>
      <c r="AQ302" s="52">
        <f ca="1">IF(AP302="","",INDEX(OFFSET(Arb!$H$2,,,Arb!$AJ$5,),AP302))</f>
        <v>69.489999999999995</v>
      </c>
      <c r="AR302" s="3">
        <f t="shared" ca="1" si="80"/>
        <v>2.3024895668441503</v>
      </c>
      <c r="AS302" s="165">
        <f ca="1">IF(AP302="","",INDEX(OFFSET(Arb!$X$2,,,Arb!$AJ$5,),AP302)/AQ302)</f>
        <v>2.9644553173118435</v>
      </c>
      <c r="AT302" s="165">
        <f ca="1">IF(AP302="","",(INDEX(OFFSET(Arb!$U$2,,,Arb!$AJ$5,),AP302)+INDEX(OFFSET(Arb!$V$2,,,Arb!$AJ$5,),AP302))/AQ302)</f>
        <v>3.3386098719240183</v>
      </c>
      <c r="AU302" s="51">
        <f t="shared" ca="1" si="90"/>
        <v>51.444897721683361</v>
      </c>
      <c r="AV302" s="91">
        <f ca="1">IF(AP302="","",DATE(INDEX(OFFSET(Arb!$C$2,,,Arb!$AJ$5,),AP302),INDEX(OFFSET(Arb!$B$2,,,Arb!$AJ$5,),AP302),INDEX(OFFSET(Arb!$A$2,,,Arb!$AJ$5,),AP302))+ROW()*0.001)</f>
        <v>44003.302000000003</v>
      </c>
      <c r="AW302" s="442">
        <v>160</v>
      </c>
      <c r="AX302" s="1">
        <v>3344</v>
      </c>
      <c r="AY302" s="52">
        <f ca="1">IF(AX302="","",INDEX(OFFSET(Arb!$H$2,,,Arb!$AJ$5,),AX302))</f>
        <v>69.53</v>
      </c>
      <c r="AZ302" s="3">
        <f t="shared" ca="1" si="81"/>
        <v>2.3011649647634114</v>
      </c>
      <c r="BA302" s="165">
        <f ca="1">IF(AX302="","",INDEX(OFFSET(Arb!$X$2,,,Arb!$AJ$5,),AX302)/AY302)</f>
        <v>2.7613979577160936</v>
      </c>
      <c r="BB302" s="165">
        <f ca="1">IF(AX302="","",(INDEX(OFFSET(Arb!$U$2,,,Arb!$AJ$5,),AX302)+INDEX(OFFSET(Arb!$V$2,,,Arb!$AJ$5,),AX302))/AY302)</f>
        <v>3.0634258593412915</v>
      </c>
      <c r="BC302" s="51">
        <f t="shared" ca="1" si="91"/>
        <v>51.394594994450145</v>
      </c>
      <c r="BD302" s="88">
        <f ca="1">IF(AX302="","",DATE(INDEX(OFFSET(Arb!$C$2,,,Arb!$AJ$5,),AX302),INDEX(OFFSET(Arb!$B$2,,,Arb!$AJ$5,),AX302),INDEX(OFFSET(Arb!$A$2,,,Arb!$AJ$5,),AX302))+ROW()*0.001)</f>
        <v>44097.302000000003</v>
      </c>
      <c r="BE302" s="436">
        <v>160</v>
      </c>
      <c r="BF302" s="1">
        <v>2983</v>
      </c>
      <c r="BG302" s="52">
        <f ca="1">IF(BF302="","",INDEX(OFFSET(Arb!$H$2,,,Arb!$AJ$5,),BF302))</f>
        <v>69.650000000000006</v>
      </c>
      <c r="BH302" s="3">
        <f t="shared" ca="1" si="82"/>
        <v>2.2972002871500359</v>
      </c>
      <c r="BI302" s="165">
        <f ca="1">IF(BF302="","",INDEX(OFFSET(Arb!$X$2,,,Arb!$AJ$5,),BF302)/BG302)</f>
        <v>2.9432878679109833</v>
      </c>
      <c r="BJ302" s="165">
        <f ca="1">IF(BF302="","",(INDEX(OFFSET(Arb!$U$2,,,Arb!$AJ$5,),BF302)+INDEX(OFFSET(Arb!$V$2,,,Arb!$AJ$5,),BF302))/BG302)</f>
        <v>3.4027279253409906</v>
      </c>
      <c r="BK302" s="51">
        <f t="shared" ca="1" si="92"/>
        <v>51.244154592741502</v>
      </c>
      <c r="BL302" s="91">
        <f ca="1">IF(BF302="","",DATE(INDEX(OFFSET(Arb!$C$2,,,Arb!$AJ$5,),BF302),INDEX(OFFSET(Arb!$B$2,,,Arb!$AJ$5,),BF302),INDEX(OFFSET(Arb!$A$2,,,Arb!$AJ$5,),BF302))+ROW()*0.001)</f>
        <v>43956.302000000003</v>
      </c>
      <c r="BM302" s="442">
        <v>160</v>
      </c>
      <c r="BN302" s="1">
        <v>2805</v>
      </c>
      <c r="BO302" s="52">
        <f ca="1">IF(BN302="","",INDEX(OFFSET(Arb!$H$2,,,Arb!$AJ$5,),BN302))</f>
        <v>70.69</v>
      </c>
      <c r="BP302" s="3">
        <f t="shared" ca="1" si="83"/>
        <v>2.2634035931532042</v>
      </c>
      <c r="BQ302" s="165">
        <f ca="1">IF(BN302="","",INDEX(OFFSET(Arb!$X$2,,,Arb!$AJ$5,),BN302)/BO302)</f>
        <v>2.8151082189842977</v>
      </c>
      <c r="BR302" s="165">
        <f ca="1">IF(BN302="","",(INDEX(OFFSET(Arb!$U$2,,,Arb!$AJ$5,),BN302)+INDEX(OFFSET(Arb!$V$2,,,Arb!$AJ$5,),BN302))/BO302)</f>
        <v>3.2536426651577313</v>
      </c>
      <c r="BS302" s="51">
        <f t="shared" ca="1" si="93"/>
        <v>49.969116313521852</v>
      </c>
      <c r="BT302" s="88">
        <f ca="1">IF(BN302="","",DATE(INDEX(OFFSET(Arb!$C$2,,,Arb!$AJ$5,),BN302),INDEX(OFFSET(Arb!$B$2,,,Arb!$AJ$5,),BN302),INDEX(OFFSET(Arb!$A$2,,,Arb!$AJ$5,),BN302))+ROW()*0.001)</f>
        <v>43897.302000000003</v>
      </c>
      <c r="BU302" s="436">
        <v>160</v>
      </c>
      <c r="BV302" s="1">
        <v>2785</v>
      </c>
      <c r="BW302" s="52">
        <f ca="1">IF(BV302="","",INDEX(OFFSET(Arb!$H$2,,,Arb!$AJ$5,),BV302))</f>
        <v>75.099999999999994</v>
      </c>
      <c r="BX302" s="3">
        <f t="shared" ca="1" si="84"/>
        <v>2.1304926764314249</v>
      </c>
      <c r="BY302" s="165">
        <f ca="1">IF(BV302="","",INDEX(OFFSET(Arb!$X$2,,,Arb!$AJ$5,),BV302)/BW302)</f>
        <v>2.596537949400799</v>
      </c>
      <c r="BZ302" s="165">
        <f ca="1">IF(BV302="","",(INDEX(OFFSET(Arb!$U$2,,,Arb!$AJ$5,),BV302)+INDEX(OFFSET(Arb!$V$2,,,Arb!$AJ$5,),BV302))/BW302)</f>
        <v>2.8894806924101202</v>
      </c>
      <c r="CA302" s="51">
        <f t="shared" ca="1" si="94"/>
        <v>45.08399003109281</v>
      </c>
      <c r="CB302" s="91">
        <f ca="1">IF(BV302="","",DATE(INDEX(OFFSET(Arb!$C$2,,,Arb!$AJ$5,),BV302),INDEX(OFFSET(Arb!$B$2,,,Arb!$AJ$5,),BV302),INDEX(OFFSET(Arb!$A$2,,,Arb!$AJ$5,),BV302))+ROW()*0.001)</f>
        <v>43892.302000000003</v>
      </c>
    </row>
    <row r="303" spans="1:80" x14ac:dyDescent="0.25">
      <c r="A303" s="433">
        <v>161</v>
      </c>
      <c r="B303" s="1">
        <v>3342</v>
      </c>
      <c r="C303" s="52">
        <f ca="1">IF(B303="","",INDEX(OFFSET(Arb!$H$2,,,Arb!$AJ$5,),B303))</f>
        <v>63.13</v>
      </c>
      <c r="D303" s="3">
        <f t="shared" ca="1" si="75"/>
        <v>2.5502930460953586</v>
      </c>
      <c r="E303" s="165">
        <f ca="1">IF(B303="","",INDEX(OFFSET(Arb!$X$2,,,Arb!$AJ$5,),B303)/C303)</f>
        <v>2.8829399651512748</v>
      </c>
      <c r="F303" s="165">
        <f ca="1">IF(B303="","",(INDEX(OFFSET(Arb!$U$2,,,Arb!$AJ$5,),B303)+INDEX(OFFSET(Arb!$V$2,,,Arb!$AJ$5,),B303))/C303)</f>
        <v>3.1522255662917789</v>
      </c>
      <c r="G303" s="51">
        <f t="shared" ca="1" si="85"/>
        <v>60.941801676190195</v>
      </c>
      <c r="H303" s="355">
        <f ca="1">IF(B303="","",DATE(INDEX(OFFSET(Arb!$C$2,,,Arb!$AJ$5,),B303),INDEX(OFFSET(Arb!$B$2,,,Arb!$AJ$5,),B303),INDEX(OFFSET(Arb!$A$2,,,Arb!$AJ$5,),B303))+ROW()*0.001)</f>
        <v>44097.303</v>
      </c>
      <c r="I303" s="436">
        <v>161</v>
      </c>
      <c r="J303" s="1">
        <v>3212</v>
      </c>
      <c r="K303" s="52">
        <f ca="1">IF(J303="","",INDEX(OFFSET(Arb!$H$2,,,Arb!$AJ$5,),J303))</f>
        <v>66.540000000000006</v>
      </c>
      <c r="L303" s="3">
        <f t="shared" ca="1" si="76"/>
        <v>2.4195972347460173</v>
      </c>
      <c r="M303" s="165">
        <f ca="1">IF(J303="","",INDEX(OFFSET(Arb!$X$2,,,Arb!$AJ$5,),J303)/K303)</f>
        <v>3.0658250676284937</v>
      </c>
      <c r="N303" s="165">
        <f ca="1">IF(J303="","",(INDEX(OFFSET(Arb!$U$2,,,Arb!$AJ$5,),J303)+INDEX(OFFSET(Arb!$V$2,,,Arb!$AJ$5,),J303))/K303)</f>
        <v>3.456567478208596</v>
      </c>
      <c r="O303" s="51">
        <f t="shared" ca="1" si="86"/>
        <v>55.728246390409552</v>
      </c>
      <c r="P303" s="91">
        <f ca="1">IF(J303="","",DATE(INDEX(OFFSET(Arb!$C$2,,,Arb!$AJ$5,),J303),INDEX(OFFSET(Arb!$B$2,,,Arb!$AJ$5,),J303),INDEX(OFFSET(Arb!$A$2,,,Arb!$AJ$5,),J303))+ROW()*0.001)</f>
        <v>44059.303</v>
      </c>
      <c r="Q303" s="442">
        <v>161</v>
      </c>
      <c r="R303" s="1">
        <v>3399</v>
      </c>
      <c r="S303" s="52">
        <f ca="1">IF(R303="","",INDEX(OFFSET(Arb!$H$2,,,Arb!$AJ$5,),R303))</f>
        <v>67.06</v>
      </c>
      <c r="T303" s="3">
        <f t="shared" ca="1" si="77"/>
        <v>2.4008350730688934</v>
      </c>
      <c r="U303" s="165">
        <f ca="1">IF(R303="","",INDEX(OFFSET(Arb!$X$2,,,Arb!$AJ$5,),R303)/S303)</f>
        <v>2.728899492991351</v>
      </c>
      <c r="V303" s="165">
        <f ca="1">IF(R303="","",(INDEX(OFFSET(Arb!$U$2,,,Arb!$AJ$5,),R303)+INDEX(OFFSET(Arb!$V$2,,,Arb!$AJ$5,),R303))/S303)</f>
        <v>2.9227557411273484</v>
      </c>
      <c r="W303" s="51">
        <f t="shared" ca="1" si="87"/>
        <v>54.995619420271801</v>
      </c>
      <c r="X303" s="88">
        <f ca="1">IF(R303="","",DATE(INDEX(OFFSET(Arb!$C$2,,,Arb!$AJ$5,),R303),INDEX(OFFSET(Arb!$B$2,,,Arb!$AJ$5,),R303),INDEX(OFFSET(Arb!$A$2,,,Arb!$AJ$5,),R303))+ROW()*0.001)</f>
        <v>44144.303</v>
      </c>
      <c r="Y303" s="436">
        <v>161</v>
      </c>
      <c r="Z303" s="1">
        <v>3348</v>
      </c>
      <c r="AA303" s="52">
        <f ca="1">IF(Z303="","",INDEX(OFFSET(Arb!$H$2,,,Arb!$AJ$5,),Z303))</f>
        <v>68.27</v>
      </c>
      <c r="AB303" s="3">
        <f t="shared" ca="1" si="78"/>
        <v>2.3582832869488795</v>
      </c>
      <c r="AC303" s="165">
        <f ca="1">IF(Z303="","",INDEX(OFFSET(Arb!$X$2,,,Arb!$AJ$5,),Z303)/AA303)</f>
        <v>2.7537717884868904</v>
      </c>
      <c r="AD303" s="165">
        <f ca="1">IF(Z303="","",(INDEX(OFFSET(Arb!$U$2,,,Arb!$AJ$5,),Z303)+INDEX(OFFSET(Arb!$V$2,,,Arb!$AJ$5,),Z303))/AA303)</f>
        <v>3.0320785117914166</v>
      </c>
      <c r="AE303" s="51">
        <f t="shared" ca="1" si="88"/>
        <v>53.348878794417253</v>
      </c>
      <c r="AF303" s="91">
        <f ca="1">IF(Z303="","",DATE(INDEX(OFFSET(Arb!$C$2,,,Arb!$AJ$5,),Z303),INDEX(OFFSET(Arb!$B$2,,,Arb!$AJ$5,),Z303),INDEX(OFFSET(Arb!$A$2,,,Arb!$AJ$5,),Z303))+ROW()*0.001)</f>
        <v>44098.303</v>
      </c>
      <c r="AG303" s="442">
        <v>161</v>
      </c>
      <c r="AH303" s="1">
        <v>3117</v>
      </c>
      <c r="AI303" s="52">
        <f ca="1">IF(AH303="","",INDEX(OFFSET(Arb!$H$2,,,Arb!$AJ$5,),AH303))</f>
        <v>68.3</v>
      </c>
      <c r="AJ303" s="3">
        <f t="shared" ca="1" si="79"/>
        <v>2.3572474377745243</v>
      </c>
      <c r="AK303" s="165">
        <f ca="1">IF(AH303="","",INDEX(OFFSET(Arb!$X$2,,,Arb!$AJ$5,),AH303)/AI303)</f>
        <v>2.9136163982430454</v>
      </c>
      <c r="AL303" s="165">
        <f ca="1">IF(AH303="","",(INDEX(OFFSET(Arb!$U$2,,,Arb!$AJ$5,),AH303)+INDEX(OFFSET(Arb!$V$2,,,Arb!$AJ$5,),AH303))/AI303)</f>
        <v>3.2064421669106884</v>
      </c>
      <c r="AM303" s="51">
        <f t="shared" ca="1" si="89"/>
        <v>53.309049006378366</v>
      </c>
      <c r="AN303" s="88">
        <f ca="1">IF(AH303="","",DATE(INDEX(OFFSET(Arb!$C$2,,,Arb!$AJ$5,),AH303),INDEX(OFFSET(Arb!$B$2,,,Arb!$AJ$5,),AH303),INDEX(OFFSET(Arb!$A$2,,,Arb!$AJ$5,),AH303))+ROW()*0.001)</f>
        <v>44012.303</v>
      </c>
      <c r="AO303" s="436">
        <v>161</v>
      </c>
      <c r="AP303" s="1">
        <v>2630</v>
      </c>
      <c r="AQ303" s="52">
        <f ca="1">IF(AP303="","",INDEX(OFFSET(Arb!$H$2,,,Arb!$AJ$5,),AP303))</f>
        <v>68.42</v>
      </c>
      <c r="AR303" s="3">
        <f t="shared" ca="1" si="80"/>
        <v>2.3531131248173049</v>
      </c>
      <c r="AS303" s="165">
        <f ca="1">IF(AP303="","",INDEX(OFFSET(Arb!$X$2,,,Arb!$AJ$5,),AP303)/AQ303)</f>
        <v>2.8061970184156677</v>
      </c>
      <c r="AT303" s="165">
        <f ca="1">IF(AP303="","",(INDEX(OFFSET(Arb!$U$2,,,Arb!$AJ$5,),AP303)+INDEX(OFFSET(Arb!$V$2,,,Arb!$AJ$5,),AP303))/AQ303)</f>
        <v>3.215434083601286</v>
      </c>
      <c r="AU303" s="51">
        <f t="shared" ca="1" si="90"/>
        <v>53.150201167764799</v>
      </c>
      <c r="AV303" s="91">
        <f ca="1">IF(AP303="","",DATE(INDEX(OFFSET(Arb!$C$2,,,Arb!$AJ$5,),AP303),INDEX(OFFSET(Arb!$B$2,,,Arb!$AJ$5,),AP303),INDEX(OFFSET(Arb!$A$2,,,Arb!$AJ$5,),AP303))+ROW()*0.001)</f>
        <v>43815.303</v>
      </c>
      <c r="AW303" s="442">
        <v>161</v>
      </c>
      <c r="AX303" s="1">
        <v>3274</v>
      </c>
      <c r="AY303" s="52">
        <f ca="1">IF(AX303="","",INDEX(OFFSET(Arb!$H$2,,,Arb!$AJ$5,),AX303))</f>
        <v>71.11</v>
      </c>
      <c r="AZ303" s="3">
        <f t="shared" ca="1" si="81"/>
        <v>2.2640978765293207</v>
      </c>
      <c r="BA303" s="165">
        <f ca="1">IF(AX303="","",INDEX(OFFSET(Arb!$X$2,,,Arb!$AJ$5,),AX303)/AY303)</f>
        <v>2.7984812262691605</v>
      </c>
      <c r="BB303" s="165">
        <f ca="1">IF(AX303="","",(INDEX(OFFSET(Arb!$U$2,,,Arb!$AJ$5,),AX303)+INDEX(OFFSET(Arb!$V$2,,,Arb!$AJ$5,),AX303))/AY303)</f>
        <v>2.9812965827591058</v>
      </c>
      <c r="BC303" s="51">
        <f t="shared" ca="1" si="91"/>
        <v>49.777602770374287</v>
      </c>
      <c r="BD303" s="88">
        <f ca="1">IF(AX303="","",DATE(INDEX(OFFSET(Arb!$C$2,,,Arb!$AJ$5,),AX303),INDEX(OFFSET(Arb!$B$2,,,Arb!$AJ$5,),AX303),INDEX(OFFSET(Arb!$A$2,,,Arb!$AJ$5,),AX303))+ROW()*0.001)</f>
        <v>44075.303</v>
      </c>
      <c r="BE303" s="436">
        <v>161</v>
      </c>
      <c r="BF303" s="1">
        <v>3133</v>
      </c>
      <c r="BG303" s="52">
        <f ca="1">IF(BF303="","",INDEX(OFFSET(Arb!$H$2,,,Arb!$AJ$5,),BF303))</f>
        <v>72.47</v>
      </c>
      <c r="BH303" s="3">
        <f t="shared" ca="1" si="82"/>
        <v>2.2216089416310196</v>
      </c>
      <c r="BI303" s="165">
        <f ca="1">IF(BF303="","",INDEX(OFFSET(Arb!$X$2,,,Arb!$AJ$5,),BF303)/BG303)</f>
        <v>2.7183662205050365</v>
      </c>
      <c r="BJ303" s="165">
        <f ca="1">IF(BF303="","",(INDEX(OFFSET(Arb!$U$2,,,Arb!$AJ$5,),BF303)+INDEX(OFFSET(Arb!$V$2,,,Arb!$AJ$5,),BF303))/BG303)</f>
        <v>2.9253484200358768</v>
      </c>
      <c r="BK303" s="51">
        <f t="shared" ca="1" si="92"/>
        <v>48.200005425320072</v>
      </c>
      <c r="BL303" s="91">
        <f ca="1">IF(BF303="","",DATE(INDEX(OFFSET(Arb!$C$2,,,Arb!$AJ$5,),BF303),INDEX(OFFSET(Arb!$B$2,,,Arb!$AJ$5,),BF303),INDEX(OFFSET(Arb!$A$2,,,Arb!$AJ$5,),BF303))+ROW()*0.001)</f>
        <v>44019.303</v>
      </c>
      <c r="BM303" s="442">
        <v>161</v>
      </c>
      <c r="BN303" s="1">
        <v>3138</v>
      </c>
      <c r="BO303" s="52">
        <f ca="1">IF(BN303="","",INDEX(OFFSET(Arb!$H$2,,,Arb!$AJ$5,),BN303))</f>
        <v>73.680000000000007</v>
      </c>
      <c r="BP303" s="3">
        <f t="shared" ca="1" si="83"/>
        <v>2.1851248642779586</v>
      </c>
      <c r="BQ303" s="165">
        <f ca="1">IF(BN303="","",INDEX(OFFSET(Arb!$X$2,,,Arb!$AJ$5,),BN303)/BO303)</f>
        <v>2.6465798045602602</v>
      </c>
      <c r="BR303" s="165">
        <f ca="1">IF(BN303="","",(INDEX(OFFSET(Arb!$U$2,,,Arb!$AJ$5,),BN303)+INDEX(OFFSET(Arb!$V$2,,,Arb!$AJ$5,),BN303))/BO303)</f>
        <v>2.9451682953311615</v>
      </c>
      <c r="BS303" s="51">
        <f t="shared" ca="1" si="93"/>
        <v>46.862103851829858</v>
      </c>
      <c r="BT303" s="88">
        <f ca="1">IF(BN303="","",DATE(INDEX(OFFSET(Arb!$C$2,,,Arb!$AJ$5,),BN303),INDEX(OFFSET(Arb!$B$2,,,Arb!$AJ$5,),BN303),INDEX(OFFSET(Arb!$A$2,,,Arb!$AJ$5,),BN303))+ROW()*0.001)</f>
        <v>44021.303</v>
      </c>
      <c r="BU303" s="436">
        <v>161</v>
      </c>
      <c r="BV303" s="1">
        <v>3248</v>
      </c>
      <c r="BW303" s="52">
        <f ca="1">IF(BV303="","",INDEX(OFFSET(Arb!$H$2,,,Arb!$AJ$5,),BV303))</f>
        <v>74.58</v>
      </c>
      <c r="BX303" s="3">
        <f t="shared" ca="1" si="84"/>
        <v>2.1587556985787075</v>
      </c>
      <c r="BY303" s="165">
        <f ca="1">IF(BV303="","",INDEX(OFFSET(Arb!$X$2,,,Arb!$AJ$5,),BV303)/BW303)</f>
        <v>2.6682756771252345</v>
      </c>
      <c r="BZ303" s="165">
        <f ca="1">IF(BV303="","",(INDEX(OFFSET(Arb!$U$2,,,Arb!$AJ$5,),BV303)+INDEX(OFFSET(Arb!$V$2,,,Arb!$AJ$5,),BV303))/BW303)</f>
        <v>2.9766693483507645</v>
      </c>
      <c r="CA303" s="51">
        <f t="shared" ca="1" si="94"/>
        <v>45.904798672554172</v>
      </c>
      <c r="CB303" s="91">
        <f ca="1">IF(BV303="","",DATE(INDEX(OFFSET(Arb!$C$2,,,Arb!$AJ$5,),BV303),INDEX(OFFSET(Arb!$B$2,,,Arb!$AJ$5,),BV303),INDEX(OFFSET(Arb!$A$2,,,Arb!$AJ$5,),BV303))+ROW()*0.001)</f>
        <v>44068.303</v>
      </c>
    </row>
    <row r="304" spans="1:80" x14ac:dyDescent="0.25">
      <c r="A304" s="433">
        <v>162</v>
      </c>
      <c r="B304" s="1">
        <v>2919</v>
      </c>
      <c r="C304" s="52">
        <f ca="1">IF(B304="","",INDEX(OFFSET(Arb!$H$2,,,Arb!$AJ$5,),B304))</f>
        <v>65.540000000000006</v>
      </c>
      <c r="D304" s="3">
        <f t="shared" ca="1" si="75"/>
        <v>2.4717729630759839</v>
      </c>
      <c r="E304" s="165">
        <f ca="1">IF(B304="","",INDEX(OFFSET(Arb!$X$2,,,Arb!$AJ$5,),B304)/C304)</f>
        <v>3.0668294171498318</v>
      </c>
      <c r="F304" s="165">
        <f ca="1">IF(B304="","",(INDEX(OFFSET(Arb!$U$2,,,Arb!$AJ$5,),B304)+INDEX(OFFSET(Arb!$V$2,,,Arb!$AJ$5,),B304))/C304)</f>
        <v>3.4177601464754344</v>
      </c>
      <c r="G304" s="51">
        <f t="shared" ca="1" si="85"/>
        <v>57.536617523376435</v>
      </c>
      <c r="H304" s="355">
        <f ca="1">IF(B304="","",DATE(INDEX(OFFSET(Arb!$C$2,,,Arb!$AJ$5,),B304),INDEX(OFFSET(Arb!$B$2,,,Arb!$AJ$5,),B304),INDEX(OFFSET(Arb!$A$2,,,Arb!$AJ$5,),B304))+ROW()*0.001)</f>
        <v>43935.303999999996</v>
      </c>
      <c r="I304" s="436">
        <v>162</v>
      </c>
      <c r="J304" s="1">
        <v>3236</v>
      </c>
      <c r="K304" s="52">
        <f ca="1">IF(J304="","",INDEX(OFFSET(Arb!$H$2,,,Arb!$AJ$5,),J304))</f>
        <v>65.67</v>
      </c>
      <c r="L304" s="3">
        <f t="shared" ca="1" si="76"/>
        <v>2.4668798538145271</v>
      </c>
      <c r="M304" s="165">
        <f ca="1">IF(J304="","",INDEX(OFFSET(Arb!$X$2,,,Arb!$AJ$5,),J304)/K304)</f>
        <v>3.0150753768844218</v>
      </c>
      <c r="N304" s="165">
        <f ca="1">IF(J304="","",(INDEX(OFFSET(Arb!$U$2,,,Arb!$AJ$5,),J304)+INDEX(OFFSET(Arb!$V$2,,,Arb!$AJ$5,),J304))/K304)</f>
        <v>3.3044007918379776</v>
      </c>
      <c r="O304" s="51">
        <f t="shared" ca="1" si="86"/>
        <v>57.3431230719588</v>
      </c>
      <c r="P304" s="91">
        <f ca="1">IF(J304="","",DATE(INDEX(OFFSET(Arb!$C$2,,,Arb!$AJ$5,),J304),INDEX(OFFSET(Arb!$B$2,,,Arb!$AJ$5,),J304),INDEX(OFFSET(Arb!$A$2,,,Arb!$AJ$5,),J304))+ROW()*0.001)</f>
        <v>44064.303999999996</v>
      </c>
      <c r="Q304" s="442">
        <v>162</v>
      </c>
      <c r="R304" s="1">
        <v>2966</v>
      </c>
      <c r="S304" s="52">
        <f ca="1">IF(R304="","",INDEX(OFFSET(Arb!$H$2,,,Arb!$AJ$5,),R304))</f>
        <v>67.61</v>
      </c>
      <c r="T304" s="3">
        <f t="shared" ca="1" si="77"/>
        <v>2.3960952521816301</v>
      </c>
      <c r="U304" s="165">
        <f ca="1">IF(R304="","",INDEX(OFFSET(Arb!$X$2,,,Arb!$AJ$5,),R304)/S304)</f>
        <v>2.9433515752107677</v>
      </c>
      <c r="V304" s="165">
        <f ca="1">IF(R304="","",(INDEX(OFFSET(Arb!$U$2,,,Arb!$AJ$5,),R304)+INDEX(OFFSET(Arb!$V$2,,,Arb!$AJ$5,),R304))/S304)</f>
        <v>3.2243750924419463</v>
      </c>
      <c r="W304" s="51">
        <f t="shared" ca="1" si="87"/>
        <v>54.574112118830456</v>
      </c>
      <c r="X304" s="88">
        <f ca="1">IF(R304="","",DATE(INDEX(OFFSET(Arb!$C$2,,,Arb!$AJ$5,),R304),INDEX(OFFSET(Arb!$B$2,,,Arb!$AJ$5,),R304),INDEX(OFFSET(Arb!$A$2,,,Arb!$AJ$5,),R304))+ROW()*0.001)</f>
        <v>43952.303999999996</v>
      </c>
      <c r="Y304" s="436">
        <v>162</v>
      </c>
      <c r="Z304" s="1">
        <v>3226</v>
      </c>
      <c r="AA304" s="52">
        <f ca="1">IF(Z304="","",INDEX(OFFSET(Arb!$H$2,,,Arb!$AJ$5,),Z304))</f>
        <v>68.34</v>
      </c>
      <c r="AB304" s="3">
        <f t="shared" ca="1" si="78"/>
        <v>2.3705004389815625</v>
      </c>
      <c r="AC304" s="165">
        <f ca="1">IF(Z304="","",INDEX(OFFSET(Arb!$X$2,,,Arb!$AJ$5,),Z304)/AA304)</f>
        <v>2.9411764705882351</v>
      </c>
      <c r="AD304" s="165">
        <f ca="1">IF(Z304="","",(INDEX(OFFSET(Arb!$U$2,,,Arb!$AJ$5,),Z304)+INDEX(OFFSET(Arb!$V$2,,,Arb!$AJ$5,),Z304))/AA304)</f>
        <v>3.2484635645302897</v>
      </c>
      <c r="AE304" s="51">
        <f t="shared" ca="1" si="88"/>
        <v>53.586798751959094</v>
      </c>
      <c r="AF304" s="91">
        <f ca="1">IF(Z304="","",DATE(INDEX(OFFSET(Arb!$C$2,,,Arb!$AJ$5,),Z304),INDEX(OFFSET(Arb!$B$2,,,Arb!$AJ$5,),Z304),INDEX(OFFSET(Arb!$A$2,,,Arb!$AJ$5,),Z304))+ROW()*0.001)</f>
        <v>44061.303999999996</v>
      </c>
      <c r="AG304" s="442">
        <v>162</v>
      </c>
      <c r="AH304" s="1">
        <v>3376</v>
      </c>
      <c r="AI304" s="52">
        <f ca="1">IF(AH304="","",INDEX(OFFSET(Arb!$H$2,,,Arb!$AJ$5,),AH304))</f>
        <v>68.69</v>
      </c>
      <c r="AJ304" s="3">
        <f t="shared" ca="1" si="79"/>
        <v>2.3584218954724125</v>
      </c>
      <c r="AK304" s="165">
        <f ca="1">IF(AH304="","",INDEX(OFFSET(Arb!$X$2,,,Arb!$AJ$5,),AH304)/AI304)</f>
        <v>2.6059106128985299</v>
      </c>
      <c r="AL304" s="165">
        <f ca="1">IF(AH304="","",(INDEX(OFFSET(Arb!$U$2,,,Arb!$AJ$5,),AH304)+INDEX(OFFSET(Arb!$V$2,,,Arb!$AJ$5,),AH304))/AI304)</f>
        <v>3.1154462075993594</v>
      </c>
      <c r="AM304" s="51">
        <f t="shared" ca="1" si="89"/>
        <v>53.123452488132763</v>
      </c>
      <c r="AN304" s="88">
        <f ca="1">IF(AH304="","",DATE(INDEX(OFFSET(Arb!$C$2,,,Arb!$AJ$5,),AH304),INDEX(OFFSET(Arb!$B$2,,,Arb!$AJ$5,),AH304),INDEX(OFFSET(Arb!$A$2,,,Arb!$AJ$5,),AH304))+ROW()*0.001)</f>
        <v>44129.303999999996</v>
      </c>
      <c r="AO304" s="436">
        <v>162</v>
      </c>
      <c r="AP304" s="1">
        <v>2970</v>
      </c>
      <c r="AQ304" s="52">
        <f ca="1">IF(AP304="","",INDEX(OFFSET(Arb!$H$2,,,Arb!$AJ$5,),AP304))</f>
        <v>70.3</v>
      </c>
      <c r="AR304" s="3">
        <f t="shared" ca="1" si="80"/>
        <v>2.3044096728307255</v>
      </c>
      <c r="AS304" s="165">
        <f ca="1">IF(AP304="","",INDEX(OFFSET(Arb!$X$2,,,Arb!$AJ$5,),AP304)/AQ304)</f>
        <v>2.6458036984352775</v>
      </c>
      <c r="AT304" s="165">
        <f ca="1">IF(AP304="","",(INDEX(OFFSET(Arb!$U$2,,,Arb!$AJ$5,),AP304)+INDEX(OFFSET(Arb!$V$2,,,Arb!$AJ$5,),AP304))/AQ304)</f>
        <v>2.9729729729729732</v>
      </c>
      <c r="AU304" s="51">
        <f t="shared" ca="1" si="90"/>
        <v>51.071806200176759</v>
      </c>
      <c r="AV304" s="91">
        <f ca="1">IF(AP304="","",DATE(INDEX(OFFSET(Arb!$C$2,,,Arb!$AJ$5,),AP304),INDEX(OFFSET(Arb!$B$2,,,Arb!$AJ$5,),AP304),INDEX(OFFSET(Arb!$A$2,,,Arb!$AJ$5,),AP304))+ROW()*0.001)</f>
        <v>43952.303999999996</v>
      </c>
      <c r="AW304" s="442">
        <v>162</v>
      </c>
      <c r="AX304" s="1">
        <v>2733</v>
      </c>
      <c r="AY304" s="52">
        <f ca="1">IF(AX304="","",INDEX(OFFSET(Arb!$H$2,,,Arb!$AJ$5,),AX304))</f>
        <v>70.650000000000006</v>
      </c>
      <c r="AZ304" s="3">
        <f t="shared" ca="1" si="81"/>
        <v>2.2929936305732483</v>
      </c>
      <c r="BA304" s="165">
        <f ca="1">IF(AX304="","",INDEX(OFFSET(Arb!$X$2,,,Arb!$AJ$5,),AX304)/AY304)</f>
        <v>2.632696390658174</v>
      </c>
      <c r="BB304" s="165">
        <f ca="1">IF(AX304="","",(INDEX(OFFSET(Arb!$U$2,,,Arb!$AJ$5,),AX304)+INDEX(OFFSET(Arb!$V$2,,,Arb!$AJ$5,),AX304))/AY304)</f>
        <v>2.9440905874026893</v>
      </c>
      <c r="BC304" s="51">
        <f t="shared" ca="1" si="91"/>
        <v>50.642435934303528</v>
      </c>
      <c r="BD304" s="88">
        <f ca="1">IF(AX304="","",DATE(INDEX(OFFSET(Arb!$C$2,,,Arb!$AJ$5,),AX304),INDEX(OFFSET(Arb!$B$2,,,Arb!$AJ$5,),AX304),INDEX(OFFSET(Arb!$A$2,,,Arb!$AJ$5,),AX304))+ROW()*0.001)</f>
        <v>43869.303999999996</v>
      </c>
      <c r="BE304" s="436">
        <v>162</v>
      </c>
      <c r="BF304" s="1">
        <v>2765</v>
      </c>
      <c r="BG304" s="52">
        <f ca="1">IF(BF304="","",INDEX(OFFSET(Arb!$H$2,,,Arb!$AJ$5,),BF304))</f>
        <v>72.53</v>
      </c>
      <c r="BH304" s="3">
        <f t="shared" ca="1" si="82"/>
        <v>2.2335585275058598</v>
      </c>
      <c r="BI304" s="165">
        <f ca="1">IF(BF304="","",INDEX(OFFSET(Arb!$X$2,,,Arb!$AJ$5,),BF304)/BG304)</f>
        <v>2.757479663587481</v>
      </c>
      <c r="BJ304" s="165">
        <f ca="1">IF(BF304="","",(INDEX(OFFSET(Arb!$U$2,,,Arb!$AJ$5,),BF304)+INDEX(OFFSET(Arb!$V$2,,,Arb!$AJ$5,),BF304))/BG304)</f>
        <v>3.0608024265821041</v>
      </c>
      <c r="BK304" s="51">
        <f t="shared" ca="1" si="92"/>
        <v>48.431198696844319</v>
      </c>
      <c r="BL304" s="91">
        <f ca="1">IF(BF304="","",DATE(INDEX(OFFSET(Arb!$C$2,,,Arb!$AJ$5,),BF304),INDEX(OFFSET(Arb!$B$2,,,Arb!$AJ$5,),BF304),INDEX(OFFSET(Arb!$A$2,,,Arb!$AJ$5,),BF304))+ROW()*0.001)</f>
        <v>43887.303999999996</v>
      </c>
      <c r="BM304" s="442">
        <v>162</v>
      </c>
      <c r="BN304" s="1">
        <v>3394</v>
      </c>
      <c r="BO304" s="52">
        <f ca="1">IF(BN304="","",INDEX(OFFSET(Arb!$H$2,,,Arb!$AJ$5,),BN304))</f>
        <v>73.2</v>
      </c>
      <c r="BP304" s="3">
        <f t="shared" ca="1" si="83"/>
        <v>2.2131147540983607</v>
      </c>
      <c r="BQ304" s="165">
        <f ca="1">IF(BN304="","",INDEX(OFFSET(Arb!$X$2,,,Arb!$AJ$5,),BN304)/BO304)</f>
        <v>2.5</v>
      </c>
      <c r="BR304" s="165">
        <f ca="1">IF(BN304="","",(INDEX(OFFSET(Arb!$U$2,,,Arb!$AJ$5,),BN304)+INDEX(OFFSET(Arb!$V$2,,,Arb!$AJ$5,),BN304))/BO304)</f>
        <v>2.6502732240437159</v>
      </c>
      <c r="BS304" s="51">
        <f t="shared" ca="1" si="93"/>
        <v>47.680020348281317</v>
      </c>
      <c r="BT304" s="88">
        <f ca="1">IF(BN304="","",DATE(INDEX(OFFSET(Arb!$C$2,,,Arb!$AJ$5,),BN304),INDEX(OFFSET(Arb!$B$2,,,Arb!$AJ$5,),BN304),INDEX(OFFSET(Arb!$A$2,,,Arb!$AJ$5,),BN304))+ROW()*0.001)</f>
        <v>44144.303999999996</v>
      </c>
      <c r="BU304" s="436">
        <v>162</v>
      </c>
      <c r="BV304" s="1">
        <v>2795</v>
      </c>
      <c r="BW304" s="52">
        <f ca="1">IF(BV304="","",INDEX(OFFSET(Arb!$H$2,,,Arb!$AJ$5,),BV304))</f>
        <v>73.790000000000006</v>
      </c>
      <c r="BX304" s="3">
        <f t="shared" ca="1" si="84"/>
        <v>2.1954194335275781</v>
      </c>
      <c r="BY304" s="165">
        <f ca="1">IF(BV304="","",INDEX(OFFSET(Arb!$X$2,,,Arb!$AJ$5,),BV304)/BW304)</f>
        <v>2.7374983060035234</v>
      </c>
      <c r="BZ304" s="165">
        <f ca="1">IF(BV304="","",(INDEX(OFFSET(Arb!$U$2,,,Arb!$AJ$5,),BV304)+INDEX(OFFSET(Arb!$V$2,,,Arb!$AJ$5,),BV304))/BW304)</f>
        <v>2.9814337986176986</v>
      </c>
      <c r="CA304" s="51">
        <f t="shared" ca="1" si="94"/>
        <v>47.033738722852753</v>
      </c>
      <c r="CB304" s="91">
        <f ca="1">IF(BV304="","",DATE(INDEX(OFFSET(Arb!$C$2,,,Arb!$AJ$5,),BV304),INDEX(OFFSET(Arb!$B$2,,,Arb!$AJ$5,),BV304),INDEX(OFFSET(Arb!$A$2,,,Arb!$AJ$5,),BV304))+ROW()*0.001)</f>
        <v>43893.303999999996</v>
      </c>
    </row>
    <row r="305" spans="1:80" x14ac:dyDescent="0.25">
      <c r="A305" s="433">
        <v>163</v>
      </c>
      <c r="B305" s="1">
        <v>2985</v>
      </c>
      <c r="C305" s="52">
        <f ca="1">IF(B305="","",INDEX(OFFSET(Arb!$H$2,,,Arb!$AJ$5,),B305))</f>
        <v>62.97</v>
      </c>
      <c r="D305" s="3">
        <f t="shared" ca="1" si="75"/>
        <v>2.5885342226457042</v>
      </c>
      <c r="E305" s="165">
        <f ca="1">IF(B305="","",INDEX(OFFSET(Arb!$X$2,,,Arb!$AJ$5,),B305)/C305)</f>
        <v>3.0331904081308561</v>
      </c>
      <c r="F305" s="165">
        <f ca="1">IF(B305="","",(INDEX(OFFSET(Arb!$U$2,,,Arb!$AJ$5,),B305)+INDEX(OFFSET(Arb!$V$2,,,Arb!$AJ$5,),B305))/C305)</f>
        <v>3.3508019691916786</v>
      </c>
      <c r="G305" s="51">
        <f t="shared" ca="1" si="85"/>
        <v>61.96558885467072</v>
      </c>
      <c r="H305" s="355">
        <f ca="1">IF(B305="","",DATE(INDEX(OFFSET(Arb!$C$2,,,Arb!$AJ$5,),B305),INDEX(OFFSET(Arb!$B$2,,,Arb!$AJ$5,),B305),INDEX(OFFSET(Arb!$A$2,,,Arb!$AJ$5,),B305))+ROW()*0.001)</f>
        <v>43956.305</v>
      </c>
      <c r="I305" s="436">
        <v>163</v>
      </c>
      <c r="J305" s="1">
        <v>3122</v>
      </c>
      <c r="K305" s="52">
        <f ca="1">IF(J305="","",INDEX(OFFSET(Arb!$H$2,,,Arb!$AJ$5,),J305))</f>
        <v>66.33</v>
      </c>
      <c r="L305" s="3">
        <f t="shared" ca="1" si="76"/>
        <v>2.4574099200964872</v>
      </c>
      <c r="M305" s="165">
        <f ca="1">IF(J305="","",INDEX(OFFSET(Arb!$X$2,,,Arb!$AJ$5,),J305)/K305)</f>
        <v>3.1056837026986281</v>
      </c>
      <c r="N305" s="165">
        <f ca="1">IF(J305="","",(INDEX(OFFSET(Arb!$U$2,,,Arb!$AJ$5,),J305)+INDEX(OFFSET(Arb!$V$2,,,Arb!$AJ$5,),J305))/K305)</f>
        <v>3.5579677370722149</v>
      </c>
      <c r="O305" s="51">
        <f t="shared" ca="1" si="86"/>
        <v>56.72452453666078</v>
      </c>
      <c r="P305" s="91">
        <f ca="1">IF(J305="","",DATE(INDEX(OFFSET(Arb!$C$2,,,Arb!$AJ$5,),J305),INDEX(OFFSET(Arb!$B$2,,,Arb!$AJ$5,),J305),INDEX(OFFSET(Arb!$A$2,,,Arb!$AJ$5,),J305))+ROW()*0.001)</f>
        <v>44013.305</v>
      </c>
      <c r="Q305" s="442">
        <v>163</v>
      </c>
      <c r="R305" s="1">
        <v>3124</v>
      </c>
      <c r="S305" s="52">
        <f ca="1">IF(R305="","",INDEX(OFFSET(Arb!$H$2,,,Arb!$AJ$5,),R305))</f>
        <v>68.38</v>
      </c>
      <c r="T305" s="3">
        <f t="shared" ca="1" si="77"/>
        <v>2.3837379350687335</v>
      </c>
      <c r="U305" s="165">
        <f ca="1">IF(R305="","",INDEX(OFFSET(Arb!$X$2,,,Arb!$AJ$5,),R305)/S305)</f>
        <v>2.9394559812810765</v>
      </c>
      <c r="V305" s="165">
        <f ca="1">IF(R305="","",(INDEX(OFFSET(Arb!$U$2,,,Arb!$AJ$5,),R305)+INDEX(OFFSET(Arb!$V$2,,,Arb!$AJ$5,),R305))/S305)</f>
        <v>3.3343082772740571</v>
      </c>
      <c r="W305" s="51">
        <f t="shared" ca="1" si="87"/>
        <v>53.863974486861103</v>
      </c>
      <c r="X305" s="88">
        <f ca="1">IF(R305="","",DATE(INDEX(OFFSET(Arb!$C$2,,,Arb!$AJ$5,),R305),INDEX(OFFSET(Arb!$B$2,,,Arb!$AJ$5,),R305),INDEX(OFFSET(Arb!$A$2,,,Arb!$AJ$5,),R305))+ROW()*0.001)</f>
        <v>44014.305</v>
      </c>
      <c r="Y305" s="436">
        <v>163</v>
      </c>
      <c r="Z305" s="1">
        <v>3172</v>
      </c>
      <c r="AA305" s="52">
        <f ca="1">IF(Z305="","",INDEX(OFFSET(Arb!$H$2,,,Arb!$AJ$5,),Z305))</f>
        <v>69.59</v>
      </c>
      <c r="AB305" s="3">
        <f t="shared" ca="1" si="78"/>
        <v>2.3422905589883602</v>
      </c>
      <c r="AC305" s="165">
        <f ca="1">IF(Z305="","",INDEX(OFFSET(Arb!$X$2,,,Arb!$AJ$5,),Z305)/AA305)</f>
        <v>2.7159074579680986</v>
      </c>
      <c r="AD305" s="165">
        <f ca="1">IF(Z305="","",(INDEX(OFFSET(Arb!$U$2,,,Arb!$AJ$5,),Z305)+INDEX(OFFSET(Arb!$V$2,,,Arb!$AJ$5,),Z305))/AA305)</f>
        <v>3.1470038798677971</v>
      </c>
      <c r="AE305" s="51">
        <f t="shared" ca="1" si="88"/>
        <v>52.281523876034605</v>
      </c>
      <c r="AF305" s="91">
        <f ca="1">IF(Z305="","",DATE(INDEX(OFFSET(Arb!$C$2,,,Arb!$AJ$5,),Z305),INDEX(OFFSET(Arb!$B$2,,,Arb!$AJ$5,),Z305),INDEX(OFFSET(Arb!$A$2,,,Arb!$AJ$5,),Z305))+ROW()*0.001)</f>
        <v>44041.305</v>
      </c>
      <c r="AG305" s="442">
        <v>163</v>
      </c>
      <c r="AH305" s="1">
        <v>3100</v>
      </c>
      <c r="AI305" s="52">
        <f ca="1">IF(AH305="","",INDEX(OFFSET(Arb!$H$2,,,Arb!$AJ$5,),AH305))</f>
        <v>70.88</v>
      </c>
      <c r="AJ305" s="3">
        <f t="shared" ca="1" si="79"/>
        <v>2.2996613995485329</v>
      </c>
      <c r="AK305" s="165">
        <f ca="1">IF(AH305="","",INDEX(OFFSET(Arb!$X$2,,,Arb!$AJ$5,),AH305)/AI305)</f>
        <v>2.9768623024830703</v>
      </c>
      <c r="AL305" s="165">
        <f ca="1">IF(AH305="","",(INDEX(OFFSET(Arb!$U$2,,,Arb!$AJ$5,),AH305)+INDEX(OFFSET(Arb!$V$2,,,Arb!$AJ$5,),AH305))/AI305)</f>
        <v>3.2590293453724608</v>
      </c>
      <c r="AM305" s="51">
        <f t="shared" ca="1" si="89"/>
        <v>50.674276249651996</v>
      </c>
      <c r="AN305" s="88">
        <f ca="1">IF(AH305="","",DATE(INDEX(OFFSET(Arb!$C$2,,,Arb!$AJ$5,),AH305),INDEX(OFFSET(Arb!$B$2,,,Arb!$AJ$5,),AH305),INDEX(OFFSET(Arb!$A$2,,,Arb!$AJ$5,),AH305))+ROW()*0.001)</f>
        <v>44005.305</v>
      </c>
      <c r="AO305" s="436">
        <v>163</v>
      </c>
      <c r="AP305" s="1">
        <v>2949</v>
      </c>
      <c r="AQ305" s="52">
        <f ca="1">IF(AP305="","",INDEX(OFFSET(Arb!$H$2,,,Arb!$AJ$5,),AP305))</f>
        <v>71.02</v>
      </c>
      <c r="AR305" s="3">
        <f t="shared" ca="1" si="80"/>
        <v>2.2951281329203042</v>
      </c>
      <c r="AS305" s="165">
        <f ca="1">IF(AP305="","",INDEX(OFFSET(Arb!$X$2,,,Arb!$AJ$5,),AP305)/AQ305)</f>
        <v>2.8442692199380457</v>
      </c>
      <c r="AT305" s="165">
        <f ca="1">IF(AP305="","",(INDEX(OFFSET(Arb!$U$2,,,Arb!$AJ$5,),AP305)+INDEX(OFFSET(Arb!$V$2,,,Arb!$AJ$5,),AP305))/AQ305)</f>
        <v>3.1117994931005351</v>
      </c>
      <c r="AU305" s="51">
        <f t="shared" ca="1" si="90"/>
        <v>50.504575390433281</v>
      </c>
      <c r="AV305" s="91">
        <f ca="1">IF(AP305="","",DATE(INDEX(OFFSET(Arb!$C$2,,,Arb!$AJ$5,),AP305),INDEX(OFFSET(Arb!$B$2,,,Arb!$AJ$5,),AP305),INDEX(OFFSET(Arb!$A$2,,,Arb!$AJ$5,),AP305))+ROW()*0.001)</f>
        <v>43948.305</v>
      </c>
      <c r="AW305" s="442">
        <v>163</v>
      </c>
      <c r="AX305" s="1">
        <v>2443</v>
      </c>
      <c r="AY305" s="52">
        <f ca="1">IF(AX305="","",INDEX(OFFSET(Arb!$H$2,,,Arb!$AJ$5,),AX305))</f>
        <v>71.7</v>
      </c>
      <c r="AZ305" s="3">
        <f t="shared" ca="1" si="81"/>
        <v>2.2733612273361228</v>
      </c>
      <c r="BA305" s="165">
        <f ca="1">IF(AX305="","",INDEX(OFFSET(Arb!$X$2,,,Arb!$AJ$5,),AX305)/AY305)</f>
        <v>2.6499302649930265</v>
      </c>
      <c r="BB305" s="165">
        <f ca="1">IF(AX305="","",(INDEX(OFFSET(Arb!$U$2,,,Arb!$AJ$5,),AX305)+INDEX(OFFSET(Arb!$V$2,,,Arb!$AJ$5,),AX305))/AY305)</f>
        <v>2.8591352859135286</v>
      </c>
      <c r="BC305" s="51">
        <f t="shared" ca="1" si="91"/>
        <v>49.693009029285449</v>
      </c>
      <c r="BD305" s="88">
        <f ca="1">IF(AX305="","",DATE(INDEX(OFFSET(Arb!$C$2,,,Arb!$AJ$5,),AX305),INDEX(OFFSET(Arb!$B$2,,,Arb!$AJ$5,),AX305),INDEX(OFFSET(Arb!$A$2,,,Arb!$AJ$5,),AX305))+ROW()*0.001)</f>
        <v>43773.305</v>
      </c>
      <c r="BE305" s="436">
        <v>163</v>
      </c>
      <c r="BF305" s="1">
        <v>3204</v>
      </c>
      <c r="BG305" s="52">
        <f ca="1">IF(BF305="","",INDEX(OFFSET(Arb!$H$2,,,Arb!$AJ$5,),BF305))</f>
        <v>71.91</v>
      </c>
      <c r="BH305" s="3">
        <f t="shared" ca="1" si="82"/>
        <v>2.266722291753581</v>
      </c>
      <c r="BI305" s="165">
        <f ca="1">IF(BF305="","",INDEX(OFFSET(Arb!$X$2,,,Arb!$AJ$5,),BF305)/BG305)</f>
        <v>2.9898484216381589</v>
      </c>
      <c r="BJ305" s="165">
        <f ca="1">IF(BF305="","",(INDEX(OFFSET(Arb!$U$2,,,Arb!$AJ$5,),BF305)+INDEX(OFFSET(Arb!$V$2,,,Arb!$AJ$5,),BF305))/BG305)</f>
        <v>3.4487553886802949</v>
      </c>
      <c r="BK305" s="51">
        <f t="shared" ca="1" si="92"/>
        <v>49.446558379010085</v>
      </c>
      <c r="BL305" s="91">
        <f ca="1">IF(BF305="","",DATE(INDEX(OFFSET(Arb!$C$2,,,Arb!$AJ$5,),BF305),INDEX(OFFSET(Arb!$B$2,,,Arb!$AJ$5,),BF305),INDEX(OFFSET(Arb!$A$2,,,Arb!$AJ$5,),BF305))+ROW()*0.001)</f>
        <v>44058.305</v>
      </c>
      <c r="BM305" s="442">
        <v>163</v>
      </c>
      <c r="BN305" s="1">
        <v>3414</v>
      </c>
      <c r="BO305" s="52">
        <f ca="1">IF(BN305="","",INDEX(OFFSET(Arb!$H$2,,,Arb!$AJ$5,),BN305))</f>
        <v>71.98</v>
      </c>
      <c r="BP305" s="3">
        <f t="shared" ca="1" si="83"/>
        <v>2.2645179216449014</v>
      </c>
      <c r="BQ305" s="165">
        <f ca="1">IF(BN305="","",INDEX(OFFSET(Arb!$X$2,,,Arb!$AJ$5,),BN305)/BO305)</f>
        <v>2.6535148652403442</v>
      </c>
      <c r="BR305" s="165">
        <f ca="1">IF(BN305="","",(INDEX(OFFSET(Arb!$U$2,,,Arb!$AJ$5,),BN305)+INDEX(OFFSET(Arb!$V$2,,,Arb!$AJ$5,),BN305))/BO305)</f>
        <v>2.9591553209224783</v>
      </c>
      <c r="BS305" s="51">
        <f t="shared" ca="1" si="93"/>
        <v>49.364839325749465</v>
      </c>
      <c r="BT305" s="88">
        <f ca="1">IF(BN305="","",DATE(INDEX(OFFSET(Arb!$C$2,,,Arb!$AJ$5,),BN305),INDEX(OFFSET(Arb!$B$2,,,Arb!$AJ$5,),BN305),INDEX(OFFSET(Arb!$A$2,,,Arb!$AJ$5,),BN305))+ROW()*0.001)</f>
        <v>44147.305</v>
      </c>
      <c r="BU305" s="436">
        <v>163</v>
      </c>
      <c r="BV305" s="1">
        <v>2791</v>
      </c>
      <c r="BW305" s="52">
        <f ca="1">IF(BV305="","",INDEX(OFFSET(Arb!$H$2,,,Arb!$AJ$5,),BV305))</f>
        <v>73.88</v>
      </c>
      <c r="BX305" s="3">
        <f t="shared" ca="1" si="84"/>
        <v>2.2062804547915542</v>
      </c>
      <c r="BY305" s="165">
        <f ca="1">IF(BV305="","",INDEX(OFFSET(Arb!$X$2,,,Arb!$AJ$5,),BV305)/BW305)</f>
        <v>2.7747698971304819</v>
      </c>
      <c r="BZ305" s="165">
        <f ca="1">IF(BV305="","",(INDEX(OFFSET(Arb!$U$2,,,Arb!$AJ$5,),BV305)+INDEX(OFFSET(Arb!$V$2,,,Arb!$AJ$5,),BV305))/BW305)</f>
        <v>3.1402273957769355</v>
      </c>
      <c r="CA305" s="51">
        <f t="shared" ca="1" si="94"/>
        <v>47.226107594752136</v>
      </c>
      <c r="CB305" s="91">
        <f ca="1">IF(BV305="","",DATE(INDEX(OFFSET(Arb!$C$2,,,Arb!$AJ$5,),BV305),INDEX(OFFSET(Arb!$B$2,,,Arb!$AJ$5,),BV305),INDEX(OFFSET(Arb!$A$2,,,Arb!$AJ$5,),BV305))+ROW()*0.001)</f>
        <v>43893.305</v>
      </c>
    </row>
    <row r="306" spans="1:80" x14ac:dyDescent="0.25">
      <c r="A306" s="433">
        <v>164</v>
      </c>
      <c r="B306" s="1">
        <v>3392</v>
      </c>
      <c r="C306" s="52">
        <f ca="1">IF(B306="","",INDEX(OFFSET(Arb!$H$2,,,Arb!$AJ$5,),B306))</f>
        <v>68.61</v>
      </c>
      <c r="D306" s="3">
        <f t="shared" ref="D306:D369" ca="1" si="95">IFERROR(A306/C306,"")</f>
        <v>2.3903221104795218</v>
      </c>
      <c r="E306" s="165">
        <f ca="1">IF(B306="","",INDEX(OFFSET(Arb!$X$2,,,Arb!$AJ$5,),B306)/C306)</f>
        <v>2.5506485934994898</v>
      </c>
      <c r="F306" s="165">
        <f ca="1">IF(B306="","",(INDEX(OFFSET(Arb!$U$2,,,Arb!$AJ$5,),B306)+INDEX(OFFSET(Arb!$V$2,,,Arb!$AJ$5,),B306))/C306)</f>
        <v>2.8130010202594375</v>
      </c>
      <c r="G306" s="51">
        <f t="shared" ca="1" si="85"/>
        <v>53.885943390048666</v>
      </c>
      <c r="H306" s="355">
        <f ca="1">IF(B306="","",DATE(INDEX(OFFSET(Arb!$C$2,,,Arb!$AJ$5,),B306),INDEX(OFFSET(Arb!$B$2,,,Arb!$AJ$5,),B306),INDEX(OFFSET(Arb!$A$2,,,Arb!$AJ$5,),B306))+ROW()*0.001)</f>
        <v>44141.305999999997</v>
      </c>
      <c r="I306" s="436">
        <v>164</v>
      </c>
      <c r="J306" s="1">
        <v>3115</v>
      </c>
      <c r="K306" s="52">
        <f ca="1">IF(J306="","",INDEX(OFFSET(Arb!$H$2,,,Arb!$AJ$5,),J306))</f>
        <v>69.099999999999994</v>
      </c>
      <c r="L306" s="3">
        <f t="shared" ref="L306:L369" ca="1" si="96">IFERROR(I306/K306,"")</f>
        <v>2.3733719247467442</v>
      </c>
      <c r="M306" s="165">
        <f ca="1">IF(J306="","",INDEX(OFFSET(Arb!$X$2,,,Arb!$AJ$5,),J306)/K306)</f>
        <v>2.8798842257597688</v>
      </c>
      <c r="N306" s="165">
        <f ca="1">IF(J306="","",(INDEX(OFFSET(Arb!$U$2,,,Arb!$AJ$5,),J306)+INDEX(OFFSET(Arb!$V$2,,,Arb!$AJ$5,),J306))/K306)</f>
        <v>3.1982633863965271</v>
      </c>
      <c r="O306" s="51">
        <f t="shared" ca="1" si="86"/>
        <v>53.237962113957302</v>
      </c>
      <c r="P306" s="91">
        <f ca="1">IF(J306="","",DATE(INDEX(OFFSET(Arb!$C$2,,,Arb!$AJ$5,),J306),INDEX(OFFSET(Arb!$B$2,,,Arb!$AJ$5,),J306),INDEX(OFFSET(Arb!$A$2,,,Arb!$AJ$5,),J306))+ROW()*0.001)</f>
        <v>44012.305999999997</v>
      </c>
      <c r="Q306" s="442">
        <v>164</v>
      </c>
      <c r="R306" s="1">
        <v>2911</v>
      </c>
      <c r="S306" s="52">
        <f ca="1">IF(R306="","",INDEX(OFFSET(Arb!$H$2,,,Arb!$AJ$5,),R306))</f>
        <v>69.7</v>
      </c>
      <c r="T306" s="3">
        <f t="shared" ref="T306:T369" ca="1" si="97">IFERROR(Q306/S306,"")</f>
        <v>2.3529411764705883</v>
      </c>
      <c r="U306" s="165">
        <f ca="1">IF(R306="","",INDEX(OFFSET(Arb!$X$2,,,Arb!$AJ$5,),R306)/S306)</f>
        <v>3.0272596843615496</v>
      </c>
      <c r="V306" s="165">
        <f ca="1">IF(R306="","",(INDEX(OFFSET(Arb!$U$2,,,Arb!$AJ$5,),R306)+INDEX(OFFSET(Arb!$V$2,,,Arb!$AJ$5,),R306))/S306)</f>
        <v>3.3572453371592537</v>
      </c>
      <c r="W306" s="51">
        <f t="shared" ca="1" si="87"/>
        <v>52.461219348197304</v>
      </c>
      <c r="X306" s="88">
        <f ca="1">IF(R306="","",DATE(INDEX(OFFSET(Arb!$C$2,,,Arb!$AJ$5,),R306),INDEX(OFFSET(Arb!$B$2,,,Arb!$AJ$5,),R306),INDEX(OFFSET(Arb!$A$2,,,Arb!$AJ$5,),R306))+ROW()*0.001)</f>
        <v>43929.305999999997</v>
      </c>
      <c r="Y306" s="436">
        <v>164</v>
      </c>
      <c r="Z306" s="1">
        <v>3250</v>
      </c>
      <c r="AA306" s="52">
        <f ca="1">IF(Z306="","",INDEX(OFFSET(Arb!$H$2,,,Arb!$AJ$5,),Z306))</f>
        <v>71.39</v>
      </c>
      <c r="AB306" s="3">
        <f t="shared" ref="AB306:AB369" ca="1" si="98">IFERROR(Y306/AA306,"")</f>
        <v>2.2972405098753326</v>
      </c>
      <c r="AC306" s="165">
        <f ca="1">IF(Z306="","",INDEX(OFFSET(Arb!$X$2,,,Arb!$AJ$5,),Z306)/AA306)</f>
        <v>2.9415884577671942</v>
      </c>
      <c r="AD306" s="165">
        <f ca="1">IF(Z306="","",(INDEX(OFFSET(Arb!$U$2,,,Arb!$AJ$5,),Z306)+INDEX(OFFSET(Arb!$V$2,,,Arb!$AJ$5,),Z306))/AA306)</f>
        <v>3.3478078162207594</v>
      </c>
      <c r="AE306" s="51">
        <f t="shared" ca="1" si="88"/>
        <v>50.367518433423442</v>
      </c>
      <c r="AF306" s="91">
        <f ca="1">IF(Z306="","",DATE(INDEX(OFFSET(Arb!$C$2,,,Arb!$AJ$5,),Z306),INDEX(OFFSET(Arb!$B$2,,,Arb!$AJ$5,),Z306),INDEX(OFFSET(Arb!$A$2,,,Arb!$AJ$5,),Z306))+ROW()*0.001)</f>
        <v>44069.305999999997</v>
      </c>
      <c r="AG306" s="442">
        <v>164</v>
      </c>
      <c r="AH306" s="1">
        <v>2981</v>
      </c>
      <c r="AI306" s="52">
        <f ca="1">IF(AH306="","",INDEX(OFFSET(Arb!$H$2,,,Arb!$AJ$5,),AH306))</f>
        <v>71.52</v>
      </c>
      <c r="AJ306" s="3">
        <f t="shared" ref="AJ306:AJ369" ca="1" si="99">IFERROR(AG306/AI306,"")</f>
        <v>2.2930648769574944</v>
      </c>
      <c r="AK306" s="165">
        <f ca="1">IF(AH306="","",INDEX(OFFSET(Arb!$X$2,,,Arb!$AJ$5,),AH306)/AI306)</f>
        <v>2.7684563758389262</v>
      </c>
      <c r="AL306" s="165">
        <f ca="1">IF(AH306="","",(INDEX(OFFSET(Arb!$U$2,,,Arb!$AJ$5,),AH306)+INDEX(OFFSET(Arb!$V$2,,,Arb!$AJ$5,),AH306))/AI306)</f>
        <v>3.0061521252796424</v>
      </c>
      <c r="AM306" s="51">
        <f t="shared" ca="1" si="89"/>
        <v>50.21197958048657</v>
      </c>
      <c r="AN306" s="88">
        <f ca="1">IF(AH306="","",DATE(INDEX(OFFSET(Arb!$C$2,,,Arb!$AJ$5,),AH306),INDEX(OFFSET(Arb!$B$2,,,Arb!$AJ$5,),AH306),INDEX(OFFSET(Arb!$A$2,,,Arb!$AJ$5,),AH306))+ROW()*0.001)</f>
        <v>43956.305999999997</v>
      </c>
      <c r="AO306" s="436">
        <v>164</v>
      </c>
      <c r="AP306" s="1">
        <v>3097</v>
      </c>
      <c r="AQ306" s="52">
        <f ca="1">IF(AP306="","",INDEX(OFFSET(Arb!$H$2,,,Arb!$AJ$5,),AP306))</f>
        <v>72.900000000000006</v>
      </c>
      <c r="AR306" s="3">
        <f t="shared" ref="AR306:AR369" ca="1" si="100">IFERROR(AO306/AQ306,"")</f>
        <v>2.249657064471879</v>
      </c>
      <c r="AS306" s="165">
        <f ca="1">IF(AP306="","",INDEX(OFFSET(Arb!$X$2,,,Arb!$AJ$5,),AP306)/AQ306)</f>
        <v>2.7572016460905346</v>
      </c>
      <c r="AT306" s="165">
        <f ca="1">IF(AP306="","",(INDEX(OFFSET(Arb!$U$2,,,Arb!$AJ$5,),AP306)+INDEX(OFFSET(Arb!$V$2,,,Arb!$AJ$5,),AP306))/AQ306)</f>
        <v>3.0864197530864197</v>
      </c>
      <c r="AU306" s="51">
        <f t="shared" ca="1" si="90"/>
        <v>48.606830749722306</v>
      </c>
      <c r="AV306" s="91">
        <f ca="1">IF(AP306="","",DATE(INDEX(OFFSET(Arb!$C$2,,,Arb!$AJ$5,),AP306),INDEX(OFFSET(Arb!$B$2,,,Arb!$AJ$5,),AP306),INDEX(OFFSET(Arb!$A$2,,,Arb!$AJ$5,),AP306))+ROW()*0.001)</f>
        <v>44004.305999999997</v>
      </c>
      <c r="AW306" s="442">
        <v>164</v>
      </c>
      <c r="AX306" s="1">
        <v>2563</v>
      </c>
      <c r="AY306" s="52">
        <f ca="1">IF(AX306="","",INDEX(OFFSET(Arb!$H$2,,,Arb!$AJ$5,),AX306))</f>
        <v>74.400000000000006</v>
      </c>
      <c r="AZ306" s="3">
        <f t="shared" ref="AZ306:AZ369" ca="1" si="101">IFERROR(AW306/AY306,"")</f>
        <v>2.204301075268817</v>
      </c>
      <c r="BA306" s="165">
        <f ca="1">IF(AX306="","",INDEX(OFFSET(Arb!$X$2,,,Arb!$AJ$5,),AX306)/AY306)</f>
        <v>2.60752688172043</v>
      </c>
      <c r="BB306" s="165">
        <f ca="1">IF(AX306="","",(INDEX(OFFSET(Arb!$U$2,,,Arb!$AJ$5,),AX306)+INDEX(OFFSET(Arb!$V$2,,,Arb!$AJ$5,),AX306))/AY306)</f>
        <v>2.997311827956989</v>
      </c>
      <c r="BC306" s="51">
        <f t="shared" ca="1" si="91"/>
        <v>46.952650448328207</v>
      </c>
      <c r="BD306" s="88">
        <f ca="1">IF(AX306="","",DATE(INDEX(OFFSET(Arb!$C$2,,,Arb!$AJ$5,),AX306),INDEX(OFFSET(Arb!$B$2,,,Arb!$AJ$5,),AX306),INDEX(OFFSET(Arb!$A$2,,,Arb!$AJ$5,),AX306))+ROW()*0.001)</f>
        <v>43799.305999999997</v>
      </c>
      <c r="BE306" s="436">
        <v>164</v>
      </c>
      <c r="BF306" s="1">
        <v>3040</v>
      </c>
      <c r="BG306" s="52">
        <f ca="1">IF(BF306="","",INDEX(OFFSET(Arb!$H$2,,,Arb!$AJ$5,),BF306))</f>
        <v>74.959999999999994</v>
      </c>
      <c r="BH306" s="3">
        <f t="shared" ref="BH306:BH369" ca="1" si="102">IFERROR(BE306/BG306,"")</f>
        <v>2.1878335112059766</v>
      </c>
      <c r="BI306" s="165">
        <f ca="1">IF(BF306="","",INDEX(OFFSET(Arb!$X$2,,,Arb!$AJ$5,),BF306)/BG306)</f>
        <v>2.7347918890074707</v>
      </c>
      <c r="BJ306" s="165">
        <f ca="1">IF(BF306="","",(INDEX(OFFSET(Arb!$U$2,,,Arb!$AJ$5,),BF306)+INDEX(OFFSET(Arb!$V$2,,,Arb!$AJ$5,),BF306))/BG306)</f>
        <v>3.0016008537886876</v>
      </c>
      <c r="BK306" s="51">
        <f t="shared" ca="1" si="92"/>
        <v>46.357907116140197</v>
      </c>
      <c r="BL306" s="91">
        <f ca="1">IF(BF306="","",DATE(INDEX(OFFSET(Arb!$C$2,,,Arb!$AJ$5,),BF306),INDEX(OFFSET(Arb!$B$2,,,Arb!$AJ$5,),BF306),INDEX(OFFSET(Arb!$A$2,,,Arb!$AJ$5,),BF306))+ROW()*0.001)</f>
        <v>43980.305999999997</v>
      </c>
      <c r="BM306" s="442">
        <v>164</v>
      </c>
      <c r="BN306" s="1">
        <v>2670</v>
      </c>
      <c r="BO306" s="52">
        <f ca="1">IF(BN306="","",INDEX(OFFSET(Arb!$H$2,,,Arb!$AJ$5,),BN306))</f>
        <v>76.290000000000006</v>
      </c>
      <c r="BP306" s="3">
        <f t="shared" ref="BP306:BP369" ca="1" si="103">IFERROR(BM306/BO306,"")</f>
        <v>2.1496919648708874</v>
      </c>
      <c r="BQ306" s="165">
        <f ca="1">IF(BN306="","",INDEX(OFFSET(Arb!$X$2,,,Arb!$AJ$5,),BN306)/BO306)</f>
        <v>2.7395464674269232</v>
      </c>
      <c r="BR306" s="165">
        <f ca="1">IF(BN306="","",(INDEX(OFFSET(Arb!$U$2,,,Arb!$AJ$5,),BN306)+INDEX(OFFSET(Arb!$V$2,,,Arb!$AJ$5,),BN306))/BO306)</f>
        <v>3.132782802464281</v>
      </c>
      <c r="BS306" s="51">
        <f t="shared" ca="1" si="93"/>
        <v>44.992399791643962</v>
      </c>
      <c r="BT306" s="88">
        <f ca="1">IF(BN306="","",DATE(INDEX(OFFSET(Arb!$C$2,,,Arb!$AJ$5,),BN306),INDEX(OFFSET(Arb!$B$2,,,Arb!$AJ$5,),BN306),INDEX(OFFSET(Arb!$A$2,,,Arb!$AJ$5,),BN306))+ROW()*0.001)</f>
        <v>43827.305999999997</v>
      </c>
      <c r="BU306" s="436">
        <v>164</v>
      </c>
      <c r="BV306" s="1">
        <v>2500</v>
      </c>
      <c r="BW306" s="52">
        <f ca="1">IF(BV306="","",INDEX(OFFSET(Arb!$H$2,,,Arb!$AJ$5,),BV306))</f>
        <v>77.27</v>
      </c>
      <c r="BX306" s="3">
        <f t="shared" ref="BX306:BX369" ca="1" si="104">IFERROR(BU306/BW306,"")</f>
        <v>2.12242785039472</v>
      </c>
      <c r="BY306" s="165">
        <f ca="1">IF(BV306="","",INDEX(OFFSET(Arb!$X$2,,,Arb!$AJ$5,),BV306)/BW306)</f>
        <v>2.4589103144816877</v>
      </c>
      <c r="BZ306" s="165">
        <f ca="1">IF(BV306="","",(INDEX(OFFSET(Arb!$U$2,,,Arb!$AJ$5,),BV306)+INDEX(OFFSET(Arb!$V$2,,,Arb!$AJ$5,),BV306))/BW306)</f>
        <v>2.6789180794616283</v>
      </c>
      <c r="CA306" s="51">
        <f t="shared" ca="1" si="94"/>
        <v>44.026641021568516</v>
      </c>
      <c r="CB306" s="91">
        <f ca="1">IF(BV306="","",DATE(INDEX(OFFSET(Arb!$C$2,,,Arb!$AJ$5,),BV306),INDEX(OFFSET(Arb!$B$2,,,Arb!$AJ$5,),BV306),INDEX(OFFSET(Arb!$A$2,,,Arb!$AJ$5,),BV306))+ROW()*0.001)</f>
        <v>43787.305999999997</v>
      </c>
    </row>
    <row r="307" spans="1:80" x14ac:dyDescent="0.25">
      <c r="A307" s="433">
        <v>165</v>
      </c>
      <c r="B307" s="1">
        <v>3146</v>
      </c>
      <c r="C307" s="52">
        <f ca="1">IF(B307="","",INDEX(OFFSET(Arb!$H$2,,,Arb!$AJ$5,),B307))</f>
        <v>65.56</v>
      </c>
      <c r="D307" s="3">
        <f t="shared" ca="1" si="95"/>
        <v>2.5167785234899327</v>
      </c>
      <c r="E307" s="165">
        <f ca="1">IF(B307="","",INDEX(OFFSET(Arb!$X$2,,,Arb!$AJ$5,),B307)/C307)</f>
        <v>2.9133618059792554</v>
      </c>
      <c r="F307" s="165">
        <f ca="1">IF(B307="","",(INDEX(OFFSET(Arb!$U$2,,,Arb!$AJ$5,),B307)+INDEX(OFFSET(Arb!$V$2,,,Arb!$AJ$5,),B307))/C307)</f>
        <v>3.1421598535692494</v>
      </c>
      <c r="G307" s="51">
        <f t="shared" ref="G307:G370" ca="1" si="105">IFERROR(435.001/(C307^1.7/A307),"")</f>
        <v>58.571722109062826</v>
      </c>
      <c r="H307" s="355">
        <f ca="1">IF(B307="","",DATE(INDEX(OFFSET(Arb!$C$2,,,Arb!$AJ$5,),B307),INDEX(OFFSET(Arb!$B$2,,,Arb!$AJ$5,),B307),INDEX(OFFSET(Arb!$A$2,,,Arb!$AJ$5,),B307))+ROW()*0.001)</f>
        <v>44024.307000000001</v>
      </c>
      <c r="I307" s="436">
        <v>165</v>
      </c>
      <c r="J307" s="1">
        <v>2871</v>
      </c>
      <c r="K307" s="52">
        <f ca="1">IF(J307="","",INDEX(OFFSET(Arb!$H$2,,,Arb!$AJ$5,),J307))</f>
        <v>65.599999999999994</v>
      </c>
      <c r="L307" s="3">
        <f t="shared" ca="1" si="96"/>
        <v>2.5152439024390247</v>
      </c>
      <c r="M307" s="165">
        <f ca="1">IF(J307="","",INDEX(OFFSET(Arb!$X$2,,,Arb!$AJ$5,),J307)/K307)</f>
        <v>3.0487804878048781</v>
      </c>
      <c r="N307" s="165">
        <f ca="1">IF(J307="","",(INDEX(OFFSET(Arb!$U$2,,,Arb!$AJ$5,),J307)+INDEX(OFFSET(Arb!$V$2,,,Arb!$AJ$5,),J307))/K307)</f>
        <v>3.3231707317073176</v>
      </c>
      <c r="O307" s="51">
        <f t="shared" ref="O307:O370" ca="1" si="106">IFERROR(435.001/(K307^1.7/I307),"")</f>
        <v>58.511020477243939</v>
      </c>
      <c r="P307" s="91">
        <f ca="1">IF(J307="","",DATE(INDEX(OFFSET(Arb!$C$2,,,Arb!$AJ$5,),J307),INDEX(OFFSET(Arb!$B$2,,,Arb!$AJ$5,),J307),INDEX(OFFSET(Arb!$A$2,,,Arb!$AJ$5,),J307))+ROW()*0.001)</f>
        <v>43911.307000000001</v>
      </c>
      <c r="Q307" s="442">
        <v>165</v>
      </c>
      <c r="R307" s="1">
        <v>3269</v>
      </c>
      <c r="S307" s="52">
        <f ca="1">IF(R307="","",INDEX(OFFSET(Arb!$H$2,,,Arb!$AJ$5,),R307))</f>
        <v>66.180000000000007</v>
      </c>
      <c r="T307" s="3">
        <f t="shared" ca="1" si="97"/>
        <v>2.4932003626473254</v>
      </c>
      <c r="U307" s="165">
        <f ca="1">IF(R307="","",INDEX(OFFSET(Arb!$X$2,,,Arb!$AJ$5,),R307)/S307)</f>
        <v>3.082502266545784</v>
      </c>
      <c r="V307" s="165">
        <f ca="1">IF(R307="","",(INDEX(OFFSET(Arb!$U$2,,,Arb!$AJ$5,),R307)+INDEX(OFFSET(Arb!$V$2,,,Arb!$AJ$5,),R307))/S307)</f>
        <v>3.5660320338470832</v>
      </c>
      <c r="W307" s="51">
        <f t="shared" ref="W307:W370" ca="1" si="107">IFERROR(435.001/(S307^1.7/Q307),"")</f>
        <v>57.641955093593616</v>
      </c>
      <c r="X307" s="88">
        <f ca="1">IF(R307="","",DATE(INDEX(OFFSET(Arb!$C$2,,,Arb!$AJ$5,),R307),INDEX(OFFSET(Arb!$B$2,,,Arb!$AJ$5,),R307),INDEX(OFFSET(Arb!$A$2,,,Arb!$AJ$5,),R307))+ROW()*0.001)</f>
        <v>44074.307000000001</v>
      </c>
      <c r="Y307" s="436">
        <v>165</v>
      </c>
      <c r="Z307" s="1">
        <v>2844</v>
      </c>
      <c r="AA307" s="52">
        <f ca="1">IF(Z307="","",INDEX(OFFSET(Arb!$H$2,,,Arb!$AJ$5,),Z307))</f>
        <v>68.930000000000007</v>
      </c>
      <c r="AB307" s="3">
        <f t="shared" ca="1" si="98"/>
        <v>2.3937327723777742</v>
      </c>
      <c r="AC307" s="165">
        <f ca="1">IF(Z307="","",INDEX(OFFSET(Arb!$X$2,,,Arb!$AJ$5,),Z307)/AA307)</f>
        <v>3.0175540403307699</v>
      </c>
      <c r="AD307" s="165">
        <f ca="1">IF(Z307="","",(INDEX(OFFSET(Arb!$U$2,,,Arb!$AJ$5,),Z307)+INDEX(OFFSET(Arb!$V$2,,,Arb!$AJ$5,),Z307))/AA307)</f>
        <v>3.4092557667198604</v>
      </c>
      <c r="AE307" s="51">
        <f t="shared" ref="AE307:AE370" ca="1" si="108">IFERROR(435.001/(AA307^1.7/Y307),"")</f>
        <v>53.787347294633427</v>
      </c>
      <c r="AF307" s="91">
        <f ca="1">IF(Z307="","",DATE(INDEX(OFFSET(Arb!$C$2,,,Arb!$AJ$5,),Z307),INDEX(OFFSET(Arb!$B$2,,,Arb!$AJ$5,),Z307),INDEX(OFFSET(Arb!$A$2,,,Arb!$AJ$5,),Z307))+ROW()*0.001)</f>
        <v>43904.307000000001</v>
      </c>
      <c r="AG307" s="442">
        <v>165</v>
      </c>
      <c r="AH307" s="1">
        <v>3445</v>
      </c>
      <c r="AI307" s="52">
        <f ca="1">IF(AH307="","",INDEX(OFFSET(Arb!$H$2,,,Arb!$AJ$5,),AH307))</f>
        <v>69.09</v>
      </c>
      <c r="AJ307" s="3">
        <f t="shared" ca="1" si="99"/>
        <v>2.3881893182805034</v>
      </c>
      <c r="AK307" s="165">
        <f ca="1">IF(AH307="","",INDEX(OFFSET(Arb!$X$2,,,Arb!$AJ$5,),AH307)/AI307)</f>
        <v>2.735562310030395</v>
      </c>
      <c r="AL307" s="165">
        <f ca="1">IF(AH307="","",(INDEX(OFFSET(Arb!$U$2,,,Arb!$AJ$5,),AH307)+INDEX(OFFSET(Arb!$V$2,,,Arb!$AJ$5,),AH307))/AI307)</f>
        <v>3.1697785497177593</v>
      </c>
      <c r="AM307" s="51">
        <f t="shared" ref="AM307:AM370" ca="1" si="109">IFERROR(435.001/(AI307^1.7/AG307),"")</f>
        <v>53.575763889923095</v>
      </c>
      <c r="AN307" s="88">
        <f ca="1">IF(AH307="","",DATE(INDEX(OFFSET(Arb!$C$2,,,Arb!$AJ$5,),AH307),INDEX(OFFSET(Arb!$B$2,,,Arb!$AJ$5,),AH307),INDEX(OFFSET(Arb!$A$2,,,Arb!$AJ$5,),AH307))+ROW()*0.001)</f>
        <v>44177.307000000001</v>
      </c>
      <c r="AO307" s="436">
        <v>165</v>
      </c>
      <c r="AP307" s="1">
        <v>3280</v>
      </c>
      <c r="AQ307" s="52">
        <f ca="1">IF(AP307="","",INDEX(OFFSET(Arb!$H$2,,,Arb!$AJ$5,),AP307))</f>
        <v>69.53</v>
      </c>
      <c r="AR307" s="3">
        <f t="shared" ca="1" si="100"/>
        <v>2.3730763699122681</v>
      </c>
      <c r="AS307" s="165">
        <f ca="1">IF(AP307="","",INDEX(OFFSET(Arb!$X$2,,,Arb!$AJ$5,),AP307)/AQ307)</f>
        <v>2.8620739249244931</v>
      </c>
      <c r="AT307" s="165">
        <f ca="1">IF(AP307="","",(INDEX(OFFSET(Arb!$U$2,,,Arb!$AJ$5,),AP307)+INDEX(OFFSET(Arb!$V$2,,,Arb!$AJ$5,),AP307))/AQ307)</f>
        <v>3.1928663886092332</v>
      </c>
      <c r="AU307" s="51">
        <f t="shared" ref="AU307:AU370" ca="1" si="110">IFERROR(435.001/(AQ307^1.7/AO307),"")</f>
        <v>53.000676088026715</v>
      </c>
      <c r="AV307" s="91">
        <f ca="1">IF(AP307="","",DATE(INDEX(OFFSET(Arb!$C$2,,,Arb!$AJ$5,),AP307),INDEX(OFFSET(Arb!$B$2,,,Arb!$AJ$5,),AP307),INDEX(OFFSET(Arb!$A$2,,,Arb!$AJ$5,),AP307))+ROW()*0.001)</f>
        <v>44082.307000000001</v>
      </c>
      <c r="AW307" s="442">
        <v>165</v>
      </c>
      <c r="AX307" s="1">
        <v>2974</v>
      </c>
      <c r="AY307" s="52">
        <f ca="1">IF(AX307="","",INDEX(OFFSET(Arb!$H$2,,,Arb!$AJ$5,),AX307))</f>
        <v>69.55</v>
      </c>
      <c r="AZ307" s="3">
        <f t="shared" ca="1" si="101"/>
        <v>2.3723939611790081</v>
      </c>
      <c r="BA307" s="165">
        <f ca="1">IF(AX307="","",INDEX(OFFSET(Arb!$X$2,,,Arb!$AJ$5,),AX307)/AY307)</f>
        <v>2.8756290438533432</v>
      </c>
      <c r="BB307" s="165">
        <f ca="1">IF(AX307="","",(INDEX(OFFSET(Arb!$U$2,,,Arb!$AJ$5,),AX307)+INDEX(OFFSET(Arb!$V$2,,,Arb!$AJ$5,),AX307))/AY307)</f>
        <v>3.2063263838964775</v>
      </c>
      <c r="BC307" s="51">
        <f t="shared" ref="BC307:BC370" ca="1" si="111">IFERROR(435.001/(AY307^1.7/AW307),"")</f>
        <v>52.974768947645146</v>
      </c>
      <c r="BD307" s="88">
        <f ca="1">IF(AX307="","",DATE(INDEX(OFFSET(Arb!$C$2,,,Arb!$AJ$5,),AX307),INDEX(OFFSET(Arb!$B$2,,,Arb!$AJ$5,),AX307),INDEX(OFFSET(Arb!$A$2,,,Arb!$AJ$5,),AX307))+ROW()*0.001)</f>
        <v>43954.307000000001</v>
      </c>
      <c r="BE307" s="436">
        <v>165</v>
      </c>
      <c r="BF307" s="1">
        <v>3064</v>
      </c>
      <c r="BG307" s="52">
        <f ca="1">IF(BF307="","",INDEX(OFFSET(Arb!$H$2,,,Arb!$AJ$5,),BF307))</f>
        <v>69.87</v>
      </c>
      <c r="BH307" s="3">
        <f t="shared" ca="1" si="102"/>
        <v>2.3615285530270502</v>
      </c>
      <c r="BI307" s="165">
        <f ca="1">IF(BF307="","",INDEX(OFFSET(Arb!$X$2,,,Arb!$AJ$5,),BF307)/BG307)</f>
        <v>2.9769572062401601</v>
      </c>
      <c r="BJ307" s="165">
        <f ca="1">IF(BF307="","",(INDEX(OFFSET(Arb!$U$2,,,Arb!$AJ$5,),BF307)+INDEX(OFFSET(Arb!$V$2,,,Arb!$AJ$5,),BF307))/BG307)</f>
        <v>3.2775153857163302</v>
      </c>
      <c r="BK307" s="51">
        <f t="shared" ref="BK307:BK370" ca="1" si="112">IFERROR(435.001/(BG307^1.7/BE307),"")</f>
        <v>52.562974785783382</v>
      </c>
      <c r="BL307" s="91">
        <f ca="1">IF(BF307="","",DATE(INDEX(OFFSET(Arb!$C$2,,,Arb!$AJ$5,),BF307),INDEX(OFFSET(Arb!$B$2,,,Arb!$AJ$5,),BF307),INDEX(OFFSET(Arb!$A$2,,,Arb!$AJ$5,),BF307))+ROW()*0.001)</f>
        <v>43991.307000000001</v>
      </c>
      <c r="BM307" s="442">
        <v>165</v>
      </c>
      <c r="BN307" s="1">
        <v>3220</v>
      </c>
      <c r="BO307" s="52">
        <f ca="1">IF(BN307="","",INDEX(OFFSET(Arb!$H$2,,,Arb!$AJ$5,),BN307))</f>
        <v>69.91</v>
      </c>
      <c r="BP307" s="3">
        <f t="shared" ca="1" si="103"/>
        <v>2.3601773709054501</v>
      </c>
      <c r="BQ307" s="165">
        <f ca="1">IF(BN307="","",INDEX(OFFSET(Arb!$X$2,,,Arb!$AJ$5,),BN307)/BO307)</f>
        <v>2.918037476755829</v>
      </c>
      <c r="BR307" s="165">
        <f ca="1">IF(BN307="","",(INDEX(OFFSET(Arb!$U$2,,,Arb!$AJ$5,),BN307)+INDEX(OFFSET(Arb!$V$2,,,Arb!$AJ$5,),BN307))/BO307)</f>
        <v>3.2470318981547708</v>
      </c>
      <c r="BS307" s="51">
        <f t="shared" ref="BS307:BS370" ca="1" si="113">IFERROR(435.001/(BO307^1.7/BM307),"")</f>
        <v>52.511858114810252</v>
      </c>
      <c r="BT307" s="88">
        <f ca="1">IF(BN307="","",DATE(INDEX(OFFSET(Arb!$C$2,,,Arb!$AJ$5,),BN307),INDEX(OFFSET(Arb!$B$2,,,Arb!$AJ$5,),BN307),INDEX(OFFSET(Arb!$A$2,,,Arb!$AJ$5,),BN307))+ROW()*0.001)</f>
        <v>44060.307000000001</v>
      </c>
      <c r="BU307" s="436">
        <v>165</v>
      </c>
      <c r="BV307" s="1">
        <v>2887</v>
      </c>
      <c r="BW307" s="52">
        <f ca="1">IF(BV307="","",INDEX(OFFSET(Arb!$H$2,,,Arb!$AJ$5,),BV307))</f>
        <v>70.91</v>
      </c>
      <c r="BX307" s="3">
        <f t="shared" ca="1" si="104"/>
        <v>2.3268932449583981</v>
      </c>
      <c r="BY307" s="165">
        <f ca="1">IF(BV307="","",INDEX(OFFSET(Arb!$X$2,,,Arb!$AJ$5,),BV307)/BW307)</f>
        <v>2.6794528275278524</v>
      </c>
      <c r="BZ307" s="165">
        <f ca="1">IF(BV307="","",(INDEX(OFFSET(Arb!$U$2,,,Arb!$AJ$5,),BV307)+INDEX(OFFSET(Arb!$V$2,,,Arb!$AJ$5,),BV307))/BW307)</f>
        <v>2.9756028768861937</v>
      </c>
      <c r="CA307" s="51">
        <f t="shared" ref="CA307:CA370" ca="1" si="114">IFERROR(435.001/(BW307^1.7/BU307),"")</f>
        <v>51.259158751579719</v>
      </c>
      <c r="CB307" s="91">
        <f ca="1">IF(BV307="","",DATE(INDEX(OFFSET(Arb!$C$2,,,Arb!$AJ$5,),BV307),INDEX(OFFSET(Arb!$B$2,,,Arb!$AJ$5,),BV307),INDEX(OFFSET(Arb!$A$2,,,Arb!$AJ$5,),BV307))+ROW()*0.001)</f>
        <v>43919.307000000001</v>
      </c>
    </row>
    <row r="308" spans="1:80" x14ac:dyDescent="0.25">
      <c r="A308" s="433">
        <v>166</v>
      </c>
      <c r="B308" s="1">
        <v>3435</v>
      </c>
      <c r="C308" s="52">
        <f ca="1">IF(B308="","",INDEX(OFFSET(Arb!$H$2,,,Arb!$AJ$5,),B308))</f>
        <v>65.510000000000005</v>
      </c>
      <c r="D308" s="3">
        <f t="shared" ca="1" si="95"/>
        <v>2.533964280262555</v>
      </c>
      <c r="E308" s="165">
        <f ca="1">IF(B308="","",INDEX(OFFSET(Arb!$X$2,,,Arb!$AJ$5,),B308)/C308)</f>
        <v>2.7476721111280717</v>
      </c>
      <c r="F308" s="165">
        <f ca="1">IF(B308="","",(INDEX(OFFSET(Arb!$U$2,,,Arb!$AJ$5,),B308)+INDEX(OFFSET(Arb!$V$2,,,Arb!$AJ$5,),B308))/C308)</f>
        <v>2.946115096931766</v>
      </c>
      <c r="G308" s="51">
        <f t="shared" ca="1" si="105"/>
        <v>59.003180759393466</v>
      </c>
      <c r="H308" s="355">
        <f ca="1">IF(B308="","",DATE(INDEX(OFFSET(Arb!$C$2,,,Arb!$AJ$5,),B308),INDEX(OFFSET(Arb!$B$2,,,Arb!$AJ$5,),B308),INDEX(OFFSET(Arb!$A$2,,,Arb!$AJ$5,),B308))+ROW()*0.001)</f>
        <v>44167.307999999997</v>
      </c>
      <c r="I308" s="436">
        <v>166</v>
      </c>
      <c r="J308" s="1">
        <v>3222</v>
      </c>
      <c r="K308" s="52">
        <f ca="1">IF(J308="","",INDEX(OFFSET(Arb!$H$2,,,Arb!$AJ$5,),J308))</f>
        <v>69.31</v>
      </c>
      <c r="L308" s="3">
        <f t="shared" ca="1" si="96"/>
        <v>2.3950367912278168</v>
      </c>
      <c r="M308" s="165">
        <f ca="1">IF(J308="","",INDEX(OFFSET(Arb!$X$2,,,Arb!$AJ$5,),J308)/K308)</f>
        <v>2.9288702928870292</v>
      </c>
      <c r="N308" s="165">
        <f ca="1">IF(J308="","",(INDEX(OFFSET(Arb!$U$2,,,Arb!$AJ$5,),J308)+INDEX(OFFSET(Arb!$V$2,,,Arb!$AJ$5,),J308))/K308)</f>
        <v>3.3472803347280333</v>
      </c>
      <c r="O308" s="51">
        <f t="shared" ca="1" si="106"/>
        <v>53.609939279895329</v>
      </c>
      <c r="P308" s="91">
        <f ca="1">IF(J308="","",DATE(INDEX(OFFSET(Arb!$C$2,,,Arb!$AJ$5,),J308),INDEX(OFFSET(Arb!$B$2,,,Arb!$AJ$5,),J308),INDEX(OFFSET(Arb!$A$2,,,Arb!$AJ$5,),J308))+ROW()*0.001)</f>
        <v>44060.307999999997</v>
      </c>
      <c r="Q308" s="442">
        <v>166</v>
      </c>
      <c r="R308" s="1">
        <v>2855</v>
      </c>
      <c r="S308" s="52">
        <f ca="1">IF(R308="","",INDEX(OFFSET(Arb!$H$2,,,Arb!$AJ$5,),R308))</f>
        <v>70.27</v>
      </c>
      <c r="T308" s="3">
        <f t="shared" ca="1" si="97"/>
        <v>2.3623167781414547</v>
      </c>
      <c r="U308" s="165">
        <f ca="1">IF(R308="","",INDEX(OFFSET(Arb!$X$2,,,Arb!$AJ$5,),R308)/S308)</f>
        <v>2.7750106731179738</v>
      </c>
      <c r="V308" s="165">
        <f ca="1">IF(R308="","",(INDEX(OFFSET(Arb!$U$2,,,Arb!$AJ$5,),R308)+INDEX(OFFSET(Arb!$V$2,,,Arb!$AJ$5,),R308))/S308)</f>
        <v>3.1165504482709552</v>
      </c>
      <c r="W308" s="51">
        <f t="shared" ca="1" si="107"/>
        <v>52.370825837147358</v>
      </c>
      <c r="X308" s="88">
        <f ca="1">IF(R308="","",DATE(INDEX(OFFSET(Arb!$C$2,,,Arb!$AJ$5,),R308),INDEX(OFFSET(Arb!$B$2,,,Arb!$AJ$5,),R308),INDEX(OFFSET(Arb!$A$2,,,Arb!$AJ$5,),R308))+ROW()*0.001)</f>
        <v>43906.307999999997</v>
      </c>
      <c r="Y308" s="436">
        <v>166</v>
      </c>
      <c r="Z308" s="1">
        <v>3175</v>
      </c>
      <c r="AA308" s="52">
        <f ca="1">IF(Z308="","",INDEX(OFFSET(Arb!$H$2,,,Arb!$AJ$5,),Z308))</f>
        <v>71.7</v>
      </c>
      <c r="AB308" s="3">
        <f t="shared" ca="1" si="98"/>
        <v>2.3152022315202232</v>
      </c>
      <c r="AC308" s="165">
        <f ca="1">IF(Z308="","",INDEX(OFFSET(Arb!$X$2,,,Arb!$AJ$5,),Z308)/AA308)</f>
        <v>2.9428172942817294</v>
      </c>
      <c r="AD308" s="165">
        <f ca="1">IF(Z308="","",(INDEX(OFFSET(Arb!$U$2,,,Arb!$AJ$5,),Z308)+INDEX(OFFSET(Arb!$V$2,,,Arb!$AJ$5,),Z308))/AA308)</f>
        <v>3.3193863319386332</v>
      </c>
      <c r="AE308" s="51">
        <f t="shared" ca="1" si="108"/>
        <v>50.607604287493153</v>
      </c>
      <c r="AF308" s="91">
        <f ca="1">IF(Z308="","",DATE(INDEX(OFFSET(Arb!$C$2,,,Arb!$AJ$5,),Z308),INDEX(OFFSET(Arb!$B$2,,,Arb!$AJ$5,),Z308),INDEX(OFFSET(Arb!$A$2,,,Arb!$AJ$5,),Z308))+ROW()*0.001)</f>
        <v>44042.307999999997</v>
      </c>
      <c r="AG308" s="442">
        <v>166</v>
      </c>
      <c r="AH308" s="1">
        <v>3143</v>
      </c>
      <c r="AI308" s="52">
        <f ca="1">IF(AH308="","",INDEX(OFFSET(Arb!$H$2,,,Arb!$AJ$5,),AH308))</f>
        <v>72.69</v>
      </c>
      <c r="AJ308" s="3">
        <f t="shared" ca="1" si="99"/>
        <v>2.2836703810702987</v>
      </c>
      <c r="AK308" s="165">
        <f ca="1">IF(AH308="","",INDEX(OFFSET(Arb!$X$2,,,Arb!$AJ$5,),AH308)/AI308)</f>
        <v>2.8889806025588114</v>
      </c>
      <c r="AL308" s="165">
        <f ca="1">IF(AH308="","",(INDEX(OFFSET(Arb!$U$2,,,Arb!$AJ$5,),AH308)+INDEX(OFFSET(Arb!$V$2,,,Arb!$AJ$5,),AH308))/AI308)</f>
        <v>3.342963268675196</v>
      </c>
      <c r="AM308" s="51">
        <f t="shared" ca="1" si="109"/>
        <v>49.441473591028434</v>
      </c>
      <c r="AN308" s="88">
        <f ca="1">IF(AH308="","",DATE(INDEX(OFFSET(Arb!$C$2,,,Arb!$AJ$5,),AH308),INDEX(OFFSET(Arb!$B$2,,,Arb!$AJ$5,),AH308),INDEX(OFFSET(Arb!$A$2,,,Arb!$AJ$5,),AH308))+ROW()*0.001)</f>
        <v>44024.307999999997</v>
      </c>
      <c r="AO308" s="436">
        <v>166</v>
      </c>
      <c r="AP308" s="1">
        <v>3114</v>
      </c>
      <c r="AQ308" s="52">
        <f ca="1">IF(AP308="","",INDEX(OFFSET(Arb!$H$2,,,Arb!$AJ$5,),AP308))</f>
        <v>73.11</v>
      </c>
      <c r="AR308" s="3">
        <f t="shared" ca="1" si="100"/>
        <v>2.2705512241827384</v>
      </c>
      <c r="AS308" s="165">
        <f ca="1">IF(AP308="","",INDEX(OFFSET(Arb!$X$2,,,Arb!$AJ$5,),AP308)/AQ308)</f>
        <v>2.6808918068663656</v>
      </c>
      <c r="AT308" s="165">
        <f ca="1">IF(AP308="","",(INDEX(OFFSET(Arb!$U$2,,,Arb!$AJ$5,),AP308)+INDEX(OFFSET(Arb!$V$2,,,Arb!$AJ$5,),AP308))/AQ308)</f>
        <v>2.94077417589933</v>
      </c>
      <c r="AU308" s="51">
        <f t="shared" ca="1" si="110"/>
        <v>48.959594337245967</v>
      </c>
      <c r="AV308" s="91">
        <f ca="1">IF(AP308="","",DATE(INDEX(OFFSET(Arb!$C$2,,,Arb!$AJ$5,),AP308),INDEX(OFFSET(Arb!$B$2,,,Arb!$AJ$5,),AP308),INDEX(OFFSET(Arb!$A$2,,,Arb!$AJ$5,),AP308))+ROW()*0.001)</f>
        <v>44010.307999999997</v>
      </c>
      <c r="AW308" s="442">
        <v>166</v>
      </c>
      <c r="AX308" s="1">
        <v>2615</v>
      </c>
      <c r="AY308" s="52">
        <f ca="1">IF(AX308="","",INDEX(OFFSET(Arb!$H$2,,,Arb!$AJ$5,),AX308))</f>
        <v>73.89</v>
      </c>
      <c r="AZ308" s="3">
        <f t="shared" ca="1" si="101"/>
        <v>2.2465827581540125</v>
      </c>
      <c r="BA308" s="165">
        <f ca="1">IF(AX308="","",INDEX(OFFSET(Arb!$X$2,,,Arb!$AJ$5,),AX308)/AY308)</f>
        <v>2.6525916903505209</v>
      </c>
      <c r="BB308" s="165">
        <f ca="1">IF(AX308="","",(INDEX(OFFSET(Arb!$U$2,,,Arb!$AJ$5,),AX308)+INDEX(OFFSET(Arb!$V$2,,,Arb!$AJ$5,),AX308))/AY308)</f>
        <v>2.9638652050345109</v>
      </c>
      <c r="BC308" s="51">
        <f t="shared" ca="1" si="111"/>
        <v>48.084234914484938</v>
      </c>
      <c r="BD308" s="88">
        <f ca="1">IF(AX308="","",DATE(INDEX(OFFSET(Arb!$C$2,,,Arb!$AJ$5,),AX308),INDEX(OFFSET(Arb!$B$2,,,Arb!$AJ$5,),AX308),INDEX(OFFSET(Arb!$A$2,,,Arb!$AJ$5,),AX308))+ROW()*0.001)</f>
        <v>43812.307999999997</v>
      </c>
      <c r="BE308" s="436">
        <v>166</v>
      </c>
      <c r="BF308" s="1">
        <v>2562</v>
      </c>
      <c r="BG308" s="52">
        <f ca="1">IF(BF308="","",INDEX(OFFSET(Arb!$H$2,,,Arb!$AJ$5,),BF308))</f>
        <v>74.48</v>
      </c>
      <c r="BH308" s="3">
        <f t="shared" ca="1" si="102"/>
        <v>2.2287862513426422</v>
      </c>
      <c r="BI308" s="165">
        <f ca="1">IF(BF308="","",INDEX(OFFSET(Arb!$X$2,,,Arb!$AJ$5,),BF308)/BG308)</f>
        <v>2.725563909774436</v>
      </c>
      <c r="BJ308" s="165">
        <f ca="1">IF(BF308="","",(INDEX(OFFSET(Arb!$U$2,,,Arb!$AJ$5,),BF308)+INDEX(OFFSET(Arb!$V$2,,,Arb!$AJ$5,),BF308))/BG308)</f>
        <v>3.0746509129967774</v>
      </c>
      <c r="BK308" s="51">
        <f t="shared" ca="1" si="112"/>
        <v>47.438495585544793</v>
      </c>
      <c r="BL308" s="91">
        <f ca="1">IF(BF308="","",DATE(INDEX(OFFSET(Arb!$C$2,,,Arb!$AJ$5,),BF308),INDEX(OFFSET(Arb!$B$2,,,Arb!$AJ$5,),BF308),INDEX(OFFSET(Arb!$A$2,,,Arb!$AJ$5,),BF308))+ROW()*0.001)</f>
        <v>43799.307999999997</v>
      </c>
      <c r="BM308" s="442">
        <v>166</v>
      </c>
      <c r="BN308" s="1">
        <v>3039</v>
      </c>
      <c r="BO308" s="52">
        <f ca="1">IF(BN308="","",INDEX(OFFSET(Arb!$H$2,,,Arb!$AJ$5,),BN308))</f>
        <v>74.62</v>
      </c>
      <c r="BP308" s="3">
        <f t="shared" ca="1" si="103"/>
        <v>2.2246046636290537</v>
      </c>
      <c r="BQ308" s="165">
        <f ca="1">IF(BN308="","",INDEX(OFFSET(Arb!$X$2,,,Arb!$AJ$5,),BN308)/BO308)</f>
        <v>2.6668453497721787</v>
      </c>
      <c r="BR308" s="165">
        <f ca="1">IF(BN308="","",(INDEX(OFFSET(Arb!$U$2,,,Arb!$AJ$5,),BN308)+INDEX(OFFSET(Arb!$V$2,,,Arb!$AJ$5,),BN308))/BO308)</f>
        <v>3.0286786384347359</v>
      </c>
      <c r="BS308" s="51">
        <f t="shared" ca="1" si="113"/>
        <v>47.287290189889546</v>
      </c>
      <c r="BT308" s="88">
        <f ca="1">IF(BN308="","",DATE(INDEX(OFFSET(Arb!$C$2,,,Arb!$AJ$5,),BN308),INDEX(OFFSET(Arb!$B$2,,,Arb!$AJ$5,),BN308),INDEX(OFFSET(Arb!$A$2,,,Arb!$AJ$5,),BN308))+ROW()*0.001)</f>
        <v>43980.307999999997</v>
      </c>
      <c r="BU308" s="436">
        <v>166</v>
      </c>
      <c r="BV308" s="1">
        <v>2427</v>
      </c>
      <c r="BW308" s="52">
        <f ca="1">IF(BV308="","",INDEX(OFFSET(Arb!$H$2,,,Arb!$AJ$5,),BV308))</f>
        <v>75.680000000000007</v>
      </c>
      <c r="BX308" s="3">
        <f t="shared" ca="1" si="104"/>
        <v>2.1934460887949259</v>
      </c>
      <c r="BY308" s="165">
        <f ca="1">IF(BV308="","",INDEX(OFFSET(Arb!$X$2,,,Arb!$AJ$5,),BV308)/BW308)</f>
        <v>2.669133192389006</v>
      </c>
      <c r="BZ308" s="165">
        <f ca="1">IF(BV308="","",(INDEX(OFFSET(Arb!$U$2,,,Arb!$AJ$5,),BV308)+INDEX(OFFSET(Arb!$V$2,,,Arb!$AJ$5,),BV308))/BW308)</f>
        <v>2.9334038054968286</v>
      </c>
      <c r="CA308" s="51">
        <f t="shared" ca="1" si="114"/>
        <v>46.166870228400718</v>
      </c>
      <c r="CB308" s="91">
        <f ca="1">IF(BV308="","",DATE(INDEX(OFFSET(Arb!$C$2,,,Arb!$AJ$5,),BV308),INDEX(OFFSET(Arb!$B$2,,,Arb!$AJ$5,),BV308),INDEX(OFFSET(Arb!$A$2,,,Arb!$AJ$5,),BV308))+ROW()*0.001)</f>
        <v>43771.307999999997</v>
      </c>
    </row>
    <row r="309" spans="1:80" x14ac:dyDescent="0.25">
      <c r="A309" s="433">
        <v>167</v>
      </c>
      <c r="B309" s="1">
        <v>2847</v>
      </c>
      <c r="C309" s="52">
        <f ca="1">IF(B309="","",INDEX(OFFSET(Arb!$H$2,,,Arb!$AJ$5,),B309))</f>
        <v>68.67</v>
      </c>
      <c r="D309" s="3">
        <f t="shared" ca="1" si="95"/>
        <v>2.4319207805446337</v>
      </c>
      <c r="E309" s="165">
        <f ca="1">IF(B309="","",INDEX(OFFSET(Arb!$X$2,,,Arb!$AJ$5,),B309)/C309)</f>
        <v>2.9561671763506627</v>
      </c>
      <c r="F309" s="165">
        <f ca="1">IF(B309="","",(INDEX(OFFSET(Arb!$U$2,,,Arb!$AJ$5,),B309)+INDEX(OFFSET(Arb!$V$2,,,Arb!$AJ$5,),B309))/C309)</f>
        <v>3.2765399737876799</v>
      </c>
      <c r="G309" s="51">
        <f t="shared" ca="1" si="105"/>
        <v>54.790182359375549</v>
      </c>
      <c r="H309" s="355">
        <f ca="1">IF(B309="","",DATE(INDEX(OFFSET(Arb!$C$2,,,Arb!$AJ$5,),B309),INDEX(OFFSET(Arb!$B$2,,,Arb!$AJ$5,),B309),INDEX(OFFSET(Arb!$A$2,,,Arb!$AJ$5,),B309))+ROW()*0.001)</f>
        <v>43904.309000000001</v>
      </c>
      <c r="I309" s="436">
        <v>167</v>
      </c>
      <c r="J309" s="1">
        <v>2848</v>
      </c>
      <c r="K309" s="52">
        <f ca="1">IF(J309="","",INDEX(OFFSET(Arb!$H$2,,,Arb!$AJ$5,),J309))</f>
        <v>71.489999999999995</v>
      </c>
      <c r="L309" s="3">
        <f t="shared" ca="1" si="96"/>
        <v>2.3359910476989789</v>
      </c>
      <c r="M309" s="165">
        <f ca="1">IF(J309="","",INDEX(OFFSET(Arb!$X$2,,,Arb!$AJ$5,),J309)/K309)</f>
        <v>2.8535459504825851</v>
      </c>
      <c r="N309" s="165">
        <f ca="1">IF(J309="","",(INDEX(OFFSET(Arb!$U$2,,,Arb!$AJ$5,),J309)+INDEX(OFFSET(Arb!$V$2,,,Arb!$AJ$5,),J309))/K309)</f>
        <v>3.1612812980836482</v>
      </c>
      <c r="O309" s="51">
        <f t="shared" ca="1" si="106"/>
        <v>51.166972560863336</v>
      </c>
      <c r="P309" s="91">
        <f ca="1">IF(J309="","",DATE(INDEX(OFFSET(Arb!$C$2,,,Arb!$AJ$5,),J309),INDEX(OFFSET(Arb!$B$2,,,Arb!$AJ$5,),J309),INDEX(OFFSET(Arb!$A$2,,,Arb!$AJ$5,),J309))+ROW()*0.001)</f>
        <v>43904.309000000001</v>
      </c>
      <c r="Q309" s="442">
        <v>167</v>
      </c>
      <c r="R309" s="1">
        <v>2859</v>
      </c>
      <c r="S309" s="52">
        <f ca="1">IF(R309="","",INDEX(OFFSET(Arb!$H$2,,,Arb!$AJ$5,),R309))</f>
        <v>71.52</v>
      </c>
      <c r="T309" s="3">
        <f t="shared" ca="1" si="97"/>
        <v>2.3350111856823266</v>
      </c>
      <c r="U309" s="165">
        <f ca="1">IF(R309="","",INDEX(OFFSET(Arb!$X$2,,,Arb!$AJ$5,),R309)/S309)</f>
        <v>2.726510067114094</v>
      </c>
      <c r="V309" s="165">
        <f ca="1">IF(R309="","",(INDEX(OFFSET(Arb!$U$2,,,Arb!$AJ$5,),R309)+INDEX(OFFSET(Arb!$V$2,,,Arb!$AJ$5,),R309))/S309)</f>
        <v>2.9781879194630876</v>
      </c>
      <c r="W309" s="51">
        <f t="shared" ca="1" si="107"/>
        <v>51.130491402080835</v>
      </c>
      <c r="X309" s="88">
        <f ca="1">IF(R309="","",DATE(INDEX(OFFSET(Arb!$C$2,,,Arb!$AJ$5,),R309),INDEX(OFFSET(Arb!$B$2,,,Arb!$AJ$5,),R309),INDEX(OFFSET(Arb!$A$2,,,Arb!$AJ$5,),R309))+ROW()*0.001)</f>
        <v>43907.309000000001</v>
      </c>
      <c r="Y309" s="436">
        <v>167</v>
      </c>
      <c r="Z309" s="1">
        <v>3003</v>
      </c>
      <c r="AA309" s="52">
        <f ca="1">IF(Z309="","",INDEX(OFFSET(Arb!$H$2,,,Arb!$AJ$5,),Z309))</f>
        <v>73.28</v>
      </c>
      <c r="AB309" s="3">
        <f t="shared" ca="1" si="98"/>
        <v>2.2789301310043668</v>
      </c>
      <c r="AC309" s="165">
        <f ca="1">IF(Z309="","",INDEX(OFFSET(Arb!$X$2,,,Arb!$AJ$5,),Z309)/AA309)</f>
        <v>2.7701965065502181</v>
      </c>
      <c r="AD309" s="165">
        <f ca="1">IF(Z309="","",(INDEX(OFFSET(Arb!$U$2,,,Arb!$AJ$5,),Z309)+INDEX(OFFSET(Arb!$V$2,,,Arb!$AJ$5,),Z309))/AA309)</f>
        <v>3.0840611353711789</v>
      </c>
      <c r="AE309" s="51">
        <f t="shared" ca="1" si="108"/>
        <v>49.060440506862683</v>
      </c>
      <c r="AF309" s="91">
        <f ca="1">IF(Z309="","",DATE(INDEX(OFFSET(Arb!$C$2,,,Arb!$AJ$5,),Z309),INDEX(OFFSET(Arb!$B$2,,,Arb!$AJ$5,),Z309),INDEX(OFFSET(Arb!$A$2,,,Arb!$AJ$5,),Z309))+ROW()*0.001)</f>
        <v>43957.309000000001</v>
      </c>
      <c r="AG309" s="442">
        <v>167</v>
      </c>
      <c r="AH309" s="1">
        <v>2864</v>
      </c>
      <c r="AI309" s="52">
        <f ca="1">IF(AH309="","",INDEX(OFFSET(Arb!$H$2,,,Arb!$AJ$5,),AH309))</f>
        <v>75.709999999999994</v>
      </c>
      <c r="AJ309" s="3">
        <f t="shared" ca="1" si="99"/>
        <v>2.2057852331264036</v>
      </c>
      <c r="AK309" s="165">
        <f ca="1">IF(AH309="","",INDEX(OFFSET(Arb!$X$2,,,Arb!$AJ$5,),AH309)/AI309)</f>
        <v>2.6944921410645888</v>
      </c>
      <c r="AL309" s="165">
        <f ca="1">IF(AH309="","",(INDEX(OFFSET(Arb!$U$2,,,Arb!$AJ$5,),AH309)+INDEX(OFFSET(Arb!$V$2,,,Arb!$AJ$5,),AH309))/AI309)</f>
        <v>3.1039492801479334</v>
      </c>
      <c r="AM309" s="51">
        <f t="shared" ca="1" si="109"/>
        <v>46.413701832638303</v>
      </c>
      <c r="AN309" s="88">
        <f ca="1">IF(AH309="","",DATE(INDEX(OFFSET(Arb!$C$2,,,Arb!$AJ$5,),AH309),INDEX(OFFSET(Arb!$B$2,,,Arb!$AJ$5,),AH309),INDEX(OFFSET(Arb!$A$2,,,Arb!$AJ$5,),AH309))+ROW()*0.001)</f>
        <v>43910.309000000001</v>
      </c>
      <c r="AO309" s="436">
        <v>167</v>
      </c>
      <c r="AP309" s="1">
        <v>3137</v>
      </c>
      <c r="AQ309" s="52">
        <f ca="1">IF(AP309="","",INDEX(OFFSET(Arb!$H$2,,,Arb!$AJ$5,),AP309))</f>
        <v>76.33</v>
      </c>
      <c r="AR309" s="3">
        <f t="shared" ca="1" si="100"/>
        <v>2.1878684658718721</v>
      </c>
      <c r="AS309" s="165">
        <f ca="1">IF(AP309="","",INDEX(OFFSET(Arb!$X$2,,,Arb!$AJ$5,),AP309)/AQ309)</f>
        <v>2.7250098257565831</v>
      </c>
      <c r="AT309" s="165">
        <f ca="1">IF(AP309="","",(INDEX(OFFSET(Arb!$U$2,,,Arb!$AJ$5,),AP309)+INDEX(OFFSET(Arb!$V$2,,,Arb!$AJ$5,),AP309))/AQ309)</f>
        <v>3.0394340364208046</v>
      </c>
      <c r="AU309" s="51">
        <f t="shared" ca="1" si="110"/>
        <v>45.774623452514909</v>
      </c>
      <c r="AV309" s="91">
        <f ca="1">IF(AP309="","",DATE(INDEX(OFFSET(Arb!$C$2,,,Arb!$AJ$5,),AP309),INDEX(OFFSET(Arb!$B$2,,,Arb!$AJ$5,),AP309),INDEX(OFFSET(Arb!$A$2,,,Arb!$AJ$5,),AP309))+ROW()*0.001)</f>
        <v>44021.309000000001</v>
      </c>
      <c r="AW309" s="442">
        <v>167</v>
      </c>
      <c r="AX309" s="1">
        <v>2984</v>
      </c>
      <c r="AY309" s="52">
        <f ca="1">IF(AX309="","",INDEX(OFFSET(Arb!$H$2,,,Arb!$AJ$5,),AX309))</f>
        <v>77.819999999999993</v>
      </c>
      <c r="AZ309" s="3">
        <f t="shared" ca="1" si="101"/>
        <v>2.1459778977126707</v>
      </c>
      <c r="BA309" s="165">
        <f ca="1">IF(AX309="","",INDEX(OFFSET(Arb!$X$2,,,Arb!$AJ$5,),AX309)/AY309)</f>
        <v>2.5443330763299925</v>
      </c>
      <c r="BB309" s="165">
        <f ca="1">IF(AX309="","",(INDEX(OFFSET(Arb!$U$2,,,Arb!$AJ$5,),AX309)+INDEX(OFFSET(Arb!$V$2,,,Arb!$AJ$5,),AX309))/AY309)</f>
        <v>2.9169879208429714</v>
      </c>
      <c r="BC309" s="51">
        <f t="shared" ca="1" si="111"/>
        <v>44.294687439790835</v>
      </c>
      <c r="BD309" s="88">
        <f ca="1">IF(AX309="","",DATE(INDEX(OFFSET(Arb!$C$2,,,Arb!$AJ$5,),AX309),INDEX(OFFSET(Arb!$B$2,,,Arb!$AJ$5,),AX309),INDEX(OFFSET(Arb!$A$2,,,Arb!$AJ$5,),AX309))+ROW()*0.001)</f>
        <v>43956.309000000001</v>
      </c>
      <c r="BE309" s="436">
        <v>167</v>
      </c>
      <c r="BF309" s="1">
        <v>3231</v>
      </c>
      <c r="BG309" s="52">
        <f ca="1">IF(BF309="","",INDEX(OFFSET(Arb!$H$2,,,Arb!$AJ$5,),BF309))</f>
        <v>81.39</v>
      </c>
      <c r="BH309" s="3">
        <f t="shared" ca="1" si="102"/>
        <v>2.0518491215136994</v>
      </c>
      <c r="BI309" s="165">
        <f ca="1">IF(BF309="","",INDEX(OFFSET(Arb!$X$2,,,Arb!$AJ$5,),BF309)/BG309)</f>
        <v>2.3835852070278905</v>
      </c>
      <c r="BJ309" s="165">
        <f ca="1">IF(BF309="","",(INDEX(OFFSET(Arb!$U$2,,,Arb!$AJ$5,),BF309)+INDEX(OFFSET(Arb!$V$2,,,Arb!$AJ$5,),BF309))/BG309)</f>
        <v>2.6047425973706844</v>
      </c>
      <c r="BK309" s="51">
        <f t="shared" ca="1" si="112"/>
        <v>41.042701974358714</v>
      </c>
      <c r="BL309" s="91">
        <f ca="1">IF(BF309="","",DATE(INDEX(OFFSET(Arb!$C$2,,,Arb!$AJ$5,),BF309),INDEX(OFFSET(Arb!$B$2,,,Arb!$AJ$5,),BF309),INDEX(OFFSET(Arb!$A$2,,,Arb!$AJ$5,),BF309))+ROW()*0.001)</f>
        <v>44061.309000000001</v>
      </c>
      <c r="BM309" s="442">
        <v>167</v>
      </c>
      <c r="BN309" s="1">
        <v>2790</v>
      </c>
      <c r="BO309" s="52">
        <f ca="1">IF(BN309="","",INDEX(OFFSET(Arb!$H$2,,,Arb!$AJ$5,),BN309))</f>
        <v>82.14</v>
      </c>
      <c r="BP309" s="3">
        <f t="shared" ca="1" si="103"/>
        <v>2.0331141952763576</v>
      </c>
      <c r="BQ309" s="165">
        <f ca="1">IF(BN309="","",INDEX(OFFSET(Arb!$X$2,,,Arb!$AJ$5,),BN309)/BO309)</f>
        <v>2.398344290236182</v>
      </c>
      <c r="BR309" s="165">
        <f ca="1">IF(BN309="","",(INDEX(OFFSET(Arb!$U$2,,,Arb!$AJ$5,),BN309)+INDEX(OFFSET(Arb!$V$2,,,Arb!$AJ$5,),BN309))/BO309)</f>
        <v>2.5809593377160946</v>
      </c>
      <c r="BS309" s="51">
        <f t="shared" ca="1" si="113"/>
        <v>40.407663511431025</v>
      </c>
      <c r="BT309" s="88">
        <f ca="1">IF(BN309="","",DATE(INDEX(OFFSET(Arb!$C$2,,,Arb!$AJ$5,),BN309),INDEX(OFFSET(Arb!$B$2,,,Arb!$AJ$5,),BN309),INDEX(OFFSET(Arb!$A$2,,,Arb!$AJ$5,),BN309))+ROW()*0.001)</f>
        <v>43893.309000000001</v>
      </c>
      <c r="BU309" s="436">
        <v>167</v>
      </c>
      <c r="BV309" s="1">
        <v>2628</v>
      </c>
      <c r="BW309" s="52">
        <f ca="1">IF(BV309="","",INDEX(OFFSET(Arb!$H$2,,,Arb!$AJ$5,),BV309))</f>
        <v>83.2</v>
      </c>
      <c r="BX309" s="3">
        <f t="shared" ca="1" si="104"/>
        <v>2.0072115384615383</v>
      </c>
      <c r="BY309" s="165">
        <f ca="1">IF(BV309="","",INDEX(OFFSET(Arb!$X$2,,,Arb!$AJ$5,),BV309)/BW309)</f>
        <v>2.5240384615384612</v>
      </c>
      <c r="BZ309" s="165">
        <f ca="1">IF(BV309="","",(INDEX(OFFSET(Arb!$U$2,,,Arb!$AJ$5,),BV309)+INDEX(OFFSET(Arb!$V$2,,,Arb!$AJ$5,),BV309))/BW309)</f>
        <v>2.8125</v>
      </c>
      <c r="CA309" s="51">
        <f t="shared" ca="1" si="114"/>
        <v>39.536395433179528</v>
      </c>
      <c r="CB309" s="91">
        <f ca="1">IF(BV309="","",DATE(INDEX(OFFSET(Arb!$C$2,,,Arb!$AJ$5,),BV309),INDEX(OFFSET(Arb!$B$2,,,Arb!$AJ$5,),BV309),INDEX(OFFSET(Arb!$A$2,,,Arb!$AJ$5,),BV309))+ROW()*0.001)</f>
        <v>43815.309000000001</v>
      </c>
    </row>
    <row r="310" spans="1:80" x14ac:dyDescent="0.25">
      <c r="A310" s="433">
        <v>168</v>
      </c>
      <c r="B310" s="1">
        <v>2957</v>
      </c>
      <c r="C310" s="52">
        <f ca="1">IF(B310="","",INDEX(OFFSET(Arb!$H$2,,,Arb!$AJ$5,),B310))</f>
        <v>68.44</v>
      </c>
      <c r="D310" s="3">
        <f t="shared" ca="1" si="95"/>
        <v>2.4547048509643483</v>
      </c>
      <c r="E310" s="165">
        <f ca="1">IF(B310="","",INDEX(OFFSET(Arb!$X$2,,,Arb!$AJ$5,),B310)/C310)</f>
        <v>2.9368790181180597</v>
      </c>
      <c r="F310" s="165">
        <f ca="1">IF(B310="","",(INDEX(OFFSET(Arb!$U$2,,,Arb!$AJ$5,),B310)+INDEX(OFFSET(Arb!$V$2,,,Arb!$AJ$5,),B310))/C310)</f>
        <v>3.1560490940970194</v>
      </c>
      <c r="G310" s="51">
        <f t="shared" ca="1" si="105"/>
        <v>55.433530037109314</v>
      </c>
      <c r="H310" s="355">
        <f ca="1">IF(B310="","",DATE(INDEX(OFFSET(Arb!$C$2,,,Arb!$AJ$5,),B310),INDEX(OFFSET(Arb!$B$2,,,Arb!$AJ$5,),B310),INDEX(OFFSET(Arb!$A$2,,,Arb!$AJ$5,),B310))+ROW()*0.001)</f>
        <v>43950.31</v>
      </c>
      <c r="I310" s="436">
        <v>168</v>
      </c>
      <c r="J310" s="1">
        <v>2823</v>
      </c>
      <c r="K310" s="52">
        <f ca="1">IF(J310="","",INDEX(OFFSET(Arb!$H$2,,,Arb!$AJ$5,),J310))</f>
        <v>70.680000000000007</v>
      </c>
      <c r="L310" s="3">
        <f t="shared" ca="1" si="96"/>
        <v>2.3769100169779285</v>
      </c>
      <c r="M310" s="165">
        <f ca="1">IF(J310="","",INDEX(OFFSET(Arb!$X$2,,,Arb!$AJ$5,),J310)/K310)</f>
        <v>2.7872099603848328</v>
      </c>
      <c r="N310" s="165">
        <f ca="1">IF(J310="","",(INDEX(OFFSET(Arb!$U$2,,,Arb!$AJ$5,),J310)+INDEX(OFFSET(Arb!$V$2,,,Arb!$AJ$5,),J310))/K310)</f>
        <v>3.070175438596491</v>
      </c>
      <c r="O310" s="51">
        <f t="shared" ca="1" si="106"/>
        <v>52.480192288987752</v>
      </c>
      <c r="P310" s="91">
        <f ca="1">IF(J310="","",DATE(INDEX(OFFSET(Arb!$C$2,,,Arb!$AJ$5,),J310),INDEX(OFFSET(Arb!$B$2,,,Arb!$AJ$5,),J310),INDEX(OFFSET(Arb!$A$2,,,Arb!$AJ$5,),J310))+ROW()*0.001)</f>
        <v>43900.31</v>
      </c>
      <c r="Q310" s="442">
        <v>168</v>
      </c>
      <c r="R310" s="1">
        <v>3190</v>
      </c>
      <c r="S310" s="52">
        <f ca="1">IF(R310="","",INDEX(OFFSET(Arb!$H$2,,,Arb!$AJ$5,),R310))</f>
        <v>71.48</v>
      </c>
      <c r="T310" s="3">
        <f t="shared" ca="1" si="97"/>
        <v>2.3503077783995523</v>
      </c>
      <c r="U310" s="165">
        <f ca="1">IF(R310="","",INDEX(OFFSET(Arb!$X$2,,,Arb!$AJ$5,),R310)/S310)</f>
        <v>2.7140458869613875</v>
      </c>
      <c r="V310" s="165">
        <f ca="1">IF(R310="","",(INDEX(OFFSET(Arb!$U$2,,,Arb!$AJ$5,),R310)+INDEX(OFFSET(Arb!$V$2,,,Arb!$AJ$5,),R310))/S310)</f>
        <v>2.9518746502518187</v>
      </c>
      <c r="W310" s="51">
        <f t="shared" ca="1" si="107"/>
        <v>51.485604063460435</v>
      </c>
      <c r="X310" s="88">
        <f ca="1">IF(R310="","",DATE(INDEX(OFFSET(Arb!$C$2,,,Arb!$AJ$5,),R310),INDEX(OFFSET(Arb!$B$2,,,Arb!$AJ$5,),R310),INDEX(OFFSET(Arb!$A$2,,,Arb!$AJ$5,),R310))+ROW()*0.001)</f>
        <v>44057.31</v>
      </c>
      <c r="Y310" s="436">
        <v>168</v>
      </c>
      <c r="Z310" s="1">
        <v>3290</v>
      </c>
      <c r="AA310" s="52">
        <f ca="1">IF(Z310="","",INDEX(OFFSET(Arb!$H$2,,,Arb!$AJ$5,),Z310))</f>
        <v>72.67</v>
      </c>
      <c r="AB310" s="3">
        <f t="shared" ca="1" si="98"/>
        <v>2.3118205586899685</v>
      </c>
      <c r="AC310" s="165">
        <f ca="1">IF(Z310="","",INDEX(OFFSET(Arb!$X$2,,,Arb!$AJ$5,),Z310)/AA310)</f>
        <v>2.8347323517269851</v>
      </c>
      <c r="AD310" s="165">
        <f ca="1">IF(Z310="","",(INDEX(OFFSET(Arb!$U$2,,,Arb!$AJ$5,),Z310)+INDEX(OFFSET(Arb!$V$2,,,Arb!$AJ$5,),Z310))/AA310)</f>
        <v>3.1649924315398374</v>
      </c>
      <c r="AE310" s="51">
        <f t="shared" ca="1" si="108"/>
        <v>50.060567056245809</v>
      </c>
      <c r="AF310" s="91">
        <f ca="1">IF(Z310="","",DATE(INDEX(OFFSET(Arb!$C$2,,,Arb!$AJ$5,),Z310),INDEX(OFFSET(Arb!$B$2,,,Arb!$AJ$5,),Z310),INDEX(OFFSET(Arb!$A$2,,,Arb!$AJ$5,),Z310))+ROW()*0.001)</f>
        <v>44084.31</v>
      </c>
      <c r="AG310" s="442">
        <v>168</v>
      </c>
      <c r="AH310" s="1">
        <v>2829</v>
      </c>
      <c r="AI310" s="52">
        <f ca="1">IF(AH310="","",INDEX(OFFSET(Arb!$H$2,,,Arb!$AJ$5,),AH310))</f>
        <v>73.8</v>
      </c>
      <c r="AJ310" s="3">
        <f t="shared" ca="1" si="99"/>
        <v>2.2764227642276422</v>
      </c>
      <c r="AK310" s="165">
        <f ca="1">IF(AH310="","",INDEX(OFFSET(Arb!$X$2,,,Arb!$AJ$5,),AH310)/AI310)</f>
        <v>2.7235772357723578</v>
      </c>
      <c r="AL310" s="165">
        <f ca="1">IF(AH310="","",(INDEX(OFFSET(Arb!$U$2,,,Arb!$AJ$5,),AH310)+INDEX(OFFSET(Arb!$V$2,,,Arb!$AJ$5,),AH310))/AI310)</f>
        <v>2.9539295392953933</v>
      </c>
      <c r="AM310" s="51">
        <f t="shared" ca="1" si="109"/>
        <v>48.764493977240612</v>
      </c>
      <c r="AN310" s="88">
        <f ca="1">IF(AH310="","",DATE(INDEX(OFFSET(Arb!$C$2,,,Arb!$AJ$5,),AH310),INDEX(OFFSET(Arb!$B$2,,,Arb!$AJ$5,),AH310),INDEX(OFFSET(Arb!$A$2,,,Arb!$AJ$5,),AH310))+ROW()*0.001)</f>
        <v>43901.31</v>
      </c>
      <c r="AO310" s="436">
        <v>168</v>
      </c>
      <c r="AP310" s="1">
        <v>3440</v>
      </c>
      <c r="AQ310" s="52">
        <f ca="1">IF(AP310="","",INDEX(OFFSET(Arb!$H$2,,,Arb!$AJ$5,),AP310))</f>
        <v>73.81</v>
      </c>
      <c r="AR310" s="3">
        <f t="shared" ca="1" si="100"/>
        <v>2.2761143476493699</v>
      </c>
      <c r="AS310" s="165">
        <f ca="1">IF(AP310="","",INDEX(OFFSET(Arb!$X$2,,,Arb!$AJ$5,),AP310)/AQ310)</f>
        <v>2.8857878336268796</v>
      </c>
      <c r="AT310" s="165">
        <f ca="1">IF(AP310="","",(INDEX(OFFSET(Arb!$U$2,,,Arb!$AJ$5,),AP310)+INDEX(OFFSET(Arb!$V$2,,,Arb!$AJ$5,),AP310))/AQ310)</f>
        <v>3.3193334236553311</v>
      </c>
      <c r="AU310" s="51">
        <f t="shared" ca="1" si="110"/>
        <v>48.753263018199029</v>
      </c>
      <c r="AV310" s="91">
        <f ca="1">IF(AP310="","",DATE(INDEX(OFFSET(Arb!$C$2,,,Arb!$AJ$5,),AP310),INDEX(OFFSET(Arb!$B$2,,,Arb!$AJ$5,),AP310),INDEX(OFFSET(Arb!$A$2,,,Arb!$AJ$5,),AP310))+ROW()*0.001)</f>
        <v>44167.31</v>
      </c>
      <c r="AW310" s="442">
        <v>168</v>
      </c>
      <c r="AX310" s="1">
        <v>3016</v>
      </c>
      <c r="AY310" s="52">
        <f ca="1">IF(AX310="","",INDEX(OFFSET(Arb!$H$2,,,Arb!$AJ$5,),AX310))</f>
        <v>74.91</v>
      </c>
      <c r="AZ310" s="3">
        <f t="shared" ca="1" si="101"/>
        <v>2.2426912294753705</v>
      </c>
      <c r="BA310" s="165">
        <f ca="1">IF(AX310="","",INDEX(OFFSET(Arb!$X$2,,,Arb!$AJ$5,),AX310)/AY310)</f>
        <v>2.8567614470698173</v>
      </c>
      <c r="BB310" s="165">
        <f ca="1">IF(AX310="","",(INDEX(OFFSET(Arb!$U$2,,,Arb!$AJ$5,),AX310)+INDEX(OFFSET(Arb!$V$2,,,Arb!$AJ$5,),AX310))/AY310)</f>
        <v>3.2972900814310506</v>
      </c>
      <c r="BC310" s="51">
        <f t="shared" ca="1" si="111"/>
        <v>47.542485426511391</v>
      </c>
      <c r="BD310" s="88">
        <f ca="1">IF(AX310="","",DATE(INDEX(OFFSET(Arb!$C$2,,,Arb!$AJ$5,),AX310),INDEX(OFFSET(Arb!$B$2,,,Arb!$AJ$5,),AX310),INDEX(OFFSET(Arb!$A$2,,,Arb!$AJ$5,),AX310))+ROW()*0.001)</f>
        <v>43958.31</v>
      </c>
      <c r="BE310" s="436">
        <v>168</v>
      </c>
      <c r="BF310" s="1">
        <v>2760</v>
      </c>
      <c r="BG310" s="52">
        <f ca="1">IF(BF310="","",INDEX(OFFSET(Arb!$H$2,,,Arb!$AJ$5,),BF310))</f>
        <v>75.510000000000005</v>
      </c>
      <c r="BH310" s="3">
        <f t="shared" ca="1" si="102"/>
        <v>2.2248708780294</v>
      </c>
      <c r="BI310" s="165">
        <f ca="1">IF(BF310="","",INDEX(OFFSET(Arb!$X$2,,,Arb!$AJ$5,),BF310)/BG310)</f>
        <v>2.7016289233214144</v>
      </c>
      <c r="BJ310" s="165">
        <f ca="1">IF(BF310="","",(INDEX(OFFSET(Arb!$U$2,,,Arb!$AJ$5,),BF310)+INDEX(OFFSET(Arb!$V$2,,,Arb!$AJ$5,),BF310))/BG310)</f>
        <v>3.0856840153622036</v>
      </c>
      <c r="BK310" s="51">
        <f t="shared" ca="1" si="112"/>
        <v>46.902062125846854</v>
      </c>
      <c r="BL310" s="91">
        <f ca="1">IF(BF310="","",DATE(INDEX(OFFSET(Arb!$C$2,,,Arb!$AJ$5,),BF310),INDEX(OFFSET(Arb!$B$2,,,Arb!$AJ$5,),BF310),INDEX(OFFSET(Arb!$A$2,,,Arb!$AJ$5,),BF310))+ROW()*0.001)</f>
        <v>43886.31</v>
      </c>
      <c r="BM310" s="442">
        <v>168</v>
      </c>
      <c r="BN310" s="1">
        <v>2688</v>
      </c>
      <c r="BO310" s="52">
        <f ca="1">IF(BN310="","",INDEX(OFFSET(Arb!$H$2,,,Arb!$AJ$5,),BN310))</f>
        <v>75.83</v>
      </c>
      <c r="BP310" s="3">
        <f t="shared" ca="1" si="103"/>
        <v>2.2154819992087567</v>
      </c>
      <c r="BQ310" s="165">
        <f ca="1">IF(BN310="","",INDEX(OFFSET(Arb!$X$2,,,Arb!$AJ$5,),BN310)/BO310)</f>
        <v>2.6770407490439139</v>
      </c>
      <c r="BR310" s="165">
        <f ca="1">IF(BN310="","",(INDEX(OFFSET(Arb!$U$2,,,Arb!$AJ$5,),BN310)+INDEX(OFFSET(Arb!$V$2,,,Arb!$AJ$5,),BN310))/BO310)</f>
        <v>3.0858499274693392</v>
      </c>
      <c r="BS310" s="51">
        <f t="shared" ca="1" si="113"/>
        <v>46.566086642083285</v>
      </c>
      <c r="BT310" s="88">
        <f ca="1">IF(BN310="","",DATE(INDEX(OFFSET(Arb!$C$2,,,Arb!$AJ$5,),BN310),INDEX(OFFSET(Arb!$B$2,,,Arb!$AJ$5,),BN310),INDEX(OFFSET(Arb!$A$2,,,Arb!$AJ$5,),BN310))+ROW()*0.001)</f>
        <v>43838.31</v>
      </c>
      <c r="BU310" s="436">
        <v>168</v>
      </c>
      <c r="BV310" s="1">
        <v>2461</v>
      </c>
      <c r="BW310" s="52">
        <f ca="1">IF(BV310="","",INDEX(OFFSET(Arb!$H$2,,,Arb!$AJ$5,),BV310))</f>
        <v>78.8</v>
      </c>
      <c r="BX310" s="3">
        <f t="shared" ca="1" si="104"/>
        <v>2.1319796954314723</v>
      </c>
      <c r="BY310" s="165">
        <f ca="1">IF(BV310="","",INDEX(OFFSET(Arb!$X$2,,,Arb!$AJ$5,),BV310)/BW310)</f>
        <v>2.5761421319796955</v>
      </c>
      <c r="BZ310" s="165">
        <f ca="1">IF(BV310="","",(INDEX(OFFSET(Arb!$U$2,,,Arb!$AJ$5,),BV310)+INDEX(OFFSET(Arb!$V$2,,,Arb!$AJ$5,),BV310))/BW310)</f>
        <v>2.766497461928934</v>
      </c>
      <c r="CA310" s="51">
        <f t="shared" ca="1" si="114"/>
        <v>43.621939122125774</v>
      </c>
      <c r="CB310" s="91">
        <f ca="1">IF(BV310="","",DATE(INDEX(OFFSET(Arb!$C$2,,,Arb!$AJ$5,),BV310),INDEX(OFFSET(Arb!$B$2,,,Arb!$AJ$5,),BV310),INDEX(OFFSET(Arb!$A$2,,,Arb!$AJ$5,),BV310))+ROW()*0.001)</f>
        <v>43779.31</v>
      </c>
    </row>
    <row r="311" spans="1:80" x14ac:dyDescent="0.25">
      <c r="A311" s="433">
        <v>169</v>
      </c>
      <c r="B311" s="1">
        <v>2979</v>
      </c>
      <c r="C311" s="52">
        <f ca="1">IF(B311="","",INDEX(OFFSET(Arb!$H$2,,,Arb!$AJ$5,),B311))</f>
        <v>66.569999999999993</v>
      </c>
      <c r="D311" s="3">
        <f t="shared" ca="1" si="95"/>
        <v>2.538681087576987</v>
      </c>
      <c r="E311" s="165">
        <f ca="1">IF(B311="","",INDEX(OFFSET(Arb!$X$2,,,Arb!$AJ$5,),B311)/C311)</f>
        <v>3.0043563166591563</v>
      </c>
      <c r="F311" s="165">
        <f ca="1">IF(B311="","",(INDEX(OFFSET(Arb!$U$2,,,Arb!$AJ$5,),B311)+INDEX(OFFSET(Arb!$V$2,,,Arb!$AJ$5,),B311))/C311)</f>
        <v>3.229683040408593</v>
      </c>
      <c r="G311" s="51">
        <f t="shared" ca="1" si="105"/>
        <v>58.452543413575981</v>
      </c>
      <c r="H311" s="355">
        <f ca="1">IF(B311="","",DATE(INDEX(OFFSET(Arb!$C$2,,,Arb!$AJ$5,),B311),INDEX(OFFSET(Arb!$B$2,,,Arb!$AJ$5,),B311),INDEX(OFFSET(Arb!$A$2,,,Arb!$AJ$5,),B311))+ROW()*0.001)</f>
        <v>43956.311000000002</v>
      </c>
      <c r="I311" s="436">
        <v>169</v>
      </c>
      <c r="J311" s="1">
        <v>3330</v>
      </c>
      <c r="K311" s="52">
        <f ca="1">IF(J311="","",INDEX(OFFSET(Arb!$H$2,,,Arb!$AJ$5,),J311))</f>
        <v>68.27</v>
      </c>
      <c r="L311" s="3">
        <f t="shared" ca="1" si="96"/>
        <v>2.4754650651823642</v>
      </c>
      <c r="M311" s="165">
        <f ca="1">IF(J311="","",INDEX(OFFSET(Arb!$X$2,,,Arb!$AJ$5,),J311)/K311)</f>
        <v>3.0613739563497879</v>
      </c>
      <c r="N311" s="165">
        <f ca="1">IF(J311="","",(INDEX(OFFSET(Arb!$U$2,,,Arb!$AJ$5,),J311)+INDEX(OFFSET(Arb!$V$2,,,Arb!$AJ$5,),J311))/K311)</f>
        <v>3.368976124212685</v>
      </c>
      <c r="O311" s="51">
        <f t="shared" ca="1" si="106"/>
        <v>55.999754759357252</v>
      </c>
      <c r="P311" s="91">
        <f ca="1">IF(J311="","",DATE(INDEX(OFFSET(Arb!$C$2,,,Arb!$AJ$5,),J311),INDEX(OFFSET(Arb!$B$2,,,Arb!$AJ$5,),J311),INDEX(OFFSET(Arb!$A$2,,,Arb!$AJ$5,),J311))+ROW()*0.001)</f>
        <v>44096.311000000002</v>
      </c>
      <c r="Q311" s="442">
        <v>169</v>
      </c>
      <c r="R311" s="1">
        <v>3106</v>
      </c>
      <c r="S311" s="52">
        <f ca="1">IF(R311="","",INDEX(OFFSET(Arb!$H$2,,,Arb!$AJ$5,),R311))</f>
        <v>69.540000000000006</v>
      </c>
      <c r="T311" s="3">
        <f t="shared" ca="1" si="97"/>
        <v>2.4302559677883231</v>
      </c>
      <c r="U311" s="165">
        <f ca="1">IF(R311="","",INDEX(OFFSET(Arb!$X$2,,,Arb!$AJ$5,),R311)/S311)</f>
        <v>3.0198446937014665</v>
      </c>
      <c r="V311" s="165">
        <f ca="1">IF(R311="","",(INDEX(OFFSET(Arb!$U$2,,,Arb!$AJ$5,),R311)+INDEX(OFFSET(Arb!$V$2,,,Arb!$AJ$5,),R311))/S311)</f>
        <v>3.4081104400345121</v>
      </c>
      <c r="W311" s="51">
        <f t="shared" ca="1" si="107"/>
        <v>54.2722707910766</v>
      </c>
      <c r="X311" s="88">
        <f ca="1">IF(R311="","",DATE(INDEX(OFFSET(Arb!$C$2,,,Arb!$AJ$5,),R311),INDEX(OFFSET(Arb!$B$2,,,Arb!$AJ$5,),R311),INDEX(OFFSET(Arb!$A$2,,,Arb!$AJ$5,),R311))+ROW()*0.001)</f>
        <v>44006.311000000002</v>
      </c>
      <c r="Y311" s="436">
        <v>169</v>
      </c>
      <c r="Z311" s="1">
        <v>3216</v>
      </c>
      <c r="AA311" s="52">
        <f ca="1">IF(Z311="","",INDEX(OFFSET(Arb!$H$2,,,Arb!$AJ$5,),Z311))</f>
        <v>70.760000000000005</v>
      </c>
      <c r="AB311" s="3">
        <f t="shared" ca="1" si="98"/>
        <v>2.3883550028264553</v>
      </c>
      <c r="AC311" s="165">
        <f ca="1">IF(Z311="","",INDEX(OFFSET(Arb!$X$2,,,Arb!$AJ$5,),Z311)/AA311)</f>
        <v>2.8405879027699261</v>
      </c>
      <c r="AD311" s="165">
        <f ca="1">IF(Z311="","",(INDEX(OFFSET(Arb!$U$2,,,Arb!$AJ$5,),Z311)+INDEX(OFFSET(Arb!$V$2,,,Arb!$AJ$5,),Z311))/AA311)</f>
        <v>3.1514980214810624</v>
      </c>
      <c r="AE311" s="51">
        <f t="shared" ca="1" si="108"/>
        <v>52.691147750487808</v>
      </c>
      <c r="AF311" s="91">
        <f ca="1">IF(Z311="","",DATE(INDEX(OFFSET(Arb!$C$2,,,Arb!$AJ$5,),Z311),INDEX(OFFSET(Arb!$B$2,,,Arb!$AJ$5,),Z311),INDEX(OFFSET(Arb!$A$2,,,Arb!$AJ$5,),Z311))+ROW()*0.001)</f>
        <v>44059.311000000002</v>
      </c>
      <c r="AG311" s="442">
        <v>169</v>
      </c>
      <c r="AH311" s="1">
        <v>2982</v>
      </c>
      <c r="AI311" s="52">
        <f ca="1">IF(AH311="","",INDEX(OFFSET(Arb!$H$2,,,Arb!$AJ$5,),AH311))</f>
        <v>72.680000000000007</v>
      </c>
      <c r="AJ311" s="3">
        <f t="shared" ca="1" si="99"/>
        <v>2.3252614199229495</v>
      </c>
      <c r="AK311" s="165">
        <f ca="1">IF(AH311="","",INDEX(OFFSET(Arb!$X$2,,,Arb!$AJ$5,),AH311)/AI311)</f>
        <v>2.6417171161254811</v>
      </c>
      <c r="AL311" s="165">
        <f ca="1">IF(AH311="","",(INDEX(OFFSET(Arb!$U$2,,,Arb!$AJ$5,),AH311)+INDEX(OFFSET(Arb!$V$2,,,Arb!$AJ$5,),AH311))/AI311)</f>
        <v>2.9168959823885521</v>
      </c>
      <c r="AM311" s="51">
        <f t="shared" ca="1" si="109"/>
        <v>50.346768222694877</v>
      </c>
      <c r="AN311" s="88">
        <f ca="1">IF(AH311="","",DATE(INDEX(OFFSET(Arb!$C$2,,,Arb!$AJ$5,),AH311),INDEX(OFFSET(Arb!$B$2,,,Arb!$AJ$5,),AH311),INDEX(OFFSET(Arb!$A$2,,,Arb!$AJ$5,),AH311))+ROW()*0.001)</f>
        <v>43956.311000000002</v>
      </c>
      <c r="AO311" s="436">
        <v>169</v>
      </c>
      <c r="AP311" s="1">
        <v>2689</v>
      </c>
      <c r="AQ311" s="52">
        <f ca="1">IF(AP311="","",INDEX(OFFSET(Arb!$H$2,,,Arb!$AJ$5,),AP311))</f>
        <v>74.739999999999995</v>
      </c>
      <c r="AR311" s="3">
        <f t="shared" ca="1" si="100"/>
        <v>2.2611720631522614</v>
      </c>
      <c r="AS311" s="165">
        <f ca="1">IF(AP311="","",INDEX(OFFSET(Arb!$X$2,,,Arb!$AJ$5,),AP311)/AQ311)</f>
        <v>2.7160824190527162</v>
      </c>
      <c r="AT311" s="165">
        <f ca="1">IF(AP311="","",(INDEX(OFFSET(Arb!$U$2,,,Arb!$AJ$5,),AP311)+INDEX(OFFSET(Arb!$V$2,,,Arb!$AJ$5,),AP311))/AQ311)</f>
        <v>3.0639550441530643</v>
      </c>
      <c r="AU311" s="51">
        <f t="shared" ca="1" si="110"/>
        <v>48.010552186319231</v>
      </c>
      <c r="AV311" s="91">
        <f ca="1">IF(AP311="","",DATE(INDEX(OFFSET(Arb!$C$2,,,Arb!$AJ$5,),AP311),INDEX(OFFSET(Arb!$B$2,,,Arb!$AJ$5,),AP311),INDEX(OFFSET(Arb!$A$2,,,Arb!$AJ$5,),AP311))+ROW()*0.001)</f>
        <v>43838.311000000002</v>
      </c>
      <c r="AW311" s="442">
        <v>169</v>
      </c>
      <c r="AX311" s="1">
        <v>2619</v>
      </c>
      <c r="AY311" s="52">
        <f ca="1">IF(AX311="","",INDEX(OFFSET(Arb!$H$2,,,Arb!$AJ$5,),AX311))</f>
        <v>74.849999999999994</v>
      </c>
      <c r="AZ311" s="3">
        <f t="shared" ca="1" si="101"/>
        <v>2.2578490313961259</v>
      </c>
      <c r="BA311" s="165">
        <f ca="1">IF(AX311="","",INDEX(OFFSET(Arb!$X$2,,,Arb!$AJ$5,),AX311)/AY311)</f>
        <v>2.7788911155644627</v>
      </c>
      <c r="BB311" s="165">
        <f ca="1">IF(AX311="","",(INDEX(OFFSET(Arb!$U$2,,,Arb!$AJ$5,),AX311)+INDEX(OFFSET(Arb!$V$2,,,Arb!$AJ$5,),AX311))/AY311)</f>
        <v>3.1930527722110891</v>
      </c>
      <c r="BC311" s="51">
        <f t="shared" ca="1" si="111"/>
        <v>47.890667688643013</v>
      </c>
      <c r="BD311" s="88">
        <f ca="1">IF(AX311="","",DATE(INDEX(OFFSET(Arb!$C$2,,,Arb!$AJ$5,),AX311),INDEX(OFFSET(Arb!$B$2,,,Arb!$AJ$5,),AX311),INDEX(OFFSET(Arb!$A$2,,,Arb!$AJ$5,),AX311))+ROW()*0.001)</f>
        <v>43813.311000000002</v>
      </c>
      <c r="BE311" s="436">
        <v>169</v>
      </c>
      <c r="BF311" s="1">
        <v>3087</v>
      </c>
      <c r="BG311" s="52">
        <f ca="1">IF(BF311="","",INDEX(OFFSET(Arb!$H$2,,,Arb!$AJ$5,),BF311))</f>
        <v>75.180000000000007</v>
      </c>
      <c r="BH311" s="3">
        <f t="shared" ca="1" si="102"/>
        <v>2.2479382814578344</v>
      </c>
      <c r="BI311" s="165">
        <f ca="1">IF(BF311="","",INDEX(OFFSET(Arb!$X$2,,,Arb!$AJ$5,),BF311)/BG311)</f>
        <v>2.8332003192338386</v>
      </c>
      <c r="BJ311" s="165">
        <f ca="1">IF(BF311="","",(INDEX(OFFSET(Arb!$U$2,,,Arb!$AJ$5,),BF311)+INDEX(OFFSET(Arb!$V$2,,,Arb!$AJ$5,),BF311))/BG311)</f>
        <v>3.2455440276669325</v>
      </c>
      <c r="BK311" s="51">
        <f t="shared" ca="1" si="112"/>
        <v>47.533852434218311</v>
      </c>
      <c r="BL311" s="91">
        <f ca="1">IF(BF311="","",DATE(INDEX(OFFSET(Arb!$C$2,,,Arb!$AJ$5,),BF311),INDEX(OFFSET(Arb!$B$2,,,Arb!$AJ$5,),BF311),INDEX(OFFSET(Arb!$A$2,,,Arb!$AJ$5,),BF311))+ROW()*0.001)</f>
        <v>44003.311000000002</v>
      </c>
      <c r="BM311" s="442">
        <v>169</v>
      </c>
      <c r="BN311" s="1">
        <v>3379</v>
      </c>
      <c r="BO311" s="52">
        <f ca="1">IF(BN311="","",INDEX(OFFSET(Arb!$H$2,,,Arb!$AJ$5,),BN311))</f>
        <v>75.58</v>
      </c>
      <c r="BP311" s="3">
        <f t="shared" ca="1" si="103"/>
        <v>2.2360412807621066</v>
      </c>
      <c r="BQ311" s="165">
        <f ca="1">IF(BN311="","",INDEX(OFFSET(Arb!$X$2,,,Arb!$AJ$5,),BN311)/BO311)</f>
        <v>2.4080444562053454</v>
      </c>
      <c r="BR311" s="165">
        <f ca="1">IF(BN311="","",(INDEX(OFFSET(Arb!$U$2,,,Arb!$AJ$5,),BN311)+INDEX(OFFSET(Arb!$V$2,,,Arb!$AJ$5,),BN311))/BO311)</f>
        <v>3.0166710770044984</v>
      </c>
      <c r="BS311" s="51">
        <f t="shared" ca="1" si="113"/>
        <v>47.106978729138063</v>
      </c>
      <c r="BT311" s="88">
        <f ca="1">IF(BN311="","",DATE(INDEX(OFFSET(Arb!$C$2,,,Arb!$AJ$5,),BN311),INDEX(OFFSET(Arb!$B$2,,,Arb!$AJ$5,),BN311),INDEX(OFFSET(Arb!$A$2,,,Arb!$AJ$5,),BN311))+ROW()*0.001)</f>
        <v>44133.311000000002</v>
      </c>
      <c r="BU311" s="436">
        <v>169</v>
      </c>
      <c r="BV311" s="1">
        <v>2580</v>
      </c>
      <c r="BW311" s="52">
        <f ca="1">IF(BV311="","",INDEX(OFFSET(Arb!$H$2,,,Arb!$AJ$5,),BV311))</f>
        <v>77.260000000000005</v>
      </c>
      <c r="BX311" s="3">
        <f t="shared" ca="1" si="104"/>
        <v>2.1874191043230646</v>
      </c>
      <c r="BY311" s="165">
        <f ca="1">IF(BV311="","",INDEX(OFFSET(Arb!$X$2,,,Arb!$AJ$5,),BV311)/BW311)</f>
        <v>2.4721718871343512</v>
      </c>
      <c r="BZ311" s="165">
        <f ca="1">IF(BV311="","",(INDEX(OFFSET(Arb!$U$2,,,Arb!$AJ$5,),BV311)+INDEX(OFFSET(Arb!$V$2,,,Arb!$AJ$5,),BV311))/BW311)</f>
        <v>2.7569246699456378</v>
      </c>
      <c r="CA311" s="51">
        <f t="shared" ca="1" si="114"/>
        <v>45.378899920593597</v>
      </c>
      <c r="CB311" s="91">
        <f ca="1">IF(BV311="","",DATE(INDEX(OFFSET(Arb!$C$2,,,Arb!$AJ$5,),BV311),INDEX(OFFSET(Arb!$B$2,,,Arb!$AJ$5,),BV311),INDEX(OFFSET(Arb!$A$2,,,Arb!$AJ$5,),BV311))+ROW()*0.001)</f>
        <v>43804.311000000002</v>
      </c>
    </row>
    <row r="312" spans="1:80" x14ac:dyDescent="0.25">
      <c r="A312" s="433">
        <v>170</v>
      </c>
      <c r="B312" s="1">
        <v>3149</v>
      </c>
      <c r="C312" s="52">
        <f ca="1">IF(B312="","",INDEX(OFFSET(Arb!$H$2,,,Arb!$AJ$5,),B312))</f>
        <v>65.13</v>
      </c>
      <c r="D312" s="3">
        <f t="shared" ca="1" si="95"/>
        <v>2.6101642868109938</v>
      </c>
      <c r="E312" s="165">
        <f ca="1">IF(B312="","",INDEX(OFFSET(Arb!$X$2,,,Arb!$AJ$5,),B312)/C312)</f>
        <v>2.9325963457699986</v>
      </c>
      <c r="F312" s="165">
        <f ca="1">IF(B312="","",(INDEX(OFFSET(Arb!$U$2,,,Arb!$AJ$5,),B312)+INDEX(OFFSET(Arb!$V$2,,,Arb!$AJ$5,),B312))/C312)</f>
        <v>3.1936127744510978</v>
      </c>
      <c r="G312" s="51">
        <f t="shared" ca="1" si="105"/>
        <v>61.025499635611723</v>
      </c>
      <c r="H312" s="355">
        <f ca="1">IF(B312="","",DATE(INDEX(OFFSET(Arb!$C$2,,,Arb!$AJ$5,),B312),INDEX(OFFSET(Arb!$B$2,,,Arb!$AJ$5,),B312),INDEX(OFFSET(Arb!$A$2,,,Arb!$AJ$5,),B312))+ROW()*0.001)</f>
        <v>44028.311999999998</v>
      </c>
      <c r="I312" s="436">
        <v>170</v>
      </c>
      <c r="J312" s="1">
        <v>3208</v>
      </c>
      <c r="K312" s="52">
        <f ca="1">IF(J312="","",INDEX(OFFSET(Arb!$H$2,,,Arb!$AJ$5,),J312))</f>
        <v>67.31</v>
      </c>
      <c r="L312" s="3">
        <f t="shared" ca="1" si="96"/>
        <v>2.5256276927648194</v>
      </c>
      <c r="M312" s="165">
        <f ca="1">IF(J312="","",INDEX(OFFSET(Arb!$X$2,,,Arb!$AJ$5,),J312)/K312)</f>
        <v>2.8673302629624127</v>
      </c>
      <c r="N312" s="165">
        <f ca="1">IF(J312="","",(INDEX(OFFSET(Arb!$U$2,,,Arb!$AJ$5,),J312)+INDEX(OFFSET(Arb!$V$2,,,Arb!$AJ$5,),J312))/K312)</f>
        <v>3.0901797652651908</v>
      </c>
      <c r="O312" s="51">
        <f t="shared" ca="1" si="106"/>
        <v>57.703728096337173</v>
      </c>
      <c r="P312" s="91">
        <f ca="1">IF(J312="","",DATE(INDEX(OFFSET(Arb!$C$2,,,Arb!$AJ$5,),J312),INDEX(OFFSET(Arb!$B$2,,,Arb!$AJ$5,),J312),INDEX(OFFSET(Arb!$A$2,,,Arb!$AJ$5,),J312))+ROW()*0.001)</f>
        <v>44059.311999999998</v>
      </c>
      <c r="Q312" s="442">
        <v>170</v>
      </c>
      <c r="R312" s="1">
        <v>3273</v>
      </c>
      <c r="S312" s="52">
        <f ca="1">IF(R312="","",INDEX(OFFSET(Arb!$H$2,,,Arb!$AJ$5,),R312))</f>
        <v>68.34</v>
      </c>
      <c r="T312" s="3">
        <f t="shared" ca="1" si="97"/>
        <v>2.4875621890547261</v>
      </c>
      <c r="U312" s="165">
        <f ca="1">IF(R312="","",INDEX(OFFSET(Arb!$X$2,,,Arb!$AJ$5,),R312)/S312)</f>
        <v>2.9850746268656714</v>
      </c>
      <c r="V312" s="165">
        <f ca="1">IF(R312="","",(INDEX(OFFSET(Arb!$U$2,,,Arb!$AJ$5,),R312)+INDEX(OFFSET(Arb!$V$2,,,Arb!$AJ$5,),R312))/S312)</f>
        <v>3.1899326894937077</v>
      </c>
      <c r="W312" s="51">
        <f t="shared" ca="1" si="107"/>
        <v>56.233060418722502</v>
      </c>
      <c r="X312" s="88">
        <f ca="1">IF(R312="","",DATE(INDEX(OFFSET(Arb!$C$2,,,Arb!$AJ$5,),R312),INDEX(OFFSET(Arb!$B$2,,,Arb!$AJ$5,),R312),INDEX(OFFSET(Arb!$A$2,,,Arb!$AJ$5,),R312))+ROW()*0.001)</f>
        <v>44075.311999999998</v>
      </c>
      <c r="Y312" s="436">
        <v>170</v>
      </c>
      <c r="Z312" s="1">
        <v>3309</v>
      </c>
      <c r="AA312" s="52">
        <f ca="1">IF(Z312="","",INDEX(OFFSET(Arb!$H$2,,,Arb!$AJ$5,),Z312))</f>
        <v>68.41</v>
      </c>
      <c r="AB312" s="3">
        <f t="shared" ca="1" si="98"/>
        <v>2.4850168104078354</v>
      </c>
      <c r="AC312" s="165">
        <f ca="1">IF(Z312="","",INDEX(OFFSET(Arb!$X$2,,,Arb!$AJ$5,),Z312)/AA312)</f>
        <v>3.1281976319251572</v>
      </c>
      <c r="AD312" s="165">
        <f ca="1">IF(Z312="","",(INDEX(OFFSET(Arb!$U$2,,,Arb!$AJ$5,),Z312)+INDEX(OFFSET(Arb!$V$2,,,Arb!$AJ$5,),Z312))/AA312)</f>
        <v>3.4497880426838181</v>
      </c>
      <c r="AE312" s="51">
        <f t="shared" ca="1" si="108"/>
        <v>56.135277384052124</v>
      </c>
      <c r="AF312" s="91">
        <f ca="1">IF(Z312="","",DATE(INDEX(OFFSET(Arb!$C$2,,,Arb!$AJ$5,),Z312),INDEX(OFFSET(Arb!$B$2,,,Arb!$AJ$5,),Z312),INDEX(OFFSET(Arb!$A$2,,,Arb!$AJ$5,),Z312))+ROW()*0.001)</f>
        <v>44092.311999999998</v>
      </c>
      <c r="AG312" s="442">
        <v>170</v>
      </c>
      <c r="AH312" s="1">
        <v>2995</v>
      </c>
      <c r="AI312" s="52">
        <f ca="1">IF(AH312="","",INDEX(OFFSET(Arb!$H$2,,,Arb!$AJ$5,),AH312))</f>
        <v>72.569999999999993</v>
      </c>
      <c r="AJ312" s="3">
        <f t="shared" ca="1" si="99"/>
        <v>2.3425657985393413</v>
      </c>
      <c r="AK312" s="165">
        <f ca="1">IF(AH312="","",INDEX(OFFSET(Arb!$X$2,,,Arb!$AJ$5,),AH312)/AI312)</f>
        <v>2.6043819760231504</v>
      </c>
      <c r="AL312" s="165">
        <f ca="1">IF(AH312="","",(INDEX(OFFSET(Arb!$U$2,,,Arb!$AJ$5,),AH312)+INDEX(OFFSET(Arb!$V$2,,,Arb!$AJ$5,),AH312))/AI312)</f>
        <v>2.8248587570621471</v>
      </c>
      <c r="AM312" s="51">
        <f t="shared" ca="1" si="109"/>
        <v>50.775249657600064</v>
      </c>
      <c r="AN312" s="88">
        <f ca="1">IF(AH312="","",DATE(INDEX(OFFSET(Arb!$C$2,,,Arb!$AJ$5,),AH312),INDEX(OFFSET(Arb!$B$2,,,Arb!$AJ$5,),AH312),INDEX(OFFSET(Arb!$A$2,,,Arb!$AJ$5,),AH312))+ROW()*0.001)</f>
        <v>43957.311999999998</v>
      </c>
      <c r="AO312" s="436">
        <v>170</v>
      </c>
      <c r="AP312" s="1">
        <v>3127</v>
      </c>
      <c r="AQ312" s="52">
        <f ca="1">IF(AP312="","",INDEX(OFFSET(Arb!$H$2,,,Arb!$AJ$5,),AP312))</f>
        <v>73.03</v>
      </c>
      <c r="AR312" s="3">
        <f t="shared" ca="1" si="100"/>
        <v>2.3278104888402025</v>
      </c>
      <c r="AS312" s="165">
        <f ca="1">IF(AP312="","",INDEX(OFFSET(Arb!$X$2,,,Arb!$AJ$5,),AP312)/AQ312)</f>
        <v>2.8755306038614266</v>
      </c>
      <c r="AT312" s="165">
        <f ca="1">IF(AP312="","",(INDEX(OFFSET(Arb!$U$2,,,Arb!$AJ$5,),AP312)+INDEX(OFFSET(Arb!$V$2,,,Arb!$AJ$5,),AP312))/AQ312)</f>
        <v>3.286320690127345</v>
      </c>
      <c r="AU312" s="51">
        <f t="shared" ca="1" si="110"/>
        <v>50.232751305581765</v>
      </c>
      <c r="AV312" s="91">
        <f ca="1">IF(AP312="","",DATE(INDEX(OFFSET(Arb!$C$2,,,Arb!$AJ$5,),AP312),INDEX(OFFSET(Arb!$B$2,,,Arb!$AJ$5,),AP312),INDEX(OFFSET(Arb!$A$2,,,Arb!$AJ$5,),AP312))+ROW()*0.001)</f>
        <v>44014.311999999998</v>
      </c>
      <c r="AW312" s="442">
        <v>170</v>
      </c>
      <c r="AX312" s="1">
        <v>3135</v>
      </c>
      <c r="AY312" s="52">
        <f ca="1">IF(AX312="","",INDEX(OFFSET(Arb!$H$2,,,Arb!$AJ$5,),AX312))</f>
        <v>73.13</v>
      </c>
      <c r="AZ312" s="3">
        <f t="shared" ca="1" si="101"/>
        <v>2.3246273759059211</v>
      </c>
      <c r="BA312" s="165">
        <f ca="1">IF(AX312="","",INDEX(OFFSET(Arb!$X$2,,,Arb!$AJ$5,),AX312)/AY312)</f>
        <v>2.8579242444961031</v>
      </c>
      <c r="BB312" s="165">
        <f ca="1">IF(AX312="","",(INDEX(OFFSET(Arb!$U$2,,,Arb!$AJ$5,),AX312)+INDEX(OFFSET(Arb!$V$2,,,Arb!$AJ$5,),AX312))/AY312)</f>
        <v>3.1314098181320937</v>
      </c>
      <c r="BC312" s="51">
        <f t="shared" ca="1" si="111"/>
        <v>50.116034771631043</v>
      </c>
      <c r="BD312" s="88">
        <f ca="1">IF(AX312="","",DATE(INDEX(OFFSET(Arb!$C$2,,,Arb!$AJ$5,),AX312),INDEX(OFFSET(Arb!$B$2,,,Arb!$AJ$5,),AX312),INDEX(OFFSET(Arb!$A$2,,,Arb!$AJ$5,),AX312))+ROW()*0.001)</f>
        <v>44020.311999999998</v>
      </c>
      <c r="BE312" s="436">
        <v>170</v>
      </c>
      <c r="BF312" s="1">
        <v>3166</v>
      </c>
      <c r="BG312" s="52">
        <f ca="1">IF(BF312="","",INDEX(OFFSET(Arb!$H$2,,,Arb!$AJ$5,),BF312))</f>
        <v>74.099999999999994</v>
      </c>
      <c r="BH312" s="3">
        <f t="shared" ca="1" si="102"/>
        <v>2.2941970310391366</v>
      </c>
      <c r="BI312" s="165">
        <f ca="1">IF(BF312="","",INDEX(OFFSET(Arb!$X$2,,,Arb!$AJ$5,),BF312)/BG312)</f>
        <v>2.834008097165992</v>
      </c>
      <c r="BJ312" s="165">
        <f ca="1">IF(BF312="","",(INDEX(OFFSET(Arb!$U$2,,,Arb!$AJ$5,),BF312)+INDEX(OFFSET(Arb!$V$2,,,Arb!$AJ$5,),BF312))/BG312)</f>
        <v>3.1983805668016196</v>
      </c>
      <c r="BK312" s="51">
        <f t="shared" ca="1" si="112"/>
        <v>49.005883487366624</v>
      </c>
      <c r="BL312" s="91">
        <f ca="1">IF(BF312="","",DATE(INDEX(OFFSET(Arb!$C$2,,,Arb!$AJ$5,),BF312),INDEX(OFFSET(Arb!$B$2,,,Arb!$AJ$5,),BF312),INDEX(OFFSET(Arb!$A$2,,,Arb!$AJ$5,),BF312))+ROW()*0.001)</f>
        <v>44032.311999999998</v>
      </c>
      <c r="BM312" s="442">
        <v>170</v>
      </c>
      <c r="BN312" s="1">
        <v>3427</v>
      </c>
      <c r="BO312" s="52">
        <f ca="1">IF(BN312="","",INDEX(OFFSET(Arb!$H$2,,,Arb!$AJ$5,),BN312))</f>
        <v>74.209999999999994</v>
      </c>
      <c r="BP312" s="3">
        <f t="shared" ca="1" si="103"/>
        <v>2.2907963886268701</v>
      </c>
      <c r="BQ312" s="165">
        <f ca="1">IF(BN312="","",INDEX(OFFSET(Arb!$X$2,,,Arb!$AJ$5,),BN312)/BO312)</f>
        <v>2.4255491173696271</v>
      </c>
      <c r="BR312" s="165">
        <f ca="1">IF(BN312="","",(INDEX(OFFSET(Arb!$U$2,,,Arb!$AJ$5,),BN312)+INDEX(OFFSET(Arb!$V$2,,,Arb!$AJ$5,),BN312))/BO312)</f>
        <v>2.7489556663522436</v>
      </c>
      <c r="BS312" s="51">
        <f t="shared" ca="1" si="113"/>
        <v>48.882458811579518</v>
      </c>
      <c r="BT312" s="88">
        <f ca="1">IF(BN312="","",DATE(INDEX(OFFSET(Arb!$C$2,,,Arb!$AJ$5,),BN312),INDEX(OFFSET(Arb!$B$2,,,Arb!$AJ$5,),BN312),INDEX(OFFSET(Arb!$A$2,,,Arb!$AJ$5,),BN312))+ROW()*0.001)</f>
        <v>44150.311999999998</v>
      </c>
      <c r="BU312" s="436">
        <v>170</v>
      </c>
      <c r="BV312" s="1">
        <v>3118</v>
      </c>
      <c r="BW312" s="52">
        <f ca="1">IF(BV312="","",INDEX(OFFSET(Arb!$H$2,,,Arb!$AJ$5,),BV312))</f>
        <v>74.44</v>
      </c>
      <c r="BX312" s="3">
        <f t="shared" ca="1" si="104"/>
        <v>2.2837184309511018</v>
      </c>
      <c r="BY312" s="165">
        <f ca="1">IF(BV312="","",INDEX(OFFSET(Arb!$X$2,,,Arb!$AJ$5,),BV312)/BW312)</f>
        <v>2.7001612036539497</v>
      </c>
      <c r="BZ312" s="165">
        <f ca="1">IF(BV312="","",(INDEX(OFFSET(Arb!$U$2,,,Arb!$AJ$5,),BV312)+INDEX(OFFSET(Arb!$V$2,,,Arb!$AJ$5,),BV312))/BW312)</f>
        <v>2.9150994089199358</v>
      </c>
      <c r="CA312" s="51">
        <f t="shared" ca="1" si="114"/>
        <v>48.625978881302537</v>
      </c>
      <c r="CB312" s="91">
        <f ca="1">IF(BV312="","",DATE(INDEX(OFFSET(Arb!$C$2,,,Arb!$AJ$5,),BV312),INDEX(OFFSET(Arb!$B$2,,,Arb!$AJ$5,),BV312),INDEX(OFFSET(Arb!$A$2,,,Arb!$AJ$5,),BV312))+ROW()*0.001)</f>
        <v>44013.311999999998</v>
      </c>
    </row>
    <row r="313" spans="1:80" x14ac:dyDescent="0.25">
      <c r="A313" s="433">
        <v>171</v>
      </c>
      <c r="B313" s="1">
        <v>3211</v>
      </c>
      <c r="C313" s="52">
        <f ca="1">IF(B313="","",INDEX(OFFSET(Arb!$H$2,,,Arb!$AJ$5,),B313))</f>
        <v>65.650000000000006</v>
      </c>
      <c r="D313" s="3">
        <f t="shared" ca="1" si="95"/>
        <v>2.6047220106626043</v>
      </c>
      <c r="E313" s="165">
        <f ca="1">IF(B313="","",INDEX(OFFSET(Arb!$X$2,,,Arb!$AJ$5,),B313)/C313)</f>
        <v>3.3054074638233053</v>
      </c>
      <c r="F313" s="165">
        <f ca="1">IF(B313="","",(INDEX(OFFSET(Arb!$U$2,,,Arb!$AJ$5,),B313)+INDEX(OFFSET(Arb!$V$2,,,Arb!$AJ$5,),B313))/C313)</f>
        <v>3.6557501904036553</v>
      </c>
      <c r="G313" s="51">
        <f t="shared" ca="1" si="105"/>
        <v>60.560203241948656</v>
      </c>
      <c r="H313" s="355">
        <f ca="1">IF(B313="","",DATE(INDEX(OFFSET(Arb!$C$2,,,Arb!$AJ$5,),B313),INDEX(OFFSET(Arb!$B$2,,,Arb!$AJ$5,),B313),INDEX(OFFSET(Arb!$A$2,,,Arb!$AJ$5,),B313))+ROW()*0.001)</f>
        <v>44059.313000000002</v>
      </c>
      <c r="I313" s="436">
        <v>171</v>
      </c>
      <c r="J313" s="1">
        <v>3286</v>
      </c>
      <c r="K313" s="52">
        <f ca="1">IF(J313="","",INDEX(OFFSET(Arb!$H$2,,,Arb!$AJ$5,),J313))</f>
        <v>67.95</v>
      </c>
      <c r="L313" s="3">
        <f t="shared" ca="1" si="96"/>
        <v>2.5165562913907285</v>
      </c>
      <c r="M313" s="165">
        <f ca="1">IF(J313="","",INDEX(OFFSET(Arb!$X$2,,,Arb!$AJ$5,),J313)/K313)</f>
        <v>2.9286239882266369</v>
      </c>
      <c r="N313" s="165">
        <f ca="1">IF(J313="","",(INDEX(OFFSET(Arb!$U$2,,,Arb!$AJ$5,),J313)+INDEX(OFFSET(Arb!$V$2,,,Arb!$AJ$5,),J313))/K313)</f>
        <v>3.252391464311994</v>
      </c>
      <c r="O313" s="51">
        <f t="shared" ca="1" si="106"/>
        <v>57.116854453530401</v>
      </c>
      <c r="P313" s="91">
        <f ca="1">IF(J313="","",DATE(INDEX(OFFSET(Arb!$C$2,,,Arb!$AJ$5,),J313),INDEX(OFFSET(Arb!$B$2,,,Arb!$AJ$5,),J313),INDEX(OFFSET(Arb!$A$2,,,Arb!$AJ$5,),J313))+ROW()*0.001)</f>
        <v>44084.313000000002</v>
      </c>
      <c r="Q313" s="442">
        <v>171</v>
      </c>
      <c r="R313" s="1">
        <v>3329</v>
      </c>
      <c r="S313" s="52">
        <f ca="1">IF(R313="","",INDEX(OFFSET(Arb!$H$2,,,Arb!$AJ$5,),R313))</f>
        <v>68.11</v>
      </c>
      <c r="T313" s="3">
        <f t="shared" ca="1" si="97"/>
        <v>2.5106445455880193</v>
      </c>
      <c r="U313" s="165">
        <f ca="1">IF(R313="","",INDEX(OFFSET(Arb!$X$2,,,Arb!$AJ$5,),R313)/S313)</f>
        <v>3.0098370283365146</v>
      </c>
      <c r="V313" s="165">
        <f ca="1">IF(R313="","",(INDEX(OFFSET(Arb!$U$2,,,Arb!$AJ$5,),R313)+INDEX(OFFSET(Arb!$V$2,,,Arb!$AJ$5,),R313))/S313)</f>
        <v>3.28879753340185</v>
      </c>
      <c r="W313" s="51">
        <f t="shared" ca="1" si="107"/>
        <v>56.888943604961604</v>
      </c>
      <c r="X313" s="88">
        <f ca="1">IF(R313="","",DATE(INDEX(OFFSET(Arb!$C$2,,,Arb!$AJ$5,),R313),INDEX(OFFSET(Arb!$B$2,,,Arb!$AJ$5,),R313),INDEX(OFFSET(Arb!$A$2,,,Arb!$AJ$5,),R313))+ROW()*0.001)</f>
        <v>44096.313000000002</v>
      </c>
      <c r="Y313" s="436">
        <v>171</v>
      </c>
      <c r="Z313" s="1">
        <v>2916</v>
      </c>
      <c r="AA313" s="52">
        <f ca="1">IF(Z313="","",INDEX(OFFSET(Arb!$H$2,,,Arb!$AJ$5,),Z313))</f>
        <v>69.75</v>
      </c>
      <c r="AB313" s="3">
        <f t="shared" ca="1" si="98"/>
        <v>2.4516129032258065</v>
      </c>
      <c r="AC313" s="165">
        <f ca="1">IF(Z313="","",INDEX(OFFSET(Arb!$X$2,,,Arb!$AJ$5,),Z313)/AA313)</f>
        <v>2.838709677419355</v>
      </c>
      <c r="AD313" s="165">
        <f ca="1">IF(Z313="","",(INDEX(OFFSET(Arb!$U$2,,,Arb!$AJ$5,),Z313)+INDEX(OFFSET(Arb!$V$2,,,Arb!$AJ$5,),Z313))/AA313)</f>
        <v>3.1254480286738353</v>
      </c>
      <c r="AE313" s="51">
        <f t="shared" ca="1" si="108"/>
        <v>54.633774453667222</v>
      </c>
      <c r="AF313" s="91">
        <f ca="1">IF(Z313="","",DATE(INDEX(OFFSET(Arb!$C$2,,,Arb!$AJ$5,),Z313),INDEX(OFFSET(Arb!$B$2,,,Arb!$AJ$5,),Z313),INDEX(OFFSET(Arb!$A$2,,,Arb!$AJ$5,),Z313))+ROW()*0.001)</f>
        <v>43934.313000000002</v>
      </c>
      <c r="AG313" s="442">
        <v>171</v>
      </c>
      <c r="AH313" s="1">
        <v>3104</v>
      </c>
      <c r="AI313" s="52">
        <f ca="1">IF(AH313="","",INDEX(OFFSET(Arb!$H$2,,,Arb!$AJ$5,),AH313))</f>
        <v>69.98</v>
      </c>
      <c r="AJ313" s="3">
        <f t="shared" ca="1" si="99"/>
        <v>2.4435553015147184</v>
      </c>
      <c r="AK313" s="165">
        <f ca="1">IF(AH313="","",INDEX(OFFSET(Arb!$X$2,,,Arb!$AJ$5,),AH313)/AI313)</f>
        <v>2.9436981994855671</v>
      </c>
      <c r="AL313" s="165">
        <f ca="1">IF(AH313="","",(INDEX(OFFSET(Arb!$U$2,,,Arb!$AJ$5,),AH313)+INDEX(OFFSET(Arb!$V$2,,,Arb!$AJ$5,),AH313))/AI313)</f>
        <v>3.2580737353529576</v>
      </c>
      <c r="AM313" s="51">
        <f t="shared" ca="1" si="109"/>
        <v>54.328869843366355</v>
      </c>
      <c r="AN313" s="88">
        <f ca="1">IF(AH313="","",DATE(INDEX(OFFSET(Arb!$C$2,,,Arb!$AJ$5,),AH313),INDEX(OFFSET(Arb!$B$2,,,Arb!$AJ$5,),AH313),INDEX(OFFSET(Arb!$A$2,,,Arb!$AJ$5,),AH313))+ROW()*0.001)</f>
        <v>44005.313000000002</v>
      </c>
      <c r="AO313" s="436">
        <v>171</v>
      </c>
      <c r="AP313" s="1">
        <v>2421</v>
      </c>
      <c r="AQ313" s="52">
        <f ca="1">IF(AP313="","",INDEX(OFFSET(Arb!$H$2,,,Arb!$AJ$5,),AP313))</f>
        <v>73.33</v>
      </c>
      <c r="AR313" s="3">
        <f t="shared" ca="1" si="100"/>
        <v>2.3319241783717444</v>
      </c>
      <c r="AS313" s="165">
        <f ca="1">IF(AP313="","",INDEX(OFFSET(Arb!$X$2,,,Arb!$AJ$5,),AP313)/AQ313)</f>
        <v>2.7137597163507432</v>
      </c>
      <c r="AT313" s="165">
        <f ca="1">IF(AP313="","",(INDEX(OFFSET(Arb!$U$2,,,Arb!$AJ$5,),AP313)+INDEX(OFFSET(Arb!$V$2,,,Arb!$AJ$5,),AP313))/AQ313)</f>
        <v>3.0546843038319924</v>
      </c>
      <c r="AU313" s="51">
        <f t="shared" ca="1" si="110"/>
        <v>50.177324570135667</v>
      </c>
      <c r="AV313" s="91">
        <f ca="1">IF(AP313="","",DATE(INDEX(OFFSET(Arb!$C$2,,,Arb!$AJ$5,),AP313),INDEX(OFFSET(Arb!$B$2,,,Arb!$AJ$5,),AP313),INDEX(OFFSET(Arb!$A$2,,,Arb!$AJ$5,),AP313))+ROW()*0.001)</f>
        <v>43767.313000000002</v>
      </c>
      <c r="AW313" s="442">
        <v>171</v>
      </c>
      <c r="AX313" s="1">
        <v>2656</v>
      </c>
      <c r="AY313" s="52">
        <f ca="1">IF(AX313="","",INDEX(OFFSET(Arb!$H$2,,,Arb!$AJ$5,),AX313))</f>
        <v>73.78</v>
      </c>
      <c r="AZ313" s="3">
        <f t="shared" ca="1" si="101"/>
        <v>2.3177012740580101</v>
      </c>
      <c r="BA313" s="165">
        <f ca="1">IF(AX313="","",INDEX(OFFSET(Arb!$X$2,,,Arb!$AJ$5,),AX313)/AY313)</f>
        <v>2.6429926809433448</v>
      </c>
      <c r="BB313" s="165">
        <f ca="1">IF(AX313="","",(INDEX(OFFSET(Arb!$U$2,,,Arb!$AJ$5,),AX313)+INDEX(OFFSET(Arb!$V$2,,,Arb!$AJ$5,),AX313))/AY313)</f>
        <v>2.9140688533477905</v>
      </c>
      <c r="BC313" s="51">
        <f t="shared" ca="1" si="111"/>
        <v>49.658164087486384</v>
      </c>
      <c r="BD313" s="88">
        <f ca="1">IF(AX313="","",DATE(INDEX(OFFSET(Arb!$C$2,,,Arb!$AJ$5,),AX313),INDEX(OFFSET(Arb!$B$2,,,Arb!$AJ$5,),AX313),INDEX(OFFSET(Arb!$A$2,,,Arb!$AJ$5,),AX313))+ROW()*0.001)</f>
        <v>43820.313000000002</v>
      </c>
      <c r="BE313" s="436">
        <v>171</v>
      </c>
      <c r="BF313" s="1">
        <v>2877</v>
      </c>
      <c r="BG313" s="52">
        <f ca="1">IF(BF313="","",INDEX(OFFSET(Arb!$H$2,,,Arb!$AJ$5,),BF313))</f>
        <v>73.790000000000006</v>
      </c>
      <c r="BH313" s="3">
        <f t="shared" ca="1" si="102"/>
        <v>2.3173871798346659</v>
      </c>
      <c r="BI313" s="165">
        <f ca="1">IF(BF313="","",INDEX(OFFSET(Arb!$X$2,,,Arb!$AJ$5,),BF313)/BG313)</f>
        <v>2.6968423905678276</v>
      </c>
      <c r="BJ313" s="165">
        <f ca="1">IF(BF313="","",(INDEX(OFFSET(Arb!$U$2,,,Arb!$AJ$5,),BF313)+INDEX(OFFSET(Arb!$V$2,,,Arb!$AJ$5,),BF313))/BG313)</f>
        <v>3.0762976013009888</v>
      </c>
      <c r="BK313" s="51">
        <f t="shared" ca="1" si="112"/>
        <v>49.646724207455684</v>
      </c>
      <c r="BL313" s="91">
        <f ca="1">IF(BF313="","",DATE(INDEX(OFFSET(Arb!$C$2,,,Arb!$AJ$5,),BF313),INDEX(OFFSET(Arb!$B$2,,,Arb!$AJ$5,),BF313),INDEX(OFFSET(Arb!$A$2,,,Arb!$AJ$5,),BF313))+ROW()*0.001)</f>
        <v>43916.313000000002</v>
      </c>
      <c r="BM313" s="442">
        <v>171</v>
      </c>
      <c r="BN313" s="1">
        <v>2575</v>
      </c>
      <c r="BO313" s="52">
        <f ca="1">IF(BN313="","",INDEX(OFFSET(Arb!$H$2,,,Arb!$AJ$5,),BN313))</f>
        <v>74.55</v>
      </c>
      <c r="BP313" s="3">
        <f t="shared" ca="1" si="103"/>
        <v>2.2937625754527162</v>
      </c>
      <c r="BQ313" s="165">
        <f ca="1">IF(BN313="","",INDEX(OFFSET(Arb!$X$2,,,Arb!$AJ$5,),BN313)/BO313)</f>
        <v>2.8437290409121396</v>
      </c>
      <c r="BR313" s="165">
        <f ca="1">IF(BN313="","",(INDEX(OFFSET(Arb!$U$2,,,Arb!$AJ$5,),BN313)+INDEX(OFFSET(Arb!$V$2,,,Arb!$AJ$5,),BN313))/BO313)</f>
        <v>3.2595573440643864</v>
      </c>
      <c r="BS313" s="51">
        <f t="shared" ca="1" si="113"/>
        <v>48.789387326020368</v>
      </c>
      <c r="BT313" s="88">
        <f ca="1">IF(BN313="","",DATE(INDEX(OFFSET(Arb!$C$2,,,Arb!$AJ$5,),BN313),INDEX(OFFSET(Arb!$B$2,,,Arb!$AJ$5,),BN313),INDEX(OFFSET(Arb!$A$2,,,Arb!$AJ$5,),BN313))+ROW()*0.001)</f>
        <v>43801.313000000002</v>
      </c>
      <c r="BU313" s="436">
        <v>171</v>
      </c>
      <c r="BV313" s="1">
        <v>2933</v>
      </c>
      <c r="BW313" s="52">
        <f ca="1">IF(BV313="","",INDEX(OFFSET(Arb!$H$2,,,Arb!$AJ$5,),BV313))</f>
        <v>74.91</v>
      </c>
      <c r="BX313" s="3">
        <f t="shared" ca="1" si="104"/>
        <v>2.2827392871445737</v>
      </c>
      <c r="BY313" s="165">
        <f ca="1">IF(BV313="","",INDEX(OFFSET(Arb!$X$2,,,Arb!$AJ$5,),BV313)/BW313)</f>
        <v>2.8033640368442132</v>
      </c>
      <c r="BZ313" s="165">
        <f ca="1">IF(BV313="","",(INDEX(OFFSET(Arb!$U$2,,,Arb!$AJ$5,),BV313)+INDEX(OFFSET(Arb!$V$2,,,Arb!$AJ$5,),BV313))/BW313)</f>
        <v>3.1370978507542384</v>
      </c>
      <c r="CA313" s="51">
        <f t="shared" ca="1" si="114"/>
        <v>48.39145838055623</v>
      </c>
      <c r="CB313" s="91">
        <f ca="1">IF(BV313="","",DATE(INDEX(OFFSET(Arb!$C$2,,,Arb!$AJ$5,),BV313),INDEX(OFFSET(Arb!$B$2,,,Arb!$AJ$5,),BV313),INDEX(OFFSET(Arb!$A$2,,,Arb!$AJ$5,),BV313))+ROW()*0.001)</f>
        <v>43938.313000000002</v>
      </c>
    </row>
    <row r="314" spans="1:80" x14ac:dyDescent="0.25">
      <c r="A314" s="433">
        <v>172</v>
      </c>
      <c r="B314" s="1">
        <v>2809</v>
      </c>
      <c r="C314" s="52">
        <f ca="1">IF(B314="","",INDEX(OFFSET(Arb!$H$2,,,Arb!$AJ$5,),B314))</f>
        <v>68.849999999999994</v>
      </c>
      <c r="D314" s="3">
        <f t="shared" ca="1" si="95"/>
        <v>2.4981844589687729</v>
      </c>
      <c r="E314" s="165">
        <f ca="1">IF(B314="","",INDEX(OFFSET(Arb!$X$2,,,Arb!$AJ$5,),B314)/C314)</f>
        <v>3.0355846042120556</v>
      </c>
      <c r="F314" s="165">
        <f ca="1">IF(B314="","",(INDEX(OFFSET(Arb!$U$2,,,Arb!$AJ$5,),B314)+INDEX(OFFSET(Arb!$V$2,,,Arb!$AJ$5,),B314))/C314)</f>
        <v>3.3260711692084244</v>
      </c>
      <c r="G314" s="51">
        <f t="shared" ca="1" si="105"/>
        <v>56.180033835934481</v>
      </c>
      <c r="H314" s="355">
        <f ca="1">IF(B314="","",DATE(INDEX(OFFSET(Arb!$C$2,,,Arb!$AJ$5,),B314),INDEX(OFFSET(Arb!$B$2,,,Arb!$AJ$5,),B314),INDEX(OFFSET(Arb!$A$2,,,Arb!$AJ$5,),B314))+ROW()*0.001)</f>
        <v>43897.313999999998</v>
      </c>
      <c r="I314" s="436">
        <v>172</v>
      </c>
      <c r="J314" s="1">
        <v>2977</v>
      </c>
      <c r="K314" s="52">
        <f ca="1">IF(J314="","",INDEX(OFFSET(Arb!$H$2,,,Arb!$AJ$5,),J314))</f>
        <v>70.23</v>
      </c>
      <c r="L314" s="3">
        <f t="shared" ca="1" si="96"/>
        <v>2.4490958279937347</v>
      </c>
      <c r="M314" s="165">
        <f ca="1">IF(J314="","",INDEX(OFFSET(Arb!$X$2,,,Arb!$AJ$5,),J314)/K314)</f>
        <v>2.9901751388295597</v>
      </c>
      <c r="N314" s="165">
        <f ca="1">IF(J314="","",(INDEX(OFFSET(Arb!$U$2,,,Arb!$AJ$5,),J314)+INDEX(OFFSET(Arb!$V$2,,,Arb!$AJ$5,),J314))/K314)</f>
        <v>3.3319094404100809</v>
      </c>
      <c r="O314" s="51">
        <f t="shared" ca="1" si="106"/>
        <v>54.316298446759589</v>
      </c>
      <c r="P314" s="91">
        <f ca="1">IF(J314="","",DATE(INDEX(OFFSET(Arb!$C$2,,,Arb!$AJ$5,),J314),INDEX(OFFSET(Arb!$B$2,,,Arb!$AJ$5,),J314),INDEX(OFFSET(Arb!$A$2,,,Arb!$AJ$5,),J314))+ROW()*0.001)</f>
        <v>43955.313999999998</v>
      </c>
      <c r="Q314" s="442">
        <v>172</v>
      </c>
      <c r="R314" s="1">
        <v>3405</v>
      </c>
      <c r="S314" s="52">
        <f ca="1">IF(R314="","",INDEX(OFFSET(Arb!$H$2,,,Arb!$AJ$5,),R314))</f>
        <v>70.38</v>
      </c>
      <c r="T314" s="3">
        <f t="shared" ca="1" si="97"/>
        <v>2.4438761011651038</v>
      </c>
      <c r="U314" s="165">
        <f ca="1">IF(R314="","",INDEX(OFFSET(Arb!$X$2,,,Arb!$AJ$5,),R314)/S314)</f>
        <v>2.4865018471156581</v>
      </c>
      <c r="V314" s="165">
        <f ca="1">IF(R314="","",(INDEX(OFFSET(Arb!$U$2,,,Arb!$AJ$5,),R314)+INDEX(OFFSET(Arb!$V$2,,,Arb!$AJ$5,),R314))/S314)</f>
        <v>2.770673486786019</v>
      </c>
      <c r="W314" s="51">
        <f t="shared" ca="1" si="107"/>
        <v>54.119647097004361</v>
      </c>
      <c r="X314" s="88">
        <f ca="1">IF(R314="","",DATE(INDEX(OFFSET(Arb!$C$2,,,Arb!$AJ$5,),R314),INDEX(OFFSET(Arb!$B$2,,,Arb!$AJ$5,),R314),INDEX(OFFSET(Arb!$A$2,,,Arb!$AJ$5,),R314))+ROW()*0.001)</f>
        <v>44146.313999999998</v>
      </c>
      <c r="Y314" s="436">
        <v>172</v>
      </c>
      <c r="Z314" s="1">
        <v>2668</v>
      </c>
      <c r="AA314" s="52">
        <f ca="1">IF(Z314="","",INDEX(OFFSET(Arb!$H$2,,,Arb!$AJ$5,),Z314))</f>
        <v>71.62</v>
      </c>
      <c r="AB314" s="3">
        <f t="shared" ca="1" si="98"/>
        <v>2.4015638089919014</v>
      </c>
      <c r="AC314" s="165">
        <f ca="1">IF(Z314="","",INDEX(OFFSET(Arb!$X$2,,,Arb!$AJ$5,),Z314)/AA314)</f>
        <v>2.7087405752583074</v>
      </c>
      <c r="AD314" s="165">
        <f ca="1">IF(Z314="","",(INDEX(OFFSET(Arb!$U$2,,,Arb!$AJ$5,),Z314)+INDEX(OFFSET(Arb!$V$2,,,Arb!$AJ$5,),Z314))/AA314)</f>
        <v>3.0996928232337333</v>
      </c>
      <c r="AE314" s="51">
        <f t="shared" ca="1" si="108"/>
        <v>52.536406529969533</v>
      </c>
      <c r="AF314" s="91">
        <f ca="1">IF(Z314="","",DATE(INDEX(OFFSET(Arb!$C$2,,,Arb!$AJ$5,),Z314),INDEX(OFFSET(Arb!$B$2,,,Arb!$AJ$5,),Z314),INDEX(OFFSET(Arb!$A$2,,,Arb!$AJ$5,),Z314))+ROW()*0.001)</f>
        <v>43823.313999999998</v>
      </c>
      <c r="AG314" s="442">
        <v>172</v>
      </c>
      <c r="AH314" s="1">
        <v>3158</v>
      </c>
      <c r="AI314" s="52">
        <f ca="1">IF(AH314="","",INDEX(OFFSET(Arb!$H$2,,,Arb!$AJ$5,),AH314))</f>
        <v>73.09</v>
      </c>
      <c r="AJ314" s="3">
        <f t="shared" ca="1" si="99"/>
        <v>2.3532631002873168</v>
      </c>
      <c r="AK314" s="165">
        <f ca="1">IF(AH314="","",INDEX(OFFSET(Arb!$X$2,,,Arb!$AJ$5,),AH314)/AI314)</f>
        <v>2.886851826515255</v>
      </c>
      <c r="AL314" s="165">
        <f ca="1">IF(AH314="","",(INDEX(OFFSET(Arb!$U$2,,,Arb!$AJ$5,),AH314)+INDEX(OFFSET(Arb!$V$2,,,Arb!$AJ$5,),AH314))/AI314)</f>
        <v>3.187850595156656</v>
      </c>
      <c r="AM314" s="51">
        <f t="shared" ca="1" si="109"/>
        <v>50.752818702380317</v>
      </c>
      <c r="AN314" s="88">
        <f ca="1">IF(AH314="","",DATE(INDEX(OFFSET(Arb!$C$2,,,Arb!$AJ$5,),AH314),INDEX(OFFSET(Arb!$B$2,,,Arb!$AJ$5,),AH314),INDEX(OFFSET(Arb!$A$2,,,Arb!$AJ$5,),AH314))+ROW()*0.001)</f>
        <v>44029.313999999998</v>
      </c>
      <c r="AO314" s="436">
        <v>172</v>
      </c>
      <c r="AP314" s="1">
        <v>2789</v>
      </c>
      <c r="AQ314" s="52">
        <f ca="1">IF(AP314="","",INDEX(OFFSET(Arb!$H$2,,,Arb!$AJ$5,),AP314))</f>
        <v>73.87</v>
      </c>
      <c r="AR314" s="3">
        <f t="shared" ca="1" si="100"/>
        <v>2.3284147827264112</v>
      </c>
      <c r="AS314" s="165">
        <f ca="1">IF(AP314="","",INDEX(OFFSET(Arb!$X$2,,,Arb!$AJ$5,),AP314)/AQ314)</f>
        <v>2.7074590496818733</v>
      </c>
      <c r="AT314" s="165">
        <f ca="1">IF(AP314="","",(INDEX(OFFSET(Arb!$U$2,,,Arb!$AJ$5,),AP314)+INDEX(OFFSET(Arb!$V$2,,,Arb!$AJ$5,),AP314))/AQ314)</f>
        <v>3.0323541356436983</v>
      </c>
      <c r="AU314" s="51">
        <f t="shared" ca="1" si="110"/>
        <v>49.845153057098472</v>
      </c>
      <c r="AV314" s="91">
        <f ca="1">IF(AP314="","",DATE(INDEX(OFFSET(Arb!$C$2,,,Arb!$AJ$5,),AP314),INDEX(OFFSET(Arb!$B$2,,,Arb!$AJ$5,),AP314),INDEX(OFFSET(Arb!$A$2,,,Arb!$AJ$5,),AP314))+ROW()*0.001)</f>
        <v>43892.313999999998</v>
      </c>
      <c r="AW314" s="442">
        <v>172</v>
      </c>
      <c r="AX314" s="1">
        <v>3298</v>
      </c>
      <c r="AY314" s="52">
        <f ca="1">IF(AX314="","",INDEX(OFFSET(Arb!$H$2,,,Arb!$AJ$5,),AX314))</f>
        <v>74.319999999999993</v>
      </c>
      <c r="AZ314" s="3">
        <f t="shared" ca="1" si="101"/>
        <v>2.3143164693218519</v>
      </c>
      <c r="BA314" s="165">
        <f ca="1">IF(AX314="","",INDEX(OFFSET(Arb!$X$2,,,Arb!$AJ$5,),AX314)/AY314)</f>
        <v>2.8525296017222823</v>
      </c>
      <c r="BB314" s="165">
        <f ca="1">IF(AX314="","",(INDEX(OFFSET(Arb!$U$2,,,Arb!$AJ$5,),AX314)+INDEX(OFFSET(Arb!$V$2,,,Arb!$AJ$5,),AX314))/AY314)</f>
        <v>3.2023681377825621</v>
      </c>
      <c r="BC314" s="51">
        <f t="shared" ca="1" si="111"/>
        <v>49.333168609340682</v>
      </c>
      <c r="BD314" s="88">
        <f ca="1">IF(AX314="","",DATE(INDEX(OFFSET(Arb!$C$2,,,Arb!$AJ$5,),AX314),INDEX(OFFSET(Arb!$B$2,,,Arb!$AJ$5,),AX314),INDEX(OFFSET(Arb!$A$2,,,Arb!$AJ$5,),AX314))+ROW()*0.001)</f>
        <v>44089.313999999998</v>
      </c>
      <c r="BE314" s="436">
        <v>172</v>
      </c>
      <c r="BF314" s="1">
        <v>3092</v>
      </c>
      <c r="BG314" s="52">
        <f ca="1">IF(BF314="","",INDEX(OFFSET(Arb!$H$2,,,Arb!$AJ$5,),BF314))</f>
        <v>74.84</v>
      </c>
      <c r="BH314" s="3">
        <f t="shared" ca="1" si="102"/>
        <v>2.298236237306253</v>
      </c>
      <c r="BI314" s="165">
        <f ca="1">IF(BF314="","",INDEX(OFFSET(Arb!$X$2,,,Arb!$AJ$5,),BF314)/BG314)</f>
        <v>2.7926242650988775</v>
      </c>
      <c r="BJ314" s="165">
        <f ca="1">IF(BF314="","",(INDEX(OFFSET(Arb!$U$2,,,Arb!$AJ$5,),BF314)+INDEX(OFFSET(Arb!$V$2,,,Arb!$AJ$5,),BF314))/BG314)</f>
        <v>3.0331373597006945</v>
      </c>
      <c r="BK314" s="51">
        <f t="shared" ca="1" si="112"/>
        <v>48.751869935527111</v>
      </c>
      <c r="BL314" s="91">
        <f ca="1">IF(BF314="","",DATE(INDEX(OFFSET(Arb!$C$2,,,Arb!$AJ$5,),BF314),INDEX(OFFSET(Arb!$B$2,,,Arb!$AJ$5,),BF314),INDEX(OFFSET(Arb!$A$2,,,Arb!$AJ$5,),BF314))+ROW()*0.001)</f>
        <v>44004.313999999998</v>
      </c>
      <c r="BM314" s="442">
        <v>172</v>
      </c>
      <c r="BN314" s="1">
        <v>2660</v>
      </c>
      <c r="BO314" s="52">
        <f ca="1">IF(BN314="","",INDEX(OFFSET(Arb!$H$2,,,Arb!$AJ$5,),BN314))</f>
        <v>75.47</v>
      </c>
      <c r="BP314" s="3">
        <f t="shared" ca="1" si="103"/>
        <v>2.2790512786537698</v>
      </c>
      <c r="BQ314" s="165">
        <f ca="1">IF(BN314="","",INDEX(OFFSET(Arb!$X$2,,,Arb!$AJ$5,),BN314)/BO314)</f>
        <v>2.7958129057903802</v>
      </c>
      <c r="BR314" s="165">
        <f ca="1">IF(BN314="","",(INDEX(OFFSET(Arb!$U$2,,,Arb!$AJ$5,),BN314)+INDEX(OFFSET(Arb!$V$2,,,Arb!$AJ$5,),BN314))/BO314)</f>
        <v>3.0210679740294157</v>
      </c>
      <c r="BS314" s="51">
        <f t="shared" ca="1" si="113"/>
        <v>48.062051808688402</v>
      </c>
      <c r="BT314" s="88">
        <f ca="1">IF(BN314="","",DATE(INDEX(OFFSET(Arb!$C$2,,,Arb!$AJ$5,),BN314),INDEX(OFFSET(Arb!$B$2,,,Arb!$AJ$5,),BN314),INDEX(OFFSET(Arb!$A$2,,,Arb!$AJ$5,),BN314))+ROW()*0.001)</f>
        <v>43821.313999999998</v>
      </c>
      <c r="BU314" s="436">
        <v>172</v>
      </c>
      <c r="BV314" s="1">
        <v>3408</v>
      </c>
      <c r="BW314" s="52">
        <f ca="1">IF(BV314="","",INDEX(OFFSET(Arb!$H$2,,,Arb!$AJ$5,),BV314))</f>
        <v>75.88</v>
      </c>
      <c r="BX314" s="3">
        <f t="shared" ca="1" si="104"/>
        <v>2.2667369530838166</v>
      </c>
      <c r="BY314" s="165">
        <f ca="1">IF(BV314="","",INDEX(OFFSET(Arb!$X$2,,,Arb!$AJ$5,),BV314)/BW314)</f>
        <v>2.5171323141802846</v>
      </c>
      <c r="BZ314" s="165">
        <f ca="1">IF(BV314="","",(INDEX(OFFSET(Arb!$U$2,,,Arb!$AJ$5,),BV314)+INDEX(OFFSET(Arb!$V$2,,,Arb!$AJ$5,),BV314))/BW314)</f>
        <v>2.7938850817079599</v>
      </c>
      <c r="CA314" s="51">
        <f t="shared" ca="1" si="114"/>
        <v>47.621410481371903</v>
      </c>
      <c r="CB314" s="91">
        <f ca="1">IF(BV314="","",DATE(INDEX(OFFSET(Arb!$C$2,,,Arb!$AJ$5,),BV314),INDEX(OFFSET(Arb!$B$2,,,Arb!$AJ$5,),BV314),INDEX(OFFSET(Arb!$A$2,,,Arb!$AJ$5,),BV314))+ROW()*0.001)</f>
        <v>44146.313999999998</v>
      </c>
    </row>
    <row r="315" spans="1:80" x14ac:dyDescent="0.25">
      <c r="A315" s="433">
        <v>173</v>
      </c>
      <c r="B315" s="1">
        <v>3265</v>
      </c>
      <c r="C315" s="52">
        <f ca="1">IF(B315="","",INDEX(OFFSET(Arb!$H$2,,,Arb!$AJ$5,),B315))</f>
        <v>63.97</v>
      </c>
      <c r="D315" s="3">
        <f t="shared" ca="1" si="95"/>
        <v>2.7043926840706582</v>
      </c>
      <c r="E315" s="165">
        <f ca="1">IF(B315="","",INDEX(OFFSET(Arb!$X$2,,,Arb!$AJ$5,),B315)/C315)</f>
        <v>3.2515241519462248</v>
      </c>
      <c r="F315" s="165">
        <f ca="1">IF(B315="","",(INDEX(OFFSET(Arb!$U$2,,,Arb!$AJ$5,),B315)+INDEX(OFFSET(Arb!$V$2,,,Arb!$AJ$5,),B315))/C315)</f>
        <v>3.6267000156323279</v>
      </c>
      <c r="G315" s="51">
        <f t="shared" ca="1" si="105"/>
        <v>64.028976873970052</v>
      </c>
      <c r="H315" s="355">
        <f ca="1">IF(B315="","",DATE(INDEX(OFFSET(Arb!$C$2,,,Arb!$AJ$5,),B315),INDEX(OFFSET(Arb!$B$2,,,Arb!$AJ$5,),B315),INDEX(OFFSET(Arb!$A$2,,,Arb!$AJ$5,),B315))+ROW()*0.001)</f>
        <v>44073.315000000002</v>
      </c>
      <c r="I315" s="436">
        <v>173</v>
      </c>
      <c r="J315" s="1">
        <v>3347</v>
      </c>
      <c r="K315" s="52">
        <f ca="1">IF(J315="","",INDEX(OFFSET(Arb!$H$2,,,Arb!$AJ$5,),J315))</f>
        <v>67.84</v>
      </c>
      <c r="L315" s="3">
        <f t="shared" ca="1" si="96"/>
        <v>2.5501179245283017</v>
      </c>
      <c r="M315" s="165">
        <f ca="1">IF(J315="","",INDEX(OFFSET(Arb!$X$2,,,Arb!$AJ$5,),J315)/K315)</f>
        <v>3.0365566037735849</v>
      </c>
      <c r="N315" s="165">
        <f ca="1">IF(J315="","",(INDEX(OFFSET(Arb!$U$2,,,Arb!$AJ$5,),J315)+INDEX(OFFSET(Arb!$V$2,,,Arb!$AJ$5,),J315))/K315)</f>
        <v>3.3166273584905657</v>
      </c>
      <c r="O315" s="51">
        <f t="shared" ca="1" si="106"/>
        <v>57.944261445028616</v>
      </c>
      <c r="P315" s="91">
        <f ca="1">IF(J315="","",DATE(INDEX(OFFSET(Arb!$C$2,,,Arb!$AJ$5,),J315),INDEX(OFFSET(Arb!$B$2,,,Arb!$AJ$5,),J315),INDEX(OFFSET(Arb!$A$2,,,Arb!$AJ$5,),J315))+ROW()*0.001)</f>
        <v>44098.315000000002</v>
      </c>
      <c r="Q315" s="442">
        <v>173</v>
      </c>
      <c r="R315" s="1">
        <v>3335</v>
      </c>
      <c r="S315" s="52">
        <f ca="1">IF(R315="","",INDEX(OFFSET(Arb!$H$2,,,Arb!$AJ$5,),R315))</f>
        <v>70.67</v>
      </c>
      <c r="T315" s="3">
        <f t="shared" ca="1" si="97"/>
        <v>2.4479977359558509</v>
      </c>
      <c r="U315" s="165">
        <f ca="1">IF(R315="","",INDEX(OFFSET(Arb!$X$2,,,Arb!$AJ$5,),R315)/S315)</f>
        <v>3.0564596009622185</v>
      </c>
      <c r="V315" s="165">
        <f ca="1">IF(R315="","",(INDEX(OFFSET(Arb!$U$2,,,Arb!$AJ$5,),R315)+INDEX(OFFSET(Arb!$V$2,,,Arb!$AJ$5,),R315))/S315)</f>
        <v>3.4385170510824961</v>
      </c>
      <c r="W315" s="51">
        <f t="shared" ca="1" si="107"/>
        <v>54.055103498935352</v>
      </c>
      <c r="X315" s="88">
        <f ca="1">IF(R315="","",DATE(INDEX(OFFSET(Arb!$C$2,,,Arb!$AJ$5,),R315),INDEX(OFFSET(Arb!$B$2,,,Arb!$AJ$5,),R315),INDEX(OFFSET(Arb!$A$2,,,Arb!$AJ$5,),R315))+ROW()*0.001)</f>
        <v>44096.315000000002</v>
      </c>
      <c r="Y315" s="436">
        <v>173</v>
      </c>
      <c r="Z315" s="1">
        <v>2637</v>
      </c>
      <c r="AA315" s="52">
        <f ca="1">IF(Z315="","",INDEX(OFFSET(Arb!$H$2,,,Arb!$AJ$5,),Z315))</f>
        <v>72.290000000000006</v>
      </c>
      <c r="AB315" s="3">
        <f t="shared" ca="1" si="98"/>
        <v>2.3931387467146212</v>
      </c>
      <c r="AC315" s="165">
        <f ca="1">IF(Z315="","",INDEX(OFFSET(Arb!$X$2,,,Arb!$AJ$5,),Z315)/AA315)</f>
        <v>2.8496334209434222</v>
      </c>
      <c r="AD315" s="165">
        <f ca="1">IF(Z315="","",(INDEX(OFFSET(Arb!$U$2,,,Arb!$AJ$5,),Z315)+INDEX(OFFSET(Arb!$V$2,,,Arb!$AJ$5,),Z315))/AA315)</f>
        <v>3.3061280951722227</v>
      </c>
      <c r="AE315" s="51">
        <f t="shared" ca="1" si="108"/>
        <v>52.011978743978027</v>
      </c>
      <c r="AF315" s="91">
        <f ca="1">IF(Z315="","",DATE(INDEX(OFFSET(Arb!$C$2,,,Arb!$AJ$5,),Z315),INDEX(OFFSET(Arb!$B$2,,,Arb!$AJ$5,),Z315),INDEX(OFFSET(Arb!$A$2,,,Arb!$AJ$5,),Z315))+ROW()*0.001)</f>
        <v>43816.315000000002</v>
      </c>
      <c r="AG315" s="442">
        <v>173</v>
      </c>
      <c r="AH315" s="1">
        <v>3189</v>
      </c>
      <c r="AI315" s="52">
        <f ca="1">IF(AH315="","",INDEX(OFFSET(Arb!$H$2,,,Arb!$AJ$5,),AH315))</f>
        <v>73.260000000000005</v>
      </c>
      <c r="AJ315" s="3">
        <f t="shared" ca="1" si="99"/>
        <v>2.3614523614523613</v>
      </c>
      <c r="AK315" s="165">
        <f ca="1">IF(AH315="","",INDEX(OFFSET(Arb!$X$2,,,Arb!$AJ$5,),AH315)/AI315)</f>
        <v>2.7027027027027026</v>
      </c>
      <c r="AL315" s="165">
        <f ca="1">IF(AH315="","",(INDEX(OFFSET(Arb!$U$2,,,Arb!$AJ$5,),AH315)+INDEX(OFFSET(Arb!$V$2,,,Arb!$AJ$5,),AH315))/AI315)</f>
        <v>2.9347529347529346</v>
      </c>
      <c r="AM315" s="51">
        <f t="shared" ca="1" si="109"/>
        <v>50.846680337825838</v>
      </c>
      <c r="AN315" s="88">
        <f ca="1">IF(AH315="","",DATE(INDEX(OFFSET(Arb!$C$2,,,Arb!$AJ$5,),AH315),INDEX(OFFSET(Arb!$B$2,,,Arb!$AJ$5,),AH315),INDEX(OFFSET(Arb!$A$2,,,Arb!$AJ$5,),AH315))+ROW()*0.001)</f>
        <v>44057.315000000002</v>
      </c>
      <c r="AO315" s="436">
        <v>173</v>
      </c>
      <c r="AP315" s="1">
        <v>2593</v>
      </c>
      <c r="AQ315" s="52">
        <f ca="1">IF(AP315="","",INDEX(OFFSET(Arb!$H$2,,,Arb!$AJ$5,),AP315))</f>
        <v>74.989999999999995</v>
      </c>
      <c r="AR315" s="3">
        <f t="shared" ca="1" si="100"/>
        <v>2.306974263235098</v>
      </c>
      <c r="AS315" s="165">
        <f ca="1">IF(AP315="","",INDEX(OFFSET(Arb!$X$2,,,Arb!$AJ$5,),AP315)/AQ315)</f>
        <v>2.9203893852513669</v>
      </c>
      <c r="AT315" s="165">
        <f ca="1">IF(AP315="","",(INDEX(OFFSET(Arb!$U$2,,,Arb!$AJ$5,),AP315)+INDEX(OFFSET(Arb!$V$2,,,Arb!$AJ$5,),AP315))/AQ315)</f>
        <v>3.4404587278303778</v>
      </c>
      <c r="AU315" s="51">
        <f t="shared" ca="1" si="110"/>
        <v>48.868685508495737</v>
      </c>
      <c r="AV315" s="91">
        <f ca="1">IF(AP315="","",DATE(INDEX(OFFSET(Arb!$C$2,,,Arb!$AJ$5,),AP315),INDEX(OFFSET(Arb!$B$2,,,Arb!$AJ$5,),AP315),INDEX(OFFSET(Arb!$A$2,,,Arb!$AJ$5,),AP315))+ROW()*0.001)</f>
        <v>43807.315000000002</v>
      </c>
      <c r="AW315" s="442">
        <v>173</v>
      </c>
      <c r="AX315" s="1">
        <v>2531</v>
      </c>
      <c r="AY315" s="52">
        <f ca="1">IF(AX315="","",INDEX(OFFSET(Arb!$H$2,,,Arb!$AJ$5,),AX315))</f>
        <v>75.819999999999993</v>
      </c>
      <c r="AZ315" s="3">
        <f t="shared" ca="1" si="101"/>
        <v>2.2817198628330257</v>
      </c>
      <c r="BA315" s="165">
        <f ca="1">IF(AX315="","",INDEX(OFFSET(Arb!$X$2,,,Arb!$AJ$5,),AX315)/AY315)</f>
        <v>2.7697177525718808</v>
      </c>
      <c r="BB315" s="165">
        <f ca="1">IF(AX315="","",(INDEX(OFFSET(Arb!$U$2,,,Arb!$AJ$5,),AX315)+INDEX(OFFSET(Arb!$V$2,,,Arb!$AJ$5,),AX315))/AY315)</f>
        <v>3.0730677921392777</v>
      </c>
      <c r="BC315" s="51">
        <f t="shared" ca="1" si="111"/>
        <v>47.962734139654735</v>
      </c>
      <c r="BD315" s="88">
        <f ca="1">IF(AX315="","",DATE(INDEX(OFFSET(Arb!$C$2,,,Arb!$AJ$5,),AX315),INDEX(OFFSET(Arb!$B$2,,,Arb!$AJ$5,),AX315),INDEX(OFFSET(Arb!$A$2,,,Arb!$AJ$5,),AX315))+ROW()*0.001)</f>
        <v>43795.315000000002</v>
      </c>
      <c r="BE315" s="436">
        <v>173</v>
      </c>
      <c r="BF315" s="1">
        <v>3090</v>
      </c>
      <c r="BG315" s="52">
        <f ca="1">IF(BF315="","",INDEX(OFFSET(Arb!$H$2,,,Arb!$AJ$5,),BF315))</f>
        <v>76.45</v>
      </c>
      <c r="BH315" s="3">
        <f t="shared" ca="1" si="102"/>
        <v>2.2629169391759318</v>
      </c>
      <c r="BI315" s="165">
        <f ca="1">IF(BF315="","",INDEX(OFFSET(Arb!$X$2,,,Arb!$AJ$5,),BF315)/BG315)</f>
        <v>2.6945716154349246</v>
      </c>
      <c r="BJ315" s="165">
        <f ca="1">IF(BF315="","",(INDEX(OFFSET(Arb!$U$2,,,Arb!$AJ$5,),BF315)+INDEX(OFFSET(Arb!$V$2,,,Arb!$AJ$5,),BF315))/BG315)</f>
        <v>3.0346631785480707</v>
      </c>
      <c r="BK315" s="51">
        <f t="shared" ca="1" si="112"/>
        <v>47.292756271142117</v>
      </c>
      <c r="BL315" s="91">
        <f ca="1">IF(BF315="","",DATE(INDEX(OFFSET(Arb!$C$2,,,Arb!$AJ$5,),BF315),INDEX(OFFSET(Arb!$B$2,,,Arb!$AJ$5,),BF315),INDEX(OFFSET(Arb!$A$2,,,Arb!$AJ$5,),BF315))+ROW()*0.001)</f>
        <v>44004.315000000002</v>
      </c>
      <c r="BM315" s="442">
        <v>173</v>
      </c>
      <c r="BN315" s="1">
        <v>2465</v>
      </c>
      <c r="BO315" s="52">
        <f ca="1">IF(BN315="","",INDEX(OFFSET(Arb!$H$2,,,Arb!$AJ$5,),BN315))</f>
        <v>76.650000000000006</v>
      </c>
      <c r="BP315" s="3">
        <f t="shared" ca="1" si="103"/>
        <v>2.257012393998695</v>
      </c>
      <c r="BQ315" s="165">
        <f ca="1">IF(BN315="","",INDEX(OFFSET(Arb!$X$2,,,Arb!$AJ$5,),BN315)/BO315)</f>
        <v>2.7005870841487276</v>
      </c>
      <c r="BR315" s="165">
        <f ca="1">IF(BN315="","",(INDEX(OFFSET(Arb!$U$2,,,Arb!$AJ$5,),BN315)+INDEX(OFFSET(Arb!$V$2,,,Arb!$AJ$5,),BN315))/BO315)</f>
        <v>3.0267449445531636</v>
      </c>
      <c r="BS315" s="51">
        <f t="shared" ca="1" si="113"/>
        <v>47.083169202798189</v>
      </c>
      <c r="BT315" s="88">
        <f ca="1">IF(BN315="","",DATE(INDEX(OFFSET(Arb!$C$2,,,Arb!$AJ$5,),BN315),INDEX(OFFSET(Arb!$B$2,,,Arb!$AJ$5,),BN315),INDEX(OFFSET(Arb!$A$2,,,Arb!$AJ$5,),BN315))+ROW()*0.001)</f>
        <v>43779.315000000002</v>
      </c>
      <c r="BU315" s="436">
        <v>173</v>
      </c>
      <c r="BV315" s="1">
        <v>2819</v>
      </c>
      <c r="BW315" s="52">
        <f ca="1">IF(BV315="","",INDEX(OFFSET(Arb!$H$2,,,Arb!$AJ$5,),BV315))</f>
        <v>78.42</v>
      </c>
      <c r="BX315" s="3">
        <f t="shared" ca="1" si="104"/>
        <v>2.2060698801326191</v>
      </c>
      <c r="BY315" s="165">
        <f ca="1">IF(BV315="","",INDEX(OFFSET(Arb!$X$2,,,Arb!$AJ$5,),BV315)/BW315)</f>
        <v>2.4483550114766639</v>
      </c>
      <c r="BZ315" s="165">
        <f ca="1">IF(BV315="","",(INDEX(OFFSET(Arb!$U$2,,,Arb!$AJ$5,),BV315)+INDEX(OFFSET(Arb!$V$2,,,Arb!$AJ$5,),BV315))/BW315)</f>
        <v>2.6778882938026012</v>
      </c>
      <c r="CA315" s="51">
        <f t="shared" ca="1" si="114"/>
        <v>45.290877375307595</v>
      </c>
      <c r="CB315" s="91">
        <f ca="1">IF(BV315="","",DATE(INDEX(OFFSET(Arb!$C$2,,,Arb!$AJ$5,),BV315),INDEX(OFFSET(Arb!$B$2,,,Arb!$AJ$5,),BV315),INDEX(OFFSET(Arb!$A$2,,,Arb!$AJ$5,),BV315))+ROW()*0.001)</f>
        <v>43899.315000000002</v>
      </c>
    </row>
    <row r="316" spans="1:80" x14ac:dyDescent="0.25">
      <c r="A316" s="433">
        <v>174</v>
      </c>
      <c r="B316" s="1">
        <v>3247</v>
      </c>
      <c r="C316" s="52">
        <f ca="1">IF(B316="","",INDEX(OFFSET(Arb!$H$2,,,Arb!$AJ$5,),B316))</f>
        <v>65.12</v>
      </c>
      <c r="D316" s="3">
        <f t="shared" ca="1" si="95"/>
        <v>2.671990171990172</v>
      </c>
      <c r="E316" s="165">
        <f ca="1">IF(B316="","",INDEX(OFFSET(Arb!$X$2,,,Arb!$AJ$5,),B316)/C316)</f>
        <v>3.0098280098280097</v>
      </c>
      <c r="F316" s="165">
        <f ca="1">IF(B316="","",(INDEX(OFFSET(Arb!$U$2,,,Arb!$AJ$5,),B316)+INDEX(OFFSET(Arb!$V$2,,,Arb!$AJ$5,),B316))/C316)</f>
        <v>3.3783783783783781</v>
      </c>
      <c r="G316" s="51">
        <f t="shared" ca="1" si="105"/>
        <v>62.477700574593023</v>
      </c>
      <c r="H316" s="355">
        <f ca="1">IF(B316="","",DATE(INDEX(OFFSET(Arb!$C$2,,,Arb!$AJ$5,),B316),INDEX(OFFSET(Arb!$B$2,,,Arb!$AJ$5,),B316),INDEX(OFFSET(Arb!$A$2,,,Arb!$AJ$5,),B316))+ROW()*0.001)</f>
        <v>44067.315999999999</v>
      </c>
      <c r="I316" s="436">
        <v>174</v>
      </c>
      <c r="J316" s="1">
        <v>3386</v>
      </c>
      <c r="K316" s="52">
        <f ca="1">IF(J316="","",INDEX(OFFSET(Arb!$H$2,,,Arb!$AJ$5,),J316))</f>
        <v>66.98</v>
      </c>
      <c r="L316" s="3">
        <f t="shared" ca="1" si="96"/>
        <v>2.5977903851896085</v>
      </c>
      <c r="M316" s="165">
        <f ca="1">IF(J316="","",INDEX(OFFSET(Arb!$X$2,,,Arb!$AJ$5,),J316)/K316)</f>
        <v>2.8814571513884739</v>
      </c>
      <c r="N316" s="165">
        <f ca="1">IF(J316="","",(INDEX(OFFSET(Arb!$U$2,,,Arb!$AJ$5,),J316)+INDEX(OFFSET(Arb!$V$2,,,Arb!$AJ$5,),J316))/K316)</f>
        <v>3.3741415347865034</v>
      </c>
      <c r="O316" s="51">
        <f t="shared" ca="1" si="106"/>
        <v>59.556992701709248</v>
      </c>
      <c r="P316" s="91">
        <f ca="1">IF(J316="","",DATE(INDEX(OFFSET(Arb!$C$2,,,Arb!$AJ$5,),J316),INDEX(OFFSET(Arb!$B$2,,,Arb!$AJ$5,),J316),INDEX(OFFSET(Arb!$A$2,,,Arb!$AJ$5,),J316))+ROW()*0.001)</f>
        <v>44137.315999999999</v>
      </c>
      <c r="Q316" s="442">
        <v>174</v>
      </c>
      <c r="R316" s="1">
        <v>3338</v>
      </c>
      <c r="S316" s="52">
        <f ca="1">IF(R316="","",INDEX(OFFSET(Arb!$H$2,,,Arb!$AJ$5,),R316))</f>
        <v>67.67</v>
      </c>
      <c r="T316" s="3">
        <f t="shared" ca="1" si="97"/>
        <v>2.5713019063100337</v>
      </c>
      <c r="U316" s="165">
        <f ca="1">IF(R316="","",INDEX(OFFSET(Arb!$X$2,,,Arb!$AJ$5,),R316)/S316)</f>
        <v>3.0294074183537756</v>
      </c>
      <c r="V316" s="165">
        <f ca="1">IF(R316="","",(INDEX(OFFSET(Arb!$U$2,,,Arb!$AJ$5,),R316)+INDEX(OFFSET(Arb!$V$2,,,Arb!$AJ$5,),R316))/S316)</f>
        <v>3.3545145559332052</v>
      </c>
      <c r="W316" s="51">
        <f t="shared" ca="1" si="107"/>
        <v>58.528312629765942</v>
      </c>
      <c r="X316" s="88">
        <f ca="1">IF(R316="","",DATE(INDEX(OFFSET(Arb!$C$2,,,Arb!$AJ$5,),R316),INDEX(OFFSET(Arb!$B$2,,,Arb!$AJ$5,),R316),INDEX(OFFSET(Arb!$A$2,,,Arb!$AJ$5,),R316))+ROW()*0.001)</f>
        <v>44096.315999999999</v>
      </c>
      <c r="Y316" s="436">
        <v>174</v>
      </c>
      <c r="Z316" s="1">
        <v>2540</v>
      </c>
      <c r="AA316" s="52">
        <f ca="1">IF(Z316="","",INDEX(OFFSET(Arb!$H$2,,,Arb!$AJ$5,),Z316))</f>
        <v>69.38</v>
      </c>
      <c r="AB316" s="3">
        <f t="shared" ca="1" si="98"/>
        <v>2.5079273565869129</v>
      </c>
      <c r="AC316" s="165">
        <f ca="1">IF(Z316="","",INDEX(OFFSET(Arb!$X$2,,,Arb!$AJ$5,),Z316)/AA316)</f>
        <v>2.9259152493513985</v>
      </c>
      <c r="AD316" s="165">
        <f ca="1">IF(Z316="","",(INDEX(OFFSET(Arb!$U$2,,,Arb!$AJ$5,),Z316)+INDEX(OFFSET(Arb!$V$2,,,Arb!$AJ$5,),Z316))/AA316)</f>
        <v>3.1565292591524936</v>
      </c>
      <c r="AE316" s="51">
        <f t="shared" ca="1" si="108"/>
        <v>56.097202138470045</v>
      </c>
      <c r="AF316" s="91">
        <f ca="1">IF(Z316="","",DATE(INDEX(OFFSET(Arb!$C$2,,,Arb!$AJ$5,),Z316),INDEX(OFFSET(Arb!$B$2,,,Arb!$AJ$5,),Z316),INDEX(OFFSET(Arb!$A$2,,,Arb!$AJ$5,),Z316))+ROW()*0.001)</f>
        <v>43796.315999999999</v>
      </c>
      <c r="AG316" s="442">
        <v>174</v>
      </c>
      <c r="AH316" s="1">
        <v>3170</v>
      </c>
      <c r="AI316" s="52">
        <f ca="1">IF(AH316="","",INDEX(OFFSET(Arb!$H$2,,,Arb!$AJ$5,),AH316))</f>
        <v>70.16</v>
      </c>
      <c r="AJ316" s="3">
        <f t="shared" ca="1" si="99"/>
        <v>2.4800456100342076</v>
      </c>
      <c r="AK316" s="165">
        <f ca="1">IF(AH316="","",INDEX(OFFSET(Arb!$X$2,,,Arb!$AJ$5,),AH316)/AI316)</f>
        <v>2.9931584948688714</v>
      </c>
      <c r="AL316" s="165">
        <f ca="1">IF(AH316="","",(INDEX(OFFSET(Arb!$U$2,,,Arb!$AJ$5,),AH316)+INDEX(OFFSET(Arb!$V$2,,,Arb!$AJ$5,),AH316))/AI316)</f>
        <v>3.2354618015963514</v>
      </c>
      <c r="AM316" s="51">
        <f t="shared" ca="1" si="109"/>
        <v>55.04111423098675</v>
      </c>
      <c r="AN316" s="88">
        <f ca="1">IF(AH316="","",DATE(INDEX(OFFSET(Arb!$C$2,,,Arb!$AJ$5,),AH316),INDEX(OFFSET(Arb!$B$2,,,Arb!$AJ$5,),AH316),INDEX(OFFSET(Arb!$A$2,,,Arb!$AJ$5,),AH316))+ROW()*0.001)</f>
        <v>44035.315999999999</v>
      </c>
      <c r="AO316" s="436">
        <v>174</v>
      </c>
      <c r="AP316" s="1">
        <v>3151</v>
      </c>
      <c r="AQ316" s="52">
        <f ca="1">IF(AP316="","",INDEX(OFFSET(Arb!$H$2,,,Arb!$AJ$5,),AP316))</f>
        <v>71.67</v>
      </c>
      <c r="AR316" s="3">
        <f t="shared" ca="1" si="100"/>
        <v>2.4277940560904145</v>
      </c>
      <c r="AS316" s="165">
        <f ca="1">IF(AP316="","",INDEX(OFFSET(Arb!$X$2,,,Arb!$AJ$5,),AP316)/AQ316)</f>
        <v>2.8324263987721499</v>
      </c>
      <c r="AT316" s="165">
        <f ca="1">IF(AP316="","",(INDEX(OFFSET(Arb!$U$2,,,Arb!$AJ$5,),AP316)+INDEX(OFFSET(Arb!$V$2,,,Arb!$AJ$5,),AP316))/AQ316)</f>
        <v>3.1952002232454304</v>
      </c>
      <c r="AU316" s="51">
        <f t="shared" ca="1" si="110"/>
        <v>53.084278137862697</v>
      </c>
      <c r="AV316" s="91">
        <f ca="1">IF(AP316="","",DATE(INDEX(OFFSET(Arb!$C$2,,,Arb!$AJ$5,),AP316),INDEX(OFFSET(Arb!$B$2,,,Arb!$AJ$5,),AP316),INDEX(OFFSET(Arb!$A$2,,,Arb!$AJ$5,),AP316))+ROW()*0.001)</f>
        <v>44028.315999999999</v>
      </c>
      <c r="AW316" s="442">
        <v>174</v>
      </c>
      <c r="AX316" s="1">
        <v>2866</v>
      </c>
      <c r="AY316" s="52">
        <f ca="1">IF(AX316="","",INDEX(OFFSET(Arb!$H$2,,,Arb!$AJ$5,),AX316))</f>
        <v>71.8</v>
      </c>
      <c r="AZ316" s="3">
        <f t="shared" ca="1" si="101"/>
        <v>2.4233983286908081</v>
      </c>
      <c r="BA316" s="165">
        <f ca="1">IF(AX316="","",INDEX(OFFSET(Arb!$X$2,,,Arb!$AJ$5,),AX316)/AY316)</f>
        <v>2.8133704735376046</v>
      </c>
      <c r="BB316" s="165">
        <f ca="1">IF(AX316="","",(INDEX(OFFSET(Arb!$U$2,,,Arb!$AJ$5,),AX316)+INDEX(OFFSET(Arb!$V$2,,,Arb!$AJ$5,),AX316))/AY316)</f>
        <v>3.1197771587743732</v>
      </c>
      <c r="BC316" s="51">
        <f t="shared" ca="1" si="111"/>
        <v>52.920988587235946</v>
      </c>
      <c r="BD316" s="88">
        <f ca="1">IF(AX316="","",DATE(INDEX(OFFSET(Arb!$C$2,,,Arb!$AJ$5,),AX316),INDEX(OFFSET(Arb!$B$2,,,Arb!$AJ$5,),AX316),INDEX(OFFSET(Arb!$A$2,,,Arb!$AJ$5,),AX316))+ROW()*0.001)</f>
        <v>43910.315999999999</v>
      </c>
      <c r="BE316" s="436">
        <v>174</v>
      </c>
      <c r="BF316" s="1">
        <v>3023</v>
      </c>
      <c r="BG316" s="52">
        <f ca="1">IF(BF316="","",INDEX(OFFSET(Arb!$H$2,,,Arb!$AJ$5,),BF316))</f>
        <v>72.67</v>
      </c>
      <c r="BH316" s="3">
        <f t="shared" ca="1" si="102"/>
        <v>2.3943855786431816</v>
      </c>
      <c r="BI316" s="165">
        <f ca="1">IF(BF316="","",INDEX(OFFSET(Arb!$X$2,,,Arb!$AJ$5,),BF316)/BG316)</f>
        <v>3.027384064951149</v>
      </c>
      <c r="BJ316" s="165">
        <f ca="1">IF(BF316="","",(INDEX(OFFSET(Arb!$U$2,,,Arb!$AJ$5,),BF316)+INDEX(OFFSET(Arb!$V$2,,,Arb!$AJ$5,),BF316))/BG316)</f>
        <v>3.3301224714462641</v>
      </c>
      <c r="BK316" s="51">
        <f t="shared" ca="1" si="112"/>
        <v>51.848444451111725</v>
      </c>
      <c r="BL316" s="91">
        <f ca="1">IF(BF316="","",DATE(INDEX(OFFSET(Arb!$C$2,,,Arb!$AJ$5,),BF316),INDEX(OFFSET(Arb!$B$2,,,Arb!$AJ$5,),BF316),INDEX(OFFSET(Arb!$A$2,,,Arb!$AJ$5,),BF316))+ROW()*0.001)</f>
        <v>43967.315999999999</v>
      </c>
      <c r="BM316" s="442">
        <v>174</v>
      </c>
      <c r="BN316" s="1">
        <v>2529</v>
      </c>
      <c r="BO316" s="52">
        <f ca="1">IF(BN316="","",INDEX(OFFSET(Arb!$H$2,,,Arb!$AJ$5,),BN316))</f>
        <v>73.150000000000006</v>
      </c>
      <c r="BP316" s="3">
        <f t="shared" ca="1" si="103"/>
        <v>2.3786739576213258</v>
      </c>
      <c r="BQ316" s="165">
        <f ca="1">IF(BN316="","",INDEX(OFFSET(Arb!$X$2,,,Arb!$AJ$5,),BN316)/BO316)</f>
        <v>2.8434723171565275</v>
      </c>
      <c r="BR316" s="165">
        <f ca="1">IF(BN316="","",(INDEX(OFFSET(Arb!$U$2,,,Arb!$AJ$5,),BN316)+INDEX(OFFSET(Arb!$V$2,,,Arb!$AJ$5,),BN316))/BO316)</f>
        <v>3.1032125768967873</v>
      </c>
      <c r="BS316" s="51">
        <f t="shared" ca="1" si="113"/>
        <v>51.271395930020823</v>
      </c>
      <c r="BT316" s="88">
        <f ca="1">IF(BN316="","",DATE(INDEX(OFFSET(Arb!$C$2,,,Arb!$AJ$5,),BN316),INDEX(OFFSET(Arb!$B$2,,,Arb!$AJ$5,),BN316),INDEX(OFFSET(Arb!$A$2,,,Arb!$AJ$5,),BN316))+ROW()*0.001)</f>
        <v>43795.315999999999</v>
      </c>
      <c r="BU316" s="436">
        <v>174</v>
      </c>
      <c r="BV316" s="1">
        <v>2629</v>
      </c>
      <c r="BW316" s="52">
        <f ca="1">IF(BV316="","",INDEX(OFFSET(Arb!$H$2,,,Arb!$AJ$5,),BV316))</f>
        <v>73.25</v>
      </c>
      <c r="BX316" s="3">
        <f t="shared" ca="1" si="104"/>
        <v>2.3754266211604094</v>
      </c>
      <c r="BY316" s="165">
        <f ca="1">IF(BV316="","",INDEX(OFFSET(Arb!$X$2,,,Arb!$AJ$5,),BV316)/BW316)</f>
        <v>2.7849829351535837</v>
      </c>
      <c r="BZ316" s="165">
        <f ca="1">IF(BV316="","",(INDEX(OFFSET(Arb!$U$2,,,Arb!$AJ$5,),BV316)+INDEX(OFFSET(Arb!$V$2,,,Arb!$AJ$5,),BV316))/BW316)</f>
        <v>3.1535836177474401</v>
      </c>
      <c r="CA316" s="51">
        <f t="shared" ca="1" si="114"/>
        <v>51.152461158252294</v>
      </c>
      <c r="CB316" s="91">
        <f ca="1">IF(BV316="","",DATE(INDEX(OFFSET(Arb!$C$2,,,Arb!$AJ$5,),BV316),INDEX(OFFSET(Arb!$B$2,,,Arb!$AJ$5,),BV316),INDEX(OFFSET(Arb!$A$2,,,Arb!$AJ$5,),BV316))+ROW()*0.001)</f>
        <v>43815.315999999999</v>
      </c>
    </row>
    <row r="317" spans="1:80" x14ac:dyDescent="0.25">
      <c r="A317" s="433">
        <v>175</v>
      </c>
      <c r="B317" s="1">
        <v>3011</v>
      </c>
      <c r="C317" s="52">
        <f ca="1">IF(B317="","",INDEX(OFFSET(Arb!$H$2,,,Arb!$AJ$5,),B317))</f>
        <v>67.790000000000006</v>
      </c>
      <c r="D317" s="3">
        <f t="shared" ca="1" si="95"/>
        <v>2.5815016964154003</v>
      </c>
      <c r="E317" s="165">
        <f ca="1">IF(B317="","",INDEX(OFFSET(Arb!$X$2,,,Arb!$AJ$5,),B317)/C317)</f>
        <v>3.1125534739637111</v>
      </c>
      <c r="F317" s="165">
        <f ca="1">IF(B317="","",(INDEX(OFFSET(Arb!$U$2,,,Arb!$AJ$5,),B317)+INDEX(OFFSET(Arb!$V$2,,,Arb!$AJ$5,),B317))/C317)</f>
        <v>3.3633279244726357</v>
      </c>
      <c r="G317" s="51">
        <f t="shared" ca="1" si="105"/>
        <v>58.687650911506452</v>
      </c>
      <c r="H317" s="355">
        <f ca="1">IF(B317="","",DATE(INDEX(OFFSET(Arb!$C$2,,,Arb!$AJ$5,),B317),INDEX(OFFSET(Arb!$B$2,,,Arb!$AJ$5,),B317),INDEX(OFFSET(Arb!$A$2,,,Arb!$AJ$5,),B317))+ROW()*0.001)</f>
        <v>43957.317000000003</v>
      </c>
      <c r="I317" s="436">
        <v>175</v>
      </c>
      <c r="J317" s="1">
        <v>3271</v>
      </c>
      <c r="K317" s="52">
        <f ca="1">IF(J317="","",INDEX(OFFSET(Arb!$H$2,,,Arb!$AJ$5,),J317))</f>
        <v>69.56</v>
      </c>
      <c r="L317" s="3">
        <f t="shared" ca="1" si="96"/>
        <v>2.5158136860264517</v>
      </c>
      <c r="M317" s="165">
        <f ca="1">IF(J317="","",INDEX(OFFSET(Arb!$X$2,,,Arb!$AJ$5,),J317)/K317)</f>
        <v>2.9614721104082804</v>
      </c>
      <c r="N317" s="165">
        <f ca="1">IF(J317="","",(INDEX(OFFSET(Arb!$U$2,,,Arb!$AJ$5,),J317)+INDEX(OFFSET(Arb!$V$2,,,Arb!$AJ$5,),J317))/K317)</f>
        <v>3.2489936745255892</v>
      </c>
      <c r="O317" s="51">
        <f t="shared" ca="1" si="106"/>
        <v>56.171630368552137</v>
      </c>
      <c r="P317" s="91">
        <f ca="1">IF(J317="","",DATE(INDEX(OFFSET(Arb!$C$2,,,Arb!$AJ$5,),J317),INDEX(OFFSET(Arb!$B$2,,,Arb!$AJ$5,),J317),INDEX(OFFSET(Arb!$A$2,,,Arb!$AJ$5,),J317))+ROW()*0.001)</f>
        <v>44074.317000000003</v>
      </c>
      <c r="Q317" s="442">
        <v>175</v>
      </c>
      <c r="R317" s="1">
        <v>2971</v>
      </c>
      <c r="S317" s="52">
        <f ca="1">IF(R317="","",INDEX(OFFSET(Arb!$H$2,,,Arb!$AJ$5,),R317))</f>
        <v>70.89</v>
      </c>
      <c r="T317" s="3">
        <f t="shared" ca="1" si="97"/>
        <v>2.4686133446184231</v>
      </c>
      <c r="U317" s="165">
        <f ca="1">IF(R317="","",INDEX(OFFSET(Arb!$X$2,,,Arb!$AJ$5,),R317)/S317)</f>
        <v>2.8776978417266186</v>
      </c>
      <c r="V317" s="165">
        <f ca="1">IF(R317="","",(INDEX(OFFSET(Arb!$U$2,,,Arb!$AJ$5,),R317)+INDEX(OFFSET(Arb!$V$2,,,Arb!$AJ$5,),R317))/S317)</f>
        <v>3.1175059952038371</v>
      </c>
      <c r="W317" s="51">
        <f t="shared" ca="1" si="107"/>
        <v>54.391851720114794</v>
      </c>
      <c r="X317" s="88">
        <f ca="1">IF(R317="","",DATE(INDEX(OFFSET(Arb!$C$2,,,Arb!$AJ$5,),R317),INDEX(OFFSET(Arb!$B$2,,,Arb!$AJ$5,),R317),INDEX(OFFSET(Arb!$A$2,,,Arb!$AJ$5,),R317))+ROW()*0.001)</f>
        <v>43952.317000000003</v>
      </c>
      <c r="Y317" s="436">
        <v>175</v>
      </c>
      <c r="Z317" s="1">
        <v>3323</v>
      </c>
      <c r="AA317" s="52">
        <f ca="1">IF(Z317="","",INDEX(OFFSET(Arb!$H$2,,,Arb!$AJ$5,),Z317))</f>
        <v>71.459999999999994</v>
      </c>
      <c r="AB317" s="3">
        <f t="shared" ca="1" si="98"/>
        <v>2.4489224741113911</v>
      </c>
      <c r="AC317" s="165">
        <f ca="1">IF(Z317="","",INDEX(OFFSET(Arb!$X$2,,,Arb!$AJ$5,),Z317)/AA317)</f>
        <v>2.8967254408060454</v>
      </c>
      <c r="AD317" s="165">
        <f ca="1">IF(Z317="","",(INDEX(OFFSET(Arb!$U$2,,,Arb!$AJ$5,),Z317)+INDEX(OFFSET(Arb!$V$2,,,Arb!$AJ$5,),Z317))/AA317)</f>
        <v>3.2185838231178283</v>
      </c>
      <c r="AE317" s="51">
        <f t="shared" ca="1" si="108"/>
        <v>53.656357116784868</v>
      </c>
      <c r="AF317" s="91">
        <f ca="1">IF(Z317="","",DATE(INDEX(OFFSET(Arb!$C$2,,,Arb!$AJ$5,),Z317),INDEX(OFFSET(Arb!$B$2,,,Arb!$AJ$5,),Z317),INDEX(OFFSET(Arb!$A$2,,,Arb!$AJ$5,),Z317))+ROW()*0.001)</f>
        <v>44095.317000000003</v>
      </c>
      <c r="AG317" s="442">
        <v>175</v>
      </c>
      <c r="AH317" s="1">
        <v>3300</v>
      </c>
      <c r="AI317" s="52">
        <f ca="1">IF(AH317="","",INDEX(OFFSET(Arb!$H$2,,,Arb!$AJ$5,),AH317))</f>
        <v>72.040000000000006</v>
      </c>
      <c r="AJ317" s="3">
        <f t="shared" ca="1" si="99"/>
        <v>2.4292059966685171</v>
      </c>
      <c r="AK317" s="165">
        <f ca="1">IF(AH317="","",INDEX(OFFSET(Arb!$X$2,,,Arb!$AJ$5,),AH317)/AI317)</f>
        <v>2.970571904497501</v>
      </c>
      <c r="AL317" s="165">
        <f ca="1">IF(AH317="","",(INDEX(OFFSET(Arb!$U$2,,,Arb!$AJ$5,),AH317)+INDEX(OFFSET(Arb!$V$2,,,Arb!$AJ$5,),AH317))/AI317)</f>
        <v>3.3176013325930036</v>
      </c>
      <c r="AM317" s="51">
        <f t="shared" ca="1" si="109"/>
        <v>52.924042188742391</v>
      </c>
      <c r="AN317" s="88">
        <f ca="1">IF(AH317="","",DATE(INDEX(OFFSET(Arb!$C$2,,,Arb!$AJ$5,),AH317),INDEX(OFFSET(Arb!$B$2,,,Arb!$AJ$5,),AH317),INDEX(OFFSET(Arb!$A$2,,,Arb!$AJ$5,),AH317))+ROW()*0.001)</f>
        <v>44090.317000000003</v>
      </c>
      <c r="AO317" s="436">
        <v>175</v>
      </c>
      <c r="AP317" s="1">
        <v>2986</v>
      </c>
      <c r="AQ317" s="52">
        <f ca="1">IF(AP317="","",INDEX(OFFSET(Arb!$H$2,,,Arb!$AJ$5,),AP317))</f>
        <v>73.430000000000007</v>
      </c>
      <c r="AR317" s="3">
        <f t="shared" ca="1" si="100"/>
        <v>2.3832221163012393</v>
      </c>
      <c r="AS317" s="165">
        <f ca="1">IF(AP317="","",INDEX(OFFSET(Arb!$X$2,,,Arb!$AJ$5,),AP317)/AQ317)</f>
        <v>2.8598665395614868</v>
      </c>
      <c r="AT317" s="165">
        <f ca="1">IF(AP317="","",(INDEX(OFFSET(Arb!$U$2,,,Arb!$AJ$5,),AP317)+INDEX(OFFSET(Arb!$V$2,,,Arb!$AJ$5,),AP317))/AQ317)</f>
        <v>3.1049979572381856</v>
      </c>
      <c r="AU317" s="51">
        <f t="shared" ca="1" si="110"/>
        <v>51.232235440160466</v>
      </c>
      <c r="AV317" s="91">
        <f ca="1">IF(AP317="","",DATE(INDEX(OFFSET(Arb!$C$2,,,Arb!$AJ$5,),AP317),INDEX(OFFSET(Arb!$B$2,,,Arb!$AJ$5,),AP317),INDEX(OFFSET(Arb!$A$2,,,Arb!$AJ$5,),AP317))+ROW()*0.001)</f>
        <v>43956.317000000003</v>
      </c>
      <c r="AW317" s="442">
        <v>175</v>
      </c>
      <c r="AX317" s="1">
        <v>2782</v>
      </c>
      <c r="AY317" s="52">
        <f ca="1">IF(AX317="","",INDEX(OFFSET(Arb!$H$2,,,Arb!$AJ$5,),AX317))</f>
        <v>74.319999999999993</v>
      </c>
      <c r="AZ317" s="3">
        <f t="shared" ca="1" si="101"/>
        <v>2.354682454251884</v>
      </c>
      <c r="BA317" s="165">
        <f ca="1">IF(AX317="","",INDEX(OFFSET(Arb!$X$2,,,Arb!$AJ$5,),AX317)/AY317)</f>
        <v>2.7852529601722287</v>
      </c>
      <c r="BB317" s="165">
        <f ca="1">IF(AX317="","",(INDEX(OFFSET(Arb!$U$2,,,Arb!$AJ$5,),AX317)+INDEX(OFFSET(Arb!$V$2,,,Arb!$AJ$5,),AX317))/AY317)</f>
        <v>3.1216361679224978</v>
      </c>
      <c r="BC317" s="51">
        <f t="shared" ca="1" si="111"/>
        <v>50.193630852526844</v>
      </c>
      <c r="BD317" s="88">
        <f ca="1">IF(AX317="","",DATE(INDEX(OFFSET(Arb!$C$2,,,Arb!$AJ$5,),AX317),INDEX(OFFSET(Arb!$B$2,,,Arb!$AJ$5,),AX317),INDEX(OFFSET(Arb!$A$2,,,Arb!$AJ$5,),AX317))+ROW()*0.001)</f>
        <v>43891.317000000003</v>
      </c>
      <c r="BE317" s="436">
        <v>175</v>
      </c>
      <c r="BF317" s="1">
        <v>3107</v>
      </c>
      <c r="BG317" s="52">
        <f ca="1">IF(BF317="","",INDEX(OFFSET(Arb!$H$2,,,Arb!$AJ$5,),BF317))</f>
        <v>75.19</v>
      </c>
      <c r="BH317" s="3">
        <f t="shared" ca="1" si="102"/>
        <v>2.3274371591967018</v>
      </c>
      <c r="BI317" s="165">
        <f ca="1">IF(BF317="","",INDEX(OFFSET(Arb!$X$2,,,Arb!$AJ$5,),BF317)/BG317)</f>
        <v>2.6998271046681741</v>
      </c>
      <c r="BJ317" s="165">
        <f ca="1">IF(BF317="","",(INDEX(OFFSET(Arb!$U$2,,,Arb!$AJ$5,),BF317)+INDEX(OFFSET(Arb!$V$2,,,Arb!$AJ$5,),BF317))/BG317)</f>
        <v>3.005718845591169</v>
      </c>
      <c r="BK317" s="51">
        <f t="shared" ca="1" si="112"/>
        <v>49.210316678163309</v>
      </c>
      <c r="BL317" s="91">
        <f ca="1">IF(BF317="","",DATE(INDEX(OFFSET(Arb!$C$2,,,Arb!$AJ$5,),BF317),INDEX(OFFSET(Arb!$B$2,,,Arb!$AJ$5,),BF317),INDEX(OFFSET(Arb!$A$2,,,Arb!$AJ$5,),BF317))+ROW()*0.001)</f>
        <v>44006.317000000003</v>
      </c>
      <c r="BM317" s="442">
        <v>175</v>
      </c>
      <c r="BN317" s="1">
        <v>3306</v>
      </c>
      <c r="BO317" s="52">
        <f ca="1">IF(BN317="","",INDEX(OFFSET(Arb!$H$2,,,Arb!$AJ$5,),BN317))</f>
        <v>75.900000000000006</v>
      </c>
      <c r="BP317" s="3">
        <f t="shared" ca="1" si="103"/>
        <v>2.3056653491436099</v>
      </c>
      <c r="BQ317" s="165">
        <f ca="1">IF(BN317="","",INDEX(OFFSET(Arb!$X$2,,,Arb!$AJ$5,),BN317)/BO317)</f>
        <v>2.9380764163372857</v>
      </c>
      <c r="BR317" s="165">
        <f ca="1">IF(BN317="","",(INDEX(OFFSET(Arb!$U$2,,,Arb!$AJ$5,),BN317)+INDEX(OFFSET(Arb!$V$2,,,Arb!$AJ$5,),BN317))/BO317)</f>
        <v>3.2806324110671934</v>
      </c>
      <c r="BS317" s="51">
        <f t="shared" ca="1" si="113"/>
        <v>48.430314019312199</v>
      </c>
      <c r="BT317" s="88">
        <f ca="1">IF(BN317="","",DATE(INDEX(OFFSET(Arb!$C$2,,,Arb!$AJ$5,),BN317),INDEX(OFFSET(Arb!$B$2,,,Arb!$AJ$5,),BN317),INDEX(OFFSET(Arb!$A$2,,,Arb!$AJ$5,),BN317))+ROW()*0.001)</f>
        <v>44092.317000000003</v>
      </c>
      <c r="BU317" s="436">
        <v>175</v>
      </c>
      <c r="BV317" s="1">
        <v>3080</v>
      </c>
      <c r="BW317" s="52">
        <f ca="1">IF(BV317="","",INDEX(OFFSET(Arb!$H$2,,,Arb!$AJ$5,),BV317))</f>
        <v>75.930000000000007</v>
      </c>
      <c r="BX317" s="3">
        <f t="shared" ca="1" si="104"/>
        <v>2.3047543790333198</v>
      </c>
      <c r="BY317" s="165">
        <f ca="1">IF(BV317="","",INDEX(OFFSET(Arb!$X$2,,,Arb!$AJ$5,),BV317)/BW317)</f>
        <v>2.7393652047938888</v>
      </c>
      <c r="BZ317" s="165">
        <f ca="1">IF(BV317="","",(INDEX(OFFSET(Arb!$U$2,,,Arb!$AJ$5,),BV317)+INDEX(OFFSET(Arb!$V$2,,,Arb!$AJ$5,),BV317))/BW317)</f>
        <v>3.0159357302778873</v>
      </c>
      <c r="CA317" s="51">
        <f t="shared" ca="1" si="114"/>
        <v>48.397789266983033</v>
      </c>
      <c r="CB317" s="91">
        <f ca="1">IF(BV317="","",DATE(INDEX(OFFSET(Arb!$C$2,,,Arb!$AJ$5,),BV317),INDEX(OFFSET(Arb!$B$2,,,Arb!$AJ$5,),BV317),INDEX(OFFSET(Arb!$A$2,,,Arb!$AJ$5,),BV317))+ROW()*0.001)</f>
        <v>44003.317000000003</v>
      </c>
    </row>
    <row r="318" spans="1:80" x14ac:dyDescent="0.25">
      <c r="A318" s="433">
        <v>176</v>
      </c>
      <c r="B318" s="1">
        <v>3288</v>
      </c>
      <c r="C318" s="52">
        <f ca="1">IF(B318="","",INDEX(OFFSET(Arb!$H$2,,,Arb!$AJ$5,),B318))</f>
        <v>66.17</v>
      </c>
      <c r="D318" s="3">
        <f t="shared" ca="1" si="95"/>
        <v>2.6598156264168051</v>
      </c>
      <c r="E318" s="165">
        <f ca="1">IF(B318="","",INDEX(OFFSET(Arb!$X$2,,,Arb!$AJ$5,),B318)/C318)</f>
        <v>3.1434184675834969</v>
      </c>
      <c r="F318" s="165">
        <f ca="1">IF(B318="","",(INDEX(OFFSET(Arb!$U$2,,,Arb!$AJ$5,),B318)+INDEX(OFFSET(Arb!$V$2,,,Arb!$AJ$5,),B318))/C318)</f>
        <v>3.4758954208855974</v>
      </c>
      <c r="G318" s="51">
        <f t="shared" ca="1" si="105"/>
        <v>61.500549229527849</v>
      </c>
      <c r="H318" s="355">
        <f ca="1">IF(B318="","",DATE(INDEX(OFFSET(Arb!$C$2,,,Arb!$AJ$5,),B318),INDEX(OFFSET(Arb!$B$2,,,Arb!$AJ$5,),B318),INDEX(OFFSET(Arb!$A$2,,,Arb!$AJ$5,),B318))+ROW()*0.001)</f>
        <v>44084.317999999999</v>
      </c>
      <c r="I318" s="436">
        <v>176</v>
      </c>
      <c r="J318" s="1">
        <v>3234</v>
      </c>
      <c r="K318" s="52">
        <f ca="1">IF(J318="","",INDEX(OFFSET(Arb!$H$2,,,Arb!$AJ$5,),J318))</f>
        <v>68.680000000000007</v>
      </c>
      <c r="L318" s="3">
        <f t="shared" ca="1" si="96"/>
        <v>2.56260920209668</v>
      </c>
      <c r="M318" s="165">
        <f ca="1">IF(J318="","",INDEX(OFFSET(Arb!$X$2,,,Arb!$AJ$5,),J318)/K318)</f>
        <v>3.0867792661619098</v>
      </c>
      <c r="N318" s="165">
        <f ca="1">IF(J318="","",(INDEX(OFFSET(Arb!$U$2,,,Arb!$AJ$5,),J318)+INDEX(OFFSET(Arb!$V$2,,,Arb!$AJ$5,),J318))/K318)</f>
        <v>3.3634245777518923</v>
      </c>
      <c r="O318" s="51">
        <f t="shared" ca="1" si="106"/>
        <v>57.72865459794675</v>
      </c>
      <c r="P318" s="91">
        <f ca="1">IF(J318="","",DATE(INDEX(OFFSET(Arb!$C$2,,,Arb!$AJ$5,),J318),INDEX(OFFSET(Arb!$B$2,,,Arb!$AJ$5,),J318),INDEX(OFFSET(Arb!$A$2,,,Arb!$AJ$5,),J318))+ROW()*0.001)</f>
        <v>44063.317999999999</v>
      </c>
      <c r="Q318" s="442">
        <v>176</v>
      </c>
      <c r="R318" s="1">
        <v>3318</v>
      </c>
      <c r="S318" s="52">
        <f ca="1">IF(R318="","",INDEX(OFFSET(Arb!$H$2,,,Arb!$AJ$5,),R318))</f>
        <v>70</v>
      </c>
      <c r="T318" s="3">
        <f t="shared" ca="1" si="97"/>
        <v>2.5142857142857142</v>
      </c>
      <c r="U318" s="165">
        <f ca="1">IF(R318="","",INDEX(OFFSET(Arb!$X$2,,,Arb!$AJ$5,),R318)/S318)</f>
        <v>3.2</v>
      </c>
      <c r="V318" s="165">
        <f ca="1">IF(R318="","",(INDEX(OFFSET(Arb!$U$2,,,Arb!$AJ$5,),R318)+INDEX(OFFSET(Arb!$V$2,,,Arb!$AJ$5,),R318))/S318)</f>
        <v>3.5285714285714285</v>
      </c>
      <c r="W318" s="51">
        <f t="shared" ca="1" si="107"/>
        <v>55.890276108977055</v>
      </c>
      <c r="X318" s="88">
        <f ca="1">IF(R318="","",DATE(INDEX(OFFSET(Arb!$C$2,,,Arb!$AJ$5,),R318),INDEX(OFFSET(Arb!$B$2,,,Arb!$AJ$5,),R318),INDEX(OFFSET(Arb!$A$2,,,Arb!$AJ$5,),R318))+ROW()*0.001)</f>
        <v>44094.317999999999</v>
      </c>
      <c r="Y318" s="436">
        <v>176</v>
      </c>
      <c r="Z318" s="1">
        <v>2835</v>
      </c>
      <c r="AA318" s="52">
        <f ca="1">IF(Z318="","",INDEX(OFFSET(Arb!$H$2,,,Arb!$AJ$5,),Z318))</f>
        <v>71.569999999999993</v>
      </c>
      <c r="AB318" s="3">
        <f t="shared" ca="1" si="98"/>
        <v>2.4591309207768619</v>
      </c>
      <c r="AC318" s="165">
        <f ca="1">IF(Z318="","",INDEX(OFFSET(Arb!$X$2,,,Arb!$AJ$5,),Z318)/AA318)</f>
        <v>3.0459689814167952</v>
      </c>
      <c r="AD318" s="165">
        <f ca="1">IF(Z318="","",(INDEX(OFFSET(Arb!$U$2,,,Arb!$AJ$5,),Z318)+INDEX(OFFSET(Arb!$V$2,,,Arb!$AJ$5,),Z318))/AA318)</f>
        <v>3.3813050160681852</v>
      </c>
      <c r="AE318" s="51">
        <f t="shared" ca="1" si="108"/>
        <v>53.82204485978761</v>
      </c>
      <c r="AF318" s="91">
        <f ca="1">IF(Z318="","",DATE(INDEX(OFFSET(Arb!$C$2,,,Arb!$AJ$5,),Z318),INDEX(OFFSET(Arb!$B$2,,,Arb!$AJ$5,),Z318),INDEX(OFFSET(Arb!$A$2,,,Arb!$AJ$5,),Z318))+ROW()*0.001)</f>
        <v>43902.317999999999</v>
      </c>
      <c r="AG318" s="442">
        <v>176</v>
      </c>
      <c r="AH318" s="1">
        <v>2875</v>
      </c>
      <c r="AI318" s="52">
        <f ca="1">IF(AH318="","",INDEX(OFFSET(Arb!$H$2,,,Arb!$AJ$5,),AH318))</f>
        <v>71.72</v>
      </c>
      <c r="AJ318" s="3">
        <f t="shared" ca="1" si="99"/>
        <v>2.4539877300613497</v>
      </c>
      <c r="AK318" s="165">
        <f ca="1">IF(AH318="","",INDEX(OFFSET(Arb!$X$2,,,Arb!$AJ$5,),AH318)/AI318)</f>
        <v>2.830451756832125</v>
      </c>
      <c r="AL318" s="165">
        <f ca="1">IF(AH318="","",(INDEX(OFFSET(Arb!$U$2,,,Arb!$AJ$5,),AH318)+INDEX(OFFSET(Arb!$V$2,,,Arb!$AJ$5,),AH318))/AI318)</f>
        <v>3.0117122141662018</v>
      </c>
      <c r="AM318" s="51">
        <f t="shared" ca="1" si="109"/>
        <v>53.630821034773703</v>
      </c>
      <c r="AN318" s="88">
        <f ca="1">IF(AH318="","",DATE(INDEX(OFFSET(Arb!$C$2,,,Arb!$AJ$5,),AH318),INDEX(OFFSET(Arb!$B$2,,,Arb!$AJ$5,),AH318),INDEX(OFFSET(Arb!$A$2,,,Arb!$AJ$5,),AH318))+ROW()*0.001)</f>
        <v>43916.317999999999</v>
      </c>
      <c r="AO318" s="436">
        <v>176</v>
      </c>
      <c r="AP318" s="1">
        <v>3448</v>
      </c>
      <c r="AQ318" s="52">
        <f ca="1">IF(AP318="","",INDEX(OFFSET(Arb!$H$2,,,Arb!$AJ$5,),AP318))</f>
        <v>72.12</v>
      </c>
      <c r="AR318" s="3">
        <f t="shared" ca="1" si="100"/>
        <v>2.4403771491957849</v>
      </c>
      <c r="AS318" s="165">
        <f ca="1">IF(AP318="","",INDEX(OFFSET(Arb!$X$2,,,Arb!$AJ$5,),AP318)/AQ318)</f>
        <v>2.7315585135884635</v>
      </c>
      <c r="AT318" s="165">
        <f ca="1">IF(AP318="","",(INDEX(OFFSET(Arb!$U$2,,,Arb!$AJ$5,),AP318)+INDEX(OFFSET(Arb!$V$2,,,Arb!$AJ$5,),AP318))/AQ318)</f>
        <v>3.0366056572379367</v>
      </c>
      <c r="AU318" s="51">
        <f t="shared" ca="1" si="110"/>
        <v>53.126132666850523</v>
      </c>
      <c r="AV318" s="91">
        <f ca="1">IF(AP318="","",DATE(INDEX(OFFSET(Arb!$C$2,,,Arb!$AJ$5,),AP318),INDEX(OFFSET(Arb!$B$2,,,Arb!$AJ$5,),AP318),INDEX(OFFSET(Arb!$A$2,,,Arb!$AJ$5,),AP318))+ROW()*0.001)</f>
        <v>44177.317999999999</v>
      </c>
      <c r="AW318" s="442">
        <v>176</v>
      </c>
      <c r="AX318" s="1">
        <v>2830</v>
      </c>
      <c r="AY318" s="52">
        <f ca="1">IF(AX318="","",INDEX(OFFSET(Arb!$H$2,,,Arb!$AJ$5,),AX318))</f>
        <v>74.819999999999993</v>
      </c>
      <c r="AZ318" s="3">
        <f t="shared" ca="1" si="101"/>
        <v>2.3523122159850312</v>
      </c>
      <c r="BA318" s="165">
        <f ca="1">IF(AX318="","",INDEX(OFFSET(Arb!$X$2,,,Arb!$AJ$5,),AX318)/AY318)</f>
        <v>2.8468323977546115</v>
      </c>
      <c r="BB318" s="165">
        <f ca="1">IF(AX318="","",(INDEX(OFFSET(Arb!$U$2,,,Arb!$AJ$5,),AX318)+INDEX(OFFSET(Arb!$V$2,,,Arb!$AJ$5,),AX318))/AY318)</f>
        <v>3.1141406041165465</v>
      </c>
      <c r="BC318" s="51">
        <f t="shared" ca="1" si="111"/>
        <v>49.908305700511825</v>
      </c>
      <c r="BD318" s="88">
        <f ca="1">IF(AX318="","",DATE(INDEX(OFFSET(Arb!$C$2,,,Arb!$AJ$5,),AX318),INDEX(OFFSET(Arb!$B$2,,,Arb!$AJ$5,),AX318),INDEX(OFFSET(Arb!$A$2,,,Arb!$AJ$5,),AX318))+ROW()*0.001)</f>
        <v>43901.317999999999</v>
      </c>
      <c r="BE318" s="436">
        <v>176</v>
      </c>
      <c r="BF318" s="1">
        <v>3268</v>
      </c>
      <c r="BG318" s="52">
        <f ca="1">IF(BF318="","",INDEX(OFFSET(Arb!$H$2,,,Arb!$AJ$5,),BF318))</f>
        <v>75.31</v>
      </c>
      <c r="BH318" s="3">
        <f t="shared" ca="1" si="102"/>
        <v>2.3370070375780108</v>
      </c>
      <c r="BI318" s="165">
        <f ca="1">IF(BF318="","",INDEX(OFFSET(Arb!$X$2,,,Arb!$AJ$5,),BF318)/BG318)</f>
        <v>2.7486389589695923</v>
      </c>
      <c r="BJ318" s="165">
        <f ca="1">IF(BF318="","",(INDEX(OFFSET(Arb!$U$2,,,Arb!$AJ$5,),BF318)+INDEX(OFFSET(Arb!$V$2,,,Arb!$AJ$5,),BF318))/BG318)</f>
        <v>3.1469924312840258</v>
      </c>
      <c r="BK318" s="51">
        <f t="shared" ca="1" si="112"/>
        <v>49.357530461779241</v>
      </c>
      <c r="BL318" s="91">
        <f ca="1">IF(BF318="","",DATE(INDEX(OFFSET(Arb!$C$2,,,Arb!$AJ$5,),BF318),INDEX(OFFSET(Arb!$B$2,,,Arb!$AJ$5,),BF318),INDEX(OFFSET(Arb!$A$2,,,Arb!$AJ$5,),BF318))+ROW()*0.001)</f>
        <v>44074.317999999999</v>
      </c>
      <c r="BM318" s="442">
        <v>176</v>
      </c>
      <c r="BN318" s="1">
        <v>2713</v>
      </c>
      <c r="BO318" s="52">
        <f ca="1">IF(BN318="","",INDEX(OFFSET(Arb!$H$2,,,Arb!$AJ$5,),BN318))</f>
        <v>76.22</v>
      </c>
      <c r="BP318" s="3">
        <f t="shared" ca="1" si="103"/>
        <v>2.3091052217265808</v>
      </c>
      <c r="BQ318" s="165">
        <f ca="1">IF(BN318="","",INDEX(OFFSET(Arb!$X$2,,,Arb!$AJ$5,),BN318)/BO318)</f>
        <v>2.807662030963002</v>
      </c>
      <c r="BR318" s="165">
        <f ca="1">IF(BN318="","",(INDEX(OFFSET(Arb!$U$2,,,Arb!$AJ$5,),BN318)+INDEX(OFFSET(Arb!$V$2,,,Arb!$AJ$5,),BN318))/BO318)</f>
        <v>3.1094200997113619</v>
      </c>
      <c r="BS318" s="51">
        <f t="shared" ca="1" si="113"/>
        <v>48.359936018333883</v>
      </c>
      <c r="BT318" s="88">
        <f ca="1">IF(BN318="","",DATE(INDEX(OFFSET(Arb!$C$2,,,Arb!$AJ$5,),BN318),INDEX(OFFSET(Arb!$B$2,,,Arb!$AJ$5,),BN318),INDEX(OFFSET(Arb!$A$2,,,Arb!$AJ$5,),BN318))+ROW()*0.001)</f>
        <v>43850.317999999999</v>
      </c>
      <c r="BU318" s="436">
        <v>176</v>
      </c>
      <c r="BV318" s="1">
        <v>3242</v>
      </c>
      <c r="BW318" s="52">
        <f ca="1">IF(BV318="","",INDEX(OFFSET(Arb!$H$2,,,Arb!$AJ$5,),BV318))</f>
        <v>77.44</v>
      </c>
      <c r="BX318" s="3">
        <f t="shared" ca="1" si="104"/>
        <v>2.2727272727272729</v>
      </c>
      <c r="BY318" s="165">
        <f ca="1">IF(BV318="","",INDEX(OFFSET(Arb!$X$2,,,Arb!$AJ$5,),BV318)/BW318)</f>
        <v>2.5826446280991737</v>
      </c>
      <c r="BZ318" s="165">
        <f ca="1">IF(BV318="","",(INDEX(OFFSET(Arb!$U$2,,,Arb!$AJ$5,),BV318)+INDEX(OFFSET(Arb!$V$2,,,Arb!$AJ$5,),BV318))/BW318)</f>
        <v>2.7892561983471076</v>
      </c>
      <c r="CA318" s="51">
        <f t="shared" ca="1" si="114"/>
        <v>47.071911858214129</v>
      </c>
      <c r="CB318" s="91">
        <f ca="1">IF(BV318="","",DATE(INDEX(OFFSET(Arb!$C$2,,,Arb!$AJ$5,),BV318),INDEX(OFFSET(Arb!$B$2,,,Arb!$AJ$5,),BV318),INDEX(OFFSET(Arb!$A$2,,,Arb!$AJ$5,),BV318))+ROW()*0.001)</f>
        <v>44064.317999999999</v>
      </c>
    </row>
    <row r="319" spans="1:80" x14ac:dyDescent="0.25">
      <c r="A319" s="433">
        <v>177</v>
      </c>
      <c r="B319" s="1">
        <v>2929</v>
      </c>
      <c r="C319" s="52">
        <f ca="1">IF(B319="","",INDEX(OFFSET(Arb!$H$2,,,Arb!$AJ$5,),B319))</f>
        <v>71.44</v>
      </c>
      <c r="D319" s="3">
        <f t="shared" ca="1" si="95"/>
        <v>2.4776035834266517</v>
      </c>
      <c r="E319" s="165">
        <f ca="1">IF(B319="","",INDEX(OFFSET(Arb!$X$2,,,Arb!$AJ$5,),B319)/C319)</f>
        <v>2.9815229563269878</v>
      </c>
      <c r="F319" s="165">
        <f ca="1">IF(B319="","",(INDEX(OFFSET(Arb!$U$2,,,Arb!$AJ$5,),B319)+INDEX(OFFSET(Arb!$V$2,,,Arb!$AJ$5,),B319))/C319)</f>
        <v>3.35946248600224</v>
      </c>
      <c r="G319" s="51">
        <f t="shared" ca="1" si="105"/>
        <v>54.295403341438075</v>
      </c>
      <c r="H319" s="355">
        <f ca="1">IF(B319="","",DATE(INDEX(OFFSET(Arb!$C$2,,,Arb!$AJ$5,),B319),INDEX(OFFSET(Arb!$B$2,,,Arb!$AJ$5,),B319),INDEX(OFFSET(Arb!$A$2,,,Arb!$AJ$5,),B319))+ROW()*0.001)</f>
        <v>43937.319000000003</v>
      </c>
      <c r="I319" s="436">
        <v>177</v>
      </c>
      <c r="J319" s="1">
        <v>2547</v>
      </c>
      <c r="K319" s="52">
        <f ca="1">IF(J319="","",INDEX(OFFSET(Arb!$H$2,,,Arb!$AJ$5,),J319))</f>
        <v>72.75</v>
      </c>
      <c r="L319" s="3">
        <f t="shared" ca="1" si="96"/>
        <v>2.4329896907216493</v>
      </c>
      <c r="M319" s="165">
        <f ca="1">IF(J319="","",INDEX(OFFSET(Arb!$X$2,,,Arb!$AJ$5,),J319)/K319)</f>
        <v>2.9553264604810998</v>
      </c>
      <c r="N319" s="165">
        <f ca="1">IF(J319="","",(INDEX(OFFSET(Arb!$U$2,,,Arb!$AJ$5,),J319)+INDEX(OFFSET(Arb!$V$2,,,Arb!$AJ$5,),J319))/K319)</f>
        <v>3.2577319587628866</v>
      </c>
      <c r="O319" s="51">
        <f t="shared" ca="1" si="106"/>
        <v>52.643823656090319</v>
      </c>
      <c r="P319" s="91">
        <f ca="1">IF(J319="","",DATE(INDEX(OFFSET(Arb!$C$2,,,Arb!$AJ$5,),J319),INDEX(OFFSET(Arb!$B$2,,,Arb!$AJ$5,),J319),INDEX(OFFSET(Arb!$A$2,,,Arb!$AJ$5,),J319))+ROW()*0.001)</f>
        <v>43797.319000000003</v>
      </c>
      <c r="Q319" s="442">
        <v>177</v>
      </c>
      <c r="R319" s="1">
        <v>3171</v>
      </c>
      <c r="S319" s="52">
        <f ca="1">IF(R319="","",INDEX(OFFSET(Arb!$H$2,,,Arb!$AJ$5,),R319))</f>
        <v>72.91</v>
      </c>
      <c r="T319" s="3">
        <f t="shared" ca="1" si="97"/>
        <v>2.4276505280482787</v>
      </c>
      <c r="U319" s="165">
        <f ca="1">IF(R319="","",INDEX(OFFSET(Arb!$X$2,,,Arb!$AJ$5,),R319)/S319)</f>
        <v>2.893978878068852</v>
      </c>
      <c r="V319" s="165">
        <f ca="1">IF(R319="","",(INDEX(OFFSET(Arb!$U$2,,,Arb!$AJ$5,),R319)+INDEX(OFFSET(Arb!$V$2,,,Arb!$AJ$5,),R319))/S319)</f>
        <v>3.0997119736661638</v>
      </c>
      <c r="W319" s="51">
        <f t="shared" ca="1" si="107"/>
        <v>52.447580074558381</v>
      </c>
      <c r="X319" s="88">
        <f ca="1">IF(R319="","",DATE(INDEX(OFFSET(Arb!$C$2,,,Arb!$AJ$5,),R319),INDEX(OFFSET(Arb!$B$2,,,Arb!$AJ$5,),R319),INDEX(OFFSET(Arb!$A$2,,,Arb!$AJ$5,),R319))+ROW()*0.001)</f>
        <v>44038.319000000003</v>
      </c>
      <c r="Y319" s="436">
        <v>177</v>
      </c>
      <c r="Z319" s="1">
        <v>2797</v>
      </c>
      <c r="AA319" s="52">
        <f ca="1">IF(Z319="","",INDEX(OFFSET(Arb!$H$2,,,Arb!$AJ$5,),Z319))</f>
        <v>74.760000000000005</v>
      </c>
      <c r="AB319" s="3">
        <f t="shared" ca="1" si="98"/>
        <v>2.3675762439807384</v>
      </c>
      <c r="AC319" s="165">
        <f ca="1">IF(Z319="","",INDEX(OFFSET(Arb!$X$2,,,Arb!$AJ$5,),Z319)/AA319)</f>
        <v>2.728731942215088</v>
      </c>
      <c r="AD319" s="165">
        <f ca="1">IF(Z319="","",(INDEX(OFFSET(Arb!$U$2,,,Arb!$AJ$5,),Z319)+INDEX(OFFSET(Arb!$V$2,,,Arb!$AJ$5,),Z319))/AA319)</f>
        <v>3.0230069555912249</v>
      </c>
      <c r="AE319" s="51">
        <f t="shared" ca="1" si="108"/>
        <v>50.260374940821819</v>
      </c>
      <c r="AF319" s="91">
        <f ca="1">IF(Z319="","",DATE(INDEX(OFFSET(Arb!$C$2,,,Arb!$AJ$5,),Z319),INDEX(OFFSET(Arb!$B$2,,,Arb!$AJ$5,),Z319),INDEX(OFFSET(Arb!$A$2,,,Arb!$AJ$5,),Z319))+ROW()*0.001)</f>
        <v>43894.319000000003</v>
      </c>
      <c r="AG319" s="442">
        <v>177</v>
      </c>
      <c r="AH319" s="1">
        <v>2758</v>
      </c>
      <c r="AI319" s="52">
        <f ca="1">IF(AH319="","",INDEX(OFFSET(Arb!$H$2,,,Arb!$AJ$5,),AH319))</f>
        <v>76.959999999999994</v>
      </c>
      <c r="AJ319" s="3">
        <f t="shared" ca="1" si="99"/>
        <v>2.2998960498960499</v>
      </c>
      <c r="AK319" s="165">
        <f ca="1">IF(AH319="","",INDEX(OFFSET(Arb!$X$2,,,Arb!$AJ$5,),AH319)/AI319)</f>
        <v>2.7676715176715181</v>
      </c>
      <c r="AL319" s="165">
        <f ca="1">IF(AH319="","",(INDEX(OFFSET(Arb!$U$2,,,Arb!$AJ$5,),AH319)+INDEX(OFFSET(Arb!$V$2,,,Arb!$AJ$5,),AH319))/AI319)</f>
        <v>3.1055093555093558</v>
      </c>
      <c r="AM319" s="51">
        <f t="shared" ca="1" si="109"/>
        <v>47.842395985767148</v>
      </c>
      <c r="AN319" s="88">
        <f ca="1">IF(AH319="","",DATE(INDEX(OFFSET(Arb!$C$2,,,Arb!$AJ$5,),AH319),INDEX(OFFSET(Arb!$B$2,,,Arb!$AJ$5,),AH319),INDEX(OFFSET(Arb!$A$2,,,Arb!$AJ$5,),AH319))+ROW()*0.001)</f>
        <v>43885.319000000003</v>
      </c>
      <c r="AO319" s="436">
        <v>177</v>
      </c>
      <c r="AP319" s="1">
        <v>3033</v>
      </c>
      <c r="AQ319" s="52">
        <f ca="1">IF(AP319="","",INDEX(OFFSET(Arb!$H$2,,,Arb!$AJ$5,),AP319))</f>
        <v>77.12</v>
      </c>
      <c r="AR319" s="3">
        <f t="shared" ca="1" si="100"/>
        <v>2.2951244813278007</v>
      </c>
      <c r="AS319" s="165">
        <f ca="1">IF(AP319="","",INDEX(OFFSET(Arb!$X$2,,,Arb!$AJ$5,),AP319)/AQ319)</f>
        <v>2.7489626556016598</v>
      </c>
      <c r="AT319" s="165">
        <f ca="1">IF(AP319="","",(INDEX(OFFSET(Arb!$U$2,,,Arb!$AJ$5,),AP319)+INDEX(OFFSET(Arb!$V$2,,,Arb!$AJ$5,),AP319))/AQ319)</f>
        <v>3.0731327800829873</v>
      </c>
      <c r="AU319" s="51">
        <f t="shared" ca="1" si="110"/>
        <v>47.673779798307869</v>
      </c>
      <c r="AV319" s="91">
        <f ca="1">IF(AP319="","",DATE(INDEX(OFFSET(Arb!$C$2,,,Arb!$AJ$5,),AP319),INDEX(OFFSET(Arb!$B$2,,,Arb!$AJ$5,),AP319),INDEX(OFFSET(Arb!$A$2,,,Arb!$AJ$5,),AP319))+ROW()*0.001)</f>
        <v>43979.319000000003</v>
      </c>
      <c r="AW319" s="442">
        <v>177</v>
      </c>
      <c r="AX319" s="1">
        <v>2880</v>
      </c>
      <c r="AY319" s="52">
        <f ca="1">IF(AX319="","",INDEX(OFFSET(Arb!$H$2,,,Arb!$AJ$5,),AX319))</f>
        <v>77.17</v>
      </c>
      <c r="AZ319" s="3">
        <f t="shared" ca="1" si="101"/>
        <v>2.2936374238693791</v>
      </c>
      <c r="BA319" s="165">
        <f ca="1">IF(AX319="","",INDEX(OFFSET(Arb!$X$2,,,Arb!$AJ$5,),AX319)/AY319)</f>
        <v>2.8249319683814953</v>
      </c>
      <c r="BB319" s="165">
        <f ca="1">IF(AX319="","",(INDEX(OFFSET(Arb!$U$2,,,Arb!$AJ$5,),AX319)+INDEX(OFFSET(Arb!$V$2,,,Arb!$AJ$5,),AX319))/AY319)</f>
        <v>3.1877672670726964</v>
      </c>
      <c r="BC319" s="51">
        <f t="shared" ca="1" si="111"/>
        <v>47.621280740624925</v>
      </c>
      <c r="BD319" s="88">
        <f ca="1">IF(AX319="","",DATE(INDEX(OFFSET(Arb!$C$2,,,Arb!$AJ$5,),AX319),INDEX(OFFSET(Arb!$B$2,,,Arb!$AJ$5,),AX319),INDEX(OFFSET(Arb!$A$2,,,Arb!$AJ$5,),AX319))+ROW()*0.001)</f>
        <v>43917.319000000003</v>
      </c>
      <c r="BE319" s="436">
        <v>177</v>
      </c>
      <c r="BF319" s="1">
        <v>2716</v>
      </c>
      <c r="BG319" s="52">
        <f ca="1">IF(BF319="","",INDEX(OFFSET(Arb!$H$2,,,Arb!$AJ$5,),BF319))</f>
        <v>77.31</v>
      </c>
      <c r="BH319" s="3">
        <f t="shared" ca="1" si="102"/>
        <v>2.2894838960031043</v>
      </c>
      <c r="BI319" s="165">
        <f ca="1">IF(BF319="","",INDEX(OFFSET(Arb!$X$2,,,Arb!$AJ$5,),BF319)/BG319)</f>
        <v>2.6904669512352863</v>
      </c>
      <c r="BJ319" s="165">
        <f ca="1">IF(BF319="","",(INDEX(OFFSET(Arb!$U$2,,,Arb!$AJ$5,),BF319)+INDEX(OFFSET(Arb!$V$2,,,Arb!$AJ$5,),BF319))/BG319)</f>
        <v>2.9879705083430346</v>
      </c>
      <c r="BK319" s="51">
        <f t="shared" ca="1" si="112"/>
        <v>47.47477084570901</v>
      </c>
      <c r="BL319" s="91">
        <f ca="1">IF(BF319="","",DATE(INDEX(OFFSET(Arb!$C$2,,,Arb!$AJ$5,),BF319),INDEX(OFFSET(Arb!$B$2,,,Arb!$AJ$5,),BF319),INDEX(OFFSET(Arb!$A$2,,,Arb!$AJ$5,),BF319))+ROW()*0.001)</f>
        <v>43852.319000000003</v>
      </c>
      <c r="BM319" s="442">
        <v>177</v>
      </c>
      <c r="BN319" s="1">
        <v>2609</v>
      </c>
      <c r="BO319" s="52">
        <f ca="1">IF(BN319="","",INDEX(OFFSET(Arb!$H$2,,,Arb!$AJ$5,),BN319))</f>
        <v>79.53</v>
      </c>
      <c r="BP319" s="3">
        <f t="shared" ca="1" si="103"/>
        <v>2.2255752546208978</v>
      </c>
      <c r="BQ319" s="165">
        <f ca="1">IF(BN319="","",INDEX(OFFSET(Arb!$X$2,,,Arb!$AJ$5,),BN319)/BO319)</f>
        <v>2.6908084999371304</v>
      </c>
      <c r="BR319" s="165">
        <f ca="1">IF(BN319="","",(INDEX(OFFSET(Arb!$U$2,,,Arb!$AJ$5,),BN319)+INDEX(OFFSET(Arb!$V$2,,,Arb!$AJ$5,),BN319))/BO319)</f>
        <v>2.9800075443228971</v>
      </c>
      <c r="BS319" s="51">
        <f t="shared" ca="1" si="113"/>
        <v>45.243985186842501</v>
      </c>
      <c r="BT319" s="88">
        <f ca="1">IF(BN319="","",DATE(INDEX(OFFSET(Arb!$C$2,,,Arb!$AJ$5,),BN319),INDEX(OFFSET(Arb!$B$2,,,Arb!$AJ$5,),BN319),INDEX(OFFSET(Arb!$A$2,,,Arb!$AJ$5,),BN319))+ROW()*0.001)</f>
        <v>43811.319000000003</v>
      </c>
      <c r="BU319" s="436">
        <v>177</v>
      </c>
      <c r="BV319" s="1">
        <v>2817</v>
      </c>
      <c r="BW319" s="52">
        <f ca="1">IF(BV319="","",INDEX(OFFSET(Arb!$H$2,,,Arb!$AJ$5,),BV319))</f>
        <v>79.739999999999995</v>
      </c>
      <c r="BX319" s="3">
        <f t="shared" ca="1" si="104"/>
        <v>2.2197140707298724</v>
      </c>
      <c r="BY319" s="165">
        <f ca="1">IF(BV319="","",INDEX(OFFSET(Arb!$X$2,,,Arb!$AJ$5,),BV319)/BW319)</f>
        <v>2.7088036117381491</v>
      </c>
      <c r="BZ319" s="165">
        <f ca="1">IF(BV319="","",(INDEX(OFFSET(Arb!$U$2,,,Arb!$AJ$5,),BV319)+INDEX(OFFSET(Arb!$V$2,,,Arb!$AJ$5,),BV319))/BW319)</f>
        <v>3.0097817908201656</v>
      </c>
      <c r="CA319" s="51">
        <f t="shared" ca="1" si="114"/>
        <v>45.041612341887927</v>
      </c>
      <c r="CB319" s="91">
        <f ca="1">IF(BV319="","",DATE(INDEX(OFFSET(Arb!$C$2,,,Arb!$AJ$5,),BV319),INDEX(OFFSET(Arb!$B$2,,,Arb!$AJ$5,),BV319),INDEX(OFFSET(Arb!$A$2,,,Arb!$AJ$5,),BV319))+ROW()*0.001)</f>
        <v>43899.319000000003</v>
      </c>
    </row>
    <row r="320" spans="1:80" x14ac:dyDescent="0.25">
      <c r="A320" s="433">
        <v>178</v>
      </c>
      <c r="B320" s="1">
        <v>3267</v>
      </c>
      <c r="C320" s="52">
        <f ca="1">IF(B320="","",INDEX(OFFSET(Arb!$H$2,,,Arb!$AJ$5,),B320))</f>
        <v>67.459999999999994</v>
      </c>
      <c r="D320" s="3">
        <f t="shared" ca="1" si="95"/>
        <v>2.6386006522383636</v>
      </c>
      <c r="E320" s="165">
        <f ca="1">IF(B320="","",INDEX(OFFSET(Arb!$X$2,,,Arb!$AJ$5,),B320)/C320)</f>
        <v>3.0833086273347172</v>
      </c>
      <c r="F320" s="165">
        <f ca="1">IF(B320="","",(INDEX(OFFSET(Arb!$U$2,,,Arb!$AJ$5,),B320)+INDEX(OFFSET(Arb!$V$2,,,Arb!$AJ$5,),B320))/C320)</f>
        <v>3.4835458049214352</v>
      </c>
      <c r="G320" s="51">
        <f t="shared" ca="1" si="105"/>
        <v>60.190989790077559</v>
      </c>
      <c r="H320" s="355">
        <f ca="1">IF(B320="","",DATE(INDEX(OFFSET(Arb!$C$2,,,Arb!$AJ$5,),B320),INDEX(OFFSET(Arb!$B$2,,,Arb!$AJ$5,),B320),INDEX(OFFSET(Arb!$A$2,,,Arb!$AJ$5,),B320))+ROW()*0.001)</f>
        <v>44073.32</v>
      </c>
      <c r="I320" s="436">
        <v>178</v>
      </c>
      <c r="J320" s="1">
        <v>3246</v>
      </c>
      <c r="K320" s="52">
        <f ca="1">IF(J320="","",INDEX(OFFSET(Arb!$H$2,,,Arb!$AJ$5,),J320))</f>
        <v>69.94</v>
      </c>
      <c r="L320" s="3">
        <f t="shared" ca="1" si="96"/>
        <v>2.5450386045181586</v>
      </c>
      <c r="M320" s="165">
        <f ca="1">IF(J320="","",INDEX(OFFSET(Arb!$X$2,,,Arb!$AJ$5,),J320)/K320)</f>
        <v>2.9596797254789822</v>
      </c>
      <c r="N320" s="165">
        <f ca="1">IF(J320="","",(INDEX(OFFSET(Arb!$U$2,,,Arb!$AJ$5,),J320)+INDEX(OFFSET(Arb!$V$2,,,Arb!$AJ$5,),J320))/K320)</f>
        <v>3.3171289676865885</v>
      </c>
      <c r="O320" s="51">
        <f t="shared" ca="1" si="106"/>
        <v>56.607853865019678</v>
      </c>
      <c r="P320" s="91">
        <f ca="1">IF(J320="","",DATE(INDEX(OFFSET(Arb!$C$2,,,Arb!$AJ$5,),J320),INDEX(OFFSET(Arb!$B$2,,,Arb!$AJ$5,),J320),INDEX(OFFSET(Arb!$A$2,,,Arb!$AJ$5,),J320))+ROW()*0.001)</f>
        <v>44066.32</v>
      </c>
      <c r="Q320" s="442">
        <v>178</v>
      </c>
      <c r="R320" s="1">
        <v>3161</v>
      </c>
      <c r="S320" s="52">
        <f ca="1">IF(R320="","",INDEX(OFFSET(Arb!$H$2,,,Arb!$AJ$5,),R320))</f>
        <v>71.17</v>
      </c>
      <c r="T320" s="3">
        <f t="shared" ca="1" si="97"/>
        <v>2.5010538148096106</v>
      </c>
      <c r="U320" s="165">
        <f ca="1">IF(R320="","",INDEX(OFFSET(Arb!$X$2,,,Arb!$AJ$5,),R320)/S320)</f>
        <v>3.049037515807222</v>
      </c>
      <c r="V320" s="165">
        <f ca="1">IF(R320="","",(INDEX(OFFSET(Arb!$U$2,,,Arb!$AJ$5,),R320)+INDEX(OFFSET(Arb!$V$2,,,Arb!$AJ$5,),R320))/S320)</f>
        <v>3.3722073907545314</v>
      </c>
      <c r="W320" s="51">
        <f t="shared" ca="1" si="107"/>
        <v>54.9547726779494</v>
      </c>
      <c r="X320" s="88">
        <f ca="1">IF(R320="","",DATE(INDEX(OFFSET(Arb!$C$2,,,Arb!$AJ$5,),R320),INDEX(OFFSET(Arb!$B$2,,,Arb!$AJ$5,),R320),INDEX(OFFSET(Arb!$A$2,,,Arb!$AJ$5,),R320))+ROW()*0.001)</f>
        <v>44031.32</v>
      </c>
      <c r="Y320" s="436">
        <v>178</v>
      </c>
      <c r="Z320" s="1">
        <v>3008</v>
      </c>
      <c r="AA320" s="52">
        <f ca="1">IF(Z320="","",INDEX(OFFSET(Arb!$H$2,,,Arb!$AJ$5,),Z320))</f>
        <v>71.17</v>
      </c>
      <c r="AB320" s="3">
        <f t="shared" ca="1" si="98"/>
        <v>2.5010538148096106</v>
      </c>
      <c r="AC320" s="165">
        <f ca="1">IF(Z320="","",INDEX(OFFSET(Arb!$X$2,,,Arb!$AJ$5,),Z320)/AA320)</f>
        <v>2.8382745538850638</v>
      </c>
      <c r="AD320" s="165">
        <f ca="1">IF(Z320="","",(INDEX(OFFSET(Arb!$U$2,,,Arb!$AJ$5,),Z320)+INDEX(OFFSET(Arb!$V$2,,,Arb!$AJ$5,),Z320))/AA320)</f>
        <v>3.1052409723197978</v>
      </c>
      <c r="AE320" s="51">
        <f t="shared" ca="1" si="108"/>
        <v>54.9547726779494</v>
      </c>
      <c r="AF320" s="91">
        <f ca="1">IF(Z320="","",DATE(INDEX(OFFSET(Arb!$C$2,,,Arb!$AJ$5,),Z320),INDEX(OFFSET(Arb!$B$2,,,Arb!$AJ$5,),Z320),INDEX(OFFSET(Arb!$A$2,,,Arb!$AJ$5,),Z320))+ROW()*0.001)</f>
        <v>43957.32</v>
      </c>
      <c r="AG320" s="442">
        <v>178</v>
      </c>
      <c r="AH320" s="1">
        <v>3272</v>
      </c>
      <c r="AI320" s="52">
        <f ca="1">IF(AH320="","",INDEX(OFFSET(Arb!$H$2,,,Arb!$AJ$5,),AH320))</f>
        <v>72.010000000000005</v>
      </c>
      <c r="AJ320" s="3">
        <f t="shared" ca="1" si="99"/>
        <v>2.4718789057075403</v>
      </c>
      <c r="AK320" s="165">
        <f ca="1">IF(AH320="","",INDEX(OFFSET(Arb!$X$2,,,Arb!$AJ$5,),AH320)/AI320)</f>
        <v>2.8607137897514234</v>
      </c>
      <c r="AL320" s="165">
        <f ca="1">IF(AH320="","",(INDEX(OFFSET(Arb!$U$2,,,Arb!$AJ$5,),AH320)+INDEX(OFFSET(Arb!$V$2,,,Arb!$AJ$5,),AH320))/AI320)</f>
        <v>3.2495486737953061</v>
      </c>
      <c r="AM320" s="51">
        <f t="shared" ca="1" si="109"/>
        <v>53.869442259462005</v>
      </c>
      <c r="AN320" s="88">
        <f ca="1">IF(AH320="","",DATE(INDEX(OFFSET(Arb!$C$2,,,Arb!$AJ$5,),AH320),INDEX(OFFSET(Arb!$B$2,,,Arb!$AJ$5,),AH320),INDEX(OFFSET(Arb!$A$2,,,Arb!$AJ$5,),AH320))+ROW()*0.001)</f>
        <v>44074.32</v>
      </c>
      <c r="AO320" s="436">
        <v>178</v>
      </c>
      <c r="AP320" s="1">
        <v>3292</v>
      </c>
      <c r="AQ320" s="52">
        <f ca="1">IF(AP320="","",INDEX(OFFSET(Arb!$H$2,,,Arb!$AJ$5,),AP320))</f>
        <v>72.56</v>
      </c>
      <c r="AR320" s="3">
        <f t="shared" ca="1" si="100"/>
        <v>2.4531422271223815</v>
      </c>
      <c r="AS320" s="165">
        <f ca="1">IF(AP320="","",INDEX(OFFSET(Arb!$X$2,,,Arb!$AJ$5,),AP320)/AQ320)</f>
        <v>2.8252480705622931</v>
      </c>
      <c r="AT320" s="165">
        <f ca="1">IF(AP320="","",(INDEX(OFFSET(Arb!$U$2,,,Arb!$AJ$5,),AP320)+INDEX(OFFSET(Arb!$V$2,,,Arb!$AJ$5,),AP320))/AQ320)</f>
        <v>3.1284454244762956</v>
      </c>
      <c r="AU320" s="51">
        <f t="shared" ca="1" si="110"/>
        <v>53.177129662615023</v>
      </c>
      <c r="AV320" s="91">
        <f ca="1">IF(AP320="","",DATE(INDEX(OFFSET(Arb!$C$2,,,Arb!$AJ$5,),AP320),INDEX(OFFSET(Arb!$B$2,,,Arb!$AJ$5,),AP320),INDEX(OFFSET(Arb!$A$2,,,Arb!$AJ$5,),AP320))+ROW()*0.001)</f>
        <v>44084.32</v>
      </c>
      <c r="AW320" s="442">
        <v>178</v>
      </c>
      <c r="AX320" s="1">
        <v>2741</v>
      </c>
      <c r="AY320" s="52">
        <f ca="1">IF(AX320="","",INDEX(OFFSET(Arb!$H$2,,,Arb!$AJ$5,),AX320))</f>
        <v>74.33</v>
      </c>
      <c r="AZ320" s="3">
        <f t="shared" ca="1" si="101"/>
        <v>2.394726220906767</v>
      </c>
      <c r="BA320" s="165">
        <f ca="1">IF(AX320="","",INDEX(OFFSET(Arb!$X$2,,,Arb!$AJ$5,),AX320)/AY320)</f>
        <v>2.9463204628010224</v>
      </c>
      <c r="BB320" s="165">
        <f ca="1">IF(AX320="","",(INDEX(OFFSET(Arb!$U$2,,,Arb!$AJ$5,),AX320)+INDEX(OFFSET(Arb!$V$2,,,Arb!$AJ$5,),AX320))/AY320)</f>
        <v>3.242297860890623</v>
      </c>
      <c r="BC320" s="51">
        <f t="shared" ca="1" si="111"/>
        <v>51.042417073728878</v>
      </c>
      <c r="BD320" s="88">
        <f ca="1">IF(AX320="","",DATE(INDEX(OFFSET(Arb!$C$2,,,Arb!$AJ$5,),AX320),INDEX(OFFSET(Arb!$B$2,,,Arb!$AJ$5,),AX320),INDEX(OFFSET(Arb!$A$2,,,Arb!$AJ$5,),AX320))+ROW()*0.001)</f>
        <v>43870.32</v>
      </c>
      <c r="BE320" s="436">
        <v>178</v>
      </c>
      <c r="BF320" s="1">
        <v>2624</v>
      </c>
      <c r="BG320" s="52">
        <f ca="1">IF(BF320="","",INDEX(OFFSET(Arb!$H$2,,,Arb!$AJ$5,),BF320))</f>
        <v>75.34</v>
      </c>
      <c r="BH320" s="3">
        <f t="shared" ca="1" si="102"/>
        <v>2.3626227767454209</v>
      </c>
      <c r="BI320" s="165">
        <f ca="1">IF(BF320="","",INDEX(OFFSET(Arb!$X$2,,,Arb!$AJ$5,),BF320)/BG320)</f>
        <v>2.8404565967613484</v>
      </c>
      <c r="BJ320" s="165">
        <f ca="1">IF(BF320="","",(INDEX(OFFSET(Arb!$U$2,,,Arb!$AJ$5,),BF320)+INDEX(OFFSET(Arb!$V$2,,,Arb!$AJ$5,),BF320))/BG320)</f>
        <v>3.318290416777276</v>
      </c>
      <c r="BK320" s="51">
        <f t="shared" ca="1" si="112"/>
        <v>49.884624866939276</v>
      </c>
      <c r="BL320" s="91">
        <f ca="1">IF(BF320="","",DATE(INDEX(OFFSET(Arb!$C$2,,,Arb!$AJ$5,),BF320),INDEX(OFFSET(Arb!$B$2,,,Arb!$AJ$5,),BF320),INDEX(OFFSET(Arb!$A$2,,,Arb!$AJ$5,),BF320))+ROW()*0.001)</f>
        <v>43814.32</v>
      </c>
      <c r="BM320" s="442">
        <v>178</v>
      </c>
      <c r="BN320" s="1">
        <v>2951</v>
      </c>
      <c r="BO320" s="52">
        <f ca="1">IF(BN320="","",INDEX(OFFSET(Arb!$H$2,,,Arb!$AJ$5,),BN320))</f>
        <v>75.430000000000007</v>
      </c>
      <c r="BP320" s="3">
        <f t="shared" ca="1" si="103"/>
        <v>2.3598037915948558</v>
      </c>
      <c r="BQ320" s="165">
        <f ca="1">IF(BN320="","",INDEX(OFFSET(Arb!$X$2,,,Arb!$AJ$5,),BN320)/BO320)</f>
        <v>2.8370674797825797</v>
      </c>
      <c r="BR320" s="165">
        <f ca="1">IF(BN320="","",(INDEX(OFFSET(Arb!$U$2,,,Arb!$AJ$5,),BN320)+INDEX(OFFSET(Arb!$V$2,,,Arb!$AJ$5,),BN320))/BO320)</f>
        <v>3.2082725705952537</v>
      </c>
      <c r="BS320" s="51">
        <f t="shared" ca="1" si="113"/>
        <v>49.78348261701057</v>
      </c>
      <c r="BT320" s="88">
        <f ca="1">IF(BN320="","",DATE(INDEX(OFFSET(Arb!$C$2,,,Arb!$AJ$5,),BN320),INDEX(OFFSET(Arb!$B$2,,,Arb!$AJ$5,),BN320),INDEX(OFFSET(Arb!$A$2,,,Arb!$AJ$5,),BN320))+ROW()*0.001)</f>
        <v>43949.32</v>
      </c>
      <c r="BU320" s="436">
        <v>178</v>
      </c>
      <c r="BV320" s="1">
        <v>3050</v>
      </c>
      <c r="BW320" s="52">
        <f ca="1">IF(BV320="","",INDEX(OFFSET(Arb!$H$2,,,Arb!$AJ$5,),BV320))</f>
        <v>76.08</v>
      </c>
      <c r="BX320" s="3">
        <f t="shared" ca="1" si="104"/>
        <v>2.3396424815983177</v>
      </c>
      <c r="BY320" s="165">
        <f ca="1">IF(BV320="","",INDEX(OFFSET(Arb!$X$2,,,Arb!$AJ$5,),BV320)/BW320)</f>
        <v>2.6945320715036805</v>
      </c>
      <c r="BZ320" s="165">
        <f ca="1">IF(BV320="","",(INDEX(OFFSET(Arb!$U$2,,,Arb!$AJ$5,),BV320)+INDEX(OFFSET(Arb!$V$2,,,Arb!$AJ$5,),BV320))/BW320)</f>
        <v>2.8785488958990535</v>
      </c>
      <c r="CA320" s="51">
        <f t="shared" ca="1" si="114"/>
        <v>49.06258211513822</v>
      </c>
      <c r="CB320" s="91">
        <f ca="1">IF(BV320="","",DATE(INDEX(OFFSET(Arb!$C$2,,,Arb!$AJ$5,),BV320),INDEX(OFFSET(Arb!$B$2,,,Arb!$AJ$5,),BV320),INDEX(OFFSET(Arb!$A$2,,,Arb!$AJ$5,),BV320))+ROW()*0.001)</f>
        <v>43981.32</v>
      </c>
    </row>
    <row r="321" spans="1:80" x14ac:dyDescent="0.25">
      <c r="A321" s="433">
        <v>179</v>
      </c>
      <c r="B321" s="1">
        <v>3156</v>
      </c>
      <c r="C321" s="52">
        <f ca="1">IF(B321="","",INDEX(OFFSET(Arb!$H$2,,,Arb!$AJ$5,),B321))</f>
        <v>73.56</v>
      </c>
      <c r="D321" s="3">
        <f t="shared" ca="1" si="95"/>
        <v>2.4333877107123434</v>
      </c>
      <c r="E321" s="165">
        <f ca="1">IF(B321="","",INDEX(OFFSET(Arb!$X$2,,,Arb!$AJ$5,),B321)/C321)</f>
        <v>2.9635671560630779</v>
      </c>
      <c r="F321" s="165">
        <f ca="1">IF(B321="","",(INDEX(OFFSET(Arb!$U$2,,,Arb!$AJ$5,),B321)+INDEX(OFFSET(Arb!$V$2,,,Arb!$AJ$5,),B321))/C321)</f>
        <v>3.3578031538879825</v>
      </c>
      <c r="G321" s="51">
        <f t="shared" ca="1" si="105"/>
        <v>52.245917625649106</v>
      </c>
      <c r="H321" s="355">
        <f ca="1">IF(B321="","",DATE(INDEX(OFFSET(Arb!$C$2,,,Arb!$AJ$5,),B321),INDEX(OFFSET(Arb!$B$2,,,Arb!$AJ$5,),B321),INDEX(OFFSET(Arb!$A$2,,,Arb!$AJ$5,),B321))+ROW()*0.001)</f>
        <v>44029.321000000004</v>
      </c>
      <c r="I321" s="436">
        <v>179</v>
      </c>
      <c r="J321" s="1">
        <v>2968</v>
      </c>
      <c r="K321" s="52">
        <f ca="1">IF(J321="","",INDEX(OFFSET(Arb!$H$2,,,Arb!$AJ$5,),J321))</f>
        <v>73.98</v>
      </c>
      <c r="L321" s="3">
        <f t="shared" ca="1" si="96"/>
        <v>2.4195728575290616</v>
      </c>
      <c r="M321" s="165">
        <f ca="1">IF(J321="","",INDEX(OFFSET(Arb!$X$2,,,Arb!$AJ$5,),J321)/K321)</f>
        <v>2.9332251959989186</v>
      </c>
      <c r="N321" s="165">
        <f ca="1">IF(J321="","",(INDEX(OFFSET(Arb!$U$2,,,Arb!$AJ$5,),J321)+INDEX(OFFSET(Arb!$V$2,,,Arb!$AJ$5,),J321))/K321)</f>
        <v>3.3387402000540685</v>
      </c>
      <c r="O321" s="51">
        <f t="shared" ca="1" si="106"/>
        <v>51.742681346594203</v>
      </c>
      <c r="P321" s="91">
        <f ca="1">IF(J321="","",DATE(INDEX(OFFSET(Arb!$C$2,,,Arb!$AJ$5,),J321),INDEX(OFFSET(Arb!$B$2,,,Arb!$AJ$5,),J321),INDEX(OFFSET(Arb!$A$2,,,Arb!$AJ$5,),J321))+ROW()*0.001)</f>
        <v>43952.321000000004</v>
      </c>
      <c r="Q321" s="442">
        <v>179</v>
      </c>
      <c r="R321" s="1">
        <v>2818</v>
      </c>
      <c r="S321" s="52">
        <f ca="1">IF(R321="","",INDEX(OFFSET(Arb!$H$2,,,Arb!$AJ$5,),R321))</f>
        <v>74.569999999999993</v>
      </c>
      <c r="T321" s="3">
        <f t="shared" ca="1" si="97"/>
        <v>2.4004291269947702</v>
      </c>
      <c r="U321" s="165">
        <f ca="1">IF(R321="","",INDEX(OFFSET(Arb!$X$2,,,Arb!$AJ$5,),R321)/S321)</f>
        <v>2.8161459031782221</v>
      </c>
      <c r="V321" s="165">
        <f ca="1">IF(R321="","",(INDEX(OFFSET(Arb!$U$2,,,Arb!$AJ$5,),R321)+INDEX(OFFSET(Arb!$V$2,,,Arb!$AJ$5,),R321))/S321)</f>
        <v>3.1514013678422961</v>
      </c>
      <c r="W321" s="51">
        <f t="shared" ca="1" si="107"/>
        <v>51.048647832156014</v>
      </c>
      <c r="X321" s="88">
        <f ca="1">IF(R321="","",DATE(INDEX(OFFSET(Arb!$C$2,,,Arb!$AJ$5,),R321),INDEX(OFFSET(Arb!$B$2,,,Arb!$AJ$5,),R321),INDEX(OFFSET(Arb!$A$2,,,Arb!$AJ$5,),R321))+ROW()*0.001)</f>
        <v>43899.321000000004</v>
      </c>
      <c r="Y321" s="436">
        <v>179</v>
      </c>
      <c r="Z321" s="1">
        <v>3331</v>
      </c>
      <c r="AA321" s="52">
        <f ca="1">IF(Z321="","",INDEX(OFFSET(Arb!$H$2,,,Arb!$AJ$5,),Z321))</f>
        <v>74.58</v>
      </c>
      <c r="AB321" s="3">
        <f t="shared" ca="1" si="98"/>
        <v>2.4001072673639046</v>
      </c>
      <c r="AC321" s="165">
        <f ca="1">IF(Z321="","",INDEX(OFFSET(Arb!$X$2,,,Arb!$AJ$5,),Z321)/AA321)</f>
        <v>3.0839367122552965</v>
      </c>
      <c r="AD321" s="165">
        <f ca="1">IF(Z321="","",(INDEX(OFFSET(Arb!$U$2,,,Arb!$AJ$5,),Z321)+INDEX(OFFSET(Arb!$V$2,,,Arb!$AJ$5,),Z321))/AA321)</f>
        <v>3.4593724859211585</v>
      </c>
      <c r="AE321" s="51">
        <f t="shared" ca="1" si="108"/>
        <v>51.037012188740349</v>
      </c>
      <c r="AF321" s="91">
        <f ca="1">IF(Z321="","",DATE(INDEX(OFFSET(Arb!$C$2,,,Arb!$AJ$5,),Z321),INDEX(OFFSET(Arb!$B$2,,,Arb!$AJ$5,),Z321),INDEX(OFFSET(Arb!$A$2,,,Arb!$AJ$5,),Z321))+ROW()*0.001)</f>
        <v>44096.321000000004</v>
      </c>
      <c r="AG321" s="442">
        <v>179</v>
      </c>
      <c r="AH321" s="1">
        <v>3036</v>
      </c>
      <c r="AI321" s="52">
        <f ca="1">IF(AH321="","",INDEX(OFFSET(Arb!$H$2,,,Arb!$AJ$5,),AH321))</f>
        <v>75.75</v>
      </c>
      <c r="AJ321" s="3">
        <f t="shared" ca="1" si="99"/>
        <v>2.3630363036303632</v>
      </c>
      <c r="AK321" s="165">
        <f ca="1">IF(AH321="","",INDEX(OFFSET(Arb!$X$2,,,Arb!$AJ$5,),AH321)/AI321)</f>
        <v>2.7854785478547854</v>
      </c>
      <c r="AL321" s="165">
        <f ca="1">IF(AH321="","",(INDEX(OFFSET(Arb!$U$2,,,Arb!$AJ$5,),AH321)+INDEX(OFFSET(Arb!$V$2,,,Arb!$AJ$5,),AH321))/AI321)</f>
        <v>3.1815181518151814</v>
      </c>
      <c r="AM321" s="51">
        <f t="shared" ca="1" si="109"/>
        <v>49.704167381179104</v>
      </c>
      <c r="AN321" s="88">
        <f ca="1">IF(AH321="","",DATE(INDEX(OFFSET(Arb!$C$2,,,Arb!$AJ$5,),AH321),INDEX(OFFSET(Arb!$B$2,,,Arb!$AJ$5,),AH321),INDEX(OFFSET(Arb!$A$2,,,Arb!$AJ$5,),AH321))+ROW()*0.001)</f>
        <v>43979.321000000004</v>
      </c>
      <c r="AO321" s="436">
        <v>179</v>
      </c>
      <c r="AP321" s="1">
        <v>2943</v>
      </c>
      <c r="AQ321" s="52">
        <f ca="1">IF(AP321="","",INDEX(OFFSET(Arb!$H$2,,,Arb!$AJ$5,),AP321))</f>
        <v>75.87</v>
      </c>
      <c r="AR321" s="3">
        <f t="shared" ca="1" si="100"/>
        <v>2.3592988005799391</v>
      </c>
      <c r="AS321" s="165">
        <f ca="1">IF(AP321="","",INDEX(OFFSET(Arb!$X$2,,,Arb!$AJ$5,),AP321)/AQ321)</f>
        <v>2.649268485567418</v>
      </c>
      <c r="AT321" s="165">
        <f ca="1">IF(AP321="","",(INDEX(OFFSET(Arb!$U$2,,,Arb!$AJ$5,),AP321)+INDEX(OFFSET(Arb!$V$2,,,Arb!$AJ$5,),AP321))/AQ321)</f>
        <v>2.833794648741268</v>
      </c>
      <c r="AU321" s="51">
        <f t="shared" ca="1" si="110"/>
        <v>49.570596323247202</v>
      </c>
      <c r="AV321" s="91">
        <f ca="1">IF(AP321="","",DATE(INDEX(OFFSET(Arb!$C$2,,,Arb!$AJ$5,),AP321),INDEX(OFFSET(Arb!$B$2,,,Arb!$AJ$5,),AP321),INDEX(OFFSET(Arb!$A$2,,,Arb!$AJ$5,),AP321))+ROW()*0.001)</f>
        <v>43945.321000000004</v>
      </c>
      <c r="AW321" s="442">
        <v>179</v>
      </c>
      <c r="AX321" s="1">
        <v>3334</v>
      </c>
      <c r="AY321" s="52">
        <f ca="1">IF(AX321="","",INDEX(OFFSET(Arb!$H$2,,,Arb!$AJ$5,),AX321))</f>
        <v>76</v>
      </c>
      <c r="AZ321" s="3">
        <f t="shared" ca="1" si="101"/>
        <v>2.3552631578947367</v>
      </c>
      <c r="BA321" s="165">
        <f ca="1">IF(AX321="","",INDEX(OFFSET(Arb!$X$2,,,Arb!$AJ$5,),AX321)/AY321)</f>
        <v>2.8289473684210527</v>
      </c>
      <c r="BB321" s="165">
        <f ca="1">IF(AX321="","",(INDEX(OFFSET(Arb!$U$2,,,Arb!$AJ$5,),AX321)+INDEX(OFFSET(Arb!$V$2,,,Arb!$AJ$5,),AX321))/AY321)</f>
        <v>3.1578947368421053</v>
      </c>
      <c r="BC321" s="51">
        <f t="shared" ca="1" si="111"/>
        <v>49.426536559846241</v>
      </c>
      <c r="BD321" s="88">
        <f ca="1">IF(AX321="","",DATE(INDEX(OFFSET(Arb!$C$2,,,Arb!$AJ$5,),AX321),INDEX(OFFSET(Arb!$B$2,,,Arb!$AJ$5,),AX321),INDEX(OFFSET(Arb!$A$2,,,Arb!$AJ$5,),AX321))+ROW()*0.001)</f>
        <v>44096.321000000004</v>
      </c>
      <c r="BE321" s="436">
        <v>179</v>
      </c>
      <c r="BF321" s="1">
        <v>3006</v>
      </c>
      <c r="BG321" s="52">
        <f ca="1">IF(BF321="","",INDEX(OFFSET(Arb!$H$2,,,Arb!$AJ$5,),BF321))</f>
        <v>76.36</v>
      </c>
      <c r="BH321" s="3">
        <f t="shared" ca="1" si="102"/>
        <v>2.3441592456783655</v>
      </c>
      <c r="BI321" s="165">
        <f ca="1">IF(BF321="","",INDEX(OFFSET(Arb!$X$2,,,Arb!$AJ$5,),BF321)/BG321)</f>
        <v>2.8810895756940806</v>
      </c>
      <c r="BJ321" s="165">
        <f ca="1">IF(BF321="","",(INDEX(OFFSET(Arb!$U$2,,,Arb!$AJ$5,),BF321)+INDEX(OFFSET(Arb!$V$2,,,Arb!$AJ$5,),BF321))/BG321)</f>
        <v>3.2346778418019908</v>
      </c>
      <c r="BK321" s="51">
        <f t="shared" ca="1" si="112"/>
        <v>49.031053276538529</v>
      </c>
      <c r="BL321" s="91">
        <f ca="1">IF(BF321="","",DATE(INDEX(OFFSET(Arb!$C$2,,,Arb!$AJ$5,),BF321),INDEX(OFFSET(Arb!$B$2,,,Arb!$AJ$5,),BF321),INDEX(OFFSET(Arb!$A$2,,,Arb!$AJ$5,),BF321))+ROW()*0.001)</f>
        <v>43957.321000000004</v>
      </c>
      <c r="BM321" s="442">
        <v>179</v>
      </c>
      <c r="BN321" s="1">
        <v>3423</v>
      </c>
      <c r="BO321" s="52">
        <f ca="1">IF(BN321="","",INDEX(OFFSET(Arb!$H$2,,,Arb!$AJ$5,),BN321))</f>
        <v>76.52</v>
      </c>
      <c r="BP321" s="3">
        <f t="shared" ca="1" si="103"/>
        <v>2.3392577104025092</v>
      </c>
      <c r="BQ321" s="165">
        <f ca="1">IF(BN321="","",INDEX(OFFSET(Arb!$X$2,,,Arb!$AJ$5,),BN321)/BO321)</f>
        <v>2.7443805541035027</v>
      </c>
      <c r="BR321" s="165">
        <f ca="1">IF(BN321="","",(INDEX(OFFSET(Arb!$U$2,,,Arb!$AJ$5,),BN321)+INDEX(OFFSET(Arb!$V$2,,,Arb!$AJ$5,),BN321))/BO321)</f>
        <v>3.0449555671719812</v>
      </c>
      <c r="BS321" s="51">
        <f t="shared" ca="1" si="113"/>
        <v>48.856893783945786</v>
      </c>
      <c r="BT321" s="88">
        <f ca="1">IF(BN321="","",DATE(INDEX(OFFSET(Arb!$C$2,,,Arb!$AJ$5,),BN321),INDEX(OFFSET(Arb!$B$2,,,Arb!$AJ$5,),BN321),INDEX(OFFSET(Arb!$A$2,,,Arb!$AJ$5,),BN321))+ROW()*0.001)</f>
        <v>44149.321000000004</v>
      </c>
      <c r="BU321" s="436">
        <v>179</v>
      </c>
      <c r="BV321" s="1">
        <v>3378</v>
      </c>
      <c r="BW321" s="52">
        <f ca="1">IF(BV321="","",INDEX(OFFSET(Arb!$H$2,,,Arb!$AJ$5,),BV321))</f>
        <v>77.81</v>
      </c>
      <c r="BX321" s="3">
        <f t="shared" ca="1" si="104"/>
        <v>2.3004755172856957</v>
      </c>
      <c r="BY321" s="165">
        <f ca="1">IF(BV321="","",INDEX(OFFSET(Arb!$X$2,,,Arb!$AJ$5,),BV321)/BW321)</f>
        <v>2.6860300732553655</v>
      </c>
      <c r="BZ321" s="165">
        <f ca="1">IF(BV321="","",(INDEX(OFFSET(Arb!$U$2,,,Arb!$AJ$5,),BV321)+INDEX(OFFSET(Arb!$V$2,,,Arb!$AJ$5,),BV321))/BW321)</f>
        <v>2.9559182624341345</v>
      </c>
      <c r="CA321" s="51">
        <f t="shared" ca="1" si="114"/>
        <v>47.487912634670145</v>
      </c>
      <c r="CB321" s="91">
        <f ca="1">IF(BV321="","",DATE(INDEX(OFFSET(Arb!$C$2,,,Arb!$AJ$5,),BV321),INDEX(OFFSET(Arb!$B$2,,,Arb!$AJ$5,),BV321),INDEX(OFFSET(Arb!$A$2,,,Arb!$AJ$5,),BV321))+ROW()*0.001)</f>
        <v>44133.321000000004</v>
      </c>
    </row>
    <row r="322" spans="1:80" x14ac:dyDescent="0.25">
      <c r="A322" s="433">
        <v>180</v>
      </c>
      <c r="B322" s="1">
        <v>3333</v>
      </c>
      <c r="C322" s="52">
        <f ca="1">IF(B322="","",INDEX(OFFSET(Arb!$H$2,,,Arb!$AJ$5,),B322))</f>
        <v>63.73</v>
      </c>
      <c r="D322" s="3">
        <f t="shared" ca="1" si="95"/>
        <v>2.8244155029028715</v>
      </c>
      <c r="E322" s="165">
        <f ca="1">IF(B322="","",INDEX(OFFSET(Arb!$X$2,,,Arb!$AJ$5,),B322)/C322)</f>
        <v>3.3108426172916996</v>
      </c>
      <c r="F322" s="165">
        <f ca="1">IF(B322="","",(INDEX(OFFSET(Arb!$U$2,,,Arb!$AJ$5,),B322)+INDEX(OFFSET(Arb!$V$2,,,Arb!$AJ$5,),B322))/C322)</f>
        <v>3.5305193786285893</v>
      </c>
      <c r="G322" s="51">
        <f t="shared" ca="1" si="105"/>
        <v>67.046806836187457</v>
      </c>
      <c r="H322" s="355">
        <f ca="1">IF(B322="","",DATE(INDEX(OFFSET(Arb!$C$2,,,Arb!$AJ$5,),B322),INDEX(OFFSET(Arb!$B$2,,,Arb!$AJ$5,),B322),INDEX(OFFSET(Arb!$A$2,,,Arb!$AJ$5,),B322))+ROW()*0.001)</f>
        <v>44096.322</v>
      </c>
      <c r="I322" s="436">
        <v>180</v>
      </c>
      <c r="J322" s="1">
        <v>2989</v>
      </c>
      <c r="K322" s="52">
        <f ca="1">IF(J322="","",INDEX(OFFSET(Arb!$H$2,,,Arb!$AJ$5,),J322))</f>
        <v>68.84</v>
      </c>
      <c r="L322" s="3">
        <f t="shared" ca="1" si="96"/>
        <v>2.6147588611272514</v>
      </c>
      <c r="M322" s="165">
        <f ca="1">IF(J322="","",INDEX(OFFSET(Arb!$X$2,,,Arb!$AJ$5,),J322)/K322)</f>
        <v>3.1231841952353281</v>
      </c>
      <c r="N322" s="165">
        <f ca="1">IF(J322="","",(INDEX(OFFSET(Arb!$U$2,,,Arb!$AJ$5,),J322)+INDEX(OFFSET(Arb!$V$2,,,Arb!$AJ$5,),J322))/K322)</f>
        <v>3.471818710052295</v>
      </c>
      <c r="O322" s="51">
        <f t="shared" ca="1" si="106"/>
        <v>58.807578317063907</v>
      </c>
      <c r="P322" s="91">
        <f ca="1">IF(J322="","",DATE(INDEX(OFFSET(Arb!$C$2,,,Arb!$AJ$5,),J322),INDEX(OFFSET(Arb!$B$2,,,Arb!$AJ$5,),J322),INDEX(OFFSET(Arb!$A$2,,,Arb!$AJ$5,),J322))+ROW()*0.001)</f>
        <v>43956.322</v>
      </c>
      <c r="Q322" s="442">
        <v>180</v>
      </c>
      <c r="R322" s="1">
        <v>3320</v>
      </c>
      <c r="S322" s="52">
        <f ca="1">IF(R322="","",INDEX(OFFSET(Arb!$H$2,,,Arb!$AJ$5,),R322))</f>
        <v>68.98</v>
      </c>
      <c r="T322" s="3">
        <f t="shared" ca="1" si="97"/>
        <v>2.6094520150768337</v>
      </c>
      <c r="U322" s="165">
        <f ca="1">IF(R322="","",INDEX(OFFSET(Arb!$X$2,,,Arb!$AJ$5,),R322)/S322)</f>
        <v>3.203827196288779</v>
      </c>
      <c r="V322" s="165">
        <f ca="1">IF(R322="","",(INDEX(OFFSET(Arb!$U$2,,,Arb!$AJ$5,),R322)+INDEX(OFFSET(Arb!$V$2,,,Arb!$AJ$5,),R322))/S322)</f>
        <v>3.5952449985503043</v>
      </c>
      <c r="W322" s="51">
        <f t="shared" ca="1" si="107"/>
        <v>58.60482013490288</v>
      </c>
      <c r="X322" s="88">
        <f ca="1">IF(R322="","",DATE(INDEX(OFFSET(Arb!$C$2,,,Arb!$AJ$5,),R322),INDEX(OFFSET(Arb!$B$2,,,Arb!$AJ$5,),R322),INDEX(OFFSET(Arb!$A$2,,,Arb!$AJ$5,),R322))+ROW()*0.001)</f>
        <v>44095.322</v>
      </c>
      <c r="Y322" s="436">
        <v>180</v>
      </c>
      <c r="Z322" s="1">
        <v>3125</v>
      </c>
      <c r="AA322" s="52">
        <f ca="1">IF(Z322="","",INDEX(OFFSET(Arb!$H$2,,,Arb!$AJ$5,),Z322))</f>
        <v>72.959999999999994</v>
      </c>
      <c r="AB322" s="3">
        <f t="shared" ca="1" si="98"/>
        <v>2.4671052631578951</v>
      </c>
      <c r="AC322" s="165">
        <f ca="1">IF(Z322="","",INDEX(OFFSET(Arb!$X$2,,,Arb!$AJ$5,),Z322)/AA322)</f>
        <v>3.0564692982456143</v>
      </c>
      <c r="AD322" s="165">
        <f ca="1">IF(Z322="","",(INDEX(OFFSET(Arb!$U$2,,,Arb!$AJ$5,),Z322)+INDEX(OFFSET(Arb!$V$2,,,Arb!$AJ$5,),Z322))/AA322)</f>
        <v>3.3717105263157898</v>
      </c>
      <c r="AE322" s="51">
        <f t="shared" ca="1" si="108"/>
        <v>53.274398797138538</v>
      </c>
      <c r="AF322" s="91">
        <f ca="1">IF(Z322="","",DATE(INDEX(OFFSET(Arb!$C$2,,,Arb!$AJ$5,),Z322),INDEX(OFFSET(Arb!$B$2,,,Arb!$AJ$5,),Z322),INDEX(OFFSET(Arb!$A$2,,,Arb!$AJ$5,),Z322))+ROW()*0.001)</f>
        <v>44014.322</v>
      </c>
      <c r="AG322" s="442">
        <v>180</v>
      </c>
      <c r="AH322" s="1">
        <v>3270</v>
      </c>
      <c r="AI322" s="52">
        <f ca="1">IF(AH322="","",INDEX(OFFSET(Arb!$H$2,,,Arb!$AJ$5,),AH322))</f>
        <v>73.25</v>
      </c>
      <c r="AJ322" s="3">
        <f t="shared" ca="1" si="99"/>
        <v>2.4573378839590445</v>
      </c>
      <c r="AK322" s="165">
        <f ca="1">IF(AH322="","",INDEX(OFFSET(Arb!$X$2,,,Arb!$AJ$5,),AH322)/AI322)</f>
        <v>2.9215017064846416</v>
      </c>
      <c r="AL322" s="165">
        <f ca="1">IF(AH322="","",(INDEX(OFFSET(Arb!$U$2,,,Arb!$AJ$5,),AH322)+INDEX(OFFSET(Arb!$V$2,,,Arb!$AJ$5,),AH322))/AI322)</f>
        <v>3.2354948805460753</v>
      </c>
      <c r="AM322" s="51">
        <f t="shared" ca="1" si="109"/>
        <v>52.916339129226515</v>
      </c>
      <c r="AN322" s="88">
        <f ca="1">IF(AH322="","",DATE(INDEX(OFFSET(Arb!$C$2,,,Arb!$AJ$5,),AH322),INDEX(OFFSET(Arb!$B$2,,,Arb!$AJ$5,),AH322),INDEX(OFFSET(Arb!$A$2,,,Arb!$AJ$5,),AH322))+ROW()*0.001)</f>
        <v>44074.322</v>
      </c>
      <c r="AO322" s="436">
        <v>180</v>
      </c>
      <c r="AP322" s="1">
        <v>3037</v>
      </c>
      <c r="AQ322" s="52">
        <f ca="1">IF(AP322="","",INDEX(OFFSET(Arb!$H$2,,,Arb!$AJ$5,),AP322))</f>
        <v>73.930000000000007</v>
      </c>
      <c r="AR322" s="3">
        <f t="shared" ca="1" si="100"/>
        <v>2.4347355606654943</v>
      </c>
      <c r="AS322" s="165">
        <f ca="1">IF(AP322="","",INDEX(OFFSET(Arb!$X$2,,,Arb!$AJ$5,),AP322)/AQ322)</f>
        <v>2.9081563641282293</v>
      </c>
      <c r="AT322" s="165">
        <f ca="1">IF(AP322="","",(INDEX(OFFSET(Arb!$U$2,,,Arb!$AJ$5,),AP322)+INDEX(OFFSET(Arb!$V$2,,,Arb!$AJ$5,),AP322))/AQ322)</f>
        <v>3.2192614635465979</v>
      </c>
      <c r="AU322" s="51">
        <f t="shared" ca="1" si="110"/>
        <v>52.091583549777333</v>
      </c>
      <c r="AV322" s="91">
        <f ca="1">IF(AP322="","",DATE(INDEX(OFFSET(Arb!$C$2,,,Arb!$AJ$5,),AP322),INDEX(OFFSET(Arb!$B$2,,,Arb!$AJ$5,),AP322),INDEX(OFFSET(Arb!$A$2,,,Arb!$AJ$5,),AP322))+ROW()*0.001)</f>
        <v>43979.322</v>
      </c>
      <c r="AW322" s="442">
        <v>180</v>
      </c>
      <c r="AX322" s="1">
        <v>2827</v>
      </c>
      <c r="AY322" s="52">
        <f ca="1">IF(AX322="","",INDEX(OFFSET(Arb!$H$2,,,Arb!$AJ$5,),AX322))</f>
        <v>74.02</v>
      </c>
      <c r="AZ322" s="3">
        <f t="shared" ca="1" si="101"/>
        <v>2.4317751958930018</v>
      </c>
      <c r="BA322" s="165">
        <f ca="1">IF(AX322="","",INDEX(OFFSET(Arb!$X$2,,,Arb!$AJ$5,),AX322)/AY322)</f>
        <v>2.8911105106727915</v>
      </c>
      <c r="BB322" s="165">
        <f ca="1">IF(AX322="","",(INDEX(OFFSET(Arb!$U$2,,,Arb!$AJ$5,),AX322)+INDEX(OFFSET(Arb!$V$2,,,Arb!$AJ$5,),AX322))/AY322)</f>
        <v>3.2693866522561472</v>
      </c>
      <c r="BC322" s="51">
        <f t="shared" ca="1" si="111"/>
        <v>51.983955609398009</v>
      </c>
      <c r="BD322" s="88">
        <f ca="1">IF(AX322="","",DATE(INDEX(OFFSET(Arb!$C$2,,,Arb!$AJ$5,),AX322),INDEX(OFFSET(Arb!$B$2,,,Arb!$AJ$5,),AX322),INDEX(OFFSET(Arb!$A$2,,,Arb!$AJ$5,),AX322))+ROW()*0.001)</f>
        <v>43901.322</v>
      </c>
      <c r="BE322" s="436">
        <v>180</v>
      </c>
      <c r="BF322" s="1">
        <v>2524</v>
      </c>
      <c r="BG322" s="52">
        <f ca="1">IF(BF322="","",INDEX(OFFSET(Arb!$H$2,,,Arb!$AJ$5,),BF322))</f>
        <v>74.459999999999994</v>
      </c>
      <c r="BH322" s="3">
        <f t="shared" ca="1" si="102"/>
        <v>2.4174053182917006</v>
      </c>
      <c r="BI322" s="165">
        <f ca="1">IF(BF322="","",INDEX(OFFSET(Arb!$X$2,,,Arb!$AJ$5,),BF322)/BG322)</f>
        <v>2.8740263228579104</v>
      </c>
      <c r="BJ322" s="165">
        <f ca="1">IF(BF322="","",(INDEX(OFFSET(Arb!$U$2,,,Arb!$AJ$5,),BF322)+INDEX(OFFSET(Arb!$V$2,,,Arb!$AJ$5,),BF322))/BG322)</f>
        <v>3.2097770615095356</v>
      </c>
      <c r="BK322" s="51">
        <f t="shared" ca="1" si="112"/>
        <v>51.462823050426643</v>
      </c>
      <c r="BL322" s="91">
        <f ca="1">IF(BF322="","",DATE(INDEX(OFFSET(Arb!$C$2,,,Arb!$AJ$5,),BF322),INDEX(OFFSET(Arb!$B$2,,,Arb!$AJ$5,),BF322),INDEX(OFFSET(Arb!$A$2,,,Arb!$AJ$5,),BF322))+ROW()*0.001)</f>
        <v>43794.322</v>
      </c>
      <c r="BM322" s="442">
        <v>180</v>
      </c>
      <c r="BN322" s="1">
        <v>3403</v>
      </c>
      <c r="BO322" s="52">
        <f ca="1">IF(BN322="","",INDEX(OFFSET(Arb!$H$2,,,Arb!$AJ$5,),BN322))</f>
        <v>74.83</v>
      </c>
      <c r="BP322" s="3">
        <f t="shared" ca="1" si="103"/>
        <v>2.4054523586796739</v>
      </c>
      <c r="BQ322" s="165">
        <f ca="1">IF(BN322="","",INDEX(OFFSET(Arb!$X$2,,,Arb!$AJ$5,),BN322)/BO322)</f>
        <v>2.6459975945476413</v>
      </c>
      <c r="BR322" s="165">
        <f ca="1">IF(BN322="","",(INDEX(OFFSET(Arb!$U$2,,,Arb!$AJ$5,),BN322)+INDEX(OFFSET(Arb!$V$2,,,Arb!$AJ$5,),BN322))/BO322)</f>
        <v>2.9533609514900441</v>
      </c>
      <c r="BS322" s="51">
        <f t="shared" ca="1" si="113"/>
        <v>51.030989981095267</v>
      </c>
      <c r="BT322" s="88">
        <f ca="1">IF(BN322="","",DATE(INDEX(OFFSET(Arb!$C$2,,,Arb!$AJ$5,),BN322),INDEX(OFFSET(Arb!$B$2,,,Arb!$AJ$5,),BN322),INDEX(OFFSET(Arb!$A$2,,,Arb!$AJ$5,),BN322))+ROW()*0.001)</f>
        <v>44146.322</v>
      </c>
      <c r="BU322" s="436">
        <v>180</v>
      </c>
      <c r="BV322" s="1">
        <v>2530</v>
      </c>
      <c r="BW322" s="52">
        <f ca="1">IF(BV322="","",INDEX(OFFSET(Arb!$H$2,,,Arb!$AJ$5,),BV322))</f>
        <v>75.989999999999995</v>
      </c>
      <c r="BX322" s="3">
        <f t="shared" ca="1" si="104"/>
        <v>2.3687327279905253</v>
      </c>
      <c r="BY322" s="165">
        <f ca="1">IF(BV322="","",INDEX(OFFSET(Arb!$X$2,,,Arb!$AJ$5,),BV322)/BW322)</f>
        <v>2.8951177786550866</v>
      </c>
      <c r="BZ322" s="165">
        <f ca="1">IF(BV322="","",(INDEX(OFFSET(Arb!$U$2,,,Arb!$AJ$5,),BV322)+INDEX(OFFSET(Arb!$V$2,,,Arb!$AJ$5,),BV322))/BW322)</f>
        <v>3.2241084353204372</v>
      </c>
      <c r="CA322" s="51">
        <f t="shared" ca="1" si="114"/>
        <v>49.713782138404447</v>
      </c>
      <c r="CB322" s="91">
        <f ca="1">IF(BV322="","",DATE(INDEX(OFFSET(Arb!$C$2,,,Arb!$AJ$5,),BV322),INDEX(OFFSET(Arb!$B$2,,,Arb!$AJ$5,),BV322),INDEX(OFFSET(Arb!$A$2,,,Arb!$AJ$5,),BV322))+ROW()*0.001)</f>
        <v>43795.322</v>
      </c>
    </row>
    <row r="323" spans="1:80" x14ac:dyDescent="0.25">
      <c r="A323" s="433">
        <v>181</v>
      </c>
      <c r="B323" s="1">
        <v>3353</v>
      </c>
      <c r="C323" s="52">
        <f ca="1">IF(B323="","",INDEX(OFFSET(Arb!$H$2,,,Arb!$AJ$5,),B323))</f>
        <v>65.95</v>
      </c>
      <c r="D323" s="3">
        <f t="shared" ca="1" si="95"/>
        <v>2.7445034116755118</v>
      </c>
      <c r="E323" s="165">
        <f ca="1">IF(B323="","",INDEX(OFFSET(Arb!$X$2,,,Arb!$AJ$5,),B323)/C323)</f>
        <v>3.3510235026535251</v>
      </c>
      <c r="F323" s="165">
        <f ca="1">IF(B323="","",(INDEX(OFFSET(Arb!$U$2,,,Arb!$AJ$5,),B323)+INDEX(OFFSET(Arb!$V$2,,,Arb!$AJ$5,),B323))/C323)</f>
        <v>3.821076573161486</v>
      </c>
      <c r="G323" s="51">
        <f t="shared" ca="1" si="105"/>
        <v>63.60681804875454</v>
      </c>
      <c r="H323" s="355">
        <f ca="1">IF(B323="","",DATE(INDEX(OFFSET(Arb!$C$2,,,Arb!$AJ$5,),B323),INDEX(OFFSET(Arb!$B$2,,,Arb!$AJ$5,),B323),INDEX(OFFSET(Arb!$A$2,,,Arb!$AJ$5,),B323))+ROW()*0.001)</f>
        <v>44098.322999999997</v>
      </c>
      <c r="I323" s="436">
        <v>181</v>
      </c>
      <c r="J323" s="1">
        <v>3447</v>
      </c>
      <c r="K323" s="52">
        <f ca="1">IF(J323="","",INDEX(OFFSET(Arb!$H$2,,,Arb!$AJ$5,),J323))</f>
        <v>68.349999999999994</v>
      </c>
      <c r="L323" s="3">
        <f t="shared" ca="1" si="96"/>
        <v>2.6481346013167522</v>
      </c>
      <c r="M323" s="165">
        <f ca="1">IF(J323="","",INDEX(OFFSET(Arb!$X$2,,,Arb!$AJ$5,),J323)/K323)</f>
        <v>2.8675932699341629</v>
      </c>
      <c r="N323" s="165">
        <f ca="1">IF(J323="","",(INDEX(OFFSET(Arb!$U$2,,,Arb!$AJ$5,),J323)+INDEX(OFFSET(Arb!$V$2,,,Arb!$AJ$5,),J323))/K323)</f>
        <v>3.1894659839063646</v>
      </c>
      <c r="O323" s="51">
        <f t="shared" ca="1" si="106"/>
        <v>59.856779701767664</v>
      </c>
      <c r="P323" s="91">
        <f ca="1">IF(J323="","",DATE(INDEX(OFFSET(Arb!$C$2,,,Arb!$AJ$5,),J323),INDEX(OFFSET(Arb!$B$2,,,Arb!$AJ$5,),J323),INDEX(OFFSET(Arb!$A$2,,,Arb!$AJ$5,),J323))+ROW()*0.001)</f>
        <v>44177.322999999997</v>
      </c>
      <c r="Q323" s="442">
        <v>181</v>
      </c>
      <c r="R323" s="1">
        <v>3349</v>
      </c>
      <c r="S323" s="52">
        <f ca="1">IF(R323="","",INDEX(OFFSET(Arb!$H$2,,,Arb!$AJ$5,),R323))</f>
        <v>68.599999999999994</v>
      </c>
      <c r="T323" s="3">
        <f t="shared" ca="1" si="97"/>
        <v>2.6384839650145775</v>
      </c>
      <c r="U323" s="165">
        <f ca="1">IF(R323="","",INDEX(OFFSET(Arb!$X$2,,,Arb!$AJ$5,),R323)/S323)</f>
        <v>3.0320699708454812</v>
      </c>
      <c r="V323" s="165">
        <f ca="1">IF(R323="","",(INDEX(OFFSET(Arb!$U$2,,,Arb!$AJ$5,),R323)+INDEX(OFFSET(Arb!$V$2,,,Arb!$AJ$5,),R323))/S323)</f>
        <v>3.4110787172011663</v>
      </c>
      <c r="W323" s="51">
        <f t="shared" ca="1" si="107"/>
        <v>59.486420056541071</v>
      </c>
      <c r="X323" s="88">
        <f ca="1">IF(R323="","",DATE(INDEX(OFFSET(Arb!$C$2,,,Arb!$AJ$5,),R323),INDEX(OFFSET(Arb!$B$2,,,Arb!$AJ$5,),R323),INDEX(OFFSET(Arb!$A$2,,,Arb!$AJ$5,),R323))+ROW()*0.001)</f>
        <v>44098.322999999997</v>
      </c>
      <c r="Y323" s="436">
        <v>181</v>
      </c>
      <c r="Z323" s="1">
        <v>3314</v>
      </c>
      <c r="AA323" s="52">
        <f ca="1">IF(Z323="","",INDEX(OFFSET(Arb!$H$2,,,Arb!$AJ$5,),Z323))</f>
        <v>69.28</v>
      </c>
      <c r="AB323" s="3">
        <f t="shared" ca="1" si="98"/>
        <v>2.6125866050808315</v>
      </c>
      <c r="AC323" s="165">
        <f ca="1">IF(Z323="","",INDEX(OFFSET(Arb!$X$2,,,Arb!$AJ$5,),Z323)/AA323)</f>
        <v>3.1899538106235563</v>
      </c>
      <c r="AD323" s="165">
        <f ca="1">IF(Z323="","",(INDEX(OFFSET(Arb!$U$2,,,Arb!$AJ$5,),Z323)+INDEX(OFFSET(Arb!$V$2,,,Arb!$AJ$5,),Z323))/AA323)</f>
        <v>3.464203233256351</v>
      </c>
      <c r="AE323" s="51">
        <f t="shared" ca="1" si="108"/>
        <v>58.497248092081271</v>
      </c>
      <c r="AF323" s="91">
        <f ca="1">IF(Z323="","",DATE(INDEX(OFFSET(Arb!$C$2,,,Arb!$AJ$5,),Z323),INDEX(OFFSET(Arb!$B$2,,,Arb!$AJ$5,),Z323),INDEX(OFFSET(Arb!$A$2,,,Arb!$AJ$5,),Z323))+ROW()*0.001)</f>
        <v>44094.322999999997</v>
      </c>
      <c r="AG323" s="442">
        <v>181</v>
      </c>
      <c r="AH323" s="1">
        <v>3289</v>
      </c>
      <c r="AI323" s="52">
        <f ca="1">IF(AH323="","",INDEX(OFFSET(Arb!$H$2,,,Arb!$AJ$5,),AH323))</f>
        <v>72.17</v>
      </c>
      <c r="AJ323" s="3">
        <f t="shared" ca="1" si="99"/>
        <v>2.5079672994318969</v>
      </c>
      <c r="AK323" s="165">
        <f ca="1">IF(AH323="","",INDEX(OFFSET(Arb!$X$2,,,Arb!$AJ$5,),AH323)/AI323)</f>
        <v>2.9652210059581541</v>
      </c>
      <c r="AL323" s="165">
        <f ca="1">IF(AH323="","",(INDEX(OFFSET(Arb!$U$2,,,Arb!$AJ$5,),AH323)+INDEX(OFFSET(Arb!$V$2,,,Arb!$AJ$5,),AH323))/AI323)</f>
        <v>3.1869197727587641</v>
      </c>
      <c r="AM323" s="51">
        <f t="shared" ca="1" si="109"/>
        <v>54.571065214678747</v>
      </c>
      <c r="AN323" s="88">
        <f ca="1">IF(AH323="","",DATE(INDEX(OFFSET(Arb!$C$2,,,Arb!$AJ$5,),AH323),INDEX(OFFSET(Arb!$B$2,,,Arb!$AJ$5,),AH323),INDEX(OFFSET(Arb!$A$2,,,Arb!$AJ$5,),AH323))+ROW()*0.001)</f>
        <v>44084.322999999997</v>
      </c>
      <c r="AO323" s="436">
        <v>181</v>
      </c>
      <c r="AP323" s="1">
        <v>3239</v>
      </c>
      <c r="AQ323" s="52">
        <f ca="1">IF(AP323="","",INDEX(OFFSET(Arb!$H$2,,,Arb!$AJ$5,),AP323))</f>
        <v>72.5</v>
      </c>
      <c r="AR323" s="3">
        <f t="shared" ca="1" si="100"/>
        <v>2.4965517241379311</v>
      </c>
      <c r="AS323" s="165">
        <f ca="1">IF(AP323="","",INDEX(OFFSET(Arb!$X$2,,,Arb!$AJ$5,),AP323)/AQ323)</f>
        <v>3.0344827586206895</v>
      </c>
      <c r="AT323" s="165">
        <f ca="1">IF(AP323="","",(INDEX(OFFSET(Arb!$U$2,,,Arb!$AJ$5,),AP323)+INDEX(OFFSET(Arb!$V$2,,,Arb!$AJ$5,),AP323))/AQ323)</f>
        <v>3.3517241379310345</v>
      </c>
      <c r="AU323" s="51">
        <f t="shared" ca="1" si="110"/>
        <v>54.149471097460065</v>
      </c>
      <c r="AV323" s="91">
        <f ca="1">IF(AP323="","",DATE(INDEX(OFFSET(Arb!$C$2,,,Arb!$AJ$5,),AP323),INDEX(OFFSET(Arb!$B$2,,,Arb!$AJ$5,),AP323),INDEX(OFFSET(Arb!$A$2,,,Arb!$AJ$5,),AP323))+ROW()*0.001)</f>
        <v>44064.322999999997</v>
      </c>
      <c r="AW323" s="442">
        <v>181</v>
      </c>
      <c r="AX323" s="1">
        <v>3084</v>
      </c>
      <c r="AY323" s="52">
        <f ca="1">IF(AX323="","",INDEX(OFFSET(Arb!$H$2,,,Arb!$AJ$5,),AX323))</f>
        <v>73.09</v>
      </c>
      <c r="AZ323" s="3">
        <f t="shared" ca="1" si="101"/>
        <v>2.4763989601860716</v>
      </c>
      <c r="BA323" s="165">
        <f ca="1">IF(AX323="","",INDEX(OFFSET(Arb!$X$2,,,Arb!$AJ$5,),AX323)/AY323)</f>
        <v>2.9826241619920646</v>
      </c>
      <c r="BB323" s="165">
        <f ca="1">IF(AX323="","",(INDEX(OFFSET(Arb!$U$2,,,Arb!$AJ$5,),AX323)+INDEX(OFFSET(Arb!$V$2,,,Arb!$AJ$5,),AX323))/AY323)</f>
        <v>3.2973046928444383</v>
      </c>
      <c r="BC323" s="51">
        <f t="shared" ca="1" si="111"/>
        <v>53.408489448435091</v>
      </c>
      <c r="BD323" s="88">
        <f ca="1">IF(AX323="","",DATE(INDEX(OFFSET(Arb!$C$2,,,Arb!$AJ$5,),AX323),INDEX(OFFSET(Arb!$B$2,,,Arb!$AJ$5,),AX323),INDEX(OFFSET(Arb!$A$2,,,Arb!$AJ$5,),AX323))+ROW()*0.001)</f>
        <v>44003.322999999997</v>
      </c>
      <c r="BE323" s="436">
        <v>181</v>
      </c>
      <c r="BF323" s="1">
        <v>3251</v>
      </c>
      <c r="BG323" s="52">
        <f ca="1">IF(BF323="","",INDEX(OFFSET(Arb!$H$2,,,Arb!$AJ$5,),BF323))</f>
        <v>73.41</v>
      </c>
      <c r="BH323" s="3">
        <f t="shared" ca="1" si="102"/>
        <v>2.4656041411251874</v>
      </c>
      <c r="BI323" s="165">
        <f ca="1">IF(BF323="","",INDEX(OFFSET(Arb!$X$2,,,Arb!$AJ$5,),BF323)/BG323)</f>
        <v>3.0785996458248195</v>
      </c>
      <c r="BJ323" s="165">
        <f ca="1">IF(BF323="","",(INDEX(OFFSET(Arb!$U$2,,,Arb!$AJ$5,),BF323)+INDEX(OFFSET(Arb!$V$2,,,Arb!$AJ$5,),BF323))/BG323)</f>
        <v>3.4055305816646233</v>
      </c>
      <c r="BK323" s="51">
        <f t="shared" ca="1" si="112"/>
        <v>53.013313429678036</v>
      </c>
      <c r="BL323" s="91">
        <f ca="1">IF(BF323="","",DATE(INDEX(OFFSET(Arb!$C$2,,,Arb!$AJ$5,),BF323),INDEX(OFFSET(Arb!$B$2,,,Arb!$AJ$5,),BF323),INDEX(OFFSET(Arb!$A$2,,,Arb!$AJ$5,),BF323))+ROW()*0.001)</f>
        <v>44069.322999999997</v>
      </c>
      <c r="BM323" s="442">
        <v>181</v>
      </c>
      <c r="BN323" s="1">
        <v>3382</v>
      </c>
      <c r="BO323" s="52">
        <f ca="1">IF(BN323="","",INDEX(OFFSET(Arb!$H$2,,,Arb!$AJ$5,),BN323))</f>
        <v>74.010000000000005</v>
      </c>
      <c r="BP323" s="3">
        <f t="shared" ca="1" si="103"/>
        <v>2.4456154573706255</v>
      </c>
      <c r="BQ323" s="165">
        <f ca="1">IF(BN323="","",INDEX(OFFSET(Arb!$X$2,,,Arb!$AJ$5,),BN323)/BO323)</f>
        <v>2.7293608971760572</v>
      </c>
      <c r="BR323" s="165">
        <f ca="1">IF(BN323="","",(INDEX(OFFSET(Arb!$U$2,,,Arb!$AJ$5,),BN323)+INDEX(OFFSET(Arb!$V$2,,,Arb!$AJ$5,),BN323))/BO323)</f>
        <v>3.4454803404945276</v>
      </c>
      <c r="BS323" s="51">
        <f t="shared" ca="1" si="113"/>
        <v>52.284762913993418</v>
      </c>
      <c r="BT323" s="88">
        <f ca="1">IF(BN323="","",DATE(INDEX(OFFSET(Arb!$C$2,,,Arb!$AJ$5,),BN323),INDEX(OFFSET(Arb!$B$2,,,Arb!$AJ$5,),BN323),INDEX(OFFSET(Arb!$A$2,,,Arb!$AJ$5,),BN323))+ROW()*0.001)</f>
        <v>44135.322999999997</v>
      </c>
      <c r="BU323" s="436">
        <v>181</v>
      </c>
      <c r="BV323" s="1">
        <v>2811</v>
      </c>
      <c r="BW323" s="52">
        <f ca="1">IF(BV323="","",INDEX(OFFSET(Arb!$H$2,,,Arb!$AJ$5,),BV323))</f>
        <v>74.739999999999995</v>
      </c>
      <c r="BX323" s="3">
        <f t="shared" ca="1" si="104"/>
        <v>2.4217286593524219</v>
      </c>
      <c r="BY323" s="165">
        <f ca="1">IF(BV323="","",INDEX(OFFSET(Arb!$X$2,,,Arb!$AJ$5,),BV323)/BW323)</f>
        <v>2.9702970297029707</v>
      </c>
      <c r="BZ323" s="165">
        <f ca="1">IF(BV323="","",(INDEX(OFFSET(Arb!$U$2,,,Arb!$AJ$5,),BV323)+INDEX(OFFSET(Arb!$V$2,,,Arb!$AJ$5,),BV323))/BW323)</f>
        <v>3.3984479529033988</v>
      </c>
      <c r="CA323" s="51">
        <f t="shared" ca="1" si="114"/>
        <v>51.419585477655509</v>
      </c>
      <c r="CB323" s="91">
        <f ca="1">IF(BV323="","",DATE(INDEX(OFFSET(Arb!$C$2,,,Arb!$AJ$5,),BV323),INDEX(OFFSET(Arb!$B$2,,,Arb!$AJ$5,),BV323),INDEX(OFFSET(Arb!$A$2,,,Arb!$AJ$5,),BV323))+ROW()*0.001)</f>
        <v>43898.322999999997</v>
      </c>
    </row>
    <row r="324" spans="1:80" x14ac:dyDescent="0.25">
      <c r="A324" s="433">
        <v>182</v>
      </c>
      <c r="B324" s="1">
        <v>3139</v>
      </c>
      <c r="C324" s="52">
        <f ca="1">IF(B324="","",INDEX(OFFSET(Arb!$H$2,,,Arb!$AJ$5,),B324))</f>
        <v>73.97</v>
      </c>
      <c r="D324" s="3">
        <f t="shared" ca="1" si="95"/>
        <v>2.4604569420035149</v>
      </c>
      <c r="E324" s="165">
        <f ca="1">IF(B324="","",INDEX(OFFSET(Arb!$X$2,,,Arb!$AJ$5,),B324)/C324)</f>
        <v>2.9336217385426524</v>
      </c>
      <c r="F324" s="165">
        <f ca="1">IF(B324="","",(INDEX(OFFSET(Arb!$U$2,,,Arb!$AJ$5,),B324)+INDEX(OFFSET(Arb!$V$2,,,Arb!$AJ$5,),B324))/C324)</f>
        <v>3.2310396106529673</v>
      </c>
      <c r="G324" s="51">
        <f t="shared" ca="1" si="105"/>
        <v>52.621968650037431</v>
      </c>
      <c r="H324" s="355">
        <f ca="1">IF(B324="","",DATE(INDEX(OFFSET(Arb!$C$2,,,Arb!$AJ$5,),B324),INDEX(OFFSET(Arb!$B$2,,,Arb!$AJ$5,),B324),INDEX(OFFSET(Arb!$A$2,,,Arb!$AJ$5,),B324))+ROW()*0.001)</f>
        <v>44021.324000000001</v>
      </c>
      <c r="I324" s="436">
        <v>182</v>
      </c>
      <c r="J324" s="1">
        <v>2586</v>
      </c>
      <c r="K324" s="52">
        <f ca="1">IF(J324="","",INDEX(OFFSET(Arb!$H$2,,,Arb!$AJ$5,),J324))</f>
        <v>74.86</v>
      </c>
      <c r="L324" s="3">
        <f t="shared" ca="1" si="96"/>
        <v>2.431204915842907</v>
      </c>
      <c r="M324" s="165">
        <f ca="1">IF(J324="","",INDEX(OFFSET(Arb!$X$2,,,Arb!$AJ$5,),J324)/K324)</f>
        <v>2.8319529788939355</v>
      </c>
      <c r="N324" s="165">
        <f ca="1">IF(J324="","",(INDEX(OFFSET(Arb!$U$2,,,Arb!$AJ$5,),J324)+INDEX(OFFSET(Arb!$V$2,,,Arb!$AJ$5,),J324))/K324)</f>
        <v>3.0991183542612877</v>
      </c>
      <c r="O324" s="51">
        <f t="shared" ca="1" si="106"/>
        <v>51.562853653386874</v>
      </c>
      <c r="P324" s="91">
        <f ca="1">IF(J324="","",DATE(INDEX(OFFSET(Arb!$C$2,,,Arb!$AJ$5,),J324),INDEX(OFFSET(Arb!$B$2,,,Arb!$AJ$5,),J324),INDEX(OFFSET(Arb!$A$2,,,Arb!$AJ$5,),J324))+ROW()*0.001)</f>
        <v>43805.324000000001</v>
      </c>
      <c r="Q324" s="442">
        <v>182</v>
      </c>
      <c r="R324" s="1">
        <v>3197</v>
      </c>
      <c r="S324" s="52">
        <f ca="1">IF(R324="","",INDEX(OFFSET(Arb!$H$2,,,Arb!$AJ$5,),R324))</f>
        <v>75</v>
      </c>
      <c r="T324" s="3">
        <f t="shared" ca="1" si="97"/>
        <v>2.4266666666666667</v>
      </c>
      <c r="U324" s="165">
        <f ca="1">IF(R324="","",INDEX(OFFSET(Arb!$X$2,,,Arb!$AJ$5,),R324)/S324)</f>
        <v>2.84</v>
      </c>
      <c r="V324" s="165">
        <f ca="1">IF(R324="","",(INDEX(OFFSET(Arb!$U$2,,,Arb!$AJ$5,),R324)+INDEX(OFFSET(Arb!$V$2,,,Arb!$AJ$5,),R324))/S324)</f>
        <v>3.24</v>
      </c>
      <c r="W324" s="51">
        <f t="shared" ca="1" si="107"/>
        <v>51.399334453493985</v>
      </c>
      <c r="X324" s="88">
        <f ca="1">IF(R324="","",DATE(INDEX(OFFSET(Arb!$C$2,,,Arb!$AJ$5,),R324),INDEX(OFFSET(Arb!$B$2,,,Arb!$AJ$5,),R324),INDEX(OFFSET(Arb!$A$2,,,Arb!$AJ$5,),R324))+ROW()*0.001)</f>
        <v>44057.324000000001</v>
      </c>
      <c r="Y324" s="436">
        <v>182</v>
      </c>
      <c r="Z324" s="1">
        <v>3089</v>
      </c>
      <c r="AA324" s="52">
        <f ca="1">IF(Z324="","",INDEX(OFFSET(Arb!$H$2,,,Arb!$AJ$5,),Z324))</f>
        <v>75.989999999999995</v>
      </c>
      <c r="AB324" s="3">
        <f t="shared" ca="1" si="98"/>
        <v>2.3950519805237533</v>
      </c>
      <c r="AC324" s="165">
        <f ca="1">IF(Z324="","",INDEX(OFFSET(Arb!$X$2,,,Arb!$AJ$5,),Z324)/AA324)</f>
        <v>3.0135544150546125</v>
      </c>
      <c r="AD324" s="165">
        <f ca="1">IF(Z324="","",(INDEX(OFFSET(Arb!$U$2,,,Arb!$AJ$5,),Z324)+INDEX(OFFSET(Arb!$V$2,,,Arb!$AJ$5,),Z324))/AA324)</f>
        <v>3.3820239505198053</v>
      </c>
      <c r="AE324" s="51">
        <f t="shared" ca="1" si="108"/>
        <v>50.266157495497829</v>
      </c>
      <c r="AF324" s="91">
        <f ca="1">IF(Z324="","",DATE(INDEX(OFFSET(Arb!$C$2,,,Arb!$AJ$5,),Z324),INDEX(OFFSET(Arb!$B$2,,,Arb!$AJ$5,),Z324),INDEX(OFFSET(Arb!$A$2,,,Arb!$AJ$5,),Z324))+ROW()*0.001)</f>
        <v>44004.324000000001</v>
      </c>
      <c r="AG324" s="442">
        <v>182</v>
      </c>
      <c r="AH324" s="1">
        <v>2674</v>
      </c>
      <c r="AI324" s="52">
        <f ca="1">IF(AH324="","",INDEX(OFFSET(Arb!$H$2,,,Arb!$AJ$5,),AH324))</f>
        <v>76</v>
      </c>
      <c r="AJ324" s="3">
        <f t="shared" ca="1" si="99"/>
        <v>2.3947368421052633</v>
      </c>
      <c r="AK324" s="165">
        <f ca="1">IF(AH324="","",INDEX(OFFSET(Arb!$X$2,,,Arb!$AJ$5,),AH324)/AI324)</f>
        <v>2.8684210526315788</v>
      </c>
      <c r="AL324" s="165">
        <f ca="1">IF(AH324="","",(INDEX(OFFSET(Arb!$U$2,,,Arb!$AJ$5,),AH324)+INDEX(OFFSET(Arb!$V$2,,,Arb!$AJ$5,),AH324))/AI324)</f>
        <v>3.1842105263157894</v>
      </c>
      <c r="AM324" s="51">
        <f t="shared" ca="1" si="109"/>
        <v>50.254914267553161</v>
      </c>
      <c r="AN324" s="88">
        <f ca="1">IF(AH324="","",DATE(INDEX(OFFSET(Arb!$C$2,,,Arb!$AJ$5,),AH324),INDEX(OFFSET(Arb!$B$2,,,Arb!$AJ$5,),AH324),INDEX(OFFSET(Arb!$A$2,,,Arb!$AJ$5,),AH324))+ROW()*0.001)</f>
        <v>43827.324000000001</v>
      </c>
      <c r="AO324" s="436">
        <v>182</v>
      </c>
      <c r="AP324" s="1">
        <v>2967</v>
      </c>
      <c r="AQ324" s="52">
        <f ca="1">IF(AP324="","",INDEX(OFFSET(Arb!$H$2,,,Arb!$AJ$5,),AP324))</f>
        <v>76.290000000000006</v>
      </c>
      <c r="AR324" s="3">
        <f t="shared" ca="1" si="100"/>
        <v>2.3856337658933016</v>
      </c>
      <c r="AS324" s="165">
        <f ca="1">IF(AP324="","",INDEX(OFFSET(Arb!$X$2,,,Arb!$AJ$5,),AP324)/AQ324)</f>
        <v>2.8444094901035522</v>
      </c>
      <c r="AT324" s="165">
        <f ca="1">IF(AP324="","",(INDEX(OFFSET(Arb!$U$2,,,Arb!$AJ$5,),AP324)+INDEX(OFFSET(Arb!$V$2,,,Arb!$AJ$5,),AP324))/AQ324)</f>
        <v>3.2769694586446452</v>
      </c>
      <c r="AU324" s="51">
        <f t="shared" ca="1" si="110"/>
        <v>49.930590012678053</v>
      </c>
      <c r="AV324" s="91">
        <f ca="1">IF(AP324="","",DATE(INDEX(OFFSET(Arb!$C$2,,,Arb!$AJ$5,),AP324),INDEX(OFFSET(Arb!$B$2,,,Arb!$AJ$5,),AP324),INDEX(OFFSET(Arb!$A$2,,,Arb!$AJ$5,),AP324))+ROW()*0.001)</f>
        <v>43952.324000000001</v>
      </c>
      <c r="AW324" s="442">
        <v>182</v>
      </c>
      <c r="AX324" s="1">
        <v>3352</v>
      </c>
      <c r="AY324" s="52">
        <f ca="1">IF(AX324="","",INDEX(OFFSET(Arb!$H$2,,,Arb!$AJ$5,),AX324))</f>
        <v>77.540000000000006</v>
      </c>
      <c r="AZ324" s="3">
        <f t="shared" ca="1" si="101"/>
        <v>2.3471756512767601</v>
      </c>
      <c r="BA324" s="165">
        <f ca="1">IF(AX324="","",INDEX(OFFSET(Arb!$X$2,,,Arb!$AJ$5,),AX324)/AY324)</f>
        <v>2.8759350012896565</v>
      </c>
      <c r="BB324" s="165">
        <f ca="1">IF(AX324="","",(INDEX(OFFSET(Arb!$U$2,,,Arb!$AJ$5,),AX324)+INDEX(OFFSET(Arb!$V$2,,,Arb!$AJ$5,),AX324))/AY324)</f>
        <v>3.2112458086149083</v>
      </c>
      <c r="BC324" s="51">
        <f t="shared" ca="1" si="111"/>
        <v>48.569964827708588</v>
      </c>
      <c r="BD324" s="88">
        <f ca="1">IF(AX324="","",DATE(INDEX(OFFSET(Arb!$C$2,,,Arb!$AJ$5,),AX324),INDEX(OFFSET(Arb!$B$2,,,Arb!$AJ$5,),AX324),INDEX(OFFSET(Arb!$A$2,,,Arb!$AJ$5,),AX324))+ROW()*0.001)</f>
        <v>44098.324000000001</v>
      </c>
      <c r="BE324" s="436">
        <v>182</v>
      </c>
      <c r="BF324" s="1">
        <v>2659</v>
      </c>
      <c r="BG324" s="52">
        <f ca="1">IF(BF324="","",INDEX(OFFSET(Arb!$H$2,,,Arb!$AJ$5,),BF324))</f>
        <v>77.55</v>
      </c>
      <c r="BH324" s="3">
        <f t="shared" ca="1" si="102"/>
        <v>2.3468729851708576</v>
      </c>
      <c r="BI324" s="165">
        <f ca="1">IF(BF324="","",INDEX(OFFSET(Arb!$X$2,,,Arb!$AJ$5,),BF324)/BG324)</f>
        <v>2.8239845261121856</v>
      </c>
      <c r="BJ324" s="165">
        <f ca="1">IF(BF324="","",(INDEX(OFFSET(Arb!$U$2,,,Arb!$AJ$5,),BF324)+INDEX(OFFSET(Arb!$V$2,,,Arb!$AJ$5,),BF324))/BG324)</f>
        <v>3.1205673758865249</v>
      </c>
      <c r="BK324" s="51">
        <f t="shared" ca="1" si="112"/>
        <v>48.559318120597872</v>
      </c>
      <c r="BL324" s="91">
        <f ca="1">IF(BF324="","",DATE(INDEX(OFFSET(Arb!$C$2,,,Arb!$AJ$5,),BF324),INDEX(OFFSET(Arb!$B$2,,,Arb!$AJ$5,),BF324),INDEX(OFFSET(Arb!$A$2,,,Arb!$AJ$5,),BF324))+ROW()*0.001)</f>
        <v>43821.324000000001</v>
      </c>
      <c r="BM324" s="442">
        <v>182</v>
      </c>
      <c r="BN324" s="1">
        <v>2853</v>
      </c>
      <c r="BO324" s="52">
        <f ca="1">IF(BN324="","",INDEX(OFFSET(Arb!$H$2,,,Arb!$AJ$5,),BN324))</f>
        <v>78.11</v>
      </c>
      <c r="BP324" s="3">
        <f t="shared" ca="1" si="103"/>
        <v>2.3300473690948662</v>
      </c>
      <c r="BQ324" s="165">
        <f ca="1">IF(BN324="","",INDEX(OFFSET(Arb!$X$2,,,Arb!$AJ$5,),BN324)/BO324)</f>
        <v>2.8421456919728589</v>
      </c>
      <c r="BR324" s="165">
        <f ca="1">IF(BN324="","",(INDEX(OFFSET(Arb!$U$2,,,Arb!$AJ$5,),BN324)+INDEX(OFFSET(Arb!$V$2,,,Arb!$AJ$5,),BN324))/BO324)</f>
        <v>3.1622071437716044</v>
      </c>
      <c r="BS324" s="51">
        <f t="shared" ca="1" si="113"/>
        <v>47.968966216466349</v>
      </c>
      <c r="BT324" s="88">
        <f ca="1">IF(BN324="","",DATE(INDEX(OFFSET(Arb!$C$2,,,Arb!$AJ$5,),BN324),INDEX(OFFSET(Arb!$B$2,,,Arb!$AJ$5,),BN324),INDEX(OFFSET(Arb!$A$2,,,Arb!$AJ$5,),BN324))+ROW()*0.001)</f>
        <v>43905.324000000001</v>
      </c>
      <c r="BU324" s="436">
        <v>182</v>
      </c>
      <c r="BV324" s="1">
        <v>3430</v>
      </c>
      <c r="BW324" s="52">
        <f ca="1">IF(BV324="","",INDEX(OFFSET(Arb!$H$2,,,Arb!$AJ$5,),BV324))</f>
        <v>78.47</v>
      </c>
      <c r="BX324" s="3">
        <f t="shared" ca="1" si="104"/>
        <v>2.3193577163247103</v>
      </c>
      <c r="BY324" s="165">
        <f ca="1">IF(BV324="","",INDEX(OFFSET(Arb!$X$2,,,Arb!$AJ$5,),BV324)/BW324)</f>
        <v>2.5614884669300371</v>
      </c>
      <c r="BZ324" s="165">
        <f ca="1">IF(BV324="","",(INDEX(OFFSET(Arb!$U$2,,,Arb!$AJ$5,),BV324)+INDEX(OFFSET(Arb!$V$2,,,Arb!$AJ$5,),BV324))/BW324)</f>
        <v>2.931056454696062</v>
      </c>
      <c r="CA324" s="51">
        <f t="shared" ca="1" si="114"/>
        <v>47.59544962605348</v>
      </c>
      <c r="CB324" s="91">
        <f ca="1">IF(BV324="","",DATE(INDEX(OFFSET(Arb!$C$2,,,Arb!$AJ$5,),BV324),INDEX(OFFSET(Arb!$B$2,,,Arb!$AJ$5,),BV324),INDEX(OFFSET(Arb!$A$2,,,Arb!$AJ$5,),BV324))+ROW()*0.001)</f>
        <v>44153.324000000001</v>
      </c>
    </row>
    <row r="325" spans="1:80" x14ac:dyDescent="0.25">
      <c r="A325" s="433">
        <v>183</v>
      </c>
      <c r="B325" s="1">
        <v>3103</v>
      </c>
      <c r="C325" s="52">
        <f ca="1">IF(B325="","",INDEX(OFFSET(Arb!$H$2,,,Arb!$AJ$5,),B325))</f>
        <v>70.59</v>
      </c>
      <c r="D325" s="3">
        <f t="shared" ca="1" si="95"/>
        <v>2.5924351891202719</v>
      </c>
      <c r="E325" s="165">
        <f ca="1">IF(B325="","",INDEX(OFFSET(Arb!$X$2,,,Arb!$AJ$5,),B325)/C325)</f>
        <v>3.0882561269301601</v>
      </c>
      <c r="F325" s="165">
        <f ca="1">IF(B325="","",(INDEX(OFFSET(Arb!$U$2,,,Arb!$AJ$5,),B325)+INDEX(OFFSET(Arb!$V$2,,,Arb!$AJ$5,),B325))/C325)</f>
        <v>3.4707465646692164</v>
      </c>
      <c r="G325" s="51">
        <f t="shared" ca="1" si="105"/>
        <v>57.289883069224437</v>
      </c>
      <c r="H325" s="355">
        <f ca="1">IF(B325="","",DATE(INDEX(OFFSET(Arb!$C$2,,,Arb!$AJ$5,),B325),INDEX(OFFSET(Arb!$B$2,,,Arb!$AJ$5,),B325),INDEX(OFFSET(Arb!$A$2,,,Arb!$AJ$5,),B325))+ROW()*0.001)</f>
        <v>44005.324999999997</v>
      </c>
      <c r="I325" s="436">
        <v>183</v>
      </c>
      <c r="J325" s="1">
        <v>3202</v>
      </c>
      <c r="K325" s="52">
        <f ca="1">IF(J325="","",INDEX(OFFSET(Arb!$H$2,,,Arb!$AJ$5,),J325))</f>
        <v>72.62</v>
      </c>
      <c r="L325" s="3">
        <f t="shared" ca="1" si="96"/>
        <v>2.5199669512530982</v>
      </c>
      <c r="M325" s="165">
        <f ca="1">IF(J325="","",INDEX(OFFSET(Arb!$X$2,,,Arb!$AJ$5,),J325)/K325)</f>
        <v>3.0019278435692645</v>
      </c>
      <c r="N325" s="165">
        <f ca="1">IF(J325="","",(INDEX(OFFSET(Arb!$U$2,,,Arb!$AJ$5,),J325)+INDEX(OFFSET(Arb!$V$2,,,Arb!$AJ$5,),J325))/K325)</f>
        <v>3.2360231341228309</v>
      </c>
      <c r="O325" s="51">
        <f t="shared" ca="1" si="106"/>
        <v>54.594102309192145</v>
      </c>
      <c r="P325" s="91">
        <f ca="1">IF(J325="","",DATE(INDEX(OFFSET(Arb!$C$2,,,Arb!$AJ$5,),J325),INDEX(OFFSET(Arb!$B$2,,,Arb!$AJ$5,),J325),INDEX(OFFSET(Arb!$A$2,,,Arb!$AJ$5,),J325))+ROW()*0.001)</f>
        <v>44058.324999999997</v>
      </c>
      <c r="Q325" s="442">
        <v>183</v>
      </c>
      <c r="R325" s="1">
        <v>2987</v>
      </c>
      <c r="S325" s="52">
        <f ca="1">IF(R325="","",INDEX(OFFSET(Arb!$H$2,,,Arb!$AJ$5,),R325))</f>
        <v>74.86</v>
      </c>
      <c r="T325" s="3">
        <f t="shared" ca="1" si="97"/>
        <v>2.4445631846112743</v>
      </c>
      <c r="U325" s="165">
        <f ca="1">IF(R325="","",INDEX(OFFSET(Arb!$X$2,,,Arb!$AJ$5,),R325)/S325)</f>
        <v>2.8987443227357734</v>
      </c>
      <c r="V325" s="165">
        <f ca="1">IF(R325="","",(INDEX(OFFSET(Arb!$U$2,,,Arb!$AJ$5,),R325)+INDEX(OFFSET(Arb!$V$2,,,Arb!$AJ$5,),R325))/S325)</f>
        <v>3.1525514293347583</v>
      </c>
      <c r="W325" s="51">
        <f t="shared" ca="1" si="107"/>
        <v>51.846166036097785</v>
      </c>
      <c r="X325" s="88">
        <f ca="1">IF(R325="","",DATE(INDEX(OFFSET(Arb!$C$2,,,Arb!$AJ$5,),R325),INDEX(OFFSET(Arb!$B$2,,,Arb!$AJ$5,),R325),INDEX(OFFSET(Arb!$A$2,,,Arb!$AJ$5,),R325))+ROW()*0.001)</f>
        <v>43956.324999999997</v>
      </c>
      <c r="Y325" s="436">
        <v>183</v>
      </c>
      <c r="Z325" s="1">
        <v>2577</v>
      </c>
      <c r="AA325" s="52">
        <f ca="1">IF(Z325="","",INDEX(OFFSET(Arb!$H$2,,,Arb!$AJ$5,),Z325))</f>
        <v>76.209999999999994</v>
      </c>
      <c r="AB325" s="3">
        <f t="shared" ca="1" si="98"/>
        <v>2.4012596772077157</v>
      </c>
      <c r="AC325" s="165">
        <f ca="1">IF(Z325="","",INDEX(OFFSET(Arb!$X$2,,,Arb!$AJ$5,),Z325)/AA325)</f>
        <v>2.7686655294580764</v>
      </c>
      <c r="AD325" s="165">
        <f ca="1">IF(Z325="","",(INDEX(OFFSET(Arb!$U$2,,,Arb!$AJ$5,),Z325)+INDEX(OFFSET(Arb!$V$2,,,Arb!$AJ$5,),Z325))/AA325)</f>
        <v>3.0835848313869572</v>
      </c>
      <c r="AE325" s="51">
        <f t="shared" ca="1" si="108"/>
        <v>50.294559676198098</v>
      </c>
      <c r="AF325" s="91">
        <f ca="1">IF(Z325="","",DATE(INDEX(OFFSET(Arb!$C$2,,,Arb!$AJ$5,),Z325),INDEX(OFFSET(Arb!$B$2,,,Arb!$AJ$5,),Z325),INDEX(OFFSET(Arb!$A$2,,,Arb!$AJ$5,),Z325))+ROW()*0.001)</f>
        <v>43802.324999999997</v>
      </c>
      <c r="AG325" s="442">
        <v>183</v>
      </c>
      <c r="AH325" s="1">
        <v>2883</v>
      </c>
      <c r="AI325" s="52">
        <f ca="1">IF(AH325="","",INDEX(OFFSET(Arb!$H$2,,,Arb!$AJ$5,),AH325))</f>
        <v>77.52</v>
      </c>
      <c r="AJ325" s="3">
        <f t="shared" ca="1" si="99"/>
        <v>2.3606811145510838</v>
      </c>
      <c r="AK325" s="165">
        <f ca="1">IF(AH325="","",INDEX(OFFSET(Arb!$X$2,,,Arb!$AJ$5,),AH325)/AI325)</f>
        <v>2.7863777089783284</v>
      </c>
      <c r="AL325" s="165">
        <f ca="1">IF(AH325="","",(INDEX(OFFSET(Arb!$U$2,,,Arb!$AJ$5,),AH325)+INDEX(OFFSET(Arb!$V$2,,,Arb!$AJ$5,),AH325))/AI325)</f>
        <v>3.1217750257997938</v>
      </c>
      <c r="AM325" s="51">
        <f t="shared" ca="1" si="109"/>
        <v>48.858254363946578</v>
      </c>
      <c r="AN325" s="88">
        <f ca="1">IF(AH325="","",DATE(INDEX(OFFSET(Arb!$C$2,,,Arb!$AJ$5,),AH325),INDEX(OFFSET(Arb!$B$2,,,Arb!$AJ$5,),AH325),INDEX(OFFSET(Arb!$A$2,,,Arb!$AJ$5,),AH325))+ROW()*0.001)</f>
        <v>43917.324999999997</v>
      </c>
      <c r="AO325" s="436">
        <v>183</v>
      </c>
      <c r="AP325" s="1">
        <v>3361</v>
      </c>
      <c r="AQ325" s="52">
        <f ca="1">IF(AP325="","",INDEX(OFFSET(Arb!$H$2,,,Arb!$AJ$5,),AP325))</f>
        <v>77.790000000000006</v>
      </c>
      <c r="AR325" s="3">
        <f t="shared" ca="1" si="100"/>
        <v>2.3524874662553024</v>
      </c>
      <c r="AS325" s="165">
        <f ca="1">IF(AP325="","",INDEX(OFFSET(Arb!$X$2,,,Arb!$AJ$5,),AP325)/AQ325)</f>
        <v>2.7124309037151302</v>
      </c>
      <c r="AT325" s="165">
        <f ca="1">IF(AP325="","",(INDEX(OFFSET(Arb!$U$2,,,Arb!$AJ$5,),AP325)+INDEX(OFFSET(Arb!$V$2,,,Arb!$AJ$5,),AP325))/AQ325)</f>
        <v>3.5737241290654325</v>
      </c>
      <c r="AU325" s="51">
        <f t="shared" ca="1" si="110"/>
        <v>48.570316504940898</v>
      </c>
      <c r="AV325" s="91">
        <f ca="1">IF(AP325="","",DATE(INDEX(OFFSET(Arb!$C$2,,,Arb!$AJ$5,),AP325),INDEX(OFFSET(Arb!$B$2,,,Arb!$AJ$5,),AP325),INDEX(OFFSET(Arb!$A$2,,,Arb!$AJ$5,),AP325))+ROW()*0.001)</f>
        <v>44100.324999999997</v>
      </c>
      <c r="AW325" s="442">
        <v>183</v>
      </c>
      <c r="AX325" s="1">
        <v>3063</v>
      </c>
      <c r="AY325" s="52">
        <f ca="1">IF(AX325="","",INDEX(OFFSET(Arb!$H$2,,,Arb!$AJ$5,),AX325))</f>
        <v>78.77</v>
      </c>
      <c r="AZ325" s="3">
        <f t="shared" ca="1" si="101"/>
        <v>2.3232194998095723</v>
      </c>
      <c r="BA325" s="165">
        <f ca="1">IF(AX325="","",INDEX(OFFSET(Arb!$X$2,,,Arb!$AJ$5,),AX325)/AY325)</f>
        <v>2.6659895899454109</v>
      </c>
      <c r="BB325" s="165">
        <f ca="1">IF(AX325="","",(INDEX(OFFSET(Arb!$U$2,,,Arb!$AJ$5,),AX325)+INDEX(OFFSET(Arb!$V$2,,,Arb!$AJ$5,),AX325))/AY325)</f>
        <v>2.9706741145106008</v>
      </c>
      <c r="BC325" s="51">
        <f t="shared" ca="1" si="111"/>
        <v>47.547524158342327</v>
      </c>
      <c r="BD325" s="88">
        <f ca="1">IF(AX325="","",DATE(INDEX(OFFSET(Arb!$C$2,,,Arb!$AJ$5,),AX325),INDEX(OFFSET(Arb!$B$2,,,Arb!$AJ$5,),AX325),INDEX(OFFSET(Arb!$A$2,,,Arb!$AJ$5,),AX325))+ROW()*0.001)</f>
        <v>43991.324999999997</v>
      </c>
      <c r="BE325" s="436">
        <v>183</v>
      </c>
      <c r="BF325" s="1">
        <v>2667</v>
      </c>
      <c r="BG325" s="52">
        <f ca="1">IF(BF325="","",INDEX(OFFSET(Arb!$H$2,,,Arb!$AJ$5,),BF325))</f>
        <v>79.08</v>
      </c>
      <c r="BH325" s="3">
        <f t="shared" ca="1" si="102"/>
        <v>2.314112291350531</v>
      </c>
      <c r="BI325" s="165">
        <f ca="1">IF(BF325="","",INDEX(OFFSET(Arb!$X$2,,,Arb!$AJ$5,),BF325)/BG325)</f>
        <v>2.7061203844208399</v>
      </c>
      <c r="BJ325" s="165">
        <f ca="1">IF(BF325="","",(INDEX(OFFSET(Arb!$U$2,,,Arb!$AJ$5,),BF325)+INDEX(OFFSET(Arb!$V$2,,,Arb!$AJ$5,),BF325))/BG325)</f>
        <v>3.0475467880627214</v>
      </c>
      <c r="BK325" s="51">
        <f t="shared" ca="1" si="112"/>
        <v>47.231095831643927</v>
      </c>
      <c r="BL325" s="91">
        <f ca="1">IF(BF325="","",DATE(INDEX(OFFSET(Arb!$C$2,,,Arb!$AJ$5,),BF325),INDEX(OFFSET(Arb!$B$2,,,Arb!$AJ$5,),BF325),INDEX(OFFSET(Arb!$A$2,,,Arb!$AJ$5,),BF325))+ROW()*0.001)</f>
        <v>43823.324999999997</v>
      </c>
      <c r="BM325" s="442">
        <v>183</v>
      </c>
      <c r="BN325" s="1">
        <v>3164</v>
      </c>
      <c r="BO325" s="52">
        <f ca="1">IF(BN325="","",INDEX(OFFSET(Arb!$H$2,,,Arb!$AJ$5,),BN325))</f>
        <v>79.59</v>
      </c>
      <c r="BP325" s="3">
        <f t="shared" ca="1" si="103"/>
        <v>2.2992838296268374</v>
      </c>
      <c r="BQ325" s="165">
        <f ca="1">IF(BN325="","",INDEX(OFFSET(Arb!$X$2,,,Arb!$AJ$5,),BN325)/BO325)</f>
        <v>2.6133936424173889</v>
      </c>
      <c r="BR325" s="165">
        <f ca="1">IF(BN325="","",(INDEX(OFFSET(Arb!$U$2,,,Arb!$AJ$5,),BN325)+INDEX(OFFSET(Arb!$V$2,,,Arb!$AJ$5,),BN325))/BO325)</f>
        <v>2.826988315114964</v>
      </c>
      <c r="BS325" s="51">
        <f t="shared" ca="1" si="113"/>
        <v>46.717746639786064</v>
      </c>
      <c r="BT325" s="88">
        <f ca="1">IF(BN325="","",DATE(INDEX(OFFSET(Arb!$C$2,,,Arb!$AJ$5,),BN325),INDEX(OFFSET(Arb!$B$2,,,Arb!$AJ$5,),BN325),INDEX(OFFSET(Arb!$A$2,,,Arb!$AJ$5,),BN325))+ROW()*0.001)</f>
        <v>44032.324999999997</v>
      </c>
      <c r="BU325" s="436">
        <v>183</v>
      </c>
      <c r="BV325" s="1">
        <v>3167</v>
      </c>
      <c r="BW325" s="52">
        <f ca="1">IF(BV325="","",INDEX(OFFSET(Arb!$H$2,,,Arb!$AJ$5,),BV325))</f>
        <v>79.819999999999993</v>
      </c>
      <c r="BX325" s="3">
        <f t="shared" ca="1" si="104"/>
        <v>2.2926584815835631</v>
      </c>
      <c r="BY325" s="165">
        <f ca="1">IF(BV325="","",INDEX(OFFSET(Arb!$X$2,,,Arb!$AJ$5,),BV325)/BW325)</f>
        <v>2.7436732648459037</v>
      </c>
      <c r="BZ325" s="165">
        <f ca="1">IF(BV325="","",(INDEX(OFFSET(Arb!$U$2,,,Arb!$AJ$5,),BV325)+INDEX(OFFSET(Arb!$V$2,,,Arb!$AJ$5,),BV325))/BW325)</f>
        <v>3.0192934101728892</v>
      </c>
      <c r="CA325" s="51">
        <f t="shared" ca="1" si="114"/>
        <v>46.489129609376008</v>
      </c>
      <c r="CB325" s="91">
        <f ca="1">IF(BV325="","",DATE(INDEX(OFFSET(Arb!$C$2,,,Arb!$AJ$5,),BV325),INDEX(OFFSET(Arb!$B$2,,,Arb!$AJ$5,),BV325),INDEX(OFFSET(Arb!$A$2,,,Arb!$AJ$5,),BV325))+ROW()*0.001)</f>
        <v>44032.324999999997</v>
      </c>
    </row>
    <row r="326" spans="1:80" x14ac:dyDescent="0.25">
      <c r="A326" s="433">
        <v>184</v>
      </c>
      <c r="B326" s="1">
        <v>3221</v>
      </c>
      <c r="C326" s="52">
        <f ca="1">IF(B326="","",INDEX(OFFSET(Arb!$H$2,,,Arb!$AJ$5,),B326))</f>
        <v>69.84</v>
      </c>
      <c r="D326" s="3">
        <f t="shared" ca="1" si="95"/>
        <v>2.6345933562428407</v>
      </c>
      <c r="E326" s="165">
        <f ca="1">IF(B326="","",INDEX(OFFSET(Arb!$X$2,,,Arb!$AJ$5,),B326)/C326)</f>
        <v>3.1500572737686139</v>
      </c>
      <c r="F326" s="165">
        <f ca="1">IF(B326="","",(INDEX(OFFSET(Arb!$U$2,,,Arb!$AJ$5,),B326)+INDEX(OFFSET(Arb!$V$2,,,Arb!$AJ$5,),B326))/C326)</f>
        <v>3.5796105383734247</v>
      </c>
      <c r="G326" s="51">
        <f t="shared" ca="1" si="105"/>
        <v>58.658490955304408</v>
      </c>
      <c r="H326" s="355">
        <f ca="1">IF(B326="","",DATE(INDEX(OFFSET(Arb!$C$2,,,Arb!$AJ$5,),B326),INDEX(OFFSET(Arb!$B$2,,,Arb!$AJ$5,),B326),INDEX(OFFSET(Arb!$A$2,,,Arb!$AJ$5,),B326))+ROW()*0.001)</f>
        <v>44060.326000000001</v>
      </c>
      <c r="I326" s="436">
        <v>184</v>
      </c>
      <c r="J326" s="1">
        <v>3413</v>
      </c>
      <c r="K326" s="52">
        <f ca="1">IF(J326="","",INDEX(OFFSET(Arb!$H$2,,,Arb!$AJ$5,),J326))</f>
        <v>72.11</v>
      </c>
      <c r="L326" s="3">
        <f t="shared" ca="1" si="96"/>
        <v>2.5516571904035503</v>
      </c>
      <c r="M326" s="165">
        <f ca="1">IF(J326="","",INDEX(OFFSET(Arb!$X$2,,,Arb!$AJ$5,),J326)/K326)</f>
        <v>2.7458050201081683</v>
      </c>
      <c r="N326" s="165">
        <f ca="1">IF(J326="","",(INDEX(OFFSET(Arb!$U$2,,,Arb!$AJ$5,),J326)+INDEX(OFFSET(Arb!$V$2,,,Arb!$AJ$5,),J326))/K326)</f>
        <v>2.9954236582998197</v>
      </c>
      <c r="O326" s="51">
        <f t="shared" ca="1" si="106"/>
        <v>55.554051347080467</v>
      </c>
      <c r="P326" s="91">
        <f ca="1">IF(J326="","",DATE(INDEX(OFFSET(Arb!$C$2,,,Arb!$AJ$5,),J326),INDEX(OFFSET(Arb!$B$2,,,Arb!$AJ$5,),J326),INDEX(OFFSET(Arb!$A$2,,,Arb!$AJ$5,),J326))+ROW()*0.001)</f>
        <v>44147.326000000001</v>
      </c>
      <c r="Q326" s="442">
        <v>184</v>
      </c>
      <c r="R326" s="1">
        <v>2926</v>
      </c>
      <c r="S326" s="52">
        <f ca="1">IF(R326="","",INDEX(OFFSET(Arb!$H$2,,,Arb!$AJ$5,),R326))</f>
        <v>74.040000000000006</v>
      </c>
      <c r="T326" s="3">
        <f t="shared" ca="1" si="97"/>
        <v>2.4851431658562935</v>
      </c>
      <c r="U326" s="165">
        <f ca="1">IF(R326="","",INDEX(OFFSET(Arb!$X$2,,,Arb!$AJ$5,),R326)/S326)</f>
        <v>2.9443544030253914</v>
      </c>
      <c r="V326" s="165">
        <f ca="1">IF(R326="","",(INDEX(OFFSET(Arb!$U$2,,,Arb!$AJ$5,),R326)+INDEX(OFFSET(Arb!$V$2,,,Arb!$AJ$5,),R326))/S326)</f>
        <v>3.2414910858995136</v>
      </c>
      <c r="W326" s="51">
        <f t="shared" ca="1" si="107"/>
        <v>53.114754833125403</v>
      </c>
      <c r="X326" s="88">
        <f ca="1">IF(R326="","",DATE(INDEX(OFFSET(Arb!$C$2,,,Arb!$AJ$5,),R326),INDEX(OFFSET(Arb!$B$2,,,Arb!$AJ$5,),R326),INDEX(OFFSET(Arb!$A$2,,,Arb!$AJ$5,),R326))+ROW()*0.001)</f>
        <v>43936.326000000001</v>
      </c>
      <c r="Y326" s="436">
        <v>184</v>
      </c>
      <c r="Z326" s="1">
        <v>3245</v>
      </c>
      <c r="AA326" s="52">
        <f ca="1">IF(Z326="","",INDEX(OFFSET(Arb!$H$2,,,Arb!$AJ$5,),Z326))</f>
        <v>74.47</v>
      </c>
      <c r="AB326" s="3">
        <f t="shared" ca="1" si="98"/>
        <v>2.4707936081643616</v>
      </c>
      <c r="AC326" s="165">
        <f ca="1">IF(Z326="","",INDEX(OFFSET(Arb!$X$2,,,Arb!$AJ$5,),Z326)/AA326)</f>
        <v>2.9407815227608434</v>
      </c>
      <c r="AD326" s="165">
        <f ca="1">IF(Z326="","",(INDEX(OFFSET(Arb!$U$2,,,Arb!$AJ$5,),Z326)+INDEX(OFFSET(Arb!$V$2,,,Arb!$AJ$5,),Z326))/AA326)</f>
        <v>3.4107694373573252</v>
      </c>
      <c r="AE326" s="51">
        <f t="shared" ca="1" si="108"/>
        <v>52.594432914616903</v>
      </c>
      <c r="AF326" s="91">
        <f ca="1">IF(Z326="","",DATE(INDEX(OFFSET(Arb!$C$2,,,Arb!$AJ$5,),Z326),INDEX(OFFSET(Arb!$B$2,,,Arb!$AJ$5,),Z326),INDEX(OFFSET(Arb!$A$2,,,Arb!$AJ$5,),Z326))+ROW()*0.001)</f>
        <v>44066.326000000001</v>
      </c>
      <c r="AG326" s="442">
        <v>184</v>
      </c>
      <c r="AH326" s="1">
        <v>2516</v>
      </c>
      <c r="AI326" s="52">
        <f ca="1">IF(AH326="","",INDEX(OFFSET(Arb!$H$2,,,Arb!$AJ$5,),AH326))</f>
        <v>77.47</v>
      </c>
      <c r="AJ326" s="3">
        <f t="shared" ca="1" si="99"/>
        <v>2.3751129469472052</v>
      </c>
      <c r="AK326" s="165">
        <f ca="1">IF(AH326="","",INDEX(OFFSET(Arb!$X$2,,,Arb!$AJ$5,),AH326)/AI326)</f>
        <v>2.8010842906931717</v>
      </c>
      <c r="AL326" s="165">
        <f ca="1">IF(AH326="","",(INDEX(OFFSET(Arb!$U$2,,,Arb!$AJ$5,),AH326)+INDEX(OFFSET(Arb!$V$2,,,Arb!$AJ$5,),AH326))/AI326)</f>
        <v>3.0721569639860591</v>
      </c>
      <c r="AM326" s="51">
        <f t="shared" ca="1" si="109"/>
        <v>49.179151694762417</v>
      </c>
      <c r="AN326" s="88">
        <f ca="1">IF(AH326="","",DATE(INDEX(OFFSET(Arb!$C$2,,,Arb!$AJ$5,),AH326),INDEX(OFFSET(Arb!$B$2,,,Arb!$AJ$5,),AH326),INDEX(OFFSET(Arb!$A$2,,,Arb!$AJ$5,),AH326))+ROW()*0.001)</f>
        <v>43789.326000000001</v>
      </c>
      <c r="AO326" s="436">
        <v>184</v>
      </c>
      <c r="AP326" s="1">
        <v>3233</v>
      </c>
      <c r="AQ326" s="52">
        <f ca="1">IF(AP326="","",INDEX(OFFSET(Arb!$H$2,,,Arb!$AJ$5,),AP326))</f>
        <v>78.3</v>
      </c>
      <c r="AR326" s="3">
        <f t="shared" ca="1" si="100"/>
        <v>2.3499361430395913</v>
      </c>
      <c r="AS326" s="165">
        <f ca="1">IF(AP326="","",INDEX(OFFSET(Arb!$X$2,,,Arb!$AJ$5,),AP326)/AQ326)</f>
        <v>2.8352490421455938</v>
      </c>
      <c r="AT326" s="165">
        <f ca="1">IF(AP326="","",(INDEX(OFFSET(Arb!$U$2,,,Arb!$AJ$5,),AP326)+INDEX(OFFSET(Arb!$V$2,,,Arb!$AJ$5,),AP326))/AQ326)</f>
        <v>3.1673052362707534</v>
      </c>
      <c r="AU326" s="51">
        <f t="shared" ca="1" si="110"/>
        <v>48.296213515010699</v>
      </c>
      <c r="AV326" s="91">
        <f ca="1">IF(AP326="","",DATE(INDEX(OFFSET(Arb!$C$2,,,Arb!$AJ$5,),AP326),INDEX(OFFSET(Arb!$B$2,,,Arb!$AJ$5,),AP326),INDEX(OFFSET(Arb!$A$2,,,Arb!$AJ$5,),AP326))+ROW()*0.001)</f>
        <v>44063.326000000001</v>
      </c>
      <c r="AW326" s="442">
        <v>184</v>
      </c>
      <c r="AX326" s="1">
        <v>3179</v>
      </c>
      <c r="AY326" s="52">
        <f ca="1">IF(AX326="","",INDEX(OFFSET(Arb!$H$2,,,Arb!$AJ$5,),AX326))</f>
        <v>78.92</v>
      </c>
      <c r="AZ326" s="3">
        <f t="shared" ca="1" si="101"/>
        <v>2.331474911302585</v>
      </c>
      <c r="BA326" s="165">
        <f ca="1">IF(AX326="","",INDEX(OFFSET(Arb!$X$2,,,Arb!$AJ$5,),AX326)/AY326)</f>
        <v>2.889001520527116</v>
      </c>
      <c r="BB326" s="165">
        <f ca="1">IF(AX326="","",(INDEX(OFFSET(Arb!$U$2,,,Arb!$AJ$5,),AX326)+INDEX(OFFSET(Arb!$V$2,,,Arb!$AJ$5,),AX326))/AY326)</f>
        <v>3.1677648251393817</v>
      </c>
      <c r="BC326" s="51">
        <f t="shared" ca="1" si="111"/>
        <v>47.65297819342635</v>
      </c>
      <c r="BD326" s="88">
        <f ca="1">IF(AX326="","",DATE(INDEX(OFFSET(Arb!$C$2,,,Arb!$AJ$5,),AX326),INDEX(OFFSET(Arb!$B$2,,,Arb!$AJ$5,),AX326),INDEX(OFFSET(Arb!$A$2,,,Arb!$AJ$5,),AX326))+ROW()*0.001)</f>
        <v>44051.326000000001</v>
      </c>
      <c r="BE326" s="436">
        <v>184</v>
      </c>
      <c r="BF326" s="1">
        <v>2705</v>
      </c>
      <c r="BG326" s="52">
        <f ca="1">IF(BF326="","",INDEX(OFFSET(Arb!$H$2,,,Arb!$AJ$5,),BF326))</f>
        <v>79.430000000000007</v>
      </c>
      <c r="BH326" s="3">
        <f t="shared" ca="1" si="102"/>
        <v>2.3165050988291576</v>
      </c>
      <c r="BI326" s="165">
        <f ca="1">IF(BF326="","",INDEX(OFFSET(Arb!$X$2,,,Arb!$AJ$5,),BF326)/BG326)</f>
        <v>2.7445549540475889</v>
      </c>
      <c r="BJ326" s="165">
        <f ca="1">IF(BF326="","",(INDEX(OFFSET(Arb!$U$2,,,Arb!$AJ$5,),BF326)+INDEX(OFFSET(Arb!$V$2,,,Arb!$AJ$5,),BF326))/BG326)</f>
        <v>3.0970665995215909</v>
      </c>
      <c r="BK326" s="51">
        <f t="shared" ca="1" si="112"/>
        <v>47.134002662275897</v>
      </c>
      <c r="BL326" s="91">
        <f ca="1">IF(BF326="","",DATE(INDEX(OFFSET(Arb!$C$2,,,Arb!$AJ$5,),BF326),INDEX(OFFSET(Arb!$B$2,,,Arb!$AJ$5,),BF326),INDEX(OFFSET(Arb!$A$2,,,Arb!$AJ$5,),BF326))+ROW()*0.001)</f>
        <v>43841.326000000001</v>
      </c>
      <c r="BM326" s="442">
        <v>184</v>
      </c>
      <c r="BN326" s="1">
        <v>3113</v>
      </c>
      <c r="BO326" s="52">
        <f ca="1">IF(BN326="","",INDEX(OFFSET(Arb!$H$2,,,Arb!$AJ$5,),BN326))</f>
        <v>79.52</v>
      </c>
      <c r="BP326" s="3">
        <f t="shared" ca="1" si="103"/>
        <v>2.313883299798793</v>
      </c>
      <c r="BQ326" s="165">
        <f ca="1">IF(BN326="","",INDEX(OFFSET(Arb!$X$2,,,Arb!$AJ$5,),BN326)/BO326)</f>
        <v>2.8043259557344067</v>
      </c>
      <c r="BR326" s="165">
        <f ca="1">IF(BN326="","",(INDEX(OFFSET(Arb!$U$2,,,Arb!$AJ$5,),BN326)+INDEX(OFFSET(Arb!$V$2,,,Arb!$AJ$5,),BN326))/BO326)</f>
        <v>3.1564386317907447</v>
      </c>
      <c r="BS326" s="51">
        <f t="shared" ca="1" si="113"/>
        <v>47.043350682713431</v>
      </c>
      <c r="BT326" s="88">
        <f ca="1">IF(BN326="","",DATE(INDEX(OFFSET(Arb!$C$2,,,Arb!$AJ$5,),BN326),INDEX(OFFSET(Arb!$B$2,,,Arb!$AJ$5,),BN326),INDEX(OFFSET(Arb!$A$2,,,Arb!$AJ$5,),BN326))+ROW()*0.001)</f>
        <v>44010.326000000001</v>
      </c>
      <c r="BU326" s="436">
        <v>184</v>
      </c>
      <c r="BV326" s="1">
        <v>3022</v>
      </c>
      <c r="BW326" s="52">
        <f ca="1">IF(BV326="","",INDEX(OFFSET(Arb!$H$2,,,Arb!$AJ$5,),BV326))</f>
        <v>81.400000000000006</v>
      </c>
      <c r="BX326" s="3">
        <f t="shared" ca="1" si="104"/>
        <v>2.2604422604422605</v>
      </c>
      <c r="BY326" s="165">
        <f ca="1">IF(BV326="","",INDEX(OFFSET(Arb!$X$2,,,Arb!$AJ$5,),BV326)/BW326)</f>
        <v>2.6658476658476657</v>
      </c>
      <c r="BZ326" s="165">
        <f ca="1">IF(BV326="","",(INDEX(OFFSET(Arb!$U$2,,,Arb!$AJ$5,),BV326)+INDEX(OFFSET(Arb!$V$2,,,Arb!$AJ$5,),BV326))/BW326)</f>
        <v>2.9606879606879604</v>
      </c>
      <c r="CA326" s="51">
        <f t="shared" ca="1" si="114"/>
        <v>45.211257855753338</v>
      </c>
      <c r="CB326" s="91">
        <f ca="1">IF(BV326="","",DATE(INDEX(OFFSET(Arb!$C$2,,,Arb!$AJ$5,),BV326),INDEX(OFFSET(Arb!$B$2,,,Arb!$AJ$5,),BV326),INDEX(OFFSET(Arb!$A$2,,,Arb!$AJ$5,),BV326))+ROW()*0.001)</f>
        <v>43967.326000000001</v>
      </c>
    </row>
    <row r="327" spans="1:80" x14ac:dyDescent="0.25">
      <c r="A327" s="433">
        <v>185</v>
      </c>
      <c r="B327" s="1">
        <v>3322</v>
      </c>
      <c r="C327" s="52">
        <f ca="1">IF(B327="","",INDEX(OFFSET(Arb!$H$2,,,Arb!$AJ$5,),B327))</f>
        <v>71.75</v>
      </c>
      <c r="D327" s="3">
        <f t="shared" ca="1" si="95"/>
        <v>2.5783972125435541</v>
      </c>
      <c r="E327" s="165">
        <f ca="1">IF(B327="","",INDEX(OFFSET(Arb!$X$2,,,Arb!$AJ$5,),B327)/C327)</f>
        <v>3.0522648083623691</v>
      </c>
      <c r="F327" s="165">
        <f ca="1">IF(B327="","",(INDEX(OFFSET(Arb!$U$2,,,Arb!$AJ$5,),B327)+INDEX(OFFSET(Arb!$V$2,,,Arb!$AJ$5,),B327))/C327)</f>
        <v>3.3728222996515678</v>
      </c>
      <c r="G327" s="51">
        <f t="shared" ca="1" si="105"/>
        <v>56.333241840888178</v>
      </c>
      <c r="H327" s="355">
        <f ca="1">IF(B327="","",DATE(INDEX(OFFSET(Arb!$C$2,,,Arb!$AJ$5,),B327),INDEX(OFFSET(Arb!$B$2,,,Arb!$AJ$5,),B327),INDEX(OFFSET(Arb!$A$2,,,Arb!$AJ$5,),B327))+ROW()*0.001)</f>
        <v>44095.326999999997</v>
      </c>
      <c r="I327" s="436">
        <v>185</v>
      </c>
      <c r="J327" s="1">
        <v>2992</v>
      </c>
      <c r="K327" s="52">
        <f ca="1">IF(J327="","",INDEX(OFFSET(Arb!$H$2,,,Arb!$AJ$5,),J327))</f>
        <v>73.709999999999994</v>
      </c>
      <c r="L327" s="3">
        <f t="shared" ca="1" si="96"/>
        <v>2.5098358431691765</v>
      </c>
      <c r="M327" s="165">
        <f ca="1">IF(J327="","",INDEX(OFFSET(Arb!$X$2,,,Arb!$AJ$5,),J327)/K327)</f>
        <v>2.9439696106362776</v>
      </c>
      <c r="N327" s="165">
        <f ca="1">IF(J327="","",(INDEX(OFFSET(Arb!$U$2,,,Arb!$AJ$5,),J327)+INDEX(OFFSET(Arb!$V$2,,,Arb!$AJ$5,),J327))/K327)</f>
        <v>3.2424365757699092</v>
      </c>
      <c r="O327" s="51">
        <f t="shared" ca="1" si="106"/>
        <v>53.81050709015696</v>
      </c>
      <c r="P327" s="91">
        <f ca="1">IF(J327="","",DATE(INDEX(OFFSET(Arb!$C$2,,,Arb!$AJ$5,),J327),INDEX(OFFSET(Arb!$B$2,,,Arb!$AJ$5,),J327),INDEX(OFFSET(Arb!$A$2,,,Arb!$AJ$5,),J327))+ROW()*0.001)</f>
        <v>43956.326999999997</v>
      </c>
      <c r="Q327" s="442">
        <v>185</v>
      </c>
      <c r="R327" s="1">
        <v>3243</v>
      </c>
      <c r="S327" s="52">
        <f ca="1">IF(R327="","",INDEX(OFFSET(Arb!$H$2,,,Arb!$AJ$5,),R327))</f>
        <v>73.77</v>
      </c>
      <c r="T327" s="3">
        <f t="shared" ca="1" si="97"/>
        <v>2.5077944964077541</v>
      </c>
      <c r="U327" s="165">
        <f ca="1">IF(R327="","",INDEX(OFFSET(Arb!$X$2,,,Arb!$AJ$5,),R327)/S327)</f>
        <v>2.9957977497627764</v>
      </c>
      <c r="V327" s="165">
        <f ca="1">IF(R327="","",(INDEX(OFFSET(Arb!$U$2,,,Arb!$AJ$5,),R327)+INDEX(OFFSET(Arb!$V$2,,,Arb!$AJ$5,),R327))/S327)</f>
        <v>3.3075776060729294</v>
      </c>
      <c r="W327" s="51">
        <f t="shared" ca="1" si="107"/>
        <v>53.736125781443576</v>
      </c>
      <c r="X327" s="88">
        <f ca="1">IF(R327="","",DATE(INDEX(OFFSET(Arb!$C$2,,,Arb!$AJ$5,),R327),INDEX(OFFSET(Arb!$B$2,,,Arb!$AJ$5,),R327),INDEX(OFFSET(Arb!$A$2,,,Arb!$AJ$5,),R327))+ROW()*0.001)</f>
        <v>44064.326999999997</v>
      </c>
      <c r="Y327" s="436">
        <v>185</v>
      </c>
      <c r="Z327" s="1">
        <v>3154</v>
      </c>
      <c r="AA327" s="52">
        <f ca="1">IF(Z327="","",INDEX(OFFSET(Arb!$H$2,,,Arb!$AJ$5,),Z327))</f>
        <v>75.099999999999994</v>
      </c>
      <c r="AB327" s="3">
        <f t="shared" ca="1" si="98"/>
        <v>2.463382157123835</v>
      </c>
      <c r="AC327" s="165">
        <f ca="1">IF(Z327="","",INDEX(OFFSET(Arb!$X$2,,,Arb!$AJ$5,),Z327)/AA327)</f>
        <v>2.8628495339547273</v>
      </c>
      <c r="AD327" s="165">
        <f ca="1">IF(Z327="","",(INDEX(OFFSET(Arb!$U$2,,,Arb!$AJ$5,),Z327)+INDEX(OFFSET(Arb!$V$2,,,Arb!$AJ$5,),Z327))/AA327)</f>
        <v>3.1557922769640481</v>
      </c>
      <c r="AE327" s="51">
        <f t="shared" ca="1" si="108"/>
        <v>52.12836347345106</v>
      </c>
      <c r="AF327" s="91">
        <f ca="1">IF(Z327="","",DATE(INDEX(OFFSET(Arb!$C$2,,,Arb!$AJ$5,),Z327),INDEX(OFFSET(Arb!$B$2,,,Arb!$AJ$5,),Z327),INDEX(OFFSET(Arb!$A$2,,,Arb!$AJ$5,),Z327))+ROW()*0.001)</f>
        <v>44029.326999999997</v>
      </c>
      <c r="AG327" s="442">
        <v>185</v>
      </c>
      <c r="AH327" s="1">
        <v>2604</v>
      </c>
      <c r="AI327" s="52">
        <f ca="1">IF(AH327="","",INDEX(OFFSET(Arb!$H$2,,,Arb!$AJ$5,),AH327))</f>
        <v>75.819999999999993</v>
      </c>
      <c r="AJ327" s="3">
        <f t="shared" ca="1" si="99"/>
        <v>2.4399894486942761</v>
      </c>
      <c r="AK327" s="165">
        <f ca="1">IF(AH327="","",INDEX(OFFSET(Arb!$X$2,,,Arb!$AJ$5,),AH327)/AI327)</f>
        <v>2.8224742811922976</v>
      </c>
      <c r="AL327" s="165">
        <f ca="1">IF(AH327="","",(INDEX(OFFSET(Arb!$U$2,,,Arb!$AJ$5,),AH327)+INDEX(OFFSET(Arb!$V$2,,,Arb!$AJ$5,),AH327))/AI327)</f>
        <v>2.980743867053548</v>
      </c>
      <c r="AM327" s="51">
        <f t="shared" ca="1" si="109"/>
        <v>51.289628993272409</v>
      </c>
      <c r="AN327" s="88">
        <f ca="1">IF(AH327="","",DATE(INDEX(OFFSET(Arb!$C$2,,,Arb!$AJ$5,),AH327),INDEX(OFFSET(Arb!$B$2,,,Arb!$AJ$5,),AH327),INDEX(OFFSET(Arb!$A$2,,,Arb!$AJ$5,),AH327))+ROW()*0.001)</f>
        <v>43809.326999999997</v>
      </c>
      <c r="AO327" s="436">
        <v>185</v>
      </c>
      <c r="AP327" s="1">
        <v>2702</v>
      </c>
      <c r="AQ327" s="52">
        <f ca="1">IF(AP327="","",INDEX(OFFSET(Arb!$H$2,,,Arb!$AJ$5,),AP327))</f>
        <v>76.260000000000005</v>
      </c>
      <c r="AR327" s="3">
        <f t="shared" ca="1" si="100"/>
        <v>2.4259113558877523</v>
      </c>
      <c r="AS327" s="165">
        <f ca="1">IF(AP327="","",INDEX(OFFSET(Arb!$X$2,,,Arb!$AJ$5,),AP327)/AQ327)</f>
        <v>2.9504327301337527</v>
      </c>
      <c r="AT327" s="165">
        <f ca="1">IF(AP327="","",(INDEX(OFFSET(Arb!$U$2,,,Arb!$AJ$5,),AP327)+INDEX(OFFSET(Arb!$V$2,,,Arb!$AJ$5,),AP327))/AQ327)</f>
        <v>3.2651455546813533</v>
      </c>
      <c r="AU327" s="51">
        <f t="shared" ca="1" si="110"/>
        <v>50.78756862264791</v>
      </c>
      <c r="AV327" s="91">
        <f ca="1">IF(AP327="","",DATE(INDEX(OFFSET(Arb!$C$2,,,Arb!$AJ$5,),AP327),INDEX(OFFSET(Arb!$B$2,,,Arb!$AJ$5,),AP327),INDEX(OFFSET(Arb!$A$2,,,Arb!$AJ$5,),AP327))+ROW()*0.001)</f>
        <v>43841.326999999997</v>
      </c>
      <c r="AW327" s="442">
        <v>185</v>
      </c>
      <c r="AX327" s="1">
        <v>2627</v>
      </c>
      <c r="AY327" s="52">
        <f ca="1">IF(AX327="","",INDEX(OFFSET(Arb!$H$2,,,Arb!$AJ$5,),AX327))</f>
        <v>76.73</v>
      </c>
      <c r="AZ327" s="3">
        <f t="shared" ca="1" si="101"/>
        <v>2.4110517398670663</v>
      </c>
      <c r="BA327" s="165">
        <f ca="1">IF(AX327="","",INDEX(OFFSET(Arb!$X$2,,,Arb!$AJ$5,),AX327)/AY327)</f>
        <v>2.789000390981363</v>
      </c>
      <c r="BB327" s="165">
        <f ca="1">IF(AX327="","",(INDEX(OFFSET(Arb!$U$2,,,Arb!$AJ$5,),AX327)+INDEX(OFFSET(Arb!$V$2,,,Arb!$AJ$5,),AX327))/AY327)</f>
        <v>3.023589208914375</v>
      </c>
      <c r="BC327" s="51">
        <f t="shared" ca="1" si="111"/>
        <v>50.259845218397402</v>
      </c>
      <c r="BD327" s="88">
        <f ca="1">IF(AX327="","",DATE(INDEX(OFFSET(Arb!$C$2,,,Arb!$AJ$5,),AX327),INDEX(OFFSET(Arb!$B$2,,,Arb!$AJ$5,),AX327),INDEX(OFFSET(Arb!$A$2,,,Arb!$AJ$5,),AX327))+ROW()*0.001)</f>
        <v>43814.326999999997</v>
      </c>
      <c r="BE327" s="436">
        <v>185</v>
      </c>
      <c r="BF327" s="1">
        <v>2623</v>
      </c>
      <c r="BG327" s="52">
        <f ca="1">IF(BF327="","",INDEX(OFFSET(Arb!$H$2,,,Arb!$AJ$5,),BF327))</f>
        <v>76.86</v>
      </c>
      <c r="BH327" s="3">
        <f t="shared" ca="1" si="102"/>
        <v>2.4069737184491284</v>
      </c>
      <c r="BI327" s="165">
        <f ca="1">IF(BF327="","",INDEX(OFFSET(Arb!$X$2,,,Arb!$AJ$5,),BF327)/BG327)</f>
        <v>2.9664324746291961</v>
      </c>
      <c r="BJ327" s="165">
        <f ca="1">IF(BF327="","",(INDEX(OFFSET(Arb!$U$2,,,Arb!$AJ$5,),BF327)+INDEX(OFFSET(Arb!$V$2,,,Arb!$AJ$5,),BF327))/BG327)</f>
        <v>3.4087952120739007</v>
      </c>
      <c r="BK327" s="51">
        <f t="shared" ca="1" si="112"/>
        <v>50.115415746028418</v>
      </c>
      <c r="BL327" s="91">
        <f ca="1">IF(BF327="","",DATE(INDEX(OFFSET(Arb!$C$2,,,Arb!$AJ$5,),BF327),INDEX(OFFSET(Arb!$B$2,,,Arb!$AJ$5,),BF327),INDEX(OFFSET(Arb!$A$2,,,Arb!$AJ$5,),BF327))+ROW()*0.001)</f>
        <v>43814.326999999997</v>
      </c>
      <c r="BM327" s="442">
        <v>185</v>
      </c>
      <c r="BN327" s="1">
        <v>2521</v>
      </c>
      <c r="BO327" s="52">
        <f ca="1">IF(BN327="","",INDEX(OFFSET(Arb!$H$2,,,Arb!$AJ$5,),BN327))</f>
        <v>77.59</v>
      </c>
      <c r="BP327" s="3">
        <f t="shared" ca="1" si="103"/>
        <v>2.3843278773037762</v>
      </c>
      <c r="BQ327" s="165">
        <f ca="1">IF(BN327="","",INDEX(OFFSET(Arb!$X$2,,,Arb!$AJ$5,),BN327)/BO327)</f>
        <v>2.912746487949478</v>
      </c>
      <c r="BR327" s="165">
        <f ca="1">IF(BN327="","",(INDEX(OFFSET(Arb!$U$2,,,Arb!$AJ$5,),BN327)+INDEX(OFFSET(Arb!$V$2,,,Arb!$AJ$5,),BN327))/BO327)</f>
        <v>3.1705116638742106</v>
      </c>
      <c r="BS327" s="51">
        <f t="shared" ca="1" si="113"/>
        <v>49.316495286461965</v>
      </c>
      <c r="BT327" s="88">
        <f ca="1">IF(BN327="","",DATE(INDEX(OFFSET(Arb!$C$2,,,Arb!$AJ$5,),BN327),INDEX(OFFSET(Arb!$B$2,,,Arb!$AJ$5,),BN327),INDEX(OFFSET(Arb!$A$2,,,Arb!$AJ$5,),BN327))+ROW()*0.001)</f>
        <v>43791.326999999997</v>
      </c>
      <c r="BU327" s="436">
        <v>185</v>
      </c>
      <c r="BV327" s="1">
        <v>2759</v>
      </c>
      <c r="BW327" s="52">
        <f ca="1">IF(BV327="","",INDEX(OFFSET(Arb!$H$2,,,Arb!$AJ$5,),BV327))</f>
        <v>78.61</v>
      </c>
      <c r="BX327" s="3">
        <f t="shared" ca="1" si="104"/>
        <v>2.3533901539244373</v>
      </c>
      <c r="BY327" s="165">
        <f ca="1">IF(BV327="","",INDEX(OFFSET(Arb!$X$2,,,Arb!$AJ$5,),BV327)/BW327)</f>
        <v>2.7477420175550185</v>
      </c>
      <c r="BZ327" s="165">
        <f ca="1">IF(BV327="","",(INDEX(OFFSET(Arb!$U$2,,,Arb!$AJ$5,),BV327)+INDEX(OFFSET(Arb!$V$2,,,Arb!$AJ$5,),BV327))/BW327)</f>
        <v>3.0403256583131917</v>
      </c>
      <c r="CA327" s="51">
        <f t="shared" ca="1" si="114"/>
        <v>48.233605841631331</v>
      </c>
      <c r="CB327" s="91">
        <f ca="1">IF(BV327="","",DATE(INDEX(OFFSET(Arb!$C$2,,,Arb!$AJ$5,),BV327),INDEX(OFFSET(Arb!$B$2,,,Arb!$AJ$5,),BV327),INDEX(OFFSET(Arb!$A$2,,,Arb!$AJ$5,),BV327))+ROW()*0.001)</f>
        <v>43885.326999999997</v>
      </c>
    </row>
    <row r="328" spans="1:80" x14ac:dyDescent="0.25">
      <c r="A328" s="433">
        <v>186</v>
      </c>
      <c r="B328" s="1">
        <v>2973</v>
      </c>
      <c r="C328" s="52">
        <f ca="1">IF(B328="","",INDEX(OFFSET(Arb!$H$2,,,Arb!$AJ$5,),B328))</f>
        <v>71.62</v>
      </c>
      <c r="D328" s="3">
        <f t="shared" ca="1" si="95"/>
        <v>2.5970399329796146</v>
      </c>
      <c r="E328" s="165">
        <f ca="1">IF(B328="","",INDEX(OFFSET(Arb!$X$2,,,Arb!$AJ$5,),B328)/C328)</f>
        <v>3.225356045797263</v>
      </c>
      <c r="F328" s="165">
        <f ca="1">IF(B328="","",(INDEX(OFFSET(Arb!$U$2,,,Arb!$AJ$5,),B328)+INDEX(OFFSET(Arb!$V$2,,,Arb!$AJ$5,),B328))/C328)</f>
        <v>3.5883831332030156</v>
      </c>
      <c r="G328" s="51">
        <f t="shared" ca="1" si="105"/>
        <v>56.81262566612984</v>
      </c>
      <c r="H328" s="355">
        <f ca="1">IF(B328="","",DATE(INDEX(OFFSET(Arb!$C$2,,,Arb!$AJ$5,),B328),INDEX(OFFSET(Arb!$B$2,,,Arb!$AJ$5,),B328),INDEX(OFFSET(Arb!$A$2,,,Arb!$AJ$5,),B328))+ROW()*0.001)</f>
        <v>43954.328000000001</v>
      </c>
      <c r="I328" s="436">
        <v>186</v>
      </c>
      <c r="J328" s="1">
        <v>3301</v>
      </c>
      <c r="K328" s="52">
        <f ca="1">IF(J328="","",INDEX(OFFSET(Arb!$H$2,,,Arb!$AJ$5,),J328))</f>
        <v>71.739999999999995</v>
      </c>
      <c r="L328" s="3">
        <f t="shared" ca="1" si="96"/>
        <v>2.5926958461109564</v>
      </c>
      <c r="M328" s="165">
        <f ca="1">IF(J328="","",INDEX(OFFSET(Arb!$X$2,,,Arb!$AJ$5,),J328)/K328)</f>
        <v>3.0108725954836912</v>
      </c>
      <c r="N328" s="165">
        <f ca="1">IF(J328="","",(INDEX(OFFSET(Arb!$U$2,,,Arb!$AJ$5,),J328)+INDEX(OFFSET(Arb!$V$2,,,Arb!$AJ$5,),J328))/K328)</f>
        <v>3.4708670197936997</v>
      </c>
      <c r="O328" s="51">
        <f t="shared" ca="1" si="106"/>
        <v>56.651167772406289</v>
      </c>
      <c r="P328" s="91">
        <f ca="1">IF(J328="","",DATE(INDEX(OFFSET(Arb!$C$2,,,Arb!$AJ$5,),J328),INDEX(OFFSET(Arb!$B$2,,,Arb!$AJ$5,),J328),INDEX(OFFSET(Arb!$A$2,,,Arb!$AJ$5,),J328))+ROW()*0.001)</f>
        <v>44090.328000000001</v>
      </c>
      <c r="Q328" s="442">
        <v>186</v>
      </c>
      <c r="R328" s="1">
        <v>3235</v>
      </c>
      <c r="S328" s="52">
        <f ca="1">IF(R328="","",INDEX(OFFSET(Arb!$H$2,,,Arb!$AJ$5,),R328))</f>
        <v>71.92</v>
      </c>
      <c r="T328" s="3">
        <f t="shared" ca="1" si="97"/>
        <v>2.5862068965517242</v>
      </c>
      <c r="U328" s="165">
        <f ca="1">IF(R328="","",INDEX(OFFSET(Arb!$X$2,,,Arb!$AJ$5,),R328)/S328)</f>
        <v>2.8781979977753056</v>
      </c>
      <c r="V328" s="165">
        <f ca="1">IF(R328="","",(INDEX(OFFSET(Arb!$U$2,,,Arb!$AJ$5,),R328)+INDEX(OFFSET(Arb!$V$2,,,Arb!$AJ$5,),R328))/S328)</f>
        <v>3.1979977753058955</v>
      </c>
      <c r="W328" s="51">
        <f t="shared" ca="1" si="107"/>
        <v>56.410343685753162</v>
      </c>
      <c r="X328" s="88">
        <f ca="1">IF(R328="","",DATE(INDEX(OFFSET(Arb!$C$2,,,Arb!$AJ$5,),R328),INDEX(OFFSET(Arb!$B$2,,,Arb!$AJ$5,),R328),INDEX(OFFSET(Arb!$A$2,,,Arb!$AJ$5,),R328))+ROW()*0.001)</f>
        <v>44063.328000000001</v>
      </c>
      <c r="Y328" s="436">
        <v>186</v>
      </c>
      <c r="Z328" s="1">
        <v>3096</v>
      </c>
      <c r="AA328" s="52">
        <f ca="1">IF(Z328="","",INDEX(OFFSET(Arb!$H$2,,,Arb!$AJ$5,),Z328))</f>
        <v>72.849999999999994</v>
      </c>
      <c r="AB328" s="3">
        <f t="shared" ca="1" si="98"/>
        <v>2.5531914893617023</v>
      </c>
      <c r="AC328" s="165">
        <f ca="1">IF(Z328="","",INDEX(OFFSET(Arb!$X$2,,,Arb!$AJ$5,),Z328)/AA328)</f>
        <v>2.9924502402196298</v>
      </c>
      <c r="AD328" s="165">
        <f ca="1">IF(Z328="","",(INDEX(OFFSET(Arb!$U$2,,,Arb!$AJ$5,),Z328)+INDEX(OFFSET(Arb!$V$2,,,Arb!$AJ$5,),Z328))/AA328)</f>
        <v>3.1846259437199729</v>
      </c>
      <c r="AE328" s="51">
        <f t="shared" ca="1" si="108"/>
        <v>55.191596156974462</v>
      </c>
      <c r="AF328" s="91">
        <f ca="1">IF(Z328="","",DATE(INDEX(OFFSET(Arb!$C$2,,,Arb!$AJ$5,),Z328),INDEX(OFFSET(Arb!$B$2,,,Arb!$AJ$5,),Z328),INDEX(OFFSET(Arb!$A$2,,,Arb!$AJ$5,),Z328))+ROW()*0.001)</f>
        <v>44004.328000000001</v>
      </c>
      <c r="AG328" s="442">
        <v>186</v>
      </c>
      <c r="AH328" s="1">
        <v>3295</v>
      </c>
      <c r="AI328" s="52">
        <f ca="1">IF(AH328="","",INDEX(OFFSET(Arb!$H$2,,,Arb!$AJ$5,),AH328))</f>
        <v>73.48</v>
      </c>
      <c r="AJ328" s="3">
        <f t="shared" ca="1" si="99"/>
        <v>2.5313010342950459</v>
      </c>
      <c r="AK328" s="165">
        <f ca="1">IF(AH328="","",INDEX(OFFSET(Arb!$X$2,,,Arb!$AJ$5,),AH328)/AI328)</f>
        <v>2.9531845400108874</v>
      </c>
      <c r="AL328" s="165">
        <f ca="1">IF(AH328="","",(INDEX(OFFSET(Arb!$U$2,,,Arb!$AJ$5,),AH328)+INDEX(OFFSET(Arb!$V$2,,,Arb!$AJ$5,),AH328))/AI328)</f>
        <v>3.3206314643440389</v>
      </c>
      <c r="AM328" s="51">
        <f t="shared" ca="1" si="109"/>
        <v>54.389572911010141</v>
      </c>
      <c r="AN328" s="88">
        <f ca="1">IF(AH328="","",DATE(INDEX(OFFSET(Arb!$C$2,,,Arb!$AJ$5,),AH328),INDEX(OFFSET(Arb!$B$2,,,Arb!$AJ$5,),AH328),INDEX(OFFSET(Arb!$A$2,,,Arb!$AJ$5,),AH328))+ROW()*0.001)</f>
        <v>44089.328000000001</v>
      </c>
      <c r="AO328" s="436">
        <v>186</v>
      </c>
      <c r="AP328" s="1">
        <v>2478</v>
      </c>
      <c r="AQ328" s="52">
        <f ca="1">IF(AP328="","",INDEX(OFFSET(Arb!$H$2,,,Arb!$AJ$5,),AP328))</f>
        <v>74.650000000000006</v>
      </c>
      <c r="AR328" s="3">
        <f t="shared" ca="1" si="100"/>
        <v>2.4916275954454119</v>
      </c>
      <c r="AS328" s="165">
        <f ca="1">IF(AP328="","",INDEX(OFFSET(Arb!$X$2,,,Arb!$AJ$5,),AP328)/AQ328)</f>
        <v>2.7729403884795709</v>
      </c>
      <c r="AT328" s="165">
        <f ca="1">IF(AP328="","",(INDEX(OFFSET(Arb!$U$2,,,Arb!$AJ$5,),AP328)+INDEX(OFFSET(Arb!$V$2,,,Arb!$AJ$5,),AP328))/AQ328)</f>
        <v>3.1614199598124579</v>
      </c>
      <c r="AU328" s="51">
        <f t="shared" ca="1" si="110"/>
        <v>52.94836073719474</v>
      </c>
      <c r="AV328" s="91">
        <f ca="1">IF(AP328="","",DATE(INDEX(OFFSET(Arb!$C$2,,,Arb!$AJ$5,),AP328),INDEX(OFFSET(Arb!$B$2,,,Arb!$AJ$5,),AP328),INDEX(OFFSET(Arb!$A$2,,,Arb!$AJ$5,),AP328))+ROW()*0.001)</f>
        <v>43781.328000000001</v>
      </c>
      <c r="AW328" s="442">
        <v>186</v>
      </c>
      <c r="AX328" s="1">
        <v>3136</v>
      </c>
      <c r="AY328" s="52">
        <f ca="1">IF(AX328="","",INDEX(OFFSET(Arb!$H$2,,,Arb!$AJ$5,),AX328))</f>
        <v>76.760000000000005</v>
      </c>
      <c r="AZ328" s="3">
        <f t="shared" ca="1" si="101"/>
        <v>2.4231370505471599</v>
      </c>
      <c r="BA328" s="165">
        <f ca="1">IF(AX328="","",INDEX(OFFSET(Arb!$X$2,,,Arb!$AJ$5,),AX328)/AY328)</f>
        <v>2.9572694111516413</v>
      </c>
      <c r="BB328" s="165">
        <f ca="1">IF(AX328="","",(INDEX(OFFSET(Arb!$U$2,,,Arb!$AJ$5,),AX328)+INDEX(OFFSET(Arb!$V$2,,,Arb!$AJ$5,),AX328))/AY328)</f>
        <v>3.256904637832204</v>
      </c>
      <c r="BC328" s="51">
        <f t="shared" ca="1" si="111"/>
        <v>50.497951076349821</v>
      </c>
      <c r="BD328" s="88">
        <f ca="1">IF(AX328="","",DATE(INDEX(OFFSET(Arb!$C$2,,,Arb!$AJ$5,),AX328),INDEX(OFFSET(Arb!$B$2,,,Arb!$AJ$5,),AX328),INDEX(OFFSET(Arb!$A$2,,,Arb!$AJ$5,),AX328))+ROW()*0.001)</f>
        <v>44020.328000000001</v>
      </c>
      <c r="BE328" s="436">
        <v>186</v>
      </c>
      <c r="BF328" s="1">
        <v>3228</v>
      </c>
      <c r="BG328" s="52">
        <f ca="1">IF(BF328="","",INDEX(OFFSET(Arb!$H$2,,,Arb!$AJ$5,),BF328))</f>
        <v>77.099999999999994</v>
      </c>
      <c r="BH328" s="3">
        <f t="shared" ca="1" si="102"/>
        <v>2.4124513618677046</v>
      </c>
      <c r="BI328" s="165">
        <f ca="1">IF(BF328="","",INDEX(OFFSET(Arb!$X$2,,,Arb!$AJ$5,),BF328)/BG328)</f>
        <v>2.840466926070039</v>
      </c>
      <c r="BJ328" s="165">
        <f ca="1">IF(BF328="","",(INDEX(OFFSET(Arb!$U$2,,,Arb!$AJ$5,),BF328)+INDEX(OFFSET(Arb!$V$2,,,Arb!$AJ$5,),BF328))/BG328)</f>
        <v>3.1387808041504544</v>
      </c>
      <c r="BK328" s="51">
        <f t="shared" ca="1" si="112"/>
        <v>50.119964748319326</v>
      </c>
      <c r="BL328" s="91">
        <f ca="1">IF(BF328="","",DATE(INDEX(OFFSET(Arb!$C$2,,,Arb!$AJ$5,),BF328),INDEX(OFFSET(Arb!$B$2,,,Arb!$AJ$5,),BF328),INDEX(OFFSET(Arb!$A$2,,,Arb!$AJ$5,),BF328))+ROW()*0.001)</f>
        <v>44061.328000000001</v>
      </c>
      <c r="BM328" s="442">
        <v>186</v>
      </c>
      <c r="BN328" s="1">
        <v>3434</v>
      </c>
      <c r="BO328" s="52">
        <f ca="1">IF(BN328="","",INDEX(OFFSET(Arb!$H$2,,,Arb!$AJ$5,),BN328))</f>
        <v>77.459999999999994</v>
      </c>
      <c r="BP328" s="3">
        <f t="shared" ca="1" si="103"/>
        <v>2.401239349341596</v>
      </c>
      <c r="BQ328" s="165">
        <f ca="1">IF(BN328="","",INDEX(OFFSET(Arb!$X$2,,,Arb!$AJ$5,),BN328)/BO328)</f>
        <v>2.5948876839659181</v>
      </c>
      <c r="BR328" s="165">
        <f ca="1">IF(BN328="","",(INDEX(OFFSET(Arb!$U$2,,,Arb!$AJ$5,),BN328)+INDEX(OFFSET(Arb!$V$2,,,Arb!$AJ$5,),BN328))/BO328)</f>
        <v>2.8789052414149241</v>
      </c>
      <c r="BS328" s="51">
        <f t="shared" ca="1" si="113"/>
        <v>49.724618758024377</v>
      </c>
      <c r="BT328" s="88">
        <f ca="1">IF(BN328="","",DATE(INDEX(OFFSET(Arb!$C$2,,,Arb!$AJ$5,),BN328),INDEX(OFFSET(Arb!$B$2,,,Arb!$AJ$5,),BN328),INDEX(OFFSET(Arb!$A$2,,,Arb!$AJ$5,),BN328))+ROW()*0.001)</f>
        <v>44167.328000000001</v>
      </c>
      <c r="BU328" s="436">
        <v>186</v>
      </c>
      <c r="BV328" s="1">
        <v>2976</v>
      </c>
      <c r="BW328" s="52">
        <f ca="1">IF(BV328="","",INDEX(OFFSET(Arb!$H$2,,,Arb!$AJ$5,),BV328))</f>
        <v>79.430000000000007</v>
      </c>
      <c r="BX328" s="3">
        <f t="shared" ca="1" si="104"/>
        <v>2.3416845020773005</v>
      </c>
      <c r="BY328" s="165">
        <f ca="1">IF(BV328="","",INDEX(OFFSET(Arb!$X$2,,,Arb!$AJ$5,),BV328)/BW328)</f>
        <v>2.6564270426790881</v>
      </c>
      <c r="BZ328" s="165">
        <f ca="1">IF(BV328="","",(INDEX(OFFSET(Arb!$U$2,,,Arb!$AJ$5,),BV328)+INDEX(OFFSET(Arb!$V$2,,,Arb!$AJ$5,),BV328))/BW328)</f>
        <v>2.8578622686642325</v>
      </c>
      <c r="CA328" s="51">
        <f t="shared" ca="1" si="114"/>
        <v>47.646328778170208</v>
      </c>
      <c r="CB328" s="91">
        <f ca="1">IF(BV328="","",DATE(INDEX(OFFSET(Arb!$C$2,,,Arb!$AJ$5,),BV328),INDEX(OFFSET(Arb!$B$2,,,Arb!$AJ$5,),BV328),INDEX(OFFSET(Arb!$A$2,,,Arb!$AJ$5,),BV328))+ROW()*0.001)</f>
        <v>43955.328000000001</v>
      </c>
    </row>
    <row r="329" spans="1:80" x14ac:dyDescent="0.25">
      <c r="A329" s="433">
        <v>187</v>
      </c>
      <c r="B329" s="1">
        <v>3185</v>
      </c>
      <c r="C329" s="52">
        <f ca="1">IF(B329="","",INDEX(OFFSET(Arb!$H$2,,,Arb!$AJ$5,),B329))</f>
        <v>69.86</v>
      </c>
      <c r="D329" s="3">
        <f t="shared" ca="1" si="95"/>
        <v>2.6767821356999715</v>
      </c>
      <c r="E329" s="165">
        <f ca="1">IF(B329="","",INDEX(OFFSET(Arb!$X$2,,,Arb!$AJ$5,),B329)/C329)</f>
        <v>3.2064128256513027</v>
      </c>
      <c r="F329" s="165">
        <f ca="1">IF(B329="","",(INDEX(OFFSET(Arb!$U$2,,,Arb!$AJ$5,),B329)+INDEX(OFFSET(Arb!$V$2,,,Arb!$AJ$5,),B329))/C329)</f>
        <v>3.4354423131978242</v>
      </c>
      <c r="G329" s="51">
        <f t="shared" ca="1" si="105"/>
        <v>59.585868475857779</v>
      </c>
      <c r="H329" s="355">
        <f ca="1">IF(B329="","",DATE(INDEX(OFFSET(Arb!$C$2,,,Arb!$AJ$5,),B329),INDEX(OFFSET(Arb!$B$2,,,Arb!$AJ$5,),B329),INDEX(OFFSET(Arb!$A$2,,,Arb!$AJ$5,),B329))+ROW()*0.001)</f>
        <v>44052.328999999998</v>
      </c>
      <c r="I329" s="436">
        <v>187</v>
      </c>
      <c r="J329" s="1">
        <v>3294</v>
      </c>
      <c r="K329" s="52">
        <f ca="1">IF(J329="","",INDEX(OFFSET(Arb!$H$2,,,Arb!$AJ$5,),J329))</f>
        <v>70.62</v>
      </c>
      <c r="L329" s="3">
        <f t="shared" ca="1" si="96"/>
        <v>2.6479750778816196</v>
      </c>
      <c r="M329" s="165">
        <f ca="1">IF(J329="","",INDEX(OFFSET(Arb!$X$2,,,Arb!$AJ$5,),J329)/K329)</f>
        <v>3.1152647975077881</v>
      </c>
      <c r="N329" s="165">
        <f ca="1">IF(J329="","",(INDEX(OFFSET(Arb!$U$2,,,Arb!$AJ$5,),J329)+INDEX(OFFSET(Arb!$V$2,,,Arb!$AJ$5,),J329))/K329)</f>
        <v>3.4126309827244405</v>
      </c>
      <c r="O329" s="51">
        <f t="shared" ca="1" si="106"/>
        <v>58.499849579317974</v>
      </c>
      <c r="P329" s="91">
        <f ca="1">IF(J329="","",DATE(INDEX(OFFSET(Arb!$C$2,,,Arb!$AJ$5,),J329),INDEX(OFFSET(Arb!$B$2,,,Arb!$AJ$5,),J329),INDEX(OFFSET(Arb!$A$2,,,Arb!$AJ$5,),J329))+ROW()*0.001)</f>
        <v>44084.328999999998</v>
      </c>
      <c r="Q329" s="442">
        <v>187</v>
      </c>
      <c r="R329" s="1">
        <v>2920</v>
      </c>
      <c r="S329" s="52">
        <f ca="1">IF(R329="","",INDEX(OFFSET(Arb!$H$2,,,Arb!$AJ$5,),R329))</f>
        <v>71.66</v>
      </c>
      <c r="T329" s="3">
        <f t="shared" ca="1" si="97"/>
        <v>2.6095450739603687</v>
      </c>
      <c r="U329" s="165">
        <f ca="1">IF(R329="","",INDEX(OFFSET(Arb!$X$2,,,Arb!$AJ$5,),R329)/S329)</f>
        <v>3.0421434552051356</v>
      </c>
      <c r="V329" s="165">
        <f ca="1">IF(R329="","",(INDEX(OFFSET(Arb!$U$2,,,Arb!$AJ$5,),R329)+INDEX(OFFSET(Arb!$V$2,,,Arb!$AJ$5,),R329))/S329)</f>
        <v>3.2654200390734025</v>
      </c>
      <c r="W329" s="51">
        <f t="shared" ca="1" si="107"/>
        <v>57.063879687809731</v>
      </c>
      <c r="X329" s="88">
        <f ca="1">IF(R329="","",DATE(INDEX(OFFSET(Arb!$C$2,,,Arb!$AJ$5,),R329),INDEX(OFFSET(Arb!$B$2,,,Arb!$AJ$5,),R329),INDEX(OFFSET(Arb!$A$2,,,Arb!$AJ$5,),R329))+ROW()*0.001)</f>
        <v>43935.328999999998</v>
      </c>
      <c r="Y329" s="436">
        <v>187</v>
      </c>
      <c r="Z329" s="1">
        <v>2994</v>
      </c>
      <c r="AA329" s="52">
        <f ca="1">IF(Z329="","",INDEX(OFFSET(Arb!$H$2,,,Arb!$AJ$5,),Z329))</f>
        <v>77.69</v>
      </c>
      <c r="AB329" s="3">
        <f t="shared" ca="1" si="98"/>
        <v>2.4070021881838075</v>
      </c>
      <c r="AC329" s="165">
        <f ca="1">IF(Z329="","",INDEX(OFFSET(Arb!$X$2,,,Arb!$AJ$5,),Z329)/AA329)</f>
        <v>2.8188956107607157</v>
      </c>
      <c r="AD329" s="165">
        <f ca="1">IF(Z329="","",(INDEX(OFFSET(Arb!$U$2,,,Arb!$AJ$5,),Z329)+INDEX(OFFSET(Arb!$V$2,,,Arb!$AJ$5,),Z329))/AA329)</f>
        <v>3.0505856609602264</v>
      </c>
      <c r="AE329" s="51">
        <f t="shared" ca="1" si="108"/>
        <v>49.740615545261157</v>
      </c>
      <c r="AF329" s="91">
        <f ca="1">IF(Z329="","",DATE(INDEX(OFFSET(Arb!$C$2,,,Arb!$AJ$5,),Z329),INDEX(OFFSET(Arb!$B$2,,,Arb!$AJ$5,),Z329),INDEX(OFFSET(Arb!$A$2,,,Arb!$AJ$5,),Z329))+ROW()*0.001)</f>
        <v>43957.328999999998</v>
      </c>
      <c r="AG329" s="442">
        <v>187</v>
      </c>
      <c r="AH329" s="1">
        <v>2950</v>
      </c>
      <c r="AI329" s="52">
        <f ca="1">IF(AH329="","",INDEX(OFFSET(Arb!$H$2,,,Arb!$AJ$5,),AH329))</f>
        <v>78.28</v>
      </c>
      <c r="AJ329" s="3">
        <f t="shared" ca="1" si="99"/>
        <v>2.3888605007664792</v>
      </c>
      <c r="AK329" s="165">
        <f ca="1">IF(AH329="","",INDEX(OFFSET(Arb!$X$2,,,Arb!$AJ$5,),AH329)/AI329)</f>
        <v>2.86152273888605</v>
      </c>
      <c r="AL329" s="165">
        <f ca="1">IF(AH329="","",(INDEX(OFFSET(Arb!$U$2,,,Arb!$AJ$5,),AH329)+INDEX(OFFSET(Arb!$V$2,,,Arb!$AJ$5,),AH329))/AI329)</f>
        <v>3.2447623914154318</v>
      </c>
      <c r="AM329" s="51">
        <f t="shared" ca="1" si="109"/>
        <v>49.104972593725279</v>
      </c>
      <c r="AN329" s="88">
        <f ca="1">IF(AH329="","",DATE(INDEX(OFFSET(Arb!$C$2,,,Arb!$AJ$5,),AH329),INDEX(OFFSET(Arb!$B$2,,,Arb!$AJ$5,),AH329),INDEX(OFFSET(Arb!$A$2,,,Arb!$AJ$5,),AH329))+ROW()*0.001)</f>
        <v>43949.328999999998</v>
      </c>
      <c r="AO329" s="436">
        <v>187</v>
      </c>
      <c r="AP329" s="1">
        <v>3018</v>
      </c>
      <c r="AQ329" s="52">
        <f ca="1">IF(AP329="","",INDEX(OFFSET(Arb!$H$2,,,Arb!$AJ$5,),AP329))</f>
        <v>78.709999999999994</v>
      </c>
      <c r="AR329" s="3">
        <f t="shared" ca="1" si="100"/>
        <v>2.3758099352051838</v>
      </c>
      <c r="AS329" s="165">
        <f ca="1">IF(AP329="","",INDEX(OFFSET(Arb!$X$2,,,Arb!$AJ$5,),AP329)/AQ329)</f>
        <v>2.8077753779697625</v>
      </c>
      <c r="AT329" s="165">
        <f ca="1">IF(AP329="","",(INDEX(OFFSET(Arb!$U$2,,,Arb!$AJ$5,),AP329)+INDEX(OFFSET(Arb!$V$2,,,Arb!$AJ$5,),AP329))/AQ329)</f>
        <v>3.1381018930250288</v>
      </c>
      <c r="AU329" s="51">
        <f t="shared" ca="1" si="110"/>
        <v>48.649794575652045</v>
      </c>
      <c r="AV329" s="91">
        <f ca="1">IF(AP329="","",DATE(INDEX(OFFSET(Arb!$C$2,,,Arb!$AJ$5,),AP329),INDEX(OFFSET(Arb!$B$2,,,Arb!$AJ$5,),AP329),INDEX(OFFSET(Arb!$A$2,,,Arb!$AJ$5,),AP329))+ROW()*0.001)</f>
        <v>43962.328999999998</v>
      </c>
      <c r="AW329" s="442">
        <v>187</v>
      </c>
      <c r="AX329" s="1">
        <v>2846</v>
      </c>
      <c r="AY329" s="52">
        <f ca="1">IF(AX329="","",INDEX(OFFSET(Arb!$H$2,,,Arb!$AJ$5,),AX329))</f>
        <v>80.63</v>
      </c>
      <c r="AZ329" s="3">
        <f t="shared" ca="1" si="101"/>
        <v>2.3192360163710779</v>
      </c>
      <c r="BA329" s="165">
        <f ca="1">IF(AX329="","",INDEX(OFFSET(Arb!$X$2,,,Arb!$AJ$5,),AX329)/AY329)</f>
        <v>2.7657199553516061</v>
      </c>
      <c r="BB329" s="165">
        <f ca="1">IF(AX329="","",(INDEX(OFFSET(Arb!$U$2,,,Arb!$AJ$5,),AX329)+INDEX(OFFSET(Arb!$V$2,,,Arb!$AJ$5,),AX329))/AY329)</f>
        <v>3.1005829095870023</v>
      </c>
      <c r="BC329" s="51">
        <f t="shared" ca="1" si="111"/>
        <v>46.696845116755341</v>
      </c>
      <c r="BD329" s="88">
        <f ca="1">IF(AX329="","",DATE(INDEX(OFFSET(Arb!$C$2,,,Arb!$AJ$5,),AX329),INDEX(OFFSET(Arb!$B$2,,,Arb!$AJ$5,),AX329),INDEX(OFFSET(Arb!$A$2,,,Arb!$AJ$5,),AX329))+ROW()*0.001)</f>
        <v>43904.328999999998</v>
      </c>
      <c r="BE329" s="436">
        <v>187</v>
      </c>
      <c r="BF329" s="1">
        <v>2807</v>
      </c>
      <c r="BG329" s="52">
        <f ca="1">IF(BF329="","",INDEX(OFFSET(Arb!$H$2,,,Arb!$AJ$5,),BF329))</f>
        <v>81.58</v>
      </c>
      <c r="BH329" s="3">
        <f t="shared" ca="1" si="102"/>
        <v>2.2922284873743566</v>
      </c>
      <c r="BI329" s="165">
        <f ca="1">IF(BF329="","",INDEX(OFFSET(Arb!$X$2,,,Arb!$AJ$5,),BF329)/BG329)</f>
        <v>2.708997303260603</v>
      </c>
      <c r="BJ329" s="165">
        <f ca="1">IF(BF329="","",(INDEX(OFFSET(Arb!$U$2,,,Arb!$AJ$5,),BF329)+INDEX(OFFSET(Arb!$V$2,,,Arb!$AJ$5,),BF329))/BG329)</f>
        <v>2.9664133366021086</v>
      </c>
      <c r="BK329" s="51">
        <f t="shared" ca="1" si="112"/>
        <v>45.776182320286502</v>
      </c>
      <c r="BL329" s="91">
        <f ca="1">IF(BF329="","",DATE(INDEX(OFFSET(Arb!$C$2,,,Arb!$AJ$5,),BF329),INDEX(OFFSET(Arb!$B$2,,,Arb!$AJ$5,),BF329),INDEX(OFFSET(Arb!$A$2,,,Arb!$AJ$5,),BF329))+ROW()*0.001)</f>
        <v>43897.328999999998</v>
      </c>
      <c r="BM329" s="442">
        <v>187</v>
      </c>
      <c r="BN329" s="1">
        <v>2698</v>
      </c>
      <c r="BO329" s="52">
        <f ca="1">IF(BN329="","",INDEX(OFFSET(Arb!$H$2,,,Arb!$AJ$5,),BN329))</f>
        <v>85.49</v>
      </c>
      <c r="BP329" s="3">
        <f t="shared" ca="1" si="103"/>
        <v>2.1873903380512343</v>
      </c>
      <c r="BQ329" s="165">
        <f ca="1">IF(BN329="","",INDEX(OFFSET(Arb!$X$2,,,Arb!$AJ$5,),BN329)/BO329)</f>
        <v>2.6669785939876012</v>
      </c>
      <c r="BR329" s="165">
        <f ca="1">IF(BN329="","",(INDEX(OFFSET(Arb!$U$2,,,Arb!$AJ$5,),BN329)+INDEX(OFFSET(Arb!$V$2,,,Arb!$AJ$5,),BN329))/BO329)</f>
        <v>2.9828050064335012</v>
      </c>
      <c r="BS329" s="51">
        <f t="shared" ca="1" si="113"/>
        <v>42.274241379467881</v>
      </c>
      <c r="BT329" s="88">
        <f ca="1">IF(BN329="","",DATE(INDEX(OFFSET(Arb!$C$2,,,Arb!$AJ$5,),BN329),INDEX(OFFSET(Arb!$B$2,,,Arb!$AJ$5,),BN329),INDEX(OFFSET(Arb!$A$2,,,Arb!$AJ$5,),BN329))+ROW()*0.001)</f>
        <v>43841.328999999998</v>
      </c>
      <c r="BU329" s="436">
        <v>187</v>
      </c>
      <c r="BV329" s="1">
        <v>3069</v>
      </c>
      <c r="BW329" s="52">
        <f ca="1">IF(BV329="","",INDEX(OFFSET(Arb!$H$2,,,Arb!$AJ$5,),BV329))</f>
        <v>85.89</v>
      </c>
      <c r="BX329" s="3">
        <f t="shared" ca="1" si="104"/>
        <v>2.1772033996972873</v>
      </c>
      <c r="BY329" s="165">
        <f ca="1">IF(BV329="","",INDEX(OFFSET(Arb!$X$2,,,Arb!$AJ$5,),BV329)/BW329)</f>
        <v>2.7244149493538248</v>
      </c>
      <c r="BZ329" s="165">
        <f ca="1">IF(BV329="","",(INDEX(OFFSET(Arb!$U$2,,,Arb!$AJ$5,),BV329)+INDEX(OFFSET(Arb!$V$2,,,Arb!$AJ$5,),BV329))/BW329)</f>
        <v>3.015484922575387</v>
      </c>
      <c r="CA329" s="51">
        <f t="shared" ca="1" si="114"/>
        <v>41.940097640401262</v>
      </c>
      <c r="CB329" s="91">
        <f ca="1">IF(BV329="","",DATE(INDEX(OFFSET(Arb!$C$2,,,Arb!$AJ$5,),BV329),INDEX(OFFSET(Arb!$B$2,,,Arb!$AJ$5,),BV329),INDEX(OFFSET(Arb!$A$2,,,Arb!$AJ$5,),BV329))+ROW()*0.001)</f>
        <v>44003.328999999998</v>
      </c>
    </row>
    <row r="330" spans="1:80" x14ac:dyDescent="0.25">
      <c r="A330" s="433">
        <v>188</v>
      </c>
      <c r="B330" s="1">
        <v>3426</v>
      </c>
      <c r="C330" s="52">
        <f ca="1">IF(B330="","",INDEX(OFFSET(Arb!$H$2,,,Arb!$AJ$5,),B330))</f>
        <v>69.58</v>
      </c>
      <c r="D330" s="3">
        <f t="shared" ca="1" si="95"/>
        <v>2.7019258407588387</v>
      </c>
      <c r="E330" s="165">
        <f ca="1">IF(B330="","",INDEX(OFFSET(Arb!$X$2,,,Arb!$AJ$5,),B330)/C330)</f>
        <v>2.644438056912906</v>
      </c>
      <c r="F330" s="165">
        <f ca="1">IF(B330="","",(INDEX(OFFSET(Arb!$U$2,,,Arb!$AJ$5,),B330)+INDEX(OFFSET(Arb!$V$2,,,Arb!$AJ$5,),B330))/C330)</f>
        <v>2.9175050301810868</v>
      </c>
      <c r="G330" s="51">
        <f t="shared" ca="1" si="105"/>
        <v>60.314895969909593</v>
      </c>
      <c r="H330" s="355">
        <f ca="1">IF(B330="","",DATE(INDEX(OFFSET(Arb!$C$2,,,Arb!$AJ$5,),B330),INDEX(OFFSET(Arb!$B$2,,,Arb!$AJ$5,),B330),INDEX(OFFSET(Arb!$A$2,,,Arb!$AJ$5,),B330))+ROW()*0.001)</f>
        <v>44149.33</v>
      </c>
      <c r="I330" s="436">
        <v>188</v>
      </c>
      <c r="J330" s="1">
        <v>3284</v>
      </c>
      <c r="K330" s="52">
        <f ca="1">IF(J330="","",INDEX(OFFSET(Arb!$H$2,,,Arb!$AJ$5,),J330))</f>
        <v>70.16</v>
      </c>
      <c r="L330" s="3">
        <f t="shared" ca="1" si="96"/>
        <v>2.6795895096921325</v>
      </c>
      <c r="M330" s="165">
        <f ca="1">IF(J330="","",INDEX(OFFSET(Arb!$X$2,,,Arb!$AJ$5,),J330)/K330)</f>
        <v>3.0929304446978336</v>
      </c>
      <c r="N330" s="165">
        <f ca="1">IF(J330="","",(INDEX(OFFSET(Arb!$U$2,,,Arb!$AJ$5,),J330)+INDEX(OFFSET(Arb!$V$2,,,Arb!$AJ$5,),J330))/K330)</f>
        <v>3.3494868871151655</v>
      </c>
      <c r="O330" s="51">
        <f t="shared" ca="1" si="106"/>
        <v>59.469709628882235</v>
      </c>
      <c r="P330" s="91">
        <f ca="1">IF(J330="","",DATE(INDEX(OFFSET(Arb!$C$2,,,Arb!$AJ$5,),J330),INDEX(OFFSET(Arb!$B$2,,,Arb!$AJ$5,),J330),INDEX(OFFSET(Arb!$A$2,,,Arb!$AJ$5,),J330))+ROW()*0.001)</f>
        <v>44083.33</v>
      </c>
      <c r="Q330" s="442">
        <v>188</v>
      </c>
      <c r="R330" s="1">
        <v>3177</v>
      </c>
      <c r="S330" s="52">
        <f ca="1">IF(R330="","",INDEX(OFFSET(Arb!$H$2,,,Arb!$AJ$5,),R330))</f>
        <v>75.48</v>
      </c>
      <c r="T330" s="3">
        <f t="shared" ca="1" si="97"/>
        <v>2.4907260201377848</v>
      </c>
      <c r="U330" s="165">
        <f ca="1">IF(R330="","",INDEX(OFFSET(Arb!$X$2,,,Arb!$AJ$5,),R330)/S330)</f>
        <v>2.8881822999470055</v>
      </c>
      <c r="V330" s="165">
        <f ca="1">IF(R330="","",(INDEX(OFFSET(Arb!$U$2,,,Arb!$AJ$5,),R330)+INDEX(OFFSET(Arb!$V$2,,,Arb!$AJ$5,),R330))/S330)</f>
        <v>3.2061473237943825</v>
      </c>
      <c r="W330" s="51">
        <f t="shared" ca="1" si="107"/>
        <v>52.521109154353617</v>
      </c>
      <c r="X330" s="88">
        <f ca="1">IF(R330="","",DATE(INDEX(OFFSET(Arb!$C$2,,,Arb!$AJ$5,),R330),INDEX(OFFSET(Arb!$B$2,,,Arb!$AJ$5,),R330),INDEX(OFFSET(Arb!$A$2,,,Arb!$AJ$5,),R330))+ROW()*0.001)</f>
        <v>44046.33</v>
      </c>
      <c r="Y330" s="436">
        <v>188</v>
      </c>
      <c r="Z330" s="1">
        <v>3255</v>
      </c>
      <c r="AA330" s="52">
        <f ca="1">IF(Z330="","",INDEX(OFFSET(Arb!$H$2,,,Arb!$AJ$5,),Z330))</f>
        <v>75.81</v>
      </c>
      <c r="AB330" s="3">
        <f t="shared" ca="1" si="98"/>
        <v>2.4798839203271337</v>
      </c>
      <c r="AC330" s="165">
        <f ca="1">IF(Z330="","",INDEX(OFFSET(Arb!$X$2,,,Arb!$AJ$5,),Z330)/AA330)</f>
        <v>2.8624192059095104</v>
      </c>
      <c r="AD330" s="165">
        <f ca="1">IF(Z330="","",(INDEX(OFFSET(Arb!$U$2,,,Arb!$AJ$5,),Z330)+INDEX(OFFSET(Arb!$V$2,,,Arb!$AJ$5,),Z330))/AA330)</f>
        <v>3.1658092599920855</v>
      </c>
      <c r="AE330" s="51">
        <f t="shared" ca="1" si="108"/>
        <v>52.133041189769791</v>
      </c>
      <c r="AF330" s="91">
        <f ca="1">IF(Z330="","",DATE(INDEX(OFFSET(Arb!$C$2,,,Arb!$AJ$5,),Z330),INDEX(OFFSET(Arb!$B$2,,,Arb!$AJ$5,),Z330),INDEX(OFFSET(Arb!$A$2,,,Arb!$AJ$5,),Z330))+ROW()*0.001)</f>
        <v>44070.33</v>
      </c>
      <c r="AG330" s="442">
        <v>188</v>
      </c>
      <c r="AH330" s="1">
        <v>3045</v>
      </c>
      <c r="AI330" s="52">
        <f ca="1">IF(AH330="","",INDEX(OFFSET(Arb!$H$2,,,Arb!$AJ$5,),AH330))</f>
        <v>77.09</v>
      </c>
      <c r="AJ330" s="3">
        <f t="shared" ca="1" si="99"/>
        <v>2.4387080036321183</v>
      </c>
      <c r="AK330" s="165">
        <f ca="1">IF(AH330="","",INDEX(OFFSET(Arb!$X$2,,,Arb!$AJ$5,),AH330)/AI330)</f>
        <v>2.8667790893760539</v>
      </c>
      <c r="AL330" s="165">
        <f ca="1">IF(AH330="","",(INDEX(OFFSET(Arb!$U$2,,,Arb!$AJ$5,),AH330)+INDEX(OFFSET(Arb!$V$2,,,Arb!$AJ$5,),AH330))/AI330)</f>
        <v>3.1521598132053441</v>
      </c>
      <c r="AM330" s="51">
        <f t="shared" ca="1" si="109"/>
        <v>50.670060980254625</v>
      </c>
      <c r="AN330" s="88">
        <f ca="1">IF(AH330="","",DATE(INDEX(OFFSET(Arb!$C$2,,,Arb!$AJ$5,),AH330),INDEX(OFFSET(Arb!$B$2,,,Arb!$AJ$5,),AH330),INDEX(OFFSET(Arb!$A$2,,,Arb!$AJ$5,),AH330))+ROW()*0.001)</f>
        <v>43980.33</v>
      </c>
      <c r="AO330" s="436">
        <v>188</v>
      </c>
      <c r="AP330" s="1">
        <v>2858</v>
      </c>
      <c r="AQ330" s="52">
        <f ca="1">IF(AP330="","",INDEX(OFFSET(Arb!$H$2,,,Arb!$AJ$5,),AP330))</f>
        <v>77.56</v>
      </c>
      <c r="AR330" s="3">
        <f t="shared" ca="1" si="100"/>
        <v>2.4239298607529656</v>
      </c>
      <c r="AS330" s="165">
        <f ca="1">IF(AP330="","",INDEX(OFFSET(Arb!$X$2,,,Arb!$AJ$5,),AP330)/AQ330)</f>
        <v>2.9525528623001547</v>
      </c>
      <c r="AT330" s="165">
        <f ca="1">IF(AP330="","",(INDEX(OFFSET(Arb!$U$2,,,Arb!$AJ$5,),AP330)+INDEX(OFFSET(Arb!$V$2,,,Arb!$AJ$5,),AP330))/AQ330)</f>
        <v>3.3393501805054151</v>
      </c>
      <c r="AU330" s="51">
        <f t="shared" ca="1" si="110"/>
        <v>50.149180892800402</v>
      </c>
      <c r="AV330" s="91">
        <f ca="1">IF(AP330="","",DATE(INDEX(OFFSET(Arb!$C$2,,,Arb!$AJ$5,),AP330),INDEX(OFFSET(Arb!$B$2,,,Arb!$AJ$5,),AP330),INDEX(OFFSET(Arb!$A$2,,,Arb!$AJ$5,),AP330))+ROW()*0.001)</f>
        <v>43907.33</v>
      </c>
      <c r="AW330" s="442">
        <v>188</v>
      </c>
      <c r="AX330" s="1">
        <v>3206</v>
      </c>
      <c r="AY330" s="52">
        <f ca="1">IF(AX330="","",INDEX(OFFSET(Arb!$H$2,,,Arb!$AJ$5,),AX330))</f>
        <v>77.61</v>
      </c>
      <c r="AZ330" s="3">
        <f t="shared" ca="1" si="101"/>
        <v>2.4223682515139804</v>
      </c>
      <c r="BA330" s="165">
        <f ca="1">IF(AX330="","",INDEX(OFFSET(Arb!$X$2,,,Arb!$AJ$5,),AX330)/AY330)</f>
        <v>2.9248808143280507</v>
      </c>
      <c r="BB330" s="165">
        <f ca="1">IF(AX330="","",(INDEX(OFFSET(Arb!$U$2,,,Arb!$AJ$5,),AX330)+INDEX(OFFSET(Arb!$V$2,,,Arb!$AJ$5,),AX330))/AY330)</f>
        <v>3.2598891895374309</v>
      </c>
      <c r="BC330" s="51">
        <f t="shared" ca="1" si="111"/>
        <v>50.094268908037179</v>
      </c>
      <c r="BD330" s="88">
        <f ca="1">IF(AX330="","",DATE(INDEX(OFFSET(Arb!$C$2,,,Arb!$AJ$5,),AX330),INDEX(OFFSET(Arb!$B$2,,,Arb!$AJ$5,),AX330),INDEX(OFFSET(Arb!$A$2,,,Arb!$AJ$5,),AX330))+ROW()*0.001)</f>
        <v>44058.33</v>
      </c>
      <c r="BE330" s="436">
        <v>188</v>
      </c>
      <c r="BF330" s="1">
        <v>3224</v>
      </c>
      <c r="BG330" s="52">
        <f ca="1">IF(BF330="","",INDEX(OFFSET(Arb!$H$2,,,Arb!$AJ$5,),BF330))</f>
        <v>77.72</v>
      </c>
      <c r="BH330" s="3">
        <f t="shared" ca="1" si="102"/>
        <v>2.4189397838394235</v>
      </c>
      <c r="BI330" s="165">
        <f ca="1">IF(BF330="","",INDEX(OFFSET(Arb!$X$2,,,Arb!$AJ$5,),BF330)/BG330)</f>
        <v>2.8306742151312405</v>
      </c>
      <c r="BJ330" s="165">
        <f ca="1">IF(BF330="","",(INDEX(OFFSET(Arb!$U$2,,,Arb!$AJ$5,),BF330)+INDEX(OFFSET(Arb!$V$2,,,Arb!$AJ$5,),BF330))/BG330)</f>
        <v>3.152341739577972</v>
      </c>
      <c r="BK330" s="51">
        <f t="shared" ca="1" si="112"/>
        <v>49.973798151403756</v>
      </c>
      <c r="BL330" s="91">
        <f ca="1">IF(BF330="","",DATE(INDEX(OFFSET(Arb!$C$2,,,Arb!$AJ$5,),BF330),INDEX(OFFSET(Arb!$B$2,,,Arb!$AJ$5,),BF330),INDEX(OFFSET(Arb!$A$2,,,Arb!$AJ$5,),BF330))+ROW()*0.001)</f>
        <v>44061.33</v>
      </c>
      <c r="BM330" s="442">
        <v>188</v>
      </c>
      <c r="BN330" s="1">
        <v>3370</v>
      </c>
      <c r="BO330" s="52">
        <f ca="1">IF(BN330="","",INDEX(OFFSET(Arb!$H$2,,,Arb!$AJ$5,),BN330))</f>
        <v>85.23</v>
      </c>
      <c r="BP330" s="3">
        <f t="shared" ca="1" si="103"/>
        <v>2.2057960811920685</v>
      </c>
      <c r="BQ330" s="165">
        <f ca="1">IF(BN330="","",INDEX(OFFSET(Arb!$X$2,,,Arb!$AJ$5,),BN330)/BO330)</f>
        <v>2.3700574914936055</v>
      </c>
      <c r="BR330" s="165">
        <f ca="1">IF(BN330="","",(INDEX(OFFSET(Arb!$U$2,,,Arb!$AJ$5,),BN330)+INDEX(OFFSET(Arb!$V$2,,,Arb!$AJ$5,),BN330))/BO330)</f>
        <v>3.109233837850522</v>
      </c>
      <c r="BS330" s="51">
        <f t="shared" ca="1" si="113"/>
        <v>42.720947301147504</v>
      </c>
      <c r="BT330" s="88">
        <f ca="1">IF(BN330="","",DATE(INDEX(OFFSET(Arb!$C$2,,,Arb!$AJ$5,),BN330),INDEX(OFFSET(Arb!$B$2,,,Arb!$AJ$5,),BN330),INDEX(OFFSET(Arb!$A$2,,,Arb!$AJ$5,),BN330))+ROW()*0.001)</f>
        <v>44127.33</v>
      </c>
      <c r="BU330" s="436">
        <v>188</v>
      </c>
      <c r="BW330" s="52" t="str">
        <f ca="1">IF(BV330="","",INDEX(OFFSET(Arb!$H$2,,,Arb!$AJ$5,),BV330))</f>
        <v/>
      </c>
      <c r="BX330" s="3" t="str">
        <f t="shared" ca="1" si="104"/>
        <v/>
      </c>
      <c r="BY330" s="165" t="str">
        <f ca="1">IF(BV330="","",INDEX(OFFSET(Arb!$X$2,,,Arb!$AJ$5,),BV330)/BW330)</f>
        <v/>
      </c>
      <c r="BZ330" s="165" t="str">
        <f ca="1">IF(BV330="","",(INDEX(OFFSET(Arb!$U$2,,,Arb!$AJ$5,),BV330)+INDEX(OFFSET(Arb!$V$2,,,Arb!$AJ$5,),BV330))/BW330)</f>
        <v/>
      </c>
      <c r="CA330" s="51" t="str">
        <f t="shared" ca="1" si="114"/>
        <v/>
      </c>
      <c r="CB330" s="91" t="str">
        <f ca="1">IF(BV330="","",DATE(INDEX(OFFSET(Arb!$C$2,,,Arb!$AJ$5,),BV330),INDEX(OFFSET(Arb!$B$2,,,Arb!$AJ$5,),BV330),INDEX(OFFSET(Arb!$A$2,,,Arb!$AJ$5,),BV330))+ROW()*0.001)</f>
        <v/>
      </c>
    </row>
    <row r="331" spans="1:80" x14ac:dyDescent="0.25">
      <c r="A331" s="433">
        <v>189</v>
      </c>
      <c r="B331" s="1">
        <v>3219</v>
      </c>
      <c r="C331" s="52">
        <f ca="1">IF(B331="","",INDEX(OFFSET(Arb!$H$2,,,Arb!$AJ$5,),B331))</f>
        <v>70.97</v>
      </c>
      <c r="D331" s="3">
        <f t="shared" ca="1" si="95"/>
        <v>2.6630970832746232</v>
      </c>
      <c r="E331" s="165">
        <f ca="1">IF(B331="","",INDEX(OFFSET(Arb!$X$2,,,Arb!$AJ$5,),B331)/C331)</f>
        <v>3.1139918275327605</v>
      </c>
      <c r="F331" s="165">
        <f ca="1">IF(B331="","",(INDEX(OFFSET(Arb!$U$2,,,Arb!$AJ$5,),B331)+INDEX(OFFSET(Arb!$V$2,,,Arb!$AJ$5,),B331))/C331)</f>
        <v>3.4944342680005636</v>
      </c>
      <c r="G331" s="51">
        <f t="shared" ca="1" si="105"/>
        <v>58.630674524876092</v>
      </c>
      <c r="H331" s="355">
        <f ca="1">IF(B331="","",DATE(INDEX(OFFSET(Arb!$C$2,,,Arb!$AJ$5,),B331),INDEX(OFFSET(Arb!$B$2,,,Arb!$AJ$5,),B331),INDEX(OFFSET(Arb!$A$2,,,Arb!$AJ$5,),B331))+ROW()*0.001)</f>
        <v>44059.330999999998</v>
      </c>
      <c r="I331" s="436">
        <v>189</v>
      </c>
      <c r="J331" s="1">
        <v>3073</v>
      </c>
      <c r="K331" s="52">
        <f ca="1">IF(J331="","",INDEX(OFFSET(Arb!$H$2,,,Arb!$AJ$5,),J331))</f>
        <v>71.22</v>
      </c>
      <c r="L331" s="3">
        <f t="shared" ca="1" si="96"/>
        <v>2.6537489469250213</v>
      </c>
      <c r="M331" s="165">
        <f ca="1">IF(J331="","",INDEX(OFFSET(Arb!$X$2,,,Arb!$AJ$5,),J331)/K331)</f>
        <v>3.1030609379387815</v>
      </c>
      <c r="N331" s="165">
        <f ca="1">IF(J331="","",(INDEX(OFFSET(Arb!$U$2,,,Arb!$AJ$5,),J331)+INDEX(OFFSET(Arb!$V$2,,,Arb!$AJ$5,),J331))/K331)</f>
        <v>3.3557989328840212</v>
      </c>
      <c r="O331" s="51">
        <f t="shared" ca="1" si="106"/>
        <v>58.281230381001514</v>
      </c>
      <c r="P331" s="91">
        <f ca="1">IF(J331="","",DATE(INDEX(OFFSET(Arb!$C$2,,,Arb!$AJ$5,),J331),INDEX(OFFSET(Arb!$B$2,,,Arb!$AJ$5,),J331),INDEX(OFFSET(Arb!$A$2,,,Arb!$AJ$5,),J331))+ROW()*0.001)</f>
        <v>44003.330999999998</v>
      </c>
      <c r="Q331" s="442">
        <v>189</v>
      </c>
      <c r="R331" s="1">
        <v>3083</v>
      </c>
      <c r="S331" s="52">
        <f ca="1">IF(R331="","",INDEX(OFFSET(Arb!$H$2,,,Arb!$AJ$5,),R331))</f>
        <v>72.209999999999994</v>
      </c>
      <c r="T331" s="3">
        <f t="shared" ca="1" si="97"/>
        <v>2.6173660157872871</v>
      </c>
      <c r="U331" s="165">
        <f ca="1">IF(R331="","",INDEX(OFFSET(Arb!$X$2,,,Arb!$AJ$5,),R331)/S331)</f>
        <v>3.1851544107464345</v>
      </c>
      <c r="V331" s="165">
        <f ca="1">IF(R331="","",(INDEX(OFFSET(Arb!$U$2,,,Arb!$AJ$5,),R331)+INDEX(OFFSET(Arb!$V$2,,,Arb!$AJ$5,),R331))/S331)</f>
        <v>3.4898213543830496</v>
      </c>
      <c r="W331" s="51">
        <f t="shared" ca="1" si="107"/>
        <v>56.929395591404081</v>
      </c>
      <c r="X331" s="88">
        <f ca="1">IF(R331="","",DATE(INDEX(OFFSET(Arb!$C$2,,,Arb!$AJ$5,),R331),INDEX(OFFSET(Arb!$B$2,,,Arb!$AJ$5,),R331),INDEX(OFFSET(Arb!$A$2,,,Arb!$AJ$5,),R331))+ROW()*0.001)</f>
        <v>44003.330999999998</v>
      </c>
      <c r="Y331" s="436">
        <v>189</v>
      </c>
      <c r="Z331" s="1">
        <v>3312</v>
      </c>
      <c r="AA331" s="52">
        <f ca="1">IF(Z331="","",INDEX(OFFSET(Arb!$H$2,,,Arb!$AJ$5,),Z331))</f>
        <v>73.62</v>
      </c>
      <c r="AB331" s="3">
        <f t="shared" ca="1" si="98"/>
        <v>2.5672371638141809</v>
      </c>
      <c r="AC331" s="165">
        <f ca="1">IF(Z331="","",INDEX(OFFSET(Arb!$X$2,,,Arb!$AJ$5,),Z331)/AA331)</f>
        <v>2.8932355338223306</v>
      </c>
      <c r="AD331" s="165">
        <f ca="1">IF(Z331="","",(INDEX(OFFSET(Arb!$U$2,,,Arb!$AJ$5,),Z331)+INDEX(OFFSET(Arb!$V$2,,,Arb!$AJ$5,),Z331))/AA331)</f>
        <v>3.2464004346644932</v>
      </c>
      <c r="AE331" s="51">
        <f t="shared" ca="1" si="108"/>
        <v>55.088275489364825</v>
      </c>
      <c r="AF331" s="91">
        <f ca="1">IF(Z331="","",DATE(INDEX(OFFSET(Arb!$C$2,,,Arb!$AJ$5,),Z331),INDEX(OFFSET(Arb!$B$2,,,Arb!$AJ$5,),Z331),INDEX(OFFSET(Arb!$A$2,,,Arb!$AJ$5,),Z331))+ROW()*0.001)</f>
        <v>44093.330999999998</v>
      </c>
      <c r="AG331" s="442">
        <v>189</v>
      </c>
      <c r="AH331" s="1">
        <v>3262</v>
      </c>
      <c r="AI331" s="52">
        <f ca="1">IF(AH331="","",INDEX(OFFSET(Arb!$H$2,,,Arb!$AJ$5,),AH331))</f>
        <v>74.39</v>
      </c>
      <c r="AJ331" s="3">
        <f t="shared" ca="1" si="99"/>
        <v>2.5406640677510417</v>
      </c>
      <c r="AK331" s="165">
        <f ca="1">IF(AH331="","",INDEX(OFFSET(Arb!$X$2,,,Arb!$AJ$5,),AH331)/AI331)</f>
        <v>2.9977147466057263</v>
      </c>
      <c r="AL331" s="165">
        <f ca="1">IF(AH331="","",(INDEX(OFFSET(Arb!$U$2,,,Arb!$AJ$5,),AH331)+INDEX(OFFSET(Arb!$V$2,,,Arb!$AJ$5,),AH331))/AI331)</f>
        <v>3.2531254200833444</v>
      </c>
      <c r="AM331" s="51">
        <f t="shared" ca="1" si="109"/>
        <v>54.122432778342606</v>
      </c>
      <c r="AN331" s="88">
        <f ca="1">IF(AH331="","",DATE(INDEX(OFFSET(Arb!$C$2,,,Arb!$AJ$5,),AH331),INDEX(OFFSET(Arb!$B$2,,,Arb!$AJ$5,),AH331),INDEX(OFFSET(Arb!$A$2,,,Arb!$AJ$5,),AH331))+ROW()*0.001)</f>
        <v>44073.330999999998</v>
      </c>
      <c r="AO331" s="436">
        <v>189</v>
      </c>
      <c r="AP331" s="1">
        <v>2956</v>
      </c>
      <c r="AQ331" s="52">
        <f ca="1">IF(AP331="","",INDEX(OFFSET(Arb!$H$2,,,Arb!$AJ$5,),AP331))</f>
        <v>79.040000000000006</v>
      </c>
      <c r="AR331" s="3">
        <f t="shared" ca="1" si="100"/>
        <v>2.3911943319838054</v>
      </c>
      <c r="AS331" s="165">
        <f ca="1">IF(AP331="","",INDEX(OFFSET(Arb!$X$2,,,Arb!$AJ$5,),AP331)/AQ331)</f>
        <v>2.9225708502024288</v>
      </c>
      <c r="AT331" s="165">
        <f ca="1">IF(AP331="","",(INDEX(OFFSET(Arb!$U$2,,,Arb!$AJ$5,),AP331)+INDEX(OFFSET(Arb!$V$2,,,Arb!$AJ$5,),AP331))/AQ331)</f>
        <v>3.2641700404858298</v>
      </c>
      <c r="AU331" s="51">
        <f t="shared" ca="1" si="110"/>
        <v>48.821630087181411</v>
      </c>
      <c r="AV331" s="91">
        <f ca="1">IF(AP331="","",DATE(INDEX(OFFSET(Arb!$C$2,,,Arb!$AJ$5,),AP331),INDEX(OFFSET(Arb!$B$2,,,Arb!$AJ$5,),AP331),INDEX(OFFSET(Arb!$A$2,,,Arb!$AJ$5,),AP331))+ROW()*0.001)</f>
        <v>43949.330999999998</v>
      </c>
      <c r="AW331" s="442">
        <v>189</v>
      </c>
      <c r="AX331" s="1">
        <v>3077</v>
      </c>
      <c r="AY331" s="52">
        <f ca="1">IF(AX331="","",INDEX(OFFSET(Arb!$H$2,,,Arb!$AJ$5,),AX331))</f>
        <v>81.47</v>
      </c>
      <c r="AZ331" s="3">
        <f t="shared" ca="1" si="101"/>
        <v>2.3198723456487049</v>
      </c>
      <c r="BA331" s="165">
        <f ca="1">IF(AX331="","",INDEX(OFFSET(Arb!$X$2,,,Arb!$AJ$5,),AX331)/AY331)</f>
        <v>2.6635571375966616</v>
      </c>
      <c r="BB331" s="165">
        <f ca="1">IF(AX331="","",(INDEX(OFFSET(Arb!$U$2,,,Arb!$AJ$5,),AX331)+INDEX(OFFSET(Arb!$V$2,,,Arb!$AJ$5,),AX331))/AY331)</f>
        <v>2.9826930158340494</v>
      </c>
      <c r="BC331" s="51">
        <f t="shared" ca="1" si="111"/>
        <v>46.372012234779312</v>
      </c>
      <c r="BD331" s="88">
        <f ca="1">IF(AX331="","",DATE(INDEX(OFFSET(Arb!$C$2,,,Arb!$AJ$5,),AX331),INDEX(OFFSET(Arb!$B$2,,,Arb!$AJ$5,),AX331),INDEX(OFFSET(Arb!$A$2,,,Arb!$AJ$5,),AX331))+ROW()*0.001)</f>
        <v>44003.330999999998</v>
      </c>
      <c r="BE331" s="436">
        <v>189</v>
      </c>
      <c r="BF331" s="1">
        <v>2420</v>
      </c>
      <c r="BG331" s="52">
        <f ca="1">IF(BF331="","",INDEX(OFFSET(Arb!$H$2,,,Arb!$AJ$5,),BF331))</f>
        <v>82.42</v>
      </c>
      <c r="BH331" s="3">
        <f t="shared" ca="1" si="102"/>
        <v>2.2931327347731134</v>
      </c>
      <c r="BI331" s="165">
        <f ca="1">IF(BF331="","",INDEX(OFFSET(Arb!$X$2,,,Arb!$AJ$5,),BF331)/BG331)</f>
        <v>2.5843241931570007</v>
      </c>
      <c r="BJ331" s="165">
        <f ca="1">IF(BF331="","",(INDEX(OFFSET(Arb!$U$2,,,Arb!$AJ$5,),BF331)+INDEX(OFFSET(Arb!$V$2,,,Arb!$AJ$5,),BF331))/BG331)</f>
        <v>2.7905848095122541</v>
      </c>
      <c r="BK331" s="51">
        <f t="shared" ca="1" si="112"/>
        <v>45.467033775420902</v>
      </c>
      <c r="BL331" s="91">
        <f ca="1">IF(BF331="","",DATE(INDEX(OFFSET(Arb!$C$2,,,Arb!$AJ$5,),BF331),INDEX(OFFSET(Arb!$B$2,,,Arb!$AJ$5,),BF331),INDEX(OFFSET(Arb!$A$2,,,Arb!$AJ$5,),BF331))+ROW()*0.001)</f>
        <v>43767.330999999998</v>
      </c>
      <c r="BM331" s="442">
        <v>189</v>
      </c>
      <c r="BN331" s="1">
        <v>2450</v>
      </c>
      <c r="BO331" s="52">
        <f ca="1">IF(BN331="","",INDEX(OFFSET(Arb!$H$2,,,Arb!$AJ$5,),BN331))</f>
        <v>89.06</v>
      </c>
      <c r="BP331" s="3">
        <f t="shared" ca="1" si="103"/>
        <v>2.1221648326970581</v>
      </c>
      <c r="BQ331" s="165">
        <f ca="1">IF(BN331="","",INDEX(OFFSET(Arb!$X$2,,,Arb!$AJ$5,),BN331)/BO331)</f>
        <v>2.4814731641589938</v>
      </c>
      <c r="BR331" s="165">
        <f ca="1">IF(BN331="","",(INDEX(OFFSET(Arb!$U$2,,,Arb!$AJ$5,),BN331)+INDEX(OFFSET(Arb!$V$2,,,Arb!$AJ$5,),BN331))/BO331)</f>
        <v>2.7060408713227035</v>
      </c>
      <c r="BS331" s="51">
        <f t="shared" ca="1" si="113"/>
        <v>39.855795804579941</v>
      </c>
      <c r="BT331" s="88">
        <f ca="1">IF(BN331="","",DATE(INDEX(OFFSET(Arb!$C$2,,,Arb!$AJ$5,),BN331),INDEX(OFFSET(Arb!$B$2,,,Arb!$AJ$5,),BN331),INDEX(OFFSET(Arb!$A$2,,,Arb!$AJ$5,),BN331))+ROW()*0.001)</f>
        <v>43775.330999999998</v>
      </c>
      <c r="BU331" s="436">
        <v>189</v>
      </c>
      <c r="BV331" s="1">
        <v>2583</v>
      </c>
      <c r="BW331" s="52">
        <f ca="1">IF(BV331="","",INDEX(OFFSET(Arb!$H$2,,,Arb!$AJ$5,),BV331))</f>
        <v>92.83</v>
      </c>
      <c r="BX331" s="3">
        <f t="shared" ca="1" si="104"/>
        <v>2.0359797479263171</v>
      </c>
      <c r="BY331" s="165">
        <f ca="1">IF(BV331="","",INDEX(OFFSET(Arb!$X$2,,,Arb!$AJ$5,),BV331)/BW331)</f>
        <v>2.4453301734353121</v>
      </c>
      <c r="BZ331" s="165">
        <f ca="1">IF(BV331="","",(INDEX(OFFSET(Arb!$U$2,,,Arb!$AJ$5,),BV331)+INDEX(OFFSET(Arb!$V$2,,,Arb!$AJ$5,),BV331))/BW331)</f>
        <v>2.6715501454271249</v>
      </c>
      <c r="CA331" s="51">
        <f t="shared" ca="1" si="114"/>
        <v>37.143417827280082</v>
      </c>
      <c r="CB331" s="91">
        <f ca="1">IF(BV331="","",DATE(INDEX(OFFSET(Arb!$C$2,,,Arb!$AJ$5,),BV331),INDEX(OFFSET(Arb!$B$2,,,Arb!$AJ$5,),BV331),INDEX(OFFSET(Arb!$A$2,,,Arb!$AJ$5,),BV331))+ROW()*0.001)</f>
        <v>43805.330999999998</v>
      </c>
    </row>
    <row r="332" spans="1:80" x14ac:dyDescent="0.25">
      <c r="A332" s="433">
        <v>190</v>
      </c>
      <c r="B332" s="1">
        <v>3281</v>
      </c>
      <c r="C332" s="52">
        <f ca="1">IF(B332="","",INDEX(OFFSET(Arb!$H$2,,,Arb!$AJ$5,),B332))</f>
        <v>71.099999999999994</v>
      </c>
      <c r="D332" s="3">
        <f t="shared" ca="1" si="95"/>
        <v>2.6722925457102673</v>
      </c>
      <c r="E332" s="165">
        <f ca="1">IF(B332="","",INDEX(OFFSET(Arb!$X$2,,,Arb!$AJ$5,),B332)/C332)</f>
        <v>3.0661040787623071</v>
      </c>
      <c r="F332" s="165">
        <f ca="1">IF(B332="","",(INDEX(OFFSET(Arb!$U$2,,,Arb!$AJ$5,),B332)+INDEX(OFFSET(Arb!$V$2,,,Arb!$AJ$5,),B332))/C332)</f>
        <v>3.3052039381153309</v>
      </c>
      <c r="G332" s="51">
        <f t="shared" ca="1" si="105"/>
        <v>58.757801137103087</v>
      </c>
      <c r="H332" s="355">
        <f ca="1">IF(B332="","",DATE(INDEX(OFFSET(Arb!$C$2,,,Arb!$AJ$5,),B332),INDEX(OFFSET(Arb!$B$2,,,Arb!$AJ$5,),B332),INDEX(OFFSET(Arb!$A$2,,,Arb!$AJ$5,),B332))+ROW()*0.001)</f>
        <v>44083.332000000002</v>
      </c>
      <c r="I332" s="436">
        <v>190</v>
      </c>
      <c r="J332" s="1">
        <v>3209</v>
      </c>
      <c r="K332" s="52">
        <f ca="1">IF(J332="","",INDEX(OFFSET(Arb!$H$2,,,Arb!$AJ$5,),J332))</f>
        <v>71.98</v>
      </c>
      <c r="L332" s="3">
        <f t="shared" ca="1" si="96"/>
        <v>2.6396221172547927</v>
      </c>
      <c r="M332" s="165">
        <f ca="1">IF(J332="","",INDEX(OFFSET(Arb!$X$2,,,Arb!$AJ$5,),J332)/K332)</f>
        <v>3.084190052792442</v>
      </c>
      <c r="N332" s="165">
        <f ca="1">IF(J332="","",(INDEX(OFFSET(Arb!$U$2,,,Arb!$AJ$5,),J332)+INDEX(OFFSET(Arb!$V$2,,,Arb!$AJ$5,),J332))/K332)</f>
        <v>3.4592942484023337</v>
      </c>
      <c r="O332" s="51">
        <f t="shared" ca="1" si="106"/>
        <v>57.541837250873598</v>
      </c>
      <c r="P332" s="91">
        <f ca="1">IF(J332="","",DATE(INDEX(OFFSET(Arb!$C$2,,,Arb!$AJ$5,),J332),INDEX(OFFSET(Arb!$B$2,,,Arb!$AJ$5,),J332),INDEX(OFFSET(Arb!$A$2,,,Arb!$AJ$5,),J332))+ROW()*0.001)</f>
        <v>44059.332000000002</v>
      </c>
      <c r="Q332" s="442">
        <v>190</v>
      </c>
      <c r="R332" s="1">
        <v>3025</v>
      </c>
      <c r="S332" s="52">
        <f ca="1">IF(R332="","",INDEX(OFFSET(Arb!$H$2,,,Arb!$AJ$5,),R332))</f>
        <v>74.28</v>
      </c>
      <c r="T332" s="3">
        <f t="shared" ca="1" si="97"/>
        <v>2.5578890683898763</v>
      </c>
      <c r="U332" s="165">
        <f ca="1">IF(R332="","",INDEX(OFFSET(Arb!$X$2,,,Arb!$AJ$5,),R332)/S332)</f>
        <v>3.1637049003769522</v>
      </c>
      <c r="V332" s="165">
        <f ca="1">IF(R332="","",(INDEX(OFFSET(Arb!$U$2,,,Arb!$AJ$5,),R332)+INDEX(OFFSET(Arb!$V$2,,,Arb!$AJ$5,),R332))/S332)</f>
        <v>3.5271943995691974</v>
      </c>
      <c r="W332" s="51">
        <f t="shared" ca="1" si="107"/>
        <v>54.545840055307863</v>
      </c>
      <c r="X332" s="88">
        <f ca="1">IF(R332="","",DATE(INDEX(OFFSET(Arb!$C$2,,,Arb!$AJ$5,),R332),INDEX(OFFSET(Arb!$B$2,,,Arb!$AJ$5,),R332),INDEX(OFFSET(Arb!$A$2,,,Arb!$AJ$5,),R332))+ROW()*0.001)</f>
        <v>43967.332000000002</v>
      </c>
      <c r="Y332" s="436">
        <v>190</v>
      </c>
      <c r="Z332" s="1">
        <v>2886</v>
      </c>
      <c r="AA332" s="52">
        <f ca="1">IF(Z332="","",INDEX(OFFSET(Arb!$H$2,,,Arb!$AJ$5,),Z332))</f>
        <v>76.150000000000006</v>
      </c>
      <c r="AB332" s="3">
        <f t="shared" ca="1" si="98"/>
        <v>2.4950755088640837</v>
      </c>
      <c r="AC332" s="165">
        <f ca="1">IF(Z332="","",INDEX(OFFSET(Arb!$X$2,,,Arb!$AJ$5,),Z332)/AA332)</f>
        <v>2.9284307288246878</v>
      </c>
      <c r="AD332" s="165">
        <f ca="1">IF(Z332="","",(INDEX(OFFSET(Arb!$U$2,,,Arb!$AJ$5,),Z332)+INDEX(OFFSET(Arb!$V$2,,,Arb!$AJ$5,),Z332))/AA332)</f>
        <v>3.3092580433355216</v>
      </c>
      <c r="AE332" s="51">
        <f t="shared" ca="1" si="108"/>
        <v>52.288359114149216</v>
      </c>
      <c r="AF332" s="91">
        <f ca="1">IF(Z332="","",DATE(INDEX(OFFSET(Arb!$C$2,,,Arb!$AJ$5,),Z332),INDEX(OFFSET(Arb!$B$2,,,Arb!$AJ$5,),Z332),INDEX(OFFSET(Arb!$A$2,,,Arb!$AJ$5,),Z332))+ROW()*0.001)</f>
        <v>43919.332000000002</v>
      </c>
      <c r="AG332" s="442">
        <v>190</v>
      </c>
      <c r="AH332" s="1">
        <v>2955</v>
      </c>
      <c r="AI332" s="52">
        <f ca="1">IF(AH332="","",INDEX(OFFSET(Arb!$H$2,,,Arb!$AJ$5,),AH332))</f>
        <v>77.5</v>
      </c>
      <c r="AJ332" s="3">
        <f t="shared" ca="1" si="99"/>
        <v>2.4516129032258065</v>
      </c>
      <c r="AK332" s="165">
        <f ca="1">IF(AH332="","",INDEX(OFFSET(Arb!$X$2,,,Arb!$AJ$5,),AH332)/AI332)</f>
        <v>2.8516129032258064</v>
      </c>
      <c r="AL332" s="165">
        <f ca="1">IF(AH332="","",(INDEX(OFFSET(Arb!$U$2,,,Arb!$AJ$5,),AH332)+INDEX(OFFSET(Arb!$V$2,,,Arb!$AJ$5,),AH332))/AI332)</f>
        <v>3.1870967741935483</v>
      </c>
      <c r="AM332" s="51">
        <f t="shared" ca="1" si="109"/>
        <v>50.749405840971072</v>
      </c>
      <c r="AN332" s="88">
        <f ca="1">IF(AH332="","",DATE(INDEX(OFFSET(Arb!$C$2,,,Arb!$AJ$5,),AH332),INDEX(OFFSET(Arb!$B$2,,,Arb!$AJ$5,),AH332),INDEX(OFFSET(Arb!$A$2,,,Arb!$AJ$5,),AH332))+ROW()*0.001)</f>
        <v>43949.332000000002</v>
      </c>
      <c r="AO332" s="436">
        <v>190</v>
      </c>
      <c r="AP332" s="1">
        <v>2890</v>
      </c>
      <c r="AQ332" s="52">
        <f ca="1">IF(AP332="","",INDEX(OFFSET(Arb!$H$2,,,Arb!$AJ$5,),AP332))</f>
        <v>78.56</v>
      </c>
      <c r="AR332" s="3">
        <f t="shared" ca="1" si="100"/>
        <v>2.4185336048879837</v>
      </c>
      <c r="AS332" s="165">
        <f ca="1">IF(AP332="","",INDEX(OFFSET(Arb!$X$2,,,Arb!$AJ$5,),AP332)/AQ332)</f>
        <v>2.9022403258655802</v>
      </c>
      <c r="AT332" s="165">
        <f ca="1">IF(AP332="","",(INDEX(OFFSET(Arb!$U$2,,,Arb!$AJ$5,),AP332)+INDEX(OFFSET(Arb!$V$2,,,Arb!$AJ$5,),AP332))/AQ332)</f>
        <v>3.1186354378818737</v>
      </c>
      <c r="AU332" s="51">
        <f t="shared" ca="1" si="110"/>
        <v>49.590826806953508</v>
      </c>
      <c r="AV332" s="91">
        <f ca="1">IF(AP332="","",DATE(INDEX(OFFSET(Arb!$C$2,,,Arb!$AJ$5,),AP332),INDEX(OFFSET(Arb!$B$2,,,Arb!$AJ$5,),AP332),INDEX(OFFSET(Arb!$A$2,,,Arb!$AJ$5,),AP332))+ROW()*0.001)</f>
        <v>43920.332000000002</v>
      </c>
      <c r="AW332" s="442">
        <v>190</v>
      </c>
      <c r="AX332" s="1">
        <v>2669</v>
      </c>
      <c r="AY332" s="52">
        <f ca="1">IF(AX332="","",INDEX(OFFSET(Arb!$H$2,,,Arb!$AJ$5,),AX332))</f>
        <v>80.09</v>
      </c>
      <c r="AZ332" s="3">
        <f t="shared" ca="1" si="101"/>
        <v>2.372331127481583</v>
      </c>
      <c r="BA332" s="165">
        <f ca="1">IF(AX332="","",INDEX(OFFSET(Arb!$X$2,,,Arb!$AJ$5,),AX332)/AY332)</f>
        <v>2.7718816331626916</v>
      </c>
      <c r="BB332" s="165">
        <f ca="1">IF(AX332="","",(INDEX(OFFSET(Arb!$U$2,,,Arb!$AJ$5,),AX332)+INDEX(OFFSET(Arb!$V$2,,,Arb!$AJ$5,),AX332))/AY332)</f>
        <v>3.0590585591209889</v>
      </c>
      <c r="BC332" s="51">
        <f t="shared" ca="1" si="111"/>
        <v>47.99110581062687</v>
      </c>
      <c r="BD332" s="88">
        <f ca="1">IF(AX332="","",DATE(INDEX(OFFSET(Arb!$C$2,,,Arb!$AJ$5,),AX332),INDEX(OFFSET(Arb!$B$2,,,Arb!$AJ$5,),AX332),INDEX(OFFSET(Arb!$A$2,,,Arb!$AJ$5,),AX332))+ROW()*0.001)</f>
        <v>43826.332000000002</v>
      </c>
      <c r="BE332" s="436">
        <v>190</v>
      </c>
      <c r="BF332" s="1">
        <v>2745</v>
      </c>
      <c r="BG332" s="52">
        <f ca="1">IF(BF332="","",INDEX(OFFSET(Arb!$H$2,,,Arb!$AJ$5,),BF332))</f>
        <v>81.16</v>
      </c>
      <c r="BH332" s="3">
        <f t="shared" ca="1" si="102"/>
        <v>2.3410547067520948</v>
      </c>
      <c r="BI332" s="165">
        <f ca="1">IF(BF332="","",INDEX(OFFSET(Arb!$X$2,,,Arb!$AJ$5,),BF332)/BG332)</f>
        <v>2.6983735830458353</v>
      </c>
      <c r="BJ332" s="165">
        <f ca="1">IF(BF332="","",(INDEX(OFFSET(Arb!$U$2,,,Arb!$AJ$5,),BF332)+INDEX(OFFSET(Arb!$V$2,,,Arb!$AJ$5,),BF332))/BG332)</f>
        <v>3.0310497782158698</v>
      </c>
      <c r="BK332" s="51">
        <f t="shared" ca="1" si="112"/>
        <v>46.920474029706405</v>
      </c>
      <c r="BL332" s="91">
        <f ca="1">IF(BF332="","",DATE(INDEX(OFFSET(Arb!$C$2,,,Arb!$AJ$5,),BF332),INDEX(OFFSET(Arb!$B$2,,,Arb!$AJ$5,),BF332),INDEX(OFFSET(Arb!$A$2,,,Arb!$AJ$5,),BF332))+ROW()*0.001)</f>
        <v>43870.332000000002</v>
      </c>
      <c r="BM332" s="442">
        <v>190</v>
      </c>
      <c r="BN332" s="1">
        <v>2776</v>
      </c>
      <c r="BO332" s="52">
        <f ca="1">IF(BN332="","",INDEX(OFFSET(Arb!$H$2,,,Arb!$AJ$5,),BN332))</f>
        <v>82.73</v>
      </c>
      <c r="BP332" s="3">
        <f t="shared" ca="1" si="103"/>
        <v>2.2966275837060315</v>
      </c>
      <c r="BQ332" s="165">
        <f ca="1">IF(BN332="","",INDEX(OFFSET(Arb!$X$2,,,Arb!$AJ$5,),BN332)/BO332)</f>
        <v>2.5988154236673515</v>
      </c>
      <c r="BR332" s="165">
        <f ca="1">IF(BN332="","",(INDEX(OFFSET(Arb!$U$2,,,Arb!$AJ$5,),BN332)+INDEX(OFFSET(Arb!$V$2,,,Arb!$AJ$5,),BN332))/BO332)</f>
        <v>2.8405656956364074</v>
      </c>
      <c r="BS332" s="51">
        <f t="shared" ca="1" si="113"/>
        <v>45.416819211437463</v>
      </c>
      <c r="BT332" s="88">
        <f ca="1">IF(BN332="","",DATE(INDEX(OFFSET(Arb!$C$2,,,Arb!$AJ$5,),BN332),INDEX(OFFSET(Arb!$B$2,,,Arb!$AJ$5,),BN332),INDEX(OFFSET(Arb!$A$2,,,Arb!$AJ$5,),BN332))+ROW()*0.001)</f>
        <v>43890.332000000002</v>
      </c>
      <c r="BU332" s="436">
        <v>190</v>
      </c>
      <c r="BV332" s="1">
        <v>3134</v>
      </c>
      <c r="BW332" s="52">
        <f ca="1">IF(BV332="","",INDEX(OFFSET(Arb!$H$2,,,Arb!$AJ$5,),BV332))</f>
        <v>82.93</v>
      </c>
      <c r="BX332" s="3">
        <f t="shared" ca="1" si="104"/>
        <v>2.291088870131436</v>
      </c>
      <c r="BY332" s="165">
        <f ca="1">IF(BV332="","",INDEX(OFFSET(Arb!$X$2,,,Arb!$AJ$5,),BV332)/BW332)</f>
        <v>2.6648981068370912</v>
      </c>
      <c r="BZ332" s="165">
        <f ca="1">IF(BV332="","",(INDEX(OFFSET(Arb!$U$2,,,Arb!$AJ$5,),BV332)+INDEX(OFFSET(Arb!$V$2,,,Arb!$AJ$5,),BV332))/BW332)</f>
        <v>2.930182081273363</v>
      </c>
      <c r="CA332" s="51">
        <f t="shared" ca="1" si="114"/>
        <v>45.230774580335712</v>
      </c>
      <c r="CB332" s="91">
        <f ca="1">IF(BV332="","",DATE(INDEX(OFFSET(Arb!$C$2,,,Arb!$AJ$5,),BV332),INDEX(OFFSET(Arb!$B$2,,,Arb!$AJ$5,),BV332),INDEX(OFFSET(Arb!$A$2,,,Arb!$AJ$5,),BV332))+ROW()*0.001)</f>
        <v>44020.332000000002</v>
      </c>
    </row>
    <row r="333" spans="1:80" x14ac:dyDescent="0.25">
      <c r="A333" s="433">
        <v>191</v>
      </c>
      <c r="B333" s="1">
        <v>3038</v>
      </c>
      <c r="C333" s="52">
        <f ca="1">IF(B333="","",INDEX(OFFSET(Arb!$H$2,,,Arb!$AJ$5,),B333))</f>
        <v>67.900000000000006</v>
      </c>
      <c r="D333" s="3">
        <f t="shared" ca="1" si="95"/>
        <v>2.8129602356406478</v>
      </c>
      <c r="E333" s="165">
        <f ca="1">IF(B333="","",INDEX(OFFSET(Arb!$X$2,,,Arb!$AJ$5,),B333)/C333)</f>
        <v>3.1369661266568483</v>
      </c>
      <c r="F333" s="165">
        <f ca="1">IF(B333="","",(INDEX(OFFSET(Arb!$U$2,,,Arb!$AJ$5,),B333)+INDEX(OFFSET(Arb!$V$2,,,Arb!$AJ$5,),B333))/C333)</f>
        <v>3.3873343151693662</v>
      </c>
      <c r="G333" s="51">
        <f t="shared" ca="1" si="105"/>
        <v>63.87707282206091</v>
      </c>
      <c r="H333" s="355">
        <f ca="1">IF(B333="","",DATE(INDEX(OFFSET(Arb!$C$2,,,Arb!$AJ$5,),B333),INDEX(OFFSET(Arb!$B$2,,,Arb!$AJ$5,),B333),INDEX(OFFSET(Arb!$A$2,,,Arb!$AJ$5,),B333))+ROW()*0.001)</f>
        <v>43979.332999999999</v>
      </c>
      <c r="I333" s="436">
        <v>191</v>
      </c>
      <c r="J333" s="1">
        <v>3343</v>
      </c>
      <c r="K333" s="52">
        <f ca="1">IF(J333="","",INDEX(OFFSET(Arb!$H$2,,,Arb!$AJ$5,),J333))</f>
        <v>72.14</v>
      </c>
      <c r="L333" s="3">
        <f t="shared" ca="1" si="96"/>
        <v>2.6476296090934293</v>
      </c>
      <c r="M333" s="165">
        <f ca="1">IF(J333="","",INDEX(OFFSET(Arb!$X$2,,,Arb!$AJ$5,),J333)/K333)</f>
        <v>3.1605212087607431</v>
      </c>
      <c r="N333" s="165">
        <f ca="1">IF(J333="","",(INDEX(OFFSET(Arb!$U$2,,,Arb!$AJ$5,),J333)+INDEX(OFFSET(Arb!$V$2,,,Arb!$AJ$5,),J333))/K333)</f>
        <v>3.410036041031328</v>
      </c>
      <c r="O333" s="51">
        <f t="shared" ca="1" si="106"/>
        <v>57.626758070962865</v>
      </c>
      <c r="P333" s="91">
        <f ca="1">IF(J333="","",DATE(INDEX(OFFSET(Arb!$C$2,,,Arb!$AJ$5,),J333),INDEX(OFFSET(Arb!$B$2,,,Arb!$AJ$5,),J333),INDEX(OFFSET(Arb!$A$2,,,Arb!$AJ$5,),J333))+ROW()*0.001)</f>
        <v>44097.332999999999</v>
      </c>
      <c r="Q333" s="442">
        <v>191</v>
      </c>
      <c r="R333" s="1">
        <v>2794</v>
      </c>
      <c r="S333" s="52">
        <f ca="1">IF(R333="","",INDEX(OFFSET(Arb!$H$2,,,Arb!$AJ$5,),R333))</f>
        <v>74.84</v>
      </c>
      <c r="T333" s="3">
        <f t="shared" ca="1" si="97"/>
        <v>2.5521111704970605</v>
      </c>
      <c r="U333" s="165">
        <f ca="1">IF(R333="","",INDEX(OFFSET(Arb!$X$2,,,Arb!$AJ$5,),R333)/S333)</f>
        <v>2.993051843933725</v>
      </c>
      <c r="V333" s="165">
        <f ca="1">IF(R333="","",(INDEX(OFFSET(Arb!$U$2,,,Arb!$AJ$5,),R333)+INDEX(OFFSET(Arb!$V$2,,,Arb!$AJ$5,),R333))/S333)</f>
        <v>3.327097808658471</v>
      </c>
      <c r="W333" s="51">
        <f t="shared" ca="1" si="107"/>
        <v>54.137250916777191</v>
      </c>
      <c r="X333" s="88">
        <f ca="1">IF(R333="","",DATE(INDEX(OFFSET(Arb!$C$2,,,Arb!$AJ$5,),R333),INDEX(OFFSET(Arb!$B$2,,,Arb!$AJ$5,),R333),INDEX(OFFSET(Arb!$A$2,,,Arb!$AJ$5,),R333))+ROW()*0.001)</f>
        <v>43893.332999999999</v>
      </c>
      <c r="Y333" s="436">
        <v>191</v>
      </c>
      <c r="Z333" s="1">
        <v>3232</v>
      </c>
      <c r="AA333" s="52">
        <f ca="1">IF(Z333="","",INDEX(OFFSET(Arb!$H$2,,,Arb!$AJ$5,),Z333))</f>
        <v>75.41</v>
      </c>
      <c r="AB333" s="3">
        <f t="shared" ca="1" si="98"/>
        <v>2.5328205808248243</v>
      </c>
      <c r="AC333" s="165">
        <f ca="1">IF(Z333="","",INDEX(OFFSET(Arb!$X$2,,,Arb!$AJ$5,),Z333)/AA333)</f>
        <v>2.9439066436812094</v>
      </c>
      <c r="AD333" s="165">
        <f ca="1">IF(Z333="","",(INDEX(OFFSET(Arb!$U$2,,,Arb!$AJ$5,),Z333)+INDEX(OFFSET(Arb!$V$2,,,Arb!$AJ$5,),Z333))/AA333)</f>
        <v>3.3019493435883835</v>
      </c>
      <c r="AE333" s="51">
        <f t="shared" ca="1" si="108"/>
        <v>53.443442287612712</v>
      </c>
      <c r="AF333" s="91">
        <f ca="1">IF(Z333="","",DATE(INDEX(OFFSET(Arb!$C$2,,,Arb!$AJ$5,),Z333),INDEX(OFFSET(Arb!$B$2,,,Arb!$AJ$5,),Z333),INDEX(OFFSET(Arb!$A$2,,,Arb!$AJ$5,),Z333))+ROW()*0.001)</f>
        <v>44061.332999999999</v>
      </c>
      <c r="AG333" s="442">
        <v>191</v>
      </c>
      <c r="AH333" s="1">
        <v>3065</v>
      </c>
      <c r="AI333" s="52">
        <f ca="1">IF(AH333="","",INDEX(OFFSET(Arb!$H$2,,,Arb!$AJ$5,),AH333))</f>
        <v>75.47</v>
      </c>
      <c r="AJ333" s="3">
        <f t="shared" ca="1" si="99"/>
        <v>2.5308069431562212</v>
      </c>
      <c r="AK333" s="165">
        <f ca="1">IF(AH333="","",INDEX(OFFSET(Arb!$X$2,,,Arb!$AJ$5,),AH333)/AI333)</f>
        <v>2.875314694580628</v>
      </c>
      <c r="AL333" s="165">
        <f ca="1">IF(AH333="","",(INDEX(OFFSET(Arb!$U$2,,,Arb!$AJ$5,),AH333)+INDEX(OFFSET(Arb!$V$2,,,Arb!$AJ$5,),AH333))/AI333)</f>
        <v>3.1535709553464955</v>
      </c>
      <c r="AM333" s="51">
        <f t="shared" ca="1" si="109"/>
        <v>53.371231950345845</v>
      </c>
      <c r="AN333" s="88">
        <f ca="1">IF(AH333="","",DATE(INDEX(OFFSET(Arb!$C$2,,,Arb!$AJ$5,),AH333),INDEX(OFFSET(Arb!$B$2,,,Arb!$AJ$5,),AH333),INDEX(OFFSET(Arb!$A$2,,,Arb!$AJ$5,),AH333))+ROW()*0.001)</f>
        <v>43993.332999999999</v>
      </c>
      <c r="AO333" s="436">
        <v>191</v>
      </c>
      <c r="AP333" s="1">
        <v>3193</v>
      </c>
      <c r="AQ333" s="52">
        <f ca="1">IF(AP333="","",INDEX(OFFSET(Arb!$H$2,,,Arb!$AJ$5,),AP333))</f>
        <v>76.040000000000006</v>
      </c>
      <c r="AR333" s="3">
        <f t="shared" ca="1" si="100"/>
        <v>2.5118358758548132</v>
      </c>
      <c r="AS333" s="165">
        <f ca="1">IF(AP333="","",INDEX(OFFSET(Arb!$X$2,,,Arb!$AJ$5,),AP333)/AQ333)</f>
        <v>2.9852709100473431</v>
      </c>
      <c r="AT333" s="165">
        <f ca="1">IF(AP333="","",(INDEX(OFFSET(Arb!$U$2,,,Arb!$AJ$5,),AP333)+INDEX(OFFSET(Arb!$V$2,,,Arb!$AJ$5,),AP333))/AQ333)</f>
        <v>3.2219884271436086</v>
      </c>
      <c r="AU333" s="51">
        <f t="shared" ca="1" si="110"/>
        <v>52.692892434113389</v>
      </c>
      <c r="AV333" s="91">
        <f ca="1">IF(AP333="","",DATE(INDEX(OFFSET(Arb!$C$2,,,Arb!$AJ$5,),AP333),INDEX(OFFSET(Arb!$B$2,,,Arb!$AJ$5,),AP333),INDEX(OFFSET(Arb!$A$2,,,Arb!$AJ$5,),AP333))+ROW()*0.001)</f>
        <v>44057.332999999999</v>
      </c>
      <c r="AW333" s="442">
        <v>191</v>
      </c>
      <c r="AX333" s="1">
        <v>2841</v>
      </c>
      <c r="AY333" s="52">
        <f ca="1">IF(AX333="","",INDEX(OFFSET(Arb!$H$2,,,Arb!$AJ$5,),AX333))</f>
        <v>79.040000000000006</v>
      </c>
      <c r="AZ333" s="3">
        <f t="shared" ca="1" si="101"/>
        <v>2.4164979757085017</v>
      </c>
      <c r="BA333" s="165">
        <f ca="1">IF(AX333="","",INDEX(OFFSET(Arb!$X$2,,,Arb!$AJ$5,),AX333)/AY333)</f>
        <v>2.8466599190283399</v>
      </c>
      <c r="BB333" s="165">
        <f ca="1">IF(AX333="","",(INDEX(OFFSET(Arb!$U$2,,,Arb!$AJ$5,),AX333)+INDEX(OFFSET(Arb!$V$2,,,Arb!$AJ$5,),AX333))/AY333)</f>
        <v>3.0996963562753033</v>
      </c>
      <c r="BC333" s="51">
        <f t="shared" ca="1" si="111"/>
        <v>49.338261093394969</v>
      </c>
      <c r="BD333" s="88">
        <f ca="1">IF(AX333="","",DATE(INDEX(OFFSET(Arb!$C$2,,,Arb!$AJ$5,),AX333),INDEX(OFFSET(Arb!$B$2,,,Arb!$AJ$5,),AX333),INDEX(OFFSET(Arb!$A$2,,,Arb!$AJ$5,),AX333))+ROW()*0.001)</f>
        <v>43903.332999999999</v>
      </c>
      <c r="BE333" s="436">
        <v>191</v>
      </c>
      <c r="BF333" s="1">
        <v>2831</v>
      </c>
      <c r="BG333" s="52">
        <f ca="1">IF(BF333="","",INDEX(OFFSET(Arb!$H$2,,,Arb!$AJ$5,),BF333))</f>
        <v>79.28</v>
      </c>
      <c r="BH333" s="3">
        <f t="shared" ca="1" si="102"/>
        <v>2.4091826437941473</v>
      </c>
      <c r="BI333" s="165">
        <f ca="1">IF(BF333="","",INDEX(OFFSET(Arb!$X$2,,,Arb!$AJ$5,),BF333)/BG333)</f>
        <v>2.9767911200807267</v>
      </c>
      <c r="BJ333" s="165">
        <f ca="1">IF(BF333="","",(INDEX(OFFSET(Arb!$U$2,,,Arb!$AJ$5,),BF333)+INDEX(OFFSET(Arb!$V$2,,,Arb!$AJ$5,),BF333))/BG333)</f>
        <v>3.4939455095862764</v>
      </c>
      <c r="BK333" s="51">
        <f t="shared" ca="1" si="112"/>
        <v>49.084619877504039</v>
      </c>
      <c r="BL333" s="91">
        <f ca="1">IF(BF333="","",DATE(INDEX(OFFSET(Arb!$C$2,,,Arb!$AJ$5,),BF333),INDEX(OFFSET(Arb!$B$2,,,Arb!$AJ$5,),BF333),INDEX(OFFSET(Arb!$A$2,,,Arb!$AJ$5,),BF333))+ROW()*0.001)</f>
        <v>43902.332999999999</v>
      </c>
      <c r="BM333" s="442">
        <v>191</v>
      </c>
      <c r="BN333" s="1">
        <v>2999</v>
      </c>
      <c r="BO333" s="52">
        <f ca="1">IF(BN333="","",INDEX(OFFSET(Arb!$H$2,,,Arb!$AJ$5,),BN333))</f>
        <v>80.14</v>
      </c>
      <c r="BP333" s="3">
        <f t="shared" ca="1" si="103"/>
        <v>2.3833291739455951</v>
      </c>
      <c r="BQ333" s="165">
        <f ca="1">IF(BN333="","",INDEX(OFFSET(Arb!$X$2,,,Arb!$AJ$5,),BN333)/BO333)</f>
        <v>2.7826303968055903</v>
      </c>
      <c r="BR333" s="165">
        <f ca="1">IF(BN333="","",(INDEX(OFFSET(Arb!$U$2,,,Arb!$AJ$5,),BN333)+INDEX(OFFSET(Arb!$V$2,,,Arb!$AJ$5,),BN333))/BO333)</f>
        <v>3.0696281507362118</v>
      </c>
      <c r="BS333" s="51">
        <f t="shared" ca="1" si="113"/>
        <v>48.192532377661962</v>
      </c>
      <c r="BT333" s="88">
        <f ca="1">IF(BN333="","",DATE(INDEX(OFFSET(Arb!$C$2,,,Arb!$AJ$5,),BN333),INDEX(OFFSET(Arb!$B$2,,,Arb!$AJ$5,),BN333),INDEX(OFFSET(Arb!$A$2,,,Arb!$AJ$5,),BN333))+ROW()*0.001)</f>
        <v>43957.332999999999</v>
      </c>
      <c r="BU333" s="436">
        <v>191</v>
      </c>
      <c r="BV333" s="1">
        <v>3360</v>
      </c>
      <c r="BW333" s="52">
        <f ca="1">IF(BV333="","",INDEX(OFFSET(Arb!$H$2,,,Arb!$AJ$5,),BV333))</f>
        <v>81.069999999999993</v>
      </c>
      <c r="BX333" s="3">
        <f t="shared" ca="1" si="104"/>
        <v>2.3559886517824107</v>
      </c>
      <c r="BY333" s="165">
        <f ca="1">IF(BV333="","",INDEX(OFFSET(Arb!$X$2,,,Arb!$AJ$5,),BV333)/BW333)</f>
        <v>2.4670038238559271</v>
      </c>
      <c r="BZ333" s="165">
        <f ca="1">IF(BV333="","",(INDEX(OFFSET(Arb!$U$2,,,Arb!$AJ$5,),BV333)+INDEX(OFFSET(Arb!$V$2,,,Arb!$AJ$5,),BV333))/BW333)</f>
        <v>3.3304551622055016</v>
      </c>
      <c r="CA333" s="51">
        <f t="shared" ca="1" si="114"/>
        <v>47.256475571606231</v>
      </c>
      <c r="CB333" s="91">
        <f ca="1">IF(BV333="","",DATE(INDEX(OFFSET(Arb!$C$2,,,Arb!$AJ$5,),BV333),INDEX(OFFSET(Arb!$B$2,,,Arb!$AJ$5,),BV333),INDEX(OFFSET(Arb!$A$2,,,Arb!$AJ$5,),BV333))+ROW()*0.001)</f>
        <v>44100.332999999999</v>
      </c>
    </row>
    <row r="334" spans="1:80" x14ac:dyDescent="0.25">
      <c r="A334" s="433">
        <v>192</v>
      </c>
      <c r="B334" s="1">
        <v>2990</v>
      </c>
      <c r="C334" s="52">
        <f ca="1">IF(B334="","",INDEX(OFFSET(Arb!$H$2,,,Arb!$AJ$5,),B334))</f>
        <v>77.069999999999993</v>
      </c>
      <c r="D334" s="3">
        <f t="shared" ca="1" si="95"/>
        <v>2.4912417282989492</v>
      </c>
      <c r="E334" s="165">
        <f ca="1">IF(B334="","",INDEX(OFFSET(Arb!$X$2,,,Arb!$AJ$5,),B334)/C334)</f>
        <v>3.0362008563643443</v>
      </c>
      <c r="F334" s="165">
        <f ca="1">IF(B334="","",(INDEX(OFFSET(Arb!$U$2,,,Arb!$AJ$5,),B334)+INDEX(OFFSET(Arb!$V$2,,,Arb!$AJ$5,),B334))/C334)</f>
        <v>3.3995069417412744</v>
      </c>
      <c r="G334" s="51">
        <f t="shared" ca="1" si="105"/>
        <v>51.770978535127348</v>
      </c>
      <c r="H334" s="355">
        <f ca="1">IF(B334="","",DATE(INDEX(OFFSET(Arb!$C$2,,,Arb!$AJ$5,),B334),INDEX(OFFSET(Arb!$B$2,,,Arb!$AJ$5,),B334),INDEX(OFFSET(Arb!$A$2,,,Arb!$AJ$5,),B334))+ROW()*0.001)</f>
        <v>43956.334000000003</v>
      </c>
      <c r="I334" s="436">
        <v>192</v>
      </c>
      <c r="J334" s="1">
        <v>3101</v>
      </c>
      <c r="K334" s="52">
        <f ca="1">IF(J334="","",INDEX(OFFSET(Arb!$H$2,,,Arb!$AJ$5,),J334))</f>
        <v>77.28</v>
      </c>
      <c r="L334" s="3">
        <f t="shared" ca="1" si="96"/>
        <v>2.4844720496894408</v>
      </c>
      <c r="M334" s="165">
        <f ca="1">IF(J334="","",INDEX(OFFSET(Arb!$X$2,,,Arb!$AJ$5,),J334)/K334)</f>
        <v>2.9114906832298137</v>
      </c>
      <c r="N334" s="165">
        <f ca="1">IF(J334="","",(INDEX(OFFSET(Arb!$U$2,,,Arb!$AJ$5,),J334)+INDEX(OFFSET(Arb!$V$2,,,Arb!$AJ$5,),J334))/K334)</f>
        <v>3.2996894409937889</v>
      </c>
      <c r="O334" s="51">
        <f t="shared" ca="1" si="106"/>
        <v>51.532046646677912</v>
      </c>
      <c r="P334" s="91">
        <f ca="1">IF(J334="","",DATE(INDEX(OFFSET(Arb!$C$2,,,Arb!$AJ$5,),J334),INDEX(OFFSET(Arb!$B$2,,,Arb!$AJ$5,),J334),INDEX(OFFSET(Arb!$A$2,,,Arb!$AJ$5,),J334))+ROW()*0.001)</f>
        <v>44005.334000000003</v>
      </c>
      <c r="Q334" s="442">
        <v>192</v>
      </c>
      <c r="R334" s="1">
        <v>3424</v>
      </c>
      <c r="S334" s="52">
        <f ca="1">IF(R334="","",INDEX(OFFSET(Arb!$H$2,,,Arb!$AJ$5,),R334))</f>
        <v>79.23</v>
      </c>
      <c r="T334" s="3">
        <f t="shared" ca="1" si="97"/>
        <v>2.4233244982961</v>
      </c>
      <c r="U334" s="165">
        <f ca="1">IF(R334="","",INDEX(OFFSET(Arb!$X$2,,,Arb!$AJ$5,),R334)/S334)</f>
        <v>2.663132651773318</v>
      </c>
      <c r="V334" s="165">
        <f ca="1">IF(R334="","",(INDEX(OFFSET(Arb!$U$2,,,Arb!$AJ$5,),R334)+INDEX(OFFSET(Arb!$V$2,,,Arb!$AJ$5,),R334))/S334)</f>
        <v>3.0165341411081661</v>
      </c>
      <c r="W334" s="51">
        <f t="shared" ca="1" si="107"/>
        <v>49.394554064289039</v>
      </c>
      <c r="X334" s="88">
        <f ca="1">IF(R334="","",DATE(INDEX(OFFSET(Arb!$C$2,,,Arb!$AJ$5,),R334),INDEX(OFFSET(Arb!$B$2,,,Arb!$AJ$5,),R334),INDEX(OFFSET(Arb!$A$2,,,Arb!$AJ$5,),R334))+ROW()*0.001)</f>
        <v>44149.334000000003</v>
      </c>
      <c r="Y334" s="436">
        <v>192</v>
      </c>
      <c r="Z334" s="1">
        <v>2605</v>
      </c>
      <c r="AA334" s="52">
        <f ca="1">IF(Z334="","",INDEX(OFFSET(Arb!$H$2,,,Arb!$AJ$5,),Z334))</f>
        <v>80.39</v>
      </c>
      <c r="AB334" s="3">
        <f t="shared" ca="1" si="98"/>
        <v>2.3883567607911433</v>
      </c>
      <c r="AC334" s="165">
        <f ca="1">IF(Z334="","",INDEX(OFFSET(Arb!$X$2,,,Arb!$AJ$5,),Z334)/AA334)</f>
        <v>2.7864162209230003</v>
      </c>
      <c r="AD334" s="165">
        <f ca="1">IF(Z334="","",(INDEX(OFFSET(Arb!$U$2,,,Arb!$AJ$5,),Z334)+INDEX(OFFSET(Arb!$V$2,,,Arb!$AJ$5,),Z334))/AA334)</f>
        <v>3.060082099763652</v>
      </c>
      <c r="AE334" s="51">
        <f t="shared" ca="1" si="108"/>
        <v>48.189013451618194</v>
      </c>
      <c r="AF334" s="91">
        <f ca="1">IF(Z334="","",DATE(INDEX(OFFSET(Arb!$C$2,,,Arb!$AJ$5,),Z334),INDEX(OFFSET(Arb!$B$2,,,Arb!$AJ$5,),Z334),INDEX(OFFSET(Arb!$A$2,,,Arb!$AJ$5,),Z334))+ROW()*0.001)</f>
        <v>43809.334000000003</v>
      </c>
      <c r="AG334" s="442">
        <v>192</v>
      </c>
      <c r="AH334" s="1">
        <v>3168</v>
      </c>
      <c r="AI334" s="52">
        <f ca="1">IF(AH334="","",INDEX(OFFSET(Arb!$H$2,,,Arb!$AJ$5,),AH334))</f>
        <v>80.8</v>
      </c>
      <c r="AJ334" s="3">
        <f t="shared" ca="1" si="99"/>
        <v>2.3762376237623761</v>
      </c>
      <c r="AK334" s="165">
        <f ca="1">IF(AH334="","",INDEX(OFFSET(Arb!$X$2,,,Arb!$AJ$5,),AH334)/AI334)</f>
        <v>2.7475247524752477</v>
      </c>
      <c r="AL334" s="165">
        <f ca="1">IF(AH334="","",(INDEX(OFFSET(Arb!$U$2,,,Arb!$AJ$5,),AH334)+INDEX(OFFSET(Arb!$V$2,,,Arb!$AJ$5,),AH334))/AI334)</f>
        <v>3.081683168316832</v>
      </c>
      <c r="AM334" s="51">
        <f t="shared" ca="1" si="109"/>
        <v>47.774062207074465</v>
      </c>
      <c r="AN334" s="88">
        <f ca="1">IF(AH334="","",DATE(INDEX(OFFSET(Arb!$C$2,,,Arb!$AJ$5,),AH334),INDEX(OFFSET(Arb!$B$2,,,Arb!$AJ$5,),AH334),INDEX(OFFSET(Arb!$A$2,,,Arb!$AJ$5,),AH334))+ROW()*0.001)</f>
        <v>44032.334000000003</v>
      </c>
      <c r="AO334" s="436">
        <v>192</v>
      </c>
      <c r="AP334" s="1">
        <v>2594</v>
      </c>
      <c r="AQ334" s="52">
        <f ca="1">IF(AP334="","",INDEX(OFFSET(Arb!$H$2,,,Arb!$AJ$5,),AP334))</f>
        <v>82.2</v>
      </c>
      <c r="AR334" s="3">
        <f t="shared" ca="1" si="100"/>
        <v>2.335766423357664</v>
      </c>
      <c r="AS334" s="165">
        <f ca="1">IF(AP334="","",INDEX(OFFSET(Arb!$X$2,,,Arb!$AJ$5,),AP334)/AQ334)</f>
        <v>2.8710462287104623</v>
      </c>
      <c r="AT334" s="165">
        <f ca="1">IF(AP334="","",(INDEX(OFFSET(Arb!$U$2,,,Arb!$AJ$5,),AP334)+INDEX(OFFSET(Arb!$V$2,,,Arb!$AJ$5,),AP334))/AQ334)</f>
        <v>3.2116788321167884</v>
      </c>
      <c r="AU334" s="51">
        <f t="shared" ca="1" si="110"/>
        <v>46.399082645180812</v>
      </c>
      <c r="AV334" s="91">
        <f ca="1">IF(AP334="","",DATE(INDEX(OFFSET(Arb!$C$2,,,Arb!$AJ$5,),AP334),INDEX(OFFSET(Arb!$B$2,,,Arb!$AJ$5,),AP334),INDEX(OFFSET(Arb!$A$2,,,Arb!$AJ$5,),AP334))+ROW()*0.001)</f>
        <v>43807.334000000003</v>
      </c>
      <c r="AW334" s="442">
        <v>192</v>
      </c>
      <c r="AX334" s="1">
        <v>2892</v>
      </c>
      <c r="AY334" s="52">
        <f ca="1">IF(AX334="","",INDEX(OFFSET(Arb!$H$2,,,Arb!$AJ$5,),AX334))</f>
        <v>83</v>
      </c>
      <c r="AZ334" s="3">
        <f t="shared" ca="1" si="101"/>
        <v>2.3132530120481927</v>
      </c>
      <c r="BA334" s="165">
        <f ca="1">IF(AX334="","",INDEX(OFFSET(Arb!$X$2,,,Arb!$AJ$5,),AX334)/AY334)</f>
        <v>2.7831325301204819</v>
      </c>
      <c r="BB334" s="165">
        <f ca="1">IF(AX334="","",(INDEX(OFFSET(Arb!$U$2,,,Arb!$AJ$5,),AX334)+INDEX(OFFSET(Arb!$V$2,,,Arb!$AJ$5,),AX334))/AY334)</f>
        <v>3.0843373493975905</v>
      </c>
      <c r="BC334" s="51">
        <f t="shared" ca="1" si="111"/>
        <v>45.641375779947658</v>
      </c>
      <c r="BD334" s="88">
        <f ca="1">IF(AX334="","",DATE(INDEX(OFFSET(Arb!$C$2,,,Arb!$AJ$5,),AX334),INDEX(OFFSET(Arb!$B$2,,,Arb!$AJ$5,),AX334),INDEX(OFFSET(Arb!$A$2,,,Arb!$AJ$5,),AX334))+ROW()*0.001)</f>
        <v>43921.334000000003</v>
      </c>
      <c r="BE334" s="436">
        <v>192</v>
      </c>
      <c r="BF334" s="1">
        <v>2569</v>
      </c>
      <c r="BG334" s="52">
        <f ca="1">IF(BF334="","",INDEX(OFFSET(Arb!$H$2,,,Arb!$AJ$5,),BF334))</f>
        <v>97.74</v>
      </c>
      <c r="BH334" s="3">
        <f t="shared" ca="1" si="102"/>
        <v>1.9643953345610805</v>
      </c>
      <c r="BI334" s="165">
        <f ca="1">IF(BF334="","",INDEX(OFFSET(Arb!$X$2,,,Arb!$AJ$5,),BF334)/BG334)</f>
        <v>2.4248004910988339</v>
      </c>
      <c r="BJ334" s="165">
        <f ca="1">IF(BF334="","",(INDEX(OFFSET(Arb!$U$2,,,Arb!$AJ$5,),BF334)+INDEX(OFFSET(Arb!$V$2,,,Arb!$AJ$5,),BF334))/BG334)</f>
        <v>2.6703499079189688</v>
      </c>
      <c r="BK334" s="51">
        <f t="shared" ca="1" si="112"/>
        <v>34.567543263062838</v>
      </c>
      <c r="BL334" s="91">
        <f ca="1">IF(BF334="","",DATE(INDEX(OFFSET(Arb!$C$2,,,Arb!$AJ$5,),BF334),INDEX(OFFSET(Arb!$B$2,,,Arb!$AJ$5,),BF334),INDEX(OFFSET(Arb!$A$2,,,Arb!$AJ$5,),BF334))+ROW()*0.001)</f>
        <v>43799.334000000003</v>
      </c>
      <c r="BM334" s="442">
        <v>192</v>
      </c>
      <c r="BO334" s="52" t="str">
        <f ca="1">IF(BN334="","",INDEX(OFFSET(Arb!$H$2,,,Arb!$AJ$5,),BN334))</f>
        <v/>
      </c>
      <c r="BP334" s="3" t="str">
        <f t="shared" ca="1" si="103"/>
        <v/>
      </c>
      <c r="BQ334" s="165" t="str">
        <f ca="1">IF(BN334="","",INDEX(OFFSET(Arb!$X$2,,,Arb!$AJ$5,),BN334)/BO334)</f>
        <v/>
      </c>
      <c r="BR334" s="165" t="str">
        <f ca="1">IF(BN334="","",(INDEX(OFFSET(Arb!$U$2,,,Arb!$AJ$5,),BN334)+INDEX(OFFSET(Arb!$V$2,,,Arb!$AJ$5,),BN334))/BO334)</f>
        <v/>
      </c>
      <c r="BS334" s="51" t="str">
        <f t="shared" ca="1" si="113"/>
        <v/>
      </c>
      <c r="BT334" s="88" t="str">
        <f ca="1">IF(BN334="","",DATE(INDEX(OFFSET(Arb!$C$2,,,Arb!$AJ$5,),BN334),INDEX(OFFSET(Arb!$B$2,,,Arb!$AJ$5,),BN334),INDEX(OFFSET(Arb!$A$2,,,Arb!$AJ$5,),BN334))+ROW()*0.001)</f>
        <v/>
      </c>
      <c r="BU334" s="436">
        <v>192</v>
      </c>
      <c r="BW334" s="52" t="str">
        <f ca="1">IF(BV334="","",INDEX(OFFSET(Arb!$H$2,,,Arb!$AJ$5,),BV334))</f>
        <v/>
      </c>
      <c r="BX334" s="3" t="str">
        <f t="shared" ca="1" si="104"/>
        <v/>
      </c>
      <c r="BY334" s="165" t="str">
        <f ca="1">IF(BV334="","",INDEX(OFFSET(Arb!$X$2,,,Arb!$AJ$5,),BV334)/BW334)</f>
        <v/>
      </c>
      <c r="BZ334" s="165" t="str">
        <f ca="1">IF(BV334="","",(INDEX(OFFSET(Arb!$U$2,,,Arb!$AJ$5,),BV334)+INDEX(OFFSET(Arb!$V$2,,,Arb!$AJ$5,),BV334))/BW334)</f>
        <v/>
      </c>
      <c r="CA334" s="51" t="str">
        <f t="shared" ca="1" si="114"/>
        <v/>
      </c>
      <c r="CB334" s="91" t="str">
        <f ca="1">IF(BV334="","",DATE(INDEX(OFFSET(Arb!$C$2,,,Arb!$AJ$5,),BV334),INDEX(OFFSET(Arb!$B$2,,,Arb!$AJ$5,),BV334),INDEX(OFFSET(Arb!$A$2,,,Arb!$AJ$5,),BV334))+ROW()*0.001)</f>
        <v/>
      </c>
    </row>
    <row r="335" spans="1:80" x14ac:dyDescent="0.25">
      <c r="A335" s="433">
        <v>193</v>
      </c>
      <c r="B335" s="1">
        <v>2549</v>
      </c>
      <c r="C335" s="52">
        <f ca="1">IF(B335="","",INDEX(OFFSET(Arb!$H$2,,,Arb!$AJ$5,),B335))</f>
        <v>75.17</v>
      </c>
      <c r="D335" s="3">
        <f t="shared" ca="1" si="95"/>
        <v>2.5675136357589463</v>
      </c>
      <c r="E335" s="165">
        <f ca="1">IF(B335="","",INDEX(OFFSET(Arb!$X$2,,,Arb!$AJ$5,),B335)/C335)</f>
        <v>2.9666090195556736</v>
      </c>
      <c r="F335" s="165">
        <f ca="1">IF(B335="","",(INDEX(OFFSET(Arb!$U$2,,,Arb!$AJ$5,),B335)+INDEX(OFFSET(Arb!$V$2,,,Arb!$AJ$5,),B335))/C335)</f>
        <v>3.3124916855128377</v>
      </c>
      <c r="G335" s="51">
        <f t="shared" ca="1" si="105"/>
        <v>54.29649917898314</v>
      </c>
      <c r="H335" s="355">
        <f ca="1">IF(B335="","",DATE(INDEX(OFFSET(Arb!$C$2,,,Arb!$AJ$5,),B335),INDEX(OFFSET(Arb!$B$2,,,Arb!$AJ$5,),B335),INDEX(OFFSET(Arb!$A$2,,,Arb!$AJ$5,),B335))+ROW()*0.001)</f>
        <v>43797.334999999999</v>
      </c>
      <c r="I335" s="436">
        <v>193</v>
      </c>
      <c r="J335" s="1">
        <v>3437</v>
      </c>
      <c r="K335" s="52">
        <f ca="1">IF(J335="","",INDEX(OFFSET(Arb!$H$2,,,Arb!$AJ$5,),J335))</f>
        <v>75.45</v>
      </c>
      <c r="L335" s="3">
        <f t="shared" ca="1" si="96"/>
        <v>2.5579854208084822</v>
      </c>
      <c r="M335" s="165">
        <f ca="1">IF(J335="","",INDEX(OFFSET(Arb!$X$2,,,Arb!$AJ$5,),J335)/K335)</f>
        <v>2.7037773359840953</v>
      </c>
      <c r="N335" s="165">
        <f ca="1">IF(J335="","",(INDEX(OFFSET(Arb!$U$2,,,Arb!$AJ$5,),J335)+INDEX(OFFSET(Arb!$V$2,,,Arb!$AJ$5,),J335))/K335)</f>
        <v>3.0881378396288932</v>
      </c>
      <c r="O335" s="51">
        <f t="shared" ca="1" si="106"/>
        <v>53.954397766405052</v>
      </c>
      <c r="P335" s="91">
        <f ca="1">IF(J335="","",DATE(INDEX(OFFSET(Arb!$C$2,,,Arb!$AJ$5,),J335),INDEX(OFFSET(Arb!$B$2,,,Arb!$AJ$5,),J335),INDEX(OFFSET(Arb!$A$2,,,Arb!$AJ$5,),J335))+ROW()*0.001)</f>
        <v>44167.334999999999</v>
      </c>
      <c r="Q335" s="442">
        <v>193</v>
      </c>
      <c r="R335" s="1">
        <v>2938</v>
      </c>
      <c r="S335" s="52">
        <f ca="1">IF(R335="","",INDEX(OFFSET(Arb!$H$2,,,Arb!$AJ$5,),R335))</f>
        <v>76.510000000000005</v>
      </c>
      <c r="T335" s="3">
        <f t="shared" ca="1" si="97"/>
        <v>2.5225460724088351</v>
      </c>
      <c r="U335" s="165">
        <f ca="1">IF(R335="","",INDEX(OFFSET(Arb!$X$2,,,Arb!$AJ$5,),R335)/S335)</f>
        <v>2.9800026140373803</v>
      </c>
      <c r="V335" s="165">
        <f ca="1">IF(R335="","",(INDEX(OFFSET(Arb!$U$2,,,Arb!$AJ$5,),R335)+INDEX(OFFSET(Arb!$V$2,,,Arb!$AJ$5,),R335))/S335)</f>
        <v>3.2544765390145076</v>
      </c>
      <c r="W335" s="51">
        <f t="shared" ca="1" si="107"/>
        <v>52.68980860423428</v>
      </c>
      <c r="X335" s="88">
        <f ca="1">IF(R335="","",DATE(INDEX(OFFSET(Arb!$C$2,,,Arb!$AJ$5,),R335),INDEX(OFFSET(Arb!$B$2,,,Arb!$AJ$5,),R335),INDEX(OFFSET(Arb!$A$2,,,Arb!$AJ$5,),R335))+ROW()*0.001)</f>
        <v>43940.334999999999</v>
      </c>
      <c r="Y335" s="436">
        <v>193</v>
      </c>
      <c r="Z335" s="1">
        <v>3144</v>
      </c>
      <c r="AA335" s="52">
        <f ca="1">IF(Z335="","",INDEX(OFFSET(Arb!$H$2,,,Arb!$AJ$5,),Z335))</f>
        <v>78.03</v>
      </c>
      <c r="AB335" s="3">
        <f t="shared" ca="1" si="98"/>
        <v>2.4734076637190823</v>
      </c>
      <c r="AC335" s="165">
        <f ca="1">IF(Z335="","",INDEX(OFFSET(Arb!$X$2,,,Arb!$AJ$5,),Z335)/AA335)</f>
        <v>2.8706907599641163</v>
      </c>
      <c r="AD335" s="165">
        <f ca="1">IF(Z335="","",(INDEX(OFFSET(Arb!$U$2,,,Arb!$AJ$5,),Z335)+INDEX(OFFSET(Arb!$V$2,,,Arb!$AJ$5,),Z335))/AA335)</f>
        <v>3.1782647699602715</v>
      </c>
      <c r="AE335" s="51">
        <f t="shared" ca="1" si="108"/>
        <v>50.956880413920032</v>
      </c>
      <c r="AF335" s="91">
        <f ca="1">IF(Z335="","",DATE(INDEX(OFFSET(Arb!$C$2,,,Arb!$AJ$5,),Z335),INDEX(OFFSET(Arb!$B$2,,,Arb!$AJ$5,),Z335),INDEX(OFFSET(Arb!$A$2,,,Arb!$AJ$5,),Z335))+ROW()*0.001)</f>
        <v>44024.334999999999</v>
      </c>
      <c r="AG335" s="442">
        <v>193</v>
      </c>
      <c r="AH335" s="1">
        <v>3102</v>
      </c>
      <c r="AI335" s="52">
        <f ca="1">IF(AH335="","",INDEX(OFFSET(Arb!$H$2,,,Arb!$AJ$5,),AH335))</f>
        <v>78.48</v>
      </c>
      <c r="AJ335" s="3">
        <f t="shared" ca="1" si="99"/>
        <v>2.4592252803261978</v>
      </c>
      <c r="AK335" s="165">
        <f ca="1">IF(AH335="","",INDEX(OFFSET(Arb!$X$2,,,Arb!$AJ$5,),AH335)/AI335)</f>
        <v>2.9306829765545359</v>
      </c>
      <c r="AL335" s="165">
        <f ca="1">IF(AH335="","",(INDEX(OFFSET(Arb!$U$2,,,Arb!$AJ$5,),AH335)+INDEX(OFFSET(Arb!$V$2,,,Arb!$AJ$5,),AH335))/AI335)</f>
        <v>3.2874617737003056</v>
      </c>
      <c r="AM335" s="51">
        <f t="shared" ca="1" si="109"/>
        <v>50.461165119284516</v>
      </c>
      <c r="AN335" s="88">
        <f ca="1">IF(AH335="","",DATE(INDEX(OFFSET(Arb!$C$2,,,Arb!$AJ$5,),AH335),INDEX(OFFSET(Arb!$B$2,,,Arb!$AJ$5,),AH335),INDEX(OFFSET(Arb!$A$2,,,Arb!$AJ$5,),AH335))+ROW()*0.001)</f>
        <v>44005.334999999999</v>
      </c>
      <c r="AO335" s="436">
        <v>193</v>
      </c>
      <c r="AP335" s="1">
        <v>3035</v>
      </c>
      <c r="AQ335" s="52">
        <f ca="1">IF(AP335="","",INDEX(OFFSET(Arb!$H$2,,,Arb!$AJ$5,),AP335))</f>
        <v>79.55</v>
      </c>
      <c r="AR335" s="3">
        <f t="shared" ca="1" si="100"/>
        <v>2.4261470773098681</v>
      </c>
      <c r="AS335" s="165">
        <f ca="1">IF(AP335="","",INDEX(OFFSET(Arb!$X$2,,,Arb!$AJ$5,),AP335)/AQ335)</f>
        <v>2.7027027027027026</v>
      </c>
      <c r="AT335" s="165">
        <f ca="1">IF(AP335="","",(INDEX(OFFSET(Arb!$U$2,,,Arb!$AJ$5,),AP335)+INDEX(OFFSET(Arb!$V$2,,,Arb!$AJ$5,),AP335))/AQ335)</f>
        <v>2.9792583280955376</v>
      </c>
      <c r="AU335" s="51">
        <f t="shared" ca="1" si="110"/>
        <v>49.312753324040244</v>
      </c>
      <c r="AV335" s="91">
        <f ca="1">IF(AP335="","",DATE(INDEX(OFFSET(Arb!$C$2,,,Arb!$AJ$5,),AP335),INDEX(OFFSET(Arb!$B$2,,,Arb!$AJ$5,),AP335),INDEX(OFFSET(Arb!$A$2,,,Arb!$AJ$5,),AP335))+ROW()*0.001)</f>
        <v>43979.334999999999</v>
      </c>
      <c r="AW335" s="442">
        <v>193</v>
      </c>
      <c r="AX335" s="1">
        <v>3444</v>
      </c>
      <c r="AY335" s="52">
        <f ca="1">IF(AX335="","",INDEX(OFFSET(Arb!$H$2,,,Arb!$AJ$5,),AX335))</f>
        <v>80.92</v>
      </c>
      <c r="AZ335" s="3">
        <f t="shared" ca="1" si="101"/>
        <v>2.3850716757291153</v>
      </c>
      <c r="BA335" s="165">
        <f ca="1">IF(AX335="","",INDEX(OFFSET(Arb!$X$2,,,Arb!$AJ$5,),AX335)/AY335)</f>
        <v>2.6816608996539792</v>
      </c>
      <c r="BB335" s="165">
        <f ca="1">IF(AX335="","",(INDEX(OFFSET(Arb!$U$2,,,Arb!$AJ$5,),AX335)+INDEX(OFFSET(Arb!$V$2,,,Arb!$AJ$5,),AX335))/AY335)</f>
        <v>2.9288185862580325</v>
      </c>
      <c r="BC335" s="51">
        <f t="shared" ca="1" si="111"/>
        <v>47.901882196366799</v>
      </c>
      <c r="BD335" s="88">
        <f ca="1">IF(AX335="","",DATE(INDEX(OFFSET(Arb!$C$2,,,Arb!$AJ$5,),AX335),INDEX(OFFSET(Arb!$B$2,,,Arb!$AJ$5,),AX335),INDEX(OFFSET(Arb!$A$2,,,Arb!$AJ$5,),AX335))+ROW()*0.001)</f>
        <v>44177.334999999999</v>
      </c>
      <c r="BE335" s="436">
        <v>193</v>
      </c>
      <c r="BF335" s="1">
        <v>2453</v>
      </c>
      <c r="BG335" s="52">
        <f ca="1">IF(BF335="","",INDEX(OFFSET(Arb!$H$2,,,Arb!$AJ$5,),BF335))</f>
        <v>81.84</v>
      </c>
      <c r="BH335" s="3">
        <f t="shared" ca="1" si="102"/>
        <v>2.3582600195503418</v>
      </c>
      <c r="BI335" s="165">
        <f ca="1">IF(BF335="","",INDEX(OFFSET(Arb!$X$2,,,Arb!$AJ$5,),BF335)/BG335)</f>
        <v>2.6881720430107525</v>
      </c>
      <c r="BJ335" s="165">
        <f ca="1">IF(BF335="","",(INDEX(OFFSET(Arb!$U$2,,,Arb!$AJ$5,),BF335)+INDEX(OFFSET(Arb!$V$2,,,Arb!$AJ$5,),BF335))/BG335)</f>
        <v>2.8714565004887582</v>
      </c>
      <c r="BK335" s="51">
        <f t="shared" ca="1" si="112"/>
        <v>46.990061036903512</v>
      </c>
      <c r="BL335" s="91">
        <f ca="1">IF(BF335="","",DATE(INDEX(OFFSET(Arb!$C$2,,,Arb!$AJ$5,),BF335),INDEX(OFFSET(Arb!$B$2,,,Arb!$AJ$5,),BF335),INDEX(OFFSET(Arb!$A$2,,,Arb!$AJ$5,),BF335))+ROW()*0.001)</f>
        <v>43777.334999999999</v>
      </c>
      <c r="BM335" s="442">
        <v>193</v>
      </c>
      <c r="BN335" s="1">
        <v>3293</v>
      </c>
      <c r="BO335" s="52">
        <f ca="1">IF(BN335="","",INDEX(OFFSET(Arb!$H$2,,,Arb!$AJ$5,),BN335))</f>
        <v>81.88</v>
      </c>
      <c r="BP335" s="3">
        <f t="shared" ca="1" si="103"/>
        <v>2.3571079628724965</v>
      </c>
      <c r="BQ335" s="165">
        <f ca="1">IF(BN335="","",INDEX(OFFSET(Arb!$X$2,,,Arb!$AJ$5,),BN335)/BO335)</f>
        <v>2.7601367855398147</v>
      </c>
      <c r="BR335" s="165">
        <f ca="1">IF(BN335="","",(INDEX(OFFSET(Arb!$U$2,,,Arb!$AJ$5,),BN335)+INDEX(OFFSET(Arb!$V$2,,,Arb!$AJ$5,),BN335))/BO335)</f>
        <v>3.0898876404494384</v>
      </c>
      <c r="BS335" s="51">
        <f t="shared" ca="1" si="113"/>
        <v>46.95104323303029</v>
      </c>
      <c r="BT335" s="88">
        <f ca="1">IF(BN335="","",DATE(INDEX(OFFSET(Arb!$C$2,,,Arb!$AJ$5,),BN335),INDEX(OFFSET(Arb!$B$2,,,Arb!$AJ$5,),BN335),INDEX(OFFSET(Arb!$A$2,,,Arb!$AJ$5,),BN335))+ROW()*0.001)</f>
        <v>44084.334999999999</v>
      </c>
      <c r="BU335" s="436">
        <v>193</v>
      </c>
      <c r="BV335" s="1">
        <v>2802</v>
      </c>
      <c r="BW335" s="52">
        <f ca="1">IF(BV335="","",INDEX(OFFSET(Arb!$H$2,,,Arb!$AJ$5,),BV335))</f>
        <v>84.23</v>
      </c>
      <c r="BX335" s="3">
        <f t="shared" ca="1" si="104"/>
        <v>2.2913451264395106</v>
      </c>
      <c r="BY335" s="165">
        <f ca="1">IF(BV335="","",INDEX(OFFSET(Arb!$X$2,,,Arb!$AJ$5,),BV335)/BW335)</f>
        <v>2.6475127626736317</v>
      </c>
      <c r="BZ335" s="165">
        <f ca="1">IF(BV335="","",(INDEX(OFFSET(Arb!$U$2,,,Arb!$AJ$5,),BV335)+INDEX(OFFSET(Arb!$V$2,,,Arb!$AJ$5,),BV335))/BW335)</f>
        <v>2.9087023625786537</v>
      </c>
      <c r="CA335" s="51">
        <f t="shared" ca="1" si="114"/>
        <v>44.745977834369853</v>
      </c>
      <c r="CB335" s="91">
        <f ca="1">IF(BV335="","",DATE(INDEX(OFFSET(Arb!$C$2,,,Arb!$AJ$5,),BV335),INDEX(OFFSET(Arb!$B$2,,,Arb!$AJ$5,),BV335),INDEX(OFFSET(Arb!$A$2,,,Arb!$AJ$5,),BV335))+ROW()*0.001)</f>
        <v>43896.334999999999</v>
      </c>
    </row>
    <row r="336" spans="1:80" x14ac:dyDescent="0.25">
      <c r="A336" s="433">
        <v>194</v>
      </c>
      <c r="B336" s="1">
        <v>3217</v>
      </c>
      <c r="C336" s="52">
        <f ca="1">IF(B336="","",INDEX(OFFSET(Arb!$H$2,,,Arb!$AJ$5,),B336))</f>
        <v>70.53</v>
      </c>
      <c r="D336" s="3">
        <f t="shared" ca="1" si="95"/>
        <v>2.7506025804622145</v>
      </c>
      <c r="E336" s="165">
        <f ca="1">IF(B336="","",INDEX(OFFSET(Arb!$X$2,,,Arb!$AJ$5,),B336)/C336)</f>
        <v>3.2184885864171275</v>
      </c>
      <c r="F336" s="165">
        <f ca="1">IF(B336="","",(INDEX(OFFSET(Arb!$U$2,,,Arb!$AJ$5,),B336)+INDEX(OFFSET(Arb!$V$2,,,Arb!$AJ$5,),B336))/C336)</f>
        <v>3.5162342265702535</v>
      </c>
      <c r="G336" s="51">
        <f t="shared" ca="1" si="105"/>
        <v>60.821395815346087</v>
      </c>
      <c r="H336" s="355">
        <f ca="1">IF(B336="","",DATE(INDEX(OFFSET(Arb!$C$2,,,Arb!$AJ$5,),B336),INDEX(OFFSET(Arb!$B$2,,,Arb!$AJ$5,),B336),INDEX(OFFSET(Arb!$A$2,,,Arb!$AJ$5,),B336))+ROW()*0.001)</f>
        <v>44059.336000000003</v>
      </c>
      <c r="I336" s="436">
        <v>194</v>
      </c>
      <c r="J336" s="1">
        <v>3264</v>
      </c>
      <c r="K336" s="52">
        <f ca="1">IF(J336="","",INDEX(OFFSET(Arb!$H$2,,,Arb!$AJ$5,),J336))</f>
        <v>76.08</v>
      </c>
      <c r="L336" s="3">
        <f t="shared" ca="1" si="96"/>
        <v>2.5499474237644586</v>
      </c>
      <c r="M336" s="165">
        <f ca="1">IF(J336="","",INDEX(OFFSET(Arb!$X$2,,,Arb!$AJ$5,),J336)/K336)</f>
        <v>3.0231335436382754</v>
      </c>
      <c r="N336" s="165">
        <f ca="1">IF(J336="","",(INDEX(OFFSET(Arb!$U$2,,,Arb!$AJ$5,),J336)+INDEX(OFFSET(Arb!$V$2,,,Arb!$AJ$5,),J336))/K336)</f>
        <v>3.2071503680336488</v>
      </c>
      <c r="O336" s="51">
        <f t="shared" ca="1" si="106"/>
        <v>53.472701855824795</v>
      </c>
      <c r="P336" s="91">
        <f ca="1">IF(J336="","",DATE(INDEX(OFFSET(Arb!$C$2,,,Arb!$AJ$5,),J336),INDEX(OFFSET(Arb!$B$2,,,Arb!$AJ$5,),J336),INDEX(OFFSET(Arb!$A$2,,,Arb!$AJ$5,),J336))+ROW()*0.001)</f>
        <v>44073.336000000003</v>
      </c>
      <c r="Q336" s="442">
        <v>194</v>
      </c>
      <c r="R336" s="1">
        <v>2675</v>
      </c>
      <c r="S336" s="52">
        <f ca="1">IF(R336="","",INDEX(OFFSET(Arb!$H$2,,,Arb!$AJ$5,),R336))</f>
        <v>79.650000000000006</v>
      </c>
      <c r="T336" s="3">
        <f t="shared" ca="1" si="97"/>
        <v>2.4356559949780285</v>
      </c>
      <c r="U336" s="165">
        <f ca="1">IF(R336="","",INDEX(OFFSET(Arb!$X$2,,,Arb!$AJ$5,),R336)/S336)</f>
        <v>2.7997489014438166</v>
      </c>
      <c r="V336" s="165">
        <f ca="1">IF(R336="","",(INDEX(OFFSET(Arb!$U$2,,,Arb!$AJ$5,),R336)+INDEX(OFFSET(Arb!$V$2,,,Arb!$AJ$5,),R336))/S336)</f>
        <v>3.0634023854362837</v>
      </c>
      <c r="W336" s="51">
        <f t="shared" ca="1" si="107"/>
        <v>49.462510905646738</v>
      </c>
      <c r="X336" s="88">
        <f ca="1">IF(R336="","",DATE(INDEX(OFFSET(Arb!$C$2,,,Arb!$AJ$5,),R336),INDEX(OFFSET(Arb!$B$2,,,Arb!$AJ$5,),R336),INDEX(OFFSET(Arb!$A$2,,,Arb!$AJ$5,),R336))+ROW()*0.001)</f>
        <v>43827.336000000003</v>
      </c>
      <c r="Y336" s="436">
        <v>194</v>
      </c>
      <c r="Z336" s="1">
        <v>3417</v>
      </c>
      <c r="AA336" s="52">
        <f ca="1">IF(Z336="","",INDEX(OFFSET(Arb!$H$2,,,Arb!$AJ$5,),Z336))</f>
        <v>81.06</v>
      </c>
      <c r="AB336" s="3">
        <f t="shared" ca="1" si="98"/>
        <v>2.3932889217863309</v>
      </c>
      <c r="AC336" s="165">
        <f ca="1">IF(Z336="","",INDEX(OFFSET(Arb!$X$2,,,Arb!$AJ$5,),Z336)/AA336)</f>
        <v>2.5289908709597828</v>
      </c>
      <c r="AD336" s="165">
        <f ca="1">IF(Z336="","",(INDEX(OFFSET(Arb!$U$2,,,Arb!$AJ$5,),Z336)+INDEX(OFFSET(Arb!$V$2,,,Arb!$AJ$5,),Z336))/AA336)</f>
        <v>2.6893659018011351</v>
      </c>
      <c r="AE336" s="51">
        <f t="shared" ca="1" si="108"/>
        <v>48.008790663342921</v>
      </c>
      <c r="AF336" s="91">
        <f ca="1">IF(Z336="","",DATE(INDEX(OFFSET(Arb!$C$2,,,Arb!$AJ$5,),Z336),INDEX(OFFSET(Arb!$B$2,,,Arb!$AJ$5,),Z336),INDEX(OFFSET(Arb!$A$2,,,Arb!$AJ$5,),Z336))+ROW()*0.001)</f>
        <v>44147.336000000003</v>
      </c>
      <c r="AG336" s="442">
        <v>194</v>
      </c>
      <c r="AH336" s="1">
        <v>3359</v>
      </c>
      <c r="AI336" s="52">
        <f ca="1">IF(AH336="","",INDEX(OFFSET(Arb!$H$2,,,Arb!$AJ$5,),AH336))</f>
        <v>97.27</v>
      </c>
      <c r="AJ336" s="3">
        <f t="shared" ca="1" si="99"/>
        <v>1.9944484424796958</v>
      </c>
      <c r="AK336" s="165">
        <f ca="1">IF(AH336="","",INDEX(OFFSET(Arb!$X$2,,,Arb!$AJ$5,),AH336)/AI336)</f>
        <v>2.3028683047188241</v>
      </c>
      <c r="AL336" s="165">
        <f ca="1">IF(AH336="","",(INDEX(OFFSET(Arb!$U$2,,,Arb!$AJ$5,),AH336)+INDEX(OFFSET(Arb!$V$2,,,Arb!$AJ$5,),AH336))/AI336)</f>
        <v>2.981392001644906</v>
      </c>
      <c r="AM336" s="51">
        <f t="shared" ca="1" si="109"/>
        <v>35.215010990753875</v>
      </c>
      <c r="AN336" s="88">
        <f ca="1">IF(AH336="","",DATE(INDEX(OFFSET(Arb!$C$2,,,Arb!$AJ$5,),AH336),INDEX(OFFSET(Arb!$B$2,,,Arb!$AJ$5,),AH336),INDEX(OFFSET(Arb!$A$2,,,Arb!$AJ$5,),AH336))+ROW()*0.001)</f>
        <v>44100.336000000003</v>
      </c>
      <c r="AO336" s="436">
        <v>194</v>
      </c>
      <c r="AP336" s="1">
        <v>3381</v>
      </c>
      <c r="AQ336" s="52">
        <f ca="1">IF(AP336="","",INDEX(OFFSET(Arb!$H$2,,,Arb!$AJ$5,),AP336))</f>
        <v>112.69</v>
      </c>
      <c r="AR336" s="3">
        <f t="shared" ca="1" si="100"/>
        <v>1.7215369598012247</v>
      </c>
      <c r="AS336" s="165">
        <f ca="1">IF(AP336="","",INDEX(OFFSET(Arb!$X$2,,,Arb!$AJ$5,),AP336)/AQ336)</f>
        <v>1.7570325672198066</v>
      </c>
      <c r="AT336" s="165">
        <f ca="1">IF(AP336="","",(INDEX(OFFSET(Arb!$U$2,,,Arb!$AJ$5,),AP336)+INDEX(OFFSET(Arb!$V$2,,,Arb!$AJ$5,),AP336))/AQ336)</f>
        <v>2.0853669358416895</v>
      </c>
      <c r="AU336" s="51">
        <f t="shared" ca="1" si="110"/>
        <v>27.421224295413065</v>
      </c>
      <c r="AV336" s="91">
        <f ca="1">IF(AP336="","",DATE(INDEX(OFFSET(Arb!$C$2,,,Arb!$AJ$5,),AP336),INDEX(OFFSET(Arb!$B$2,,,Arb!$AJ$5,),AP336),INDEX(OFFSET(Arb!$A$2,,,Arb!$AJ$5,),AP336))+ROW()*0.001)</f>
        <v>44134.336000000003</v>
      </c>
      <c r="AW336" s="442">
        <v>194</v>
      </c>
      <c r="AY336" s="52" t="str">
        <f ca="1">IF(AX336="","",INDEX(OFFSET(Arb!$H$2,,,Arb!$AJ$5,),AX336))</f>
        <v/>
      </c>
      <c r="AZ336" s="3" t="str">
        <f t="shared" ca="1" si="101"/>
        <v/>
      </c>
      <c r="BA336" s="165" t="str">
        <f ca="1">IF(AX336="","",INDEX(OFFSET(Arb!$X$2,,,Arb!$AJ$5,),AX336)/AY336)</f>
        <v/>
      </c>
      <c r="BB336" s="165" t="str">
        <f ca="1">IF(AX336="","",(INDEX(OFFSET(Arb!$U$2,,,Arb!$AJ$5,),AX336)+INDEX(OFFSET(Arb!$V$2,,,Arb!$AJ$5,),AX336))/AY336)</f>
        <v/>
      </c>
      <c r="BC336" s="51" t="str">
        <f t="shared" ca="1" si="111"/>
        <v/>
      </c>
      <c r="BD336" s="88" t="str">
        <f ca="1">IF(AX336="","",DATE(INDEX(OFFSET(Arb!$C$2,,,Arb!$AJ$5,),AX336),INDEX(OFFSET(Arb!$B$2,,,Arb!$AJ$5,),AX336),INDEX(OFFSET(Arb!$A$2,,,Arb!$AJ$5,),AX336))+ROW()*0.001)</f>
        <v/>
      </c>
      <c r="BE336" s="436">
        <v>194</v>
      </c>
      <c r="BG336" s="52" t="str">
        <f ca="1">IF(BF336="","",INDEX(OFFSET(Arb!$H$2,,,Arb!$AJ$5,),BF336))</f>
        <v/>
      </c>
      <c r="BH336" s="3" t="str">
        <f t="shared" ca="1" si="102"/>
        <v/>
      </c>
      <c r="BI336" s="165" t="str">
        <f ca="1">IF(BF336="","",INDEX(OFFSET(Arb!$X$2,,,Arb!$AJ$5,),BF336)/BG336)</f>
        <v/>
      </c>
      <c r="BJ336" s="165" t="str">
        <f ca="1">IF(BF336="","",(INDEX(OFFSET(Arb!$U$2,,,Arb!$AJ$5,),BF336)+INDEX(OFFSET(Arb!$V$2,,,Arb!$AJ$5,),BF336))/BG336)</f>
        <v/>
      </c>
      <c r="BK336" s="51" t="str">
        <f t="shared" ca="1" si="112"/>
        <v/>
      </c>
      <c r="BL336" s="91" t="str">
        <f ca="1">IF(BF336="","",DATE(INDEX(OFFSET(Arb!$C$2,,,Arb!$AJ$5,),BF336),INDEX(OFFSET(Arb!$B$2,,,Arb!$AJ$5,),BF336),INDEX(OFFSET(Arb!$A$2,,,Arb!$AJ$5,),BF336))+ROW()*0.001)</f>
        <v/>
      </c>
      <c r="BM336" s="442">
        <v>194</v>
      </c>
      <c r="BO336" s="52" t="str">
        <f ca="1">IF(BN336="","",INDEX(OFFSET(Arb!$H$2,,,Arb!$AJ$5,),BN336))</f>
        <v/>
      </c>
      <c r="BP336" s="3" t="str">
        <f t="shared" ca="1" si="103"/>
        <v/>
      </c>
      <c r="BQ336" s="165" t="str">
        <f ca="1">IF(BN336="","",INDEX(OFFSET(Arb!$X$2,,,Arb!$AJ$5,),BN336)/BO336)</f>
        <v/>
      </c>
      <c r="BR336" s="165" t="str">
        <f ca="1">IF(BN336="","",(INDEX(OFFSET(Arb!$U$2,,,Arb!$AJ$5,),BN336)+INDEX(OFFSET(Arb!$V$2,,,Arb!$AJ$5,),BN336))/BO336)</f>
        <v/>
      </c>
      <c r="BS336" s="51" t="str">
        <f t="shared" ca="1" si="113"/>
        <v/>
      </c>
      <c r="BT336" s="88" t="str">
        <f ca="1">IF(BN336="","",DATE(INDEX(OFFSET(Arb!$C$2,,,Arb!$AJ$5,),BN336),INDEX(OFFSET(Arb!$B$2,,,Arb!$AJ$5,),BN336),INDEX(OFFSET(Arb!$A$2,,,Arb!$AJ$5,),BN336))+ROW()*0.001)</f>
        <v/>
      </c>
      <c r="BU336" s="436">
        <v>194</v>
      </c>
      <c r="BW336" s="52" t="str">
        <f ca="1">IF(BV336="","",INDEX(OFFSET(Arb!$H$2,,,Arb!$AJ$5,),BV336))</f>
        <v/>
      </c>
      <c r="BX336" s="3" t="str">
        <f t="shared" ca="1" si="104"/>
        <v/>
      </c>
      <c r="BY336" s="165" t="str">
        <f ca="1">IF(BV336="","",INDEX(OFFSET(Arb!$X$2,,,Arb!$AJ$5,),BV336)/BW336)</f>
        <v/>
      </c>
      <c r="BZ336" s="165" t="str">
        <f ca="1">IF(BV336="","",(INDEX(OFFSET(Arb!$U$2,,,Arb!$AJ$5,),BV336)+INDEX(OFFSET(Arb!$V$2,,,Arb!$AJ$5,),BV336))/BW336)</f>
        <v/>
      </c>
      <c r="CA336" s="51" t="str">
        <f t="shared" ca="1" si="114"/>
        <v/>
      </c>
      <c r="CB336" s="91" t="str">
        <f ca="1">IF(BV336="","",DATE(INDEX(OFFSET(Arb!$C$2,,,Arb!$AJ$5,),BV336),INDEX(OFFSET(Arb!$B$2,,,Arb!$AJ$5,),BV336),INDEX(OFFSET(Arb!$A$2,,,Arb!$AJ$5,),BV336))+ROW()*0.001)</f>
        <v/>
      </c>
    </row>
    <row r="337" spans="1:80" x14ac:dyDescent="0.25">
      <c r="A337" s="433">
        <v>195</v>
      </c>
      <c r="B337" s="1">
        <v>2869</v>
      </c>
      <c r="C337" s="52">
        <f ca="1">IF(B337="","",INDEX(OFFSET(Arb!$H$2,,,Arb!$AJ$5,),B337))</f>
        <v>71.650000000000006</v>
      </c>
      <c r="D337" s="3">
        <f t="shared" ca="1" si="95"/>
        <v>2.7215631542219119</v>
      </c>
      <c r="E337" s="165">
        <f ca="1">IF(B337="","",INDEX(OFFSET(Arb!$X$2,,,Arb!$AJ$5,),B337)/C337)</f>
        <v>3.1402651779483599</v>
      </c>
      <c r="F337" s="165">
        <f ca="1">IF(B337="","",(INDEX(OFFSET(Arb!$U$2,,,Arb!$AJ$5,),B337)+INDEX(OFFSET(Arb!$V$2,,,Arb!$AJ$5,),B337))/C337)</f>
        <v>3.3775296580600136</v>
      </c>
      <c r="G337" s="51">
        <f t="shared" ca="1" si="105"/>
        <v>59.519234322349632</v>
      </c>
      <c r="H337" s="355">
        <f ca="1">IF(B337="","",DATE(INDEX(OFFSET(Arb!$C$2,,,Arb!$AJ$5,),B337),INDEX(OFFSET(Arb!$B$2,,,Arb!$AJ$5,),B337),INDEX(OFFSET(Arb!$A$2,,,Arb!$AJ$5,),B337))+ROW()*0.001)</f>
        <v>43911.337</v>
      </c>
      <c r="I337" s="436">
        <v>195</v>
      </c>
      <c r="J337" s="1">
        <v>3365</v>
      </c>
      <c r="K337" s="52">
        <f ca="1">IF(J337="","",INDEX(OFFSET(Arb!$H$2,,,Arb!$AJ$5,),J337))</f>
        <v>76.47</v>
      </c>
      <c r="L337" s="3">
        <f t="shared" ca="1" si="96"/>
        <v>2.5500196155355042</v>
      </c>
      <c r="M337" s="165">
        <f ca="1">IF(J337="","",INDEX(OFFSET(Arb!$X$2,,,Arb!$AJ$5,),J337)/K337)</f>
        <v>2.6415587812213941</v>
      </c>
      <c r="N337" s="165">
        <f ca="1">IF(J337="","",(INDEX(OFFSET(Arb!$U$2,,,Arb!$AJ$5,),J337)+INDEX(OFFSET(Arb!$V$2,,,Arb!$AJ$5,),J337))/K337)</f>
        <v>3.0861775859814307</v>
      </c>
      <c r="O337" s="51">
        <f t="shared" ca="1" si="106"/>
        <v>53.283164940533155</v>
      </c>
      <c r="P337" s="91">
        <f ca="1">IF(J337="","",DATE(INDEX(OFFSET(Arb!$C$2,,,Arb!$AJ$5,),J337),INDEX(OFFSET(Arb!$B$2,,,Arb!$AJ$5,),J337),INDEX(OFFSET(Arb!$A$2,,,Arb!$AJ$5,),J337))+ROW()*0.001)</f>
        <v>44107.337</v>
      </c>
      <c r="Q337" s="442">
        <v>195</v>
      </c>
      <c r="R337" s="1">
        <v>2600</v>
      </c>
      <c r="S337" s="52">
        <f ca="1">IF(R337="","",INDEX(OFFSET(Arb!$H$2,,,Arb!$AJ$5,),R337))</f>
        <v>78.66</v>
      </c>
      <c r="T337" s="3">
        <f t="shared" ca="1" si="97"/>
        <v>2.4790236460717012</v>
      </c>
      <c r="U337" s="165">
        <f ca="1">IF(R337="","",INDEX(OFFSET(Arb!$X$2,,,Arb!$AJ$5,),R337)/S337)</f>
        <v>2.7459954233409611</v>
      </c>
      <c r="V337" s="165">
        <f ca="1">IF(R337="","",(INDEX(OFFSET(Arb!$U$2,,,Arb!$AJ$5,),R337)+INDEX(OFFSET(Arb!$V$2,,,Arb!$AJ$5,),R337))/S337)</f>
        <v>2.949402491736588</v>
      </c>
      <c r="W337" s="51">
        <f t="shared" ca="1" si="107"/>
        <v>50.785901401257178</v>
      </c>
      <c r="X337" s="88">
        <f ca="1">IF(R337="","",DATE(INDEX(OFFSET(Arb!$C$2,,,Arb!$AJ$5,),R337),INDEX(OFFSET(Arb!$B$2,,,Arb!$AJ$5,),R337),INDEX(OFFSET(Arb!$A$2,,,Arb!$AJ$5,),R337))+ROW()*0.001)</f>
        <v>43809.337</v>
      </c>
      <c r="Y337" s="436">
        <v>195</v>
      </c>
      <c r="Z337" s="1">
        <v>3094</v>
      </c>
      <c r="AA337" s="52">
        <f ca="1">IF(Z337="","",INDEX(OFFSET(Arb!$H$2,,,Arb!$AJ$5,),Z337))</f>
        <v>79.430000000000007</v>
      </c>
      <c r="AB337" s="3">
        <f t="shared" ca="1" si="98"/>
        <v>2.4549918166939442</v>
      </c>
      <c r="AC337" s="165">
        <f ca="1">IF(Z337="","",INDEX(OFFSET(Arb!$X$2,,,Arb!$AJ$5,),Z337)/AA337)</f>
        <v>2.8452725670401611</v>
      </c>
      <c r="AD337" s="165">
        <f ca="1">IF(Z337="","",(INDEX(OFFSET(Arb!$U$2,,,Arb!$AJ$5,),Z337)+INDEX(OFFSET(Arb!$V$2,,,Arb!$AJ$5,),Z337))/AA337)</f>
        <v>3.0844768978975194</v>
      </c>
      <c r="AE337" s="51">
        <f t="shared" ca="1" si="108"/>
        <v>49.951796299694564</v>
      </c>
      <c r="AF337" s="91">
        <f ca="1">IF(Z337="","",DATE(INDEX(OFFSET(Arb!$C$2,,,Arb!$AJ$5,),Z337),INDEX(OFFSET(Arb!$B$2,,,Arb!$AJ$5,),Z337),INDEX(OFFSET(Arb!$A$2,,,Arb!$AJ$5,),Z337))+ROW()*0.001)</f>
        <v>44004.337</v>
      </c>
      <c r="AG337" s="442">
        <v>195</v>
      </c>
      <c r="AH337" s="1">
        <v>2930</v>
      </c>
      <c r="AI337" s="52">
        <f ca="1">IF(AH337="","",INDEX(OFFSET(Arb!$H$2,,,Arb!$AJ$5,),AH337))</f>
        <v>79.58</v>
      </c>
      <c r="AJ337" s="3">
        <f t="shared" ca="1" si="99"/>
        <v>2.450364413169138</v>
      </c>
      <c r="AK337" s="165">
        <f ca="1">IF(AH337="","",INDEX(OFFSET(Arb!$X$2,,,Arb!$AJ$5,),AH337)/AI337)</f>
        <v>2.9153053531037951</v>
      </c>
      <c r="AL337" s="165">
        <f ca="1">IF(AH337="","",(INDEX(OFFSET(Arb!$U$2,,,Arb!$AJ$5,),AH337)+INDEX(OFFSET(Arb!$V$2,,,Arb!$AJ$5,),AH337))/AI337)</f>
        <v>3.4933400351847199</v>
      </c>
      <c r="AM337" s="51">
        <f t="shared" ca="1" si="109"/>
        <v>49.791840239960777</v>
      </c>
      <c r="AN337" s="88">
        <f ca="1">IF(AH337="","",DATE(INDEX(OFFSET(Arb!$C$2,,,Arb!$AJ$5,),AH337),INDEX(OFFSET(Arb!$B$2,,,Arb!$AJ$5,),AH337),INDEX(OFFSET(Arb!$A$2,,,Arb!$AJ$5,),AH337))+ROW()*0.001)</f>
        <v>43937.337</v>
      </c>
      <c r="AO337" s="436">
        <v>195</v>
      </c>
      <c r="AP337" s="1">
        <v>2748</v>
      </c>
      <c r="AQ337" s="52">
        <f ca="1">IF(AP337="","",INDEX(OFFSET(Arb!$H$2,,,Arb!$AJ$5,),AP337))</f>
        <v>79.930000000000007</v>
      </c>
      <c r="AR337" s="3">
        <f t="shared" ca="1" si="100"/>
        <v>2.4396346803453017</v>
      </c>
      <c r="AS337" s="165">
        <f ca="1">IF(AP337="","",INDEX(OFFSET(Arb!$X$2,,,Arb!$AJ$5,),AP337)/AQ337)</f>
        <v>2.8274740397848115</v>
      </c>
      <c r="AT337" s="165">
        <f ca="1">IF(AP337="","",(INDEX(OFFSET(Arb!$U$2,,,Arb!$AJ$5,),AP337)+INDEX(OFFSET(Arb!$V$2,,,Arb!$AJ$5,),AP337))/AQ337)</f>
        <v>3.2028024521456273</v>
      </c>
      <c r="AU337" s="51">
        <f t="shared" ca="1" si="110"/>
        <v>49.421757414127796</v>
      </c>
      <c r="AV337" s="91">
        <f ca="1">IF(AP337="","",DATE(INDEX(OFFSET(Arb!$C$2,,,Arb!$AJ$5,),AP337),INDEX(OFFSET(Arb!$B$2,,,Arb!$AJ$5,),AP337),INDEX(OFFSET(Arb!$A$2,,,Arb!$AJ$5,),AP337))+ROW()*0.001)</f>
        <v>43881.337</v>
      </c>
      <c r="AW337" s="442">
        <v>195</v>
      </c>
      <c r="AX337" s="1">
        <v>2566</v>
      </c>
      <c r="AY337" s="52">
        <f ca="1">IF(AX337="","",INDEX(OFFSET(Arb!$H$2,,,Arb!$AJ$5,),AX337))</f>
        <v>83.14</v>
      </c>
      <c r="AZ337" s="3">
        <f t="shared" ca="1" si="101"/>
        <v>2.345441424103921</v>
      </c>
      <c r="BA337" s="165">
        <f ca="1">IF(AX337="","",INDEX(OFFSET(Arb!$X$2,,,Arb!$AJ$5,),AX337)/AY337)</f>
        <v>2.6942506615347606</v>
      </c>
      <c r="BB337" s="165">
        <f ca="1">IF(AX337="","",(INDEX(OFFSET(Arb!$U$2,,,Arb!$AJ$5,),AX337)+INDEX(OFFSET(Arb!$V$2,,,Arb!$AJ$5,),AX337))/AY337)</f>
        <v>2.9588645657926391</v>
      </c>
      <c r="BC337" s="51">
        <f t="shared" ca="1" si="111"/>
        <v>46.221904125389337</v>
      </c>
      <c r="BD337" s="88">
        <f ca="1">IF(AX337="","",DATE(INDEX(OFFSET(Arb!$C$2,,,Arb!$AJ$5,),AX337),INDEX(OFFSET(Arb!$B$2,,,Arb!$AJ$5,),AX337),INDEX(OFFSET(Arb!$A$2,,,Arb!$AJ$5,),AX337))+ROW()*0.001)</f>
        <v>43799.337</v>
      </c>
      <c r="BE337" s="436">
        <v>195</v>
      </c>
      <c r="BF337" s="1">
        <v>2579</v>
      </c>
      <c r="BG337" s="52">
        <f ca="1">IF(BF337="","",INDEX(OFFSET(Arb!$H$2,,,Arb!$AJ$5,),BF337))</f>
        <v>85.28</v>
      </c>
      <c r="BH337" s="3">
        <f t="shared" ca="1" si="102"/>
        <v>2.2865853658536586</v>
      </c>
      <c r="BI337" s="165">
        <f ca="1">IF(BF337="","",INDEX(OFFSET(Arb!$X$2,,,Arb!$AJ$5,),BF337)/BG337)</f>
        <v>2.7087242026266418</v>
      </c>
      <c r="BJ337" s="165">
        <f ca="1">IF(BF337="","",(INDEX(OFFSET(Arb!$U$2,,,Arb!$AJ$5,),BF337)+INDEX(OFFSET(Arb!$V$2,,,Arb!$AJ$5,),BF337))/BG337)</f>
        <v>3.0018761726078798</v>
      </c>
      <c r="BK337" s="51">
        <f t="shared" ca="1" si="112"/>
        <v>44.267463802140128</v>
      </c>
      <c r="BL337" s="91">
        <f ca="1">IF(BF337="","",DATE(INDEX(OFFSET(Arb!$C$2,,,Arb!$AJ$5,),BF337),INDEX(OFFSET(Arb!$B$2,,,Arb!$AJ$5,),BF337),INDEX(OFFSET(Arb!$A$2,,,Arb!$AJ$5,),BF337))+ROW()*0.001)</f>
        <v>43803.337</v>
      </c>
      <c r="BM337" s="442">
        <v>195</v>
      </c>
      <c r="BN337" s="1">
        <v>2508</v>
      </c>
      <c r="BO337" s="52">
        <f ca="1">IF(BN337="","",INDEX(OFFSET(Arb!$H$2,,,Arb!$AJ$5,),BN337))</f>
        <v>91.22</v>
      </c>
      <c r="BP337" s="3">
        <f t="shared" ca="1" si="103"/>
        <v>2.1376891032668275</v>
      </c>
      <c r="BQ337" s="165">
        <f ca="1">IF(BN337="","",INDEX(OFFSET(Arb!$X$2,,,Arb!$AJ$5,),BN337)/BO337)</f>
        <v>2.5981144485858363</v>
      </c>
      <c r="BR337" s="165">
        <f ca="1">IF(BN337="","",(INDEX(OFFSET(Arb!$U$2,,,Arb!$AJ$5,),BN337)+INDEX(OFFSET(Arb!$V$2,,,Arb!$AJ$5,),BN337))/BO337)</f>
        <v>2.8831396623547469</v>
      </c>
      <c r="BS337" s="51">
        <f t="shared" ca="1" si="113"/>
        <v>39.479509770133681</v>
      </c>
      <c r="BT337" s="88">
        <f ca="1">IF(BN337="","",DATE(INDEX(OFFSET(Arb!$C$2,,,Arb!$AJ$5,),BN337),INDEX(OFFSET(Arb!$B$2,,,Arb!$AJ$5,),BN337),INDEX(OFFSET(Arb!$A$2,,,Arb!$AJ$5,),BN337))+ROW()*0.001)</f>
        <v>43788.337</v>
      </c>
      <c r="BU337" s="436">
        <v>195</v>
      </c>
      <c r="BV337" s="1">
        <v>2573</v>
      </c>
      <c r="BW337" s="52">
        <f ca="1">IF(BV337="","",INDEX(OFFSET(Arb!$H$2,,,Arb!$AJ$5,),BV337))</f>
        <v>92.51</v>
      </c>
      <c r="BX337" s="3">
        <f t="shared" ca="1" si="104"/>
        <v>2.1078802291644148</v>
      </c>
      <c r="BY337" s="165">
        <f ca="1">IF(BV337="","",INDEX(OFFSET(Arb!$X$2,,,Arb!$AJ$5,),BV337)/BW337)</f>
        <v>2.4754080639930818</v>
      </c>
      <c r="BZ337" s="165">
        <f ca="1">IF(BV337="","",(INDEX(OFFSET(Arb!$U$2,,,Arb!$AJ$5,),BV337)+INDEX(OFFSET(Arb!$V$2,,,Arb!$AJ$5,),BV337))/BW337)</f>
        <v>2.7348394768133173</v>
      </c>
      <c r="CA337" s="51">
        <f t="shared" ca="1" si="114"/>
        <v>38.548200487892082</v>
      </c>
      <c r="CB337" s="91">
        <f ca="1">IF(BV337="","",DATE(INDEX(OFFSET(Arb!$C$2,,,Arb!$AJ$5,),BV337),INDEX(OFFSET(Arb!$B$2,,,Arb!$AJ$5,),BV337),INDEX(OFFSET(Arb!$A$2,,,Arb!$AJ$5,),BV337))+ROW()*0.001)</f>
        <v>43800.337</v>
      </c>
    </row>
    <row r="338" spans="1:80" x14ac:dyDescent="0.25">
      <c r="A338" s="433">
        <v>196</v>
      </c>
      <c r="B338" s="1">
        <v>3078</v>
      </c>
      <c r="C338" s="52">
        <f ca="1">IF(B338="","",INDEX(OFFSET(Arb!$H$2,,,Arb!$AJ$5,),B338))</f>
        <v>73.5</v>
      </c>
      <c r="D338" s="3">
        <f t="shared" ca="1" si="95"/>
        <v>2.6666666666666665</v>
      </c>
      <c r="E338" s="165">
        <f ca="1">IF(B338="","",INDEX(OFFSET(Arb!$X$2,,,Arb!$AJ$5,),B338)/C338)</f>
        <v>2.9387755102040818</v>
      </c>
      <c r="F338" s="165">
        <f ca="1">IF(B338="","",(INDEX(OFFSET(Arb!$U$2,,,Arb!$AJ$5,),B338)+INDEX(OFFSET(Arb!$V$2,,,Arb!$AJ$5,),B338))/C338)</f>
        <v>3.1564625850340136</v>
      </c>
      <c r="G338" s="51">
        <f t="shared" ca="1" si="105"/>
        <v>57.287233542705138</v>
      </c>
      <c r="H338" s="355">
        <f ca="1">IF(B338="","",DATE(INDEX(OFFSET(Arb!$C$2,,,Arb!$AJ$5,),B338),INDEX(OFFSET(Arb!$B$2,,,Arb!$AJ$5,),B338),INDEX(OFFSET(Arb!$A$2,,,Arb!$AJ$5,),B338))+ROW()*0.001)</f>
        <v>44003.338000000003</v>
      </c>
      <c r="I338" s="436">
        <v>196</v>
      </c>
      <c r="J338" s="1">
        <v>3308</v>
      </c>
      <c r="K338" s="52">
        <f ca="1">IF(J338="","",INDEX(OFFSET(Arb!$H$2,,,Arb!$AJ$5,),J338))</f>
        <v>73.81</v>
      </c>
      <c r="L338" s="3">
        <f t="shared" ca="1" si="96"/>
        <v>2.655466738924265</v>
      </c>
      <c r="M338" s="165">
        <f ca="1">IF(J338="","",INDEX(OFFSET(Arb!$X$2,,,Arb!$AJ$5,),J338)/K338)</f>
        <v>3.1973987264598294</v>
      </c>
      <c r="N338" s="165">
        <f ca="1">IF(J338="","",(INDEX(OFFSET(Arb!$U$2,,,Arb!$AJ$5,),J338)+INDEX(OFFSET(Arb!$V$2,,,Arb!$AJ$5,),J338))/K338)</f>
        <v>3.5090096192927787</v>
      </c>
      <c r="O338" s="51">
        <f t="shared" ca="1" si="106"/>
        <v>56.878806854565532</v>
      </c>
      <c r="P338" s="91">
        <f ca="1">IF(J338="","",DATE(INDEX(OFFSET(Arb!$C$2,,,Arb!$AJ$5,),J338),INDEX(OFFSET(Arb!$B$2,,,Arb!$AJ$5,),J338),INDEX(OFFSET(Arb!$A$2,,,Arb!$AJ$5,),J338))+ROW()*0.001)</f>
        <v>44092.338000000003</v>
      </c>
      <c r="Q338" s="442">
        <v>196</v>
      </c>
      <c r="R338" s="1">
        <v>3070</v>
      </c>
      <c r="S338" s="52">
        <f ca="1">IF(R338="","",INDEX(OFFSET(Arb!$H$2,,,Arb!$AJ$5,),R338))</f>
        <v>77.22</v>
      </c>
      <c r="T338" s="3">
        <f t="shared" ca="1" si="97"/>
        <v>2.5382025382025382</v>
      </c>
      <c r="U338" s="165">
        <f ca="1">IF(R338="","",INDEX(OFFSET(Arb!$X$2,,,Arb!$AJ$5,),R338)/S338)</f>
        <v>2.8231028231028232</v>
      </c>
      <c r="V338" s="165">
        <f ca="1">IF(R338="","",(INDEX(OFFSET(Arb!$U$2,,,Arb!$AJ$5,),R338)+INDEX(OFFSET(Arb!$V$2,,,Arb!$AJ$5,),R338))/S338)</f>
        <v>3.0562030562030564</v>
      </c>
      <c r="W338" s="51">
        <f t="shared" ca="1" si="107"/>
        <v>52.675136694727264</v>
      </c>
      <c r="X338" s="88">
        <f ca="1">IF(R338="","",DATE(INDEX(OFFSET(Arb!$C$2,,,Arb!$AJ$5,),R338),INDEX(OFFSET(Arb!$B$2,,,Arb!$AJ$5,),R338),INDEX(OFFSET(Arb!$A$2,,,Arb!$AJ$5,),R338))+ROW()*0.001)</f>
        <v>44003.338000000003</v>
      </c>
      <c r="Y338" s="436">
        <v>196</v>
      </c>
      <c r="Z338" s="1">
        <v>2959</v>
      </c>
      <c r="AA338" s="52">
        <f ca="1">IF(Z338="","",INDEX(OFFSET(Arb!$H$2,,,Arb!$AJ$5,),Z338))</f>
        <v>80.39</v>
      </c>
      <c r="AB338" s="3">
        <f t="shared" ca="1" si="98"/>
        <v>2.4381141933076251</v>
      </c>
      <c r="AC338" s="165">
        <f ca="1">IF(Z338="","",INDEX(OFFSET(Arb!$X$2,,,Arb!$AJ$5,),Z338)/AA338)</f>
        <v>2.7490981465356388</v>
      </c>
      <c r="AD338" s="165">
        <f ca="1">IF(Z338="","",(INDEX(OFFSET(Arb!$U$2,,,Arb!$AJ$5,),Z338)+INDEX(OFFSET(Arb!$V$2,,,Arb!$AJ$5,),Z338))/AA338)</f>
        <v>3.0725214578927726</v>
      </c>
      <c r="AE338" s="51">
        <f t="shared" ca="1" si="108"/>
        <v>49.192951231860242</v>
      </c>
      <c r="AF338" s="91">
        <f ca="1">IF(Z338="","",DATE(INDEX(OFFSET(Arb!$C$2,,,Arb!$AJ$5,),Z338),INDEX(OFFSET(Arb!$B$2,,,Arb!$AJ$5,),Z338),INDEX(OFFSET(Arb!$A$2,,,Arb!$AJ$5,),Z338))+ROW()*0.001)</f>
        <v>43951.338000000003</v>
      </c>
      <c r="AG338" s="442">
        <v>196</v>
      </c>
      <c r="AH338" s="1">
        <v>3443</v>
      </c>
      <c r="AI338" s="52">
        <f ca="1">IF(AH338="","",INDEX(OFFSET(Arb!$H$2,,,Arb!$AJ$5,),AH338))</f>
        <v>83.41</v>
      </c>
      <c r="AJ338" s="3">
        <f t="shared" ca="1" si="99"/>
        <v>2.3498381489030091</v>
      </c>
      <c r="AK338" s="165">
        <f ca="1">IF(AH338="","",INDEX(OFFSET(Arb!$X$2,,,Arb!$AJ$5,),AH338)/AI338)</f>
        <v>2.6135954921472249</v>
      </c>
      <c r="AL338" s="165">
        <f ca="1">IF(AH338="","",(INDEX(OFFSET(Arb!$U$2,,,Arb!$AJ$5,),AH338)+INDEX(OFFSET(Arb!$V$2,,,Arb!$AJ$5,),AH338))/AI338)</f>
        <v>2.9732645965711546</v>
      </c>
      <c r="AM338" s="51">
        <f t="shared" ca="1" si="109"/>
        <v>46.203568646538841</v>
      </c>
      <c r="AN338" s="88">
        <f ca="1">IF(AH338="","",DATE(INDEX(OFFSET(Arb!$C$2,,,Arb!$AJ$5,),AH338),INDEX(OFFSET(Arb!$B$2,,,Arb!$AJ$5,),AH338),INDEX(OFFSET(Arb!$A$2,,,Arb!$AJ$5,),AH338))+ROW()*0.001)</f>
        <v>44168.338000000003</v>
      </c>
      <c r="AO338" s="436">
        <v>196</v>
      </c>
      <c r="AP338" s="1">
        <v>2490</v>
      </c>
      <c r="AQ338" s="52">
        <f ca="1">IF(AP338="","",INDEX(OFFSET(Arb!$H$2,,,Arb!$AJ$5,),AP338))</f>
        <v>86.78</v>
      </c>
      <c r="AR338" s="3">
        <f t="shared" ca="1" si="100"/>
        <v>2.2585849274026275</v>
      </c>
      <c r="AS338" s="165">
        <f ca="1">IF(AP338="","",INDEX(OFFSET(Arb!$X$2,,,Arb!$AJ$5,),AP338)/AQ338)</f>
        <v>2.5466697395713296</v>
      </c>
      <c r="AT338" s="165">
        <f ca="1">IF(AP338="","",(INDEX(OFFSET(Arb!$U$2,,,Arb!$AJ$5,),AP338)+INDEX(OFFSET(Arb!$V$2,,,Arb!$AJ$5,),AP338))/AQ338)</f>
        <v>2.8923715141737727</v>
      </c>
      <c r="AU338" s="51">
        <f t="shared" ca="1" si="110"/>
        <v>43.194945346564694</v>
      </c>
      <c r="AV338" s="91">
        <f ca="1">IF(AP338="","",DATE(INDEX(OFFSET(Arb!$C$2,,,Arb!$AJ$5,),AP338),INDEX(OFFSET(Arb!$B$2,,,Arb!$AJ$5,),AP338),INDEX(OFFSET(Arb!$A$2,,,Arb!$AJ$5,),AP338))+ROW()*0.001)</f>
        <v>43786.338000000003</v>
      </c>
      <c r="AW338" s="442">
        <v>196</v>
      </c>
      <c r="AX338" s="1">
        <v>2510</v>
      </c>
      <c r="AY338" s="52">
        <f ca="1">IF(AX338="","",INDEX(OFFSET(Arb!$H$2,,,Arb!$AJ$5,),AX338))</f>
        <v>90.42</v>
      </c>
      <c r="AZ338" s="3">
        <f t="shared" ca="1" si="101"/>
        <v>2.16766202167662</v>
      </c>
      <c r="BA338" s="165">
        <f ca="1">IF(AX338="","",INDEX(OFFSET(Arb!$X$2,,,Arb!$AJ$5,),AX338)/AY338)</f>
        <v>2.5436850254368504</v>
      </c>
      <c r="BB338" s="165">
        <f ca="1">IF(AX338="","",(INDEX(OFFSET(Arb!$U$2,,,Arb!$AJ$5,),AX338)+INDEX(OFFSET(Arb!$V$2,,,Arb!$AJ$5,),AX338))/AY338)</f>
        <v>2.7427560274275602</v>
      </c>
      <c r="BC338" s="51">
        <f t="shared" ca="1" si="111"/>
        <v>40.28066873990317</v>
      </c>
      <c r="BD338" s="88">
        <f ca="1">IF(AX338="","",DATE(INDEX(OFFSET(Arb!$C$2,,,Arb!$AJ$5,),AX338),INDEX(OFFSET(Arb!$B$2,,,Arb!$AJ$5,),AX338),INDEX(OFFSET(Arb!$A$2,,,Arb!$AJ$5,),AX338))+ROW()*0.001)</f>
        <v>43789.338000000003</v>
      </c>
      <c r="BE338" s="436">
        <v>196</v>
      </c>
      <c r="BF338" s="1">
        <v>2640</v>
      </c>
      <c r="BG338" s="52">
        <f ca="1">IF(BF338="","",INDEX(OFFSET(Arb!$H$2,,,Arb!$AJ$5,),BF338))</f>
        <v>94.18</v>
      </c>
      <c r="BH338" s="3">
        <f t="shared" ca="1" si="102"/>
        <v>2.0811212571671267</v>
      </c>
      <c r="BI338" s="165">
        <f ca="1">IF(BF338="","",INDEX(OFFSET(Arb!$X$2,,,Arb!$AJ$5,),BF338)/BG338)</f>
        <v>2.4102781906986621</v>
      </c>
      <c r="BJ338" s="165">
        <f ca="1">IF(BF338="","",(INDEX(OFFSET(Arb!$U$2,,,Arb!$AJ$5,),BF338)+INDEX(OFFSET(Arb!$V$2,,,Arb!$AJ$5,),BF338))/BG338)</f>
        <v>2.7606710554257803</v>
      </c>
      <c r="BK338" s="51">
        <f t="shared" ca="1" si="112"/>
        <v>37.585173581142243</v>
      </c>
      <c r="BL338" s="91">
        <f ca="1">IF(BF338="","",DATE(INDEX(OFFSET(Arb!$C$2,,,Arb!$AJ$5,),BF338),INDEX(OFFSET(Arb!$B$2,,,Arb!$AJ$5,),BF338),INDEX(OFFSET(Arb!$A$2,,,Arb!$AJ$5,),BF338))+ROW()*0.001)</f>
        <v>43816.338000000003</v>
      </c>
      <c r="BM338" s="442">
        <v>196</v>
      </c>
      <c r="BO338" s="52" t="str">
        <f ca="1">IF(BN338="","",INDEX(OFFSET(Arb!$H$2,,,Arb!$AJ$5,),BN338))</f>
        <v/>
      </c>
      <c r="BP338" s="3" t="str">
        <f t="shared" ca="1" si="103"/>
        <v/>
      </c>
      <c r="BQ338" s="165" t="str">
        <f ca="1">IF(BN338="","",INDEX(OFFSET(Arb!$X$2,,,Arb!$AJ$5,),BN338)/BO338)</f>
        <v/>
      </c>
      <c r="BR338" s="165" t="str">
        <f ca="1">IF(BN338="","",(INDEX(OFFSET(Arb!$U$2,,,Arb!$AJ$5,),BN338)+INDEX(OFFSET(Arb!$V$2,,,Arb!$AJ$5,),BN338))/BO338)</f>
        <v/>
      </c>
      <c r="BS338" s="51" t="str">
        <f t="shared" ca="1" si="113"/>
        <v/>
      </c>
      <c r="BT338" s="88" t="str">
        <f ca="1">IF(BN338="","",DATE(INDEX(OFFSET(Arb!$C$2,,,Arb!$AJ$5,),BN338),INDEX(OFFSET(Arb!$B$2,,,Arb!$AJ$5,),BN338),INDEX(OFFSET(Arb!$A$2,,,Arb!$AJ$5,),BN338))+ROW()*0.001)</f>
        <v/>
      </c>
      <c r="BU338" s="436">
        <v>196</v>
      </c>
      <c r="BW338" s="52" t="str">
        <f ca="1">IF(BV338="","",INDEX(OFFSET(Arb!$H$2,,,Arb!$AJ$5,),BV338))</f>
        <v/>
      </c>
      <c r="BX338" s="3" t="str">
        <f t="shared" ca="1" si="104"/>
        <v/>
      </c>
      <c r="BY338" s="165" t="str">
        <f ca="1">IF(BV338="","",INDEX(OFFSET(Arb!$X$2,,,Arb!$AJ$5,),BV338)/BW338)</f>
        <v/>
      </c>
      <c r="BZ338" s="165" t="str">
        <f ca="1">IF(BV338="","",(INDEX(OFFSET(Arb!$U$2,,,Arb!$AJ$5,),BV338)+INDEX(OFFSET(Arb!$V$2,,,Arb!$AJ$5,),BV338))/BW338)</f>
        <v/>
      </c>
      <c r="CA338" s="51" t="str">
        <f t="shared" ca="1" si="114"/>
        <v/>
      </c>
      <c r="CB338" s="91" t="str">
        <f ca="1">IF(BV338="","",DATE(INDEX(OFFSET(Arb!$C$2,,,Arb!$AJ$5,),BV338),INDEX(OFFSET(Arb!$B$2,,,Arb!$AJ$5,),BV338),INDEX(OFFSET(Arb!$A$2,,,Arb!$AJ$5,),BV338))+ROW()*0.001)</f>
        <v/>
      </c>
    </row>
    <row r="339" spans="1:80" x14ac:dyDescent="0.25">
      <c r="A339" s="433">
        <v>197</v>
      </c>
      <c r="B339" s="1">
        <v>3238</v>
      </c>
      <c r="C339" s="52">
        <f ca="1">IF(B339="","",INDEX(OFFSET(Arb!$H$2,,,Arb!$AJ$5,),B339))</f>
        <v>70.430000000000007</v>
      </c>
      <c r="D339" s="3">
        <f t="shared" ca="1" si="95"/>
        <v>2.7971035070282548</v>
      </c>
      <c r="E339" s="165">
        <f ca="1">IF(B339="","",INDEX(OFFSET(Arb!$X$2,,,Arb!$AJ$5,),B339)/C339)</f>
        <v>3.2372568507738175</v>
      </c>
      <c r="F339" s="165">
        <f ca="1">IF(B339="","",(INDEX(OFFSET(Arb!$U$2,,,Arb!$AJ$5,),B339)+INDEX(OFFSET(Arb!$V$2,,,Arb!$AJ$5,),B339))/C339)</f>
        <v>3.6064177197217093</v>
      </c>
      <c r="G339" s="51">
        <f t="shared" ca="1" si="105"/>
        <v>61.911084440907963</v>
      </c>
      <c r="H339" s="355">
        <f ca="1">IF(B339="","",DATE(INDEX(OFFSET(Arb!$C$2,,,Arb!$AJ$5,),B339),INDEX(OFFSET(Arb!$B$2,,,Arb!$AJ$5,),B339),INDEX(OFFSET(Arb!$A$2,,,Arb!$AJ$5,),B339))+ROW()*0.001)</f>
        <v>44064.339</v>
      </c>
      <c r="I339" s="436">
        <v>197</v>
      </c>
      <c r="J339" s="1">
        <v>3328</v>
      </c>
      <c r="K339" s="52">
        <f ca="1">IF(J339="","",INDEX(OFFSET(Arb!$H$2,,,Arb!$AJ$5,),J339))</f>
        <v>77.39</v>
      </c>
      <c r="L339" s="3">
        <f t="shared" ca="1" si="96"/>
        <v>2.5455485204806823</v>
      </c>
      <c r="M339" s="165">
        <f ca="1">IF(J339="","",INDEX(OFFSET(Arb!$X$2,,,Arb!$AJ$5,),J339)/K339)</f>
        <v>3.1011758625145367</v>
      </c>
      <c r="N339" s="165">
        <f ca="1">IF(J339="","",(INDEX(OFFSET(Arb!$U$2,,,Arb!$AJ$5,),J339)+INDEX(OFFSET(Arb!$V$2,,,Arb!$AJ$5,),J339))/K339)</f>
        <v>3.3725287504845589</v>
      </c>
      <c r="O339" s="51">
        <f t="shared" ca="1" si="106"/>
        <v>52.746329346919481</v>
      </c>
      <c r="P339" s="91">
        <f ca="1">IF(J339="","",DATE(INDEX(OFFSET(Arb!$C$2,,,Arb!$AJ$5,),J339),INDEX(OFFSET(Arb!$B$2,,,Arb!$AJ$5,),J339),INDEX(OFFSET(Arb!$A$2,,,Arb!$AJ$5,),J339))+ROW()*0.001)</f>
        <v>44095.339</v>
      </c>
      <c r="Q339" s="442">
        <v>197</v>
      </c>
      <c r="R339" s="1">
        <v>2662</v>
      </c>
      <c r="S339" s="52">
        <f ca="1">IF(R339="","",INDEX(OFFSET(Arb!$H$2,,,Arb!$AJ$5,),R339))</f>
        <v>82.82</v>
      </c>
      <c r="T339" s="3">
        <f t="shared" ca="1" si="97"/>
        <v>2.3786524993962814</v>
      </c>
      <c r="U339" s="165">
        <f ca="1">IF(R339="","",INDEX(OFFSET(Arb!$X$2,,,Arb!$AJ$5,),R339)/S339)</f>
        <v>2.8616276261772522</v>
      </c>
      <c r="V339" s="165">
        <f ca="1">IF(R339="","",(INDEX(OFFSET(Arb!$U$2,,,Arb!$AJ$5,),R339)+INDEX(OFFSET(Arb!$V$2,,,Arb!$AJ$5,),R339))/S339)</f>
        <v>3.0668920550591645</v>
      </c>
      <c r="W339" s="51">
        <f t="shared" ca="1" si="107"/>
        <v>47.00311028866097</v>
      </c>
      <c r="X339" s="88">
        <f ca="1">IF(R339="","",DATE(INDEX(OFFSET(Arb!$C$2,,,Arb!$AJ$5,),R339),INDEX(OFFSET(Arb!$B$2,,,Arb!$AJ$5,),R339),INDEX(OFFSET(Arb!$A$2,,,Arb!$AJ$5,),R339))+ROW()*0.001)</f>
        <v>43821.339</v>
      </c>
      <c r="Y339" s="436">
        <v>197</v>
      </c>
      <c r="Z339" s="1">
        <v>2664</v>
      </c>
      <c r="AA339" s="52">
        <f ca="1">IF(Z339="","",INDEX(OFFSET(Arb!$H$2,,,Arb!$AJ$5,),Z339))</f>
        <v>85.67</v>
      </c>
      <c r="AB339" s="3">
        <f t="shared" ca="1" si="98"/>
        <v>2.2995214194000231</v>
      </c>
      <c r="AC339" s="165">
        <f ca="1">IF(Z339="","",INDEX(OFFSET(Arb!$X$2,,,Arb!$AJ$5,),Z339)/AA339)</f>
        <v>2.7314112291350532</v>
      </c>
      <c r="AD339" s="165">
        <f ca="1">IF(Z339="","",(INDEX(OFFSET(Arb!$U$2,,,Arb!$AJ$5,),Z339)+INDEX(OFFSET(Arb!$V$2,,,Arb!$AJ$5,),Z339))/AA339)</f>
        <v>3.0465740632660205</v>
      </c>
      <c r="AE339" s="51">
        <f t="shared" ca="1" si="108"/>
        <v>44.375941235677949</v>
      </c>
      <c r="AF339" s="91">
        <f ca="1">IF(Z339="","",DATE(INDEX(OFFSET(Arb!$C$2,,,Arb!$AJ$5,),Z339),INDEX(OFFSET(Arb!$B$2,,,Arb!$AJ$5,),Z339),INDEX(OFFSET(Arb!$A$2,,,Arb!$AJ$5,),Z339))+ROW()*0.001)</f>
        <v>43822.339</v>
      </c>
      <c r="AG339" s="442">
        <v>197</v>
      </c>
      <c r="AH339" s="1">
        <v>2942</v>
      </c>
      <c r="AI339" s="52">
        <f ca="1">IF(AH339="","",INDEX(OFFSET(Arb!$H$2,,,Arb!$AJ$5,),AH339))</f>
        <v>88.06</v>
      </c>
      <c r="AJ339" s="3">
        <f t="shared" ca="1" si="99"/>
        <v>2.2371110606404723</v>
      </c>
      <c r="AK339" s="165">
        <f ca="1">IF(AH339="","",INDEX(OFFSET(Arb!$X$2,,,Arb!$AJ$5,),AH339)/AI339)</f>
        <v>2.6686350215761978</v>
      </c>
      <c r="AL339" s="165">
        <f ca="1">IF(AH339="","",(INDEX(OFFSET(Arb!$U$2,,,Arb!$AJ$5,),AH339)+INDEX(OFFSET(Arb!$V$2,,,Arb!$AJ$5,),AH339))/AI339)</f>
        <v>2.9411764705882351</v>
      </c>
      <c r="AM339" s="51">
        <f t="shared" ca="1" si="109"/>
        <v>42.347982367843784</v>
      </c>
      <c r="AN339" s="88">
        <f ca="1">IF(AH339="","",DATE(INDEX(OFFSET(Arb!$C$2,,,Arb!$AJ$5,),AH339),INDEX(OFFSET(Arb!$B$2,,,Arb!$AJ$5,),AH339),INDEX(OFFSET(Arb!$A$2,,,Arb!$AJ$5,),AH339))+ROW()*0.001)</f>
        <v>43941.339</v>
      </c>
      <c r="AO339" s="436">
        <v>197</v>
      </c>
      <c r="AP339" s="1">
        <v>2497</v>
      </c>
      <c r="AQ339" s="52">
        <f ca="1">IF(AP339="","",INDEX(OFFSET(Arb!$H$2,,,Arb!$AJ$5,),AP339))</f>
        <v>88.81</v>
      </c>
      <c r="AR339" s="3">
        <f t="shared" ca="1" si="100"/>
        <v>2.2182186690687984</v>
      </c>
      <c r="AS339" s="165">
        <f ca="1">IF(AP339="","",INDEX(OFFSET(Arb!$X$2,,,Arb!$AJ$5,),AP339)/AQ339)</f>
        <v>2.6235784258529442</v>
      </c>
      <c r="AT339" s="165">
        <f ca="1">IF(AP339="","",(INDEX(OFFSET(Arb!$U$2,,,Arb!$AJ$5,),AP339)+INDEX(OFFSET(Arb!$V$2,,,Arb!$AJ$5,),AP339))/AQ339)</f>
        <v>2.8825582704650374</v>
      </c>
      <c r="AU339" s="51">
        <f t="shared" ca="1" si="110"/>
        <v>41.741812447159667</v>
      </c>
      <c r="AV339" s="91">
        <f ca="1">IF(AP339="","",DATE(INDEX(OFFSET(Arb!$C$2,,,Arb!$AJ$5,),AP339),INDEX(OFFSET(Arb!$B$2,,,Arb!$AJ$5,),AP339),INDEX(OFFSET(Arb!$A$2,,,Arb!$AJ$5,),AP339))+ROW()*0.001)</f>
        <v>43787.339</v>
      </c>
      <c r="AW339" s="442">
        <v>197</v>
      </c>
      <c r="AY339" s="52" t="str">
        <f ca="1">IF(AX339="","",INDEX(OFFSET(Arb!$H$2,,,Arb!$AJ$5,),AX339))</f>
        <v/>
      </c>
      <c r="AZ339" s="3" t="str">
        <f t="shared" ca="1" si="101"/>
        <v/>
      </c>
      <c r="BA339" s="165" t="str">
        <f ca="1">IF(AX339="","",INDEX(OFFSET(Arb!$X$2,,,Arb!$AJ$5,),AX339)/AY339)</f>
        <v/>
      </c>
      <c r="BB339" s="165" t="str">
        <f ca="1">IF(AX339="","",(INDEX(OFFSET(Arb!$U$2,,,Arb!$AJ$5,),AX339)+INDEX(OFFSET(Arb!$V$2,,,Arb!$AJ$5,),AX339))/AY339)</f>
        <v/>
      </c>
      <c r="BC339" s="51" t="str">
        <f t="shared" ca="1" si="111"/>
        <v/>
      </c>
      <c r="BD339" s="88" t="str">
        <f ca="1">IF(AX339="","",DATE(INDEX(OFFSET(Arb!$C$2,,,Arb!$AJ$5,),AX339),INDEX(OFFSET(Arb!$B$2,,,Arb!$AJ$5,),AX339),INDEX(OFFSET(Arb!$A$2,,,Arb!$AJ$5,),AX339))+ROW()*0.001)</f>
        <v/>
      </c>
      <c r="BE339" s="436">
        <v>197</v>
      </c>
      <c r="BG339" s="52" t="str">
        <f ca="1">IF(BF339="","",INDEX(OFFSET(Arb!$H$2,,,Arb!$AJ$5,),BF339))</f>
        <v/>
      </c>
      <c r="BH339" s="3" t="str">
        <f t="shared" ca="1" si="102"/>
        <v/>
      </c>
      <c r="BI339" s="165" t="str">
        <f ca="1">IF(BF339="","",INDEX(OFFSET(Arb!$X$2,,,Arb!$AJ$5,),BF339)/BG339)</f>
        <v/>
      </c>
      <c r="BJ339" s="165" t="str">
        <f ca="1">IF(BF339="","",(INDEX(OFFSET(Arb!$U$2,,,Arb!$AJ$5,),BF339)+INDEX(OFFSET(Arb!$V$2,,,Arb!$AJ$5,),BF339))/BG339)</f>
        <v/>
      </c>
      <c r="BK339" s="51" t="str">
        <f t="shared" ca="1" si="112"/>
        <v/>
      </c>
      <c r="BL339" s="91" t="str">
        <f ca="1">IF(BF339="","",DATE(INDEX(OFFSET(Arb!$C$2,,,Arb!$AJ$5,),BF339),INDEX(OFFSET(Arb!$B$2,,,Arb!$AJ$5,),BF339),INDEX(OFFSET(Arb!$A$2,,,Arb!$AJ$5,),BF339))+ROW()*0.001)</f>
        <v/>
      </c>
      <c r="BM339" s="442">
        <v>197</v>
      </c>
      <c r="BO339" s="52" t="str">
        <f ca="1">IF(BN339="","",INDEX(OFFSET(Arb!$H$2,,,Arb!$AJ$5,),BN339))</f>
        <v/>
      </c>
      <c r="BP339" s="3" t="str">
        <f t="shared" ca="1" si="103"/>
        <v/>
      </c>
      <c r="BQ339" s="165" t="str">
        <f ca="1">IF(BN339="","",INDEX(OFFSET(Arb!$X$2,,,Arb!$AJ$5,),BN339)/BO339)</f>
        <v/>
      </c>
      <c r="BR339" s="165" t="str">
        <f ca="1">IF(BN339="","",(INDEX(OFFSET(Arb!$U$2,,,Arb!$AJ$5,),BN339)+INDEX(OFFSET(Arb!$V$2,,,Arb!$AJ$5,),BN339))/BO339)</f>
        <v/>
      </c>
      <c r="BS339" s="51" t="str">
        <f t="shared" ca="1" si="113"/>
        <v/>
      </c>
      <c r="BT339" s="88" t="str">
        <f ca="1">IF(BN339="","",DATE(INDEX(OFFSET(Arb!$C$2,,,Arb!$AJ$5,),BN339),INDEX(OFFSET(Arb!$B$2,,,Arb!$AJ$5,),BN339),INDEX(OFFSET(Arb!$A$2,,,Arb!$AJ$5,),BN339))+ROW()*0.001)</f>
        <v/>
      </c>
      <c r="BU339" s="436">
        <v>197</v>
      </c>
      <c r="BW339" s="52" t="str">
        <f ca="1">IF(BV339="","",INDEX(OFFSET(Arb!$H$2,,,Arb!$AJ$5,),BV339))</f>
        <v/>
      </c>
      <c r="BX339" s="3" t="str">
        <f t="shared" ca="1" si="104"/>
        <v/>
      </c>
      <c r="BY339" s="165" t="str">
        <f ca="1">IF(BV339="","",INDEX(OFFSET(Arb!$X$2,,,Arb!$AJ$5,),BV339)/BW339)</f>
        <v/>
      </c>
      <c r="BZ339" s="165" t="str">
        <f ca="1">IF(BV339="","",(INDEX(OFFSET(Arb!$U$2,,,Arb!$AJ$5,),BV339)+INDEX(OFFSET(Arb!$V$2,,,Arb!$AJ$5,),BV339))/BW339)</f>
        <v/>
      </c>
      <c r="CA339" s="51" t="str">
        <f t="shared" ca="1" si="114"/>
        <v/>
      </c>
      <c r="CB339" s="91" t="str">
        <f ca="1">IF(BV339="","",DATE(INDEX(OFFSET(Arb!$C$2,,,Arb!$AJ$5,),BV339),INDEX(OFFSET(Arb!$B$2,,,Arb!$AJ$5,),BV339),INDEX(OFFSET(Arb!$A$2,,,Arb!$AJ$5,),BV339))+ROW()*0.001)</f>
        <v/>
      </c>
    </row>
    <row r="340" spans="1:80" x14ac:dyDescent="0.25">
      <c r="A340" s="433">
        <v>198</v>
      </c>
      <c r="B340" s="1">
        <v>3296</v>
      </c>
      <c r="C340" s="52">
        <f ca="1">IF(B340="","",INDEX(OFFSET(Arb!$H$2,,,Arb!$AJ$5,),B340))</f>
        <v>73.569999999999993</v>
      </c>
      <c r="D340" s="3">
        <f t="shared" ca="1" si="95"/>
        <v>2.6913143944542615</v>
      </c>
      <c r="E340" s="165">
        <f ca="1">IF(B340="","",INDEX(OFFSET(Arb!$X$2,,,Arb!$AJ$5,),B340)/C340)</f>
        <v>3.1534592904716598</v>
      </c>
      <c r="F340" s="165">
        <f ca="1">IF(B340="","",(INDEX(OFFSET(Arb!$U$2,,,Arb!$AJ$5,),B340)+INDEX(OFFSET(Arb!$V$2,,,Arb!$AJ$5,),B340))/C340)</f>
        <v>3.5340492048389294</v>
      </c>
      <c r="G340" s="51">
        <f t="shared" ca="1" si="105"/>
        <v>57.778220281376491</v>
      </c>
      <c r="H340" s="355">
        <f ca="1">IF(B340="","",DATE(INDEX(OFFSET(Arb!$C$2,,,Arb!$AJ$5,),B340),INDEX(OFFSET(Arb!$B$2,,,Arb!$AJ$5,),B340),INDEX(OFFSET(Arb!$A$2,,,Arb!$AJ$5,),B340))+ROW()*0.001)</f>
        <v>44089.34</v>
      </c>
      <c r="I340" s="436">
        <v>198</v>
      </c>
      <c r="J340" s="1">
        <v>3249</v>
      </c>
      <c r="K340" s="52">
        <f ca="1">IF(J340="","",INDEX(OFFSET(Arb!$H$2,,,Arb!$AJ$5,),J340))</f>
        <v>75.69</v>
      </c>
      <c r="L340" s="3">
        <f t="shared" ca="1" si="96"/>
        <v>2.615933412604043</v>
      </c>
      <c r="M340" s="165">
        <f ca="1">IF(J340="","",INDEX(OFFSET(Arb!$X$2,,,Arb!$AJ$5,),J340)/K340)</f>
        <v>2.9858633901440084</v>
      </c>
      <c r="N340" s="165">
        <f ca="1">IF(J340="","",(INDEX(OFFSET(Arb!$U$2,,,Arb!$AJ$5,),J340)+INDEX(OFFSET(Arb!$V$2,,,Arb!$AJ$5,),J340))/K340)</f>
        <v>3.4482758620689657</v>
      </c>
      <c r="O340" s="51">
        <f t="shared" ca="1" si="106"/>
        <v>55.054140478126897</v>
      </c>
      <c r="P340" s="91">
        <f ca="1">IF(J340="","",DATE(INDEX(OFFSET(Arb!$C$2,,,Arb!$AJ$5,),J340),INDEX(OFFSET(Arb!$B$2,,,Arb!$AJ$5,),J340),INDEX(OFFSET(Arb!$A$2,,,Arb!$AJ$5,),J340))+ROW()*0.001)</f>
        <v>44068.34</v>
      </c>
      <c r="Q340" s="442">
        <v>198</v>
      </c>
      <c r="R340" s="1">
        <v>2885</v>
      </c>
      <c r="S340" s="52">
        <f ca="1">IF(R340="","",INDEX(OFFSET(Arb!$H$2,,,Arb!$AJ$5,),R340))</f>
        <v>76.680000000000007</v>
      </c>
      <c r="T340" s="3">
        <f t="shared" ca="1" si="97"/>
        <v>2.5821596244131455</v>
      </c>
      <c r="U340" s="165">
        <f ca="1">IF(R340="","",INDEX(OFFSET(Arb!$X$2,,,Arb!$AJ$5,),R340)/S340)</f>
        <v>2.9212310902451746</v>
      </c>
      <c r="V340" s="165">
        <f ca="1">IF(R340="","",(INDEX(OFFSET(Arb!$U$2,,,Arb!$AJ$5,),R340)+INDEX(OFFSET(Arb!$V$2,,,Arb!$AJ$5,),R340))/S340)</f>
        <v>3.1298904538341157</v>
      </c>
      <c r="W340" s="51">
        <f t="shared" ca="1" si="107"/>
        <v>53.851259896182626</v>
      </c>
      <c r="X340" s="88">
        <f ca="1">IF(R340="","",DATE(INDEX(OFFSET(Arb!$C$2,,,Arb!$AJ$5,),R340),INDEX(OFFSET(Arb!$B$2,,,Arb!$AJ$5,),R340),INDEX(OFFSET(Arb!$A$2,,,Arb!$AJ$5,),R340))+ROW()*0.001)</f>
        <v>43918.34</v>
      </c>
      <c r="Y340" s="436">
        <v>198</v>
      </c>
      <c r="Z340" s="1">
        <v>2953</v>
      </c>
      <c r="AA340" s="52">
        <f ca="1">IF(Z340="","",INDEX(OFFSET(Arb!$H$2,,,Arb!$AJ$5,),Z340))</f>
        <v>77.180000000000007</v>
      </c>
      <c r="AB340" s="3">
        <f t="shared" ca="1" si="98"/>
        <v>2.5654314589271832</v>
      </c>
      <c r="AC340" s="165">
        <f ca="1">IF(Z340="","",INDEX(OFFSET(Arb!$X$2,,,Arb!$AJ$5,),Z340)/AA340)</f>
        <v>3.0318735423684888</v>
      </c>
      <c r="AD340" s="165">
        <f ca="1">IF(Z340="","",(INDEX(OFFSET(Arb!$U$2,,,Arb!$AJ$5,),Z340)+INDEX(OFFSET(Arb!$V$2,,,Arb!$AJ$5,),Z340))/AA340)</f>
        <v>3.3298782067893233</v>
      </c>
      <c r="AE340" s="51">
        <f t="shared" ca="1" si="108"/>
        <v>53.259529975078308</v>
      </c>
      <c r="AF340" s="91">
        <f ca="1">IF(Z340="","",DATE(INDEX(OFFSET(Arb!$C$2,,,Arb!$AJ$5,),Z340),INDEX(OFFSET(Arb!$B$2,,,Arb!$AJ$5,),Z340),INDEX(OFFSET(Arb!$A$2,,,Arb!$AJ$5,),Z340))+ROW()*0.001)</f>
        <v>43949.34</v>
      </c>
      <c r="AG340" s="442">
        <v>198</v>
      </c>
      <c r="AH340" s="1">
        <v>2634</v>
      </c>
      <c r="AI340" s="52">
        <f ca="1">IF(AH340="","",INDEX(OFFSET(Arb!$H$2,,,Arb!$AJ$5,),AH340))</f>
        <v>81.83</v>
      </c>
      <c r="AJ340" s="3">
        <f t="shared" ca="1" si="99"/>
        <v>2.4196504949285105</v>
      </c>
      <c r="AK340" s="165">
        <f ca="1">IF(AH340="","",INDEX(OFFSET(Arb!$X$2,,,Arb!$AJ$5,),AH340)/AI340)</f>
        <v>2.7984846633264087</v>
      </c>
      <c r="AL340" s="165">
        <f ca="1">IF(AH340="","",(INDEX(OFFSET(Arb!$U$2,,,Arb!$AJ$5,),AH340)+INDEX(OFFSET(Arb!$V$2,,,Arb!$AJ$5,),AH340))/AI340)</f>
        <v>3.1773188317243064</v>
      </c>
      <c r="AM340" s="51">
        <f t="shared" ca="1" si="109"/>
        <v>48.217435543493892</v>
      </c>
      <c r="AN340" s="88">
        <f ca="1">IF(AH340="","",DATE(INDEX(OFFSET(Arb!$C$2,,,Arb!$AJ$5,),AH340),INDEX(OFFSET(Arb!$B$2,,,Arb!$AJ$5,),AH340),INDEX(OFFSET(Arb!$A$2,,,Arb!$AJ$5,),AH340))+ROW()*0.001)</f>
        <v>43815.34</v>
      </c>
      <c r="AO340" s="436">
        <v>198</v>
      </c>
      <c r="AP340" s="1">
        <v>2649</v>
      </c>
      <c r="AQ340" s="52">
        <f ca="1">IF(AP340="","",INDEX(OFFSET(Arb!$H$2,,,Arb!$AJ$5,),AP340))</f>
        <v>86</v>
      </c>
      <c r="AR340" s="3">
        <f t="shared" ca="1" si="100"/>
        <v>2.3023255813953489</v>
      </c>
      <c r="AS340" s="165">
        <f ca="1">IF(AP340="","",INDEX(OFFSET(Arb!$X$2,,,Arb!$AJ$5,),AP340)/AQ340)</f>
        <v>2.7209302325581395</v>
      </c>
      <c r="AT340" s="165">
        <f ca="1">IF(AP340="","",(INDEX(OFFSET(Arb!$U$2,,,Arb!$AJ$5,),AP340)+INDEX(OFFSET(Arb!$V$2,,,Arb!$AJ$5,),AP340))/AQ340)</f>
        <v>3.0930232558139537</v>
      </c>
      <c r="AU340" s="51">
        <f t="shared" ca="1" si="110"/>
        <v>44.310645680665708</v>
      </c>
      <c r="AV340" s="91">
        <f ca="1">IF(AP340="","",DATE(INDEX(OFFSET(Arb!$C$2,,,Arb!$AJ$5,),AP340),INDEX(OFFSET(Arb!$B$2,,,Arb!$AJ$5,),AP340),INDEX(OFFSET(Arb!$A$2,,,Arb!$AJ$5,),AP340))+ROW()*0.001)</f>
        <v>43817.34</v>
      </c>
      <c r="AW340" s="442">
        <v>198</v>
      </c>
      <c r="AX340" s="1">
        <v>2963</v>
      </c>
      <c r="AY340" s="52">
        <f ca="1">IF(AX340="","",INDEX(OFFSET(Arb!$H$2,,,Arb!$AJ$5,),AX340))</f>
        <v>86.19</v>
      </c>
      <c r="AZ340" s="3">
        <f t="shared" ca="1" si="101"/>
        <v>2.297250261051166</v>
      </c>
      <c r="BA340" s="165">
        <f ca="1">IF(AX340="","",INDEX(OFFSET(Arb!$X$2,,,Arb!$AJ$5,),AX340)/AY340)</f>
        <v>2.575704838148277</v>
      </c>
      <c r="BB340" s="165">
        <f ca="1">IF(AX340="","",(INDEX(OFFSET(Arb!$U$2,,,Arb!$AJ$5,),AX340)+INDEX(OFFSET(Arb!$V$2,,,Arb!$AJ$5,),AX340))/AY340)</f>
        <v>2.7613412228796843</v>
      </c>
      <c r="BC340" s="51">
        <f t="shared" ca="1" si="111"/>
        <v>44.144718155239396</v>
      </c>
      <c r="BD340" s="88">
        <f ca="1">IF(AX340="","",DATE(INDEX(OFFSET(Arb!$C$2,,,Arb!$AJ$5,),AX340),INDEX(OFFSET(Arb!$B$2,,,Arb!$AJ$5,),AX340),INDEX(OFFSET(Arb!$A$2,,,Arb!$AJ$5,),AX340))+ROW()*0.001)</f>
        <v>43951.34</v>
      </c>
      <c r="BE340" s="436">
        <v>198</v>
      </c>
      <c r="BF340" s="1">
        <v>2544</v>
      </c>
      <c r="BG340" s="52">
        <f ca="1">IF(BF340="","",INDEX(OFFSET(Arb!$H$2,,,Arb!$AJ$5,),BF340))</f>
        <v>87.38</v>
      </c>
      <c r="BH340" s="3">
        <f t="shared" ca="1" si="102"/>
        <v>2.2659647516594186</v>
      </c>
      <c r="BI340" s="165">
        <f ca="1">IF(BF340="","",INDEX(OFFSET(Arb!$X$2,,,Arb!$AJ$5,),BF340)/BG340)</f>
        <v>2.7008468757152668</v>
      </c>
      <c r="BJ340" s="165">
        <f ca="1">IF(BF340="","",(INDEX(OFFSET(Arb!$U$2,,,Arb!$AJ$5,),BF340)+INDEX(OFFSET(Arb!$V$2,,,Arb!$AJ$5,),BF340))/BG340)</f>
        <v>2.9411764705882355</v>
      </c>
      <c r="BK340" s="51">
        <f t="shared" ca="1" si="112"/>
        <v>43.127568829638562</v>
      </c>
      <c r="BL340" s="91">
        <f ca="1">IF(BF340="","",DATE(INDEX(OFFSET(Arb!$C$2,,,Arb!$AJ$5,),BF340),INDEX(OFFSET(Arb!$B$2,,,Arb!$AJ$5,),BF340),INDEX(OFFSET(Arb!$A$2,,,Arb!$AJ$5,),BF340))+ROW()*0.001)</f>
        <v>43796.34</v>
      </c>
      <c r="BM340" s="442">
        <v>198</v>
      </c>
      <c r="BN340" s="1">
        <v>2492</v>
      </c>
      <c r="BO340" s="52">
        <f ca="1">IF(BN340="","",INDEX(OFFSET(Arb!$H$2,,,Arb!$AJ$5,),BN340))</f>
        <v>90.16</v>
      </c>
      <c r="BP340" s="3">
        <f t="shared" ca="1" si="103"/>
        <v>2.1960958296362025</v>
      </c>
      <c r="BQ340" s="165">
        <f ca="1">IF(BN340="","",INDEX(OFFSET(Arb!$X$2,,,Arb!$AJ$5,),BN340)/BO340)</f>
        <v>2.6286601597160604</v>
      </c>
      <c r="BR340" s="165">
        <f ca="1">IF(BN340="","",(INDEX(OFFSET(Arb!$U$2,,,Arb!$AJ$5,),BN340)+INDEX(OFFSET(Arb!$V$2,,,Arb!$AJ$5,),BN340))/BO340)</f>
        <v>2.8726708074534164</v>
      </c>
      <c r="BS340" s="51">
        <f t="shared" ca="1" si="113"/>
        <v>40.891384056326856</v>
      </c>
      <c r="BT340" s="88">
        <f ca="1">IF(BN340="","",DATE(INDEX(OFFSET(Arb!$C$2,,,Arb!$AJ$5,),BN340),INDEX(OFFSET(Arb!$B$2,,,Arb!$AJ$5,),BN340),INDEX(OFFSET(Arb!$A$2,,,Arb!$AJ$5,),BN340))+ROW()*0.001)</f>
        <v>43787.34</v>
      </c>
      <c r="BU340" s="436">
        <v>198</v>
      </c>
      <c r="BW340" s="52" t="str">
        <f ca="1">IF(BV340="","",INDEX(OFFSET(Arb!$H$2,,,Arb!$AJ$5,),BV340))</f>
        <v/>
      </c>
      <c r="BX340" s="3" t="str">
        <f t="shared" ca="1" si="104"/>
        <v/>
      </c>
      <c r="BY340" s="165" t="str">
        <f ca="1">IF(BV340="","",INDEX(OFFSET(Arb!$X$2,,,Arb!$AJ$5,),BV340)/BW340)</f>
        <v/>
      </c>
      <c r="BZ340" s="165" t="str">
        <f ca="1">IF(BV340="","",(INDEX(OFFSET(Arb!$U$2,,,Arb!$AJ$5,),BV340)+INDEX(OFFSET(Arb!$V$2,,,Arb!$AJ$5,),BV340))/BW340)</f>
        <v/>
      </c>
      <c r="CA340" s="51" t="str">
        <f t="shared" ca="1" si="114"/>
        <v/>
      </c>
      <c r="CB340" s="91" t="str">
        <f ca="1">IF(BV340="","",DATE(INDEX(OFFSET(Arb!$C$2,,,Arb!$AJ$5,),BV340),INDEX(OFFSET(Arb!$B$2,,,Arb!$AJ$5,),BV340),INDEX(OFFSET(Arb!$A$2,,,Arb!$AJ$5,),BV340))+ROW()*0.001)</f>
        <v/>
      </c>
    </row>
    <row r="341" spans="1:80" x14ac:dyDescent="0.25">
      <c r="A341" s="433">
        <v>199</v>
      </c>
      <c r="B341" s="1">
        <v>2927</v>
      </c>
      <c r="C341" s="52">
        <f ca="1">IF(B341="","",INDEX(OFFSET(Arb!$H$2,,,Arb!$AJ$5,),B341))</f>
        <v>73.11</v>
      </c>
      <c r="D341" s="3">
        <f t="shared" ca="1" si="95"/>
        <v>2.7219258651347285</v>
      </c>
      <c r="E341" s="165">
        <f ca="1">IF(B341="","",INDEX(OFFSET(Arb!$X$2,,,Arb!$AJ$5,),B341)/C341)</f>
        <v>3.2143345643550814</v>
      </c>
      <c r="F341" s="165">
        <f ca="1">IF(B341="","",(INDEX(OFFSET(Arb!$U$2,,,Arb!$AJ$5,),B341)+INDEX(OFFSET(Arb!$V$2,,,Arb!$AJ$5,),B341))/C341)</f>
        <v>3.5289290110791955</v>
      </c>
      <c r="G341" s="51">
        <f t="shared" ca="1" si="105"/>
        <v>58.692525741638235</v>
      </c>
      <c r="H341" s="355">
        <f ca="1">IF(B341="","",DATE(INDEX(OFFSET(Arb!$C$2,,,Arb!$AJ$5,),B341),INDEX(OFFSET(Arb!$B$2,,,Arb!$AJ$5,),B341),INDEX(OFFSET(Arb!$A$2,,,Arb!$AJ$5,),B341))+ROW()*0.001)</f>
        <v>43936.341</v>
      </c>
      <c r="I341" s="436">
        <v>199</v>
      </c>
      <c r="J341" s="1">
        <v>3341</v>
      </c>
      <c r="K341" s="52">
        <f ca="1">IF(J341="","",INDEX(OFFSET(Arb!$H$2,,,Arb!$AJ$5,),J341))</f>
        <v>77.91</v>
      </c>
      <c r="L341" s="3">
        <f t="shared" ca="1" si="96"/>
        <v>2.5542292388653576</v>
      </c>
      <c r="M341" s="165">
        <f ca="1">IF(J341="","",INDEX(OFFSET(Arb!$X$2,,,Arb!$AJ$5,),J341)/K341)</f>
        <v>3.1318187652419458</v>
      </c>
      <c r="N341" s="165">
        <f ca="1">IF(J341="","",(INDEX(OFFSET(Arb!$U$2,,,Arb!$AJ$5,),J341)+INDEX(OFFSET(Arb!$V$2,,,Arb!$AJ$5,),J341))/K341)</f>
        <v>3.5168784494930048</v>
      </c>
      <c r="O341" s="51">
        <f t="shared" ca="1" si="106"/>
        <v>52.678680035024165</v>
      </c>
      <c r="P341" s="91">
        <f ca="1">IF(J341="","",DATE(INDEX(OFFSET(Arb!$C$2,,,Arb!$AJ$5,),J341),INDEX(OFFSET(Arb!$B$2,,,Arb!$AJ$5,),J341),INDEX(OFFSET(Arb!$A$2,,,Arb!$AJ$5,),J341))+ROW()*0.001)</f>
        <v>44097.341</v>
      </c>
      <c r="Q341" s="442">
        <v>199</v>
      </c>
      <c r="R341" s="1">
        <v>2704</v>
      </c>
      <c r="S341" s="52">
        <f ca="1">IF(R341="","",INDEX(OFFSET(Arb!$H$2,,,Arb!$AJ$5,),R341))</f>
        <v>80.819999999999993</v>
      </c>
      <c r="T341" s="3">
        <f t="shared" ca="1" si="97"/>
        <v>2.462261816382084</v>
      </c>
      <c r="U341" s="165">
        <f ca="1">IF(R341="","",INDEX(OFFSET(Arb!$X$2,,,Arb!$AJ$5,),R341)/S341)</f>
        <v>3.0932937391734723</v>
      </c>
      <c r="V341" s="165">
        <f ca="1">IF(R341="","",(INDEX(OFFSET(Arb!$U$2,,,Arb!$AJ$5,),R341)+INDEX(OFFSET(Arb!$V$2,,,Arb!$AJ$5,),R341))/S341)</f>
        <v>3.5882207374412278</v>
      </c>
      <c r="W341" s="51">
        <f t="shared" ca="1" si="107"/>
        <v>49.494995985152968</v>
      </c>
      <c r="X341" s="88">
        <f ca="1">IF(R341="","",DATE(INDEX(OFFSET(Arb!$C$2,,,Arb!$AJ$5,),R341),INDEX(OFFSET(Arb!$B$2,,,Arb!$AJ$5,),R341),INDEX(OFFSET(Arb!$A$2,,,Arb!$AJ$5,),R341))+ROW()*0.001)</f>
        <v>43841.341</v>
      </c>
      <c r="Y341" s="436">
        <v>199</v>
      </c>
      <c r="Z341" s="1">
        <v>3363</v>
      </c>
      <c r="AA341" s="52">
        <f ca="1">IF(Z341="","",INDEX(OFFSET(Arb!$H$2,,,Arb!$AJ$5,),Z341))</f>
        <v>80.84</v>
      </c>
      <c r="AB341" s="3">
        <f t="shared" ca="1" si="98"/>
        <v>2.4616526472043541</v>
      </c>
      <c r="AC341" s="165">
        <f ca="1">IF(Z341="","",INDEX(OFFSET(Arb!$X$2,,,Arb!$AJ$5,),Z341)/AA341)</f>
        <v>2.7090549233052945</v>
      </c>
      <c r="AD341" s="165">
        <f ca="1">IF(Z341="","",(INDEX(OFFSET(Arb!$U$2,,,Arb!$AJ$5,),Z341)+INDEX(OFFSET(Arb!$V$2,,,Arb!$AJ$5,),Z341))/AA341)</f>
        <v>2.9688273132112815</v>
      </c>
      <c r="AE341" s="51">
        <f t="shared" ca="1" si="108"/>
        <v>49.474180990814567</v>
      </c>
      <c r="AF341" s="91">
        <f ca="1">IF(Z341="","",DATE(INDEX(OFFSET(Arb!$C$2,,,Arb!$AJ$5,),Z341),INDEX(OFFSET(Arb!$B$2,,,Arb!$AJ$5,),Z341),INDEX(OFFSET(Arb!$A$2,,,Arb!$AJ$5,),Z341))+ROW()*0.001)</f>
        <v>44107.341</v>
      </c>
      <c r="AG341" s="442">
        <v>199</v>
      </c>
      <c r="AH341" s="1">
        <v>2923</v>
      </c>
      <c r="AI341" s="52">
        <f ca="1">IF(AH341="","",INDEX(OFFSET(Arb!$H$2,,,Arb!$AJ$5,),AH341))</f>
        <v>82.58</v>
      </c>
      <c r="AJ341" s="3">
        <f t="shared" ca="1" si="99"/>
        <v>2.4097844514410269</v>
      </c>
      <c r="AK341" s="165">
        <f ca="1">IF(AH341="","",INDEX(OFFSET(Arb!$X$2,,,Arb!$AJ$5,),AH341)/AI341)</f>
        <v>2.8820537660450474</v>
      </c>
      <c r="AL341" s="165">
        <f ca="1">IF(AH341="","",(INDEX(OFFSET(Arb!$U$2,,,Arb!$AJ$5,),AH341)+INDEX(OFFSET(Arb!$V$2,,,Arb!$AJ$5,),AH341))/AI341)</f>
        <v>3.2090094453862923</v>
      </c>
      <c r="AM341" s="51">
        <f t="shared" ca="1" si="109"/>
        <v>47.715121960334614</v>
      </c>
      <c r="AN341" s="88">
        <f ca="1">IF(AH341="","",DATE(INDEX(OFFSET(Arb!$C$2,,,Arb!$AJ$5,),AH341),INDEX(OFFSET(Arb!$B$2,,,Arb!$AJ$5,),AH341),INDEX(OFFSET(Arb!$A$2,,,Arb!$AJ$5,),AH341))+ROW()*0.001)</f>
        <v>43935.341</v>
      </c>
      <c r="AO341" s="436">
        <v>199</v>
      </c>
      <c r="AP341" s="1">
        <v>2857</v>
      </c>
      <c r="AQ341" s="52">
        <f ca="1">IF(AP341="","",INDEX(OFFSET(Arb!$H$2,,,Arb!$AJ$5,),AP341))</f>
        <v>83.67</v>
      </c>
      <c r="AR341" s="3">
        <f t="shared" ca="1" si="100"/>
        <v>2.3783912991514282</v>
      </c>
      <c r="AS341" s="165">
        <f ca="1">IF(AP341="","",INDEX(OFFSET(Arb!$X$2,,,Arb!$AJ$5,),AP341)/AQ341)</f>
        <v>2.701087606071471</v>
      </c>
      <c r="AT341" s="165">
        <f ca="1">IF(AP341="","",(INDEX(OFFSET(Arb!$U$2,,,Arb!$AJ$5,),AP341)+INDEX(OFFSET(Arb!$V$2,,,Arb!$AJ$5,),AP341))/AQ341)</f>
        <v>2.9520736225648379</v>
      </c>
      <c r="AU341" s="51">
        <f t="shared" ca="1" si="110"/>
        <v>46.663222196325009</v>
      </c>
      <c r="AV341" s="91">
        <f ca="1">IF(AP341="","",DATE(INDEX(OFFSET(Arb!$C$2,,,Arb!$AJ$5,),AP341),INDEX(OFFSET(Arb!$B$2,,,Arb!$AJ$5,),AP341),INDEX(OFFSET(Arb!$A$2,,,Arb!$AJ$5,),AP341))+ROW()*0.001)</f>
        <v>43907.341</v>
      </c>
      <c r="AW341" s="442">
        <v>199</v>
      </c>
      <c r="AX341" s="1">
        <v>2924</v>
      </c>
      <c r="AY341" s="52">
        <f ca="1">IF(AX341="","",INDEX(OFFSET(Arb!$H$2,,,Arb!$AJ$5,),AX341))</f>
        <v>84.32</v>
      </c>
      <c r="AZ341" s="3">
        <f t="shared" ca="1" si="101"/>
        <v>2.3600569259962052</v>
      </c>
      <c r="BA341" s="165">
        <f ca="1">IF(AX341="","",INDEX(OFFSET(Arb!$X$2,,,Arb!$AJ$5,),AX341)/AY341)</f>
        <v>2.7632827324478182</v>
      </c>
      <c r="BB341" s="165">
        <f ca="1">IF(AX341="","",(INDEX(OFFSET(Arb!$U$2,,,Arb!$AJ$5,),AX341)+INDEX(OFFSET(Arb!$V$2,,,Arb!$AJ$5,),AX341))/AY341)</f>
        <v>3.0360531309297913</v>
      </c>
      <c r="BC341" s="51">
        <f t="shared" ca="1" si="111"/>
        <v>46.053359369252199</v>
      </c>
      <c r="BD341" s="88">
        <f ca="1">IF(AX341="","",DATE(INDEX(OFFSET(Arb!$C$2,,,Arb!$AJ$5,),AX341),INDEX(OFFSET(Arb!$B$2,,,Arb!$AJ$5,),AX341),INDEX(OFFSET(Arb!$A$2,,,Arb!$AJ$5,),AX341))+ROW()*0.001)</f>
        <v>43935.341</v>
      </c>
      <c r="BE341" s="436">
        <v>199</v>
      </c>
      <c r="BF341" s="1">
        <v>2915</v>
      </c>
      <c r="BG341" s="52">
        <f ca="1">IF(BF341="","",INDEX(OFFSET(Arb!$H$2,,,Arb!$AJ$5,),BF341))</f>
        <v>90.56</v>
      </c>
      <c r="BH341" s="3">
        <f t="shared" ca="1" si="102"/>
        <v>2.1974381625441697</v>
      </c>
      <c r="BI341" s="165">
        <f ca="1">IF(BF341="","",INDEX(OFFSET(Arb!$X$2,,,Arb!$AJ$5,),BF341)/BG341)</f>
        <v>2.7274734982332154</v>
      </c>
      <c r="BJ341" s="165">
        <f ca="1">IF(BF341="","",(INDEX(OFFSET(Arb!$U$2,,,Arb!$AJ$5,),BF341)+INDEX(OFFSET(Arb!$V$2,,,Arb!$AJ$5,),BF341))/BG341)</f>
        <v>3.0256183745583036</v>
      </c>
      <c r="BK341" s="51">
        <f t="shared" ca="1" si="112"/>
        <v>40.789786128734107</v>
      </c>
      <c r="BL341" s="91">
        <f ca="1">IF(BF341="","",DATE(INDEX(OFFSET(Arb!$C$2,,,Arb!$AJ$5,),BF341),INDEX(OFFSET(Arb!$B$2,,,Arb!$AJ$5,),BF341),INDEX(OFFSET(Arb!$A$2,,,Arb!$AJ$5,),BF341))+ROW()*0.001)</f>
        <v>43934.341</v>
      </c>
      <c r="BM341" s="442">
        <v>199</v>
      </c>
      <c r="BO341" s="52" t="str">
        <f ca="1">IF(BN341="","",INDEX(OFFSET(Arb!$H$2,,,Arb!$AJ$5,),BN341))</f>
        <v/>
      </c>
      <c r="BP341" s="3" t="str">
        <f t="shared" ca="1" si="103"/>
        <v/>
      </c>
      <c r="BQ341" s="165" t="str">
        <f ca="1">IF(BN341="","",INDEX(OFFSET(Arb!$X$2,,,Arb!$AJ$5,),BN341)/BO341)</f>
        <v/>
      </c>
      <c r="BR341" s="165" t="str">
        <f ca="1">IF(BN341="","",(INDEX(OFFSET(Arb!$U$2,,,Arb!$AJ$5,),BN341)+INDEX(OFFSET(Arb!$V$2,,,Arb!$AJ$5,),BN341))/BO341)</f>
        <v/>
      </c>
      <c r="BS341" s="51" t="str">
        <f t="shared" ca="1" si="113"/>
        <v/>
      </c>
      <c r="BT341" s="88" t="str">
        <f ca="1">IF(BN341="","",DATE(INDEX(OFFSET(Arb!$C$2,,,Arb!$AJ$5,),BN341),INDEX(OFFSET(Arb!$B$2,,,Arb!$AJ$5,),BN341),INDEX(OFFSET(Arb!$A$2,,,Arb!$AJ$5,),BN341))+ROW()*0.001)</f>
        <v/>
      </c>
      <c r="BU341" s="436">
        <v>199</v>
      </c>
      <c r="BW341" s="52" t="str">
        <f ca="1">IF(BV341="","",INDEX(OFFSET(Arb!$H$2,,,Arb!$AJ$5,),BV341))</f>
        <v/>
      </c>
      <c r="BX341" s="3" t="str">
        <f t="shared" ca="1" si="104"/>
        <v/>
      </c>
      <c r="BY341" s="165" t="str">
        <f ca="1">IF(BV341="","",INDEX(OFFSET(Arb!$X$2,,,Arb!$AJ$5,),BV341)/BW341)</f>
        <v/>
      </c>
      <c r="BZ341" s="165" t="str">
        <f ca="1">IF(BV341="","",(INDEX(OFFSET(Arb!$U$2,,,Arb!$AJ$5,),BV341)+INDEX(OFFSET(Arb!$V$2,,,Arb!$AJ$5,),BV341))/BW341)</f>
        <v/>
      </c>
      <c r="CA341" s="51" t="str">
        <f t="shared" ca="1" si="114"/>
        <v/>
      </c>
      <c r="CB341" s="91" t="str">
        <f ca="1">IF(BV341="","",DATE(INDEX(OFFSET(Arb!$C$2,,,Arb!$AJ$5,),BV341),INDEX(OFFSET(Arb!$B$2,,,Arb!$AJ$5,),BV341),INDEX(OFFSET(Arb!$A$2,,,Arb!$AJ$5,),BV341))+ROW()*0.001)</f>
        <v/>
      </c>
    </row>
    <row r="342" spans="1:80" x14ac:dyDescent="0.25">
      <c r="A342" s="433">
        <v>200</v>
      </c>
      <c r="B342" s="1">
        <v>3339</v>
      </c>
      <c r="C342" s="52">
        <f ca="1">IF(B342="","",INDEX(OFFSET(Arb!$H$2,,,Arb!$AJ$5,),B342))</f>
        <v>81.22</v>
      </c>
      <c r="D342" s="3">
        <f t="shared" ca="1" si="95"/>
        <v>2.4624476729869489</v>
      </c>
      <c r="E342" s="165">
        <f ca="1">IF(B342="","",INDEX(OFFSET(Arb!$X$2,,,Arb!$AJ$5,),B342)/C342)</f>
        <v>2.7825658704752523</v>
      </c>
      <c r="F342" s="165">
        <f ca="1">IF(B342="","",(INDEX(OFFSET(Arb!$U$2,,,Arb!$AJ$5,),B342)+INDEX(OFFSET(Arb!$V$2,,,Arb!$AJ$5,),B342))/C342)</f>
        <v>3.053435114503817</v>
      </c>
      <c r="G342" s="51">
        <f t="shared" ca="1" si="105"/>
        <v>49.327962387513004</v>
      </c>
      <c r="H342" s="355">
        <f ca="1">IF(B342="","",DATE(INDEX(OFFSET(Arb!$C$2,,,Arb!$AJ$5,),B342),INDEX(OFFSET(Arb!$B$2,,,Arb!$AJ$5,),B342),INDEX(OFFSET(Arb!$A$2,,,Arb!$AJ$5,),B342))+ROW()*0.001)</f>
        <v>44096.341999999997</v>
      </c>
      <c r="I342" s="436">
        <v>200</v>
      </c>
      <c r="J342" s="1">
        <v>3366</v>
      </c>
      <c r="K342" s="52">
        <f ca="1">IF(J342="","",INDEX(OFFSET(Arb!$H$2,,,Arb!$AJ$5,),J342))</f>
        <v>81.83</v>
      </c>
      <c r="L342" s="3">
        <f t="shared" ca="1" si="96"/>
        <v>2.4440914090186974</v>
      </c>
      <c r="M342" s="165">
        <f ca="1">IF(J342="","",INDEX(OFFSET(Arb!$X$2,,,Arb!$AJ$5,),J342)/K342)</f>
        <v>2.6029573506049126</v>
      </c>
      <c r="N342" s="165">
        <f ca="1">IF(J342="","",(INDEX(OFFSET(Arb!$U$2,,,Arb!$AJ$5,),J342)+INDEX(OFFSET(Arb!$V$2,,,Arb!$AJ$5,),J342))/K342)</f>
        <v>2.8473664915067824</v>
      </c>
      <c r="O342" s="51">
        <f t="shared" ca="1" si="106"/>
        <v>48.704480346963528</v>
      </c>
      <c r="P342" s="91">
        <f ca="1">IF(J342="","",DATE(INDEX(OFFSET(Arb!$C$2,,,Arb!$AJ$5,),J342),INDEX(OFFSET(Arb!$B$2,,,Arb!$AJ$5,),J342),INDEX(OFFSET(Arb!$A$2,,,Arb!$AJ$5,),J342))+ROW()*0.001)</f>
        <v>44115.341999999997</v>
      </c>
      <c r="Q342" s="442">
        <v>200</v>
      </c>
      <c r="R342" s="1">
        <v>3428</v>
      </c>
      <c r="S342" s="52">
        <f ca="1">IF(R342="","",INDEX(OFFSET(Arb!$H$2,,,Arb!$AJ$5,),R342))</f>
        <v>85.75</v>
      </c>
      <c r="T342" s="3">
        <f t="shared" ca="1" si="97"/>
        <v>2.3323615160349855</v>
      </c>
      <c r="U342" s="165">
        <f ca="1">IF(R342="","",INDEX(OFFSET(Arb!$X$2,,,Arb!$AJ$5,),R342)/S342)</f>
        <v>2.565597667638484</v>
      </c>
      <c r="V342" s="165">
        <f ca="1">IF(R342="","",(INDEX(OFFSET(Arb!$U$2,,,Arb!$AJ$5,),R342)+INDEX(OFFSET(Arb!$V$2,,,Arb!$AJ$5,),R342))/S342)</f>
        <v>2.7755102040816326</v>
      </c>
      <c r="W342" s="51">
        <f t="shared" ca="1" si="107"/>
        <v>44.980288038232729</v>
      </c>
      <c r="X342" s="88">
        <f ca="1">IF(R342="","",DATE(INDEX(OFFSET(Arb!$C$2,,,Arb!$AJ$5,),R342),INDEX(OFFSET(Arb!$B$2,,,Arb!$AJ$5,),R342),INDEX(OFFSET(Arb!$A$2,,,Arb!$AJ$5,),R342))+ROW()*0.001)</f>
        <v>44150.341999999997</v>
      </c>
      <c r="Y342" s="436">
        <v>200</v>
      </c>
      <c r="Z342" s="1">
        <v>2684</v>
      </c>
      <c r="AA342" s="52">
        <f ca="1">IF(Z342="","",INDEX(OFFSET(Arb!$H$2,,,Arb!$AJ$5,),Z342))</f>
        <v>87.61</v>
      </c>
      <c r="AB342" s="3">
        <f t="shared" ca="1" si="98"/>
        <v>2.2828444241524939</v>
      </c>
      <c r="AC342" s="165">
        <f ca="1">IF(Z342="","",INDEX(OFFSET(Arb!$X$2,,,Arb!$AJ$5,),Z342)/AA342)</f>
        <v>2.8649697523113802</v>
      </c>
      <c r="AD342" s="165">
        <f ca="1">IF(Z342="","",(INDEX(OFFSET(Arb!$U$2,,,Arb!$AJ$5,),Z342)+INDEX(OFFSET(Arb!$V$2,,,Arb!$AJ$5,),Z342))/AA342)</f>
        <v>3.1959821938134918</v>
      </c>
      <c r="AE342" s="51">
        <f t="shared" ca="1" si="108"/>
        <v>43.368958667762371</v>
      </c>
      <c r="AF342" s="91">
        <f ca="1">IF(Z342="","",DATE(INDEX(OFFSET(Arb!$C$2,,,Arb!$AJ$5,),Z342),INDEX(OFFSET(Arb!$B$2,,,Arb!$AJ$5,),Z342),INDEX(OFFSET(Arb!$A$2,,,Arb!$AJ$5,),Z342))+ROW()*0.001)</f>
        <v>43833.341999999997</v>
      </c>
      <c r="AG342" s="442">
        <v>200</v>
      </c>
      <c r="AH342" s="1">
        <v>2771</v>
      </c>
      <c r="AI342" s="52">
        <f ca="1">IF(AH342="","",INDEX(OFFSET(Arb!$H$2,,,Arb!$AJ$5,),AH342))</f>
        <v>88.85</v>
      </c>
      <c r="AJ342" s="3">
        <f t="shared" ca="1" si="99"/>
        <v>2.2509848058525606</v>
      </c>
      <c r="AK342" s="165">
        <f ca="1">IF(AH342="","",INDEX(OFFSET(Arb!$X$2,,,Arb!$AJ$5,),AH342)/AI342)</f>
        <v>2.6786719189645471</v>
      </c>
      <c r="AL342" s="165">
        <f ca="1">IF(AH342="","",(INDEX(OFFSET(Arb!$U$2,,,Arb!$AJ$5,),AH342)+INDEX(OFFSET(Arb!$V$2,,,Arb!$AJ$5,),AH342))/AI342)</f>
        <v>2.9712999437253802</v>
      </c>
      <c r="AM342" s="51">
        <f t="shared" ca="1" si="109"/>
        <v>42.345046718839448</v>
      </c>
      <c r="AN342" s="88">
        <f ca="1">IF(AH342="","",DATE(INDEX(OFFSET(Arb!$C$2,,,Arb!$AJ$5,),AH342),INDEX(OFFSET(Arb!$B$2,,,Arb!$AJ$5,),AH342),INDEX(OFFSET(Arb!$A$2,,,Arb!$AJ$5,),AH342))+ROW()*0.001)</f>
        <v>43889.341999999997</v>
      </c>
      <c r="AO342" s="436">
        <v>200</v>
      </c>
      <c r="AP342" s="1">
        <v>2762</v>
      </c>
      <c r="AQ342" s="52">
        <f ca="1">IF(AP342="","",INDEX(OFFSET(Arb!$H$2,,,Arb!$AJ$5,),AP342))</f>
        <v>91.14</v>
      </c>
      <c r="AR342" s="3">
        <f t="shared" ca="1" si="100"/>
        <v>2.1944261575597981</v>
      </c>
      <c r="AS342" s="165">
        <f ca="1">IF(AP342="","",INDEX(OFFSET(Arb!$X$2,,,Arb!$AJ$5,),AP342)/AQ342)</f>
        <v>2.6771999122229535</v>
      </c>
      <c r="AT342" s="165">
        <f ca="1">IF(AP342="","",(INDEX(OFFSET(Arb!$U$2,,,Arb!$AJ$5,),AP342)+INDEX(OFFSET(Arb!$V$2,,,Arb!$AJ$5,),AP342))/AQ342)</f>
        <v>2.9515031819179285</v>
      </c>
      <c r="AU342" s="51">
        <f t="shared" ca="1" si="110"/>
        <v>40.552245721283974</v>
      </c>
      <c r="AV342" s="91">
        <f ca="1">IF(AP342="","",DATE(INDEX(OFFSET(Arb!$C$2,,,Arb!$AJ$5,),AP342),INDEX(OFFSET(Arb!$B$2,,,Arb!$AJ$5,),AP342),INDEX(OFFSET(Arb!$A$2,,,Arb!$AJ$5,),AP342))+ROW()*0.001)</f>
        <v>43887.341999999997</v>
      </c>
      <c r="AW342" s="442">
        <v>200</v>
      </c>
      <c r="AY342" s="52" t="str">
        <f ca="1">IF(AX342="","",INDEX(OFFSET(Arb!$H$2,,,Arb!$AJ$5,),AX342))</f>
        <v/>
      </c>
      <c r="AZ342" s="3" t="str">
        <f t="shared" ca="1" si="101"/>
        <v/>
      </c>
      <c r="BA342" s="165" t="str">
        <f ca="1">IF(AX342="","",INDEX(OFFSET(Arb!$X$2,,,Arb!$AJ$5,),AX342)/AY342)</f>
        <v/>
      </c>
      <c r="BB342" s="165" t="str">
        <f ca="1">IF(AX342="","",(INDEX(OFFSET(Arb!$U$2,,,Arb!$AJ$5,),AX342)+INDEX(OFFSET(Arb!$V$2,,,Arb!$AJ$5,),AX342))/AY342)</f>
        <v/>
      </c>
      <c r="BC342" s="51" t="str">
        <f t="shared" ca="1" si="111"/>
        <v/>
      </c>
      <c r="BD342" s="88" t="str">
        <f ca="1">IF(AX342="","",DATE(INDEX(OFFSET(Arb!$C$2,,,Arb!$AJ$5,),AX342),INDEX(OFFSET(Arb!$B$2,,,Arb!$AJ$5,),AX342),INDEX(OFFSET(Arb!$A$2,,,Arb!$AJ$5,),AX342))+ROW()*0.001)</f>
        <v/>
      </c>
      <c r="BE342" s="436">
        <v>200</v>
      </c>
      <c r="BG342" s="52" t="str">
        <f ca="1">IF(BF342="","",INDEX(OFFSET(Arb!$H$2,,,Arb!$AJ$5,),BF342))</f>
        <v/>
      </c>
      <c r="BH342" s="3" t="str">
        <f t="shared" ca="1" si="102"/>
        <v/>
      </c>
      <c r="BI342" s="165" t="str">
        <f ca="1">IF(BF342="","",INDEX(OFFSET(Arb!$X$2,,,Arb!$AJ$5,),BF342)/BG342)</f>
        <v/>
      </c>
      <c r="BJ342" s="165" t="str">
        <f ca="1">IF(BF342="","",(INDEX(OFFSET(Arb!$U$2,,,Arb!$AJ$5,),BF342)+INDEX(OFFSET(Arb!$V$2,,,Arb!$AJ$5,),BF342))/BG342)</f>
        <v/>
      </c>
      <c r="BK342" s="51" t="str">
        <f t="shared" ca="1" si="112"/>
        <v/>
      </c>
      <c r="BL342" s="91" t="str">
        <f ca="1">IF(BF342="","",DATE(INDEX(OFFSET(Arb!$C$2,,,Arb!$AJ$5,),BF342),INDEX(OFFSET(Arb!$B$2,,,Arb!$AJ$5,),BF342),INDEX(OFFSET(Arb!$A$2,,,Arb!$AJ$5,),BF342))+ROW()*0.001)</f>
        <v/>
      </c>
      <c r="BM342" s="442">
        <v>200</v>
      </c>
      <c r="BO342" s="52" t="str">
        <f ca="1">IF(BN342="","",INDEX(OFFSET(Arb!$H$2,,,Arb!$AJ$5,),BN342))</f>
        <v/>
      </c>
      <c r="BP342" s="3" t="str">
        <f t="shared" ca="1" si="103"/>
        <v/>
      </c>
      <c r="BQ342" s="165" t="str">
        <f ca="1">IF(BN342="","",INDEX(OFFSET(Arb!$X$2,,,Arb!$AJ$5,),BN342)/BO342)</f>
        <v/>
      </c>
      <c r="BR342" s="165" t="str">
        <f ca="1">IF(BN342="","",(INDEX(OFFSET(Arb!$U$2,,,Arb!$AJ$5,),BN342)+INDEX(OFFSET(Arb!$V$2,,,Arb!$AJ$5,),BN342))/BO342)</f>
        <v/>
      </c>
      <c r="BS342" s="51" t="str">
        <f t="shared" ca="1" si="113"/>
        <v/>
      </c>
      <c r="BT342" s="88" t="str">
        <f ca="1">IF(BN342="","",DATE(INDEX(OFFSET(Arb!$C$2,,,Arb!$AJ$5,),BN342),INDEX(OFFSET(Arb!$B$2,,,Arb!$AJ$5,),BN342),INDEX(OFFSET(Arb!$A$2,,,Arb!$AJ$5,),BN342))+ROW()*0.001)</f>
        <v/>
      </c>
      <c r="BU342" s="436">
        <v>200</v>
      </c>
      <c r="BW342" s="52" t="str">
        <f ca="1">IF(BV342="","",INDEX(OFFSET(Arb!$H$2,,,Arb!$AJ$5,),BV342))</f>
        <v/>
      </c>
      <c r="BX342" s="3" t="str">
        <f t="shared" ca="1" si="104"/>
        <v/>
      </c>
      <c r="BY342" s="165" t="str">
        <f ca="1">IF(BV342="","",INDEX(OFFSET(Arb!$X$2,,,Arb!$AJ$5,),BV342)/BW342)</f>
        <v/>
      </c>
      <c r="BZ342" s="165" t="str">
        <f ca="1">IF(BV342="","",(INDEX(OFFSET(Arb!$U$2,,,Arb!$AJ$5,),BV342)+INDEX(OFFSET(Arb!$V$2,,,Arb!$AJ$5,),BV342))/BW342)</f>
        <v/>
      </c>
      <c r="CA342" s="51" t="str">
        <f t="shared" ca="1" si="114"/>
        <v/>
      </c>
      <c r="CB342" s="91" t="str">
        <f ca="1">IF(BV342="","",DATE(INDEX(OFFSET(Arb!$C$2,,,Arb!$AJ$5,),BV342),INDEX(OFFSET(Arb!$B$2,,,Arb!$AJ$5,),BV342),INDEX(OFFSET(Arb!$A$2,,,Arb!$AJ$5,),BV342))+ROW()*0.001)</f>
        <v/>
      </c>
    </row>
    <row r="343" spans="1:80" x14ac:dyDescent="0.25">
      <c r="A343" s="433">
        <v>201</v>
      </c>
      <c r="B343" s="1">
        <v>3237</v>
      </c>
      <c r="C343" s="52">
        <f ca="1">IF(B343="","",INDEX(OFFSET(Arb!$H$2,,,Arb!$AJ$5,),B343))</f>
        <v>72.66</v>
      </c>
      <c r="D343" s="3">
        <f t="shared" ca="1" si="95"/>
        <v>2.7663088356729975</v>
      </c>
      <c r="E343" s="165">
        <f ca="1">IF(B343="","",INDEX(OFFSET(Arb!$X$2,,,Arb!$AJ$5,),B343)/C343)</f>
        <v>3.2342416735480319</v>
      </c>
      <c r="F343" s="165">
        <f ca="1">IF(B343="","",(INDEX(OFFSET(Arb!$U$2,,,Arb!$AJ$5,),B343)+INDEX(OFFSET(Arb!$V$2,,,Arb!$AJ$5,),B343))/C343)</f>
        <v>3.454445361959813</v>
      </c>
      <c r="G343" s="51">
        <f t="shared" ca="1" si="105"/>
        <v>59.90790656260463</v>
      </c>
      <c r="H343" s="355">
        <f ca="1">IF(B343="","",DATE(INDEX(OFFSET(Arb!$C$2,,,Arb!$AJ$5,),B343),INDEX(OFFSET(Arb!$B$2,,,Arb!$AJ$5,),B343),INDEX(OFFSET(Arb!$A$2,,,Arb!$AJ$5,),B343))+ROW()*0.001)</f>
        <v>44064.343000000001</v>
      </c>
      <c r="I343" s="436">
        <v>201</v>
      </c>
      <c r="J343" s="1">
        <v>3433</v>
      </c>
      <c r="K343" s="52">
        <f ca="1">IF(J343="","",INDEX(OFFSET(Arb!$H$2,,,Arb!$AJ$5,),J343))</f>
        <v>75.63</v>
      </c>
      <c r="L343" s="3">
        <f t="shared" ca="1" si="96"/>
        <v>2.6576755255850855</v>
      </c>
      <c r="M343" s="165">
        <f ca="1">IF(J343="","",INDEX(OFFSET(Arb!$X$2,,,Arb!$AJ$5,),J343)/K343)</f>
        <v>2.6973423244744152</v>
      </c>
      <c r="N343" s="165">
        <f ca="1">IF(J343="","",(INDEX(OFFSET(Arb!$U$2,,,Arb!$AJ$5,),J343)+INDEX(OFFSET(Arb!$V$2,,,Arb!$AJ$5,),J343))/K343)</f>
        <v>3.1204548459605976</v>
      </c>
      <c r="O343" s="51">
        <f t="shared" ca="1" si="106"/>
        <v>55.963689979838989</v>
      </c>
      <c r="P343" s="91">
        <f ca="1">IF(J343="","",DATE(INDEX(OFFSET(Arb!$C$2,,,Arb!$AJ$5,),J343),INDEX(OFFSET(Arb!$B$2,,,Arb!$AJ$5,),J343),INDEX(OFFSET(Arb!$A$2,,,Arb!$AJ$5,),J343))+ROW()*0.001)</f>
        <v>44154.343000000001</v>
      </c>
      <c r="Q343" s="442">
        <v>201</v>
      </c>
      <c r="R343" s="1">
        <v>2945</v>
      </c>
      <c r="S343" s="52">
        <f ca="1">IF(R343="","",INDEX(OFFSET(Arb!$H$2,,,Arb!$AJ$5,),R343))</f>
        <v>78.44</v>
      </c>
      <c r="T343" s="3">
        <f t="shared" ca="1" si="97"/>
        <v>2.5624681285058646</v>
      </c>
      <c r="U343" s="165">
        <f ca="1">IF(R343="","",INDEX(OFFSET(Arb!$X$2,,,Arb!$AJ$5,),R343)/S343)</f>
        <v>2.8429372768995411</v>
      </c>
      <c r="V343" s="165">
        <f ca="1">IF(R343="","",(INDEX(OFFSET(Arb!$U$2,,,Arb!$AJ$5,),R343)+INDEX(OFFSET(Arb!$V$2,,,Arb!$AJ$5,),R343))/S343)</f>
        <v>3.1106578276389598</v>
      </c>
      <c r="W343" s="51">
        <f t="shared" ca="1" si="107"/>
        <v>52.598386046055332</v>
      </c>
      <c r="X343" s="88">
        <f ca="1">IF(R343="","",DATE(INDEX(OFFSET(Arb!$C$2,,,Arb!$AJ$5,),R343),INDEX(OFFSET(Arb!$B$2,,,Arb!$AJ$5,),R343),INDEX(OFFSET(Arb!$A$2,,,Arb!$AJ$5,),R343))+ROW()*0.001)</f>
        <v>43946.343000000001</v>
      </c>
      <c r="Y343" s="436">
        <v>201</v>
      </c>
      <c r="Z343" s="1">
        <v>3017</v>
      </c>
      <c r="AA343" s="52">
        <f ca="1">IF(Z343="","",INDEX(OFFSET(Arb!$H$2,,,Arb!$AJ$5,),Z343))</f>
        <v>79.040000000000006</v>
      </c>
      <c r="AB343" s="3">
        <f t="shared" ca="1" si="98"/>
        <v>2.5430161943319836</v>
      </c>
      <c r="AC343" s="165">
        <f ca="1">IF(Z343="","",INDEX(OFFSET(Arb!$X$2,,,Arb!$AJ$5,),Z343)/AA343)</f>
        <v>2.9984817813765181</v>
      </c>
      <c r="AD343" s="165">
        <f ca="1">IF(Z343="","",(INDEX(OFFSET(Arb!$U$2,,,Arb!$AJ$5,),Z343)+INDEX(OFFSET(Arb!$V$2,,,Arb!$AJ$5,),Z343))/AA343)</f>
        <v>3.3780364372469633</v>
      </c>
      <c r="AE343" s="51">
        <f t="shared" ca="1" si="108"/>
        <v>51.921416124462766</v>
      </c>
      <c r="AF343" s="91">
        <f ca="1">IF(Z343="","",DATE(INDEX(OFFSET(Arb!$C$2,,,Arb!$AJ$5,),Z343),INDEX(OFFSET(Arb!$B$2,,,Arb!$AJ$5,),Z343),INDEX(OFFSET(Arb!$A$2,,,Arb!$AJ$5,),Z343))+ROW()*0.001)</f>
        <v>43958.343000000001</v>
      </c>
      <c r="AG343" s="442">
        <v>201</v>
      </c>
      <c r="AH343" s="1">
        <v>3402</v>
      </c>
      <c r="AI343" s="52">
        <f ca="1">IF(AH343="","",INDEX(OFFSET(Arb!$H$2,,,Arb!$AJ$5,),AH343))</f>
        <v>81.84</v>
      </c>
      <c r="AJ343" s="3">
        <f t="shared" ca="1" si="99"/>
        <v>2.4560117302052786</v>
      </c>
      <c r="AK343" s="165">
        <f ca="1">IF(AH343="","",INDEX(OFFSET(Arb!$X$2,,,Arb!$AJ$5,),AH343)/AI343)</f>
        <v>2.4315738025415445</v>
      </c>
      <c r="AL343" s="165">
        <f ca="1">IF(AH343="","",(INDEX(OFFSET(Arb!$U$2,,,Arb!$AJ$5,),AH343)+INDEX(OFFSET(Arb!$V$2,,,Arb!$AJ$5,),AH343))/AI343)</f>
        <v>2.82258064516129</v>
      </c>
      <c r="AM343" s="51">
        <f t="shared" ca="1" si="109"/>
        <v>48.937835587655989</v>
      </c>
      <c r="AN343" s="88">
        <f ca="1">IF(AH343="","",DATE(INDEX(OFFSET(Arb!$C$2,,,Arb!$AJ$5,),AH343),INDEX(OFFSET(Arb!$B$2,,,Arb!$AJ$5,),AH343),INDEX(OFFSET(Arb!$A$2,,,Arb!$AJ$5,),AH343))+ROW()*0.001)</f>
        <v>44146.343000000001</v>
      </c>
      <c r="AO343" s="436">
        <v>201</v>
      </c>
      <c r="AP343" s="1">
        <v>2589</v>
      </c>
      <c r="AQ343" s="52">
        <f ca="1">IF(AP343="","",INDEX(OFFSET(Arb!$H$2,,,Arb!$AJ$5,),AP343))</f>
        <v>83.09</v>
      </c>
      <c r="AR343" s="3">
        <f t="shared" ca="1" si="100"/>
        <v>2.4190636659044409</v>
      </c>
      <c r="AS343" s="165">
        <f ca="1">IF(AP343="","",INDEX(OFFSET(Arb!$X$2,,,Arb!$AJ$5,),AP343)/AQ343)</f>
        <v>2.8282585148634012</v>
      </c>
      <c r="AT343" s="165">
        <f ca="1">IF(AP343="","",(INDEX(OFFSET(Arb!$U$2,,,Arb!$AJ$5,),AP343)+INDEX(OFFSET(Arb!$V$2,,,Arb!$AJ$5,),AP343))/AQ343)</f>
        <v>3.2735587916716811</v>
      </c>
      <c r="AU343" s="51">
        <f t="shared" ca="1" si="110"/>
        <v>47.692866142329173</v>
      </c>
      <c r="AV343" s="91">
        <f ca="1">IF(AP343="","",DATE(INDEX(OFFSET(Arb!$C$2,,,Arb!$AJ$5,),AP343),INDEX(OFFSET(Arb!$B$2,,,Arb!$AJ$5,),AP343),INDEX(OFFSET(Arb!$A$2,,,Arb!$AJ$5,),AP343))+ROW()*0.001)</f>
        <v>43805.343000000001</v>
      </c>
      <c r="AW343" s="442">
        <v>201</v>
      </c>
      <c r="AX343" s="1">
        <v>2666</v>
      </c>
      <c r="AY343" s="52">
        <f ca="1">IF(AX343="","",INDEX(OFFSET(Arb!$H$2,,,Arb!$AJ$5,),AX343))</f>
        <v>85.23</v>
      </c>
      <c r="AZ343" s="3">
        <f t="shared" ca="1" si="101"/>
        <v>2.3583245336149243</v>
      </c>
      <c r="BA343" s="165">
        <f ca="1">IF(AX343="","",INDEX(OFFSET(Arb!$X$2,,,Arb!$AJ$5,),AX343)/AY343)</f>
        <v>2.7572451014900854</v>
      </c>
      <c r="BB343" s="165">
        <f ca="1">IF(AX343="","",(INDEX(OFFSET(Arb!$U$2,,,Arb!$AJ$5,),AX343)+INDEX(OFFSET(Arb!$V$2,,,Arb!$AJ$5,),AX343))/AY343)</f>
        <v>3.050569048457116</v>
      </c>
      <c r="BC343" s="51">
        <f t="shared" ca="1" si="111"/>
        <v>45.675055359205572</v>
      </c>
      <c r="BD343" s="88">
        <f ca="1">IF(AX343="","",DATE(INDEX(OFFSET(Arb!$C$2,,,Arb!$AJ$5,),AX343),INDEX(OFFSET(Arb!$B$2,,,Arb!$AJ$5,),AX343),INDEX(OFFSET(Arb!$A$2,,,Arb!$AJ$5,),AX343))+ROW()*0.001)</f>
        <v>43823.343000000001</v>
      </c>
      <c r="BE343" s="436">
        <v>201</v>
      </c>
      <c r="BF343" s="1">
        <v>2891</v>
      </c>
      <c r="BG343" s="52">
        <f ca="1">IF(BF343="","",INDEX(OFFSET(Arb!$H$2,,,Arb!$AJ$5,),BF343))</f>
        <v>86.37</v>
      </c>
      <c r="BH343" s="3">
        <f t="shared" ca="1" si="102"/>
        <v>2.327196943383119</v>
      </c>
      <c r="BI343" s="165">
        <f ca="1">IF(BF343="","",INDEX(OFFSET(Arb!$X$2,,,Arb!$AJ$5,),BF343)/BG343)</f>
        <v>2.5587588282968623</v>
      </c>
      <c r="BJ343" s="165">
        <f ca="1">IF(BF343="","",(INDEX(OFFSET(Arb!$U$2,,,Arb!$AJ$5,),BF343)+INDEX(OFFSET(Arb!$V$2,,,Arb!$AJ$5,),BF343))/BG343)</f>
        <v>2.755586430473544</v>
      </c>
      <c r="BK343" s="51">
        <f t="shared" ca="1" si="112"/>
        <v>44.654923473144876</v>
      </c>
      <c r="BL343" s="91">
        <f ca="1">IF(BF343="","",DATE(INDEX(OFFSET(Arb!$C$2,,,Arb!$AJ$5,),BF343),INDEX(OFFSET(Arb!$B$2,,,Arb!$AJ$5,),BF343),INDEX(OFFSET(Arb!$A$2,,,Arb!$AJ$5,),BF343))+ROW()*0.001)</f>
        <v>43921.343000000001</v>
      </c>
      <c r="BM343" s="442">
        <v>201</v>
      </c>
      <c r="BN343" s="1">
        <v>2591</v>
      </c>
      <c r="BO343" s="52">
        <f ca="1">IF(BN343="","",INDEX(OFFSET(Arb!$H$2,,,Arb!$AJ$5,),BN343))</f>
        <v>86.53</v>
      </c>
      <c r="BP343" s="3">
        <f t="shared" ca="1" si="103"/>
        <v>2.3228937940598637</v>
      </c>
      <c r="BQ343" s="165">
        <f ca="1">IF(BN343="","",INDEX(OFFSET(Arb!$X$2,,,Arb!$AJ$5,),BN343)/BO343)</f>
        <v>2.7504911591355601</v>
      </c>
      <c r="BR343" s="165">
        <f ca="1">IF(BN343="","",(INDEX(OFFSET(Arb!$U$2,,,Arb!$AJ$5,),BN343)+INDEX(OFFSET(Arb!$V$2,,,Arb!$AJ$5,),BN343))/BO343)</f>
        <v>3.0162949266150467</v>
      </c>
      <c r="BS343" s="51">
        <f t="shared" ca="1" si="113"/>
        <v>44.51464522213243</v>
      </c>
      <c r="BT343" s="88">
        <f ca="1">IF(BN343="","",DATE(INDEX(OFFSET(Arb!$C$2,,,Arb!$AJ$5,),BN343),INDEX(OFFSET(Arb!$B$2,,,Arb!$AJ$5,),BN343),INDEX(OFFSET(Arb!$A$2,,,Arb!$AJ$5,),BN343))+ROW()*0.001)</f>
        <v>43807.343000000001</v>
      </c>
      <c r="BU343" s="436">
        <v>201</v>
      </c>
      <c r="BV343" s="1">
        <v>2711</v>
      </c>
      <c r="BW343" s="52">
        <f ca="1">IF(BV343="","",INDEX(OFFSET(Arb!$H$2,,,Arb!$AJ$5,),BV343))</f>
        <v>89.64</v>
      </c>
      <c r="BX343" s="3">
        <f t="shared" ca="1" si="104"/>
        <v>2.2423025435073627</v>
      </c>
      <c r="BY343" s="165">
        <f ca="1">IF(BV343="","",INDEX(OFFSET(Arb!$X$2,,,Arb!$AJ$5,),BV343)/BW343)</f>
        <v>2.6215975011155734</v>
      </c>
      <c r="BZ343" s="165">
        <f ca="1">IF(BV343="","",(INDEX(OFFSET(Arb!$U$2,,,Arb!$AJ$5,),BV343)+INDEX(OFFSET(Arb!$V$2,,,Arb!$AJ$5,),BV343))/BW343)</f>
        <v>2.9897367246764839</v>
      </c>
      <c r="CA343" s="51">
        <f t="shared" ca="1" si="114"/>
        <v>41.921148405631698</v>
      </c>
      <c r="CB343" s="91">
        <f ca="1">IF(BV343="","",DATE(INDEX(OFFSET(Arb!$C$2,,,Arb!$AJ$5,),BV343),INDEX(OFFSET(Arb!$B$2,,,Arb!$AJ$5,),BV343),INDEX(OFFSET(Arb!$A$2,,,Arb!$AJ$5,),BV343))+ROW()*0.001)</f>
        <v>43850.343000000001</v>
      </c>
    </row>
    <row r="344" spans="1:80" x14ac:dyDescent="0.25">
      <c r="A344" s="433">
        <v>202</v>
      </c>
      <c r="B344" s="1">
        <v>3299</v>
      </c>
      <c r="C344" s="52">
        <f ca="1">IF(B344="","",INDEX(OFFSET(Arb!$H$2,,,Arb!$AJ$5,),B344))</f>
        <v>73.099999999999994</v>
      </c>
      <c r="D344" s="3">
        <f t="shared" ca="1" si="95"/>
        <v>2.7633378932968538</v>
      </c>
      <c r="E344" s="165">
        <f ca="1">IF(B344="","",INDEX(OFFSET(Arb!$X$2,,,Arb!$AJ$5,),B344)/C344)</f>
        <v>3.2831737346101235</v>
      </c>
      <c r="F344" s="165">
        <f ca="1">IF(B344="","",(INDEX(OFFSET(Arb!$U$2,,,Arb!$AJ$5,),B344)+INDEX(OFFSET(Arb!$V$2,,,Arb!$AJ$5,),B344))/C344)</f>
        <v>3.5294117647058827</v>
      </c>
      <c r="G344" s="51">
        <f t="shared" ca="1" si="105"/>
        <v>59.591193545675445</v>
      </c>
      <c r="H344" s="355">
        <f ca="1">IF(B344="","",DATE(INDEX(OFFSET(Arb!$C$2,,,Arb!$AJ$5,),B344),INDEX(OFFSET(Arb!$B$2,,,Arb!$AJ$5,),B344),INDEX(OFFSET(Arb!$A$2,,,Arb!$AJ$5,),B344))+ROW()*0.001)</f>
        <v>44090.343999999997</v>
      </c>
      <c r="I344" s="436">
        <v>202</v>
      </c>
      <c r="J344" s="1">
        <v>2828</v>
      </c>
      <c r="K344" s="52">
        <f ca="1">IF(J344="","",INDEX(OFFSET(Arb!$H$2,,,Arb!$AJ$5,),J344))</f>
        <v>79.31</v>
      </c>
      <c r="L344" s="3">
        <f t="shared" ca="1" si="96"/>
        <v>2.5469675955112847</v>
      </c>
      <c r="M344" s="165">
        <f ca="1">IF(J344="","",INDEX(OFFSET(Arb!$X$2,,,Arb!$AJ$5,),J344)/K344)</f>
        <v>2.900012608750473</v>
      </c>
      <c r="N344" s="165">
        <f ca="1">IF(J344="","",(INDEX(OFFSET(Arb!$U$2,,,Arb!$AJ$5,),J344)+INDEX(OFFSET(Arb!$V$2,,,Arb!$AJ$5,),J344))/K344)</f>
        <v>3.1395788677342074</v>
      </c>
      <c r="O344" s="51">
        <f t="shared" ca="1" si="106"/>
        <v>51.878105736391483</v>
      </c>
      <c r="P344" s="91">
        <f ca="1">IF(J344="","",DATE(INDEX(OFFSET(Arb!$C$2,,,Arb!$AJ$5,),J344),INDEX(OFFSET(Arb!$B$2,,,Arb!$AJ$5,),J344),INDEX(OFFSET(Arb!$A$2,,,Arb!$AJ$5,),J344))+ROW()*0.001)</f>
        <v>43901.343999999997</v>
      </c>
      <c r="Q344" s="442">
        <v>202</v>
      </c>
      <c r="R344" s="1">
        <v>3398</v>
      </c>
      <c r="S344" s="52">
        <f ca="1">IF(R344="","",INDEX(OFFSET(Arb!$H$2,,,Arb!$AJ$5,),R344))</f>
        <v>80.239999999999995</v>
      </c>
      <c r="T344" s="3">
        <f t="shared" ca="1" si="97"/>
        <v>2.5174476570289133</v>
      </c>
      <c r="U344" s="165">
        <f ca="1">IF(R344="","",INDEX(OFFSET(Arb!$X$2,,,Arb!$AJ$5,),R344)/S344)</f>
        <v>2.7542372881355934</v>
      </c>
      <c r="V344" s="165">
        <f ca="1">IF(R344="","",(INDEX(OFFSET(Arb!$U$2,,,Arb!$AJ$5,),R344)+INDEX(OFFSET(Arb!$V$2,,,Arb!$AJ$5,),R344))/S344)</f>
        <v>3.0782652043868395</v>
      </c>
      <c r="W344" s="51">
        <f t="shared" ca="1" si="107"/>
        <v>50.860082552590598</v>
      </c>
      <c r="X344" s="88">
        <f ca="1">IF(R344="","",DATE(INDEX(OFFSET(Arb!$C$2,,,Arb!$AJ$5,),R344),INDEX(OFFSET(Arb!$B$2,,,Arb!$AJ$5,),R344),INDEX(OFFSET(Arb!$A$2,,,Arb!$AJ$5,),R344))+ROW()*0.001)</f>
        <v>44144.343999999997</v>
      </c>
      <c r="Y344" s="436">
        <v>202</v>
      </c>
      <c r="Z344" s="1">
        <v>2565</v>
      </c>
      <c r="AA344" s="52">
        <f ca="1">IF(Z344="","",INDEX(OFFSET(Arb!$H$2,,,Arb!$AJ$5,),Z344))</f>
        <v>98.28</v>
      </c>
      <c r="AB344" s="3">
        <f t="shared" ca="1" si="98"/>
        <v>2.0553520553520555</v>
      </c>
      <c r="AC344" s="165">
        <f ca="1">IF(Z344="","",INDEX(OFFSET(Arb!$X$2,,,Arb!$AJ$5,),Z344)/AA344)</f>
        <v>2.5539275539275539</v>
      </c>
      <c r="AD344" s="165">
        <f ca="1">IF(Z344="","",(INDEX(OFFSET(Arb!$U$2,,,Arb!$AJ$5,),Z344)+INDEX(OFFSET(Arb!$V$2,,,Arb!$AJ$5,),Z344))/AA344)</f>
        <v>2.9304029304029302</v>
      </c>
      <c r="AE344" s="51">
        <f t="shared" ca="1" si="108"/>
        <v>36.028889268707381</v>
      </c>
      <c r="AF344" s="91">
        <f ca="1">IF(Z344="","",DATE(INDEX(OFFSET(Arb!$C$2,,,Arb!$AJ$5,),Z344),INDEX(OFFSET(Arb!$B$2,,,Arb!$AJ$5,),Z344),INDEX(OFFSET(Arb!$A$2,,,Arb!$AJ$5,),Z344))+ROW()*0.001)</f>
        <v>43799.343999999997</v>
      </c>
      <c r="AG344" s="442">
        <v>202</v>
      </c>
      <c r="AH344" s="1">
        <v>2645</v>
      </c>
      <c r="AI344" s="52">
        <f ca="1">IF(AH344="","",INDEX(OFFSET(Arb!$H$2,,,Arb!$AJ$5,),AH344))</f>
        <v>99.44</v>
      </c>
      <c r="AJ344" s="3">
        <f t="shared" ca="1" si="99"/>
        <v>2.0313757039420755</v>
      </c>
      <c r="AK344" s="165">
        <f ca="1">IF(AH344="","",INDEX(OFFSET(Arb!$X$2,,,Arb!$AJ$5,),AH344)/AI344)</f>
        <v>2.3934030571198712</v>
      </c>
      <c r="AL344" s="165">
        <f ca="1">IF(AH344="","",(INDEX(OFFSET(Arb!$U$2,,,Arb!$AJ$5,),AH344)+INDEX(OFFSET(Arb!$V$2,,,Arb!$AJ$5,),AH344))/AI344)</f>
        <v>2.6146419951729687</v>
      </c>
      <c r="AM344" s="51">
        <f t="shared" ca="1" si="109"/>
        <v>35.317319008517082</v>
      </c>
      <c r="AN344" s="88">
        <f ca="1">IF(AH344="","",DATE(INDEX(OFFSET(Arb!$C$2,,,Arb!$AJ$5,),AH344),INDEX(OFFSET(Arb!$B$2,,,Arb!$AJ$5,),AH344),INDEX(OFFSET(Arb!$A$2,,,Arb!$AJ$5,),AH344))+ROW()*0.001)</f>
        <v>43817.343999999997</v>
      </c>
      <c r="AO344" s="436">
        <v>202</v>
      </c>
      <c r="AQ344" s="52" t="str">
        <f ca="1">IF(AP344="","",INDEX(OFFSET(Arb!$H$2,,,Arb!$AJ$5,),AP344))</f>
        <v/>
      </c>
      <c r="AR344" s="3" t="str">
        <f t="shared" ca="1" si="100"/>
        <v/>
      </c>
      <c r="AS344" s="165" t="str">
        <f ca="1">IF(AP344="","",INDEX(OFFSET(Arb!$X$2,,,Arb!$AJ$5,),AP344)/AQ344)</f>
        <v/>
      </c>
      <c r="AT344" s="165" t="str">
        <f ca="1">IF(AP344="","",(INDEX(OFFSET(Arb!$U$2,,,Arb!$AJ$5,),AP344)+INDEX(OFFSET(Arb!$V$2,,,Arb!$AJ$5,),AP344))/AQ344)</f>
        <v/>
      </c>
      <c r="AU344" s="51" t="str">
        <f t="shared" ca="1" si="110"/>
        <v/>
      </c>
      <c r="AV344" s="91" t="str">
        <f ca="1">IF(AP344="","",DATE(INDEX(OFFSET(Arb!$C$2,,,Arb!$AJ$5,),AP344),INDEX(OFFSET(Arb!$B$2,,,Arb!$AJ$5,),AP344),INDEX(OFFSET(Arb!$A$2,,,Arb!$AJ$5,),AP344))+ROW()*0.001)</f>
        <v/>
      </c>
      <c r="AW344" s="442">
        <v>202</v>
      </c>
      <c r="AY344" s="52" t="str">
        <f ca="1">IF(AX344="","",INDEX(OFFSET(Arb!$H$2,,,Arb!$AJ$5,),AX344))</f>
        <v/>
      </c>
      <c r="AZ344" s="3" t="str">
        <f t="shared" ca="1" si="101"/>
        <v/>
      </c>
      <c r="BA344" s="165" t="str">
        <f ca="1">IF(AX344="","",INDEX(OFFSET(Arb!$X$2,,,Arb!$AJ$5,),AX344)/AY344)</f>
        <v/>
      </c>
      <c r="BB344" s="165" t="str">
        <f ca="1">IF(AX344="","",(INDEX(OFFSET(Arb!$U$2,,,Arb!$AJ$5,),AX344)+INDEX(OFFSET(Arb!$V$2,,,Arb!$AJ$5,),AX344))/AY344)</f>
        <v/>
      </c>
      <c r="BC344" s="51" t="str">
        <f t="shared" ca="1" si="111"/>
        <v/>
      </c>
      <c r="BD344" s="88" t="str">
        <f ca="1">IF(AX344="","",DATE(INDEX(OFFSET(Arb!$C$2,,,Arb!$AJ$5,),AX344),INDEX(OFFSET(Arb!$B$2,,,Arb!$AJ$5,),AX344),INDEX(OFFSET(Arb!$A$2,,,Arb!$AJ$5,),AX344))+ROW()*0.001)</f>
        <v/>
      </c>
      <c r="BE344" s="436">
        <v>202</v>
      </c>
      <c r="BG344" s="52" t="str">
        <f ca="1">IF(BF344="","",INDEX(OFFSET(Arb!$H$2,,,Arb!$AJ$5,),BF344))</f>
        <v/>
      </c>
      <c r="BH344" s="3" t="str">
        <f t="shared" ca="1" si="102"/>
        <v/>
      </c>
      <c r="BI344" s="165" t="str">
        <f ca="1">IF(BF344="","",INDEX(OFFSET(Arb!$X$2,,,Arb!$AJ$5,),BF344)/BG344)</f>
        <v/>
      </c>
      <c r="BJ344" s="165" t="str">
        <f ca="1">IF(BF344="","",(INDEX(OFFSET(Arb!$U$2,,,Arb!$AJ$5,),BF344)+INDEX(OFFSET(Arb!$V$2,,,Arb!$AJ$5,),BF344))/BG344)</f>
        <v/>
      </c>
      <c r="BK344" s="51" t="str">
        <f t="shared" ca="1" si="112"/>
        <v/>
      </c>
      <c r="BL344" s="91" t="str">
        <f ca="1">IF(BF344="","",DATE(INDEX(OFFSET(Arb!$C$2,,,Arb!$AJ$5,),BF344),INDEX(OFFSET(Arb!$B$2,,,Arb!$AJ$5,),BF344),INDEX(OFFSET(Arb!$A$2,,,Arb!$AJ$5,),BF344))+ROW()*0.001)</f>
        <v/>
      </c>
      <c r="BM344" s="442">
        <v>202</v>
      </c>
      <c r="BO344" s="52" t="str">
        <f ca="1">IF(BN344="","",INDEX(OFFSET(Arb!$H$2,,,Arb!$AJ$5,),BN344))</f>
        <v/>
      </c>
      <c r="BP344" s="3" t="str">
        <f t="shared" ca="1" si="103"/>
        <v/>
      </c>
      <c r="BQ344" s="165" t="str">
        <f ca="1">IF(BN344="","",INDEX(OFFSET(Arb!$X$2,,,Arb!$AJ$5,),BN344)/BO344)</f>
        <v/>
      </c>
      <c r="BR344" s="165" t="str">
        <f ca="1">IF(BN344="","",(INDEX(OFFSET(Arb!$U$2,,,Arb!$AJ$5,),BN344)+INDEX(OFFSET(Arb!$V$2,,,Arb!$AJ$5,),BN344))/BO344)</f>
        <v/>
      </c>
      <c r="BS344" s="51" t="str">
        <f t="shared" ca="1" si="113"/>
        <v/>
      </c>
      <c r="BT344" s="88" t="str">
        <f ca="1">IF(BN344="","",DATE(INDEX(OFFSET(Arb!$C$2,,,Arb!$AJ$5,),BN344),INDEX(OFFSET(Arb!$B$2,,,Arb!$AJ$5,),BN344),INDEX(OFFSET(Arb!$A$2,,,Arb!$AJ$5,),BN344))+ROW()*0.001)</f>
        <v/>
      </c>
      <c r="BU344" s="436">
        <v>202</v>
      </c>
      <c r="BW344" s="52" t="str">
        <f ca="1">IF(BV344="","",INDEX(OFFSET(Arb!$H$2,,,Arb!$AJ$5,),BV344))</f>
        <v/>
      </c>
      <c r="BX344" s="3" t="str">
        <f t="shared" ca="1" si="104"/>
        <v/>
      </c>
      <c r="BY344" s="165" t="str">
        <f ca="1">IF(BV344="","",INDEX(OFFSET(Arb!$X$2,,,Arb!$AJ$5,),BV344)/BW344)</f>
        <v/>
      </c>
      <c r="BZ344" s="165" t="str">
        <f ca="1">IF(BV344="","",(INDEX(OFFSET(Arb!$U$2,,,Arb!$AJ$5,),BV344)+INDEX(OFFSET(Arb!$V$2,,,Arb!$AJ$5,),BV344))/BW344)</f>
        <v/>
      </c>
      <c r="CA344" s="51" t="str">
        <f t="shared" ca="1" si="114"/>
        <v/>
      </c>
      <c r="CB344" s="91" t="str">
        <f ca="1">IF(BV344="","",DATE(INDEX(OFFSET(Arb!$C$2,,,Arb!$AJ$5,),BV344),INDEX(OFFSET(Arb!$B$2,,,Arb!$AJ$5,),BV344),INDEX(OFFSET(Arb!$A$2,,,Arb!$AJ$5,),BV344))+ROW()*0.001)</f>
        <v/>
      </c>
    </row>
    <row r="345" spans="1:80" x14ac:dyDescent="0.25">
      <c r="A345" s="433">
        <v>203</v>
      </c>
      <c r="B345" s="1">
        <v>3150</v>
      </c>
      <c r="C345" s="52">
        <f ca="1">IF(B345="","",INDEX(OFFSET(Arb!$H$2,,,Arb!$AJ$5,),B345))</f>
        <v>79.44</v>
      </c>
      <c r="D345" s="3">
        <f t="shared" ca="1" si="95"/>
        <v>2.5553877139979861</v>
      </c>
      <c r="E345" s="165">
        <f ca="1">IF(B345="","",INDEX(OFFSET(Arb!$X$2,,,Arb!$AJ$5,),B345)/C345)</f>
        <v>2.9707955689828802</v>
      </c>
      <c r="F345" s="165">
        <f ca="1">IF(B345="","",(INDEX(OFFSET(Arb!$U$2,,,Arb!$AJ$5,),B345)+INDEX(OFFSET(Arb!$V$2,,,Arb!$AJ$5,),B345))/C345)</f>
        <v>3.2099697885196377</v>
      </c>
      <c r="G345" s="51">
        <f t="shared" ca="1" si="105"/>
        <v>51.989973122737673</v>
      </c>
      <c r="H345" s="355">
        <f ca="1">IF(B345="","",DATE(INDEX(OFFSET(Arb!$C$2,,,Arb!$AJ$5,),B345),INDEX(OFFSET(Arb!$B$2,,,Arb!$AJ$5,),B345),INDEX(OFFSET(Arb!$A$2,,,Arb!$AJ$5,),B345))+ROW()*0.001)</f>
        <v>44028.345000000001</v>
      </c>
      <c r="I345" s="436">
        <v>203</v>
      </c>
      <c r="J345" s="1">
        <v>3207</v>
      </c>
      <c r="K345" s="52">
        <f ca="1">IF(J345="","",INDEX(OFFSET(Arb!$H$2,,,Arb!$AJ$5,),J345))</f>
        <v>81.92</v>
      </c>
      <c r="L345" s="3">
        <f t="shared" ca="1" si="96"/>
        <v>2.47802734375</v>
      </c>
      <c r="M345" s="165">
        <f ca="1">IF(J345="","",INDEX(OFFSET(Arb!$X$2,,,Arb!$AJ$5,),J345)/K345)</f>
        <v>2.9052734375</v>
      </c>
      <c r="N345" s="165">
        <f ca="1">IF(J345="","",(INDEX(OFFSET(Arb!$U$2,,,Arb!$AJ$5,),J345)+INDEX(OFFSET(Arb!$V$2,,,Arb!$AJ$5,),J345))/K345)</f>
        <v>3.28369140625</v>
      </c>
      <c r="O345" s="51">
        <f t="shared" ca="1" si="106"/>
        <v>49.342754417357781</v>
      </c>
      <c r="P345" s="91">
        <f ca="1">IF(J345="","",DATE(INDEX(OFFSET(Arb!$C$2,,,Arb!$AJ$5,),J345),INDEX(OFFSET(Arb!$B$2,,,Arb!$AJ$5,),J345),INDEX(OFFSET(Arb!$A$2,,,Arb!$AJ$5,),J345))+ROW()*0.001)</f>
        <v>44058.345000000001</v>
      </c>
      <c r="Q345" s="442">
        <v>203</v>
      </c>
      <c r="R345" s="1">
        <v>2724</v>
      </c>
      <c r="S345" s="52">
        <f ca="1">IF(R345="","",INDEX(OFFSET(Arb!$H$2,,,Arb!$AJ$5,),R345))</f>
        <v>82.74</v>
      </c>
      <c r="T345" s="3">
        <f t="shared" ca="1" si="97"/>
        <v>2.4534686971235198</v>
      </c>
      <c r="U345" s="165">
        <f ca="1">IF(R345="","",INDEX(OFFSET(Arb!$X$2,,,Arb!$AJ$5,),R345)/S345)</f>
        <v>2.7556200145032634</v>
      </c>
      <c r="V345" s="165">
        <f ca="1">IF(R345="","",(INDEX(OFFSET(Arb!$U$2,,,Arb!$AJ$5,),R345)+INDEX(OFFSET(Arb!$V$2,,,Arb!$AJ$5,),R345))/S345)</f>
        <v>3.0456852791878175</v>
      </c>
      <c r="W345" s="51">
        <f t="shared" ca="1" si="107"/>
        <v>48.514316270531751</v>
      </c>
      <c r="X345" s="88">
        <f ca="1">IF(R345="","",DATE(INDEX(OFFSET(Arb!$C$2,,,Arb!$AJ$5,),R345),INDEX(OFFSET(Arb!$B$2,,,Arb!$AJ$5,),R345),INDEX(OFFSET(Arb!$A$2,,,Arb!$AJ$5,),R345))+ROW()*0.001)</f>
        <v>43854.345000000001</v>
      </c>
      <c r="Y345" s="436">
        <v>203</v>
      </c>
      <c r="Z345" s="1">
        <v>2614</v>
      </c>
      <c r="AA345" s="52">
        <f ca="1">IF(Z345="","",INDEX(OFFSET(Arb!$H$2,,,Arb!$AJ$5,),Z345))</f>
        <v>87.82</v>
      </c>
      <c r="AB345" s="3">
        <f t="shared" ca="1" si="98"/>
        <v>2.3115463447961742</v>
      </c>
      <c r="AC345" s="165">
        <f ca="1">IF(Z345="","",INDEX(OFFSET(Arb!$X$2,,,Arb!$AJ$5,),Z345)/AA345)</f>
        <v>2.5962195399681169</v>
      </c>
      <c r="AD345" s="165">
        <f ca="1">IF(Z345="","",(INDEX(OFFSET(Arb!$U$2,,,Arb!$AJ$5,),Z345)+INDEX(OFFSET(Arb!$V$2,,,Arb!$AJ$5,),Z345))/AA345)</f>
        <v>2.8353450239125486</v>
      </c>
      <c r="AE345" s="51">
        <f t="shared" ca="1" si="108"/>
        <v>43.840697745963858</v>
      </c>
      <c r="AF345" s="91">
        <f ca="1">IF(Z345="","",DATE(INDEX(OFFSET(Arb!$C$2,,,Arb!$AJ$5,),Z345),INDEX(OFFSET(Arb!$B$2,,,Arb!$AJ$5,),Z345),INDEX(OFFSET(Arb!$A$2,,,Arb!$AJ$5,),Z345))+ROW()*0.001)</f>
        <v>43812.345000000001</v>
      </c>
      <c r="AG345" s="442">
        <v>203</v>
      </c>
      <c r="AH345" s="1">
        <v>2750</v>
      </c>
      <c r="AI345" s="52">
        <f ca="1">IF(AH345="","",INDEX(OFFSET(Arb!$H$2,,,Arb!$AJ$5,),AH345))</f>
        <v>88.31</v>
      </c>
      <c r="AJ345" s="3">
        <f t="shared" ca="1" si="99"/>
        <v>2.2987204167138491</v>
      </c>
      <c r="AK345" s="165">
        <f ca="1">IF(AH345="","",INDEX(OFFSET(Arb!$X$2,,,Arb!$AJ$5,),AH345)/AI345)</f>
        <v>2.6497565394632545</v>
      </c>
      <c r="AL345" s="165">
        <f ca="1">IF(AH345="","",(INDEX(OFFSET(Arb!$U$2,,,Arb!$AJ$5,),AH345)+INDEX(OFFSET(Arb!$V$2,,,Arb!$AJ$5,),AH345))/AI345)</f>
        <v>2.8875552032612388</v>
      </c>
      <c r="AM345" s="51">
        <f t="shared" ca="1" si="109"/>
        <v>43.427965999866871</v>
      </c>
      <c r="AN345" s="88">
        <f ca="1">IF(AH345="","",DATE(INDEX(OFFSET(Arb!$C$2,,,Arb!$AJ$5,),AH345),INDEX(OFFSET(Arb!$B$2,,,Arb!$AJ$5,),AH345),INDEX(OFFSET(Arb!$A$2,,,Arb!$AJ$5,),AH345))+ROW()*0.001)</f>
        <v>43882.345000000001</v>
      </c>
      <c r="AO345" s="436">
        <v>203</v>
      </c>
      <c r="AQ345" s="52" t="str">
        <f ca="1">IF(AP345="","",INDEX(OFFSET(Arb!$H$2,,,Arb!$AJ$5,),AP345))</f>
        <v/>
      </c>
      <c r="AR345" s="3" t="str">
        <f t="shared" ca="1" si="100"/>
        <v/>
      </c>
      <c r="AS345" s="165" t="str">
        <f ca="1">IF(AP345="","",INDEX(OFFSET(Arb!$X$2,,,Arb!$AJ$5,),AP345)/AQ345)</f>
        <v/>
      </c>
      <c r="AT345" s="165" t="str">
        <f ca="1">IF(AP345="","",(INDEX(OFFSET(Arb!$U$2,,,Arb!$AJ$5,),AP345)+INDEX(OFFSET(Arb!$V$2,,,Arb!$AJ$5,),AP345))/AQ345)</f>
        <v/>
      </c>
      <c r="AU345" s="51" t="str">
        <f t="shared" ca="1" si="110"/>
        <v/>
      </c>
      <c r="AV345" s="91" t="str">
        <f ca="1">IF(AP345="","",DATE(INDEX(OFFSET(Arb!$C$2,,,Arb!$AJ$5,),AP345),INDEX(OFFSET(Arb!$B$2,,,Arb!$AJ$5,),AP345),INDEX(OFFSET(Arb!$A$2,,,Arb!$AJ$5,),AP345))+ROW()*0.001)</f>
        <v/>
      </c>
      <c r="AW345" s="442">
        <v>203</v>
      </c>
      <c r="AY345" s="52" t="str">
        <f ca="1">IF(AX345="","",INDEX(OFFSET(Arb!$H$2,,,Arb!$AJ$5,),AX345))</f>
        <v/>
      </c>
      <c r="AZ345" s="3" t="str">
        <f t="shared" ca="1" si="101"/>
        <v/>
      </c>
      <c r="BA345" s="165" t="str">
        <f ca="1">IF(AX345="","",INDEX(OFFSET(Arb!$X$2,,,Arb!$AJ$5,),AX345)/AY345)</f>
        <v/>
      </c>
      <c r="BB345" s="165" t="str">
        <f ca="1">IF(AX345="","",(INDEX(OFFSET(Arb!$U$2,,,Arb!$AJ$5,),AX345)+INDEX(OFFSET(Arb!$V$2,,,Arb!$AJ$5,),AX345))/AY345)</f>
        <v/>
      </c>
      <c r="BC345" s="51" t="str">
        <f t="shared" ca="1" si="111"/>
        <v/>
      </c>
      <c r="BD345" s="88" t="str">
        <f ca="1">IF(AX345="","",DATE(INDEX(OFFSET(Arb!$C$2,,,Arb!$AJ$5,),AX345),INDEX(OFFSET(Arb!$B$2,,,Arb!$AJ$5,),AX345),INDEX(OFFSET(Arb!$A$2,,,Arb!$AJ$5,),AX345))+ROW()*0.001)</f>
        <v/>
      </c>
      <c r="BE345" s="436">
        <v>203</v>
      </c>
      <c r="BG345" s="52" t="str">
        <f ca="1">IF(BF345="","",INDEX(OFFSET(Arb!$H$2,,,Arb!$AJ$5,),BF345))</f>
        <v/>
      </c>
      <c r="BH345" s="3" t="str">
        <f t="shared" ca="1" si="102"/>
        <v/>
      </c>
      <c r="BI345" s="165" t="str">
        <f ca="1">IF(BF345="","",INDEX(OFFSET(Arb!$X$2,,,Arb!$AJ$5,),BF345)/BG345)</f>
        <v/>
      </c>
      <c r="BJ345" s="165" t="str">
        <f ca="1">IF(BF345="","",(INDEX(OFFSET(Arb!$U$2,,,Arb!$AJ$5,),BF345)+INDEX(OFFSET(Arb!$V$2,,,Arb!$AJ$5,),BF345))/BG345)</f>
        <v/>
      </c>
      <c r="BK345" s="51" t="str">
        <f t="shared" ca="1" si="112"/>
        <v/>
      </c>
      <c r="BL345" s="91" t="str">
        <f ca="1">IF(BF345="","",DATE(INDEX(OFFSET(Arb!$C$2,,,Arb!$AJ$5,),BF345),INDEX(OFFSET(Arb!$B$2,,,Arb!$AJ$5,),BF345),INDEX(OFFSET(Arb!$A$2,,,Arb!$AJ$5,),BF345))+ROW()*0.001)</f>
        <v/>
      </c>
      <c r="BM345" s="442">
        <v>203</v>
      </c>
      <c r="BO345" s="52" t="str">
        <f ca="1">IF(BN345="","",INDEX(OFFSET(Arb!$H$2,,,Arb!$AJ$5,),BN345))</f>
        <v/>
      </c>
      <c r="BP345" s="3" t="str">
        <f t="shared" ca="1" si="103"/>
        <v/>
      </c>
      <c r="BQ345" s="165" t="str">
        <f ca="1">IF(BN345="","",INDEX(OFFSET(Arb!$X$2,,,Arb!$AJ$5,),BN345)/BO345)</f>
        <v/>
      </c>
      <c r="BR345" s="165" t="str">
        <f ca="1">IF(BN345="","",(INDEX(OFFSET(Arb!$U$2,,,Arb!$AJ$5,),BN345)+INDEX(OFFSET(Arb!$V$2,,,Arb!$AJ$5,),BN345))/BO345)</f>
        <v/>
      </c>
      <c r="BS345" s="51" t="str">
        <f t="shared" ca="1" si="113"/>
        <v/>
      </c>
      <c r="BT345" s="88" t="str">
        <f ca="1">IF(BN345="","",DATE(INDEX(OFFSET(Arb!$C$2,,,Arb!$AJ$5,),BN345),INDEX(OFFSET(Arb!$B$2,,,Arb!$AJ$5,),BN345),INDEX(OFFSET(Arb!$A$2,,,Arb!$AJ$5,),BN345))+ROW()*0.001)</f>
        <v/>
      </c>
      <c r="BU345" s="436">
        <v>203</v>
      </c>
      <c r="BW345" s="52" t="str">
        <f ca="1">IF(BV345="","",INDEX(OFFSET(Arb!$H$2,,,Arb!$AJ$5,),BV345))</f>
        <v/>
      </c>
      <c r="BX345" s="3" t="str">
        <f t="shared" ca="1" si="104"/>
        <v/>
      </c>
      <c r="BY345" s="165" t="str">
        <f ca="1">IF(BV345="","",INDEX(OFFSET(Arb!$X$2,,,Arb!$AJ$5,),BV345)/BW345)</f>
        <v/>
      </c>
      <c r="BZ345" s="165" t="str">
        <f ca="1">IF(BV345="","",(INDEX(OFFSET(Arb!$U$2,,,Arb!$AJ$5,),BV345)+INDEX(OFFSET(Arb!$V$2,,,Arb!$AJ$5,),BV345))/BW345)</f>
        <v/>
      </c>
      <c r="CA345" s="51" t="str">
        <f t="shared" ca="1" si="114"/>
        <v/>
      </c>
      <c r="CB345" s="91" t="str">
        <f ca="1">IF(BV345="","",DATE(INDEX(OFFSET(Arb!$C$2,,,Arb!$AJ$5,),BV345),INDEX(OFFSET(Arb!$B$2,,,Arb!$AJ$5,),BV345),INDEX(OFFSET(Arb!$A$2,,,Arb!$AJ$5,),BV345))+ROW()*0.001)</f>
        <v/>
      </c>
    </row>
    <row r="346" spans="1:80" x14ac:dyDescent="0.25">
      <c r="A346" s="433">
        <v>204</v>
      </c>
      <c r="B346" s="1">
        <v>2840</v>
      </c>
      <c r="C346" s="52">
        <f ca="1">IF(B346="","",INDEX(OFFSET(Arb!$H$2,,,Arb!$AJ$5,),B346))</f>
        <v>78.39</v>
      </c>
      <c r="D346" s="3">
        <f t="shared" ca="1" si="95"/>
        <v>2.6023727516264827</v>
      </c>
      <c r="E346" s="165">
        <f ca="1">IF(B346="","",INDEX(OFFSET(Arb!$X$2,,,Arb!$AJ$5,),B346)/C346)</f>
        <v>3.0743717310881489</v>
      </c>
      <c r="F346" s="165">
        <f ca="1">IF(B346="","",(INDEX(OFFSET(Arb!$U$2,,,Arb!$AJ$5,),B346)+INDEX(OFFSET(Arb!$V$2,,,Arb!$AJ$5,),B346))/C346)</f>
        <v>3.4060466896287793</v>
      </c>
      <c r="G346" s="51">
        <f t="shared" ca="1" si="105"/>
        <v>53.441334339249842</v>
      </c>
      <c r="H346" s="355">
        <f ca="1">IF(B346="","",DATE(INDEX(OFFSET(Arb!$C$2,,,Arb!$AJ$5,),B346),INDEX(OFFSET(Arb!$B$2,,,Arb!$AJ$5,),B346),INDEX(OFFSET(Arb!$A$2,,,Arb!$AJ$5,),B346))+ROW()*0.001)</f>
        <v>43903.345999999998</v>
      </c>
      <c r="I346" s="436">
        <v>204</v>
      </c>
      <c r="J346" s="1">
        <v>3105</v>
      </c>
      <c r="K346" s="52">
        <f ca="1">IF(J346="","",INDEX(OFFSET(Arb!$H$2,,,Arb!$AJ$5,),J346))</f>
        <v>81.53</v>
      </c>
      <c r="L346" s="3">
        <f t="shared" ca="1" si="96"/>
        <v>2.5021464491598184</v>
      </c>
      <c r="M346" s="165">
        <f ca="1">IF(J346="","",INDEX(OFFSET(Arb!$X$2,,,Arb!$AJ$5,),J346)/K346)</f>
        <v>2.9191708573531217</v>
      </c>
      <c r="N346" s="165">
        <f ca="1">IF(J346="","",(INDEX(OFFSET(Arb!$U$2,,,Arb!$AJ$5,),J346)+INDEX(OFFSET(Arb!$V$2,,,Arb!$AJ$5,),J346))/K346)</f>
        <v>3.3361952655464244</v>
      </c>
      <c r="O346" s="51">
        <f t="shared" ca="1" si="106"/>
        <v>49.989727665627775</v>
      </c>
      <c r="P346" s="91">
        <f ca="1">IF(J346="","",DATE(INDEX(OFFSET(Arb!$C$2,,,Arb!$AJ$5,),J346),INDEX(OFFSET(Arb!$B$2,,,Arb!$AJ$5,),J346),INDEX(OFFSET(Arb!$A$2,,,Arb!$AJ$5,),J346))+ROW()*0.001)</f>
        <v>44005.345999999998</v>
      </c>
      <c r="Q346" s="442">
        <v>204</v>
      </c>
      <c r="R346" s="1">
        <v>2644</v>
      </c>
      <c r="S346" s="52">
        <f ca="1">IF(R346="","",INDEX(OFFSET(Arb!$H$2,,,Arb!$AJ$5,),R346))</f>
        <v>82.93</v>
      </c>
      <c r="T346" s="3">
        <f t="shared" ca="1" si="97"/>
        <v>2.4599059447726996</v>
      </c>
      <c r="U346" s="165">
        <f ca="1">IF(R346="","",INDEX(OFFSET(Arb!$X$2,,,Arb!$AJ$5,),R346)/S346)</f>
        <v>2.8457735439527312</v>
      </c>
      <c r="V346" s="165">
        <f ca="1">IF(R346="","",(INDEX(OFFSET(Arb!$U$2,,,Arb!$AJ$5,),R346)+INDEX(OFFSET(Arb!$V$2,,,Arb!$AJ$5,),R346))/S346)</f>
        <v>3.2075244181840104</v>
      </c>
      <c r="W346" s="51">
        <f t="shared" ca="1" si="107"/>
        <v>48.563568496781507</v>
      </c>
      <c r="X346" s="88">
        <f ca="1">IF(R346="","",DATE(INDEX(OFFSET(Arb!$C$2,,,Arb!$AJ$5,),R346),INDEX(OFFSET(Arb!$B$2,,,Arb!$AJ$5,),R346),INDEX(OFFSET(Arb!$A$2,,,Arb!$AJ$5,),R346))+ROW()*0.001)</f>
        <v>43817.345999999998</v>
      </c>
      <c r="Y346" s="436">
        <v>204</v>
      </c>
      <c r="Z346" s="1">
        <v>3085</v>
      </c>
      <c r="AA346" s="52">
        <f ca="1">IF(Z346="","",INDEX(OFFSET(Arb!$H$2,,,Arb!$AJ$5,),Z346))</f>
        <v>84.22</v>
      </c>
      <c r="AB346" s="3">
        <f t="shared" ca="1" si="98"/>
        <v>2.4222274994063167</v>
      </c>
      <c r="AC346" s="165">
        <f ca="1">IF(Z346="","",INDEX(OFFSET(Arb!$X$2,,,Arb!$AJ$5,),Z346)/AA346)</f>
        <v>2.7190691047257185</v>
      </c>
      <c r="AD346" s="165">
        <f ca="1">IF(Z346="","",(INDEX(OFFSET(Arb!$U$2,,,Arb!$AJ$5,),Z346)+INDEX(OFFSET(Arb!$V$2,,,Arb!$AJ$5,),Z346))/AA346)</f>
        <v>2.9565423889812394</v>
      </c>
      <c r="AE346" s="51">
        <f t="shared" ca="1" si="108"/>
        <v>47.305813983049852</v>
      </c>
      <c r="AF346" s="91">
        <f ca="1">IF(Z346="","",DATE(INDEX(OFFSET(Arb!$C$2,,,Arb!$AJ$5,),Z346),INDEX(OFFSET(Arb!$B$2,,,Arb!$AJ$5,),Z346),INDEX(OFFSET(Arb!$A$2,,,Arb!$AJ$5,),Z346))+ROW()*0.001)</f>
        <v>44003.345999999998</v>
      </c>
      <c r="AG346" s="442">
        <v>204</v>
      </c>
      <c r="AH346" s="1">
        <v>3385</v>
      </c>
      <c r="AI346" s="52">
        <f ca="1">IF(AH346="","",INDEX(OFFSET(Arb!$H$2,,,Arb!$AJ$5,),AH346))</f>
        <v>85.04</v>
      </c>
      <c r="AJ346" s="3">
        <f t="shared" ca="1" si="99"/>
        <v>2.3988711194731889</v>
      </c>
      <c r="AK346" s="165">
        <f ca="1">IF(AH346="","",INDEX(OFFSET(Arb!$X$2,,,Arb!$AJ$5,),AH346)/AI346)</f>
        <v>2.8574788334901222</v>
      </c>
      <c r="AL346" s="165">
        <f ca="1">IF(AH346="","",(INDEX(OFFSET(Arb!$U$2,,,Arb!$AJ$5,),AH346)+INDEX(OFFSET(Arb!$V$2,,,Arb!$AJ$5,),AH346))/AI346)</f>
        <v>3.1396989651928502</v>
      </c>
      <c r="AM346" s="51">
        <f t="shared" ca="1" si="109"/>
        <v>46.532983137041015</v>
      </c>
      <c r="AN346" s="88">
        <f ca="1">IF(AH346="","",DATE(INDEX(OFFSET(Arb!$C$2,,,Arb!$AJ$5,),AH346),INDEX(OFFSET(Arb!$B$2,,,Arb!$AJ$5,),AH346),INDEX(OFFSET(Arb!$A$2,,,Arb!$AJ$5,),AH346))+ROW()*0.001)</f>
        <v>44137.345999999998</v>
      </c>
      <c r="AO346" s="436">
        <v>204</v>
      </c>
      <c r="AP346" s="1">
        <v>2865</v>
      </c>
      <c r="AQ346" s="52">
        <f ca="1">IF(AP346="","",INDEX(OFFSET(Arb!$H$2,,,Arb!$AJ$5,),AP346))</f>
        <v>88.66</v>
      </c>
      <c r="AR346" s="3">
        <f t="shared" ca="1" si="100"/>
        <v>2.3009248815700429</v>
      </c>
      <c r="AS346" s="165">
        <f ca="1">IF(AP346="","",INDEX(OFFSET(Arb!$X$2,,,Arb!$AJ$5,),AP346)/AQ346)</f>
        <v>2.6392961876832848</v>
      </c>
      <c r="AT346" s="165">
        <f ca="1">IF(AP346="","",(INDEX(OFFSET(Arb!$U$2,,,Arb!$AJ$5,),AP346)+INDEX(OFFSET(Arb!$V$2,,,Arb!$AJ$5,),AP346))/AQ346)</f>
        <v>2.966388450259418</v>
      </c>
      <c r="AU346" s="51">
        <f t="shared" ca="1" si="110"/>
        <v>43.349419578404323</v>
      </c>
      <c r="AV346" s="91">
        <f ca="1">IF(AP346="","",DATE(INDEX(OFFSET(Arb!$C$2,,,Arb!$AJ$5,),AP346),INDEX(OFFSET(Arb!$B$2,,,Arb!$AJ$5,),AP346),INDEX(OFFSET(Arb!$A$2,,,Arb!$AJ$5,),AP346))+ROW()*0.001)</f>
        <v>43910.345999999998</v>
      </c>
      <c r="AW346" s="442">
        <v>204</v>
      </c>
      <c r="AX346" s="1">
        <v>2941</v>
      </c>
      <c r="AY346" s="52">
        <f ca="1">IF(AX346="","",INDEX(OFFSET(Arb!$H$2,,,Arb!$AJ$5,),AX346))</f>
        <v>100.19</v>
      </c>
      <c r="AZ346" s="3">
        <f t="shared" ca="1" si="101"/>
        <v>2.0361313504341751</v>
      </c>
      <c r="BA346" s="165">
        <f ca="1">IF(AX346="","",INDEX(OFFSET(Arb!$X$2,,,Arb!$AJ$5,),AX346)/AY346)</f>
        <v>2.3754865755065375</v>
      </c>
      <c r="BB346" s="165">
        <f ca="1">IF(AX346="","",(INDEX(OFFSET(Arb!$U$2,,,Arb!$AJ$5,),AX346)+INDEX(OFFSET(Arb!$V$2,,,Arb!$AJ$5,),AX346))/AY346)</f>
        <v>2.6250124762950393</v>
      </c>
      <c r="BC346" s="51">
        <f t="shared" ca="1" si="111"/>
        <v>35.214293735833643</v>
      </c>
      <c r="BD346" s="88">
        <f ca="1">IF(AX346="","",DATE(INDEX(OFFSET(Arb!$C$2,,,Arb!$AJ$5,),AX346),INDEX(OFFSET(Arb!$B$2,,,Arb!$AJ$5,),AX346),INDEX(OFFSET(Arb!$A$2,,,Arb!$AJ$5,),AX346))+ROW()*0.001)</f>
        <v>43941.345999999998</v>
      </c>
      <c r="BE346" s="436">
        <v>204</v>
      </c>
      <c r="BG346" s="52" t="str">
        <f ca="1">IF(BF346="","",INDEX(OFFSET(Arb!$H$2,,,Arb!$AJ$5,),BF346))</f>
        <v/>
      </c>
      <c r="BH346" s="3" t="str">
        <f t="shared" ca="1" si="102"/>
        <v/>
      </c>
      <c r="BI346" s="165" t="str">
        <f ca="1">IF(BF346="","",INDEX(OFFSET(Arb!$X$2,,,Arb!$AJ$5,),BF346)/BG346)</f>
        <v/>
      </c>
      <c r="BJ346" s="165" t="str">
        <f ca="1">IF(BF346="","",(INDEX(OFFSET(Arb!$U$2,,,Arb!$AJ$5,),BF346)+INDEX(OFFSET(Arb!$V$2,,,Arb!$AJ$5,),BF346))/BG346)</f>
        <v/>
      </c>
      <c r="BK346" s="51" t="str">
        <f t="shared" ca="1" si="112"/>
        <v/>
      </c>
      <c r="BL346" s="91" t="str">
        <f ca="1">IF(BF346="","",DATE(INDEX(OFFSET(Arb!$C$2,,,Arb!$AJ$5,),BF346),INDEX(OFFSET(Arb!$B$2,,,Arb!$AJ$5,),BF346),INDEX(OFFSET(Arb!$A$2,,,Arb!$AJ$5,),BF346))+ROW()*0.001)</f>
        <v/>
      </c>
      <c r="BM346" s="442">
        <v>204</v>
      </c>
      <c r="BO346" s="52" t="str">
        <f ca="1">IF(BN346="","",INDEX(OFFSET(Arb!$H$2,,,Arb!$AJ$5,),BN346))</f>
        <v/>
      </c>
      <c r="BP346" s="3" t="str">
        <f t="shared" ca="1" si="103"/>
        <v/>
      </c>
      <c r="BQ346" s="165" t="str">
        <f ca="1">IF(BN346="","",INDEX(OFFSET(Arb!$X$2,,,Arb!$AJ$5,),BN346)/BO346)</f>
        <v/>
      </c>
      <c r="BR346" s="165" t="str">
        <f ca="1">IF(BN346="","",(INDEX(OFFSET(Arb!$U$2,,,Arb!$AJ$5,),BN346)+INDEX(OFFSET(Arb!$V$2,,,Arb!$AJ$5,),BN346))/BO346)</f>
        <v/>
      </c>
      <c r="BS346" s="51" t="str">
        <f t="shared" ca="1" si="113"/>
        <v/>
      </c>
      <c r="BT346" s="88" t="str">
        <f ca="1">IF(BN346="","",DATE(INDEX(OFFSET(Arb!$C$2,,,Arb!$AJ$5,),BN346),INDEX(OFFSET(Arb!$B$2,,,Arb!$AJ$5,),BN346),INDEX(OFFSET(Arb!$A$2,,,Arb!$AJ$5,),BN346))+ROW()*0.001)</f>
        <v/>
      </c>
      <c r="BU346" s="436">
        <v>204</v>
      </c>
      <c r="BW346" s="52" t="str">
        <f ca="1">IF(BV346="","",INDEX(OFFSET(Arb!$H$2,,,Arb!$AJ$5,),BV346))</f>
        <v/>
      </c>
      <c r="BX346" s="3" t="str">
        <f t="shared" ca="1" si="104"/>
        <v/>
      </c>
      <c r="BY346" s="165" t="str">
        <f ca="1">IF(BV346="","",INDEX(OFFSET(Arb!$X$2,,,Arb!$AJ$5,),BV346)/BW346)</f>
        <v/>
      </c>
      <c r="BZ346" s="165" t="str">
        <f ca="1">IF(BV346="","",(INDEX(OFFSET(Arb!$U$2,,,Arb!$AJ$5,),BV346)+INDEX(OFFSET(Arb!$V$2,,,Arb!$AJ$5,),BV346))/BW346)</f>
        <v/>
      </c>
      <c r="CA346" s="51" t="str">
        <f t="shared" ca="1" si="114"/>
        <v/>
      </c>
      <c r="CB346" s="91" t="str">
        <f ca="1">IF(BV346="","",DATE(INDEX(OFFSET(Arb!$C$2,,,Arb!$AJ$5,),BV346),INDEX(OFFSET(Arb!$B$2,,,Arb!$AJ$5,),BV346),INDEX(OFFSET(Arb!$A$2,,,Arb!$AJ$5,),BV346))+ROW()*0.001)</f>
        <v/>
      </c>
    </row>
    <row r="347" spans="1:80" x14ac:dyDescent="0.25">
      <c r="A347" s="433">
        <v>205</v>
      </c>
      <c r="B347" s="1">
        <v>2944</v>
      </c>
      <c r="C347" s="52">
        <f ca="1">IF(B347="","",INDEX(OFFSET(Arb!$H$2,,,Arb!$AJ$5,),B347))</f>
        <v>78.489999999999995</v>
      </c>
      <c r="D347" s="3">
        <f t="shared" ca="1" si="95"/>
        <v>2.6117976812332784</v>
      </c>
      <c r="E347" s="165">
        <f ca="1">IF(B347="","",INDEX(OFFSET(Arb!$X$2,,,Arb!$AJ$5,),B347)/C347)</f>
        <v>2.9685310230602626</v>
      </c>
      <c r="F347" s="165">
        <f ca="1">IF(B347="","",(INDEX(OFFSET(Arb!$U$2,,,Arb!$AJ$5,),B347)+INDEX(OFFSET(Arb!$V$2,,,Arb!$AJ$5,),B347))/C347)</f>
        <v>3.1978595999490382</v>
      </c>
      <c r="G347" s="51">
        <f t="shared" ca="1" si="105"/>
        <v>53.587038576909599</v>
      </c>
      <c r="H347" s="355">
        <f ca="1">IF(B347="","",DATE(INDEX(OFFSET(Arb!$C$2,,,Arb!$AJ$5,),B347),INDEX(OFFSET(Arb!$B$2,,,Arb!$AJ$5,),B347),INDEX(OFFSET(Arb!$A$2,,,Arb!$AJ$5,),B347))+ROW()*0.001)</f>
        <v>43945.347000000002</v>
      </c>
      <c r="I347" s="436">
        <v>205</v>
      </c>
      <c r="J347" s="1">
        <v>3060</v>
      </c>
      <c r="K347" s="52">
        <f ca="1">IF(J347="","",INDEX(OFFSET(Arb!$H$2,,,Arb!$AJ$5,),J347))</f>
        <v>80.06</v>
      </c>
      <c r="L347" s="3">
        <f t="shared" ca="1" si="96"/>
        <v>2.5605795653260053</v>
      </c>
      <c r="M347" s="165">
        <f ca="1">IF(J347="","",INDEX(OFFSET(Arb!$X$2,,,Arb!$AJ$5,),J347)/K347)</f>
        <v>3.0477142143392455</v>
      </c>
      <c r="N347" s="165">
        <f ca="1">IF(J347="","",(INDEX(OFFSET(Arb!$U$2,,,Arb!$AJ$5,),J347)+INDEX(OFFSET(Arb!$V$2,,,Arb!$AJ$5,),J347))/K347)</f>
        <v>3.3100174868848362</v>
      </c>
      <c r="O347" s="51">
        <f t="shared" ca="1" si="106"/>
        <v>51.812866580950988</v>
      </c>
      <c r="P347" s="91">
        <f ca="1">IF(J347="","",DATE(INDEX(OFFSET(Arb!$C$2,,,Arb!$AJ$5,),J347),INDEX(OFFSET(Arb!$B$2,,,Arb!$AJ$5,),J347),INDEX(OFFSET(Arb!$A$2,,,Arb!$AJ$5,),J347))+ROW()*0.001)</f>
        <v>43989.347000000002</v>
      </c>
      <c r="Q347" s="442">
        <v>205</v>
      </c>
      <c r="R347" s="1">
        <v>2878</v>
      </c>
      <c r="S347" s="52">
        <f ca="1">IF(R347="","",INDEX(OFFSET(Arb!$H$2,,,Arb!$AJ$5,),R347))</f>
        <v>80.89</v>
      </c>
      <c r="T347" s="3">
        <f t="shared" ca="1" si="97"/>
        <v>2.5343058474471505</v>
      </c>
      <c r="U347" s="165">
        <f ca="1">IF(R347="","",INDEX(OFFSET(Arb!$X$2,,,Arb!$AJ$5,),R347)/S347)</f>
        <v>2.8557300037087403</v>
      </c>
      <c r="V347" s="165">
        <f ca="1">IF(R347="","",(INDEX(OFFSET(Arb!$U$2,,,Arb!$AJ$5,),R347)+INDEX(OFFSET(Arb!$V$2,,,Arb!$AJ$5,),R347))/S347)</f>
        <v>3.1895166275188527</v>
      </c>
      <c r="W347" s="51">
        <f t="shared" ca="1" si="107"/>
        <v>50.912320999587756</v>
      </c>
      <c r="X347" s="88">
        <f ca="1">IF(R347="","",DATE(INDEX(OFFSET(Arb!$C$2,,,Arb!$AJ$5,),R347),INDEX(OFFSET(Arb!$B$2,,,Arb!$AJ$5,),R347),INDEX(OFFSET(Arb!$A$2,,,Arb!$AJ$5,),R347))+ROW()*0.001)</f>
        <v>43917.347000000002</v>
      </c>
      <c r="Y347" s="436">
        <v>205</v>
      </c>
      <c r="Z347" s="1">
        <v>3009</v>
      </c>
      <c r="AA347" s="52">
        <f ca="1">IF(Z347="","",INDEX(OFFSET(Arb!$H$2,,,Arb!$AJ$5,),Z347))</f>
        <v>83.41</v>
      </c>
      <c r="AB347" s="3">
        <f t="shared" ca="1" si="98"/>
        <v>2.4577388802301883</v>
      </c>
      <c r="AC347" s="165">
        <f ca="1">IF(Z347="","",INDEX(OFFSET(Arb!$X$2,,,Arb!$AJ$5,),Z347)/AA347)</f>
        <v>2.8054190145066542</v>
      </c>
      <c r="AD347" s="165">
        <f ca="1">IF(Z347="","",(INDEX(OFFSET(Arb!$U$2,,,Arb!$AJ$5,),Z347)+INDEX(OFFSET(Arb!$V$2,,,Arb!$AJ$5,),Z347))/AA347)</f>
        <v>3.093154298045798</v>
      </c>
      <c r="AE347" s="51">
        <f t="shared" ca="1" si="108"/>
        <v>48.325161084390125</v>
      </c>
      <c r="AF347" s="91">
        <f ca="1">IF(Z347="","",DATE(INDEX(OFFSET(Arb!$C$2,,,Arb!$AJ$5,),Z347),INDEX(OFFSET(Arb!$B$2,,,Arb!$AJ$5,),Z347),INDEX(OFFSET(Arb!$A$2,,,Arb!$AJ$5,),Z347))+ROW()*0.001)</f>
        <v>43957.347000000002</v>
      </c>
      <c r="AG347" s="442">
        <v>205</v>
      </c>
      <c r="AH347" s="1">
        <v>3140</v>
      </c>
      <c r="AI347" s="52">
        <f ca="1">IF(AH347="","",INDEX(OFFSET(Arb!$H$2,,,Arb!$AJ$5,),AH347))</f>
        <v>86.18</v>
      </c>
      <c r="AJ347" s="3">
        <f t="shared" ca="1" si="99"/>
        <v>2.3787421675562772</v>
      </c>
      <c r="AK347" s="165">
        <f ca="1">IF(AH347="","",INDEX(OFFSET(Arb!$X$2,,,Arb!$AJ$5,),AH347)/AI347)</f>
        <v>2.8080761197493618</v>
      </c>
      <c r="AL347" s="165">
        <f ca="1">IF(AH347="","",(INDEX(OFFSET(Arb!$U$2,,,Arb!$AJ$5,),AH347)+INDEX(OFFSET(Arb!$V$2,,,Arb!$AJ$5,),AH347))/AI347)</f>
        <v>3.1213738686470176</v>
      </c>
      <c r="AM347" s="51">
        <f t="shared" ca="1" si="109"/>
        <v>45.714406291244224</v>
      </c>
      <c r="AN347" s="88">
        <f ca="1">IF(AH347="","",DATE(INDEX(OFFSET(Arb!$C$2,,,Arb!$AJ$5,),AH347),INDEX(OFFSET(Arb!$B$2,,,Arb!$AJ$5,),AH347),INDEX(OFFSET(Arb!$A$2,,,Arb!$AJ$5,),AH347))+ROW()*0.001)</f>
        <v>44021.347000000002</v>
      </c>
      <c r="AO347" s="436">
        <v>205</v>
      </c>
      <c r="AQ347" s="52" t="str">
        <f ca="1">IF(AP347="","",INDEX(OFFSET(Arb!$H$2,,,Arb!$AJ$5,),AP347))</f>
        <v/>
      </c>
      <c r="AR347" s="3" t="str">
        <f t="shared" ca="1" si="100"/>
        <v/>
      </c>
      <c r="AS347" s="165" t="str">
        <f ca="1">IF(AP347="","",INDEX(OFFSET(Arb!$X$2,,,Arb!$AJ$5,),AP347)/AQ347)</f>
        <v/>
      </c>
      <c r="AT347" s="165" t="str">
        <f ca="1">IF(AP347="","",(INDEX(OFFSET(Arb!$U$2,,,Arb!$AJ$5,),AP347)+INDEX(OFFSET(Arb!$V$2,,,Arb!$AJ$5,),AP347))/AQ347)</f>
        <v/>
      </c>
      <c r="AU347" s="51" t="str">
        <f t="shared" ca="1" si="110"/>
        <v/>
      </c>
      <c r="AV347" s="91" t="str">
        <f ca="1">IF(AP347="","",DATE(INDEX(OFFSET(Arb!$C$2,,,Arb!$AJ$5,),AP347),INDEX(OFFSET(Arb!$B$2,,,Arb!$AJ$5,),AP347),INDEX(OFFSET(Arb!$A$2,,,Arb!$AJ$5,),AP347))+ROW()*0.001)</f>
        <v/>
      </c>
      <c r="AW347" s="442">
        <v>205</v>
      </c>
      <c r="AY347" s="52" t="str">
        <f ca="1">IF(AX347="","",INDEX(OFFSET(Arb!$H$2,,,Arb!$AJ$5,),AX347))</f>
        <v/>
      </c>
      <c r="AZ347" s="3" t="str">
        <f t="shared" ca="1" si="101"/>
        <v/>
      </c>
      <c r="BA347" s="165" t="str">
        <f ca="1">IF(AX347="","",INDEX(OFFSET(Arb!$X$2,,,Arb!$AJ$5,),AX347)/AY347)</f>
        <v/>
      </c>
      <c r="BB347" s="165" t="str">
        <f ca="1">IF(AX347="","",(INDEX(OFFSET(Arb!$U$2,,,Arb!$AJ$5,),AX347)+INDEX(OFFSET(Arb!$V$2,,,Arb!$AJ$5,),AX347))/AY347)</f>
        <v/>
      </c>
      <c r="BC347" s="51" t="str">
        <f t="shared" ca="1" si="111"/>
        <v/>
      </c>
      <c r="BD347" s="88" t="str">
        <f ca="1">IF(AX347="","",DATE(INDEX(OFFSET(Arb!$C$2,,,Arb!$AJ$5,),AX347),INDEX(OFFSET(Arb!$B$2,,,Arb!$AJ$5,),AX347),INDEX(OFFSET(Arb!$A$2,,,Arb!$AJ$5,),AX347))+ROW()*0.001)</f>
        <v/>
      </c>
      <c r="BE347" s="436">
        <v>205</v>
      </c>
      <c r="BG347" s="52" t="str">
        <f ca="1">IF(BF347="","",INDEX(OFFSET(Arb!$H$2,,,Arb!$AJ$5,),BF347))</f>
        <v/>
      </c>
      <c r="BH347" s="3" t="str">
        <f t="shared" ca="1" si="102"/>
        <v/>
      </c>
      <c r="BI347" s="165" t="str">
        <f ca="1">IF(BF347="","",INDEX(OFFSET(Arb!$X$2,,,Arb!$AJ$5,),BF347)/BG347)</f>
        <v/>
      </c>
      <c r="BJ347" s="165" t="str">
        <f ca="1">IF(BF347="","",(INDEX(OFFSET(Arb!$U$2,,,Arb!$AJ$5,),BF347)+INDEX(OFFSET(Arb!$V$2,,,Arb!$AJ$5,),BF347))/BG347)</f>
        <v/>
      </c>
      <c r="BK347" s="51" t="str">
        <f t="shared" ca="1" si="112"/>
        <v/>
      </c>
      <c r="BL347" s="91" t="str">
        <f ca="1">IF(BF347="","",DATE(INDEX(OFFSET(Arb!$C$2,,,Arb!$AJ$5,),BF347),INDEX(OFFSET(Arb!$B$2,,,Arb!$AJ$5,),BF347),INDEX(OFFSET(Arb!$A$2,,,Arb!$AJ$5,),BF347))+ROW()*0.001)</f>
        <v/>
      </c>
      <c r="BM347" s="442">
        <v>205</v>
      </c>
      <c r="BO347" s="52" t="str">
        <f ca="1">IF(BN347="","",INDEX(OFFSET(Arb!$H$2,,,Arb!$AJ$5,),BN347))</f>
        <v/>
      </c>
      <c r="BP347" s="3" t="str">
        <f t="shared" ca="1" si="103"/>
        <v/>
      </c>
      <c r="BQ347" s="165" t="str">
        <f ca="1">IF(BN347="","",INDEX(OFFSET(Arb!$X$2,,,Arb!$AJ$5,),BN347)/BO347)</f>
        <v/>
      </c>
      <c r="BR347" s="165" t="str">
        <f ca="1">IF(BN347="","",(INDEX(OFFSET(Arb!$U$2,,,Arb!$AJ$5,),BN347)+INDEX(OFFSET(Arb!$V$2,,,Arb!$AJ$5,),BN347))/BO347)</f>
        <v/>
      </c>
      <c r="BS347" s="51" t="str">
        <f t="shared" ca="1" si="113"/>
        <v/>
      </c>
      <c r="BT347" s="88" t="str">
        <f ca="1">IF(BN347="","",DATE(INDEX(OFFSET(Arb!$C$2,,,Arb!$AJ$5,),BN347),INDEX(OFFSET(Arb!$B$2,,,Arb!$AJ$5,),BN347),INDEX(OFFSET(Arb!$A$2,,,Arb!$AJ$5,),BN347))+ROW()*0.001)</f>
        <v/>
      </c>
      <c r="BU347" s="436">
        <v>205</v>
      </c>
      <c r="BW347" s="52" t="str">
        <f ca="1">IF(BV347="","",INDEX(OFFSET(Arb!$H$2,,,Arb!$AJ$5,),BV347))</f>
        <v/>
      </c>
      <c r="BX347" s="3" t="str">
        <f t="shared" ca="1" si="104"/>
        <v/>
      </c>
      <c r="BY347" s="165" t="str">
        <f ca="1">IF(BV347="","",INDEX(OFFSET(Arb!$X$2,,,Arb!$AJ$5,),BV347)/BW347)</f>
        <v/>
      </c>
      <c r="BZ347" s="165" t="str">
        <f ca="1">IF(BV347="","",(INDEX(OFFSET(Arb!$U$2,,,Arb!$AJ$5,),BV347)+INDEX(OFFSET(Arb!$V$2,,,Arb!$AJ$5,),BV347))/BW347)</f>
        <v/>
      </c>
      <c r="CA347" s="51" t="str">
        <f t="shared" ca="1" si="114"/>
        <v/>
      </c>
      <c r="CB347" s="91" t="str">
        <f ca="1">IF(BV347="","",DATE(INDEX(OFFSET(Arb!$C$2,,,Arb!$AJ$5,),BV347),INDEX(OFFSET(Arb!$B$2,,,Arb!$AJ$5,),BV347),INDEX(OFFSET(Arb!$A$2,,,Arb!$AJ$5,),BV347))+ROW()*0.001)</f>
        <v/>
      </c>
    </row>
    <row r="348" spans="1:80" x14ac:dyDescent="0.25">
      <c r="A348" s="433">
        <v>206</v>
      </c>
      <c r="B348" s="1">
        <v>3388</v>
      </c>
      <c r="C348" s="52">
        <f ca="1">IF(B348="","",INDEX(OFFSET(Arb!$H$2,,,Arb!$AJ$5,),B348))</f>
        <v>78.099999999999994</v>
      </c>
      <c r="D348" s="3">
        <f t="shared" ca="1" si="95"/>
        <v>2.6376440460947506</v>
      </c>
      <c r="E348" s="165">
        <f ca="1">IF(B348="","",INDEX(OFFSET(Arb!$X$2,,,Arb!$AJ$5,),B348)/C348)</f>
        <v>2.9705505761843791</v>
      </c>
      <c r="F348" s="165">
        <f ca="1">IF(B348="","",(INDEX(OFFSET(Arb!$U$2,,,Arb!$AJ$5,),B348)+INDEX(OFFSET(Arb!$V$2,,,Arb!$AJ$5,),B348))/C348)</f>
        <v>3.23943661971831</v>
      </c>
      <c r="G348" s="51">
        <f t="shared" ca="1" si="105"/>
        <v>54.306362983359961</v>
      </c>
      <c r="H348" s="355">
        <f ca="1">IF(B348="","",DATE(INDEX(OFFSET(Arb!$C$2,,,Arb!$AJ$5,),B348),INDEX(OFFSET(Arb!$B$2,,,Arb!$AJ$5,),B348),INDEX(OFFSET(Arb!$A$2,,,Arb!$AJ$5,),B348))+ROW()*0.001)</f>
        <v>44141.347999999998</v>
      </c>
      <c r="I348" s="436">
        <v>206</v>
      </c>
      <c r="J348" s="1">
        <v>3214</v>
      </c>
      <c r="K348" s="52">
        <f ca="1">IF(J348="","",INDEX(OFFSET(Arb!$H$2,,,Arb!$AJ$5,),J348))</f>
        <v>82.2</v>
      </c>
      <c r="L348" s="3">
        <f t="shared" ca="1" si="96"/>
        <v>2.5060827250608271</v>
      </c>
      <c r="M348" s="165">
        <f ca="1">IF(J348="","",INDEX(OFFSET(Arb!$X$2,,,Arb!$AJ$5,),J348)/K348)</f>
        <v>2.8467153284671531</v>
      </c>
      <c r="N348" s="165">
        <f ca="1">IF(J348="","",(INDEX(OFFSET(Arb!$U$2,,,Arb!$AJ$5,),J348)+INDEX(OFFSET(Arb!$V$2,,,Arb!$AJ$5,),J348))/K348)</f>
        <v>3.0900243309002433</v>
      </c>
      <c r="O348" s="51">
        <f t="shared" ca="1" si="106"/>
        <v>49.782349088058581</v>
      </c>
      <c r="P348" s="91">
        <f ca="1">IF(J348="","",DATE(INDEX(OFFSET(Arb!$C$2,,,Arb!$AJ$5,),J348),INDEX(OFFSET(Arb!$B$2,,,Arb!$AJ$5,),J348),INDEX(OFFSET(Arb!$A$2,,,Arb!$AJ$5,),J348))+ROW()*0.001)</f>
        <v>44059.347999999998</v>
      </c>
      <c r="Q348" s="442">
        <v>206</v>
      </c>
      <c r="R348" s="1">
        <v>3029</v>
      </c>
      <c r="S348" s="52">
        <f ca="1">IF(R348="","",INDEX(OFFSET(Arb!$H$2,,,Arb!$AJ$5,),R348))</f>
        <v>82.94</v>
      </c>
      <c r="T348" s="3">
        <f t="shared" ca="1" si="97"/>
        <v>2.4837231733783458</v>
      </c>
      <c r="U348" s="165">
        <f ca="1">IF(R348="","",INDEX(OFFSET(Arb!$X$2,,,Arb!$AJ$5,),R348)/S348)</f>
        <v>2.8574873402459611</v>
      </c>
      <c r="V348" s="165">
        <f ca="1">IF(R348="","",(INDEX(OFFSET(Arb!$U$2,,,Arb!$AJ$5,),R348)+INDEX(OFFSET(Arb!$V$2,,,Arb!$AJ$5,),R348))/S348)</f>
        <v>3.134796238244514</v>
      </c>
      <c r="W348" s="51">
        <f t="shared" ca="1" si="107"/>
        <v>49.029630799216974</v>
      </c>
      <c r="X348" s="88">
        <f ca="1">IF(R348="","",DATE(INDEX(OFFSET(Arb!$C$2,,,Arb!$AJ$5,),R348),INDEX(OFFSET(Arb!$B$2,,,Arb!$AJ$5,),R348),INDEX(OFFSET(Arb!$A$2,,,Arb!$AJ$5,),R348))+ROW()*0.001)</f>
        <v>43978.347999999998</v>
      </c>
      <c r="Y348" s="436">
        <v>206</v>
      </c>
      <c r="AA348" s="52" t="str">
        <f ca="1">IF(Z348="","",INDEX(OFFSET(Arb!$H$2,,,Arb!$AJ$5,),Z348))</f>
        <v/>
      </c>
      <c r="AB348" s="3" t="str">
        <f t="shared" ca="1" si="98"/>
        <v/>
      </c>
      <c r="AC348" s="165" t="str">
        <f ca="1">IF(Z348="","",INDEX(OFFSET(Arb!$X$2,,,Arb!$AJ$5,),Z348)/AA348)</f>
        <v/>
      </c>
      <c r="AD348" s="165" t="str">
        <f ca="1">IF(Z348="","",(INDEX(OFFSET(Arb!$U$2,,,Arb!$AJ$5,),Z348)+INDEX(OFFSET(Arb!$V$2,,,Arb!$AJ$5,),Z348))/AA348)</f>
        <v/>
      </c>
      <c r="AE348" s="51" t="str">
        <f t="shared" ca="1" si="108"/>
        <v/>
      </c>
      <c r="AF348" s="91" t="str">
        <f ca="1">IF(Z348="","",DATE(INDEX(OFFSET(Arb!$C$2,,,Arb!$AJ$5,),Z348),INDEX(OFFSET(Arb!$B$2,,,Arb!$AJ$5,),Z348),INDEX(OFFSET(Arb!$A$2,,,Arb!$AJ$5,),Z348))+ROW()*0.001)</f>
        <v/>
      </c>
      <c r="AG348" s="442">
        <v>206</v>
      </c>
      <c r="AI348" s="52" t="str">
        <f ca="1">IF(AH348="","",INDEX(OFFSET(Arb!$H$2,,,Arb!$AJ$5,),AH348))</f>
        <v/>
      </c>
      <c r="AJ348" s="3" t="str">
        <f t="shared" ca="1" si="99"/>
        <v/>
      </c>
      <c r="AK348" s="165" t="str">
        <f ca="1">IF(AH348="","",INDEX(OFFSET(Arb!$X$2,,,Arb!$AJ$5,),AH348)/AI348)</f>
        <v/>
      </c>
      <c r="AL348" s="165" t="str">
        <f ca="1">IF(AH348="","",(INDEX(OFFSET(Arb!$U$2,,,Arb!$AJ$5,),AH348)+INDEX(OFFSET(Arb!$V$2,,,Arb!$AJ$5,),AH348))/AI348)</f>
        <v/>
      </c>
      <c r="AM348" s="51" t="str">
        <f t="shared" ca="1" si="109"/>
        <v/>
      </c>
      <c r="AN348" s="88" t="str">
        <f ca="1">IF(AH348="","",DATE(INDEX(OFFSET(Arb!$C$2,,,Arb!$AJ$5,),AH348),INDEX(OFFSET(Arb!$B$2,,,Arb!$AJ$5,),AH348),INDEX(OFFSET(Arb!$A$2,,,Arb!$AJ$5,),AH348))+ROW()*0.001)</f>
        <v/>
      </c>
      <c r="AO348" s="436">
        <v>206</v>
      </c>
      <c r="AQ348" s="52" t="str">
        <f ca="1">IF(AP348="","",INDEX(OFFSET(Arb!$H$2,,,Arb!$AJ$5,),AP348))</f>
        <v/>
      </c>
      <c r="AR348" s="3" t="str">
        <f t="shared" ca="1" si="100"/>
        <v/>
      </c>
      <c r="AS348" s="165" t="str">
        <f ca="1">IF(AP348="","",INDEX(OFFSET(Arb!$X$2,,,Arb!$AJ$5,),AP348)/AQ348)</f>
        <v/>
      </c>
      <c r="AT348" s="165" t="str">
        <f ca="1">IF(AP348="","",(INDEX(OFFSET(Arb!$U$2,,,Arb!$AJ$5,),AP348)+INDEX(OFFSET(Arb!$V$2,,,Arb!$AJ$5,),AP348))/AQ348)</f>
        <v/>
      </c>
      <c r="AU348" s="51" t="str">
        <f t="shared" ca="1" si="110"/>
        <v/>
      </c>
      <c r="AV348" s="91" t="str">
        <f ca="1">IF(AP348="","",DATE(INDEX(OFFSET(Arb!$C$2,,,Arb!$AJ$5,),AP348),INDEX(OFFSET(Arb!$B$2,,,Arb!$AJ$5,),AP348),INDEX(OFFSET(Arb!$A$2,,,Arb!$AJ$5,),AP348))+ROW()*0.001)</f>
        <v/>
      </c>
      <c r="AW348" s="442">
        <v>206</v>
      </c>
      <c r="AY348" s="52" t="str">
        <f ca="1">IF(AX348="","",INDEX(OFFSET(Arb!$H$2,,,Arb!$AJ$5,),AX348))</f>
        <v/>
      </c>
      <c r="AZ348" s="3" t="str">
        <f t="shared" ca="1" si="101"/>
        <v/>
      </c>
      <c r="BA348" s="165" t="str">
        <f ca="1">IF(AX348="","",INDEX(OFFSET(Arb!$X$2,,,Arb!$AJ$5,),AX348)/AY348)</f>
        <v/>
      </c>
      <c r="BB348" s="165" t="str">
        <f ca="1">IF(AX348="","",(INDEX(OFFSET(Arb!$U$2,,,Arb!$AJ$5,),AX348)+INDEX(OFFSET(Arb!$V$2,,,Arb!$AJ$5,),AX348))/AY348)</f>
        <v/>
      </c>
      <c r="BC348" s="51" t="str">
        <f t="shared" ca="1" si="111"/>
        <v/>
      </c>
      <c r="BD348" s="88" t="str">
        <f ca="1">IF(AX348="","",DATE(INDEX(OFFSET(Arb!$C$2,,,Arb!$AJ$5,),AX348),INDEX(OFFSET(Arb!$B$2,,,Arb!$AJ$5,),AX348),INDEX(OFFSET(Arb!$A$2,,,Arb!$AJ$5,),AX348))+ROW()*0.001)</f>
        <v/>
      </c>
      <c r="BE348" s="436">
        <v>206</v>
      </c>
      <c r="BG348" s="52" t="str">
        <f ca="1">IF(BF348="","",INDEX(OFFSET(Arb!$H$2,,,Arb!$AJ$5,),BF348))</f>
        <v/>
      </c>
      <c r="BH348" s="3" t="str">
        <f t="shared" ca="1" si="102"/>
        <v/>
      </c>
      <c r="BI348" s="165" t="str">
        <f ca="1">IF(BF348="","",INDEX(OFFSET(Arb!$X$2,,,Arb!$AJ$5,),BF348)/BG348)</f>
        <v/>
      </c>
      <c r="BJ348" s="165" t="str">
        <f ca="1">IF(BF348="","",(INDEX(OFFSET(Arb!$U$2,,,Arb!$AJ$5,),BF348)+INDEX(OFFSET(Arb!$V$2,,,Arb!$AJ$5,),BF348))/BG348)</f>
        <v/>
      </c>
      <c r="BK348" s="51" t="str">
        <f t="shared" ca="1" si="112"/>
        <v/>
      </c>
      <c r="BL348" s="91" t="str">
        <f ca="1">IF(BF348="","",DATE(INDEX(OFFSET(Arb!$C$2,,,Arb!$AJ$5,),BF348),INDEX(OFFSET(Arb!$B$2,,,Arb!$AJ$5,),BF348),INDEX(OFFSET(Arb!$A$2,,,Arb!$AJ$5,),BF348))+ROW()*0.001)</f>
        <v/>
      </c>
      <c r="BM348" s="442">
        <v>206</v>
      </c>
      <c r="BO348" s="52" t="str">
        <f ca="1">IF(BN348="","",INDEX(OFFSET(Arb!$H$2,,,Arb!$AJ$5,),BN348))</f>
        <v/>
      </c>
      <c r="BP348" s="3" t="str">
        <f t="shared" ca="1" si="103"/>
        <v/>
      </c>
      <c r="BQ348" s="165" t="str">
        <f ca="1">IF(BN348="","",INDEX(OFFSET(Arb!$X$2,,,Arb!$AJ$5,),BN348)/BO348)</f>
        <v/>
      </c>
      <c r="BR348" s="165" t="str">
        <f ca="1">IF(BN348="","",(INDEX(OFFSET(Arb!$U$2,,,Arb!$AJ$5,),BN348)+INDEX(OFFSET(Arb!$V$2,,,Arb!$AJ$5,),BN348))/BO348)</f>
        <v/>
      </c>
      <c r="BS348" s="51" t="str">
        <f t="shared" ca="1" si="113"/>
        <v/>
      </c>
      <c r="BT348" s="88" t="str">
        <f ca="1">IF(BN348="","",DATE(INDEX(OFFSET(Arb!$C$2,,,Arb!$AJ$5,),BN348),INDEX(OFFSET(Arb!$B$2,,,Arb!$AJ$5,),BN348),INDEX(OFFSET(Arb!$A$2,,,Arb!$AJ$5,),BN348))+ROW()*0.001)</f>
        <v/>
      </c>
      <c r="BU348" s="436">
        <v>206</v>
      </c>
      <c r="BW348" s="52" t="str">
        <f ca="1">IF(BV348="","",INDEX(OFFSET(Arb!$H$2,,,Arb!$AJ$5,),BV348))</f>
        <v/>
      </c>
      <c r="BX348" s="3" t="str">
        <f t="shared" ca="1" si="104"/>
        <v/>
      </c>
      <c r="BY348" s="165" t="str">
        <f ca="1">IF(BV348="","",INDEX(OFFSET(Arb!$X$2,,,Arb!$AJ$5,),BV348)/BW348)</f>
        <v/>
      </c>
      <c r="BZ348" s="165" t="str">
        <f ca="1">IF(BV348="","",(INDEX(OFFSET(Arb!$U$2,,,Arb!$AJ$5,),BV348)+INDEX(OFFSET(Arb!$V$2,,,Arb!$AJ$5,),BV348))/BW348)</f>
        <v/>
      </c>
      <c r="CA348" s="51" t="str">
        <f t="shared" ca="1" si="114"/>
        <v/>
      </c>
      <c r="CB348" s="91" t="str">
        <f ca="1">IF(BV348="","",DATE(INDEX(OFFSET(Arb!$C$2,,,Arb!$AJ$5,),BV348),INDEX(OFFSET(Arb!$B$2,,,Arb!$AJ$5,),BV348),INDEX(OFFSET(Arb!$A$2,,,Arb!$AJ$5,),BV348))+ROW()*0.001)</f>
        <v/>
      </c>
    </row>
    <row r="349" spans="1:80" x14ac:dyDescent="0.25">
      <c r="A349" s="433">
        <v>207</v>
      </c>
      <c r="B349" s="1">
        <v>3230</v>
      </c>
      <c r="C349" s="52">
        <f ca="1">IF(B349="","",INDEX(OFFSET(Arb!$H$2,,,Arb!$AJ$5,),B349))</f>
        <v>81.739999999999995</v>
      </c>
      <c r="D349" s="3">
        <f t="shared" ca="1" si="95"/>
        <v>2.5324198678737462</v>
      </c>
      <c r="E349" s="165">
        <f ca="1">IF(B349="","",INDEX(OFFSET(Arb!$X$2,,,Arb!$AJ$5,),B349)/C349)</f>
        <v>2.8749694152189873</v>
      </c>
      <c r="F349" s="165">
        <f ca="1">IF(B349="","",(INDEX(OFFSET(Arb!$U$2,,,Arb!$AJ$5,),B349)+INDEX(OFFSET(Arb!$V$2,,,Arb!$AJ$5,),B349))/C349)</f>
        <v>3.1808172253486666</v>
      </c>
      <c r="G349" s="51">
        <f t="shared" ca="1" si="105"/>
        <v>50.503528764790204</v>
      </c>
      <c r="H349" s="355">
        <f ca="1">IF(B349="","",DATE(INDEX(OFFSET(Arb!$C$2,,,Arb!$AJ$5,),B349),INDEX(OFFSET(Arb!$B$2,,,Arb!$AJ$5,),B349),INDEX(OFFSET(Arb!$A$2,,,Arb!$AJ$5,),B349))+ROW()*0.001)</f>
        <v>44061.349000000002</v>
      </c>
      <c r="I349" s="436">
        <v>207</v>
      </c>
      <c r="J349" s="1">
        <v>2543</v>
      </c>
      <c r="K349" s="52">
        <f ca="1">IF(J349="","",INDEX(OFFSET(Arb!$H$2,,,Arb!$AJ$5,),J349))</f>
        <v>88.09</v>
      </c>
      <c r="L349" s="3">
        <f t="shared" ca="1" si="96"/>
        <v>2.3498694516971277</v>
      </c>
      <c r="M349" s="165">
        <f ca="1">IF(J349="","",INDEX(OFFSET(Arb!$X$2,,,Arb!$AJ$5,),J349)/K349)</f>
        <v>2.6790782154614599</v>
      </c>
      <c r="N349" s="165">
        <f ca="1">IF(J349="","",(INDEX(OFFSET(Arb!$U$2,,,Arb!$AJ$5,),J349)+INDEX(OFFSET(Arb!$V$2,,,Arb!$AJ$5,),J349))/K349)</f>
        <v>3.0196390055624929</v>
      </c>
      <c r="O349" s="51">
        <f t="shared" ca="1" si="106"/>
        <v>44.471867164287595</v>
      </c>
      <c r="P349" s="91">
        <f ca="1">IF(J349="","",DATE(INDEX(OFFSET(Arb!$C$2,,,Arb!$AJ$5,),J349),INDEX(OFFSET(Arb!$B$2,,,Arb!$AJ$5,),J349),INDEX(OFFSET(Arb!$A$2,,,Arb!$AJ$5,),J349))+ROW()*0.001)</f>
        <v>43796.349000000002</v>
      </c>
      <c r="Q349" s="442">
        <v>207</v>
      </c>
      <c r="S349" s="52" t="str">
        <f ca="1">IF(R349="","",INDEX(OFFSET(Arb!$H$2,,,Arb!$AJ$5,),R349))</f>
        <v/>
      </c>
      <c r="T349" s="3" t="str">
        <f t="shared" ca="1" si="97"/>
        <v/>
      </c>
      <c r="U349" s="165" t="str">
        <f ca="1">IF(R349="","",INDEX(OFFSET(Arb!$X$2,,,Arb!$AJ$5,),R349)/S349)</f>
        <v/>
      </c>
      <c r="V349" s="165" t="str">
        <f ca="1">IF(R349="","",(INDEX(OFFSET(Arb!$U$2,,,Arb!$AJ$5,),R349)+INDEX(OFFSET(Arb!$V$2,,,Arb!$AJ$5,),R349))/S349)</f>
        <v/>
      </c>
      <c r="W349" s="51" t="str">
        <f t="shared" ca="1" si="107"/>
        <v/>
      </c>
      <c r="X349" s="88" t="str">
        <f ca="1">IF(R349="","",DATE(INDEX(OFFSET(Arb!$C$2,,,Arb!$AJ$5,),R349),INDEX(OFFSET(Arb!$B$2,,,Arb!$AJ$5,),R349),INDEX(OFFSET(Arb!$A$2,,,Arb!$AJ$5,),R349))+ROW()*0.001)</f>
        <v/>
      </c>
      <c r="Y349" s="436">
        <v>207</v>
      </c>
      <c r="AA349" s="52" t="str">
        <f ca="1">IF(Z349="","",INDEX(OFFSET(Arb!$H$2,,,Arb!$AJ$5,),Z349))</f>
        <v/>
      </c>
      <c r="AB349" s="3" t="str">
        <f t="shared" ca="1" si="98"/>
        <v/>
      </c>
      <c r="AC349" s="165" t="str">
        <f ca="1">IF(Z349="","",INDEX(OFFSET(Arb!$X$2,,,Arb!$AJ$5,),Z349)/AA349)</f>
        <v/>
      </c>
      <c r="AD349" s="165" t="str">
        <f ca="1">IF(Z349="","",(INDEX(OFFSET(Arb!$U$2,,,Arb!$AJ$5,),Z349)+INDEX(OFFSET(Arb!$V$2,,,Arb!$AJ$5,),Z349))/AA349)</f>
        <v/>
      </c>
      <c r="AE349" s="51" t="str">
        <f t="shared" ca="1" si="108"/>
        <v/>
      </c>
      <c r="AF349" s="91" t="str">
        <f ca="1">IF(Z349="","",DATE(INDEX(OFFSET(Arb!$C$2,,,Arb!$AJ$5,),Z349),INDEX(OFFSET(Arb!$B$2,,,Arb!$AJ$5,),Z349),INDEX(OFFSET(Arb!$A$2,,,Arb!$AJ$5,),Z349))+ROW()*0.001)</f>
        <v/>
      </c>
      <c r="AG349" s="442">
        <v>207</v>
      </c>
      <c r="AI349" s="52" t="str">
        <f ca="1">IF(AH349="","",INDEX(OFFSET(Arb!$H$2,,,Arb!$AJ$5,),AH349))</f>
        <v/>
      </c>
      <c r="AJ349" s="3" t="str">
        <f t="shared" ca="1" si="99"/>
        <v/>
      </c>
      <c r="AK349" s="165" t="str">
        <f ca="1">IF(AH349="","",INDEX(OFFSET(Arb!$X$2,,,Arb!$AJ$5,),AH349)/AI349)</f>
        <v/>
      </c>
      <c r="AL349" s="165" t="str">
        <f ca="1">IF(AH349="","",(INDEX(OFFSET(Arb!$U$2,,,Arb!$AJ$5,),AH349)+INDEX(OFFSET(Arb!$V$2,,,Arb!$AJ$5,),AH349))/AI349)</f>
        <v/>
      </c>
      <c r="AM349" s="51" t="str">
        <f t="shared" ca="1" si="109"/>
        <v/>
      </c>
      <c r="AN349" s="88" t="str">
        <f ca="1">IF(AH349="","",DATE(INDEX(OFFSET(Arb!$C$2,,,Arb!$AJ$5,),AH349),INDEX(OFFSET(Arb!$B$2,,,Arb!$AJ$5,),AH349),INDEX(OFFSET(Arb!$A$2,,,Arb!$AJ$5,),AH349))+ROW()*0.001)</f>
        <v/>
      </c>
      <c r="AO349" s="436">
        <v>207</v>
      </c>
      <c r="AQ349" s="52" t="str">
        <f ca="1">IF(AP349="","",INDEX(OFFSET(Arb!$H$2,,,Arb!$AJ$5,),AP349))</f>
        <v/>
      </c>
      <c r="AR349" s="3" t="str">
        <f t="shared" ca="1" si="100"/>
        <v/>
      </c>
      <c r="AS349" s="165" t="str">
        <f ca="1">IF(AP349="","",INDEX(OFFSET(Arb!$X$2,,,Arb!$AJ$5,),AP349)/AQ349)</f>
        <v/>
      </c>
      <c r="AT349" s="165" t="str">
        <f ca="1">IF(AP349="","",(INDEX(OFFSET(Arb!$U$2,,,Arb!$AJ$5,),AP349)+INDEX(OFFSET(Arb!$V$2,,,Arb!$AJ$5,),AP349))/AQ349)</f>
        <v/>
      </c>
      <c r="AU349" s="51" t="str">
        <f t="shared" ca="1" si="110"/>
        <v/>
      </c>
      <c r="AV349" s="91" t="str">
        <f ca="1">IF(AP349="","",DATE(INDEX(OFFSET(Arb!$C$2,,,Arb!$AJ$5,),AP349),INDEX(OFFSET(Arb!$B$2,,,Arb!$AJ$5,),AP349),INDEX(OFFSET(Arb!$A$2,,,Arb!$AJ$5,),AP349))+ROW()*0.001)</f>
        <v/>
      </c>
      <c r="AW349" s="442">
        <v>207</v>
      </c>
      <c r="AY349" s="52" t="str">
        <f ca="1">IF(AX349="","",INDEX(OFFSET(Arb!$H$2,,,Arb!$AJ$5,),AX349))</f>
        <v/>
      </c>
      <c r="AZ349" s="3" t="str">
        <f t="shared" ca="1" si="101"/>
        <v/>
      </c>
      <c r="BA349" s="165" t="str">
        <f ca="1">IF(AX349="","",INDEX(OFFSET(Arb!$X$2,,,Arb!$AJ$5,),AX349)/AY349)</f>
        <v/>
      </c>
      <c r="BB349" s="165" t="str">
        <f ca="1">IF(AX349="","",(INDEX(OFFSET(Arb!$U$2,,,Arb!$AJ$5,),AX349)+INDEX(OFFSET(Arb!$V$2,,,Arb!$AJ$5,),AX349))/AY349)</f>
        <v/>
      </c>
      <c r="BC349" s="51" t="str">
        <f t="shared" ca="1" si="111"/>
        <v/>
      </c>
      <c r="BD349" s="88" t="str">
        <f ca="1">IF(AX349="","",DATE(INDEX(OFFSET(Arb!$C$2,,,Arb!$AJ$5,),AX349),INDEX(OFFSET(Arb!$B$2,,,Arb!$AJ$5,),AX349),INDEX(OFFSET(Arb!$A$2,,,Arb!$AJ$5,),AX349))+ROW()*0.001)</f>
        <v/>
      </c>
      <c r="BE349" s="436">
        <v>207</v>
      </c>
      <c r="BG349" s="52" t="str">
        <f ca="1">IF(BF349="","",INDEX(OFFSET(Arb!$H$2,,,Arb!$AJ$5,),BF349))</f>
        <v/>
      </c>
      <c r="BH349" s="3" t="str">
        <f t="shared" ca="1" si="102"/>
        <v/>
      </c>
      <c r="BI349" s="165" t="str">
        <f ca="1">IF(BF349="","",INDEX(OFFSET(Arb!$X$2,,,Arb!$AJ$5,),BF349)/BG349)</f>
        <v/>
      </c>
      <c r="BJ349" s="165" t="str">
        <f ca="1">IF(BF349="","",(INDEX(OFFSET(Arb!$U$2,,,Arb!$AJ$5,),BF349)+INDEX(OFFSET(Arb!$V$2,,,Arb!$AJ$5,),BF349))/BG349)</f>
        <v/>
      </c>
      <c r="BK349" s="51" t="str">
        <f t="shared" ca="1" si="112"/>
        <v/>
      </c>
      <c r="BL349" s="91" t="str">
        <f ca="1">IF(BF349="","",DATE(INDEX(OFFSET(Arb!$C$2,,,Arb!$AJ$5,),BF349),INDEX(OFFSET(Arb!$B$2,,,Arb!$AJ$5,),BF349),INDEX(OFFSET(Arb!$A$2,,,Arb!$AJ$5,),BF349))+ROW()*0.001)</f>
        <v/>
      </c>
      <c r="BM349" s="442">
        <v>207</v>
      </c>
      <c r="BO349" s="52" t="str">
        <f ca="1">IF(BN349="","",INDEX(OFFSET(Arb!$H$2,,,Arb!$AJ$5,),BN349))</f>
        <v/>
      </c>
      <c r="BP349" s="3" t="str">
        <f t="shared" ca="1" si="103"/>
        <v/>
      </c>
      <c r="BQ349" s="165" t="str">
        <f ca="1">IF(BN349="","",INDEX(OFFSET(Arb!$X$2,,,Arb!$AJ$5,),BN349)/BO349)</f>
        <v/>
      </c>
      <c r="BR349" s="165" t="str">
        <f ca="1">IF(BN349="","",(INDEX(OFFSET(Arb!$U$2,,,Arb!$AJ$5,),BN349)+INDEX(OFFSET(Arb!$V$2,,,Arb!$AJ$5,),BN349))/BO349)</f>
        <v/>
      </c>
      <c r="BS349" s="51" t="str">
        <f t="shared" ca="1" si="113"/>
        <v/>
      </c>
      <c r="BT349" s="88" t="str">
        <f ca="1">IF(BN349="","",DATE(INDEX(OFFSET(Arb!$C$2,,,Arb!$AJ$5,),BN349),INDEX(OFFSET(Arb!$B$2,,,Arb!$AJ$5,),BN349),INDEX(OFFSET(Arb!$A$2,,,Arb!$AJ$5,),BN349))+ROW()*0.001)</f>
        <v/>
      </c>
      <c r="BU349" s="436">
        <v>207</v>
      </c>
      <c r="BW349" s="52" t="str">
        <f ca="1">IF(BV349="","",INDEX(OFFSET(Arb!$H$2,,,Arb!$AJ$5,),BV349))</f>
        <v/>
      </c>
      <c r="BX349" s="3" t="str">
        <f t="shared" ca="1" si="104"/>
        <v/>
      </c>
      <c r="BY349" s="165" t="str">
        <f ca="1">IF(BV349="","",INDEX(OFFSET(Arb!$X$2,,,Arb!$AJ$5,),BV349)/BW349)</f>
        <v/>
      </c>
      <c r="BZ349" s="165" t="str">
        <f ca="1">IF(BV349="","",(INDEX(OFFSET(Arb!$U$2,,,Arb!$AJ$5,),BV349)+INDEX(OFFSET(Arb!$V$2,,,Arb!$AJ$5,),BV349))/BW349)</f>
        <v/>
      </c>
      <c r="CA349" s="51" t="str">
        <f t="shared" ca="1" si="114"/>
        <v/>
      </c>
      <c r="CB349" s="91" t="str">
        <f ca="1">IF(BV349="","",DATE(INDEX(OFFSET(Arb!$C$2,,,Arb!$AJ$5,),BV349),INDEX(OFFSET(Arb!$B$2,,,Arb!$AJ$5,),BV349),INDEX(OFFSET(Arb!$A$2,,,Arb!$AJ$5,),BV349))+ROW()*0.001)</f>
        <v/>
      </c>
    </row>
    <row r="350" spans="1:80" x14ac:dyDescent="0.25">
      <c r="A350" s="433">
        <v>208</v>
      </c>
      <c r="B350" s="1">
        <v>2873</v>
      </c>
      <c r="C350" s="52">
        <f ca="1">IF(B350="","",INDEX(OFFSET(Arb!$H$2,,,Arb!$AJ$5,),B350))</f>
        <v>74.819999999999993</v>
      </c>
      <c r="D350" s="3">
        <f t="shared" ca="1" si="95"/>
        <v>2.7800053461641276</v>
      </c>
      <c r="E350" s="165">
        <f ca="1">IF(B350="","",INDEX(OFFSET(Arb!$X$2,,,Arb!$AJ$5,),B350)/C350)</f>
        <v>3.2076984763432241</v>
      </c>
      <c r="F350" s="165">
        <f ca="1">IF(B350="","",(INDEX(OFFSET(Arb!$U$2,,,Arb!$AJ$5,),B350)+INDEX(OFFSET(Arb!$V$2,,,Arb!$AJ$5,),B350))/C350)</f>
        <v>3.4883720930232562</v>
      </c>
      <c r="G350" s="51">
        <f t="shared" ca="1" si="105"/>
        <v>58.982543100604886</v>
      </c>
      <c r="H350" s="355">
        <f ca="1">IF(B350="","",DATE(INDEX(OFFSET(Arb!$C$2,,,Arb!$AJ$5,),B350),INDEX(OFFSET(Arb!$B$2,,,Arb!$AJ$5,),B350),INDEX(OFFSET(Arb!$A$2,,,Arb!$AJ$5,),B350))+ROW()*0.001)</f>
        <v>43911.35</v>
      </c>
      <c r="I350" s="436">
        <v>208</v>
      </c>
      <c r="J350" s="1">
        <v>2585</v>
      </c>
      <c r="K350" s="52">
        <f ca="1">IF(J350="","",INDEX(OFFSET(Arb!$H$2,,,Arb!$AJ$5,),J350))</f>
        <v>91.06</v>
      </c>
      <c r="L350" s="3">
        <f t="shared" ca="1" si="96"/>
        <v>2.2842082143641553</v>
      </c>
      <c r="M350" s="165">
        <f ca="1">IF(J350="","",INDEX(OFFSET(Arb!$X$2,,,Arb!$AJ$5,),J350)/K350)</f>
        <v>2.66857017351197</v>
      </c>
      <c r="N350" s="165">
        <f ca="1">IF(J350="","",(INDEX(OFFSET(Arb!$U$2,,,Arb!$AJ$5,),J350)+INDEX(OFFSET(Arb!$V$2,,,Arb!$AJ$5,),J350))/K350)</f>
        <v>3.0090050516143201</v>
      </c>
      <c r="O350" s="51">
        <f t="shared" ca="1" si="106"/>
        <v>42.237343162158091</v>
      </c>
      <c r="P350" s="91">
        <f ca="1">IF(J350="","",DATE(INDEX(OFFSET(Arb!$C$2,,,Arb!$AJ$5,),J350),INDEX(OFFSET(Arb!$B$2,,,Arb!$AJ$5,),J350),INDEX(OFFSET(Arb!$A$2,,,Arb!$AJ$5,),J350))+ROW()*0.001)</f>
        <v>43805.35</v>
      </c>
      <c r="Q350" s="442">
        <v>208</v>
      </c>
      <c r="R350" s="1">
        <v>2631</v>
      </c>
      <c r="S350" s="52">
        <f ca="1">IF(R350="","",INDEX(OFFSET(Arb!$H$2,,,Arb!$AJ$5,),R350))</f>
        <v>92.51</v>
      </c>
      <c r="T350" s="3">
        <f t="shared" ca="1" si="97"/>
        <v>2.2484055777753755</v>
      </c>
      <c r="U350" s="165">
        <f ca="1">IF(R350="","",INDEX(OFFSET(Arb!$X$2,,,Arb!$AJ$5,),R350)/S350)</f>
        <v>2.7240298346124741</v>
      </c>
      <c r="V350" s="165">
        <f ca="1">IF(R350="","",(INDEX(OFFSET(Arb!$U$2,,,Arb!$AJ$5,),R350)+INDEX(OFFSET(Arb!$V$2,,,Arb!$AJ$5,),R350))/S350)</f>
        <v>2.9942708896335528</v>
      </c>
      <c r="W350" s="51">
        <f t="shared" ca="1" si="107"/>
        <v>41.118080520418225</v>
      </c>
      <c r="X350" s="88">
        <f ca="1">IF(R350="","",DATE(INDEX(OFFSET(Arb!$C$2,,,Arb!$AJ$5,),R350),INDEX(OFFSET(Arb!$B$2,,,Arb!$AJ$5,),R350),INDEX(OFFSET(Arb!$A$2,,,Arb!$AJ$5,),R350))+ROW()*0.001)</f>
        <v>43815.35</v>
      </c>
      <c r="Y350" s="436">
        <v>208</v>
      </c>
      <c r="Z350" s="1">
        <v>2459</v>
      </c>
      <c r="AA350" s="52">
        <f ca="1">IF(Z350="","",INDEX(OFFSET(Arb!$H$2,,,Arb!$AJ$5,),Z350))</f>
        <v>93.98</v>
      </c>
      <c r="AB350" s="3">
        <f t="shared" ca="1" si="98"/>
        <v>2.21323685890615</v>
      </c>
      <c r="AC350" s="165">
        <f ca="1">IF(Z350="","",INDEX(OFFSET(Arb!$X$2,,,Arb!$AJ$5,),Z350)/AA350)</f>
        <v>2.6601404554160459</v>
      </c>
      <c r="AD350" s="165">
        <f ca="1">IF(Z350="","",(INDEX(OFFSET(Arb!$U$2,,,Arb!$AJ$5,),Z350)+INDEX(OFFSET(Arb!$V$2,,,Arb!$AJ$5,),Z350))/AA350)</f>
        <v>2.9793573100659714</v>
      </c>
      <c r="AE350" s="51">
        <f t="shared" ca="1" si="108"/>
        <v>40.030714437257551</v>
      </c>
      <c r="AF350" s="91">
        <f ca="1">IF(Z350="","",DATE(INDEX(OFFSET(Arb!$C$2,,,Arb!$AJ$5,),Z350),INDEX(OFFSET(Arb!$B$2,,,Arb!$AJ$5,),Z350),INDEX(OFFSET(Arb!$A$2,,,Arb!$AJ$5,),Z350))+ROW()*0.001)</f>
        <v>43778.35</v>
      </c>
      <c r="AG350" s="442">
        <v>208</v>
      </c>
      <c r="AI350" s="52" t="str">
        <f ca="1">IF(AH350="","",INDEX(OFFSET(Arb!$H$2,,,Arb!$AJ$5,),AH350))</f>
        <v/>
      </c>
      <c r="AJ350" s="3" t="str">
        <f t="shared" ca="1" si="99"/>
        <v/>
      </c>
      <c r="AK350" s="165" t="str">
        <f ca="1">IF(AH350="","",INDEX(OFFSET(Arb!$X$2,,,Arb!$AJ$5,),AH350)/AI350)</f>
        <v/>
      </c>
      <c r="AL350" s="165" t="str">
        <f ca="1">IF(AH350="","",(INDEX(OFFSET(Arb!$U$2,,,Arb!$AJ$5,),AH350)+INDEX(OFFSET(Arb!$V$2,,,Arb!$AJ$5,),AH350))/AI350)</f>
        <v/>
      </c>
      <c r="AM350" s="51" t="str">
        <f t="shared" ca="1" si="109"/>
        <v/>
      </c>
      <c r="AN350" s="88" t="str">
        <f ca="1">IF(AH350="","",DATE(INDEX(OFFSET(Arb!$C$2,,,Arb!$AJ$5,),AH350),INDEX(OFFSET(Arb!$B$2,,,Arb!$AJ$5,),AH350),INDEX(OFFSET(Arb!$A$2,,,Arb!$AJ$5,),AH350))+ROW()*0.001)</f>
        <v/>
      </c>
      <c r="AO350" s="436">
        <v>208</v>
      </c>
      <c r="AQ350" s="52" t="str">
        <f ca="1">IF(AP350="","",INDEX(OFFSET(Arb!$H$2,,,Arb!$AJ$5,),AP350))</f>
        <v/>
      </c>
      <c r="AR350" s="3" t="str">
        <f t="shared" ca="1" si="100"/>
        <v/>
      </c>
      <c r="AS350" s="165" t="str">
        <f ca="1">IF(AP350="","",INDEX(OFFSET(Arb!$X$2,,,Arb!$AJ$5,),AP350)/AQ350)</f>
        <v/>
      </c>
      <c r="AT350" s="165" t="str">
        <f ca="1">IF(AP350="","",(INDEX(OFFSET(Arb!$U$2,,,Arb!$AJ$5,),AP350)+INDEX(OFFSET(Arb!$V$2,,,Arb!$AJ$5,),AP350))/AQ350)</f>
        <v/>
      </c>
      <c r="AU350" s="51" t="str">
        <f t="shared" ca="1" si="110"/>
        <v/>
      </c>
      <c r="AV350" s="91" t="str">
        <f ca="1">IF(AP350="","",DATE(INDEX(OFFSET(Arb!$C$2,,,Arb!$AJ$5,),AP350),INDEX(OFFSET(Arb!$B$2,,,Arb!$AJ$5,),AP350),INDEX(OFFSET(Arb!$A$2,,,Arb!$AJ$5,),AP350))+ROW()*0.001)</f>
        <v/>
      </c>
      <c r="AW350" s="442">
        <v>208</v>
      </c>
      <c r="AY350" s="52" t="str">
        <f ca="1">IF(AX350="","",INDEX(OFFSET(Arb!$H$2,,,Arb!$AJ$5,),AX350))</f>
        <v/>
      </c>
      <c r="AZ350" s="3" t="str">
        <f t="shared" ca="1" si="101"/>
        <v/>
      </c>
      <c r="BA350" s="165" t="str">
        <f ca="1">IF(AX350="","",INDEX(OFFSET(Arb!$X$2,,,Arb!$AJ$5,),AX350)/AY350)</f>
        <v/>
      </c>
      <c r="BB350" s="165" t="str">
        <f ca="1">IF(AX350="","",(INDEX(OFFSET(Arb!$U$2,,,Arb!$AJ$5,),AX350)+INDEX(OFFSET(Arb!$V$2,,,Arb!$AJ$5,),AX350))/AY350)</f>
        <v/>
      </c>
      <c r="BC350" s="51" t="str">
        <f t="shared" ca="1" si="111"/>
        <v/>
      </c>
      <c r="BD350" s="88" t="str">
        <f ca="1">IF(AX350="","",DATE(INDEX(OFFSET(Arb!$C$2,,,Arb!$AJ$5,),AX350),INDEX(OFFSET(Arb!$B$2,,,Arb!$AJ$5,),AX350),INDEX(OFFSET(Arb!$A$2,,,Arb!$AJ$5,),AX350))+ROW()*0.001)</f>
        <v/>
      </c>
      <c r="BE350" s="436">
        <v>208</v>
      </c>
      <c r="BG350" s="52" t="str">
        <f ca="1">IF(BF350="","",INDEX(OFFSET(Arb!$H$2,,,Arb!$AJ$5,),BF350))</f>
        <v/>
      </c>
      <c r="BH350" s="3" t="str">
        <f t="shared" ca="1" si="102"/>
        <v/>
      </c>
      <c r="BI350" s="165" t="str">
        <f ca="1">IF(BF350="","",INDEX(OFFSET(Arb!$X$2,,,Arb!$AJ$5,),BF350)/BG350)</f>
        <v/>
      </c>
      <c r="BJ350" s="165" t="str">
        <f ca="1">IF(BF350="","",(INDEX(OFFSET(Arb!$U$2,,,Arb!$AJ$5,),BF350)+INDEX(OFFSET(Arb!$V$2,,,Arb!$AJ$5,),BF350))/BG350)</f>
        <v/>
      </c>
      <c r="BK350" s="51" t="str">
        <f t="shared" ca="1" si="112"/>
        <v/>
      </c>
      <c r="BL350" s="91" t="str">
        <f ca="1">IF(BF350="","",DATE(INDEX(OFFSET(Arb!$C$2,,,Arb!$AJ$5,),BF350),INDEX(OFFSET(Arb!$B$2,,,Arb!$AJ$5,),BF350),INDEX(OFFSET(Arb!$A$2,,,Arb!$AJ$5,),BF350))+ROW()*0.001)</f>
        <v/>
      </c>
      <c r="BM350" s="442">
        <v>208</v>
      </c>
      <c r="BO350" s="52" t="str">
        <f ca="1">IF(BN350="","",INDEX(OFFSET(Arb!$H$2,,,Arb!$AJ$5,),BN350))</f>
        <v/>
      </c>
      <c r="BP350" s="3" t="str">
        <f t="shared" ca="1" si="103"/>
        <v/>
      </c>
      <c r="BQ350" s="165" t="str">
        <f ca="1">IF(BN350="","",INDEX(OFFSET(Arb!$X$2,,,Arb!$AJ$5,),BN350)/BO350)</f>
        <v/>
      </c>
      <c r="BR350" s="165" t="str">
        <f ca="1">IF(BN350="","",(INDEX(OFFSET(Arb!$U$2,,,Arb!$AJ$5,),BN350)+INDEX(OFFSET(Arb!$V$2,,,Arb!$AJ$5,),BN350))/BO350)</f>
        <v/>
      </c>
      <c r="BS350" s="51" t="str">
        <f t="shared" ca="1" si="113"/>
        <v/>
      </c>
      <c r="BT350" s="88" t="str">
        <f ca="1">IF(BN350="","",DATE(INDEX(OFFSET(Arb!$C$2,,,Arb!$AJ$5,),BN350),INDEX(OFFSET(Arb!$B$2,,,Arb!$AJ$5,),BN350),INDEX(OFFSET(Arb!$A$2,,,Arb!$AJ$5,),BN350))+ROW()*0.001)</f>
        <v/>
      </c>
      <c r="BU350" s="436">
        <v>208</v>
      </c>
      <c r="BW350" s="52" t="str">
        <f ca="1">IF(BV350="","",INDEX(OFFSET(Arb!$H$2,,,Arb!$AJ$5,),BV350))</f>
        <v/>
      </c>
      <c r="BX350" s="3" t="str">
        <f t="shared" ca="1" si="104"/>
        <v/>
      </c>
      <c r="BY350" s="165" t="str">
        <f ca="1">IF(BV350="","",INDEX(OFFSET(Arb!$X$2,,,Arb!$AJ$5,),BV350)/BW350)</f>
        <v/>
      </c>
      <c r="BZ350" s="165" t="str">
        <f ca="1">IF(BV350="","",(INDEX(OFFSET(Arb!$U$2,,,Arb!$AJ$5,),BV350)+INDEX(OFFSET(Arb!$V$2,,,Arb!$AJ$5,),BV350))/BW350)</f>
        <v/>
      </c>
      <c r="CA350" s="51" t="str">
        <f t="shared" ca="1" si="114"/>
        <v/>
      </c>
      <c r="CB350" s="91" t="str">
        <f ca="1">IF(BV350="","",DATE(INDEX(OFFSET(Arb!$C$2,,,Arb!$AJ$5,),BV350),INDEX(OFFSET(Arb!$B$2,,,Arb!$AJ$5,),BV350),INDEX(OFFSET(Arb!$A$2,,,Arb!$AJ$5,),BV350))+ROW()*0.001)</f>
        <v/>
      </c>
    </row>
    <row r="351" spans="1:80" x14ac:dyDescent="0.25">
      <c r="A351" s="433">
        <v>209</v>
      </c>
      <c r="B351" s="1">
        <v>2723</v>
      </c>
      <c r="C351" s="52">
        <f ca="1">IF(B351="","",INDEX(OFFSET(Arb!$H$2,,,Arb!$AJ$5,),B351))</f>
        <v>83.45</v>
      </c>
      <c r="D351" s="3">
        <f t="shared" ca="1" si="95"/>
        <v>2.5044937088076691</v>
      </c>
      <c r="E351" s="165">
        <f ca="1">IF(B351="","",INDEX(OFFSET(Arb!$X$2,,,Arb!$AJ$5,),B351)/C351)</f>
        <v>2.8759736369083284</v>
      </c>
      <c r="F351" s="165">
        <f ca="1">IF(B351="","",(INDEX(OFFSET(Arb!$U$2,,,Arb!$AJ$5,),B351)+INDEX(OFFSET(Arb!$V$2,,,Arb!$AJ$5,),B351))/C351)</f>
        <v>3.1635710005991609</v>
      </c>
      <c r="G351" s="51">
        <f t="shared" ca="1" si="105"/>
        <v>49.227951235161271</v>
      </c>
      <c r="H351" s="355">
        <f ca="1">IF(B351="","",DATE(INDEX(OFFSET(Arb!$C$2,,,Arb!$AJ$5,),B351),INDEX(OFFSET(Arb!$B$2,,,Arb!$AJ$5,),B351),INDEX(OFFSET(Arb!$A$2,,,Arb!$AJ$5,),B351))+ROW()*0.001)</f>
        <v>43854.351000000002</v>
      </c>
      <c r="I351" s="436">
        <v>209</v>
      </c>
      <c r="J351" s="1">
        <v>3120</v>
      </c>
      <c r="K351" s="52">
        <f ca="1">IF(J351="","",INDEX(OFFSET(Arb!$H$2,,,Arb!$AJ$5,),J351))</f>
        <v>86.69</v>
      </c>
      <c r="L351" s="3">
        <f t="shared" ca="1" si="96"/>
        <v>2.4108893759372476</v>
      </c>
      <c r="M351" s="165">
        <f ca="1">IF(J351="","",INDEX(OFFSET(Arb!$X$2,,,Arb!$AJ$5,),J351)/K351)</f>
        <v>2.8838389664321147</v>
      </c>
      <c r="N351" s="165">
        <f ca="1">IF(J351="","",(INDEX(OFFSET(Arb!$U$2,,,Arb!$AJ$5,),J351)+INDEX(OFFSET(Arb!$V$2,,,Arb!$AJ$5,),J351))/K351)</f>
        <v>3.2414349982696966</v>
      </c>
      <c r="O351" s="51">
        <f t="shared" ca="1" si="106"/>
        <v>46.141237328003371</v>
      </c>
      <c r="P351" s="91">
        <f ca="1">IF(J351="","",DATE(INDEX(OFFSET(Arb!$C$2,,,Arb!$AJ$5,),J351),INDEX(OFFSET(Arb!$B$2,,,Arb!$AJ$5,),J351),INDEX(OFFSET(Arb!$A$2,,,Arb!$AJ$5,),J351))+ROW()*0.001)</f>
        <v>44013.351000000002</v>
      </c>
      <c r="Q351" s="442">
        <v>209</v>
      </c>
      <c r="S351" s="52" t="str">
        <f ca="1">IF(R351="","",INDEX(OFFSET(Arb!$H$2,,,Arb!$AJ$5,),R351))</f>
        <v/>
      </c>
      <c r="T351" s="3" t="str">
        <f t="shared" ca="1" si="97"/>
        <v/>
      </c>
      <c r="U351" s="165" t="str">
        <f ca="1">IF(R351="","",INDEX(OFFSET(Arb!$X$2,,,Arb!$AJ$5,),R351)/S351)</f>
        <v/>
      </c>
      <c r="V351" s="165" t="str">
        <f ca="1">IF(R351="","",(INDEX(OFFSET(Arb!$U$2,,,Arb!$AJ$5,),R351)+INDEX(OFFSET(Arb!$V$2,,,Arb!$AJ$5,),R351))/S351)</f>
        <v/>
      </c>
      <c r="W351" s="51" t="str">
        <f t="shared" ca="1" si="107"/>
        <v/>
      </c>
      <c r="X351" s="88" t="str">
        <f ca="1">IF(R351="","",DATE(INDEX(OFFSET(Arb!$C$2,,,Arb!$AJ$5,),R351),INDEX(OFFSET(Arb!$B$2,,,Arb!$AJ$5,),R351),INDEX(OFFSET(Arb!$A$2,,,Arb!$AJ$5,),R351))+ROW()*0.001)</f>
        <v/>
      </c>
      <c r="Y351" s="436">
        <v>209</v>
      </c>
      <c r="AA351" s="52" t="str">
        <f ca="1">IF(Z351="","",INDEX(OFFSET(Arb!$H$2,,,Arb!$AJ$5,),Z351))</f>
        <v/>
      </c>
      <c r="AB351" s="3" t="str">
        <f t="shared" ca="1" si="98"/>
        <v/>
      </c>
      <c r="AC351" s="165" t="str">
        <f ca="1">IF(Z351="","",INDEX(OFFSET(Arb!$X$2,,,Arb!$AJ$5,),Z351)/AA351)</f>
        <v/>
      </c>
      <c r="AD351" s="165" t="str">
        <f ca="1">IF(Z351="","",(INDEX(OFFSET(Arb!$U$2,,,Arb!$AJ$5,),Z351)+INDEX(OFFSET(Arb!$V$2,,,Arb!$AJ$5,),Z351))/AA351)</f>
        <v/>
      </c>
      <c r="AE351" s="51" t="str">
        <f t="shared" ca="1" si="108"/>
        <v/>
      </c>
      <c r="AF351" s="91" t="str">
        <f ca="1">IF(Z351="","",DATE(INDEX(OFFSET(Arb!$C$2,,,Arb!$AJ$5,),Z351),INDEX(OFFSET(Arb!$B$2,,,Arb!$AJ$5,),Z351),INDEX(OFFSET(Arb!$A$2,,,Arb!$AJ$5,),Z351))+ROW()*0.001)</f>
        <v/>
      </c>
      <c r="AG351" s="442">
        <v>209</v>
      </c>
      <c r="AI351" s="52" t="str">
        <f ca="1">IF(AH351="","",INDEX(OFFSET(Arb!$H$2,,,Arb!$AJ$5,),AH351))</f>
        <v/>
      </c>
      <c r="AJ351" s="3" t="str">
        <f t="shared" ca="1" si="99"/>
        <v/>
      </c>
      <c r="AK351" s="165" t="str">
        <f ca="1">IF(AH351="","",INDEX(OFFSET(Arb!$X$2,,,Arb!$AJ$5,),AH351)/AI351)</f>
        <v/>
      </c>
      <c r="AL351" s="165" t="str">
        <f ca="1">IF(AH351="","",(INDEX(OFFSET(Arb!$U$2,,,Arb!$AJ$5,),AH351)+INDEX(OFFSET(Arb!$V$2,,,Arb!$AJ$5,),AH351))/AI351)</f>
        <v/>
      </c>
      <c r="AM351" s="51" t="str">
        <f t="shared" ca="1" si="109"/>
        <v/>
      </c>
      <c r="AN351" s="88" t="str">
        <f ca="1">IF(AH351="","",DATE(INDEX(OFFSET(Arb!$C$2,,,Arb!$AJ$5,),AH351),INDEX(OFFSET(Arb!$B$2,,,Arb!$AJ$5,),AH351),INDEX(OFFSET(Arb!$A$2,,,Arb!$AJ$5,),AH351))+ROW()*0.001)</f>
        <v/>
      </c>
      <c r="AO351" s="436">
        <v>209</v>
      </c>
      <c r="AQ351" s="52" t="str">
        <f ca="1">IF(AP351="","",INDEX(OFFSET(Arb!$H$2,,,Arb!$AJ$5,),AP351))</f>
        <v/>
      </c>
      <c r="AR351" s="3" t="str">
        <f t="shared" ca="1" si="100"/>
        <v/>
      </c>
      <c r="AS351" s="165" t="str">
        <f ca="1">IF(AP351="","",INDEX(OFFSET(Arb!$X$2,,,Arb!$AJ$5,),AP351)/AQ351)</f>
        <v/>
      </c>
      <c r="AT351" s="165" t="str">
        <f ca="1">IF(AP351="","",(INDEX(OFFSET(Arb!$U$2,,,Arb!$AJ$5,),AP351)+INDEX(OFFSET(Arb!$V$2,,,Arb!$AJ$5,),AP351))/AQ351)</f>
        <v/>
      </c>
      <c r="AU351" s="51" t="str">
        <f t="shared" ca="1" si="110"/>
        <v/>
      </c>
      <c r="AV351" s="91" t="str">
        <f ca="1">IF(AP351="","",DATE(INDEX(OFFSET(Arb!$C$2,,,Arb!$AJ$5,),AP351),INDEX(OFFSET(Arb!$B$2,,,Arb!$AJ$5,),AP351),INDEX(OFFSET(Arb!$A$2,,,Arb!$AJ$5,),AP351))+ROW()*0.001)</f>
        <v/>
      </c>
      <c r="AW351" s="442">
        <v>209</v>
      </c>
      <c r="AY351" s="52" t="str">
        <f ca="1">IF(AX351="","",INDEX(OFFSET(Arb!$H$2,,,Arb!$AJ$5,),AX351))</f>
        <v/>
      </c>
      <c r="AZ351" s="3" t="str">
        <f t="shared" ca="1" si="101"/>
        <v/>
      </c>
      <c r="BA351" s="165" t="str">
        <f ca="1">IF(AX351="","",INDEX(OFFSET(Arb!$X$2,,,Arb!$AJ$5,),AX351)/AY351)</f>
        <v/>
      </c>
      <c r="BB351" s="165" t="str">
        <f ca="1">IF(AX351="","",(INDEX(OFFSET(Arb!$U$2,,,Arb!$AJ$5,),AX351)+INDEX(OFFSET(Arb!$V$2,,,Arb!$AJ$5,),AX351))/AY351)</f>
        <v/>
      </c>
      <c r="BC351" s="51" t="str">
        <f t="shared" ca="1" si="111"/>
        <v/>
      </c>
      <c r="BD351" s="88" t="str">
        <f ca="1">IF(AX351="","",DATE(INDEX(OFFSET(Arb!$C$2,,,Arb!$AJ$5,),AX351),INDEX(OFFSET(Arb!$B$2,,,Arb!$AJ$5,),AX351),INDEX(OFFSET(Arb!$A$2,,,Arb!$AJ$5,),AX351))+ROW()*0.001)</f>
        <v/>
      </c>
      <c r="BE351" s="436">
        <v>209</v>
      </c>
      <c r="BG351" s="52" t="str">
        <f ca="1">IF(BF351="","",INDEX(OFFSET(Arb!$H$2,,,Arb!$AJ$5,),BF351))</f>
        <v/>
      </c>
      <c r="BH351" s="3" t="str">
        <f t="shared" ca="1" si="102"/>
        <v/>
      </c>
      <c r="BI351" s="165" t="str">
        <f ca="1">IF(BF351="","",INDEX(OFFSET(Arb!$X$2,,,Arb!$AJ$5,),BF351)/BG351)</f>
        <v/>
      </c>
      <c r="BJ351" s="165" t="str">
        <f ca="1">IF(BF351="","",(INDEX(OFFSET(Arb!$U$2,,,Arb!$AJ$5,),BF351)+INDEX(OFFSET(Arb!$V$2,,,Arb!$AJ$5,),BF351))/BG351)</f>
        <v/>
      </c>
      <c r="BK351" s="51" t="str">
        <f t="shared" ca="1" si="112"/>
        <v/>
      </c>
      <c r="BL351" s="91" t="str">
        <f ca="1">IF(BF351="","",DATE(INDEX(OFFSET(Arb!$C$2,,,Arb!$AJ$5,),BF351),INDEX(OFFSET(Arb!$B$2,,,Arb!$AJ$5,),BF351),INDEX(OFFSET(Arb!$A$2,,,Arb!$AJ$5,),BF351))+ROW()*0.001)</f>
        <v/>
      </c>
      <c r="BM351" s="442">
        <v>209</v>
      </c>
      <c r="BO351" s="52" t="str">
        <f ca="1">IF(BN351="","",INDEX(OFFSET(Arb!$H$2,,,Arb!$AJ$5,),BN351))</f>
        <v/>
      </c>
      <c r="BP351" s="3" t="str">
        <f t="shared" ca="1" si="103"/>
        <v/>
      </c>
      <c r="BQ351" s="165" t="str">
        <f ca="1">IF(BN351="","",INDEX(OFFSET(Arb!$X$2,,,Arb!$AJ$5,),BN351)/BO351)</f>
        <v/>
      </c>
      <c r="BR351" s="165" t="str">
        <f ca="1">IF(BN351="","",(INDEX(OFFSET(Arb!$U$2,,,Arb!$AJ$5,),BN351)+INDEX(OFFSET(Arb!$V$2,,,Arb!$AJ$5,),BN351))/BO351)</f>
        <v/>
      </c>
      <c r="BS351" s="51" t="str">
        <f t="shared" ca="1" si="113"/>
        <v/>
      </c>
      <c r="BT351" s="88" t="str">
        <f ca="1">IF(BN351="","",DATE(INDEX(OFFSET(Arb!$C$2,,,Arb!$AJ$5,),BN351),INDEX(OFFSET(Arb!$B$2,,,Arb!$AJ$5,),BN351),INDEX(OFFSET(Arb!$A$2,,,Arb!$AJ$5,),BN351))+ROW()*0.001)</f>
        <v/>
      </c>
      <c r="BU351" s="436">
        <v>209</v>
      </c>
      <c r="BW351" s="52" t="str">
        <f ca="1">IF(BV351="","",INDEX(OFFSET(Arb!$H$2,,,Arb!$AJ$5,),BV351))</f>
        <v/>
      </c>
      <c r="BX351" s="3" t="str">
        <f t="shared" ca="1" si="104"/>
        <v/>
      </c>
      <c r="BY351" s="165" t="str">
        <f ca="1">IF(BV351="","",INDEX(OFFSET(Arb!$X$2,,,Arb!$AJ$5,),BV351)/BW351)</f>
        <v/>
      </c>
      <c r="BZ351" s="165" t="str">
        <f ca="1">IF(BV351="","",(INDEX(OFFSET(Arb!$U$2,,,Arb!$AJ$5,),BV351)+INDEX(OFFSET(Arb!$V$2,,,Arb!$AJ$5,),BV351))/BW351)</f>
        <v/>
      </c>
      <c r="CA351" s="51" t="str">
        <f t="shared" ca="1" si="114"/>
        <v/>
      </c>
      <c r="CB351" s="91" t="str">
        <f ca="1">IF(BV351="","",DATE(INDEX(OFFSET(Arb!$C$2,,,Arb!$AJ$5,),BV351),INDEX(OFFSET(Arb!$B$2,,,Arb!$AJ$5,),BV351),INDEX(OFFSET(Arb!$A$2,,,Arb!$AJ$5,),BV351))+ROW()*0.001)</f>
        <v/>
      </c>
    </row>
    <row r="352" spans="1:80" x14ac:dyDescent="0.25">
      <c r="A352" s="433">
        <v>210</v>
      </c>
      <c r="B352" s="1">
        <v>2913</v>
      </c>
      <c r="C352" s="52">
        <f ca="1">IF(B352="","",INDEX(OFFSET(Arb!$H$2,,,Arb!$AJ$5,),B352))</f>
        <v>77.400000000000006</v>
      </c>
      <c r="D352" s="3">
        <f t="shared" ca="1" si="95"/>
        <v>2.7131782945736433</v>
      </c>
      <c r="E352" s="165">
        <f ca="1">IF(B352="","",INDEX(OFFSET(Arb!$X$2,,,Arb!$AJ$5,),B352)/C352)</f>
        <v>3.0490956072351421</v>
      </c>
      <c r="F352" s="165">
        <f ca="1">IF(B352="","",(INDEX(OFFSET(Arb!$U$2,,,Arb!$AJ$5,),B352)+INDEX(OFFSET(Arb!$V$2,,,Arb!$AJ$5,),B352))/C352)</f>
        <v>3.3462532299741601</v>
      </c>
      <c r="G352" s="51">
        <f t="shared" ca="1" si="105"/>
        <v>56.214702535725003</v>
      </c>
      <c r="H352" s="355">
        <f ca="1">IF(B352="","",DATE(INDEX(OFFSET(Arb!$C$2,,,Arb!$AJ$5,),B352),INDEX(OFFSET(Arb!$B$2,,,Arb!$AJ$5,),B352),INDEX(OFFSET(Arb!$A$2,,,Arb!$AJ$5,),B352))+ROW()*0.001)</f>
        <v>43934.351999999999</v>
      </c>
      <c r="I352" s="436">
        <v>210</v>
      </c>
      <c r="K352" s="52" t="str">
        <f ca="1">IF(J352="","",INDEX(OFFSET(Arb!$H$2,,,Arb!$AJ$5,),J352))</f>
        <v/>
      </c>
      <c r="L352" s="3" t="str">
        <f t="shared" ca="1" si="96"/>
        <v/>
      </c>
      <c r="M352" s="165" t="str">
        <f ca="1">IF(J352="","",INDEX(OFFSET(Arb!$X$2,,,Arb!$AJ$5,),J352)/K352)</f>
        <v/>
      </c>
      <c r="N352" s="165" t="str">
        <f ca="1">IF(J352="","",(INDEX(OFFSET(Arb!$U$2,,,Arb!$AJ$5,),J352)+INDEX(OFFSET(Arb!$V$2,,,Arb!$AJ$5,),J352))/K352)</f>
        <v/>
      </c>
      <c r="O352" s="51" t="str">
        <f t="shared" ca="1" si="106"/>
        <v/>
      </c>
      <c r="P352" s="91" t="str">
        <f ca="1">IF(J352="","",DATE(INDEX(OFFSET(Arb!$C$2,,,Arb!$AJ$5,),J352),INDEX(OFFSET(Arb!$B$2,,,Arb!$AJ$5,),J352),INDEX(OFFSET(Arb!$A$2,,,Arb!$AJ$5,),J352))+ROW()*0.001)</f>
        <v/>
      </c>
      <c r="Q352" s="442">
        <v>210</v>
      </c>
      <c r="S352" s="52" t="str">
        <f ca="1">IF(R352="","",INDEX(OFFSET(Arb!$H$2,,,Arb!$AJ$5,),R352))</f>
        <v/>
      </c>
      <c r="T352" s="3" t="str">
        <f t="shared" ca="1" si="97"/>
        <v/>
      </c>
      <c r="U352" s="165" t="str">
        <f ca="1">IF(R352="","",INDEX(OFFSET(Arb!$X$2,,,Arb!$AJ$5,),R352)/S352)</f>
        <v/>
      </c>
      <c r="V352" s="165" t="str">
        <f ca="1">IF(R352="","",(INDEX(OFFSET(Arb!$U$2,,,Arb!$AJ$5,),R352)+INDEX(OFFSET(Arb!$V$2,,,Arb!$AJ$5,),R352))/S352)</f>
        <v/>
      </c>
      <c r="W352" s="51" t="str">
        <f t="shared" ca="1" si="107"/>
        <v/>
      </c>
      <c r="X352" s="88" t="str">
        <f ca="1">IF(R352="","",DATE(INDEX(OFFSET(Arb!$C$2,,,Arb!$AJ$5,),R352),INDEX(OFFSET(Arb!$B$2,,,Arb!$AJ$5,),R352),INDEX(OFFSET(Arb!$A$2,,,Arb!$AJ$5,),R352))+ROW()*0.001)</f>
        <v/>
      </c>
      <c r="Y352" s="436">
        <v>210</v>
      </c>
      <c r="AA352" s="52" t="str">
        <f ca="1">IF(Z352="","",INDEX(OFFSET(Arb!$H$2,,,Arb!$AJ$5,),Z352))</f>
        <v/>
      </c>
      <c r="AB352" s="3" t="str">
        <f t="shared" ca="1" si="98"/>
        <v/>
      </c>
      <c r="AC352" s="165" t="str">
        <f ca="1">IF(Z352="","",INDEX(OFFSET(Arb!$X$2,,,Arb!$AJ$5,),Z352)/AA352)</f>
        <v/>
      </c>
      <c r="AD352" s="165" t="str">
        <f ca="1">IF(Z352="","",(INDEX(OFFSET(Arb!$U$2,,,Arb!$AJ$5,),Z352)+INDEX(OFFSET(Arb!$V$2,,,Arb!$AJ$5,),Z352))/AA352)</f>
        <v/>
      </c>
      <c r="AE352" s="51" t="str">
        <f t="shared" ca="1" si="108"/>
        <v/>
      </c>
      <c r="AF352" s="91" t="str">
        <f ca="1">IF(Z352="","",DATE(INDEX(OFFSET(Arb!$C$2,,,Arb!$AJ$5,),Z352),INDEX(OFFSET(Arb!$B$2,,,Arb!$AJ$5,),Z352),INDEX(OFFSET(Arb!$A$2,,,Arb!$AJ$5,),Z352))+ROW()*0.001)</f>
        <v/>
      </c>
      <c r="AG352" s="442">
        <v>210</v>
      </c>
      <c r="AI352" s="52" t="str">
        <f ca="1">IF(AH352="","",INDEX(OFFSET(Arb!$H$2,,,Arb!$AJ$5,),AH352))</f>
        <v/>
      </c>
      <c r="AJ352" s="3" t="str">
        <f t="shared" ca="1" si="99"/>
        <v/>
      </c>
      <c r="AK352" s="165" t="str">
        <f ca="1">IF(AH352="","",INDEX(OFFSET(Arb!$X$2,,,Arb!$AJ$5,),AH352)/AI352)</f>
        <v/>
      </c>
      <c r="AL352" s="165" t="str">
        <f ca="1">IF(AH352="","",(INDEX(OFFSET(Arb!$U$2,,,Arb!$AJ$5,),AH352)+INDEX(OFFSET(Arb!$V$2,,,Arb!$AJ$5,),AH352))/AI352)</f>
        <v/>
      </c>
      <c r="AM352" s="51" t="str">
        <f t="shared" ca="1" si="109"/>
        <v/>
      </c>
      <c r="AN352" s="88" t="str">
        <f ca="1">IF(AH352="","",DATE(INDEX(OFFSET(Arb!$C$2,,,Arb!$AJ$5,),AH352),INDEX(OFFSET(Arb!$B$2,,,Arb!$AJ$5,),AH352),INDEX(OFFSET(Arb!$A$2,,,Arb!$AJ$5,),AH352))+ROW()*0.001)</f>
        <v/>
      </c>
      <c r="AO352" s="436">
        <v>210</v>
      </c>
      <c r="AQ352" s="52" t="str">
        <f ca="1">IF(AP352="","",INDEX(OFFSET(Arb!$H$2,,,Arb!$AJ$5,),AP352))</f>
        <v/>
      </c>
      <c r="AR352" s="3" t="str">
        <f t="shared" ca="1" si="100"/>
        <v/>
      </c>
      <c r="AS352" s="165" t="str">
        <f ca="1">IF(AP352="","",INDEX(OFFSET(Arb!$X$2,,,Arb!$AJ$5,),AP352)/AQ352)</f>
        <v/>
      </c>
      <c r="AT352" s="165" t="str">
        <f ca="1">IF(AP352="","",(INDEX(OFFSET(Arb!$U$2,,,Arb!$AJ$5,),AP352)+INDEX(OFFSET(Arb!$V$2,,,Arb!$AJ$5,),AP352))/AQ352)</f>
        <v/>
      </c>
      <c r="AU352" s="51" t="str">
        <f t="shared" ca="1" si="110"/>
        <v/>
      </c>
      <c r="AV352" s="91" t="str">
        <f ca="1">IF(AP352="","",DATE(INDEX(OFFSET(Arb!$C$2,,,Arb!$AJ$5,),AP352),INDEX(OFFSET(Arb!$B$2,,,Arb!$AJ$5,),AP352),INDEX(OFFSET(Arb!$A$2,,,Arb!$AJ$5,),AP352))+ROW()*0.001)</f>
        <v/>
      </c>
      <c r="AW352" s="442">
        <v>210</v>
      </c>
      <c r="AY352" s="52" t="str">
        <f ca="1">IF(AX352="","",INDEX(OFFSET(Arb!$H$2,,,Arb!$AJ$5,),AX352))</f>
        <v/>
      </c>
      <c r="AZ352" s="3" t="str">
        <f t="shared" ca="1" si="101"/>
        <v/>
      </c>
      <c r="BA352" s="165" t="str">
        <f ca="1">IF(AX352="","",INDEX(OFFSET(Arb!$X$2,,,Arb!$AJ$5,),AX352)/AY352)</f>
        <v/>
      </c>
      <c r="BB352" s="165" t="str">
        <f ca="1">IF(AX352="","",(INDEX(OFFSET(Arb!$U$2,,,Arb!$AJ$5,),AX352)+INDEX(OFFSET(Arb!$V$2,,,Arb!$AJ$5,),AX352))/AY352)</f>
        <v/>
      </c>
      <c r="BC352" s="51" t="str">
        <f t="shared" ca="1" si="111"/>
        <v/>
      </c>
      <c r="BD352" s="88" t="str">
        <f ca="1">IF(AX352="","",DATE(INDEX(OFFSET(Arb!$C$2,,,Arb!$AJ$5,),AX352),INDEX(OFFSET(Arb!$B$2,,,Arb!$AJ$5,),AX352),INDEX(OFFSET(Arb!$A$2,,,Arb!$AJ$5,),AX352))+ROW()*0.001)</f>
        <v/>
      </c>
      <c r="BE352" s="436">
        <v>210</v>
      </c>
      <c r="BG352" s="52" t="str">
        <f ca="1">IF(BF352="","",INDEX(OFFSET(Arb!$H$2,,,Arb!$AJ$5,),BF352))</f>
        <v/>
      </c>
      <c r="BH352" s="3" t="str">
        <f t="shared" ca="1" si="102"/>
        <v/>
      </c>
      <c r="BI352" s="165" t="str">
        <f ca="1">IF(BF352="","",INDEX(OFFSET(Arb!$X$2,,,Arb!$AJ$5,),BF352)/BG352)</f>
        <v/>
      </c>
      <c r="BJ352" s="165" t="str">
        <f ca="1">IF(BF352="","",(INDEX(OFFSET(Arb!$U$2,,,Arb!$AJ$5,),BF352)+INDEX(OFFSET(Arb!$V$2,,,Arb!$AJ$5,),BF352))/BG352)</f>
        <v/>
      </c>
      <c r="BK352" s="51" t="str">
        <f t="shared" ca="1" si="112"/>
        <v/>
      </c>
      <c r="BL352" s="91" t="str">
        <f ca="1">IF(BF352="","",DATE(INDEX(OFFSET(Arb!$C$2,,,Arb!$AJ$5,),BF352),INDEX(OFFSET(Arb!$B$2,,,Arb!$AJ$5,),BF352),INDEX(OFFSET(Arb!$A$2,,,Arb!$AJ$5,),BF352))+ROW()*0.001)</f>
        <v/>
      </c>
      <c r="BM352" s="442">
        <v>210</v>
      </c>
      <c r="BO352" s="52" t="str">
        <f ca="1">IF(BN352="","",INDEX(OFFSET(Arb!$H$2,,,Arb!$AJ$5,),BN352))</f>
        <v/>
      </c>
      <c r="BP352" s="3" t="str">
        <f t="shared" ca="1" si="103"/>
        <v/>
      </c>
      <c r="BQ352" s="165" t="str">
        <f ca="1">IF(BN352="","",INDEX(OFFSET(Arb!$X$2,,,Arb!$AJ$5,),BN352)/BO352)</f>
        <v/>
      </c>
      <c r="BR352" s="165" t="str">
        <f ca="1">IF(BN352="","",(INDEX(OFFSET(Arb!$U$2,,,Arb!$AJ$5,),BN352)+INDEX(OFFSET(Arb!$V$2,,,Arb!$AJ$5,),BN352))/BO352)</f>
        <v/>
      </c>
      <c r="BS352" s="51" t="str">
        <f t="shared" ca="1" si="113"/>
        <v/>
      </c>
      <c r="BT352" s="88" t="str">
        <f ca="1">IF(BN352="","",DATE(INDEX(OFFSET(Arb!$C$2,,,Arb!$AJ$5,),BN352),INDEX(OFFSET(Arb!$B$2,,,Arb!$AJ$5,),BN352),INDEX(OFFSET(Arb!$A$2,,,Arb!$AJ$5,),BN352))+ROW()*0.001)</f>
        <v/>
      </c>
      <c r="BU352" s="436">
        <v>210</v>
      </c>
      <c r="BW352" s="52" t="str">
        <f ca="1">IF(BV352="","",INDEX(OFFSET(Arb!$H$2,,,Arb!$AJ$5,),BV352))</f>
        <v/>
      </c>
      <c r="BX352" s="3" t="str">
        <f t="shared" ca="1" si="104"/>
        <v/>
      </c>
      <c r="BY352" s="165" t="str">
        <f ca="1">IF(BV352="","",INDEX(OFFSET(Arb!$X$2,,,Arb!$AJ$5,),BV352)/BW352)</f>
        <v/>
      </c>
      <c r="BZ352" s="165" t="str">
        <f ca="1">IF(BV352="","",(INDEX(OFFSET(Arb!$U$2,,,Arb!$AJ$5,),BV352)+INDEX(OFFSET(Arb!$V$2,,,Arb!$AJ$5,),BV352))/BW352)</f>
        <v/>
      </c>
      <c r="CA352" s="51" t="str">
        <f t="shared" ca="1" si="114"/>
        <v/>
      </c>
      <c r="CB352" s="91" t="str">
        <f ca="1">IF(BV352="","",DATE(INDEX(OFFSET(Arb!$C$2,,,Arb!$AJ$5,),BV352),INDEX(OFFSET(Arb!$B$2,,,Arb!$AJ$5,),BV352),INDEX(OFFSET(Arb!$A$2,,,Arb!$AJ$5,),BV352))+ROW()*0.001)</f>
        <v/>
      </c>
    </row>
    <row r="353" spans="1:80" x14ac:dyDescent="0.25">
      <c r="A353" s="433">
        <v>211</v>
      </c>
      <c r="B353" s="1">
        <v>3196</v>
      </c>
      <c r="C353" s="52">
        <f ca="1">IF(B353="","",INDEX(OFFSET(Arb!$H$2,,,Arb!$AJ$5,),B353))</f>
        <v>81.39</v>
      </c>
      <c r="D353" s="3">
        <f t="shared" ca="1" si="95"/>
        <v>2.5924560756849737</v>
      </c>
      <c r="E353" s="165">
        <f ca="1">IF(B353="","",INDEX(OFFSET(Arb!$X$2,,,Arb!$AJ$5,),B353)/C353)</f>
        <v>2.9733382479420074</v>
      </c>
      <c r="F353" s="165">
        <f ca="1">IF(B353="","",(INDEX(OFFSET(Arb!$U$2,,,Arb!$AJ$5,),B353)+INDEX(OFFSET(Arb!$V$2,,,Arb!$AJ$5,),B353))/C353)</f>
        <v>3.2805012900847768</v>
      </c>
      <c r="G353" s="51">
        <f t="shared" ca="1" si="105"/>
        <v>51.856348003531068</v>
      </c>
      <c r="H353" s="355">
        <f ca="1">IF(B353="","",DATE(INDEX(OFFSET(Arb!$C$2,,,Arb!$AJ$5,),B353),INDEX(OFFSET(Arb!$B$2,,,Arb!$AJ$5,),B353),INDEX(OFFSET(Arb!$A$2,,,Arb!$AJ$5,),B353))+ROW()*0.001)</f>
        <v>44057.353000000003</v>
      </c>
      <c r="I353" s="436">
        <v>211</v>
      </c>
      <c r="K353" s="52" t="str">
        <f ca="1">IF(J353="","",INDEX(OFFSET(Arb!$H$2,,,Arb!$AJ$5,),J353))</f>
        <v/>
      </c>
      <c r="L353" s="3" t="str">
        <f t="shared" ca="1" si="96"/>
        <v/>
      </c>
      <c r="M353" s="165" t="str">
        <f ca="1">IF(J353="","",INDEX(OFFSET(Arb!$X$2,,,Arb!$AJ$5,),J353)/K353)</f>
        <v/>
      </c>
      <c r="N353" s="165" t="str">
        <f ca="1">IF(J353="","",(INDEX(OFFSET(Arb!$U$2,,,Arb!$AJ$5,),J353)+INDEX(OFFSET(Arb!$V$2,,,Arb!$AJ$5,),J353))/K353)</f>
        <v/>
      </c>
      <c r="O353" s="51" t="str">
        <f t="shared" ca="1" si="106"/>
        <v/>
      </c>
      <c r="P353" s="91" t="str">
        <f ca="1">IF(J353="","",DATE(INDEX(OFFSET(Arb!$C$2,,,Arb!$AJ$5,),J353),INDEX(OFFSET(Arb!$B$2,,,Arb!$AJ$5,),J353),INDEX(OFFSET(Arb!$A$2,,,Arb!$AJ$5,),J353))+ROW()*0.001)</f>
        <v/>
      </c>
      <c r="Q353" s="442">
        <v>211</v>
      </c>
      <c r="S353" s="52" t="str">
        <f ca="1">IF(R353="","",INDEX(OFFSET(Arb!$H$2,,,Arb!$AJ$5,),R353))</f>
        <v/>
      </c>
      <c r="T353" s="3" t="str">
        <f t="shared" ca="1" si="97"/>
        <v/>
      </c>
      <c r="U353" s="165" t="str">
        <f ca="1">IF(R353="","",INDEX(OFFSET(Arb!$X$2,,,Arb!$AJ$5,),R353)/S353)</f>
        <v/>
      </c>
      <c r="V353" s="165" t="str">
        <f ca="1">IF(R353="","",(INDEX(OFFSET(Arb!$U$2,,,Arb!$AJ$5,),R353)+INDEX(OFFSET(Arb!$V$2,,,Arb!$AJ$5,),R353))/S353)</f>
        <v/>
      </c>
      <c r="W353" s="51" t="str">
        <f t="shared" ca="1" si="107"/>
        <v/>
      </c>
      <c r="X353" s="88" t="str">
        <f ca="1">IF(R353="","",DATE(INDEX(OFFSET(Arb!$C$2,,,Arb!$AJ$5,),R353),INDEX(OFFSET(Arb!$B$2,,,Arb!$AJ$5,),R353),INDEX(OFFSET(Arb!$A$2,,,Arb!$AJ$5,),R353))+ROW()*0.001)</f>
        <v/>
      </c>
      <c r="Y353" s="436">
        <v>211</v>
      </c>
      <c r="AA353" s="52" t="str">
        <f ca="1">IF(Z353="","",INDEX(OFFSET(Arb!$H$2,,,Arb!$AJ$5,),Z353))</f>
        <v/>
      </c>
      <c r="AB353" s="3" t="str">
        <f t="shared" ca="1" si="98"/>
        <v/>
      </c>
      <c r="AC353" s="165" t="str">
        <f ca="1">IF(Z353="","",INDEX(OFFSET(Arb!$X$2,,,Arb!$AJ$5,),Z353)/AA353)</f>
        <v/>
      </c>
      <c r="AD353" s="165" t="str">
        <f ca="1">IF(Z353="","",(INDEX(OFFSET(Arb!$U$2,,,Arb!$AJ$5,),Z353)+INDEX(OFFSET(Arb!$V$2,,,Arb!$AJ$5,),Z353))/AA353)</f>
        <v/>
      </c>
      <c r="AE353" s="51" t="str">
        <f t="shared" ca="1" si="108"/>
        <v/>
      </c>
      <c r="AF353" s="91" t="str">
        <f ca="1">IF(Z353="","",DATE(INDEX(OFFSET(Arb!$C$2,,,Arb!$AJ$5,),Z353),INDEX(OFFSET(Arb!$B$2,,,Arb!$AJ$5,),Z353),INDEX(OFFSET(Arb!$A$2,,,Arb!$AJ$5,),Z353))+ROW()*0.001)</f>
        <v/>
      </c>
      <c r="AG353" s="442">
        <v>211</v>
      </c>
      <c r="AI353" s="52" t="str">
        <f ca="1">IF(AH353="","",INDEX(OFFSET(Arb!$H$2,,,Arb!$AJ$5,),AH353))</f>
        <v/>
      </c>
      <c r="AJ353" s="3" t="str">
        <f t="shared" ca="1" si="99"/>
        <v/>
      </c>
      <c r="AK353" s="165" t="str">
        <f ca="1">IF(AH353="","",INDEX(OFFSET(Arb!$X$2,,,Arb!$AJ$5,),AH353)/AI353)</f>
        <v/>
      </c>
      <c r="AL353" s="165" t="str">
        <f ca="1">IF(AH353="","",(INDEX(OFFSET(Arb!$U$2,,,Arb!$AJ$5,),AH353)+INDEX(OFFSET(Arb!$V$2,,,Arb!$AJ$5,),AH353))/AI353)</f>
        <v/>
      </c>
      <c r="AM353" s="51" t="str">
        <f t="shared" ca="1" si="109"/>
        <v/>
      </c>
      <c r="AN353" s="88" t="str">
        <f ca="1">IF(AH353="","",DATE(INDEX(OFFSET(Arb!$C$2,,,Arb!$AJ$5,),AH353),INDEX(OFFSET(Arb!$B$2,,,Arb!$AJ$5,),AH353),INDEX(OFFSET(Arb!$A$2,,,Arb!$AJ$5,),AH353))+ROW()*0.001)</f>
        <v/>
      </c>
      <c r="AO353" s="436">
        <v>211</v>
      </c>
      <c r="AQ353" s="52" t="str">
        <f ca="1">IF(AP353="","",INDEX(OFFSET(Arb!$H$2,,,Arb!$AJ$5,),AP353))</f>
        <v/>
      </c>
      <c r="AR353" s="3" t="str">
        <f t="shared" ca="1" si="100"/>
        <v/>
      </c>
      <c r="AS353" s="165" t="str">
        <f ca="1">IF(AP353="","",INDEX(OFFSET(Arb!$X$2,,,Arb!$AJ$5,),AP353)/AQ353)</f>
        <v/>
      </c>
      <c r="AT353" s="165" t="str">
        <f ca="1">IF(AP353="","",(INDEX(OFFSET(Arb!$U$2,,,Arb!$AJ$5,),AP353)+INDEX(OFFSET(Arb!$V$2,,,Arb!$AJ$5,),AP353))/AQ353)</f>
        <v/>
      </c>
      <c r="AU353" s="51" t="str">
        <f t="shared" ca="1" si="110"/>
        <v/>
      </c>
      <c r="AV353" s="91" t="str">
        <f ca="1">IF(AP353="","",DATE(INDEX(OFFSET(Arb!$C$2,,,Arb!$AJ$5,),AP353),INDEX(OFFSET(Arb!$B$2,,,Arb!$AJ$5,),AP353),INDEX(OFFSET(Arb!$A$2,,,Arb!$AJ$5,),AP353))+ROW()*0.001)</f>
        <v/>
      </c>
      <c r="AW353" s="442">
        <v>211</v>
      </c>
      <c r="AY353" s="52" t="str">
        <f ca="1">IF(AX353="","",INDEX(OFFSET(Arb!$H$2,,,Arb!$AJ$5,),AX353))</f>
        <v/>
      </c>
      <c r="AZ353" s="3" t="str">
        <f t="shared" ca="1" si="101"/>
        <v/>
      </c>
      <c r="BA353" s="165" t="str">
        <f ca="1">IF(AX353="","",INDEX(OFFSET(Arb!$X$2,,,Arb!$AJ$5,),AX353)/AY353)</f>
        <v/>
      </c>
      <c r="BB353" s="165" t="str">
        <f ca="1">IF(AX353="","",(INDEX(OFFSET(Arb!$U$2,,,Arb!$AJ$5,),AX353)+INDEX(OFFSET(Arb!$V$2,,,Arb!$AJ$5,),AX353))/AY353)</f>
        <v/>
      </c>
      <c r="BC353" s="51" t="str">
        <f t="shared" ca="1" si="111"/>
        <v/>
      </c>
      <c r="BD353" s="88" t="str">
        <f ca="1">IF(AX353="","",DATE(INDEX(OFFSET(Arb!$C$2,,,Arb!$AJ$5,),AX353),INDEX(OFFSET(Arb!$B$2,,,Arb!$AJ$5,),AX353),INDEX(OFFSET(Arb!$A$2,,,Arb!$AJ$5,),AX353))+ROW()*0.001)</f>
        <v/>
      </c>
      <c r="BE353" s="436">
        <v>211</v>
      </c>
      <c r="BG353" s="52" t="str">
        <f ca="1">IF(BF353="","",INDEX(OFFSET(Arb!$H$2,,,Arb!$AJ$5,),BF353))</f>
        <v/>
      </c>
      <c r="BH353" s="3" t="str">
        <f t="shared" ca="1" si="102"/>
        <v/>
      </c>
      <c r="BI353" s="165" t="str">
        <f ca="1">IF(BF353="","",INDEX(OFFSET(Arb!$X$2,,,Arb!$AJ$5,),BF353)/BG353)</f>
        <v/>
      </c>
      <c r="BJ353" s="165" t="str">
        <f ca="1">IF(BF353="","",(INDEX(OFFSET(Arb!$U$2,,,Arb!$AJ$5,),BF353)+INDEX(OFFSET(Arb!$V$2,,,Arb!$AJ$5,),BF353))/BG353)</f>
        <v/>
      </c>
      <c r="BK353" s="51" t="str">
        <f t="shared" ca="1" si="112"/>
        <v/>
      </c>
      <c r="BL353" s="91" t="str">
        <f ca="1">IF(BF353="","",DATE(INDEX(OFFSET(Arb!$C$2,,,Arb!$AJ$5,),BF353),INDEX(OFFSET(Arb!$B$2,,,Arb!$AJ$5,),BF353),INDEX(OFFSET(Arb!$A$2,,,Arb!$AJ$5,),BF353))+ROW()*0.001)</f>
        <v/>
      </c>
      <c r="BM353" s="442">
        <v>211</v>
      </c>
      <c r="BO353" s="52" t="str">
        <f ca="1">IF(BN353="","",INDEX(OFFSET(Arb!$H$2,,,Arb!$AJ$5,),BN353))</f>
        <v/>
      </c>
      <c r="BP353" s="3" t="str">
        <f t="shared" ca="1" si="103"/>
        <v/>
      </c>
      <c r="BQ353" s="165" t="str">
        <f ca="1">IF(BN353="","",INDEX(OFFSET(Arb!$X$2,,,Arb!$AJ$5,),BN353)/BO353)</f>
        <v/>
      </c>
      <c r="BR353" s="165" t="str">
        <f ca="1">IF(BN353="","",(INDEX(OFFSET(Arb!$U$2,,,Arb!$AJ$5,),BN353)+INDEX(OFFSET(Arb!$V$2,,,Arb!$AJ$5,),BN353))/BO353)</f>
        <v/>
      </c>
      <c r="BS353" s="51" t="str">
        <f t="shared" ca="1" si="113"/>
        <v/>
      </c>
      <c r="BT353" s="88" t="str">
        <f ca="1">IF(BN353="","",DATE(INDEX(OFFSET(Arb!$C$2,,,Arb!$AJ$5,),BN353),INDEX(OFFSET(Arb!$B$2,,,Arb!$AJ$5,),BN353),INDEX(OFFSET(Arb!$A$2,,,Arb!$AJ$5,),BN353))+ROW()*0.001)</f>
        <v/>
      </c>
      <c r="BU353" s="436">
        <v>211</v>
      </c>
      <c r="BW353" s="52" t="str">
        <f ca="1">IF(BV353="","",INDEX(OFFSET(Arb!$H$2,,,Arb!$AJ$5,),BV353))</f>
        <v/>
      </c>
      <c r="BX353" s="3" t="str">
        <f t="shared" ca="1" si="104"/>
        <v/>
      </c>
      <c r="BY353" s="165" t="str">
        <f ca="1">IF(BV353="","",INDEX(OFFSET(Arb!$X$2,,,Arb!$AJ$5,),BV353)/BW353)</f>
        <v/>
      </c>
      <c r="BZ353" s="165" t="str">
        <f ca="1">IF(BV353="","",(INDEX(OFFSET(Arb!$U$2,,,Arb!$AJ$5,),BV353)+INDEX(OFFSET(Arb!$V$2,,,Arb!$AJ$5,),BV353))/BW353)</f>
        <v/>
      </c>
      <c r="CA353" s="51" t="str">
        <f t="shared" ca="1" si="114"/>
        <v/>
      </c>
      <c r="CB353" s="91" t="str">
        <f ca="1">IF(BV353="","",DATE(INDEX(OFFSET(Arb!$C$2,,,Arb!$AJ$5,),BV353),INDEX(OFFSET(Arb!$B$2,,,Arb!$AJ$5,),BV353),INDEX(OFFSET(Arb!$A$2,,,Arb!$AJ$5,),BV353))+ROW()*0.001)</f>
        <v/>
      </c>
    </row>
    <row r="354" spans="1:80" x14ac:dyDescent="0.25">
      <c r="A354" s="433">
        <v>212</v>
      </c>
      <c r="B354" s="1">
        <v>2441</v>
      </c>
      <c r="C354" s="52">
        <f ca="1">IF(B354="","",INDEX(OFFSET(Arb!$H$2,,,Arb!$AJ$5,),B354))</f>
        <v>95.4</v>
      </c>
      <c r="D354" s="3">
        <f t="shared" ca="1" si="95"/>
        <v>2.2222222222222219</v>
      </c>
      <c r="E354" s="165">
        <f ca="1">IF(B354="","",INDEX(OFFSET(Arb!$X$2,,,Arb!$AJ$5,),B354)/C354)</f>
        <v>2.683438155136268</v>
      </c>
      <c r="F354" s="165">
        <f ca="1">IF(B354="","",(INDEX(OFFSET(Arb!$U$2,,,Arb!$AJ$5,),B354)+INDEX(OFFSET(Arb!$V$2,,,Arb!$AJ$5,),B354))/C354)</f>
        <v>3.0083857442348005</v>
      </c>
      <c r="G354" s="51">
        <f t="shared" ca="1" si="105"/>
        <v>39.773506357970447</v>
      </c>
      <c r="H354" s="355">
        <f ca="1">IF(B354="","",DATE(INDEX(OFFSET(Arb!$C$2,,,Arb!$AJ$5,),B354),INDEX(OFFSET(Arb!$B$2,,,Arb!$AJ$5,),B354),INDEX(OFFSET(Arb!$A$2,,,Arb!$AJ$5,),B354))+ROW()*0.001)</f>
        <v>43773.353999999999</v>
      </c>
      <c r="I354" s="436">
        <v>212</v>
      </c>
      <c r="K354" s="52" t="str">
        <f ca="1">IF(J354="","",INDEX(OFFSET(Arb!$H$2,,,Arb!$AJ$5,),J354))</f>
        <v/>
      </c>
      <c r="L354" s="3" t="str">
        <f t="shared" ca="1" si="96"/>
        <v/>
      </c>
      <c r="M354" s="165" t="str">
        <f ca="1">IF(J354="","",INDEX(OFFSET(Arb!$X$2,,,Arb!$AJ$5,),J354)/K354)</f>
        <v/>
      </c>
      <c r="N354" s="165" t="str">
        <f ca="1">IF(J354="","",(INDEX(OFFSET(Arb!$U$2,,,Arb!$AJ$5,),J354)+INDEX(OFFSET(Arb!$V$2,,,Arb!$AJ$5,),J354))/K354)</f>
        <v/>
      </c>
      <c r="O354" s="51" t="str">
        <f t="shared" ca="1" si="106"/>
        <v/>
      </c>
      <c r="P354" s="91" t="str">
        <f ca="1">IF(J354="","",DATE(INDEX(OFFSET(Arb!$C$2,,,Arb!$AJ$5,),J354),INDEX(OFFSET(Arb!$B$2,,,Arb!$AJ$5,),J354),INDEX(OFFSET(Arb!$A$2,,,Arb!$AJ$5,),J354))+ROW()*0.001)</f>
        <v/>
      </c>
      <c r="Q354" s="442">
        <v>212</v>
      </c>
      <c r="S354" s="52" t="str">
        <f ca="1">IF(R354="","",INDEX(OFFSET(Arb!$H$2,,,Arb!$AJ$5,),R354))</f>
        <v/>
      </c>
      <c r="T354" s="3" t="str">
        <f t="shared" ca="1" si="97"/>
        <v/>
      </c>
      <c r="U354" s="165" t="str">
        <f ca="1">IF(R354="","",INDEX(OFFSET(Arb!$X$2,,,Arb!$AJ$5,),R354)/S354)</f>
        <v/>
      </c>
      <c r="V354" s="165" t="str">
        <f ca="1">IF(R354="","",(INDEX(OFFSET(Arb!$U$2,,,Arb!$AJ$5,),R354)+INDEX(OFFSET(Arb!$V$2,,,Arb!$AJ$5,),R354))/S354)</f>
        <v/>
      </c>
      <c r="W354" s="51" t="str">
        <f t="shared" ca="1" si="107"/>
        <v/>
      </c>
      <c r="X354" s="88" t="str">
        <f ca="1">IF(R354="","",DATE(INDEX(OFFSET(Arb!$C$2,,,Arb!$AJ$5,),R354),INDEX(OFFSET(Arb!$B$2,,,Arb!$AJ$5,),R354),INDEX(OFFSET(Arb!$A$2,,,Arb!$AJ$5,),R354))+ROW()*0.001)</f>
        <v/>
      </c>
      <c r="Y354" s="436">
        <v>212</v>
      </c>
      <c r="AA354" s="52" t="str">
        <f ca="1">IF(Z354="","",INDEX(OFFSET(Arb!$H$2,,,Arb!$AJ$5,),Z354))</f>
        <v/>
      </c>
      <c r="AB354" s="3" t="str">
        <f t="shared" ca="1" si="98"/>
        <v/>
      </c>
      <c r="AC354" s="165" t="str">
        <f ca="1">IF(Z354="","",INDEX(OFFSET(Arb!$X$2,,,Arb!$AJ$5,),Z354)/AA354)</f>
        <v/>
      </c>
      <c r="AD354" s="165" t="str">
        <f ca="1">IF(Z354="","",(INDEX(OFFSET(Arb!$U$2,,,Arb!$AJ$5,),Z354)+INDEX(OFFSET(Arb!$V$2,,,Arb!$AJ$5,),Z354))/AA354)</f>
        <v/>
      </c>
      <c r="AE354" s="51" t="str">
        <f t="shared" ca="1" si="108"/>
        <v/>
      </c>
      <c r="AF354" s="91" t="str">
        <f ca="1">IF(Z354="","",DATE(INDEX(OFFSET(Arb!$C$2,,,Arb!$AJ$5,),Z354),INDEX(OFFSET(Arb!$B$2,,,Arb!$AJ$5,),Z354),INDEX(OFFSET(Arb!$A$2,,,Arb!$AJ$5,),Z354))+ROW()*0.001)</f>
        <v/>
      </c>
      <c r="AG354" s="442">
        <v>212</v>
      </c>
      <c r="AI354" s="52" t="str">
        <f ca="1">IF(AH354="","",INDEX(OFFSET(Arb!$H$2,,,Arb!$AJ$5,),AH354))</f>
        <v/>
      </c>
      <c r="AJ354" s="3" t="str">
        <f t="shared" ca="1" si="99"/>
        <v/>
      </c>
      <c r="AK354" s="165" t="str">
        <f ca="1">IF(AH354="","",INDEX(OFFSET(Arb!$X$2,,,Arb!$AJ$5,),AH354)/AI354)</f>
        <v/>
      </c>
      <c r="AL354" s="165" t="str">
        <f ca="1">IF(AH354="","",(INDEX(OFFSET(Arb!$U$2,,,Arb!$AJ$5,),AH354)+INDEX(OFFSET(Arb!$V$2,,,Arb!$AJ$5,),AH354))/AI354)</f>
        <v/>
      </c>
      <c r="AM354" s="51" t="str">
        <f t="shared" ca="1" si="109"/>
        <v/>
      </c>
      <c r="AN354" s="88" t="str">
        <f ca="1">IF(AH354="","",DATE(INDEX(OFFSET(Arb!$C$2,,,Arb!$AJ$5,),AH354),INDEX(OFFSET(Arb!$B$2,,,Arb!$AJ$5,),AH354),INDEX(OFFSET(Arb!$A$2,,,Arb!$AJ$5,),AH354))+ROW()*0.001)</f>
        <v/>
      </c>
      <c r="AO354" s="436">
        <v>212</v>
      </c>
      <c r="AQ354" s="52" t="str">
        <f ca="1">IF(AP354="","",INDEX(OFFSET(Arb!$H$2,,,Arb!$AJ$5,),AP354))</f>
        <v/>
      </c>
      <c r="AR354" s="3" t="str">
        <f t="shared" ca="1" si="100"/>
        <v/>
      </c>
      <c r="AS354" s="165" t="str">
        <f ca="1">IF(AP354="","",INDEX(OFFSET(Arb!$X$2,,,Arb!$AJ$5,),AP354)/AQ354)</f>
        <v/>
      </c>
      <c r="AT354" s="165" t="str">
        <f ca="1">IF(AP354="","",(INDEX(OFFSET(Arb!$U$2,,,Arb!$AJ$5,),AP354)+INDEX(OFFSET(Arb!$V$2,,,Arb!$AJ$5,),AP354))/AQ354)</f>
        <v/>
      </c>
      <c r="AU354" s="51" t="str">
        <f t="shared" ca="1" si="110"/>
        <v/>
      </c>
      <c r="AV354" s="91" t="str">
        <f ca="1">IF(AP354="","",DATE(INDEX(OFFSET(Arb!$C$2,,,Arb!$AJ$5,),AP354),INDEX(OFFSET(Arb!$B$2,,,Arb!$AJ$5,),AP354),INDEX(OFFSET(Arb!$A$2,,,Arb!$AJ$5,),AP354))+ROW()*0.001)</f>
        <v/>
      </c>
      <c r="AW354" s="442">
        <v>212</v>
      </c>
      <c r="AY354" s="52" t="str">
        <f ca="1">IF(AX354="","",INDEX(OFFSET(Arb!$H$2,,,Arb!$AJ$5,),AX354))</f>
        <v/>
      </c>
      <c r="AZ354" s="3" t="str">
        <f t="shared" ca="1" si="101"/>
        <v/>
      </c>
      <c r="BA354" s="165" t="str">
        <f ca="1">IF(AX354="","",INDEX(OFFSET(Arb!$X$2,,,Arb!$AJ$5,),AX354)/AY354)</f>
        <v/>
      </c>
      <c r="BB354" s="165" t="str">
        <f ca="1">IF(AX354="","",(INDEX(OFFSET(Arb!$U$2,,,Arb!$AJ$5,),AX354)+INDEX(OFFSET(Arb!$V$2,,,Arb!$AJ$5,),AX354))/AY354)</f>
        <v/>
      </c>
      <c r="BC354" s="51" t="str">
        <f t="shared" ca="1" si="111"/>
        <v/>
      </c>
      <c r="BD354" s="88" t="str">
        <f ca="1">IF(AX354="","",DATE(INDEX(OFFSET(Arb!$C$2,,,Arb!$AJ$5,),AX354),INDEX(OFFSET(Arb!$B$2,,,Arb!$AJ$5,),AX354),INDEX(OFFSET(Arb!$A$2,,,Arb!$AJ$5,),AX354))+ROW()*0.001)</f>
        <v/>
      </c>
      <c r="BE354" s="436">
        <v>212</v>
      </c>
      <c r="BG354" s="52" t="str">
        <f ca="1">IF(BF354="","",INDEX(OFFSET(Arb!$H$2,,,Arb!$AJ$5,),BF354))</f>
        <v/>
      </c>
      <c r="BH354" s="3" t="str">
        <f t="shared" ca="1" si="102"/>
        <v/>
      </c>
      <c r="BI354" s="165" t="str">
        <f ca="1">IF(BF354="","",INDEX(OFFSET(Arb!$X$2,,,Arb!$AJ$5,),BF354)/BG354)</f>
        <v/>
      </c>
      <c r="BJ354" s="165" t="str">
        <f ca="1">IF(BF354="","",(INDEX(OFFSET(Arb!$U$2,,,Arb!$AJ$5,),BF354)+INDEX(OFFSET(Arb!$V$2,,,Arb!$AJ$5,),BF354))/BG354)</f>
        <v/>
      </c>
      <c r="BK354" s="51" t="str">
        <f t="shared" ca="1" si="112"/>
        <v/>
      </c>
      <c r="BL354" s="91" t="str">
        <f ca="1">IF(BF354="","",DATE(INDEX(OFFSET(Arb!$C$2,,,Arb!$AJ$5,),BF354),INDEX(OFFSET(Arb!$B$2,,,Arb!$AJ$5,),BF354),INDEX(OFFSET(Arb!$A$2,,,Arb!$AJ$5,),BF354))+ROW()*0.001)</f>
        <v/>
      </c>
      <c r="BM354" s="442">
        <v>212</v>
      </c>
      <c r="BO354" s="52" t="str">
        <f ca="1">IF(BN354="","",INDEX(OFFSET(Arb!$H$2,,,Arb!$AJ$5,),BN354))</f>
        <v/>
      </c>
      <c r="BP354" s="3" t="str">
        <f t="shared" ca="1" si="103"/>
        <v/>
      </c>
      <c r="BQ354" s="165" t="str">
        <f ca="1">IF(BN354="","",INDEX(OFFSET(Arb!$X$2,,,Arb!$AJ$5,),BN354)/BO354)</f>
        <v/>
      </c>
      <c r="BR354" s="165" t="str">
        <f ca="1">IF(BN354="","",(INDEX(OFFSET(Arb!$U$2,,,Arb!$AJ$5,),BN354)+INDEX(OFFSET(Arb!$V$2,,,Arb!$AJ$5,),BN354))/BO354)</f>
        <v/>
      </c>
      <c r="BS354" s="51" t="str">
        <f t="shared" ca="1" si="113"/>
        <v/>
      </c>
      <c r="BT354" s="88" t="str">
        <f ca="1">IF(BN354="","",DATE(INDEX(OFFSET(Arb!$C$2,,,Arb!$AJ$5,),BN354),INDEX(OFFSET(Arb!$B$2,,,Arb!$AJ$5,),BN354),INDEX(OFFSET(Arb!$A$2,,,Arb!$AJ$5,),BN354))+ROW()*0.001)</f>
        <v/>
      </c>
      <c r="BU354" s="436">
        <v>212</v>
      </c>
      <c r="BW354" s="52" t="str">
        <f ca="1">IF(BV354="","",INDEX(OFFSET(Arb!$H$2,,,Arb!$AJ$5,),BV354))</f>
        <v/>
      </c>
      <c r="BX354" s="3" t="str">
        <f t="shared" ca="1" si="104"/>
        <v/>
      </c>
      <c r="BY354" s="165" t="str">
        <f ca="1">IF(BV354="","",INDEX(OFFSET(Arb!$X$2,,,Arb!$AJ$5,),BV354)/BW354)</f>
        <v/>
      </c>
      <c r="BZ354" s="165" t="str">
        <f ca="1">IF(BV354="","",(INDEX(OFFSET(Arb!$U$2,,,Arb!$AJ$5,),BV354)+INDEX(OFFSET(Arb!$V$2,,,Arb!$AJ$5,),BV354))/BW354)</f>
        <v/>
      </c>
      <c r="CA354" s="51" t="str">
        <f t="shared" ca="1" si="114"/>
        <v/>
      </c>
      <c r="CB354" s="91" t="str">
        <f ca="1">IF(BV354="","",DATE(INDEX(OFFSET(Arb!$C$2,,,Arb!$AJ$5,),BV354),INDEX(OFFSET(Arb!$B$2,,,Arb!$AJ$5,),BV354),INDEX(OFFSET(Arb!$A$2,,,Arb!$AJ$5,),BV354))+ROW()*0.001)</f>
        <v/>
      </c>
    </row>
    <row r="355" spans="1:80" x14ac:dyDescent="0.25">
      <c r="A355" s="433">
        <v>213</v>
      </c>
      <c r="B355" s="1">
        <v>2922</v>
      </c>
      <c r="C355" s="52">
        <f ca="1">IF(B355="","",INDEX(OFFSET(Arb!$H$2,,,Arb!$AJ$5,),B355))</f>
        <v>84.23</v>
      </c>
      <c r="D355" s="3">
        <f t="shared" ca="1" si="95"/>
        <v>2.5287902172622578</v>
      </c>
      <c r="E355" s="165">
        <f ca="1">IF(B355="","",INDEX(OFFSET(Arb!$X$2,,,Arb!$AJ$5,),B355)/C355)</f>
        <v>2.7899798171672798</v>
      </c>
      <c r="F355" s="165">
        <f ca="1">IF(B355="","",(INDEX(OFFSET(Arb!$U$2,,,Arb!$AJ$5,),B355)+INDEX(OFFSET(Arb!$V$2,,,Arb!$AJ$5,),B355))/C355)</f>
        <v>3.0749139261545766</v>
      </c>
      <c r="G355" s="51">
        <f t="shared" ca="1" si="105"/>
        <v>49.382866729123201</v>
      </c>
      <c r="H355" s="355">
        <f ca="1">IF(B355="","",DATE(INDEX(OFFSET(Arb!$C$2,,,Arb!$AJ$5,),B355),INDEX(OFFSET(Arb!$B$2,,,Arb!$AJ$5,),B355),INDEX(OFFSET(Arb!$A$2,,,Arb!$AJ$5,),B355))+ROW()*0.001)</f>
        <v>43935.355000000003</v>
      </c>
      <c r="I355" s="436">
        <v>213</v>
      </c>
      <c r="J355" s="1">
        <v>2477</v>
      </c>
      <c r="K355" s="52">
        <f ca="1">IF(J355="","",INDEX(OFFSET(Arb!$H$2,,,Arb!$AJ$5,),J355))</f>
        <v>90.32</v>
      </c>
      <c r="L355" s="3">
        <f t="shared" ca="1" si="96"/>
        <v>2.3582816651904341</v>
      </c>
      <c r="M355" s="165">
        <f ca="1">IF(J355="","",INDEX(OFFSET(Arb!$X$2,,,Arb!$AJ$5,),J355)/K355)</f>
        <v>2.701505757307352</v>
      </c>
      <c r="N355" s="165">
        <f ca="1">IF(J355="","",(INDEX(OFFSET(Arb!$U$2,,,Arb!$AJ$5,),J355)+INDEX(OFFSET(Arb!$V$2,,,Arb!$AJ$5,),J355))/K355)</f>
        <v>2.9782993799822854</v>
      </c>
      <c r="O355" s="51">
        <f t="shared" ca="1" si="106"/>
        <v>43.856824165274567</v>
      </c>
      <c r="P355" s="91">
        <f ca="1">IF(J355="","",DATE(INDEX(OFFSET(Arb!$C$2,,,Arb!$AJ$5,),J355),INDEX(OFFSET(Arb!$B$2,,,Arb!$AJ$5,),J355),INDEX(OFFSET(Arb!$A$2,,,Arb!$AJ$5,),J355))+ROW()*0.001)</f>
        <v>43781.355000000003</v>
      </c>
      <c r="Q355" s="442">
        <v>213</v>
      </c>
      <c r="R355" s="1">
        <v>2897</v>
      </c>
      <c r="S355" s="52">
        <f ca="1">IF(R355="","",INDEX(OFFSET(Arb!$H$2,,,Arb!$AJ$5,),R355))</f>
        <v>102.41</v>
      </c>
      <c r="T355" s="3">
        <f t="shared" ca="1" si="97"/>
        <v>2.0798750122058394</v>
      </c>
      <c r="U355" s="165">
        <f ca="1">IF(R355="","",INDEX(OFFSET(Arb!$X$2,,,Arb!$AJ$5,),R355)/S355)</f>
        <v>2.5290498974709501</v>
      </c>
      <c r="V355" s="165">
        <f ca="1">IF(R355="","",(INDEX(OFFSET(Arb!$U$2,,,Arb!$AJ$5,),R355)+INDEX(OFFSET(Arb!$V$2,,,Arb!$AJ$5,),R355))/S355)</f>
        <v>2.7438726686846988</v>
      </c>
      <c r="W355" s="51">
        <f t="shared" ca="1" si="107"/>
        <v>35.423203683499651</v>
      </c>
      <c r="X355" s="88">
        <f ca="1">IF(R355="","",DATE(INDEX(OFFSET(Arb!$C$2,,,Arb!$AJ$5,),R355),INDEX(OFFSET(Arb!$B$2,,,Arb!$AJ$5,),R355),INDEX(OFFSET(Arb!$A$2,,,Arb!$AJ$5,),R355))+ROW()*0.001)</f>
        <v>43923.355000000003</v>
      </c>
      <c r="Y355" s="436">
        <v>213</v>
      </c>
      <c r="AA355" s="52" t="str">
        <f ca="1">IF(Z355="","",INDEX(OFFSET(Arb!$H$2,,,Arb!$AJ$5,),Z355))</f>
        <v/>
      </c>
      <c r="AB355" s="3" t="str">
        <f t="shared" ca="1" si="98"/>
        <v/>
      </c>
      <c r="AC355" s="165" t="str">
        <f ca="1">IF(Z355="","",INDEX(OFFSET(Arb!$X$2,,,Arb!$AJ$5,),Z355)/AA355)</f>
        <v/>
      </c>
      <c r="AD355" s="165" t="str">
        <f ca="1">IF(Z355="","",(INDEX(OFFSET(Arb!$U$2,,,Arb!$AJ$5,),Z355)+INDEX(OFFSET(Arb!$V$2,,,Arb!$AJ$5,),Z355))/AA355)</f>
        <v/>
      </c>
      <c r="AE355" s="51" t="str">
        <f t="shared" ca="1" si="108"/>
        <v/>
      </c>
      <c r="AF355" s="91" t="str">
        <f ca="1">IF(Z355="","",DATE(INDEX(OFFSET(Arb!$C$2,,,Arb!$AJ$5,),Z355),INDEX(OFFSET(Arb!$B$2,,,Arb!$AJ$5,),Z355),INDEX(OFFSET(Arb!$A$2,,,Arb!$AJ$5,),Z355))+ROW()*0.001)</f>
        <v/>
      </c>
      <c r="AG355" s="442">
        <v>213</v>
      </c>
      <c r="AI355" s="52" t="str">
        <f ca="1">IF(AH355="","",INDEX(OFFSET(Arb!$H$2,,,Arb!$AJ$5,),AH355))</f>
        <v/>
      </c>
      <c r="AJ355" s="3" t="str">
        <f t="shared" ca="1" si="99"/>
        <v/>
      </c>
      <c r="AK355" s="165" t="str">
        <f ca="1">IF(AH355="","",INDEX(OFFSET(Arb!$X$2,,,Arb!$AJ$5,),AH355)/AI355)</f>
        <v/>
      </c>
      <c r="AL355" s="165" t="str">
        <f ca="1">IF(AH355="","",(INDEX(OFFSET(Arb!$U$2,,,Arb!$AJ$5,),AH355)+INDEX(OFFSET(Arb!$V$2,,,Arb!$AJ$5,),AH355))/AI355)</f>
        <v/>
      </c>
      <c r="AM355" s="51" t="str">
        <f t="shared" ca="1" si="109"/>
        <v/>
      </c>
      <c r="AN355" s="88" t="str">
        <f ca="1">IF(AH355="","",DATE(INDEX(OFFSET(Arb!$C$2,,,Arb!$AJ$5,),AH355),INDEX(OFFSET(Arb!$B$2,,,Arb!$AJ$5,),AH355),INDEX(OFFSET(Arb!$A$2,,,Arb!$AJ$5,),AH355))+ROW()*0.001)</f>
        <v/>
      </c>
      <c r="AO355" s="436">
        <v>213</v>
      </c>
      <c r="AQ355" s="52" t="str">
        <f ca="1">IF(AP355="","",INDEX(OFFSET(Arb!$H$2,,,Arb!$AJ$5,),AP355))</f>
        <v/>
      </c>
      <c r="AR355" s="3" t="str">
        <f t="shared" ca="1" si="100"/>
        <v/>
      </c>
      <c r="AS355" s="165" t="str">
        <f ca="1">IF(AP355="","",INDEX(OFFSET(Arb!$X$2,,,Arb!$AJ$5,),AP355)/AQ355)</f>
        <v/>
      </c>
      <c r="AT355" s="165" t="str">
        <f ca="1">IF(AP355="","",(INDEX(OFFSET(Arb!$U$2,,,Arb!$AJ$5,),AP355)+INDEX(OFFSET(Arb!$V$2,,,Arb!$AJ$5,),AP355))/AQ355)</f>
        <v/>
      </c>
      <c r="AU355" s="51" t="str">
        <f t="shared" ca="1" si="110"/>
        <v/>
      </c>
      <c r="AV355" s="91" t="str">
        <f ca="1">IF(AP355="","",DATE(INDEX(OFFSET(Arb!$C$2,,,Arb!$AJ$5,),AP355),INDEX(OFFSET(Arb!$B$2,,,Arb!$AJ$5,),AP355),INDEX(OFFSET(Arb!$A$2,,,Arb!$AJ$5,),AP355))+ROW()*0.001)</f>
        <v/>
      </c>
      <c r="AW355" s="442">
        <v>213</v>
      </c>
      <c r="AY355" s="52" t="str">
        <f ca="1">IF(AX355="","",INDEX(OFFSET(Arb!$H$2,,,Arb!$AJ$5,),AX355))</f>
        <v/>
      </c>
      <c r="AZ355" s="3" t="str">
        <f t="shared" ca="1" si="101"/>
        <v/>
      </c>
      <c r="BA355" s="165" t="str">
        <f ca="1">IF(AX355="","",INDEX(OFFSET(Arb!$X$2,,,Arb!$AJ$5,),AX355)/AY355)</f>
        <v/>
      </c>
      <c r="BB355" s="165" t="str">
        <f ca="1">IF(AX355="","",(INDEX(OFFSET(Arb!$U$2,,,Arb!$AJ$5,),AX355)+INDEX(OFFSET(Arb!$V$2,,,Arb!$AJ$5,),AX355))/AY355)</f>
        <v/>
      </c>
      <c r="BC355" s="51" t="str">
        <f t="shared" ca="1" si="111"/>
        <v/>
      </c>
      <c r="BD355" s="88" t="str">
        <f ca="1">IF(AX355="","",DATE(INDEX(OFFSET(Arb!$C$2,,,Arb!$AJ$5,),AX355),INDEX(OFFSET(Arb!$B$2,,,Arb!$AJ$5,),AX355),INDEX(OFFSET(Arb!$A$2,,,Arb!$AJ$5,),AX355))+ROW()*0.001)</f>
        <v/>
      </c>
      <c r="BE355" s="436">
        <v>213</v>
      </c>
      <c r="BG355" s="52" t="str">
        <f ca="1">IF(BF355="","",INDEX(OFFSET(Arb!$H$2,,,Arb!$AJ$5,),BF355))</f>
        <v/>
      </c>
      <c r="BH355" s="3" t="str">
        <f t="shared" ca="1" si="102"/>
        <v/>
      </c>
      <c r="BI355" s="165" t="str">
        <f ca="1">IF(BF355="","",INDEX(OFFSET(Arb!$X$2,,,Arb!$AJ$5,),BF355)/BG355)</f>
        <v/>
      </c>
      <c r="BJ355" s="165" t="str">
        <f ca="1">IF(BF355="","",(INDEX(OFFSET(Arb!$U$2,,,Arb!$AJ$5,),BF355)+INDEX(OFFSET(Arb!$V$2,,,Arb!$AJ$5,),BF355))/BG355)</f>
        <v/>
      </c>
      <c r="BK355" s="51" t="str">
        <f t="shared" ca="1" si="112"/>
        <v/>
      </c>
      <c r="BL355" s="91" t="str">
        <f ca="1">IF(BF355="","",DATE(INDEX(OFFSET(Arb!$C$2,,,Arb!$AJ$5,),BF355),INDEX(OFFSET(Arb!$B$2,,,Arb!$AJ$5,),BF355),INDEX(OFFSET(Arb!$A$2,,,Arb!$AJ$5,),BF355))+ROW()*0.001)</f>
        <v/>
      </c>
      <c r="BM355" s="442">
        <v>213</v>
      </c>
      <c r="BO355" s="52" t="str">
        <f ca="1">IF(BN355="","",INDEX(OFFSET(Arb!$H$2,,,Arb!$AJ$5,),BN355))</f>
        <v/>
      </c>
      <c r="BP355" s="3" t="str">
        <f t="shared" ca="1" si="103"/>
        <v/>
      </c>
      <c r="BQ355" s="165" t="str">
        <f ca="1">IF(BN355="","",INDEX(OFFSET(Arb!$X$2,,,Arb!$AJ$5,),BN355)/BO355)</f>
        <v/>
      </c>
      <c r="BR355" s="165" t="str">
        <f ca="1">IF(BN355="","",(INDEX(OFFSET(Arb!$U$2,,,Arb!$AJ$5,),BN355)+INDEX(OFFSET(Arb!$V$2,,,Arb!$AJ$5,),BN355))/BO355)</f>
        <v/>
      </c>
      <c r="BS355" s="51" t="str">
        <f t="shared" ca="1" si="113"/>
        <v/>
      </c>
      <c r="BT355" s="88" t="str">
        <f ca="1">IF(BN355="","",DATE(INDEX(OFFSET(Arb!$C$2,,,Arb!$AJ$5,),BN355),INDEX(OFFSET(Arb!$B$2,,,Arb!$AJ$5,),BN355),INDEX(OFFSET(Arb!$A$2,,,Arb!$AJ$5,),BN355))+ROW()*0.001)</f>
        <v/>
      </c>
      <c r="BU355" s="436">
        <v>213</v>
      </c>
      <c r="BW355" s="52" t="str">
        <f ca="1">IF(BV355="","",INDEX(OFFSET(Arb!$H$2,,,Arb!$AJ$5,),BV355))</f>
        <v/>
      </c>
      <c r="BX355" s="3" t="str">
        <f t="shared" ca="1" si="104"/>
        <v/>
      </c>
      <c r="BY355" s="165" t="str">
        <f ca="1">IF(BV355="","",INDEX(OFFSET(Arb!$X$2,,,Arb!$AJ$5,),BV355)/BW355)</f>
        <v/>
      </c>
      <c r="BZ355" s="165" t="str">
        <f ca="1">IF(BV355="","",(INDEX(OFFSET(Arb!$U$2,,,Arb!$AJ$5,),BV355)+INDEX(OFFSET(Arb!$V$2,,,Arb!$AJ$5,),BV355))/BW355)</f>
        <v/>
      </c>
      <c r="CA355" s="51" t="str">
        <f t="shared" ca="1" si="114"/>
        <v/>
      </c>
      <c r="CB355" s="91" t="str">
        <f ca="1">IF(BV355="","",DATE(INDEX(OFFSET(Arb!$C$2,,,Arb!$AJ$5,),BV355),INDEX(OFFSET(Arb!$B$2,,,Arb!$AJ$5,),BV355),INDEX(OFFSET(Arb!$A$2,,,Arb!$AJ$5,),BV355))+ROW()*0.001)</f>
        <v/>
      </c>
    </row>
    <row r="356" spans="1:80" x14ac:dyDescent="0.25">
      <c r="A356" s="433">
        <v>214</v>
      </c>
      <c r="B356" s="1">
        <v>2870</v>
      </c>
      <c r="C356" s="52">
        <f ca="1">IF(B356="","",INDEX(OFFSET(Arb!$H$2,,,Arb!$AJ$5,),B356))</f>
        <v>77.099999999999994</v>
      </c>
      <c r="D356" s="3">
        <f t="shared" ca="1" si="95"/>
        <v>2.7756160830090795</v>
      </c>
      <c r="E356" s="165">
        <f ca="1">IF(B356="","",INDEX(OFFSET(Arb!$X$2,,,Arb!$AJ$5,),B356)/C356)</f>
        <v>3.1776913099870301</v>
      </c>
      <c r="F356" s="165">
        <f ca="1">IF(B356="","",(INDEX(OFFSET(Arb!$U$2,,,Arb!$AJ$5,),B356)+INDEX(OFFSET(Arb!$V$2,,,Arb!$AJ$5,),B356))/C356)</f>
        <v>3.476005188067445</v>
      </c>
      <c r="G356" s="51">
        <f t="shared" ca="1" si="105"/>
        <v>57.664905678173852</v>
      </c>
      <c r="H356" s="355">
        <f ca="1">IF(B356="","",DATE(INDEX(OFFSET(Arb!$C$2,,,Arb!$AJ$5,),B356),INDEX(OFFSET(Arb!$B$2,,,Arb!$AJ$5,),B356),INDEX(OFFSET(Arb!$A$2,,,Arb!$AJ$5,),B356))+ROW()*0.001)</f>
        <v>43911.356</v>
      </c>
      <c r="I356" s="436">
        <v>214</v>
      </c>
      <c r="J356" s="1">
        <v>3441</v>
      </c>
      <c r="K356" s="52">
        <f ca="1">IF(J356="","",INDEX(OFFSET(Arb!$H$2,,,Arb!$AJ$5,),J356))</f>
        <v>78.17</v>
      </c>
      <c r="L356" s="3">
        <f t="shared" ca="1" si="96"/>
        <v>2.7376231290776514</v>
      </c>
      <c r="M356" s="165">
        <f ca="1">IF(J356="","",INDEX(OFFSET(Arb!$X$2,,,Arb!$AJ$5,),J356)/K356)</f>
        <v>2.6736599718562108</v>
      </c>
      <c r="N356" s="165">
        <f ca="1">IF(J356="","",(INDEX(OFFSET(Arb!$U$2,,,Arb!$AJ$5,),J356)+INDEX(OFFSET(Arb!$V$2,,,Arb!$AJ$5,),J356))/K356)</f>
        <v>2.9806831265191249</v>
      </c>
      <c r="O356" s="51">
        <f t="shared" ca="1" si="106"/>
        <v>56.329492483465359</v>
      </c>
      <c r="P356" s="91">
        <f ca="1">IF(J356="","",DATE(INDEX(OFFSET(Arb!$C$2,,,Arb!$AJ$5,),J356),INDEX(OFFSET(Arb!$B$2,,,Arb!$AJ$5,),J356),INDEX(OFFSET(Arb!$A$2,,,Arb!$AJ$5,),J356))+ROW()*0.001)</f>
        <v>44167.356</v>
      </c>
      <c r="Q356" s="442">
        <v>214</v>
      </c>
      <c r="R356" s="1">
        <v>3157</v>
      </c>
      <c r="S356" s="52">
        <f ca="1">IF(R356="","",INDEX(OFFSET(Arb!$H$2,,,Arb!$AJ$5,),R356))</f>
        <v>80.08</v>
      </c>
      <c r="T356" s="3">
        <f t="shared" ca="1" si="97"/>
        <v>2.6723276723276723</v>
      </c>
      <c r="U356" s="165">
        <f ca="1">IF(R356="","",INDEX(OFFSET(Arb!$X$2,,,Arb!$AJ$5,),R356)/S356)</f>
        <v>3.0344655344655345</v>
      </c>
      <c r="V356" s="165">
        <f ca="1">IF(R356="","",(INDEX(OFFSET(Arb!$U$2,,,Arb!$AJ$5,),R356)+INDEX(OFFSET(Arb!$V$2,,,Arb!$AJ$5,),R356))/S356)</f>
        <v>3.384115884115884</v>
      </c>
      <c r="W356" s="51">
        <f t="shared" ca="1" si="107"/>
        <v>54.06461554780801</v>
      </c>
      <c r="X356" s="88">
        <f ca="1">IF(R356="","",DATE(INDEX(OFFSET(Arb!$C$2,,,Arb!$AJ$5,),R356),INDEX(OFFSET(Arb!$B$2,,,Arb!$AJ$5,),R356),INDEX(OFFSET(Arb!$A$2,,,Arb!$AJ$5,),R356))+ROW()*0.001)</f>
        <v>44029.356</v>
      </c>
      <c r="Y356" s="436">
        <v>214</v>
      </c>
      <c r="Z356" s="1">
        <v>2418</v>
      </c>
      <c r="AA356" s="52">
        <f ca="1">IF(Z356="","",INDEX(OFFSET(Arb!$H$2,,,Arb!$AJ$5,),Z356))</f>
        <v>87.15</v>
      </c>
      <c r="AB356" s="3">
        <f t="shared" ca="1" si="98"/>
        <v>2.4555364314400459</v>
      </c>
      <c r="AC356" s="165">
        <f ca="1">IF(Z356="","",INDEX(OFFSET(Arb!$X$2,,,Arb!$AJ$5,),Z356)/AA356)</f>
        <v>2.822719449225473</v>
      </c>
      <c r="AD356" s="165">
        <f ca="1">IF(Z356="","",(INDEX(OFFSET(Arb!$U$2,,,Arb!$AJ$5,),Z356)+INDEX(OFFSET(Arb!$V$2,,,Arb!$AJ$5,),Z356))/AA356)</f>
        <v>3.0981067125645438</v>
      </c>
      <c r="AE356" s="51">
        <f t="shared" ca="1" si="108"/>
        <v>46.82194637376822</v>
      </c>
      <c r="AF356" s="91">
        <f ca="1">IF(Z356="","",DATE(INDEX(OFFSET(Arb!$C$2,,,Arb!$AJ$5,),Z356),INDEX(OFFSET(Arb!$B$2,,,Arb!$AJ$5,),Z356),INDEX(OFFSET(Arb!$A$2,,,Arb!$AJ$5,),Z356))+ROW()*0.001)</f>
        <v>43766.356</v>
      </c>
      <c r="AG356" s="442">
        <v>214</v>
      </c>
      <c r="AH356" s="1">
        <v>2457</v>
      </c>
      <c r="AI356" s="52">
        <f ca="1">IF(AH356="","",INDEX(OFFSET(Arb!$H$2,,,Arb!$AJ$5,),AH356))</f>
        <v>92.08</v>
      </c>
      <c r="AJ356" s="3">
        <f t="shared" ca="1" si="99"/>
        <v>2.324066029539531</v>
      </c>
      <c r="AK356" s="165">
        <f ca="1">IF(AH356="","",INDEX(OFFSET(Arb!$X$2,,,Arb!$AJ$5,),AH356)/AI356)</f>
        <v>2.5738488271068638</v>
      </c>
      <c r="AL356" s="165">
        <f ca="1">IF(AH356="","",(INDEX(OFFSET(Arb!$U$2,,,Arb!$AJ$5,),AH356)+INDEX(OFFSET(Arb!$V$2,,,Arb!$AJ$5,),AH356))/AI356)</f>
        <v>2.8236316246741966</v>
      </c>
      <c r="AM356" s="51">
        <f t="shared" ca="1" si="109"/>
        <v>42.640569912895067</v>
      </c>
      <c r="AN356" s="88">
        <f ca="1">IF(AH356="","",DATE(INDEX(OFFSET(Arb!$C$2,,,Arb!$AJ$5,),AH356),INDEX(OFFSET(Arb!$B$2,,,Arb!$AJ$5,),AH356),INDEX(OFFSET(Arb!$A$2,,,Arb!$AJ$5,),AH356))+ROW()*0.001)</f>
        <v>43777.356</v>
      </c>
      <c r="AO356" s="436">
        <v>214</v>
      </c>
      <c r="AQ356" s="52" t="str">
        <f ca="1">IF(AP356="","",INDEX(OFFSET(Arb!$H$2,,,Arb!$AJ$5,),AP356))</f>
        <v/>
      </c>
      <c r="AR356" s="3" t="str">
        <f t="shared" ca="1" si="100"/>
        <v/>
      </c>
      <c r="AS356" s="165" t="str">
        <f ca="1">IF(AP356="","",INDEX(OFFSET(Arb!$X$2,,,Arb!$AJ$5,),AP356)/AQ356)</f>
        <v/>
      </c>
      <c r="AT356" s="165" t="str">
        <f ca="1">IF(AP356="","",(INDEX(OFFSET(Arb!$U$2,,,Arb!$AJ$5,),AP356)+INDEX(OFFSET(Arb!$V$2,,,Arb!$AJ$5,),AP356))/AQ356)</f>
        <v/>
      </c>
      <c r="AU356" s="51" t="str">
        <f t="shared" ca="1" si="110"/>
        <v/>
      </c>
      <c r="AV356" s="91" t="str">
        <f ca="1">IF(AP356="","",DATE(INDEX(OFFSET(Arb!$C$2,,,Arb!$AJ$5,),AP356),INDEX(OFFSET(Arb!$B$2,,,Arb!$AJ$5,),AP356),INDEX(OFFSET(Arb!$A$2,,,Arb!$AJ$5,),AP356))+ROW()*0.001)</f>
        <v/>
      </c>
      <c r="AW356" s="442">
        <v>214</v>
      </c>
      <c r="AY356" s="52" t="str">
        <f ca="1">IF(AX356="","",INDEX(OFFSET(Arb!$H$2,,,Arb!$AJ$5,),AX356))</f>
        <v/>
      </c>
      <c r="AZ356" s="3" t="str">
        <f t="shared" ca="1" si="101"/>
        <v/>
      </c>
      <c r="BA356" s="165" t="str">
        <f ca="1">IF(AX356="","",INDEX(OFFSET(Arb!$X$2,,,Arb!$AJ$5,),AX356)/AY356)</f>
        <v/>
      </c>
      <c r="BB356" s="165" t="str">
        <f ca="1">IF(AX356="","",(INDEX(OFFSET(Arb!$U$2,,,Arb!$AJ$5,),AX356)+INDEX(OFFSET(Arb!$V$2,,,Arb!$AJ$5,),AX356))/AY356)</f>
        <v/>
      </c>
      <c r="BC356" s="51" t="str">
        <f t="shared" ca="1" si="111"/>
        <v/>
      </c>
      <c r="BD356" s="88" t="str">
        <f ca="1">IF(AX356="","",DATE(INDEX(OFFSET(Arb!$C$2,,,Arb!$AJ$5,),AX356),INDEX(OFFSET(Arb!$B$2,,,Arb!$AJ$5,),AX356),INDEX(OFFSET(Arb!$A$2,,,Arb!$AJ$5,),AX356))+ROW()*0.001)</f>
        <v/>
      </c>
      <c r="BE356" s="436">
        <v>214</v>
      </c>
      <c r="BG356" s="52" t="str">
        <f ca="1">IF(BF356="","",INDEX(OFFSET(Arb!$H$2,,,Arb!$AJ$5,),BF356))</f>
        <v/>
      </c>
      <c r="BH356" s="3" t="str">
        <f t="shared" ca="1" si="102"/>
        <v/>
      </c>
      <c r="BI356" s="165" t="str">
        <f ca="1">IF(BF356="","",INDEX(OFFSET(Arb!$X$2,,,Arb!$AJ$5,),BF356)/BG356)</f>
        <v/>
      </c>
      <c r="BJ356" s="165" t="str">
        <f ca="1">IF(BF356="","",(INDEX(OFFSET(Arb!$U$2,,,Arb!$AJ$5,),BF356)+INDEX(OFFSET(Arb!$V$2,,,Arb!$AJ$5,),BF356))/BG356)</f>
        <v/>
      </c>
      <c r="BK356" s="51" t="str">
        <f t="shared" ca="1" si="112"/>
        <v/>
      </c>
      <c r="BL356" s="91" t="str">
        <f ca="1">IF(BF356="","",DATE(INDEX(OFFSET(Arb!$C$2,,,Arb!$AJ$5,),BF356),INDEX(OFFSET(Arb!$B$2,,,Arb!$AJ$5,),BF356),INDEX(OFFSET(Arb!$A$2,,,Arb!$AJ$5,),BF356))+ROW()*0.001)</f>
        <v/>
      </c>
      <c r="BM356" s="442">
        <v>214</v>
      </c>
      <c r="BO356" s="52" t="str">
        <f ca="1">IF(BN356="","",INDEX(OFFSET(Arb!$H$2,,,Arb!$AJ$5,),BN356))</f>
        <v/>
      </c>
      <c r="BP356" s="3" t="str">
        <f t="shared" ca="1" si="103"/>
        <v/>
      </c>
      <c r="BQ356" s="165" t="str">
        <f ca="1">IF(BN356="","",INDEX(OFFSET(Arb!$X$2,,,Arb!$AJ$5,),BN356)/BO356)</f>
        <v/>
      </c>
      <c r="BR356" s="165" t="str">
        <f ca="1">IF(BN356="","",(INDEX(OFFSET(Arb!$U$2,,,Arb!$AJ$5,),BN356)+INDEX(OFFSET(Arb!$V$2,,,Arb!$AJ$5,),BN356))/BO356)</f>
        <v/>
      </c>
      <c r="BS356" s="51" t="str">
        <f t="shared" ca="1" si="113"/>
        <v/>
      </c>
      <c r="BT356" s="88" t="str">
        <f ca="1">IF(BN356="","",DATE(INDEX(OFFSET(Arb!$C$2,,,Arb!$AJ$5,),BN356),INDEX(OFFSET(Arb!$B$2,,,Arb!$AJ$5,),BN356),INDEX(OFFSET(Arb!$A$2,,,Arb!$AJ$5,),BN356))+ROW()*0.001)</f>
        <v/>
      </c>
      <c r="BU356" s="436">
        <v>214</v>
      </c>
      <c r="BW356" s="52" t="str">
        <f ca="1">IF(BV356="","",INDEX(OFFSET(Arb!$H$2,,,Arb!$AJ$5,),BV356))</f>
        <v/>
      </c>
      <c r="BX356" s="3" t="str">
        <f t="shared" ca="1" si="104"/>
        <v/>
      </c>
      <c r="BY356" s="165" t="str">
        <f ca="1">IF(BV356="","",INDEX(OFFSET(Arb!$X$2,,,Arb!$AJ$5,),BV356)/BW356)</f>
        <v/>
      </c>
      <c r="BZ356" s="165" t="str">
        <f ca="1">IF(BV356="","",(INDEX(OFFSET(Arb!$U$2,,,Arb!$AJ$5,),BV356)+INDEX(OFFSET(Arb!$V$2,,,Arb!$AJ$5,),BV356))/BW356)</f>
        <v/>
      </c>
      <c r="CA356" s="51" t="str">
        <f t="shared" ca="1" si="114"/>
        <v/>
      </c>
      <c r="CB356" s="91" t="str">
        <f ca="1">IF(BV356="","",DATE(INDEX(OFFSET(Arb!$C$2,,,Arb!$AJ$5,),BV356),INDEX(OFFSET(Arb!$B$2,,,Arb!$AJ$5,),BV356),INDEX(OFFSET(Arb!$A$2,,,Arb!$AJ$5,),BV356))+ROW()*0.001)</f>
        <v/>
      </c>
    </row>
    <row r="357" spans="1:80" x14ac:dyDescent="0.25">
      <c r="A357" s="433">
        <v>215</v>
      </c>
      <c r="B357" s="1">
        <v>2671</v>
      </c>
      <c r="C357" s="52">
        <f ca="1">IF(B357="","",INDEX(OFFSET(Arb!$H$2,,,Arb!$AJ$5,),B357))</f>
        <v>91.08</v>
      </c>
      <c r="D357" s="3">
        <f t="shared" ca="1" si="95"/>
        <v>2.360562143170839</v>
      </c>
      <c r="E357" s="165">
        <f ca="1">IF(B357="","",INDEX(OFFSET(Arb!$X$2,,,Arb!$AJ$5,),B357)/C357)</f>
        <v>2.6350461133069829</v>
      </c>
      <c r="F357" s="165">
        <f ca="1">IF(B357="","",(INDEX(OFFSET(Arb!$U$2,,,Arb!$AJ$5,),B357)+INDEX(OFFSET(Arb!$V$2,,,Arb!$AJ$5,),B357))/C357)</f>
        <v>2.9644268774703559</v>
      </c>
      <c r="G357" s="51">
        <f t="shared" ca="1" si="105"/>
        <v>43.642495714964269</v>
      </c>
      <c r="H357" s="355">
        <f ca="1">IF(B357="","",DATE(INDEX(OFFSET(Arb!$C$2,,,Arb!$AJ$5,),B357),INDEX(OFFSET(Arb!$B$2,,,Arb!$AJ$5,),B357),INDEX(OFFSET(Arb!$A$2,,,Arb!$AJ$5,),B357))+ROW()*0.001)</f>
        <v>43827.357000000004</v>
      </c>
      <c r="I357" s="436">
        <v>215</v>
      </c>
      <c r="K357" s="52" t="str">
        <f ca="1">IF(J357="","",INDEX(OFFSET(Arb!$H$2,,,Arb!$AJ$5,),J357))</f>
        <v/>
      </c>
      <c r="L357" s="3" t="str">
        <f t="shared" ca="1" si="96"/>
        <v/>
      </c>
      <c r="M357" s="165" t="str">
        <f ca="1">IF(J357="","",INDEX(OFFSET(Arb!$X$2,,,Arb!$AJ$5,),J357)/K357)</f>
        <v/>
      </c>
      <c r="N357" s="165" t="str">
        <f ca="1">IF(J357="","",(INDEX(OFFSET(Arb!$U$2,,,Arb!$AJ$5,),J357)+INDEX(OFFSET(Arb!$V$2,,,Arb!$AJ$5,),J357))/K357)</f>
        <v/>
      </c>
      <c r="O357" s="51" t="str">
        <f t="shared" ca="1" si="106"/>
        <v/>
      </c>
      <c r="P357" s="91" t="str">
        <f ca="1">IF(J357="","",DATE(INDEX(OFFSET(Arb!$C$2,,,Arb!$AJ$5,),J357),INDEX(OFFSET(Arb!$B$2,,,Arb!$AJ$5,),J357),INDEX(OFFSET(Arb!$A$2,,,Arb!$AJ$5,),J357))+ROW()*0.001)</f>
        <v/>
      </c>
      <c r="Q357" s="442">
        <v>215</v>
      </c>
      <c r="S357" s="52" t="str">
        <f ca="1">IF(R357="","",INDEX(OFFSET(Arb!$H$2,,,Arb!$AJ$5,),R357))</f>
        <v/>
      </c>
      <c r="T357" s="3" t="str">
        <f t="shared" ca="1" si="97"/>
        <v/>
      </c>
      <c r="U357" s="165" t="str">
        <f ca="1">IF(R357="","",INDEX(OFFSET(Arb!$X$2,,,Arb!$AJ$5,),R357)/S357)</f>
        <v/>
      </c>
      <c r="V357" s="165" t="str">
        <f ca="1">IF(R357="","",(INDEX(OFFSET(Arb!$U$2,,,Arb!$AJ$5,),R357)+INDEX(OFFSET(Arb!$V$2,,,Arb!$AJ$5,),R357))/S357)</f>
        <v/>
      </c>
      <c r="W357" s="51" t="str">
        <f t="shared" ca="1" si="107"/>
        <v/>
      </c>
      <c r="X357" s="88" t="str">
        <f ca="1">IF(R357="","",DATE(INDEX(OFFSET(Arb!$C$2,,,Arb!$AJ$5,),R357),INDEX(OFFSET(Arb!$B$2,,,Arb!$AJ$5,),R357),INDEX(OFFSET(Arb!$A$2,,,Arb!$AJ$5,),R357))+ROW()*0.001)</f>
        <v/>
      </c>
      <c r="Y357" s="436">
        <v>215</v>
      </c>
      <c r="AA357" s="52" t="str">
        <f ca="1">IF(Z357="","",INDEX(OFFSET(Arb!$H$2,,,Arb!$AJ$5,),Z357))</f>
        <v/>
      </c>
      <c r="AB357" s="3" t="str">
        <f t="shared" ca="1" si="98"/>
        <v/>
      </c>
      <c r="AC357" s="165" t="str">
        <f ca="1">IF(Z357="","",INDEX(OFFSET(Arb!$X$2,,,Arb!$AJ$5,),Z357)/AA357)</f>
        <v/>
      </c>
      <c r="AD357" s="165" t="str">
        <f ca="1">IF(Z357="","",(INDEX(OFFSET(Arb!$U$2,,,Arb!$AJ$5,),Z357)+INDEX(OFFSET(Arb!$V$2,,,Arb!$AJ$5,),Z357))/AA357)</f>
        <v/>
      </c>
      <c r="AE357" s="51" t="str">
        <f t="shared" ca="1" si="108"/>
        <v/>
      </c>
      <c r="AF357" s="91" t="str">
        <f ca="1">IF(Z357="","",DATE(INDEX(OFFSET(Arb!$C$2,,,Arb!$AJ$5,),Z357),INDEX(OFFSET(Arb!$B$2,,,Arb!$AJ$5,),Z357),INDEX(OFFSET(Arb!$A$2,,,Arb!$AJ$5,),Z357))+ROW()*0.001)</f>
        <v/>
      </c>
      <c r="AG357" s="442">
        <v>215</v>
      </c>
      <c r="AI357" s="52" t="str">
        <f ca="1">IF(AH357="","",INDEX(OFFSET(Arb!$H$2,,,Arb!$AJ$5,),AH357))</f>
        <v/>
      </c>
      <c r="AJ357" s="3" t="str">
        <f t="shared" ca="1" si="99"/>
        <v/>
      </c>
      <c r="AK357" s="165" t="str">
        <f ca="1">IF(AH357="","",INDEX(OFFSET(Arb!$X$2,,,Arb!$AJ$5,),AH357)/AI357)</f>
        <v/>
      </c>
      <c r="AL357" s="165" t="str">
        <f ca="1">IF(AH357="","",(INDEX(OFFSET(Arb!$U$2,,,Arb!$AJ$5,),AH357)+INDEX(OFFSET(Arb!$V$2,,,Arb!$AJ$5,),AH357))/AI357)</f>
        <v/>
      </c>
      <c r="AM357" s="51" t="str">
        <f t="shared" ca="1" si="109"/>
        <v/>
      </c>
      <c r="AN357" s="88" t="str">
        <f ca="1">IF(AH357="","",DATE(INDEX(OFFSET(Arb!$C$2,,,Arb!$AJ$5,),AH357),INDEX(OFFSET(Arb!$B$2,,,Arb!$AJ$5,),AH357),INDEX(OFFSET(Arb!$A$2,,,Arb!$AJ$5,),AH357))+ROW()*0.001)</f>
        <v/>
      </c>
      <c r="AO357" s="436">
        <v>215</v>
      </c>
      <c r="AQ357" s="52" t="str">
        <f ca="1">IF(AP357="","",INDEX(OFFSET(Arb!$H$2,,,Arb!$AJ$5,),AP357))</f>
        <v/>
      </c>
      <c r="AR357" s="3" t="str">
        <f t="shared" ca="1" si="100"/>
        <v/>
      </c>
      <c r="AS357" s="165" t="str">
        <f ca="1">IF(AP357="","",INDEX(OFFSET(Arb!$X$2,,,Arb!$AJ$5,),AP357)/AQ357)</f>
        <v/>
      </c>
      <c r="AT357" s="165" t="str">
        <f ca="1">IF(AP357="","",(INDEX(OFFSET(Arb!$U$2,,,Arb!$AJ$5,),AP357)+INDEX(OFFSET(Arb!$V$2,,,Arb!$AJ$5,),AP357))/AQ357)</f>
        <v/>
      </c>
      <c r="AU357" s="51" t="str">
        <f t="shared" ca="1" si="110"/>
        <v/>
      </c>
      <c r="AV357" s="91" t="str">
        <f ca="1">IF(AP357="","",DATE(INDEX(OFFSET(Arb!$C$2,,,Arb!$AJ$5,),AP357),INDEX(OFFSET(Arb!$B$2,,,Arb!$AJ$5,),AP357),INDEX(OFFSET(Arb!$A$2,,,Arb!$AJ$5,),AP357))+ROW()*0.001)</f>
        <v/>
      </c>
      <c r="AW357" s="442">
        <v>215</v>
      </c>
      <c r="AY357" s="52" t="str">
        <f ca="1">IF(AX357="","",INDEX(OFFSET(Arb!$H$2,,,Arb!$AJ$5,),AX357))</f>
        <v/>
      </c>
      <c r="AZ357" s="3" t="str">
        <f t="shared" ca="1" si="101"/>
        <v/>
      </c>
      <c r="BA357" s="165" t="str">
        <f ca="1">IF(AX357="","",INDEX(OFFSET(Arb!$X$2,,,Arb!$AJ$5,),AX357)/AY357)</f>
        <v/>
      </c>
      <c r="BB357" s="165" t="str">
        <f ca="1">IF(AX357="","",(INDEX(OFFSET(Arb!$U$2,,,Arb!$AJ$5,),AX357)+INDEX(OFFSET(Arb!$V$2,,,Arb!$AJ$5,),AX357))/AY357)</f>
        <v/>
      </c>
      <c r="BC357" s="51" t="str">
        <f t="shared" ca="1" si="111"/>
        <v/>
      </c>
      <c r="BD357" s="88" t="str">
        <f ca="1">IF(AX357="","",DATE(INDEX(OFFSET(Arb!$C$2,,,Arb!$AJ$5,),AX357),INDEX(OFFSET(Arb!$B$2,,,Arb!$AJ$5,),AX357),INDEX(OFFSET(Arb!$A$2,,,Arb!$AJ$5,),AX357))+ROW()*0.001)</f>
        <v/>
      </c>
      <c r="BE357" s="436">
        <v>215</v>
      </c>
      <c r="BG357" s="52" t="str">
        <f ca="1">IF(BF357="","",INDEX(OFFSET(Arb!$H$2,,,Arb!$AJ$5,),BF357))</f>
        <v/>
      </c>
      <c r="BH357" s="3" t="str">
        <f t="shared" ca="1" si="102"/>
        <v/>
      </c>
      <c r="BI357" s="165" t="str">
        <f ca="1">IF(BF357="","",INDEX(OFFSET(Arb!$X$2,,,Arb!$AJ$5,),BF357)/BG357)</f>
        <v/>
      </c>
      <c r="BJ357" s="165" t="str">
        <f ca="1">IF(BF357="","",(INDEX(OFFSET(Arb!$U$2,,,Arb!$AJ$5,),BF357)+INDEX(OFFSET(Arb!$V$2,,,Arb!$AJ$5,),BF357))/BG357)</f>
        <v/>
      </c>
      <c r="BK357" s="51" t="str">
        <f t="shared" ca="1" si="112"/>
        <v/>
      </c>
      <c r="BL357" s="91" t="str">
        <f ca="1">IF(BF357="","",DATE(INDEX(OFFSET(Arb!$C$2,,,Arb!$AJ$5,),BF357),INDEX(OFFSET(Arb!$B$2,,,Arb!$AJ$5,),BF357),INDEX(OFFSET(Arb!$A$2,,,Arb!$AJ$5,),BF357))+ROW()*0.001)</f>
        <v/>
      </c>
      <c r="BM357" s="442">
        <v>215</v>
      </c>
      <c r="BO357" s="52" t="str">
        <f ca="1">IF(BN357="","",INDEX(OFFSET(Arb!$H$2,,,Arb!$AJ$5,),BN357))</f>
        <v/>
      </c>
      <c r="BP357" s="3" t="str">
        <f t="shared" ca="1" si="103"/>
        <v/>
      </c>
      <c r="BQ357" s="165" t="str">
        <f ca="1">IF(BN357="","",INDEX(OFFSET(Arb!$X$2,,,Arb!$AJ$5,),BN357)/BO357)</f>
        <v/>
      </c>
      <c r="BR357" s="165" t="str">
        <f ca="1">IF(BN357="","",(INDEX(OFFSET(Arb!$U$2,,,Arb!$AJ$5,),BN357)+INDEX(OFFSET(Arb!$V$2,,,Arb!$AJ$5,),BN357))/BO357)</f>
        <v/>
      </c>
      <c r="BS357" s="51" t="str">
        <f t="shared" ca="1" si="113"/>
        <v/>
      </c>
      <c r="BT357" s="88" t="str">
        <f ca="1">IF(BN357="","",DATE(INDEX(OFFSET(Arb!$C$2,,,Arb!$AJ$5,),BN357),INDEX(OFFSET(Arb!$B$2,,,Arb!$AJ$5,),BN357),INDEX(OFFSET(Arb!$A$2,,,Arb!$AJ$5,),BN357))+ROW()*0.001)</f>
        <v/>
      </c>
      <c r="BU357" s="436">
        <v>215</v>
      </c>
      <c r="BW357" s="52" t="str">
        <f ca="1">IF(BV357="","",INDEX(OFFSET(Arb!$H$2,,,Arb!$AJ$5,),BV357))</f>
        <v/>
      </c>
      <c r="BX357" s="3" t="str">
        <f t="shared" ca="1" si="104"/>
        <v/>
      </c>
      <c r="BY357" s="165" t="str">
        <f ca="1">IF(BV357="","",INDEX(OFFSET(Arb!$X$2,,,Arb!$AJ$5,),BV357)/BW357)</f>
        <v/>
      </c>
      <c r="BZ357" s="165" t="str">
        <f ca="1">IF(BV357="","",(INDEX(OFFSET(Arb!$U$2,,,Arb!$AJ$5,),BV357)+INDEX(OFFSET(Arb!$V$2,,,Arb!$AJ$5,),BV357))/BW357)</f>
        <v/>
      </c>
      <c r="CA357" s="51" t="str">
        <f t="shared" ca="1" si="114"/>
        <v/>
      </c>
      <c r="CB357" s="91" t="str">
        <f ca="1">IF(BV357="","",DATE(INDEX(OFFSET(Arb!$C$2,,,Arb!$AJ$5,),BV357),INDEX(OFFSET(Arb!$B$2,,,Arb!$AJ$5,),BV357),INDEX(OFFSET(Arb!$A$2,,,Arb!$AJ$5,),BV357))+ROW()*0.001)</f>
        <v/>
      </c>
    </row>
    <row r="358" spans="1:80" x14ac:dyDescent="0.25">
      <c r="A358" s="433">
        <v>216</v>
      </c>
      <c r="B358" s="1">
        <v>2788</v>
      </c>
      <c r="C358" s="52">
        <f ca="1">IF(B358="","",INDEX(OFFSET(Arb!$H$2,,,Arb!$AJ$5,),B358))</f>
        <v>82.09</v>
      </c>
      <c r="D358" s="3">
        <f t="shared" ca="1" si="95"/>
        <v>2.6312583749543181</v>
      </c>
      <c r="E358" s="165">
        <f ca="1">IF(B358="","",INDEX(OFFSET(Arb!$X$2,,,Arb!$AJ$5,),B358)/C358)</f>
        <v>3.0088926787672068</v>
      </c>
      <c r="F358" s="165">
        <f ca="1">IF(B358="","",(INDEX(OFFSET(Arb!$U$2,,,Arb!$AJ$5,),B358)+INDEX(OFFSET(Arb!$V$2,,,Arb!$AJ$5,),B358))/C358)</f>
        <v>3.2647094652210988</v>
      </c>
      <c r="G358" s="51">
        <f t="shared" ca="1" si="105"/>
        <v>52.317932336644859</v>
      </c>
      <c r="H358" s="355">
        <f ca="1">IF(B358="","",DATE(INDEX(OFFSET(Arb!$C$2,,,Arb!$AJ$5,),B358),INDEX(OFFSET(Arb!$B$2,,,Arb!$AJ$5,),B358),INDEX(OFFSET(Arb!$A$2,,,Arb!$AJ$5,),B358))+ROW()*0.001)</f>
        <v>43892.358</v>
      </c>
      <c r="I358" s="436">
        <v>216</v>
      </c>
      <c r="J358" s="1">
        <v>3305</v>
      </c>
      <c r="K358" s="52">
        <f ca="1">IF(J358="","",INDEX(OFFSET(Arb!$H$2,,,Arb!$AJ$5,),J358))</f>
        <v>84.96</v>
      </c>
      <c r="L358" s="3">
        <f t="shared" ca="1" si="96"/>
        <v>2.5423728813559325</v>
      </c>
      <c r="M358" s="165">
        <f ca="1">IF(J358="","",INDEX(OFFSET(Arb!$X$2,,,Arb!$AJ$5,),J358)/K358)</f>
        <v>2.9661016949152543</v>
      </c>
      <c r="N358" s="165">
        <f ca="1">IF(J358="","",(INDEX(OFFSET(Arb!$U$2,,,Arb!$AJ$5,),J358)+INDEX(OFFSET(Arb!$V$2,,,Arb!$AJ$5,),J358))/K358)</f>
        <v>3.2485875706214693</v>
      </c>
      <c r="O358" s="51">
        <f t="shared" ca="1" si="106"/>
        <v>49.34911289247809</v>
      </c>
      <c r="P358" s="91">
        <f ca="1">IF(J358="","",DATE(INDEX(OFFSET(Arb!$C$2,,,Arb!$AJ$5,),J358),INDEX(OFFSET(Arb!$B$2,,,Arb!$AJ$5,),J358),INDEX(OFFSET(Arb!$A$2,,,Arb!$AJ$5,),J358))+ROW()*0.001)</f>
        <v>44092.358</v>
      </c>
      <c r="Q358" s="442">
        <v>216</v>
      </c>
      <c r="R358" s="1">
        <v>3043</v>
      </c>
      <c r="S358" s="52">
        <f ca="1">IF(R358="","",INDEX(OFFSET(Arb!$H$2,,,Arb!$AJ$5,),R358))</f>
        <v>85.11</v>
      </c>
      <c r="T358" s="3">
        <f t="shared" ca="1" si="97"/>
        <v>2.5378921395840677</v>
      </c>
      <c r="U358" s="165">
        <f ca="1">IF(R358="","",INDEX(OFFSET(Arb!$X$2,,,Arb!$AJ$5,),R358)/S358)</f>
        <v>2.9138761602631886</v>
      </c>
      <c r="V358" s="165">
        <f ca="1">IF(R358="","",(INDEX(OFFSET(Arb!$U$2,,,Arb!$AJ$5,),R358)+INDEX(OFFSET(Arb!$V$2,,,Arb!$AJ$5,),R358))/S358)</f>
        <v>3.2781106802960873</v>
      </c>
      <c r="W358" s="51">
        <f t="shared" ca="1" si="107"/>
        <v>49.201348117728287</v>
      </c>
      <c r="X358" s="88">
        <f ca="1">IF(R358="","",DATE(INDEX(OFFSET(Arb!$C$2,,,Arb!$AJ$5,),R358),INDEX(OFFSET(Arb!$B$2,,,Arb!$AJ$5,),R358),INDEX(OFFSET(Arb!$A$2,,,Arb!$AJ$5,),R358))+ROW()*0.001)</f>
        <v>43980.358</v>
      </c>
      <c r="Y358" s="436">
        <v>216</v>
      </c>
      <c r="AA358" s="52" t="str">
        <f ca="1">IF(Z358="","",INDEX(OFFSET(Arb!$H$2,,,Arb!$AJ$5,),Z358))</f>
        <v/>
      </c>
      <c r="AB358" s="3" t="str">
        <f t="shared" ca="1" si="98"/>
        <v/>
      </c>
      <c r="AC358" s="165" t="str">
        <f ca="1">IF(Z358="","",INDEX(OFFSET(Arb!$X$2,,,Arb!$AJ$5,),Z358)/AA358)</f>
        <v/>
      </c>
      <c r="AD358" s="165" t="str">
        <f ca="1">IF(Z358="","",(INDEX(OFFSET(Arb!$U$2,,,Arb!$AJ$5,),Z358)+INDEX(OFFSET(Arb!$V$2,,,Arb!$AJ$5,),Z358))/AA358)</f>
        <v/>
      </c>
      <c r="AE358" s="51" t="str">
        <f t="shared" ca="1" si="108"/>
        <v/>
      </c>
      <c r="AF358" s="91" t="str">
        <f ca="1">IF(Z358="","",DATE(INDEX(OFFSET(Arb!$C$2,,,Arb!$AJ$5,),Z358),INDEX(OFFSET(Arb!$B$2,,,Arb!$AJ$5,),Z358),INDEX(OFFSET(Arb!$A$2,,,Arb!$AJ$5,),Z358))+ROW()*0.001)</f>
        <v/>
      </c>
      <c r="AG358" s="442">
        <v>216</v>
      </c>
      <c r="AI358" s="52" t="str">
        <f ca="1">IF(AH358="","",INDEX(OFFSET(Arb!$H$2,,,Arb!$AJ$5,),AH358))</f>
        <v/>
      </c>
      <c r="AJ358" s="3" t="str">
        <f t="shared" ca="1" si="99"/>
        <v/>
      </c>
      <c r="AK358" s="165" t="str">
        <f ca="1">IF(AH358="","",INDEX(OFFSET(Arb!$X$2,,,Arb!$AJ$5,),AH358)/AI358)</f>
        <v/>
      </c>
      <c r="AL358" s="165" t="str">
        <f ca="1">IF(AH358="","",(INDEX(OFFSET(Arb!$U$2,,,Arb!$AJ$5,),AH358)+INDEX(OFFSET(Arb!$V$2,,,Arb!$AJ$5,),AH358))/AI358)</f>
        <v/>
      </c>
      <c r="AM358" s="51" t="str">
        <f t="shared" ca="1" si="109"/>
        <v/>
      </c>
      <c r="AN358" s="88" t="str">
        <f ca="1">IF(AH358="","",DATE(INDEX(OFFSET(Arb!$C$2,,,Arb!$AJ$5,),AH358),INDEX(OFFSET(Arb!$B$2,,,Arb!$AJ$5,),AH358),INDEX(OFFSET(Arb!$A$2,,,Arb!$AJ$5,),AH358))+ROW()*0.001)</f>
        <v/>
      </c>
      <c r="AO358" s="436">
        <v>216</v>
      </c>
      <c r="AQ358" s="52" t="str">
        <f ca="1">IF(AP358="","",INDEX(OFFSET(Arb!$H$2,,,Arb!$AJ$5,),AP358))</f>
        <v/>
      </c>
      <c r="AR358" s="3" t="str">
        <f t="shared" ca="1" si="100"/>
        <v/>
      </c>
      <c r="AS358" s="165" t="str">
        <f ca="1">IF(AP358="","",INDEX(OFFSET(Arb!$X$2,,,Arb!$AJ$5,),AP358)/AQ358)</f>
        <v/>
      </c>
      <c r="AT358" s="165" t="str">
        <f ca="1">IF(AP358="","",(INDEX(OFFSET(Arb!$U$2,,,Arb!$AJ$5,),AP358)+INDEX(OFFSET(Arb!$V$2,,,Arb!$AJ$5,),AP358))/AQ358)</f>
        <v/>
      </c>
      <c r="AU358" s="51" t="str">
        <f t="shared" ca="1" si="110"/>
        <v/>
      </c>
      <c r="AV358" s="91" t="str">
        <f ca="1">IF(AP358="","",DATE(INDEX(OFFSET(Arb!$C$2,,,Arb!$AJ$5,),AP358),INDEX(OFFSET(Arb!$B$2,,,Arb!$AJ$5,),AP358),INDEX(OFFSET(Arb!$A$2,,,Arb!$AJ$5,),AP358))+ROW()*0.001)</f>
        <v/>
      </c>
      <c r="AW358" s="442">
        <v>216</v>
      </c>
      <c r="AY358" s="52" t="str">
        <f ca="1">IF(AX358="","",INDEX(OFFSET(Arb!$H$2,,,Arb!$AJ$5,),AX358))</f>
        <v/>
      </c>
      <c r="AZ358" s="3" t="str">
        <f t="shared" ca="1" si="101"/>
        <v/>
      </c>
      <c r="BA358" s="165" t="str">
        <f ca="1">IF(AX358="","",INDEX(OFFSET(Arb!$X$2,,,Arb!$AJ$5,),AX358)/AY358)</f>
        <v/>
      </c>
      <c r="BB358" s="165" t="str">
        <f ca="1">IF(AX358="","",(INDEX(OFFSET(Arb!$U$2,,,Arb!$AJ$5,),AX358)+INDEX(OFFSET(Arb!$V$2,,,Arb!$AJ$5,),AX358))/AY358)</f>
        <v/>
      </c>
      <c r="BC358" s="51" t="str">
        <f t="shared" ca="1" si="111"/>
        <v/>
      </c>
      <c r="BD358" s="88" t="str">
        <f ca="1">IF(AX358="","",DATE(INDEX(OFFSET(Arb!$C$2,,,Arb!$AJ$5,),AX358),INDEX(OFFSET(Arb!$B$2,,,Arb!$AJ$5,),AX358),INDEX(OFFSET(Arb!$A$2,,,Arb!$AJ$5,),AX358))+ROW()*0.001)</f>
        <v/>
      </c>
      <c r="BE358" s="436">
        <v>216</v>
      </c>
      <c r="BG358" s="52" t="str">
        <f ca="1">IF(BF358="","",INDEX(OFFSET(Arb!$H$2,,,Arb!$AJ$5,),BF358))</f>
        <v/>
      </c>
      <c r="BH358" s="3" t="str">
        <f t="shared" ca="1" si="102"/>
        <v/>
      </c>
      <c r="BI358" s="165" t="str">
        <f ca="1">IF(BF358="","",INDEX(OFFSET(Arb!$X$2,,,Arb!$AJ$5,),BF358)/BG358)</f>
        <v/>
      </c>
      <c r="BJ358" s="165" t="str">
        <f ca="1">IF(BF358="","",(INDEX(OFFSET(Arb!$U$2,,,Arb!$AJ$5,),BF358)+INDEX(OFFSET(Arb!$V$2,,,Arb!$AJ$5,),BF358))/BG358)</f>
        <v/>
      </c>
      <c r="BK358" s="51" t="str">
        <f t="shared" ca="1" si="112"/>
        <v/>
      </c>
      <c r="BL358" s="91" t="str">
        <f ca="1">IF(BF358="","",DATE(INDEX(OFFSET(Arb!$C$2,,,Arb!$AJ$5,),BF358),INDEX(OFFSET(Arb!$B$2,,,Arb!$AJ$5,),BF358),INDEX(OFFSET(Arb!$A$2,,,Arb!$AJ$5,),BF358))+ROW()*0.001)</f>
        <v/>
      </c>
      <c r="BM358" s="442">
        <v>216</v>
      </c>
      <c r="BO358" s="52" t="str">
        <f ca="1">IF(BN358="","",INDEX(OFFSET(Arb!$H$2,,,Arb!$AJ$5,),BN358))</f>
        <v/>
      </c>
      <c r="BP358" s="3" t="str">
        <f t="shared" ca="1" si="103"/>
        <v/>
      </c>
      <c r="BQ358" s="165" t="str">
        <f ca="1">IF(BN358="","",INDEX(OFFSET(Arb!$X$2,,,Arb!$AJ$5,),BN358)/BO358)</f>
        <v/>
      </c>
      <c r="BR358" s="165" t="str">
        <f ca="1">IF(BN358="","",(INDEX(OFFSET(Arb!$U$2,,,Arb!$AJ$5,),BN358)+INDEX(OFFSET(Arb!$V$2,,,Arb!$AJ$5,),BN358))/BO358)</f>
        <v/>
      </c>
      <c r="BS358" s="51" t="str">
        <f t="shared" ca="1" si="113"/>
        <v/>
      </c>
      <c r="BT358" s="88" t="str">
        <f ca="1">IF(BN358="","",DATE(INDEX(OFFSET(Arb!$C$2,,,Arb!$AJ$5,),BN358),INDEX(OFFSET(Arb!$B$2,,,Arb!$AJ$5,),BN358),INDEX(OFFSET(Arb!$A$2,,,Arb!$AJ$5,),BN358))+ROW()*0.001)</f>
        <v/>
      </c>
      <c r="BU358" s="436">
        <v>216</v>
      </c>
      <c r="BW358" s="52" t="str">
        <f ca="1">IF(BV358="","",INDEX(OFFSET(Arb!$H$2,,,Arb!$AJ$5,),BV358))</f>
        <v/>
      </c>
      <c r="BX358" s="3" t="str">
        <f t="shared" ca="1" si="104"/>
        <v/>
      </c>
      <c r="BY358" s="165" t="str">
        <f ca="1">IF(BV358="","",INDEX(OFFSET(Arb!$X$2,,,Arb!$AJ$5,),BV358)/BW358)</f>
        <v/>
      </c>
      <c r="BZ358" s="165" t="str">
        <f ca="1">IF(BV358="","",(INDEX(OFFSET(Arb!$U$2,,,Arb!$AJ$5,),BV358)+INDEX(OFFSET(Arb!$V$2,,,Arb!$AJ$5,),BV358))/BW358)</f>
        <v/>
      </c>
      <c r="CA358" s="51" t="str">
        <f t="shared" ca="1" si="114"/>
        <v/>
      </c>
      <c r="CB358" s="91" t="str">
        <f ca="1">IF(BV358="","",DATE(INDEX(OFFSET(Arb!$C$2,,,Arb!$AJ$5,),BV358),INDEX(OFFSET(Arb!$B$2,,,Arb!$AJ$5,),BV358),INDEX(OFFSET(Arb!$A$2,,,Arb!$AJ$5,),BV358))+ROW()*0.001)</f>
        <v/>
      </c>
    </row>
    <row r="359" spans="1:80" x14ac:dyDescent="0.25">
      <c r="A359" s="433">
        <v>217</v>
      </c>
      <c r="B359" s="1">
        <v>2597</v>
      </c>
      <c r="C359" s="52">
        <f ca="1">IF(B359="","",INDEX(OFFSET(Arb!$H$2,,,Arb!$AJ$5,),B359))</f>
        <v>94.98</v>
      </c>
      <c r="D359" s="3">
        <f t="shared" ca="1" si="95"/>
        <v>2.2846915140029478</v>
      </c>
      <c r="E359" s="165">
        <f ca="1">IF(B359="","",INDEX(OFFSET(Arb!$X$2,,,Arb!$AJ$5,),B359)/C359)</f>
        <v>2.7479469361970938</v>
      </c>
      <c r="F359" s="165">
        <f ca="1">IF(B359="","",(INDEX(OFFSET(Arb!$U$2,,,Arb!$AJ$5,),B359)+INDEX(OFFSET(Arb!$V$2,,,Arb!$AJ$5,),B359))/C359)</f>
        <v>3.0532743735523269</v>
      </c>
      <c r="G359" s="51">
        <f t="shared" ca="1" si="105"/>
        <v>41.018078156586945</v>
      </c>
      <c r="H359" s="355">
        <f ca="1">IF(B359="","",DATE(INDEX(OFFSET(Arb!$C$2,,,Arb!$AJ$5,),B359),INDEX(OFFSET(Arb!$B$2,,,Arb!$AJ$5,),B359),INDEX(OFFSET(Arb!$A$2,,,Arb!$AJ$5,),B359))+ROW()*0.001)</f>
        <v>43807.358999999997</v>
      </c>
      <c r="I359" s="436">
        <v>217</v>
      </c>
      <c r="K359" s="52" t="str">
        <f ca="1">IF(J359="","",INDEX(OFFSET(Arb!$H$2,,,Arb!$AJ$5,),J359))</f>
        <v/>
      </c>
      <c r="L359" s="3" t="str">
        <f t="shared" ca="1" si="96"/>
        <v/>
      </c>
      <c r="M359" s="165" t="str">
        <f ca="1">IF(J359="","",INDEX(OFFSET(Arb!$X$2,,,Arb!$AJ$5,),J359)/K359)</f>
        <v/>
      </c>
      <c r="N359" s="165" t="str">
        <f ca="1">IF(J359="","",(INDEX(OFFSET(Arb!$U$2,,,Arb!$AJ$5,),J359)+INDEX(OFFSET(Arb!$V$2,,,Arb!$AJ$5,),J359))/K359)</f>
        <v/>
      </c>
      <c r="O359" s="51" t="str">
        <f t="shared" ca="1" si="106"/>
        <v/>
      </c>
      <c r="P359" s="91" t="str">
        <f ca="1">IF(J359="","",DATE(INDEX(OFFSET(Arb!$C$2,,,Arb!$AJ$5,),J359),INDEX(OFFSET(Arb!$B$2,,,Arb!$AJ$5,),J359),INDEX(OFFSET(Arb!$A$2,,,Arb!$AJ$5,),J359))+ROW()*0.001)</f>
        <v/>
      </c>
      <c r="Q359" s="442">
        <v>217</v>
      </c>
      <c r="S359" s="52" t="str">
        <f ca="1">IF(R359="","",INDEX(OFFSET(Arb!$H$2,,,Arb!$AJ$5,),R359))</f>
        <v/>
      </c>
      <c r="T359" s="3" t="str">
        <f t="shared" ca="1" si="97"/>
        <v/>
      </c>
      <c r="U359" s="165" t="str">
        <f ca="1">IF(R359="","",INDEX(OFFSET(Arb!$X$2,,,Arb!$AJ$5,),R359)/S359)</f>
        <v/>
      </c>
      <c r="V359" s="165" t="str">
        <f ca="1">IF(R359="","",(INDEX(OFFSET(Arb!$U$2,,,Arb!$AJ$5,),R359)+INDEX(OFFSET(Arb!$V$2,,,Arb!$AJ$5,),R359))/S359)</f>
        <v/>
      </c>
      <c r="W359" s="51" t="str">
        <f t="shared" ca="1" si="107"/>
        <v/>
      </c>
      <c r="X359" s="88" t="str">
        <f ca="1">IF(R359="","",DATE(INDEX(OFFSET(Arb!$C$2,,,Arb!$AJ$5,),R359),INDEX(OFFSET(Arb!$B$2,,,Arb!$AJ$5,),R359),INDEX(OFFSET(Arb!$A$2,,,Arb!$AJ$5,),R359))+ROW()*0.001)</f>
        <v/>
      </c>
      <c r="Y359" s="436">
        <v>217</v>
      </c>
      <c r="AA359" s="52" t="str">
        <f ca="1">IF(Z359="","",INDEX(OFFSET(Arb!$H$2,,,Arb!$AJ$5,),Z359))</f>
        <v/>
      </c>
      <c r="AB359" s="3" t="str">
        <f t="shared" ca="1" si="98"/>
        <v/>
      </c>
      <c r="AC359" s="165" t="str">
        <f ca="1">IF(Z359="","",INDEX(OFFSET(Arb!$X$2,,,Arb!$AJ$5,),Z359)/AA359)</f>
        <v/>
      </c>
      <c r="AD359" s="165" t="str">
        <f ca="1">IF(Z359="","",(INDEX(OFFSET(Arb!$U$2,,,Arb!$AJ$5,),Z359)+INDEX(OFFSET(Arb!$V$2,,,Arb!$AJ$5,),Z359))/AA359)</f>
        <v/>
      </c>
      <c r="AE359" s="51" t="str">
        <f t="shared" ca="1" si="108"/>
        <v/>
      </c>
      <c r="AF359" s="91" t="str">
        <f ca="1">IF(Z359="","",DATE(INDEX(OFFSET(Arb!$C$2,,,Arb!$AJ$5,),Z359),INDEX(OFFSET(Arb!$B$2,,,Arb!$AJ$5,),Z359),INDEX(OFFSET(Arb!$A$2,,,Arb!$AJ$5,),Z359))+ROW()*0.001)</f>
        <v/>
      </c>
      <c r="AG359" s="442">
        <v>217</v>
      </c>
      <c r="AI359" s="52" t="str">
        <f ca="1">IF(AH359="","",INDEX(OFFSET(Arb!$H$2,,,Arb!$AJ$5,),AH359))</f>
        <v/>
      </c>
      <c r="AJ359" s="3" t="str">
        <f t="shared" ca="1" si="99"/>
        <v/>
      </c>
      <c r="AK359" s="165" t="str">
        <f ca="1">IF(AH359="","",INDEX(OFFSET(Arb!$X$2,,,Arb!$AJ$5,),AH359)/AI359)</f>
        <v/>
      </c>
      <c r="AL359" s="165" t="str">
        <f ca="1">IF(AH359="","",(INDEX(OFFSET(Arb!$U$2,,,Arb!$AJ$5,),AH359)+INDEX(OFFSET(Arb!$V$2,,,Arb!$AJ$5,),AH359))/AI359)</f>
        <v/>
      </c>
      <c r="AM359" s="51" t="str">
        <f t="shared" ca="1" si="109"/>
        <v/>
      </c>
      <c r="AN359" s="88" t="str">
        <f ca="1">IF(AH359="","",DATE(INDEX(OFFSET(Arb!$C$2,,,Arb!$AJ$5,),AH359),INDEX(OFFSET(Arb!$B$2,,,Arb!$AJ$5,),AH359),INDEX(OFFSET(Arb!$A$2,,,Arb!$AJ$5,),AH359))+ROW()*0.001)</f>
        <v/>
      </c>
      <c r="AO359" s="436">
        <v>217</v>
      </c>
      <c r="AQ359" s="52" t="str">
        <f ca="1">IF(AP359="","",INDEX(OFFSET(Arb!$H$2,,,Arb!$AJ$5,),AP359))</f>
        <v/>
      </c>
      <c r="AR359" s="3" t="str">
        <f t="shared" ca="1" si="100"/>
        <v/>
      </c>
      <c r="AS359" s="165" t="str">
        <f ca="1">IF(AP359="","",INDEX(OFFSET(Arb!$X$2,,,Arb!$AJ$5,),AP359)/AQ359)</f>
        <v/>
      </c>
      <c r="AT359" s="165" t="str">
        <f ca="1">IF(AP359="","",(INDEX(OFFSET(Arb!$U$2,,,Arb!$AJ$5,),AP359)+INDEX(OFFSET(Arb!$V$2,,,Arb!$AJ$5,),AP359))/AQ359)</f>
        <v/>
      </c>
      <c r="AU359" s="51" t="str">
        <f t="shared" ca="1" si="110"/>
        <v/>
      </c>
      <c r="AV359" s="91" t="str">
        <f ca="1">IF(AP359="","",DATE(INDEX(OFFSET(Arb!$C$2,,,Arb!$AJ$5,),AP359),INDEX(OFFSET(Arb!$B$2,,,Arb!$AJ$5,),AP359),INDEX(OFFSET(Arb!$A$2,,,Arb!$AJ$5,),AP359))+ROW()*0.001)</f>
        <v/>
      </c>
      <c r="AW359" s="442">
        <v>217</v>
      </c>
      <c r="AY359" s="52" t="str">
        <f ca="1">IF(AX359="","",INDEX(OFFSET(Arb!$H$2,,,Arb!$AJ$5,),AX359))</f>
        <v/>
      </c>
      <c r="AZ359" s="3" t="str">
        <f t="shared" ca="1" si="101"/>
        <v/>
      </c>
      <c r="BA359" s="165" t="str">
        <f ca="1">IF(AX359="","",INDEX(OFFSET(Arb!$X$2,,,Arb!$AJ$5,),AX359)/AY359)</f>
        <v/>
      </c>
      <c r="BB359" s="165" t="str">
        <f ca="1">IF(AX359="","",(INDEX(OFFSET(Arb!$U$2,,,Arb!$AJ$5,),AX359)+INDEX(OFFSET(Arb!$V$2,,,Arb!$AJ$5,),AX359))/AY359)</f>
        <v/>
      </c>
      <c r="BC359" s="51" t="str">
        <f t="shared" ca="1" si="111"/>
        <v/>
      </c>
      <c r="BD359" s="88" t="str">
        <f ca="1">IF(AX359="","",DATE(INDEX(OFFSET(Arb!$C$2,,,Arb!$AJ$5,),AX359),INDEX(OFFSET(Arb!$B$2,,,Arb!$AJ$5,),AX359),INDEX(OFFSET(Arb!$A$2,,,Arb!$AJ$5,),AX359))+ROW()*0.001)</f>
        <v/>
      </c>
      <c r="BE359" s="436">
        <v>217</v>
      </c>
      <c r="BG359" s="52" t="str">
        <f ca="1">IF(BF359="","",INDEX(OFFSET(Arb!$H$2,,,Arb!$AJ$5,),BF359))</f>
        <v/>
      </c>
      <c r="BH359" s="3" t="str">
        <f t="shared" ca="1" si="102"/>
        <v/>
      </c>
      <c r="BI359" s="165" t="str">
        <f ca="1">IF(BF359="","",INDEX(OFFSET(Arb!$X$2,,,Arb!$AJ$5,),BF359)/BG359)</f>
        <v/>
      </c>
      <c r="BJ359" s="165" t="str">
        <f ca="1">IF(BF359="","",(INDEX(OFFSET(Arb!$U$2,,,Arb!$AJ$5,),BF359)+INDEX(OFFSET(Arb!$V$2,,,Arb!$AJ$5,),BF359))/BG359)</f>
        <v/>
      </c>
      <c r="BK359" s="51" t="str">
        <f t="shared" ca="1" si="112"/>
        <v/>
      </c>
      <c r="BL359" s="91" t="str">
        <f ca="1">IF(BF359="","",DATE(INDEX(OFFSET(Arb!$C$2,,,Arb!$AJ$5,),BF359),INDEX(OFFSET(Arb!$B$2,,,Arb!$AJ$5,),BF359),INDEX(OFFSET(Arb!$A$2,,,Arb!$AJ$5,),BF359))+ROW()*0.001)</f>
        <v/>
      </c>
      <c r="BM359" s="442">
        <v>217</v>
      </c>
      <c r="BO359" s="52" t="str">
        <f ca="1">IF(BN359="","",INDEX(OFFSET(Arb!$H$2,,,Arb!$AJ$5,),BN359))</f>
        <v/>
      </c>
      <c r="BP359" s="3" t="str">
        <f t="shared" ca="1" si="103"/>
        <v/>
      </c>
      <c r="BQ359" s="165" t="str">
        <f ca="1">IF(BN359="","",INDEX(OFFSET(Arb!$X$2,,,Arb!$AJ$5,),BN359)/BO359)</f>
        <v/>
      </c>
      <c r="BR359" s="165" t="str">
        <f ca="1">IF(BN359="","",(INDEX(OFFSET(Arb!$U$2,,,Arb!$AJ$5,),BN359)+INDEX(OFFSET(Arb!$V$2,,,Arb!$AJ$5,),BN359))/BO359)</f>
        <v/>
      </c>
      <c r="BS359" s="51" t="str">
        <f t="shared" ca="1" si="113"/>
        <v/>
      </c>
      <c r="BT359" s="88" t="str">
        <f ca="1">IF(BN359="","",DATE(INDEX(OFFSET(Arb!$C$2,,,Arb!$AJ$5,),BN359),INDEX(OFFSET(Arb!$B$2,,,Arb!$AJ$5,),BN359),INDEX(OFFSET(Arb!$A$2,,,Arb!$AJ$5,),BN359))+ROW()*0.001)</f>
        <v/>
      </c>
      <c r="BU359" s="436">
        <v>217</v>
      </c>
      <c r="BW359" s="52" t="str">
        <f ca="1">IF(BV359="","",INDEX(OFFSET(Arb!$H$2,,,Arb!$AJ$5,),BV359))</f>
        <v/>
      </c>
      <c r="BX359" s="3" t="str">
        <f t="shared" ca="1" si="104"/>
        <v/>
      </c>
      <c r="BY359" s="165" t="str">
        <f ca="1">IF(BV359="","",INDEX(OFFSET(Arb!$X$2,,,Arb!$AJ$5,),BV359)/BW359)</f>
        <v/>
      </c>
      <c r="BZ359" s="165" t="str">
        <f ca="1">IF(BV359="","",(INDEX(OFFSET(Arb!$U$2,,,Arb!$AJ$5,),BV359)+INDEX(OFFSET(Arb!$V$2,,,Arb!$AJ$5,),BV359))/BW359)</f>
        <v/>
      </c>
      <c r="CA359" s="51" t="str">
        <f t="shared" ca="1" si="114"/>
        <v/>
      </c>
      <c r="CB359" s="91" t="str">
        <f ca="1">IF(BV359="","",DATE(INDEX(OFFSET(Arb!$C$2,,,Arb!$AJ$5,),BV359),INDEX(OFFSET(Arb!$B$2,,,Arb!$AJ$5,),BV359),INDEX(OFFSET(Arb!$A$2,,,Arb!$AJ$5,),BV359))+ROW()*0.001)</f>
        <v/>
      </c>
    </row>
    <row r="360" spans="1:80" x14ac:dyDescent="0.25">
      <c r="A360" s="433">
        <v>218</v>
      </c>
      <c r="B360" s="1">
        <v>3275</v>
      </c>
      <c r="C360" s="52">
        <f ca="1">IF(B360="","",INDEX(OFFSET(Arb!$H$2,,,Arb!$AJ$5,),B360))</f>
        <v>82.84</v>
      </c>
      <c r="D360" s="3">
        <f t="shared" ca="1" si="95"/>
        <v>2.6315789473684208</v>
      </c>
      <c r="E360" s="165">
        <f ca="1">IF(B360="","",INDEX(OFFSET(Arb!$X$2,,,Arb!$AJ$5,),B360)/C360)</f>
        <v>2.9816513761467887</v>
      </c>
      <c r="F360" s="165">
        <f ca="1">IF(B360="","",(INDEX(OFFSET(Arb!$U$2,,,Arb!$AJ$5,),B360)+INDEX(OFFSET(Arb!$V$2,,,Arb!$AJ$5,),B360))/C360)</f>
        <v>3.2592950265572185</v>
      </c>
      <c r="G360" s="51">
        <f t="shared" ca="1" si="105"/>
        <v>51.992248004360704</v>
      </c>
      <c r="H360" s="355">
        <f ca="1">IF(B360="","",DATE(INDEX(OFFSET(Arb!$C$2,,,Arb!$AJ$5,),B360),INDEX(OFFSET(Arb!$B$2,,,Arb!$AJ$5,),B360),INDEX(OFFSET(Arb!$A$2,,,Arb!$AJ$5,),B360))+ROW()*0.001)</f>
        <v>44075.360000000001</v>
      </c>
      <c r="I360" s="436">
        <v>218</v>
      </c>
      <c r="J360" s="1">
        <v>2940</v>
      </c>
      <c r="K360" s="52">
        <f ca="1">IF(J360="","",INDEX(OFFSET(Arb!$H$2,,,Arb!$AJ$5,),J360))</f>
        <v>84.27</v>
      </c>
      <c r="L360" s="3">
        <f t="shared" ca="1" si="96"/>
        <v>2.5869229856413907</v>
      </c>
      <c r="M360" s="165">
        <f ca="1">IF(J360="","",INDEX(OFFSET(Arb!$X$2,,,Arb!$AJ$5,),J360)/K360)</f>
        <v>3.0259878960484161</v>
      </c>
      <c r="N360" s="165">
        <f ca="1">IF(J360="","",(INDEX(OFFSET(Arb!$U$2,,,Arb!$AJ$5,),J360)+INDEX(OFFSET(Arb!$V$2,,,Arb!$AJ$5,),J360))/K360)</f>
        <v>3.370119852853922</v>
      </c>
      <c r="O360" s="51">
        <f t="shared" ca="1" si="106"/>
        <v>50.501311795500257</v>
      </c>
      <c r="P360" s="91">
        <f ca="1">IF(J360="","",DATE(INDEX(OFFSET(Arb!$C$2,,,Arb!$AJ$5,),J360),INDEX(OFFSET(Arb!$B$2,,,Arb!$AJ$5,),J360),INDEX(OFFSET(Arb!$A$2,,,Arb!$AJ$5,),J360))+ROW()*0.001)</f>
        <v>43941.36</v>
      </c>
      <c r="Q360" s="442">
        <v>218</v>
      </c>
      <c r="R360" s="1">
        <v>2742</v>
      </c>
      <c r="S360" s="52">
        <f ca="1">IF(R360="","",INDEX(OFFSET(Arb!$H$2,,,Arb!$AJ$5,),R360))</f>
        <v>89.42</v>
      </c>
      <c r="T360" s="3">
        <f t="shared" ca="1" si="97"/>
        <v>2.4379333482442407</v>
      </c>
      <c r="U360" s="165">
        <f ca="1">IF(R360="","",INDEX(OFFSET(Arb!$X$2,,,Arb!$AJ$5,),R360)/S360)</f>
        <v>2.9747260120778347</v>
      </c>
      <c r="V360" s="165">
        <f ca="1">IF(R360="","",(INDEX(OFFSET(Arb!$U$2,,,Arb!$AJ$5,),R360)+INDEX(OFFSET(Arb!$V$2,,,Arb!$AJ$5,),R360))/S360)</f>
        <v>3.2543055244911652</v>
      </c>
      <c r="W360" s="51">
        <f t="shared" ca="1" si="107"/>
        <v>45.65704686396753</v>
      </c>
      <c r="X360" s="88">
        <f ca="1">IF(R360="","",DATE(INDEX(OFFSET(Arb!$C$2,,,Arb!$AJ$5,),R360),INDEX(OFFSET(Arb!$B$2,,,Arb!$AJ$5,),R360),INDEX(OFFSET(Arb!$A$2,,,Arb!$AJ$5,),R360))+ROW()*0.001)</f>
        <v>43870.36</v>
      </c>
      <c r="Y360" s="436">
        <v>218</v>
      </c>
      <c r="AA360" s="52" t="str">
        <f ca="1">IF(Z360="","",INDEX(OFFSET(Arb!$H$2,,,Arb!$AJ$5,),Z360))</f>
        <v/>
      </c>
      <c r="AB360" s="3" t="str">
        <f t="shared" ca="1" si="98"/>
        <v/>
      </c>
      <c r="AC360" s="165" t="str">
        <f ca="1">IF(Z360="","",INDEX(OFFSET(Arb!$X$2,,,Arb!$AJ$5,),Z360)/AA360)</f>
        <v/>
      </c>
      <c r="AD360" s="165" t="str">
        <f ca="1">IF(Z360="","",(INDEX(OFFSET(Arb!$U$2,,,Arb!$AJ$5,),Z360)+INDEX(OFFSET(Arb!$V$2,,,Arb!$AJ$5,),Z360))/AA360)</f>
        <v/>
      </c>
      <c r="AE360" s="51" t="str">
        <f t="shared" ca="1" si="108"/>
        <v/>
      </c>
      <c r="AF360" s="91" t="str">
        <f ca="1">IF(Z360="","",DATE(INDEX(OFFSET(Arb!$C$2,,,Arb!$AJ$5,),Z360),INDEX(OFFSET(Arb!$B$2,,,Arb!$AJ$5,),Z360),INDEX(OFFSET(Arb!$A$2,,,Arb!$AJ$5,),Z360))+ROW()*0.001)</f>
        <v/>
      </c>
      <c r="AG360" s="442">
        <v>218</v>
      </c>
      <c r="AI360" s="52" t="str">
        <f ca="1">IF(AH360="","",INDEX(OFFSET(Arb!$H$2,,,Arb!$AJ$5,),AH360))</f>
        <v/>
      </c>
      <c r="AJ360" s="3" t="str">
        <f t="shared" ca="1" si="99"/>
        <v/>
      </c>
      <c r="AK360" s="165" t="str">
        <f ca="1">IF(AH360="","",INDEX(OFFSET(Arb!$X$2,,,Arb!$AJ$5,),AH360)/AI360)</f>
        <v/>
      </c>
      <c r="AL360" s="165" t="str">
        <f ca="1">IF(AH360="","",(INDEX(OFFSET(Arb!$U$2,,,Arb!$AJ$5,),AH360)+INDEX(OFFSET(Arb!$V$2,,,Arb!$AJ$5,),AH360))/AI360)</f>
        <v/>
      </c>
      <c r="AM360" s="51" t="str">
        <f t="shared" ca="1" si="109"/>
        <v/>
      </c>
      <c r="AN360" s="88" t="str">
        <f ca="1">IF(AH360="","",DATE(INDEX(OFFSET(Arb!$C$2,,,Arb!$AJ$5,),AH360),INDEX(OFFSET(Arb!$B$2,,,Arb!$AJ$5,),AH360),INDEX(OFFSET(Arb!$A$2,,,Arb!$AJ$5,),AH360))+ROW()*0.001)</f>
        <v/>
      </c>
      <c r="AO360" s="436">
        <v>218</v>
      </c>
      <c r="AQ360" s="52" t="str">
        <f ca="1">IF(AP360="","",INDEX(OFFSET(Arb!$H$2,,,Arb!$AJ$5,),AP360))</f>
        <v/>
      </c>
      <c r="AR360" s="3" t="str">
        <f t="shared" ca="1" si="100"/>
        <v/>
      </c>
      <c r="AS360" s="165" t="str">
        <f ca="1">IF(AP360="","",INDEX(OFFSET(Arb!$X$2,,,Arb!$AJ$5,),AP360)/AQ360)</f>
        <v/>
      </c>
      <c r="AT360" s="165" t="str">
        <f ca="1">IF(AP360="","",(INDEX(OFFSET(Arb!$U$2,,,Arb!$AJ$5,),AP360)+INDEX(OFFSET(Arb!$V$2,,,Arb!$AJ$5,),AP360))/AQ360)</f>
        <v/>
      </c>
      <c r="AU360" s="51" t="str">
        <f t="shared" ca="1" si="110"/>
        <v/>
      </c>
      <c r="AV360" s="91" t="str">
        <f ca="1">IF(AP360="","",DATE(INDEX(OFFSET(Arb!$C$2,,,Arb!$AJ$5,),AP360),INDEX(OFFSET(Arb!$B$2,,,Arb!$AJ$5,),AP360),INDEX(OFFSET(Arb!$A$2,,,Arb!$AJ$5,),AP360))+ROW()*0.001)</f>
        <v/>
      </c>
      <c r="AW360" s="442">
        <v>218</v>
      </c>
      <c r="AY360" s="52" t="str">
        <f ca="1">IF(AX360="","",INDEX(OFFSET(Arb!$H$2,,,Arb!$AJ$5,),AX360))</f>
        <v/>
      </c>
      <c r="AZ360" s="3" t="str">
        <f t="shared" ca="1" si="101"/>
        <v/>
      </c>
      <c r="BA360" s="165" t="str">
        <f ca="1">IF(AX360="","",INDEX(OFFSET(Arb!$X$2,,,Arb!$AJ$5,),AX360)/AY360)</f>
        <v/>
      </c>
      <c r="BB360" s="165" t="str">
        <f ca="1">IF(AX360="","",(INDEX(OFFSET(Arb!$U$2,,,Arb!$AJ$5,),AX360)+INDEX(OFFSET(Arb!$V$2,,,Arb!$AJ$5,),AX360))/AY360)</f>
        <v/>
      </c>
      <c r="BC360" s="51" t="str">
        <f t="shared" ca="1" si="111"/>
        <v/>
      </c>
      <c r="BD360" s="88" t="str">
        <f ca="1">IF(AX360="","",DATE(INDEX(OFFSET(Arb!$C$2,,,Arb!$AJ$5,),AX360),INDEX(OFFSET(Arb!$B$2,,,Arb!$AJ$5,),AX360),INDEX(OFFSET(Arb!$A$2,,,Arb!$AJ$5,),AX360))+ROW()*0.001)</f>
        <v/>
      </c>
      <c r="BE360" s="436">
        <v>218</v>
      </c>
      <c r="BG360" s="52" t="str">
        <f ca="1">IF(BF360="","",INDEX(OFFSET(Arb!$H$2,,,Arb!$AJ$5,),BF360))</f>
        <v/>
      </c>
      <c r="BH360" s="3" t="str">
        <f t="shared" ca="1" si="102"/>
        <v/>
      </c>
      <c r="BI360" s="165" t="str">
        <f ca="1">IF(BF360="","",INDEX(OFFSET(Arb!$X$2,,,Arb!$AJ$5,),BF360)/BG360)</f>
        <v/>
      </c>
      <c r="BJ360" s="165" t="str">
        <f ca="1">IF(BF360="","",(INDEX(OFFSET(Arb!$U$2,,,Arb!$AJ$5,),BF360)+INDEX(OFFSET(Arb!$V$2,,,Arb!$AJ$5,),BF360))/BG360)</f>
        <v/>
      </c>
      <c r="BK360" s="51" t="str">
        <f t="shared" ca="1" si="112"/>
        <v/>
      </c>
      <c r="BL360" s="91" t="str">
        <f ca="1">IF(BF360="","",DATE(INDEX(OFFSET(Arb!$C$2,,,Arb!$AJ$5,),BF360),INDEX(OFFSET(Arb!$B$2,,,Arb!$AJ$5,),BF360),INDEX(OFFSET(Arb!$A$2,,,Arb!$AJ$5,),BF360))+ROW()*0.001)</f>
        <v/>
      </c>
      <c r="BM360" s="442">
        <v>218</v>
      </c>
      <c r="BO360" s="52" t="str">
        <f ca="1">IF(BN360="","",INDEX(OFFSET(Arb!$H$2,,,Arb!$AJ$5,),BN360))</f>
        <v/>
      </c>
      <c r="BP360" s="3" t="str">
        <f t="shared" ca="1" si="103"/>
        <v/>
      </c>
      <c r="BQ360" s="165" t="str">
        <f ca="1">IF(BN360="","",INDEX(OFFSET(Arb!$X$2,,,Arb!$AJ$5,),BN360)/BO360)</f>
        <v/>
      </c>
      <c r="BR360" s="165" t="str">
        <f ca="1">IF(BN360="","",(INDEX(OFFSET(Arb!$U$2,,,Arb!$AJ$5,),BN360)+INDEX(OFFSET(Arb!$V$2,,,Arb!$AJ$5,),BN360))/BO360)</f>
        <v/>
      </c>
      <c r="BS360" s="51" t="str">
        <f t="shared" ca="1" si="113"/>
        <v/>
      </c>
      <c r="BT360" s="88" t="str">
        <f ca="1">IF(BN360="","",DATE(INDEX(OFFSET(Arb!$C$2,,,Arb!$AJ$5,),BN360),INDEX(OFFSET(Arb!$B$2,,,Arb!$AJ$5,),BN360),INDEX(OFFSET(Arb!$A$2,,,Arb!$AJ$5,),BN360))+ROW()*0.001)</f>
        <v/>
      </c>
      <c r="BU360" s="436">
        <v>218</v>
      </c>
      <c r="BW360" s="52" t="str">
        <f ca="1">IF(BV360="","",INDEX(OFFSET(Arb!$H$2,,,Arb!$AJ$5,),BV360))</f>
        <v/>
      </c>
      <c r="BX360" s="3" t="str">
        <f t="shared" ca="1" si="104"/>
        <v/>
      </c>
      <c r="BY360" s="165" t="str">
        <f ca="1">IF(BV360="","",INDEX(OFFSET(Arb!$X$2,,,Arb!$AJ$5,),BV360)/BW360)</f>
        <v/>
      </c>
      <c r="BZ360" s="165" t="str">
        <f ca="1">IF(BV360="","",(INDEX(OFFSET(Arb!$U$2,,,Arb!$AJ$5,),BV360)+INDEX(OFFSET(Arb!$V$2,,,Arb!$AJ$5,),BV360))/BW360)</f>
        <v/>
      </c>
      <c r="CA360" s="51" t="str">
        <f t="shared" ca="1" si="114"/>
        <v/>
      </c>
      <c r="CB360" s="91" t="str">
        <f ca="1">IF(BV360="","",DATE(INDEX(OFFSET(Arb!$C$2,,,Arb!$AJ$5,),BV360),INDEX(OFFSET(Arb!$B$2,,,Arb!$AJ$5,),BV360),INDEX(OFFSET(Arb!$A$2,,,Arb!$AJ$5,),BV360))+ROW()*0.001)</f>
        <v/>
      </c>
    </row>
    <row r="361" spans="1:80" x14ac:dyDescent="0.25">
      <c r="A361" s="433">
        <v>219</v>
      </c>
      <c r="B361" s="1">
        <v>2610</v>
      </c>
      <c r="C361" s="52">
        <f ca="1">IF(B361="","",INDEX(OFFSET(Arb!$H$2,,,Arb!$AJ$5,),B361))</f>
        <v>96.18</v>
      </c>
      <c r="D361" s="3">
        <f t="shared" ca="1" si="95"/>
        <v>2.2769806612601369</v>
      </c>
      <c r="E361" s="165">
        <f ca="1">IF(B361="","",INDEX(OFFSET(Arb!$X$2,,,Arb!$AJ$5,),B361)/C361)</f>
        <v>2.5888958203368682</v>
      </c>
      <c r="F361" s="165">
        <f ca="1">IF(B361="","",(INDEX(OFFSET(Arb!$U$2,,,Arb!$AJ$5,),B361)+INDEX(OFFSET(Arb!$V$2,,,Arb!$AJ$5,),B361))/C361)</f>
        <v>2.9112081513828238</v>
      </c>
      <c r="G361" s="51">
        <f t="shared" ca="1" si="105"/>
        <v>40.521942552203072</v>
      </c>
      <c r="H361" s="355">
        <f ca="1">IF(B361="","",DATE(INDEX(OFFSET(Arb!$C$2,,,Arb!$AJ$5,),B361),INDEX(OFFSET(Arb!$B$2,,,Arb!$AJ$5,),B361),INDEX(OFFSET(Arb!$A$2,,,Arb!$AJ$5,),B361))+ROW()*0.001)</f>
        <v>43811.360999999997</v>
      </c>
      <c r="I361" s="436">
        <v>219</v>
      </c>
      <c r="K361" s="52" t="str">
        <f ca="1">IF(J361="","",INDEX(OFFSET(Arb!$H$2,,,Arb!$AJ$5,),J361))</f>
        <v/>
      </c>
      <c r="L361" s="3" t="str">
        <f t="shared" ca="1" si="96"/>
        <v/>
      </c>
      <c r="M361" s="165" t="str">
        <f ca="1">IF(J361="","",INDEX(OFFSET(Arb!$X$2,,,Arb!$AJ$5,),J361)/K361)</f>
        <v/>
      </c>
      <c r="N361" s="165" t="str">
        <f ca="1">IF(J361="","",(INDEX(OFFSET(Arb!$U$2,,,Arb!$AJ$5,),J361)+INDEX(OFFSET(Arb!$V$2,,,Arb!$AJ$5,),J361))/K361)</f>
        <v/>
      </c>
      <c r="O361" s="51" t="str">
        <f t="shared" ca="1" si="106"/>
        <v/>
      </c>
      <c r="P361" s="91" t="str">
        <f ca="1">IF(J361="","",DATE(INDEX(OFFSET(Arb!$C$2,,,Arb!$AJ$5,),J361),INDEX(OFFSET(Arb!$B$2,,,Arb!$AJ$5,),J361),INDEX(OFFSET(Arb!$A$2,,,Arb!$AJ$5,),J361))+ROW()*0.001)</f>
        <v/>
      </c>
      <c r="Q361" s="442">
        <v>219</v>
      </c>
      <c r="S361" s="52" t="str">
        <f ca="1">IF(R361="","",INDEX(OFFSET(Arb!$H$2,,,Arb!$AJ$5,),R361))</f>
        <v/>
      </c>
      <c r="T361" s="3" t="str">
        <f t="shared" ca="1" si="97"/>
        <v/>
      </c>
      <c r="U361" s="165" t="str">
        <f ca="1">IF(R361="","",INDEX(OFFSET(Arb!$X$2,,,Arb!$AJ$5,),R361)/S361)</f>
        <v/>
      </c>
      <c r="V361" s="165" t="str">
        <f ca="1">IF(R361="","",(INDEX(OFFSET(Arb!$U$2,,,Arb!$AJ$5,),R361)+INDEX(OFFSET(Arb!$V$2,,,Arb!$AJ$5,),R361))/S361)</f>
        <v/>
      </c>
      <c r="W361" s="51" t="str">
        <f t="shared" ca="1" si="107"/>
        <v/>
      </c>
      <c r="X361" s="88" t="str">
        <f ca="1">IF(R361="","",DATE(INDEX(OFFSET(Arb!$C$2,,,Arb!$AJ$5,),R361),INDEX(OFFSET(Arb!$B$2,,,Arb!$AJ$5,),R361),INDEX(OFFSET(Arb!$A$2,,,Arb!$AJ$5,),R361))+ROW()*0.001)</f>
        <v/>
      </c>
      <c r="Y361" s="436">
        <v>219</v>
      </c>
      <c r="AA361" s="52" t="str">
        <f ca="1">IF(Z361="","",INDEX(OFFSET(Arb!$H$2,,,Arb!$AJ$5,),Z361))</f>
        <v/>
      </c>
      <c r="AB361" s="3" t="str">
        <f t="shared" ca="1" si="98"/>
        <v/>
      </c>
      <c r="AC361" s="165" t="str">
        <f ca="1">IF(Z361="","",INDEX(OFFSET(Arb!$X$2,,,Arb!$AJ$5,),Z361)/AA361)</f>
        <v/>
      </c>
      <c r="AD361" s="165" t="str">
        <f ca="1">IF(Z361="","",(INDEX(OFFSET(Arb!$U$2,,,Arb!$AJ$5,),Z361)+INDEX(OFFSET(Arb!$V$2,,,Arb!$AJ$5,),Z361))/AA361)</f>
        <v/>
      </c>
      <c r="AE361" s="51" t="str">
        <f t="shared" ca="1" si="108"/>
        <v/>
      </c>
      <c r="AF361" s="91" t="str">
        <f ca="1">IF(Z361="","",DATE(INDEX(OFFSET(Arb!$C$2,,,Arb!$AJ$5,),Z361),INDEX(OFFSET(Arb!$B$2,,,Arb!$AJ$5,),Z361),INDEX(OFFSET(Arb!$A$2,,,Arb!$AJ$5,),Z361))+ROW()*0.001)</f>
        <v/>
      </c>
      <c r="AG361" s="442">
        <v>219</v>
      </c>
      <c r="AI361" s="52" t="str">
        <f ca="1">IF(AH361="","",INDEX(OFFSET(Arb!$H$2,,,Arb!$AJ$5,),AH361))</f>
        <v/>
      </c>
      <c r="AJ361" s="3" t="str">
        <f t="shared" ca="1" si="99"/>
        <v/>
      </c>
      <c r="AK361" s="165" t="str">
        <f ca="1">IF(AH361="","",INDEX(OFFSET(Arb!$X$2,,,Arb!$AJ$5,),AH361)/AI361)</f>
        <v/>
      </c>
      <c r="AL361" s="165" t="str">
        <f ca="1">IF(AH361="","",(INDEX(OFFSET(Arb!$U$2,,,Arb!$AJ$5,),AH361)+INDEX(OFFSET(Arb!$V$2,,,Arb!$AJ$5,),AH361))/AI361)</f>
        <v/>
      </c>
      <c r="AM361" s="51" t="str">
        <f t="shared" ca="1" si="109"/>
        <v/>
      </c>
      <c r="AN361" s="88" t="str">
        <f ca="1">IF(AH361="","",DATE(INDEX(OFFSET(Arb!$C$2,,,Arb!$AJ$5,),AH361),INDEX(OFFSET(Arb!$B$2,,,Arb!$AJ$5,),AH361),INDEX(OFFSET(Arb!$A$2,,,Arb!$AJ$5,),AH361))+ROW()*0.001)</f>
        <v/>
      </c>
      <c r="AO361" s="436">
        <v>219</v>
      </c>
      <c r="AQ361" s="52" t="str">
        <f ca="1">IF(AP361="","",INDEX(OFFSET(Arb!$H$2,,,Arb!$AJ$5,),AP361))</f>
        <v/>
      </c>
      <c r="AR361" s="3" t="str">
        <f t="shared" ca="1" si="100"/>
        <v/>
      </c>
      <c r="AS361" s="165" t="str">
        <f ca="1">IF(AP361="","",INDEX(OFFSET(Arb!$X$2,,,Arb!$AJ$5,),AP361)/AQ361)</f>
        <v/>
      </c>
      <c r="AT361" s="165" t="str">
        <f ca="1">IF(AP361="","",(INDEX(OFFSET(Arb!$U$2,,,Arb!$AJ$5,),AP361)+INDEX(OFFSET(Arb!$V$2,,,Arb!$AJ$5,),AP361))/AQ361)</f>
        <v/>
      </c>
      <c r="AU361" s="51" t="str">
        <f t="shared" ca="1" si="110"/>
        <v/>
      </c>
      <c r="AV361" s="91" t="str">
        <f ca="1">IF(AP361="","",DATE(INDEX(OFFSET(Arb!$C$2,,,Arb!$AJ$5,),AP361),INDEX(OFFSET(Arb!$B$2,,,Arb!$AJ$5,),AP361),INDEX(OFFSET(Arb!$A$2,,,Arb!$AJ$5,),AP361))+ROW()*0.001)</f>
        <v/>
      </c>
      <c r="AW361" s="442">
        <v>219</v>
      </c>
      <c r="AY361" s="52" t="str">
        <f ca="1">IF(AX361="","",INDEX(OFFSET(Arb!$H$2,,,Arb!$AJ$5,),AX361))</f>
        <v/>
      </c>
      <c r="AZ361" s="3" t="str">
        <f t="shared" ca="1" si="101"/>
        <v/>
      </c>
      <c r="BA361" s="165" t="str">
        <f ca="1">IF(AX361="","",INDEX(OFFSET(Arb!$X$2,,,Arb!$AJ$5,),AX361)/AY361)</f>
        <v/>
      </c>
      <c r="BB361" s="165" t="str">
        <f ca="1">IF(AX361="","",(INDEX(OFFSET(Arb!$U$2,,,Arb!$AJ$5,),AX361)+INDEX(OFFSET(Arb!$V$2,,,Arb!$AJ$5,),AX361))/AY361)</f>
        <v/>
      </c>
      <c r="BC361" s="51" t="str">
        <f t="shared" ca="1" si="111"/>
        <v/>
      </c>
      <c r="BD361" s="88" t="str">
        <f ca="1">IF(AX361="","",DATE(INDEX(OFFSET(Arb!$C$2,,,Arb!$AJ$5,),AX361),INDEX(OFFSET(Arb!$B$2,,,Arb!$AJ$5,),AX361),INDEX(OFFSET(Arb!$A$2,,,Arb!$AJ$5,),AX361))+ROW()*0.001)</f>
        <v/>
      </c>
      <c r="BE361" s="436">
        <v>219</v>
      </c>
      <c r="BG361" s="52" t="str">
        <f ca="1">IF(BF361="","",INDEX(OFFSET(Arb!$H$2,,,Arb!$AJ$5,),BF361))</f>
        <v/>
      </c>
      <c r="BH361" s="3" t="str">
        <f t="shared" ca="1" si="102"/>
        <v/>
      </c>
      <c r="BI361" s="165" t="str">
        <f ca="1">IF(BF361="","",INDEX(OFFSET(Arb!$X$2,,,Arb!$AJ$5,),BF361)/BG361)</f>
        <v/>
      </c>
      <c r="BJ361" s="165" t="str">
        <f ca="1">IF(BF361="","",(INDEX(OFFSET(Arb!$U$2,,,Arb!$AJ$5,),BF361)+INDEX(OFFSET(Arb!$V$2,,,Arb!$AJ$5,),BF361))/BG361)</f>
        <v/>
      </c>
      <c r="BK361" s="51" t="str">
        <f t="shared" ca="1" si="112"/>
        <v/>
      </c>
      <c r="BL361" s="91" t="str">
        <f ca="1">IF(BF361="","",DATE(INDEX(OFFSET(Arb!$C$2,,,Arb!$AJ$5,),BF361),INDEX(OFFSET(Arb!$B$2,,,Arb!$AJ$5,),BF361),INDEX(OFFSET(Arb!$A$2,,,Arb!$AJ$5,),BF361))+ROW()*0.001)</f>
        <v/>
      </c>
      <c r="BM361" s="442">
        <v>219</v>
      </c>
      <c r="BO361" s="52" t="str">
        <f ca="1">IF(BN361="","",INDEX(OFFSET(Arb!$H$2,,,Arb!$AJ$5,),BN361))</f>
        <v/>
      </c>
      <c r="BP361" s="3" t="str">
        <f t="shared" ca="1" si="103"/>
        <v/>
      </c>
      <c r="BQ361" s="165" t="str">
        <f ca="1">IF(BN361="","",INDEX(OFFSET(Arb!$X$2,,,Arb!$AJ$5,),BN361)/BO361)</f>
        <v/>
      </c>
      <c r="BR361" s="165" t="str">
        <f ca="1">IF(BN361="","",(INDEX(OFFSET(Arb!$U$2,,,Arb!$AJ$5,),BN361)+INDEX(OFFSET(Arb!$V$2,,,Arb!$AJ$5,),BN361))/BO361)</f>
        <v/>
      </c>
      <c r="BS361" s="51" t="str">
        <f t="shared" ca="1" si="113"/>
        <v/>
      </c>
      <c r="BT361" s="88" t="str">
        <f ca="1">IF(BN361="","",DATE(INDEX(OFFSET(Arb!$C$2,,,Arb!$AJ$5,),BN361),INDEX(OFFSET(Arb!$B$2,,,Arb!$AJ$5,),BN361),INDEX(OFFSET(Arb!$A$2,,,Arb!$AJ$5,),BN361))+ROW()*0.001)</f>
        <v/>
      </c>
      <c r="BU361" s="436">
        <v>219</v>
      </c>
      <c r="BW361" s="52" t="str">
        <f ca="1">IF(BV361="","",INDEX(OFFSET(Arb!$H$2,,,Arb!$AJ$5,),BV361))</f>
        <v/>
      </c>
      <c r="BX361" s="3" t="str">
        <f t="shared" ca="1" si="104"/>
        <v/>
      </c>
      <c r="BY361" s="165" t="str">
        <f ca="1">IF(BV361="","",INDEX(OFFSET(Arb!$X$2,,,Arb!$AJ$5,),BV361)/BW361)</f>
        <v/>
      </c>
      <c r="BZ361" s="165" t="str">
        <f ca="1">IF(BV361="","",(INDEX(OFFSET(Arb!$U$2,,,Arb!$AJ$5,),BV361)+INDEX(OFFSET(Arb!$V$2,,,Arb!$AJ$5,),BV361))/BW361)</f>
        <v/>
      </c>
      <c r="CA361" s="51" t="str">
        <f t="shared" ca="1" si="114"/>
        <v/>
      </c>
      <c r="CB361" s="91" t="str">
        <f ca="1">IF(BV361="","",DATE(INDEX(OFFSET(Arb!$C$2,,,Arb!$AJ$5,),BV361),INDEX(OFFSET(Arb!$B$2,,,Arb!$AJ$5,),BV361),INDEX(OFFSET(Arb!$A$2,,,Arb!$AJ$5,),BV361))+ROW()*0.001)</f>
        <v/>
      </c>
    </row>
    <row r="362" spans="1:80" x14ac:dyDescent="0.25">
      <c r="A362" s="433">
        <v>220</v>
      </c>
      <c r="B362" s="1">
        <v>3307</v>
      </c>
      <c r="C362" s="52">
        <f ca="1">IF(B362="","",INDEX(OFFSET(Arb!$H$2,,,Arb!$AJ$5,),B362))</f>
        <v>81.209999999999994</v>
      </c>
      <c r="D362" s="3">
        <f t="shared" ca="1" si="95"/>
        <v>2.7090259820219189</v>
      </c>
      <c r="E362" s="165">
        <f ca="1">IF(B362="","",INDEX(OFFSET(Arb!$X$2,,,Arb!$AJ$5,),B362)/C362)</f>
        <v>3.1400073882526787</v>
      </c>
      <c r="F362" s="165">
        <f ca="1">IF(B362="","",(INDEX(OFFSET(Arb!$U$2,,,Arb!$AJ$5,),B362)+INDEX(OFFSET(Arb!$V$2,,,Arb!$AJ$5,),B362))/C362)</f>
        <v>3.4601650043098142</v>
      </c>
      <c r="G362" s="51">
        <f t="shared" ca="1" si="105"/>
        <v>54.272117727992011</v>
      </c>
      <c r="H362" s="355">
        <f ca="1">IF(B362="","",DATE(INDEX(OFFSET(Arb!$C$2,,,Arb!$AJ$5,),B362),INDEX(OFFSET(Arb!$B$2,,,Arb!$AJ$5,),B362),INDEX(OFFSET(Arb!$A$2,,,Arb!$AJ$5,),B362))+ROW()*0.001)</f>
        <v>44092.362000000001</v>
      </c>
      <c r="I362" s="436">
        <v>220</v>
      </c>
      <c r="K362" s="52" t="str">
        <f ca="1">IF(J362="","",INDEX(OFFSET(Arb!$H$2,,,Arb!$AJ$5,),J362))</f>
        <v/>
      </c>
      <c r="L362" s="3" t="str">
        <f t="shared" ca="1" si="96"/>
        <v/>
      </c>
      <c r="M362" s="165" t="str">
        <f ca="1">IF(J362="","",INDEX(OFFSET(Arb!$X$2,,,Arb!$AJ$5,),J362)/K362)</f>
        <v/>
      </c>
      <c r="N362" s="165" t="str">
        <f ca="1">IF(J362="","",(INDEX(OFFSET(Arb!$U$2,,,Arb!$AJ$5,),J362)+INDEX(OFFSET(Arb!$V$2,,,Arb!$AJ$5,),J362))/K362)</f>
        <v/>
      </c>
      <c r="O362" s="51" t="str">
        <f t="shared" ca="1" si="106"/>
        <v/>
      </c>
      <c r="P362" s="91" t="str">
        <f ca="1">IF(J362="","",DATE(INDEX(OFFSET(Arb!$C$2,,,Arb!$AJ$5,),J362),INDEX(OFFSET(Arb!$B$2,,,Arb!$AJ$5,),J362),INDEX(OFFSET(Arb!$A$2,,,Arb!$AJ$5,),J362))+ROW()*0.001)</f>
        <v/>
      </c>
      <c r="Q362" s="442">
        <v>220</v>
      </c>
      <c r="S362" s="52" t="str">
        <f ca="1">IF(R362="","",INDEX(OFFSET(Arb!$H$2,,,Arb!$AJ$5,),R362))</f>
        <v/>
      </c>
      <c r="T362" s="3" t="str">
        <f t="shared" ca="1" si="97"/>
        <v/>
      </c>
      <c r="U362" s="165" t="str">
        <f ca="1">IF(R362="","",INDEX(OFFSET(Arb!$X$2,,,Arb!$AJ$5,),R362)/S362)</f>
        <v/>
      </c>
      <c r="V362" s="165" t="str">
        <f ca="1">IF(R362="","",(INDEX(OFFSET(Arb!$U$2,,,Arb!$AJ$5,),R362)+INDEX(OFFSET(Arb!$V$2,,,Arb!$AJ$5,),R362))/S362)</f>
        <v/>
      </c>
      <c r="W362" s="51" t="str">
        <f t="shared" ca="1" si="107"/>
        <v/>
      </c>
      <c r="X362" s="88" t="str">
        <f ca="1">IF(R362="","",DATE(INDEX(OFFSET(Arb!$C$2,,,Arb!$AJ$5,),R362),INDEX(OFFSET(Arb!$B$2,,,Arb!$AJ$5,),R362),INDEX(OFFSET(Arb!$A$2,,,Arb!$AJ$5,),R362))+ROW()*0.001)</f>
        <v/>
      </c>
      <c r="Y362" s="436">
        <v>220</v>
      </c>
      <c r="AA362" s="52" t="str">
        <f ca="1">IF(Z362="","",INDEX(OFFSET(Arb!$H$2,,,Arb!$AJ$5,),Z362))</f>
        <v/>
      </c>
      <c r="AB362" s="3" t="str">
        <f t="shared" ca="1" si="98"/>
        <v/>
      </c>
      <c r="AC362" s="165" t="str">
        <f ca="1">IF(Z362="","",INDEX(OFFSET(Arb!$X$2,,,Arb!$AJ$5,),Z362)/AA362)</f>
        <v/>
      </c>
      <c r="AD362" s="165" t="str">
        <f ca="1">IF(Z362="","",(INDEX(OFFSET(Arb!$U$2,,,Arb!$AJ$5,),Z362)+INDEX(OFFSET(Arb!$V$2,,,Arb!$AJ$5,),Z362))/AA362)</f>
        <v/>
      </c>
      <c r="AE362" s="51" t="str">
        <f t="shared" ca="1" si="108"/>
        <v/>
      </c>
      <c r="AF362" s="91" t="str">
        <f ca="1">IF(Z362="","",DATE(INDEX(OFFSET(Arb!$C$2,,,Arb!$AJ$5,),Z362),INDEX(OFFSET(Arb!$B$2,,,Arb!$AJ$5,),Z362),INDEX(OFFSET(Arb!$A$2,,,Arb!$AJ$5,),Z362))+ROW()*0.001)</f>
        <v/>
      </c>
      <c r="AG362" s="442">
        <v>220</v>
      </c>
      <c r="AI362" s="52" t="str">
        <f ca="1">IF(AH362="","",INDEX(OFFSET(Arb!$H$2,,,Arb!$AJ$5,),AH362))</f>
        <v/>
      </c>
      <c r="AJ362" s="3" t="str">
        <f t="shared" ca="1" si="99"/>
        <v/>
      </c>
      <c r="AK362" s="165" t="str">
        <f ca="1">IF(AH362="","",INDEX(OFFSET(Arb!$X$2,,,Arb!$AJ$5,),AH362)/AI362)</f>
        <v/>
      </c>
      <c r="AL362" s="165" t="str">
        <f ca="1">IF(AH362="","",(INDEX(OFFSET(Arb!$U$2,,,Arb!$AJ$5,),AH362)+INDEX(OFFSET(Arb!$V$2,,,Arb!$AJ$5,),AH362))/AI362)</f>
        <v/>
      </c>
      <c r="AM362" s="51" t="str">
        <f t="shared" ca="1" si="109"/>
        <v/>
      </c>
      <c r="AN362" s="88" t="str">
        <f ca="1">IF(AH362="","",DATE(INDEX(OFFSET(Arb!$C$2,,,Arb!$AJ$5,),AH362),INDEX(OFFSET(Arb!$B$2,,,Arb!$AJ$5,),AH362),INDEX(OFFSET(Arb!$A$2,,,Arb!$AJ$5,),AH362))+ROW()*0.001)</f>
        <v/>
      </c>
      <c r="AO362" s="436">
        <v>220</v>
      </c>
      <c r="AQ362" s="52" t="str">
        <f ca="1">IF(AP362="","",INDEX(OFFSET(Arb!$H$2,,,Arb!$AJ$5,),AP362))</f>
        <v/>
      </c>
      <c r="AR362" s="3" t="str">
        <f t="shared" ca="1" si="100"/>
        <v/>
      </c>
      <c r="AS362" s="165" t="str">
        <f ca="1">IF(AP362="","",INDEX(OFFSET(Arb!$X$2,,,Arb!$AJ$5,),AP362)/AQ362)</f>
        <v/>
      </c>
      <c r="AT362" s="165" t="str">
        <f ca="1">IF(AP362="","",(INDEX(OFFSET(Arb!$U$2,,,Arb!$AJ$5,),AP362)+INDEX(OFFSET(Arb!$V$2,,,Arb!$AJ$5,),AP362))/AQ362)</f>
        <v/>
      </c>
      <c r="AU362" s="51" t="str">
        <f t="shared" ca="1" si="110"/>
        <v/>
      </c>
      <c r="AV362" s="91" t="str">
        <f ca="1">IF(AP362="","",DATE(INDEX(OFFSET(Arb!$C$2,,,Arb!$AJ$5,),AP362),INDEX(OFFSET(Arb!$B$2,,,Arb!$AJ$5,),AP362),INDEX(OFFSET(Arb!$A$2,,,Arb!$AJ$5,),AP362))+ROW()*0.001)</f>
        <v/>
      </c>
      <c r="AW362" s="442">
        <v>220</v>
      </c>
      <c r="AY362" s="52" t="str">
        <f ca="1">IF(AX362="","",INDEX(OFFSET(Arb!$H$2,,,Arb!$AJ$5,),AX362))</f>
        <v/>
      </c>
      <c r="AZ362" s="3" t="str">
        <f t="shared" ca="1" si="101"/>
        <v/>
      </c>
      <c r="BA362" s="165" t="str">
        <f ca="1">IF(AX362="","",INDEX(OFFSET(Arb!$X$2,,,Arb!$AJ$5,),AX362)/AY362)</f>
        <v/>
      </c>
      <c r="BB362" s="165" t="str">
        <f ca="1">IF(AX362="","",(INDEX(OFFSET(Arb!$U$2,,,Arb!$AJ$5,),AX362)+INDEX(OFFSET(Arb!$V$2,,,Arb!$AJ$5,),AX362))/AY362)</f>
        <v/>
      </c>
      <c r="BC362" s="51" t="str">
        <f t="shared" ca="1" si="111"/>
        <v/>
      </c>
      <c r="BD362" s="88" t="str">
        <f ca="1">IF(AX362="","",DATE(INDEX(OFFSET(Arb!$C$2,,,Arb!$AJ$5,),AX362),INDEX(OFFSET(Arb!$B$2,,,Arb!$AJ$5,),AX362),INDEX(OFFSET(Arb!$A$2,,,Arb!$AJ$5,),AX362))+ROW()*0.001)</f>
        <v/>
      </c>
      <c r="BE362" s="436">
        <v>220</v>
      </c>
      <c r="BG362" s="52" t="str">
        <f ca="1">IF(BF362="","",INDEX(OFFSET(Arb!$H$2,,,Arb!$AJ$5,),BF362))</f>
        <v/>
      </c>
      <c r="BH362" s="3" t="str">
        <f t="shared" ca="1" si="102"/>
        <v/>
      </c>
      <c r="BI362" s="165" t="str">
        <f ca="1">IF(BF362="","",INDEX(OFFSET(Arb!$X$2,,,Arb!$AJ$5,),BF362)/BG362)</f>
        <v/>
      </c>
      <c r="BJ362" s="165" t="str">
        <f ca="1">IF(BF362="","",(INDEX(OFFSET(Arb!$U$2,,,Arb!$AJ$5,),BF362)+INDEX(OFFSET(Arb!$V$2,,,Arb!$AJ$5,),BF362))/BG362)</f>
        <v/>
      </c>
      <c r="BK362" s="51" t="str">
        <f t="shared" ca="1" si="112"/>
        <v/>
      </c>
      <c r="BL362" s="91" t="str">
        <f ca="1">IF(BF362="","",DATE(INDEX(OFFSET(Arb!$C$2,,,Arb!$AJ$5,),BF362),INDEX(OFFSET(Arb!$B$2,,,Arb!$AJ$5,),BF362),INDEX(OFFSET(Arb!$A$2,,,Arb!$AJ$5,),BF362))+ROW()*0.001)</f>
        <v/>
      </c>
      <c r="BM362" s="442">
        <v>220</v>
      </c>
      <c r="BO362" s="52" t="str">
        <f ca="1">IF(BN362="","",INDEX(OFFSET(Arb!$H$2,,,Arb!$AJ$5,),BN362))</f>
        <v/>
      </c>
      <c r="BP362" s="3" t="str">
        <f t="shared" ca="1" si="103"/>
        <v/>
      </c>
      <c r="BQ362" s="165" t="str">
        <f ca="1">IF(BN362="","",INDEX(OFFSET(Arb!$X$2,,,Arb!$AJ$5,),BN362)/BO362)</f>
        <v/>
      </c>
      <c r="BR362" s="165" t="str">
        <f ca="1">IF(BN362="","",(INDEX(OFFSET(Arb!$U$2,,,Arb!$AJ$5,),BN362)+INDEX(OFFSET(Arb!$V$2,,,Arb!$AJ$5,),BN362))/BO362)</f>
        <v/>
      </c>
      <c r="BS362" s="51" t="str">
        <f t="shared" ca="1" si="113"/>
        <v/>
      </c>
      <c r="BT362" s="88" t="str">
        <f ca="1">IF(BN362="","",DATE(INDEX(OFFSET(Arb!$C$2,,,Arb!$AJ$5,),BN362),INDEX(OFFSET(Arb!$B$2,,,Arb!$AJ$5,),BN362),INDEX(OFFSET(Arb!$A$2,,,Arb!$AJ$5,),BN362))+ROW()*0.001)</f>
        <v/>
      </c>
      <c r="BU362" s="436">
        <v>220</v>
      </c>
      <c r="BW362" s="52" t="str">
        <f ca="1">IF(BV362="","",INDEX(OFFSET(Arb!$H$2,,,Arb!$AJ$5,),BV362))</f>
        <v/>
      </c>
      <c r="BX362" s="3" t="str">
        <f t="shared" ca="1" si="104"/>
        <v/>
      </c>
      <c r="BY362" s="165" t="str">
        <f ca="1">IF(BV362="","",INDEX(OFFSET(Arb!$X$2,,,Arb!$AJ$5,),BV362)/BW362)</f>
        <v/>
      </c>
      <c r="BZ362" s="165" t="str">
        <f ca="1">IF(BV362="","",(INDEX(OFFSET(Arb!$U$2,,,Arb!$AJ$5,),BV362)+INDEX(OFFSET(Arb!$V$2,,,Arb!$AJ$5,),BV362))/BW362)</f>
        <v/>
      </c>
      <c r="CA362" s="51" t="str">
        <f t="shared" ca="1" si="114"/>
        <v/>
      </c>
      <c r="CB362" s="91" t="str">
        <f ca="1">IF(BV362="","",DATE(INDEX(OFFSET(Arb!$C$2,,,Arb!$AJ$5,),BV362),INDEX(OFFSET(Arb!$B$2,,,Arb!$AJ$5,),BV362),INDEX(OFFSET(Arb!$A$2,,,Arb!$AJ$5,),BV362))+ROW()*0.001)</f>
        <v/>
      </c>
    </row>
    <row r="363" spans="1:80" x14ac:dyDescent="0.25">
      <c r="A363" s="433">
        <v>221</v>
      </c>
      <c r="B363" s="1">
        <v>3400</v>
      </c>
      <c r="C363" s="52">
        <f ca="1">IF(B363="","",INDEX(OFFSET(Arb!$H$2,,,Arb!$AJ$5,),B363))</f>
        <v>81.510000000000005</v>
      </c>
      <c r="D363" s="3">
        <f t="shared" ca="1" si="95"/>
        <v>2.7113237639553427</v>
      </c>
      <c r="E363" s="165">
        <f ca="1">IF(B363="","",INDEX(OFFSET(Arb!$X$2,,,Arb!$AJ$5,),B363)/C363)</f>
        <v>2.7603974972396021</v>
      </c>
      <c r="F363" s="165">
        <f ca="1">IF(B363="","",(INDEX(OFFSET(Arb!$U$2,,,Arb!$AJ$5,),B363)+INDEX(OFFSET(Arb!$V$2,,,Arb!$AJ$5,),B363))/C363)</f>
        <v>3.1284504968715492</v>
      </c>
      <c r="G363" s="51">
        <f t="shared" ca="1" si="105"/>
        <v>54.178129967128278</v>
      </c>
      <c r="H363" s="355">
        <f ca="1">IF(B363="","",DATE(INDEX(OFFSET(Arb!$C$2,,,Arb!$AJ$5,),B363),INDEX(OFFSET(Arb!$B$2,,,Arb!$AJ$5,),B363),INDEX(OFFSET(Arb!$A$2,,,Arb!$AJ$5,),B363))+ROW()*0.001)</f>
        <v>44145.362999999998</v>
      </c>
      <c r="I363" s="436">
        <v>221</v>
      </c>
      <c r="K363" s="52" t="str">
        <f ca="1">IF(J363="","",INDEX(OFFSET(Arb!$H$2,,,Arb!$AJ$5,),J363))</f>
        <v/>
      </c>
      <c r="L363" s="3" t="str">
        <f t="shared" ca="1" si="96"/>
        <v/>
      </c>
      <c r="M363" s="165" t="str">
        <f ca="1">IF(J363="","",INDEX(OFFSET(Arb!$X$2,,,Arb!$AJ$5,),J363)/K363)</f>
        <v/>
      </c>
      <c r="N363" s="165" t="str">
        <f ca="1">IF(J363="","",(INDEX(OFFSET(Arb!$U$2,,,Arb!$AJ$5,),J363)+INDEX(OFFSET(Arb!$V$2,,,Arb!$AJ$5,),J363))/K363)</f>
        <v/>
      </c>
      <c r="O363" s="51" t="str">
        <f t="shared" ca="1" si="106"/>
        <v/>
      </c>
      <c r="P363" s="91" t="str">
        <f ca="1">IF(J363="","",DATE(INDEX(OFFSET(Arb!$C$2,,,Arb!$AJ$5,),J363),INDEX(OFFSET(Arb!$B$2,,,Arb!$AJ$5,),J363),INDEX(OFFSET(Arb!$A$2,,,Arb!$AJ$5,),J363))+ROW()*0.001)</f>
        <v/>
      </c>
      <c r="Q363" s="442">
        <v>221</v>
      </c>
      <c r="S363" s="52" t="str">
        <f ca="1">IF(R363="","",INDEX(OFFSET(Arb!$H$2,,,Arb!$AJ$5,),R363))</f>
        <v/>
      </c>
      <c r="T363" s="3" t="str">
        <f t="shared" ca="1" si="97"/>
        <v/>
      </c>
      <c r="U363" s="165" t="str">
        <f ca="1">IF(R363="","",INDEX(OFFSET(Arb!$X$2,,,Arb!$AJ$5,),R363)/S363)</f>
        <v/>
      </c>
      <c r="V363" s="165" t="str">
        <f ca="1">IF(R363="","",(INDEX(OFFSET(Arb!$U$2,,,Arb!$AJ$5,),R363)+INDEX(OFFSET(Arb!$V$2,,,Arb!$AJ$5,),R363))/S363)</f>
        <v/>
      </c>
      <c r="W363" s="51" t="str">
        <f t="shared" ca="1" si="107"/>
        <v/>
      </c>
      <c r="X363" s="88" t="str">
        <f ca="1">IF(R363="","",DATE(INDEX(OFFSET(Arb!$C$2,,,Arb!$AJ$5,),R363),INDEX(OFFSET(Arb!$B$2,,,Arb!$AJ$5,),R363),INDEX(OFFSET(Arb!$A$2,,,Arb!$AJ$5,),R363))+ROW()*0.001)</f>
        <v/>
      </c>
      <c r="Y363" s="436">
        <v>221</v>
      </c>
      <c r="AA363" s="52" t="str">
        <f ca="1">IF(Z363="","",INDEX(OFFSET(Arb!$H$2,,,Arb!$AJ$5,),Z363))</f>
        <v/>
      </c>
      <c r="AB363" s="3" t="str">
        <f t="shared" ca="1" si="98"/>
        <v/>
      </c>
      <c r="AC363" s="165" t="str">
        <f ca="1">IF(Z363="","",INDEX(OFFSET(Arb!$X$2,,,Arb!$AJ$5,),Z363)/AA363)</f>
        <v/>
      </c>
      <c r="AD363" s="165" t="str">
        <f ca="1">IF(Z363="","",(INDEX(OFFSET(Arb!$U$2,,,Arb!$AJ$5,),Z363)+INDEX(OFFSET(Arb!$V$2,,,Arb!$AJ$5,),Z363))/AA363)</f>
        <v/>
      </c>
      <c r="AE363" s="51" t="str">
        <f t="shared" ca="1" si="108"/>
        <v/>
      </c>
      <c r="AF363" s="91" t="str">
        <f ca="1">IF(Z363="","",DATE(INDEX(OFFSET(Arb!$C$2,,,Arb!$AJ$5,),Z363),INDEX(OFFSET(Arb!$B$2,,,Arb!$AJ$5,),Z363),INDEX(OFFSET(Arb!$A$2,,,Arb!$AJ$5,),Z363))+ROW()*0.001)</f>
        <v/>
      </c>
      <c r="AG363" s="442">
        <v>221</v>
      </c>
      <c r="AI363" s="52" t="str">
        <f ca="1">IF(AH363="","",INDEX(OFFSET(Arb!$H$2,,,Arb!$AJ$5,),AH363))</f>
        <v/>
      </c>
      <c r="AJ363" s="3" t="str">
        <f t="shared" ca="1" si="99"/>
        <v/>
      </c>
      <c r="AK363" s="165" t="str">
        <f ca="1">IF(AH363="","",INDEX(OFFSET(Arb!$X$2,,,Arb!$AJ$5,),AH363)/AI363)</f>
        <v/>
      </c>
      <c r="AL363" s="165" t="str">
        <f ca="1">IF(AH363="","",(INDEX(OFFSET(Arb!$U$2,,,Arb!$AJ$5,),AH363)+INDEX(OFFSET(Arb!$V$2,,,Arb!$AJ$5,),AH363))/AI363)</f>
        <v/>
      </c>
      <c r="AM363" s="51" t="str">
        <f t="shared" ca="1" si="109"/>
        <v/>
      </c>
      <c r="AN363" s="88" t="str">
        <f ca="1">IF(AH363="","",DATE(INDEX(OFFSET(Arb!$C$2,,,Arb!$AJ$5,),AH363),INDEX(OFFSET(Arb!$B$2,,,Arb!$AJ$5,),AH363),INDEX(OFFSET(Arb!$A$2,,,Arb!$AJ$5,),AH363))+ROW()*0.001)</f>
        <v/>
      </c>
      <c r="AO363" s="436">
        <v>221</v>
      </c>
      <c r="AQ363" s="52" t="str">
        <f ca="1">IF(AP363="","",INDEX(OFFSET(Arb!$H$2,,,Arb!$AJ$5,),AP363))</f>
        <v/>
      </c>
      <c r="AR363" s="3" t="str">
        <f t="shared" ca="1" si="100"/>
        <v/>
      </c>
      <c r="AS363" s="165" t="str">
        <f ca="1">IF(AP363="","",INDEX(OFFSET(Arb!$X$2,,,Arb!$AJ$5,),AP363)/AQ363)</f>
        <v/>
      </c>
      <c r="AT363" s="165" t="str">
        <f ca="1">IF(AP363="","",(INDEX(OFFSET(Arb!$U$2,,,Arb!$AJ$5,),AP363)+INDEX(OFFSET(Arb!$V$2,,,Arb!$AJ$5,),AP363))/AQ363)</f>
        <v/>
      </c>
      <c r="AU363" s="51" t="str">
        <f t="shared" ca="1" si="110"/>
        <v/>
      </c>
      <c r="AV363" s="91" t="str">
        <f ca="1">IF(AP363="","",DATE(INDEX(OFFSET(Arb!$C$2,,,Arb!$AJ$5,),AP363),INDEX(OFFSET(Arb!$B$2,,,Arb!$AJ$5,),AP363),INDEX(OFFSET(Arb!$A$2,,,Arb!$AJ$5,),AP363))+ROW()*0.001)</f>
        <v/>
      </c>
      <c r="AW363" s="442">
        <v>221</v>
      </c>
      <c r="AY363" s="52" t="str">
        <f ca="1">IF(AX363="","",INDEX(OFFSET(Arb!$H$2,,,Arb!$AJ$5,),AX363))</f>
        <v/>
      </c>
      <c r="AZ363" s="3" t="str">
        <f t="shared" ca="1" si="101"/>
        <v/>
      </c>
      <c r="BA363" s="165" t="str">
        <f ca="1">IF(AX363="","",INDEX(OFFSET(Arb!$X$2,,,Arb!$AJ$5,),AX363)/AY363)</f>
        <v/>
      </c>
      <c r="BB363" s="165" t="str">
        <f ca="1">IF(AX363="","",(INDEX(OFFSET(Arb!$U$2,,,Arb!$AJ$5,),AX363)+INDEX(OFFSET(Arb!$V$2,,,Arb!$AJ$5,),AX363))/AY363)</f>
        <v/>
      </c>
      <c r="BC363" s="51" t="str">
        <f t="shared" ca="1" si="111"/>
        <v/>
      </c>
      <c r="BD363" s="88" t="str">
        <f ca="1">IF(AX363="","",DATE(INDEX(OFFSET(Arb!$C$2,,,Arb!$AJ$5,),AX363),INDEX(OFFSET(Arb!$B$2,,,Arb!$AJ$5,),AX363),INDEX(OFFSET(Arb!$A$2,,,Arb!$AJ$5,),AX363))+ROW()*0.001)</f>
        <v/>
      </c>
      <c r="BE363" s="436">
        <v>221</v>
      </c>
      <c r="BG363" s="52" t="str">
        <f ca="1">IF(BF363="","",INDEX(OFFSET(Arb!$H$2,,,Arb!$AJ$5,),BF363))</f>
        <v/>
      </c>
      <c r="BH363" s="3" t="str">
        <f t="shared" ca="1" si="102"/>
        <v/>
      </c>
      <c r="BI363" s="165" t="str">
        <f ca="1">IF(BF363="","",INDEX(OFFSET(Arb!$X$2,,,Arb!$AJ$5,),BF363)/BG363)</f>
        <v/>
      </c>
      <c r="BJ363" s="165" t="str">
        <f ca="1">IF(BF363="","",(INDEX(OFFSET(Arb!$U$2,,,Arb!$AJ$5,),BF363)+INDEX(OFFSET(Arb!$V$2,,,Arb!$AJ$5,),BF363))/BG363)</f>
        <v/>
      </c>
      <c r="BK363" s="51" t="str">
        <f t="shared" ca="1" si="112"/>
        <v/>
      </c>
      <c r="BL363" s="91" t="str">
        <f ca="1">IF(BF363="","",DATE(INDEX(OFFSET(Arb!$C$2,,,Arb!$AJ$5,),BF363),INDEX(OFFSET(Arb!$B$2,,,Arb!$AJ$5,),BF363),INDEX(OFFSET(Arb!$A$2,,,Arb!$AJ$5,),BF363))+ROW()*0.001)</f>
        <v/>
      </c>
      <c r="BM363" s="442">
        <v>221</v>
      </c>
      <c r="BO363" s="52" t="str">
        <f ca="1">IF(BN363="","",INDEX(OFFSET(Arb!$H$2,,,Arb!$AJ$5,),BN363))</f>
        <v/>
      </c>
      <c r="BP363" s="3" t="str">
        <f t="shared" ca="1" si="103"/>
        <v/>
      </c>
      <c r="BQ363" s="165" t="str">
        <f ca="1">IF(BN363="","",INDEX(OFFSET(Arb!$X$2,,,Arb!$AJ$5,),BN363)/BO363)</f>
        <v/>
      </c>
      <c r="BR363" s="165" t="str">
        <f ca="1">IF(BN363="","",(INDEX(OFFSET(Arb!$U$2,,,Arb!$AJ$5,),BN363)+INDEX(OFFSET(Arb!$V$2,,,Arb!$AJ$5,),BN363))/BO363)</f>
        <v/>
      </c>
      <c r="BS363" s="51" t="str">
        <f t="shared" ca="1" si="113"/>
        <v/>
      </c>
      <c r="BT363" s="88" t="str">
        <f ca="1">IF(BN363="","",DATE(INDEX(OFFSET(Arb!$C$2,,,Arb!$AJ$5,),BN363),INDEX(OFFSET(Arb!$B$2,,,Arb!$AJ$5,),BN363),INDEX(OFFSET(Arb!$A$2,,,Arb!$AJ$5,),BN363))+ROW()*0.001)</f>
        <v/>
      </c>
      <c r="BU363" s="436">
        <v>221</v>
      </c>
      <c r="BW363" s="52" t="str">
        <f ca="1">IF(BV363="","",INDEX(OFFSET(Arb!$H$2,,,Arb!$AJ$5,),BV363))</f>
        <v/>
      </c>
      <c r="BX363" s="3" t="str">
        <f t="shared" ca="1" si="104"/>
        <v/>
      </c>
      <c r="BY363" s="165" t="str">
        <f ca="1">IF(BV363="","",INDEX(OFFSET(Arb!$X$2,,,Arb!$AJ$5,),BV363)/BW363)</f>
        <v/>
      </c>
      <c r="BZ363" s="165" t="str">
        <f ca="1">IF(BV363="","",(INDEX(OFFSET(Arb!$U$2,,,Arb!$AJ$5,),BV363)+INDEX(OFFSET(Arb!$V$2,,,Arb!$AJ$5,),BV363))/BW363)</f>
        <v/>
      </c>
      <c r="CA363" s="51" t="str">
        <f t="shared" ca="1" si="114"/>
        <v/>
      </c>
      <c r="CB363" s="91" t="str">
        <f ca="1">IF(BV363="","",DATE(INDEX(OFFSET(Arb!$C$2,,,Arb!$AJ$5,),BV363),INDEX(OFFSET(Arb!$B$2,,,Arb!$AJ$5,),BV363),INDEX(OFFSET(Arb!$A$2,,,Arb!$AJ$5,),BV363))+ROW()*0.001)</f>
        <v/>
      </c>
    </row>
    <row r="364" spans="1:80" x14ac:dyDescent="0.25">
      <c r="A364" s="433">
        <v>222</v>
      </c>
      <c r="C364" s="52" t="str">
        <f ca="1">IF(B364="","",INDEX(OFFSET(Arb!$H$2,,,Arb!$AJ$5,),B364))</f>
        <v/>
      </c>
      <c r="D364" s="3" t="str">
        <f t="shared" ca="1" si="95"/>
        <v/>
      </c>
      <c r="E364" s="165" t="str">
        <f ca="1">IF(B364="","",INDEX(OFFSET(Arb!$X$2,,,Arb!$AJ$5,),B364)/C364)</f>
        <v/>
      </c>
      <c r="F364" s="165" t="str">
        <f ca="1">IF(B364="","",(INDEX(OFFSET(Arb!$U$2,,,Arb!$AJ$5,),B364)+INDEX(OFFSET(Arb!$V$2,,,Arb!$AJ$5,),B364))/C364)</f>
        <v/>
      </c>
      <c r="G364" s="51" t="str">
        <f t="shared" ca="1" si="105"/>
        <v/>
      </c>
      <c r="H364" s="355" t="str">
        <f ca="1">IF(B364="","",DATE(INDEX(OFFSET(Arb!$C$2,,,Arb!$AJ$5,),B364),INDEX(OFFSET(Arb!$B$2,,,Arb!$AJ$5,),B364),INDEX(OFFSET(Arb!$A$2,,,Arb!$AJ$5,),B364))+ROW()*0.001)</f>
        <v/>
      </c>
      <c r="I364" s="436">
        <v>222</v>
      </c>
      <c r="K364" s="52" t="str">
        <f ca="1">IF(J364="","",INDEX(OFFSET(Arb!$H$2,,,Arb!$AJ$5,),J364))</f>
        <v/>
      </c>
      <c r="L364" s="3" t="str">
        <f t="shared" ca="1" si="96"/>
        <v/>
      </c>
      <c r="M364" s="165" t="str">
        <f ca="1">IF(J364="","",INDEX(OFFSET(Arb!$X$2,,,Arb!$AJ$5,),J364)/K364)</f>
        <v/>
      </c>
      <c r="N364" s="165" t="str">
        <f ca="1">IF(J364="","",(INDEX(OFFSET(Arb!$U$2,,,Arb!$AJ$5,),J364)+INDEX(OFFSET(Arb!$V$2,,,Arb!$AJ$5,),J364))/K364)</f>
        <v/>
      </c>
      <c r="O364" s="51" t="str">
        <f t="shared" ca="1" si="106"/>
        <v/>
      </c>
      <c r="P364" s="91" t="str">
        <f ca="1">IF(J364="","",DATE(INDEX(OFFSET(Arb!$C$2,,,Arb!$AJ$5,),J364),INDEX(OFFSET(Arb!$B$2,,,Arb!$AJ$5,),J364),INDEX(OFFSET(Arb!$A$2,,,Arb!$AJ$5,),J364))+ROW()*0.001)</f>
        <v/>
      </c>
      <c r="Q364" s="442">
        <v>222</v>
      </c>
      <c r="S364" s="52" t="str">
        <f ca="1">IF(R364="","",INDEX(OFFSET(Arb!$H$2,,,Arb!$AJ$5,),R364))</f>
        <v/>
      </c>
      <c r="T364" s="3" t="str">
        <f t="shared" ca="1" si="97"/>
        <v/>
      </c>
      <c r="U364" s="165" t="str">
        <f ca="1">IF(R364="","",INDEX(OFFSET(Arb!$X$2,,,Arb!$AJ$5,),R364)/S364)</f>
        <v/>
      </c>
      <c r="V364" s="165" t="str">
        <f ca="1">IF(R364="","",(INDEX(OFFSET(Arb!$U$2,,,Arb!$AJ$5,),R364)+INDEX(OFFSET(Arb!$V$2,,,Arb!$AJ$5,),R364))/S364)</f>
        <v/>
      </c>
      <c r="W364" s="51" t="str">
        <f t="shared" ca="1" si="107"/>
        <v/>
      </c>
      <c r="X364" s="88" t="str">
        <f ca="1">IF(R364="","",DATE(INDEX(OFFSET(Arb!$C$2,,,Arb!$AJ$5,),R364),INDEX(OFFSET(Arb!$B$2,,,Arb!$AJ$5,),R364),INDEX(OFFSET(Arb!$A$2,,,Arb!$AJ$5,),R364))+ROW()*0.001)</f>
        <v/>
      </c>
      <c r="Y364" s="436">
        <v>222</v>
      </c>
      <c r="AA364" s="52" t="str">
        <f ca="1">IF(Z364="","",INDEX(OFFSET(Arb!$H$2,,,Arb!$AJ$5,),Z364))</f>
        <v/>
      </c>
      <c r="AB364" s="3" t="str">
        <f t="shared" ca="1" si="98"/>
        <v/>
      </c>
      <c r="AC364" s="165" t="str">
        <f ca="1">IF(Z364="","",INDEX(OFFSET(Arb!$X$2,,,Arb!$AJ$5,),Z364)/AA364)</f>
        <v/>
      </c>
      <c r="AD364" s="165" t="str">
        <f ca="1">IF(Z364="","",(INDEX(OFFSET(Arb!$U$2,,,Arb!$AJ$5,),Z364)+INDEX(OFFSET(Arb!$V$2,,,Arb!$AJ$5,),Z364))/AA364)</f>
        <v/>
      </c>
      <c r="AE364" s="51" t="str">
        <f t="shared" ca="1" si="108"/>
        <v/>
      </c>
      <c r="AF364" s="91" t="str">
        <f ca="1">IF(Z364="","",DATE(INDEX(OFFSET(Arb!$C$2,,,Arb!$AJ$5,),Z364),INDEX(OFFSET(Arb!$B$2,,,Arb!$AJ$5,),Z364),INDEX(OFFSET(Arb!$A$2,,,Arb!$AJ$5,),Z364))+ROW()*0.001)</f>
        <v/>
      </c>
      <c r="AG364" s="442">
        <v>222</v>
      </c>
      <c r="AI364" s="52" t="str">
        <f ca="1">IF(AH364="","",INDEX(OFFSET(Arb!$H$2,,,Arb!$AJ$5,),AH364))</f>
        <v/>
      </c>
      <c r="AJ364" s="3" t="str">
        <f t="shared" ca="1" si="99"/>
        <v/>
      </c>
      <c r="AK364" s="165" t="str">
        <f ca="1">IF(AH364="","",INDEX(OFFSET(Arb!$X$2,,,Arb!$AJ$5,),AH364)/AI364)</f>
        <v/>
      </c>
      <c r="AL364" s="165" t="str">
        <f ca="1">IF(AH364="","",(INDEX(OFFSET(Arb!$U$2,,,Arb!$AJ$5,),AH364)+INDEX(OFFSET(Arb!$V$2,,,Arb!$AJ$5,),AH364))/AI364)</f>
        <v/>
      </c>
      <c r="AM364" s="51" t="str">
        <f t="shared" ca="1" si="109"/>
        <v/>
      </c>
      <c r="AN364" s="88" t="str">
        <f ca="1">IF(AH364="","",DATE(INDEX(OFFSET(Arb!$C$2,,,Arb!$AJ$5,),AH364),INDEX(OFFSET(Arb!$B$2,,,Arb!$AJ$5,),AH364),INDEX(OFFSET(Arb!$A$2,,,Arb!$AJ$5,),AH364))+ROW()*0.001)</f>
        <v/>
      </c>
      <c r="AO364" s="436">
        <v>222</v>
      </c>
      <c r="AQ364" s="52" t="str">
        <f ca="1">IF(AP364="","",INDEX(OFFSET(Arb!$H$2,,,Arb!$AJ$5,),AP364))</f>
        <v/>
      </c>
      <c r="AR364" s="3" t="str">
        <f t="shared" ca="1" si="100"/>
        <v/>
      </c>
      <c r="AS364" s="165" t="str">
        <f ca="1">IF(AP364="","",INDEX(OFFSET(Arb!$X$2,,,Arb!$AJ$5,),AP364)/AQ364)</f>
        <v/>
      </c>
      <c r="AT364" s="165" t="str">
        <f ca="1">IF(AP364="","",(INDEX(OFFSET(Arb!$U$2,,,Arb!$AJ$5,),AP364)+INDEX(OFFSET(Arb!$V$2,,,Arb!$AJ$5,),AP364))/AQ364)</f>
        <v/>
      </c>
      <c r="AU364" s="51" t="str">
        <f t="shared" ca="1" si="110"/>
        <v/>
      </c>
      <c r="AV364" s="91" t="str">
        <f ca="1">IF(AP364="","",DATE(INDEX(OFFSET(Arb!$C$2,,,Arb!$AJ$5,),AP364),INDEX(OFFSET(Arb!$B$2,,,Arb!$AJ$5,),AP364),INDEX(OFFSET(Arb!$A$2,,,Arb!$AJ$5,),AP364))+ROW()*0.001)</f>
        <v/>
      </c>
      <c r="AW364" s="442">
        <v>222</v>
      </c>
      <c r="AY364" s="52" t="str">
        <f ca="1">IF(AX364="","",INDEX(OFFSET(Arb!$H$2,,,Arb!$AJ$5,),AX364))</f>
        <v/>
      </c>
      <c r="AZ364" s="3" t="str">
        <f t="shared" ca="1" si="101"/>
        <v/>
      </c>
      <c r="BA364" s="165" t="str">
        <f ca="1">IF(AX364="","",INDEX(OFFSET(Arb!$X$2,,,Arb!$AJ$5,),AX364)/AY364)</f>
        <v/>
      </c>
      <c r="BB364" s="165" t="str">
        <f ca="1">IF(AX364="","",(INDEX(OFFSET(Arb!$U$2,,,Arb!$AJ$5,),AX364)+INDEX(OFFSET(Arb!$V$2,,,Arb!$AJ$5,),AX364))/AY364)</f>
        <v/>
      </c>
      <c r="BC364" s="51" t="str">
        <f t="shared" ca="1" si="111"/>
        <v/>
      </c>
      <c r="BD364" s="88" t="str">
        <f ca="1">IF(AX364="","",DATE(INDEX(OFFSET(Arb!$C$2,,,Arb!$AJ$5,),AX364),INDEX(OFFSET(Arb!$B$2,,,Arb!$AJ$5,),AX364),INDEX(OFFSET(Arb!$A$2,,,Arb!$AJ$5,),AX364))+ROW()*0.001)</f>
        <v/>
      </c>
      <c r="BE364" s="436">
        <v>222</v>
      </c>
      <c r="BG364" s="52" t="str">
        <f ca="1">IF(BF364="","",INDEX(OFFSET(Arb!$H$2,,,Arb!$AJ$5,),BF364))</f>
        <v/>
      </c>
      <c r="BH364" s="3" t="str">
        <f t="shared" ca="1" si="102"/>
        <v/>
      </c>
      <c r="BI364" s="165" t="str">
        <f ca="1">IF(BF364="","",INDEX(OFFSET(Arb!$X$2,,,Arb!$AJ$5,),BF364)/BG364)</f>
        <v/>
      </c>
      <c r="BJ364" s="165" t="str">
        <f ca="1">IF(BF364="","",(INDEX(OFFSET(Arb!$U$2,,,Arb!$AJ$5,),BF364)+INDEX(OFFSET(Arb!$V$2,,,Arb!$AJ$5,),BF364))/BG364)</f>
        <v/>
      </c>
      <c r="BK364" s="51" t="str">
        <f t="shared" ca="1" si="112"/>
        <v/>
      </c>
      <c r="BL364" s="91" t="str">
        <f ca="1">IF(BF364="","",DATE(INDEX(OFFSET(Arb!$C$2,,,Arb!$AJ$5,),BF364),INDEX(OFFSET(Arb!$B$2,,,Arb!$AJ$5,),BF364),INDEX(OFFSET(Arb!$A$2,,,Arb!$AJ$5,),BF364))+ROW()*0.001)</f>
        <v/>
      </c>
      <c r="BM364" s="442">
        <v>222</v>
      </c>
      <c r="BO364" s="52" t="str">
        <f ca="1">IF(BN364="","",INDEX(OFFSET(Arb!$H$2,,,Arb!$AJ$5,),BN364))</f>
        <v/>
      </c>
      <c r="BP364" s="3" t="str">
        <f t="shared" ca="1" si="103"/>
        <v/>
      </c>
      <c r="BQ364" s="165" t="str">
        <f ca="1">IF(BN364="","",INDEX(OFFSET(Arb!$X$2,,,Arb!$AJ$5,),BN364)/BO364)</f>
        <v/>
      </c>
      <c r="BR364" s="165" t="str">
        <f ca="1">IF(BN364="","",(INDEX(OFFSET(Arb!$U$2,,,Arb!$AJ$5,),BN364)+INDEX(OFFSET(Arb!$V$2,,,Arb!$AJ$5,),BN364))/BO364)</f>
        <v/>
      </c>
      <c r="BS364" s="51" t="str">
        <f t="shared" ca="1" si="113"/>
        <v/>
      </c>
      <c r="BT364" s="88" t="str">
        <f ca="1">IF(BN364="","",DATE(INDEX(OFFSET(Arb!$C$2,,,Arb!$AJ$5,),BN364),INDEX(OFFSET(Arb!$B$2,,,Arb!$AJ$5,),BN364),INDEX(OFFSET(Arb!$A$2,,,Arb!$AJ$5,),BN364))+ROW()*0.001)</f>
        <v/>
      </c>
      <c r="BU364" s="436">
        <v>222</v>
      </c>
      <c r="BW364" s="52" t="str">
        <f ca="1">IF(BV364="","",INDEX(OFFSET(Arb!$H$2,,,Arb!$AJ$5,),BV364))</f>
        <v/>
      </c>
      <c r="BX364" s="3" t="str">
        <f t="shared" ca="1" si="104"/>
        <v/>
      </c>
      <c r="BY364" s="165" t="str">
        <f ca="1">IF(BV364="","",INDEX(OFFSET(Arb!$X$2,,,Arb!$AJ$5,),BV364)/BW364)</f>
        <v/>
      </c>
      <c r="BZ364" s="165" t="str">
        <f ca="1">IF(BV364="","",(INDEX(OFFSET(Arb!$U$2,,,Arb!$AJ$5,),BV364)+INDEX(OFFSET(Arb!$V$2,,,Arb!$AJ$5,),BV364))/BW364)</f>
        <v/>
      </c>
      <c r="CA364" s="51" t="str">
        <f t="shared" ca="1" si="114"/>
        <v/>
      </c>
      <c r="CB364" s="91" t="str">
        <f ca="1">IF(BV364="","",DATE(INDEX(OFFSET(Arb!$C$2,,,Arb!$AJ$5,),BV364),INDEX(OFFSET(Arb!$B$2,,,Arb!$AJ$5,),BV364),INDEX(OFFSET(Arb!$A$2,,,Arb!$AJ$5,),BV364))+ROW()*0.001)</f>
        <v/>
      </c>
    </row>
    <row r="365" spans="1:80" x14ac:dyDescent="0.25">
      <c r="A365" s="433">
        <v>223</v>
      </c>
      <c r="C365" s="52" t="str">
        <f ca="1">IF(B365="","",INDEX(OFFSET(Arb!$H$2,,,Arb!$AJ$5,),B365))</f>
        <v/>
      </c>
      <c r="D365" s="3" t="str">
        <f t="shared" ca="1" si="95"/>
        <v/>
      </c>
      <c r="E365" s="165" t="str">
        <f ca="1">IF(B365="","",INDEX(OFFSET(Arb!$X$2,,,Arb!$AJ$5,),B365)/C365)</f>
        <v/>
      </c>
      <c r="F365" s="165" t="str">
        <f ca="1">IF(B365="","",(INDEX(OFFSET(Arb!$U$2,,,Arb!$AJ$5,),B365)+INDEX(OFFSET(Arb!$V$2,,,Arb!$AJ$5,),B365))/C365)</f>
        <v/>
      </c>
      <c r="G365" s="51" t="str">
        <f t="shared" ca="1" si="105"/>
        <v/>
      </c>
      <c r="H365" s="355" t="str">
        <f ca="1">IF(B365="","",DATE(INDEX(OFFSET(Arb!$C$2,,,Arb!$AJ$5,),B365),INDEX(OFFSET(Arb!$B$2,,,Arb!$AJ$5,),B365),INDEX(OFFSET(Arb!$A$2,,,Arb!$AJ$5,),B365))+ROW()*0.001)</f>
        <v/>
      </c>
      <c r="I365" s="436">
        <v>223</v>
      </c>
      <c r="K365" s="52" t="str">
        <f ca="1">IF(J365="","",INDEX(OFFSET(Arb!$H$2,,,Arb!$AJ$5,),J365))</f>
        <v/>
      </c>
      <c r="L365" s="3" t="str">
        <f t="shared" ca="1" si="96"/>
        <v/>
      </c>
      <c r="M365" s="165" t="str">
        <f ca="1">IF(J365="","",INDEX(OFFSET(Arb!$X$2,,,Arb!$AJ$5,),J365)/K365)</f>
        <v/>
      </c>
      <c r="N365" s="165" t="str">
        <f ca="1">IF(J365="","",(INDEX(OFFSET(Arb!$U$2,,,Arb!$AJ$5,),J365)+INDEX(OFFSET(Arb!$V$2,,,Arb!$AJ$5,),J365))/K365)</f>
        <v/>
      </c>
      <c r="O365" s="51" t="str">
        <f t="shared" ca="1" si="106"/>
        <v/>
      </c>
      <c r="P365" s="91" t="str">
        <f ca="1">IF(J365="","",DATE(INDEX(OFFSET(Arb!$C$2,,,Arb!$AJ$5,),J365),INDEX(OFFSET(Arb!$B$2,,,Arb!$AJ$5,),J365),INDEX(OFFSET(Arb!$A$2,,,Arb!$AJ$5,),J365))+ROW()*0.001)</f>
        <v/>
      </c>
      <c r="Q365" s="442">
        <v>223</v>
      </c>
      <c r="S365" s="52" t="str">
        <f ca="1">IF(R365="","",INDEX(OFFSET(Arb!$H$2,,,Arb!$AJ$5,),R365))</f>
        <v/>
      </c>
      <c r="T365" s="3" t="str">
        <f t="shared" ca="1" si="97"/>
        <v/>
      </c>
      <c r="U365" s="165" t="str">
        <f ca="1">IF(R365="","",INDEX(OFFSET(Arb!$X$2,,,Arb!$AJ$5,),R365)/S365)</f>
        <v/>
      </c>
      <c r="V365" s="165" t="str">
        <f ca="1">IF(R365="","",(INDEX(OFFSET(Arb!$U$2,,,Arb!$AJ$5,),R365)+INDEX(OFFSET(Arb!$V$2,,,Arb!$AJ$5,),R365))/S365)</f>
        <v/>
      </c>
      <c r="W365" s="51" t="str">
        <f t="shared" ca="1" si="107"/>
        <v/>
      </c>
      <c r="X365" s="88" t="str">
        <f ca="1">IF(R365="","",DATE(INDEX(OFFSET(Arb!$C$2,,,Arb!$AJ$5,),R365),INDEX(OFFSET(Arb!$B$2,,,Arb!$AJ$5,),R365),INDEX(OFFSET(Arb!$A$2,,,Arb!$AJ$5,),R365))+ROW()*0.001)</f>
        <v/>
      </c>
      <c r="Y365" s="436">
        <v>223</v>
      </c>
      <c r="AA365" s="52" t="str">
        <f ca="1">IF(Z365="","",INDEX(OFFSET(Arb!$H$2,,,Arb!$AJ$5,),Z365))</f>
        <v/>
      </c>
      <c r="AB365" s="3" t="str">
        <f t="shared" ca="1" si="98"/>
        <v/>
      </c>
      <c r="AC365" s="165" t="str">
        <f ca="1">IF(Z365="","",INDEX(OFFSET(Arb!$X$2,,,Arb!$AJ$5,),Z365)/AA365)</f>
        <v/>
      </c>
      <c r="AD365" s="165" t="str">
        <f ca="1">IF(Z365="","",(INDEX(OFFSET(Arb!$U$2,,,Arb!$AJ$5,),Z365)+INDEX(OFFSET(Arb!$V$2,,,Arb!$AJ$5,),Z365))/AA365)</f>
        <v/>
      </c>
      <c r="AE365" s="51" t="str">
        <f t="shared" ca="1" si="108"/>
        <v/>
      </c>
      <c r="AF365" s="91" t="str">
        <f ca="1">IF(Z365="","",DATE(INDEX(OFFSET(Arb!$C$2,,,Arb!$AJ$5,),Z365),INDEX(OFFSET(Arb!$B$2,,,Arb!$AJ$5,),Z365),INDEX(OFFSET(Arb!$A$2,,,Arb!$AJ$5,),Z365))+ROW()*0.001)</f>
        <v/>
      </c>
      <c r="AG365" s="442">
        <v>223</v>
      </c>
      <c r="AI365" s="52" t="str">
        <f ca="1">IF(AH365="","",INDEX(OFFSET(Arb!$H$2,,,Arb!$AJ$5,),AH365))</f>
        <v/>
      </c>
      <c r="AJ365" s="3" t="str">
        <f t="shared" ca="1" si="99"/>
        <v/>
      </c>
      <c r="AK365" s="165" t="str">
        <f ca="1">IF(AH365="","",INDEX(OFFSET(Arb!$X$2,,,Arb!$AJ$5,),AH365)/AI365)</f>
        <v/>
      </c>
      <c r="AL365" s="165" t="str">
        <f ca="1">IF(AH365="","",(INDEX(OFFSET(Arb!$U$2,,,Arb!$AJ$5,),AH365)+INDEX(OFFSET(Arb!$V$2,,,Arb!$AJ$5,),AH365))/AI365)</f>
        <v/>
      </c>
      <c r="AM365" s="51" t="str">
        <f t="shared" ca="1" si="109"/>
        <v/>
      </c>
      <c r="AN365" s="88" t="str">
        <f ca="1">IF(AH365="","",DATE(INDEX(OFFSET(Arb!$C$2,,,Arb!$AJ$5,),AH365),INDEX(OFFSET(Arb!$B$2,,,Arb!$AJ$5,),AH365),INDEX(OFFSET(Arb!$A$2,,,Arb!$AJ$5,),AH365))+ROW()*0.001)</f>
        <v/>
      </c>
      <c r="AO365" s="436">
        <v>223</v>
      </c>
      <c r="AQ365" s="52" t="str">
        <f ca="1">IF(AP365="","",INDEX(OFFSET(Arb!$H$2,,,Arb!$AJ$5,),AP365))</f>
        <v/>
      </c>
      <c r="AR365" s="3" t="str">
        <f t="shared" ca="1" si="100"/>
        <v/>
      </c>
      <c r="AS365" s="165" t="str">
        <f ca="1">IF(AP365="","",INDEX(OFFSET(Arb!$X$2,,,Arb!$AJ$5,),AP365)/AQ365)</f>
        <v/>
      </c>
      <c r="AT365" s="165" t="str">
        <f ca="1">IF(AP365="","",(INDEX(OFFSET(Arb!$U$2,,,Arb!$AJ$5,),AP365)+INDEX(OFFSET(Arb!$V$2,,,Arb!$AJ$5,),AP365))/AQ365)</f>
        <v/>
      </c>
      <c r="AU365" s="51" t="str">
        <f t="shared" ca="1" si="110"/>
        <v/>
      </c>
      <c r="AV365" s="91" t="str">
        <f ca="1">IF(AP365="","",DATE(INDEX(OFFSET(Arb!$C$2,,,Arb!$AJ$5,),AP365),INDEX(OFFSET(Arb!$B$2,,,Arb!$AJ$5,),AP365),INDEX(OFFSET(Arb!$A$2,,,Arb!$AJ$5,),AP365))+ROW()*0.001)</f>
        <v/>
      </c>
      <c r="AW365" s="442">
        <v>223</v>
      </c>
      <c r="AY365" s="52" t="str">
        <f ca="1">IF(AX365="","",INDEX(OFFSET(Arb!$H$2,,,Arb!$AJ$5,),AX365))</f>
        <v/>
      </c>
      <c r="AZ365" s="3" t="str">
        <f t="shared" ca="1" si="101"/>
        <v/>
      </c>
      <c r="BA365" s="165" t="str">
        <f ca="1">IF(AX365="","",INDEX(OFFSET(Arb!$X$2,,,Arb!$AJ$5,),AX365)/AY365)</f>
        <v/>
      </c>
      <c r="BB365" s="165" t="str">
        <f ca="1">IF(AX365="","",(INDEX(OFFSET(Arb!$U$2,,,Arb!$AJ$5,),AX365)+INDEX(OFFSET(Arb!$V$2,,,Arb!$AJ$5,),AX365))/AY365)</f>
        <v/>
      </c>
      <c r="BC365" s="51" t="str">
        <f t="shared" ca="1" si="111"/>
        <v/>
      </c>
      <c r="BD365" s="88" t="str">
        <f ca="1">IF(AX365="","",DATE(INDEX(OFFSET(Arb!$C$2,,,Arb!$AJ$5,),AX365),INDEX(OFFSET(Arb!$B$2,,,Arb!$AJ$5,),AX365),INDEX(OFFSET(Arb!$A$2,,,Arb!$AJ$5,),AX365))+ROW()*0.001)</f>
        <v/>
      </c>
      <c r="BE365" s="436">
        <v>223</v>
      </c>
      <c r="BG365" s="52" t="str">
        <f ca="1">IF(BF365="","",INDEX(OFFSET(Arb!$H$2,,,Arb!$AJ$5,),BF365))</f>
        <v/>
      </c>
      <c r="BH365" s="3" t="str">
        <f t="shared" ca="1" si="102"/>
        <v/>
      </c>
      <c r="BI365" s="165" t="str">
        <f ca="1">IF(BF365="","",INDEX(OFFSET(Arb!$X$2,,,Arb!$AJ$5,),BF365)/BG365)</f>
        <v/>
      </c>
      <c r="BJ365" s="165" t="str">
        <f ca="1">IF(BF365="","",(INDEX(OFFSET(Arb!$U$2,,,Arb!$AJ$5,),BF365)+INDEX(OFFSET(Arb!$V$2,,,Arb!$AJ$5,),BF365))/BG365)</f>
        <v/>
      </c>
      <c r="BK365" s="51" t="str">
        <f t="shared" ca="1" si="112"/>
        <v/>
      </c>
      <c r="BL365" s="91" t="str">
        <f ca="1">IF(BF365="","",DATE(INDEX(OFFSET(Arb!$C$2,,,Arb!$AJ$5,),BF365),INDEX(OFFSET(Arb!$B$2,,,Arb!$AJ$5,),BF365),INDEX(OFFSET(Arb!$A$2,,,Arb!$AJ$5,),BF365))+ROW()*0.001)</f>
        <v/>
      </c>
      <c r="BM365" s="442">
        <v>223</v>
      </c>
      <c r="BO365" s="52" t="str">
        <f ca="1">IF(BN365="","",INDEX(OFFSET(Arb!$H$2,,,Arb!$AJ$5,),BN365))</f>
        <v/>
      </c>
      <c r="BP365" s="3" t="str">
        <f t="shared" ca="1" si="103"/>
        <v/>
      </c>
      <c r="BQ365" s="165" t="str">
        <f ca="1">IF(BN365="","",INDEX(OFFSET(Arb!$X$2,,,Arb!$AJ$5,),BN365)/BO365)</f>
        <v/>
      </c>
      <c r="BR365" s="165" t="str">
        <f ca="1">IF(BN365="","",(INDEX(OFFSET(Arb!$U$2,,,Arb!$AJ$5,),BN365)+INDEX(OFFSET(Arb!$V$2,,,Arb!$AJ$5,),BN365))/BO365)</f>
        <v/>
      </c>
      <c r="BS365" s="51" t="str">
        <f t="shared" ca="1" si="113"/>
        <v/>
      </c>
      <c r="BT365" s="88" t="str">
        <f ca="1">IF(BN365="","",DATE(INDEX(OFFSET(Arb!$C$2,,,Arb!$AJ$5,),BN365),INDEX(OFFSET(Arb!$B$2,,,Arb!$AJ$5,),BN365),INDEX(OFFSET(Arb!$A$2,,,Arb!$AJ$5,),BN365))+ROW()*0.001)</f>
        <v/>
      </c>
      <c r="BU365" s="436">
        <v>223</v>
      </c>
      <c r="BW365" s="52" t="str">
        <f ca="1">IF(BV365="","",INDEX(OFFSET(Arb!$H$2,,,Arb!$AJ$5,),BV365))</f>
        <v/>
      </c>
      <c r="BX365" s="3" t="str">
        <f t="shared" ca="1" si="104"/>
        <v/>
      </c>
      <c r="BY365" s="165" t="str">
        <f ca="1">IF(BV365="","",INDEX(OFFSET(Arb!$X$2,,,Arb!$AJ$5,),BV365)/BW365)</f>
        <v/>
      </c>
      <c r="BZ365" s="165" t="str">
        <f ca="1">IF(BV365="","",(INDEX(OFFSET(Arb!$U$2,,,Arb!$AJ$5,),BV365)+INDEX(OFFSET(Arb!$V$2,,,Arb!$AJ$5,),BV365))/BW365)</f>
        <v/>
      </c>
      <c r="CA365" s="51" t="str">
        <f t="shared" ca="1" si="114"/>
        <v/>
      </c>
      <c r="CB365" s="91" t="str">
        <f ca="1">IF(BV365="","",DATE(INDEX(OFFSET(Arb!$C$2,,,Arb!$AJ$5,),BV365),INDEX(OFFSET(Arb!$B$2,,,Arb!$AJ$5,),BV365),INDEX(OFFSET(Arb!$A$2,,,Arb!$AJ$5,),BV365))+ROW()*0.001)</f>
        <v/>
      </c>
    </row>
    <row r="366" spans="1:80" x14ac:dyDescent="0.25">
      <c r="A366" s="433">
        <v>224</v>
      </c>
      <c r="C366" s="52" t="str">
        <f ca="1">IF(B366="","",INDEX(OFFSET(Arb!$H$2,,,Arb!$AJ$5,),B366))</f>
        <v/>
      </c>
      <c r="D366" s="3" t="str">
        <f t="shared" ca="1" si="95"/>
        <v/>
      </c>
      <c r="E366" s="165" t="str">
        <f ca="1">IF(B366="","",INDEX(OFFSET(Arb!$X$2,,,Arb!$AJ$5,),B366)/C366)</f>
        <v/>
      </c>
      <c r="F366" s="165" t="str">
        <f ca="1">IF(B366="","",(INDEX(OFFSET(Arb!$U$2,,,Arb!$AJ$5,),B366)+INDEX(OFFSET(Arb!$V$2,,,Arb!$AJ$5,),B366))/C366)</f>
        <v/>
      </c>
      <c r="G366" s="51" t="str">
        <f t="shared" ca="1" si="105"/>
        <v/>
      </c>
      <c r="H366" s="355" t="str">
        <f ca="1">IF(B366="","",DATE(INDEX(OFFSET(Arb!$C$2,,,Arb!$AJ$5,),B366),INDEX(OFFSET(Arb!$B$2,,,Arb!$AJ$5,),B366),INDEX(OFFSET(Arb!$A$2,,,Arb!$AJ$5,),B366))+ROW()*0.001)</f>
        <v/>
      </c>
      <c r="I366" s="436">
        <v>224</v>
      </c>
      <c r="K366" s="52" t="str">
        <f ca="1">IF(J366="","",INDEX(OFFSET(Arb!$H$2,,,Arb!$AJ$5,),J366))</f>
        <v/>
      </c>
      <c r="L366" s="3" t="str">
        <f t="shared" ca="1" si="96"/>
        <v/>
      </c>
      <c r="M366" s="165" t="str">
        <f ca="1">IF(J366="","",INDEX(OFFSET(Arb!$X$2,,,Arb!$AJ$5,),J366)/K366)</f>
        <v/>
      </c>
      <c r="N366" s="165" t="str">
        <f ca="1">IF(J366="","",(INDEX(OFFSET(Arb!$U$2,,,Arb!$AJ$5,),J366)+INDEX(OFFSET(Arb!$V$2,,,Arb!$AJ$5,),J366))/K366)</f>
        <v/>
      </c>
      <c r="O366" s="51" t="str">
        <f t="shared" ca="1" si="106"/>
        <v/>
      </c>
      <c r="P366" s="91" t="str">
        <f ca="1">IF(J366="","",DATE(INDEX(OFFSET(Arb!$C$2,,,Arb!$AJ$5,),J366),INDEX(OFFSET(Arb!$B$2,,,Arb!$AJ$5,),J366),INDEX(OFFSET(Arb!$A$2,,,Arb!$AJ$5,),J366))+ROW()*0.001)</f>
        <v/>
      </c>
      <c r="Q366" s="442">
        <v>224</v>
      </c>
      <c r="S366" s="52" t="str">
        <f ca="1">IF(R366="","",INDEX(OFFSET(Arb!$H$2,,,Arb!$AJ$5,),R366))</f>
        <v/>
      </c>
      <c r="T366" s="3" t="str">
        <f t="shared" ca="1" si="97"/>
        <v/>
      </c>
      <c r="U366" s="165" t="str">
        <f ca="1">IF(R366="","",INDEX(OFFSET(Arb!$X$2,,,Arb!$AJ$5,),R366)/S366)</f>
        <v/>
      </c>
      <c r="V366" s="165" t="str">
        <f ca="1">IF(R366="","",(INDEX(OFFSET(Arb!$U$2,,,Arb!$AJ$5,),R366)+INDEX(OFFSET(Arb!$V$2,,,Arb!$AJ$5,),R366))/S366)</f>
        <v/>
      </c>
      <c r="W366" s="51" t="str">
        <f t="shared" ca="1" si="107"/>
        <v/>
      </c>
      <c r="X366" s="88" t="str">
        <f ca="1">IF(R366="","",DATE(INDEX(OFFSET(Arb!$C$2,,,Arb!$AJ$5,),R366),INDEX(OFFSET(Arb!$B$2,,,Arb!$AJ$5,),R366),INDEX(OFFSET(Arb!$A$2,,,Arb!$AJ$5,),R366))+ROW()*0.001)</f>
        <v/>
      </c>
      <c r="Y366" s="436">
        <v>224</v>
      </c>
      <c r="AA366" s="52" t="str">
        <f ca="1">IF(Z366="","",INDEX(OFFSET(Arb!$H$2,,,Arb!$AJ$5,),Z366))</f>
        <v/>
      </c>
      <c r="AB366" s="3" t="str">
        <f t="shared" ca="1" si="98"/>
        <v/>
      </c>
      <c r="AC366" s="165" t="str">
        <f ca="1">IF(Z366="","",INDEX(OFFSET(Arb!$X$2,,,Arb!$AJ$5,),Z366)/AA366)</f>
        <v/>
      </c>
      <c r="AD366" s="165" t="str">
        <f ca="1">IF(Z366="","",(INDEX(OFFSET(Arb!$U$2,,,Arb!$AJ$5,),Z366)+INDEX(OFFSET(Arb!$V$2,,,Arb!$AJ$5,),Z366))/AA366)</f>
        <v/>
      </c>
      <c r="AE366" s="51" t="str">
        <f t="shared" ca="1" si="108"/>
        <v/>
      </c>
      <c r="AF366" s="91" t="str">
        <f ca="1">IF(Z366="","",DATE(INDEX(OFFSET(Arb!$C$2,,,Arb!$AJ$5,),Z366),INDEX(OFFSET(Arb!$B$2,,,Arb!$AJ$5,),Z366),INDEX(OFFSET(Arb!$A$2,,,Arb!$AJ$5,),Z366))+ROW()*0.001)</f>
        <v/>
      </c>
      <c r="AG366" s="442">
        <v>224</v>
      </c>
      <c r="AI366" s="52" t="str">
        <f ca="1">IF(AH366="","",INDEX(OFFSET(Arb!$H$2,,,Arb!$AJ$5,),AH366))</f>
        <v/>
      </c>
      <c r="AJ366" s="3" t="str">
        <f t="shared" ca="1" si="99"/>
        <v/>
      </c>
      <c r="AK366" s="165" t="str">
        <f ca="1">IF(AH366="","",INDEX(OFFSET(Arb!$X$2,,,Arb!$AJ$5,),AH366)/AI366)</f>
        <v/>
      </c>
      <c r="AL366" s="165" t="str">
        <f ca="1">IF(AH366="","",(INDEX(OFFSET(Arb!$U$2,,,Arb!$AJ$5,),AH366)+INDEX(OFFSET(Arb!$V$2,,,Arb!$AJ$5,),AH366))/AI366)</f>
        <v/>
      </c>
      <c r="AM366" s="51" t="str">
        <f t="shared" ca="1" si="109"/>
        <v/>
      </c>
      <c r="AN366" s="88" t="str">
        <f ca="1">IF(AH366="","",DATE(INDEX(OFFSET(Arb!$C$2,,,Arb!$AJ$5,),AH366),INDEX(OFFSET(Arb!$B$2,,,Arb!$AJ$5,),AH366),INDEX(OFFSET(Arb!$A$2,,,Arb!$AJ$5,),AH366))+ROW()*0.001)</f>
        <v/>
      </c>
      <c r="AO366" s="436">
        <v>224</v>
      </c>
      <c r="AQ366" s="52" t="str">
        <f ca="1">IF(AP366="","",INDEX(OFFSET(Arb!$H$2,,,Arb!$AJ$5,),AP366))</f>
        <v/>
      </c>
      <c r="AR366" s="3" t="str">
        <f t="shared" ca="1" si="100"/>
        <v/>
      </c>
      <c r="AS366" s="165" t="str">
        <f ca="1">IF(AP366="","",INDEX(OFFSET(Arb!$X$2,,,Arb!$AJ$5,),AP366)/AQ366)</f>
        <v/>
      </c>
      <c r="AT366" s="165" t="str">
        <f ca="1">IF(AP366="","",(INDEX(OFFSET(Arb!$U$2,,,Arb!$AJ$5,),AP366)+INDEX(OFFSET(Arb!$V$2,,,Arb!$AJ$5,),AP366))/AQ366)</f>
        <v/>
      </c>
      <c r="AU366" s="51" t="str">
        <f t="shared" ca="1" si="110"/>
        <v/>
      </c>
      <c r="AV366" s="91" t="str">
        <f ca="1">IF(AP366="","",DATE(INDEX(OFFSET(Arb!$C$2,,,Arb!$AJ$5,),AP366),INDEX(OFFSET(Arb!$B$2,,,Arb!$AJ$5,),AP366),INDEX(OFFSET(Arb!$A$2,,,Arb!$AJ$5,),AP366))+ROW()*0.001)</f>
        <v/>
      </c>
      <c r="AW366" s="442">
        <v>224</v>
      </c>
      <c r="AY366" s="52" t="str">
        <f ca="1">IF(AX366="","",INDEX(OFFSET(Arb!$H$2,,,Arb!$AJ$5,),AX366))</f>
        <v/>
      </c>
      <c r="AZ366" s="3" t="str">
        <f t="shared" ca="1" si="101"/>
        <v/>
      </c>
      <c r="BA366" s="165" t="str">
        <f ca="1">IF(AX366="","",INDEX(OFFSET(Arb!$X$2,,,Arb!$AJ$5,),AX366)/AY366)</f>
        <v/>
      </c>
      <c r="BB366" s="165" t="str">
        <f ca="1">IF(AX366="","",(INDEX(OFFSET(Arb!$U$2,,,Arb!$AJ$5,),AX366)+INDEX(OFFSET(Arb!$V$2,,,Arb!$AJ$5,),AX366))/AY366)</f>
        <v/>
      </c>
      <c r="BC366" s="51" t="str">
        <f t="shared" ca="1" si="111"/>
        <v/>
      </c>
      <c r="BD366" s="88" t="str">
        <f ca="1">IF(AX366="","",DATE(INDEX(OFFSET(Arb!$C$2,,,Arb!$AJ$5,),AX366),INDEX(OFFSET(Arb!$B$2,,,Arb!$AJ$5,),AX366),INDEX(OFFSET(Arb!$A$2,,,Arb!$AJ$5,),AX366))+ROW()*0.001)</f>
        <v/>
      </c>
      <c r="BE366" s="436">
        <v>224</v>
      </c>
      <c r="BG366" s="52" t="str">
        <f ca="1">IF(BF366="","",INDEX(OFFSET(Arb!$H$2,,,Arb!$AJ$5,),BF366))</f>
        <v/>
      </c>
      <c r="BH366" s="3" t="str">
        <f t="shared" ca="1" si="102"/>
        <v/>
      </c>
      <c r="BI366" s="165" t="str">
        <f ca="1">IF(BF366="","",INDEX(OFFSET(Arb!$X$2,,,Arb!$AJ$5,),BF366)/BG366)</f>
        <v/>
      </c>
      <c r="BJ366" s="165" t="str">
        <f ca="1">IF(BF366="","",(INDEX(OFFSET(Arb!$U$2,,,Arb!$AJ$5,),BF366)+INDEX(OFFSET(Arb!$V$2,,,Arb!$AJ$5,),BF366))/BG366)</f>
        <v/>
      </c>
      <c r="BK366" s="51" t="str">
        <f t="shared" ca="1" si="112"/>
        <v/>
      </c>
      <c r="BL366" s="91" t="str">
        <f ca="1">IF(BF366="","",DATE(INDEX(OFFSET(Arb!$C$2,,,Arb!$AJ$5,),BF366),INDEX(OFFSET(Arb!$B$2,,,Arb!$AJ$5,),BF366),INDEX(OFFSET(Arb!$A$2,,,Arb!$AJ$5,),BF366))+ROW()*0.001)</f>
        <v/>
      </c>
      <c r="BM366" s="442">
        <v>224</v>
      </c>
      <c r="BO366" s="52" t="str">
        <f ca="1">IF(BN366="","",INDEX(OFFSET(Arb!$H$2,,,Arb!$AJ$5,),BN366))</f>
        <v/>
      </c>
      <c r="BP366" s="3" t="str">
        <f t="shared" ca="1" si="103"/>
        <v/>
      </c>
      <c r="BQ366" s="165" t="str">
        <f ca="1">IF(BN366="","",INDEX(OFFSET(Arb!$X$2,,,Arb!$AJ$5,),BN366)/BO366)</f>
        <v/>
      </c>
      <c r="BR366" s="165" t="str">
        <f ca="1">IF(BN366="","",(INDEX(OFFSET(Arb!$U$2,,,Arb!$AJ$5,),BN366)+INDEX(OFFSET(Arb!$V$2,,,Arb!$AJ$5,),BN366))/BO366)</f>
        <v/>
      </c>
      <c r="BS366" s="51" t="str">
        <f t="shared" ca="1" si="113"/>
        <v/>
      </c>
      <c r="BT366" s="88" t="str">
        <f ca="1">IF(BN366="","",DATE(INDEX(OFFSET(Arb!$C$2,,,Arb!$AJ$5,),BN366),INDEX(OFFSET(Arb!$B$2,,,Arb!$AJ$5,),BN366),INDEX(OFFSET(Arb!$A$2,,,Arb!$AJ$5,),BN366))+ROW()*0.001)</f>
        <v/>
      </c>
      <c r="BU366" s="436">
        <v>224</v>
      </c>
      <c r="BW366" s="52" t="str">
        <f ca="1">IF(BV366="","",INDEX(OFFSET(Arb!$H$2,,,Arb!$AJ$5,),BV366))</f>
        <v/>
      </c>
      <c r="BX366" s="3" t="str">
        <f t="shared" ca="1" si="104"/>
        <v/>
      </c>
      <c r="BY366" s="165" t="str">
        <f ca="1">IF(BV366="","",INDEX(OFFSET(Arb!$X$2,,,Arb!$AJ$5,),BV366)/BW366)</f>
        <v/>
      </c>
      <c r="BZ366" s="165" t="str">
        <f ca="1">IF(BV366="","",(INDEX(OFFSET(Arb!$U$2,,,Arb!$AJ$5,),BV366)+INDEX(OFFSET(Arb!$V$2,,,Arb!$AJ$5,),BV366))/BW366)</f>
        <v/>
      </c>
      <c r="CA366" s="51" t="str">
        <f t="shared" ca="1" si="114"/>
        <v/>
      </c>
      <c r="CB366" s="91" t="str">
        <f ca="1">IF(BV366="","",DATE(INDEX(OFFSET(Arb!$C$2,,,Arb!$AJ$5,),BV366),INDEX(OFFSET(Arb!$B$2,,,Arb!$AJ$5,),BV366),INDEX(OFFSET(Arb!$A$2,,,Arb!$AJ$5,),BV366))+ROW()*0.001)</f>
        <v/>
      </c>
    </row>
    <row r="367" spans="1:80" x14ac:dyDescent="0.25">
      <c r="A367" s="433">
        <v>225</v>
      </c>
      <c r="B367" s="1">
        <v>2799</v>
      </c>
      <c r="C367" s="52">
        <f ca="1">IF(B367="","",INDEX(OFFSET(Arb!$H$2,,,Arb!$AJ$5,),B367))</f>
        <v>93.06</v>
      </c>
      <c r="D367" s="3">
        <f t="shared" ca="1" si="95"/>
        <v>2.4177949709864603</v>
      </c>
      <c r="E367" s="165">
        <f ca="1">IF(B367="","",INDEX(OFFSET(Arb!$X$2,,,Arb!$AJ$5,),B367)/C367)</f>
        <v>2.826133677197507</v>
      </c>
      <c r="F367" s="165">
        <f ca="1">IF(B367="","",(INDEX(OFFSET(Arb!$U$2,,,Arb!$AJ$5,),B367)+INDEX(OFFSET(Arb!$V$2,,,Arb!$AJ$5,),B367))/C367)</f>
        <v>3.1162690737158822</v>
      </c>
      <c r="G367" s="51">
        <f t="shared" ca="1" si="105"/>
        <v>44.032727895578439</v>
      </c>
      <c r="H367" s="355">
        <f ca="1">IF(B367="","",DATE(INDEX(OFFSET(Arb!$C$2,,,Arb!$AJ$5,),B367),INDEX(OFFSET(Arb!$B$2,,,Arb!$AJ$5,),B367),INDEX(OFFSET(Arb!$A$2,,,Arb!$AJ$5,),B367))+ROW()*0.001)</f>
        <v>43896.366999999998</v>
      </c>
      <c r="I367" s="436">
        <v>225</v>
      </c>
      <c r="K367" s="52" t="str">
        <f ca="1">IF(J367="","",INDEX(OFFSET(Arb!$H$2,,,Arb!$AJ$5,),J367))</f>
        <v/>
      </c>
      <c r="L367" s="3" t="str">
        <f t="shared" ca="1" si="96"/>
        <v/>
      </c>
      <c r="M367" s="165" t="str">
        <f ca="1">IF(J367="","",INDEX(OFFSET(Arb!$X$2,,,Arb!$AJ$5,),J367)/K367)</f>
        <v/>
      </c>
      <c r="N367" s="165" t="str">
        <f ca="1">IF(J367="","",(INDEX(OFFSET(Arb!$U$2,,,Arb!$AJ$5,),J367)+INDEX(OFFSET(Arb!$V$2,,,Arb!$AJ$5,),J367))/K367)</f>
        <v/>
      </c>
      <c r="O367" s="51" t="str">
        <f t="shared" ca="1" si="106"/>
        <v/>
      </c>
      <c r="P367" s="91" t="str">
        <f ca="1">IF(J367="","",DATE(INDEX(OFFSET(Arb!$C$2,,,Arb!$AJ$5,),J367),INDEX(OFFSET(Arb!$B$2,,,Arb!$AJ$5,),J367),INDEX(OFFSET(Arb!$A$2,,,Arb!$AJ$5,),J367))+ROW()*0.001)</f>
        <v/>
      </c>
      <c r="Q367" s="442">
        <v>225</v>
      </c>
      <c r="S367" s="52" t="str">
        <f ca="1">IF(R367="","",INDEX(OFFSET(Arb!$H$2,,,Arb!$AJ$5,),R367))</f>
        <v/>
      </c>
      <c r="T367" s="3" t="str">
        <f t="shared" ca="1" si="97"/>
        <v/>
      </c>
      <c r="U367" s="165" t="str">
        <f ca="1">IF(R367="","",INDEX(OFFSET(Arb!$X$2,,,Arb!$AJ$5,),R367)/S367)</f>
        <v/>
      </c>
      <c r="V367" s="165" t="str">
        <f ca="1">IF(R367="","",(INDEX(OFFSET(Arb!$U$2,,,Arb!$AJ$5,),R367)+INDEX(OFFSET(Arb!$V$2,,,Arb!$AJ$5,),R367))/S367)</f>
        <v/>
      </c>
      <c r="W367" s="51" t="str">
        <f t="shared" ca="1" si="107"/>
        <v/>
      </c>
      <c r="X367" s="88" t="str">
        <f ca="1">IF(R367="","",DATE(INDEX(OFFSET(Arb!$C$2,,,Arb!$AJ$5,),R367),INDEX(OFFSET(Arb!$B$2,,,Arb!$AJ$5,),R367),INDEX(OFFSET(Arb!$A$2,,,Arb!$AJ$5,),R367))+ROW()*0.001)</f>
        <v/>
      </c>
      <c r="Y367" s="436">
        <v>225</v>
      </c>
      <c r="AA367" s="52" t="str">
        <f ca="1">IF(Z367="","",INDEX(OFFSET(Arb!$H$2,,,Arb!$AJ$5,),Z367))</f>
        <v/>
      </c>
      <c r="AB367" s="3" t="str">
        <f t="shared" ca="1" si="98"/>
        <v/>
      </c>
      <c r="AC367" s="165" t="str">
        <f ca="1">IF(Z367="","",INDEX(OFFSET(Arb!$X$2,,,Arb!$AJ$5,),Z367)/AA367)</f>
        <v/>
      </c>
      <c r="AD367" s="165" t="str">
        <f ca="1">IF(Z367="","",(INDEX(OFFSET(Arb!$U$2,,,Arb!$AJ$5,),Z367)+INDEX(OFFSET(Arb!$V$2,,,Arb!$AJ$5,),Z367))/AA367)</f>
        <v/>
      </c>
      <c r="AE367" s="51" t="str">
        <f t="shared" ca="1" si="108"/>
        <v/>
      </c>
      <c r="AF367" s="91" t="str">
        <f ca="1">IF(Z367="","",DATE(INDEX(OFFSET(Arb!$C$2,,,Arb!$AJ$5,),Z367),INDEX(OFFSET(Arb!$B$2,,,Arb!$AJ$5,),Z367),INDEX(OFFSET(Arb!$A$2,,,Arb!$AJ$5,),Z367))+ROW()*0.001)</f>
        <v/>
      </c>
      <c r="AG367" s="442">
        <v>225</v>
      </c>
      <c r="AI367" s="52" t="str">
        <f ca="1">IF(AH367="","",INDEX(OFFSET(Arb!$H$2,,,Arb!$AJ$5,),AH367))</f>
        <v/>
      </c>
      <c r="AJ367" s="3" t="str">
        <f t="shared" ca="1" si="99"/>
        <v/>
      </c>
      <c r="AK367" s="165" t="str">
        <f ca="1">IF(AH367="","",INDEX(OFFSET(Arb!$X$2,,,Arb!$AJ$5,),AH367)/AI367)</f>
        <v/>
      </c>
      <c r="AL367" s="165" t="str">
        <f ca="1">IF(AH367="","",(INDEX(OFFSET(Arb!$U$2,,,Arb!$AJ$5,),AH367)+INDEX(OFFSET(Arb!$V$2,,,Arb!$AJ$5,),AH367))/AI367)</f>
        <v/>
      </c>
      <c r="AM367" s="51" t="str">
        <f t="shared" ca="1" si="109"/>
        <v/>
      </c>
      <c r="AN367" s="88" t="str">
        <f ca="1">IF(AH367="","",DATE(INDEX(OFFSET(Arb!$C$2,,,Arb!$AJ$5,),AH367),INDEX(OFFSET(Arb!$B$2,,,Arb!$AJ$5,),AH367),INDEX(OFFSET(Arb!$A$2,,,Arb!$AJ$5,),AH367))+ROW()*0.001)</f>
        <v/>
      </c>
      <c r="AO367" s="436">
        <v>225</v>
      </c>
      <c r="AQ367" s="52" t="str">
        <f ca="1">IF(AP367="","",INDEX(OFFSET(Arb!$H$2,,,Arb!$AJ$5,),AP367))</f>
        <v/>
      </c>
      <c r="AR367" s="3" t="str">
        <f t="shared" ca="1" si="100"/>
        <v/>
      </c>
      <c r="AS367" s="165" t="str">
        <f ca="1">IF(AP367="","",INDEX(OFFSET(Arb!$X$2,,,Arb!$AJ$5,),AP367)/AQ367)</f>
        <v/>
      </c>
      <c r="AT367" s="165" t="str">
        <f ca="1">IF(AP367="","",(INDEX(OFFSET(Arb!$U$2,,,Arb!$AJ$5,),AP367)+INDEX(OFFSET(Arb!$V$2,,,Arb!$AJ$5,),AP367))/AQ367)</f>
        <v/>
      </c>
      <c r="AU367" s="51" t="str">
        <f t="shared" ca="1" si="110"/>
        <v/>
      </c>
      <c r="AV367" s="91" t="str">
        <f ca="1">IF(AP367="","",DATE(INDEX(OFFSET(Arb!$C$2,,,Arb!$AJ$5,),AP367),INDEX(OFFSET(Arb!$B$2,,,Arb!$AJ$5,),AP367),INDEX(OFFSET(Arb!$A$2,,,Arb!$AJ$5,),AP367))+ROW()*0.001)</f>
        <v/>
      </c>
      <c r="AW367" s="442">
        <v>225</v>
      </c>
      <c r="AY367" s="52" t="str">
        <f ca="1">IF(AX367="","",INDEX(OFFSET(Arb!$H$2,,,Arb!$AJ$5,),AX367))</f>
        <v/>
      </c>
      <c r="AZ367" s="3" t="str">
        <f t="shared" ca="1" si="101"/>
        <v/>
      </c>
      <c r="BA367" s="165" t="str">
        <f ca="1">IF(AX367="","",INDEX(OFFSET(Arb!$X$2,,,Arb!$AJ$5,),AX367)/AY367)</f>
        <v/>
      </c>
      <c r="BB367" s="165" t="str">
        <f ca="1">IF(AX367="","",(INDEX(OFFSET(Arb!$U$2,,,Arb!$AJ$5,),AX367)+INDEX(OFFSET(Arb!$V$2,,,Arb!$AJ$5,),AX367))/AY367)</f>
        <v/>
      </c>
      <c r="BC367" s="51" t="str">
        <f t="shared" ca="1" si="111"/>
        <v/>
      </c>
      <c r="BD367" s="88" t="str">
        <f ca="1">IF(AX367="","",DATE(INDEX(OFFSET(Arb!$C$2,,,Arb!$AJ$5,),AX367),INDEX(OFFSET(Arb!$B$2,,,Arb!$AJ$5,),AX367),INDEX(OFFSET(Arb!$A$2,,,Arb!$AJ$5,),AX367))+ROW()*0.001)</f>
        <v/>
      </c>
      <c r="BE367" s="436">
        <v>225</v>
      </c>
      <c r="BG367" s="52" t="str">
        <f ca="1">IF(BF367="","",INDEX(OFFSET(Arb!$H$2,,,Arb!$AJ$5,),BF367))</f>
        <v/>
      </c>
      <c r="BH367" s="3" t="str">
        <f t="shared" ca="1" si="102"/>
        <v/>
      </c>
      <c r="BI367" s="165" t="str">
        <f ca="1">IF(BF367="","",INDEX(OFFSET(Arb!$X$2,,,Arb!$AJ$5,),BF367)/BG367)</f>
        <v/>
      </c>
      <c r="BJ367" s="165" t="str">
        <f ca="1">IF(BF367="","",(INDEX(OFFSET(Arb!$U$2,,,Arb!$AJ$5,),BF367)+INDEX(OFFSET(Arb!$V$2,,,Arb!$AJ$5,),BF367))/BG367)</f>
        <v/>
      </c>
      <c r="BK367" s="51" t="str">
        <f t="shared" ca="1" si="112"/>
        <v/>
      </c>
      <c r="BL367" s="91" t="str">
        <f ca="1">IF(BF367="","",DATE(INDEX(OFFSET(Arb!$C$2,,,Arb!$AJ$5,),BF367),INDEX(OFFSET(Arb!$B$2,,,Arb!$AJ$5,),BF367),INDEX(OFFSET(Arb!$A$2,,,Arb!$AJ$5,),BF367))+ROW()*0.001)</f>
        <v/>
      </c>
      <c r="BM367" s="442">
        <v>225</v>
      </c>
      <c r="BO367" s="52" t="str">
        <f ca="1">IF(BN367="","",INDEX(OFFSET(Arb!$H$2,,,Arb!$AJ$5,),BN367))</f>
        <v/>
      </c>
      <c r="BP367" s="3" t="str">
        <f t="shared" ca="1" si="103"/>
        <v/>
      </c>
      <c r="BQ367" s="165" t="str">
        <f ca="1">IF(BN367="","",INDEX(OFFSET(Arb!$X$2,,,Arb!$AJ$5,),BN367)/BO367)</f>
        <v/>
      </c>
      <c r="BR367" s="165" t="str">
        <f ca="1">IF(BN367="","",(INDEX(OFFSET(Arb!$U$2,,,Arb!$AJ$5,),BN367)+INDEX(OFFSET(Arb!$V$2,,,Arb!$AJ$5,),BN367))/BO367)</f>
        <v/>
      </c>
      <c r="BS367" s="51" t="str">
        <f t="shared" ca="1" si="113"/>
        <v/>
      </c>
      <c r="BT367" s="88" t="str">
        <f ca="1">IF(BN367="","",DATE(INDEX(OFFSET(Arb!$C$2,,,Arb!$AJ$5,),BN367),INDEX(OFFSET(Arb!$B$2,,,Arb!$AJ$5,),BN367),INDEX(OFFSET(Arb!$A$2,,,Arb!$AJ$5,),BN367))+ROW()*0.001)</f>
        <v/>
      </c>
      <c r="BU367" s="436">
        <v>225</v>
      </c>
      <c r="BW367" s="52" t="str">
        <f ca="1">IF(BV367="","",INDEX(OFFSET(Arb!$H$2,,,Arb!$AJ$5,),BV367))</f>
        <v/>
      </c>
      <c r="BX367" s="3" t="str">
        <f t="shared" ca="1" si="104"/>
        <v/>
      </c>
      <c r="BY367" s="165" t="str">
        <f ca="1">IF(BV367="","",INDEX(OFFSET(Arb!$X$2,,,Arb!$AJ$5,),BV367)/BW367)</f>
        <v/>
      </c>
      <c r="BZ367" s="165" t="str">
        <f ca="1">IF(BV367="","",(INDEX(OFFSET(Arb!$U$2,,,Arb!$AJ$5,),BV367)+INDEX(OFFSET(Arb!$V$2,,,Arb!$AJ$5,),BV367))/BW367)</f>
        <v/>
      </c>
      <c r="CA367" s="51" t="str">
        <f t="shared" ca="1" si="114"/>
        <v/>
      </c>
      <c r="CB367" s="91" t="str">
        <f ca="1">IF(BV367="","",DATE(INDEX(OFFSET(Arb!$C$2,,,Arb!$AJ$5,),BV367),INDEX(OFFSET(Arb!$B$2,,,Arb!$AJ$5,),BV367),INDEX(OFFSET(Arb!$A$2,,,Arb!$AJ$5,),BV367))+ROW()*0.001)</f>
        <v/>
      </c>
    </row>
    <row r="368" spans="1:80" x14ac:dyDescent="0.25">
      <c r="A368" s="433">
        <v>226</v>
      </c>
      <c r="B368" s="1">
        <v>2792</v>
      </c>
      <c r="C368" s="52">
        <f ca="1">IF(B368="","",INDEX(OFFSET(Arb!$H$2,,,Arb!$AJ$5,),B368))</f>
        <v>86.06</v>
      </c>
      <c r="D368" s="3">
        <f t="shared" ca="1" si="95"/>
        <v>2.6260748315128981</v>
      </c>
      <c r="E368" s="165">
        <f ca="1">IF(B368="","",INDEX(OFFSET(Arb!$X$2,,,Arb!$AJ$5,),B368)/C368)</f>
        <v>2.9630490355565882</v>
      </c>
      <c r="F368" s="165">
        <f ca="1">IF(B368="","",(INDEX(OFFSET(Arb!$U$2,,,Arb!$AJ$5,),B368)+INDEX(OFFSET(Arb!$V$2,,,Arb!$AJ$5,),B368))/C368)</f>
        <v>3.2186846386242154</v>
      </c>
      <c r="G368" s="51">
        <f t="shared" ca="1" si="105"/>
        <v>50.516867611021731</v>
      </c>
      <c r="H368" s="355">
        <f ca="1">IF(B368="","",DATE(INDEX(OFFSET(Arb!$C$2,,,Arb!$AJ$5,),B368),INDEX(OFFSET(Arb!$B$2,,,Arb!$AJ$5,),B368),INDEX(OFFSET(Arb!$A$2,,,Arb!$AJ$5,),B368))+ROW()*0.001)</f>
        <v>43893.368000000002</v>
      </c>
      <c r="I368" s="436">
        <v>226</v>
      </c>
      <c r="J368" s="1">
        <v>2467</v>
      </c>
      <c r="K368" s="52">
        <f ca="1">IF(J368="","",INDEX(OFFSET(Arb!$H$2,,,Arb!$AJ$5,),J368))</f>
        <v>98.1</v>
      </c>
      <c r="L368" s="3">
        <f t="shared" ca="1" si="96"/>
        <v>2.3037716615698267</v>
      </c>
      <c r="M368" s="165">
        <f ca="1">IF(J368="","",INDEX(OFFSET(Arb!$X$2,,,Arb!$AJ$5,),J368)/K368)</f>
        <v>2.7115188583078491</v>
      </c>
      <c r="N368" s="165">
        <f ca="1">IF(J368="","",(INDEX(OFFSET(Arb!$U$2,,,Arb!$AJ$5,),J368)+INDEX(OFFSET(Arb!$V$2,,,Arb!$AJ$5,),J368))/K368)</f>
        <v>2.9561671763506627</v>
      </c>
      <c r="O368" s="51">
        <f t="shared" ca="1" si="106"/>
        <v>40.435366322132516</v>
      </c>
      <c r="P368" s="91">
        <f ca="1">IF(J368="","",DATE(INDEX(OFFSET(Arb!$C$2,,,Arb!$AJ$5,),J368),INDEX(OFFSET(Arb!$B$2,,,Arb!$AJ$5,),J368),INDEX(OFFSET(Arb!$A$2,,,Arb!$AJ$5,),J368))+ROW()*0.001)</f>
        <v>43779.368000000002</v>
      </c>
      <c r="Q368" s="442">
        <v>226</v>
      </c>
      <c r="S368" s="52" t="str">
        <f ca="1">IF(R368="","",INDEX(OFFSET(Arb!$H$2,,,Arb!$AJ$5,),R368))</f>
        <v/>
      </c>
      <c r="T368" s="3" t="str">
        <f t="shared" ca="1" si="97"/>
        <v/>
      </c>
      <c r="U368" s="165" t="str">
        <f ca="1">IF(R368="","",INDEX(OFFSET(Arb!$X$2,,,Arb!$AJ$5,),R368)/S368)</f>
        <v/>
      </c>
      <c r="V368" s="165" t="str">
        <f ca="1">IF(R368="","",(INDEX(OFFSET(Arb!$U$2,,,Arb!$AJ$5,),R368)+INDEX(OFFSET(Arb!$V$2,,,Arb!$AJ$5,),R368))/S368)</f>
        <v/>
      </c>
      <c r="W368" s="51" t="str">
        <f t="shared" ca="1" si="107"/>
        <v/>
      </c>
      <c r="X368" s="88" t="str">
        <f ca="1">IF(R368="","",DATE(INDEX(OFFSET(Arb!$C$2,,,Arb!$AJ$5,),R368),INDEX(OFFSET(Arb!$B$2,,,Arb!$AJ$5,),R368),INDEX(OFFSET(Arb!$A$2,,,Arb!$AJ$5,),R368))+ROW()*0.001)</f>
        <v/>
      </c>
      <c r="Y368" s="436">
        <v>226</v>
      </c>
      <c r="AA368" s="52" t="str">
        <f ca="1">IF(Z368="","",INDEX(OFFSET(Arb!$H$2,,,Arb!$AJ$5,),Z368))</f>
        <v/>
      </c>
      <c r="AB368" s="3" t="str">
        <f t="shared" ca="1" si="98"/>
        <v/>
      </c>
      <c r="AC368" s="165" t="str">
        <f ca="1">IF(Z368="","",INDEX(OFFSET(Arb!$X$2,,,Arb!$AJ$5,),Z368)/AA368)</f>
        <v/>
      </c>
      <c r="AD368" s="165" t="str">
        <f ca="1">IF(Z368="","",(INDEX(OFFSET(Arb!$U$2,,,Arb!$AJ$5,),Z368)+INDEX(OFFSET(Arb!$V$2,,,Arb!$AJ$5,),Z368))/AA368)</f>
        <v/>
      </c>
      <c r="AE368" s="51" t="str">
        <f t="shared" ca="1" si="108"/>
        <v/>
      </c>
      <c r="AF368" s="91" t="str">
        <f ca="1">IF(Z368="","",DATE(INDEX(OFFSET(Arb!$C$2,,,Arb!$AJ$5,),Z368),INDEX(OFFSET(Arb!$B$2,,,Arb!$AJ$5,),Z368),INDEX(OFFSET(Arb!$A$2,,,Arb!$AJ$5,),Z368))+ROW()*0.001)</f>
        <v/>
      </c>
      <c r="AG368" s="442">
        <v>226</v>
      </c>
      <c r="AI368" s="52" t="str">
        <f ca="1">IF(AH368="","",INDEX(OFFSET(Arb!$H$2,,,Arb!$AJ$5,),AH368))</f>
        <v/>
      </c>
      <c r="AJ368" s="3" t="str">
        <f t="shared" ca="1" si="99"/>
        <v/>
      </c>
      <c r="AK368" s="165" t="str">
        <f ca="1">IF(AH368="","",INDEX(OFFSET(Arb!$X$2,,,Arb!$AJ$5,),AH368)/AI368)</f>
        <v/>
      </c>
      <c r="AL368" s="165" t="str">
        <f ca="1">IF(AH368="","",(INDEX(OFFSET(Arb!$U$2,,,Arb!$AJ$5,),AH368)+INDEX(OFFSET(Arb!$V$2,,,Arb!$AJ$5,),AH368))/AI368)</f>
        <v/>
      </c>
      <c r="AM368" s="51" t="str">
        <f t="shared" ca="1" si="109"/>
        <v/>
      </c>
      <c r="AN368" s="88" t="str">
        <f ca="1">IF(AH368="","",DATE(INDEX(OFFSET(Arb!$C$2,,,Arb!$AJ$5,),AH368),INDEX(OFFSET(Arb!$B$2,,,Arb!$AJ$5,),AH368),INDEX(OFFSET(Arb!$A$2,,,Arb!$AJ$5,),AH368))+ROW()*0.001)</f>
        <v/>
      </c>
      <c r="AO368" s="436">
        <v>226</v>
      </c>
      <c r="AQ368" s="52" t="str">
        <f ca="1">IF(AP368="","",INDEX(OFFSET(Arb!$H$2,,,Arb!$AJ$5,),AP368))</f>
        <v/>
      </c>
      <c r="AR368" s="3" t="str">
        <f t="shared" ca="1" si="100"/>
        <v/>
      </c>
      <c r="AS368" s="165" t="str">
        <f ca="1">IF(AP368="","",INDEX(OFFSET(Arb!$X$2,,,Arb!$AJ$5,),AP368)/AQ368)</f>
        <v/>
      </c>
      <c r="AT368" s="165" t="str">
        <f ca="1">IF(AP368="","",(INDEX(OFFSET(Arb!$U$2,,,Arb!$AJ$5,),AP368)+INDEX(OFFSET(Arb!$V$2,,,Arb!$AJ$5,),AP368))/AQ368)</f>
        <v/>
      </c>
      <c r="AU368" s="51" t="str">
        <f t="shared" ca="1" si="110"/>
        <v/>
      </c>
      <c r="AV368" s="91" t="str">
        <f ca="1">IF(AP368="","",DATE(INDEX(OFFSET(Arb!$C$2,,,Arb!$AJ$5,),AP368),INDEX(OFFSET(Arb!$B$2,,,Arb!$AJ$5,),AP368),INDEX(OFFSET(Arb!$A$2,,,Arb!$AJ$5,),AP368))+ROW()*0.001)</f>
        <v/>
      </c>
      <c r="AW368" s="442">
        <v>226</v>
      </c>
      <c r="AY368" s="52" t="str">
        <f ca="1">IF(AX368="","",INDEX(OFFSET(Arb!$H$2,,,Arb!$AJ$5,),AX368))</f>
        <v/>
      </c>
      <c r="AZ368" s="3" t="str">
        <f t="shared" ca="1" si="101"/>
        <v/>
      </c>
      <c r="BA368" s="165" t="str">
        <f ca="1">IF(AX368="","",INDEX(OFFSET(Arb!$X$2,,,Arb!$AJ$5,),AX368)/AY368)</f>
        <v/>
      </c>
      <c r="BB368" s="165" t="str">
        <f ca="1">IF(AX368="","",(INDEX(OFFSET(Arb!$U$2,,,Arb!$AJ$5,),AX368)+INDEX(OFFSET(Arb!$V$2,,,Arb!$AJ$5,),AX368))/AY368)</f>
        <v/>
      </c>
      <c r="BC368" s="51" t="str">
        <f t="shared" ca="1" si="111"/>
        <v/>
      </c>
      <c r="BD368" s="88" t="str">
        <f ca="1">IF(AX368="","",DATE(INDEX(OFFSET(Arb!$C$2,,,Arb!$AJ$5,),AX368),INDEX(OFFSET(Arb!$B$2,,,Arb!$AJ$5,),AX368),INDEX(OFFSET(Arb!$A$2,,,Arb!$AJ$5,),AX368))+ROW()*0.001)</f>
        <v/>
      </c>
      <c r="BE368" s="436">
        <v>226</v>
      </c>
      <c r="BG368" s="52" t="str">
        <f ca="1">IF(BF368="","",INDEX(OFFSET(Arb!$H$2,,,Arb!$AJ$5,),BF368))</f>
        <v/>
      </c>
      <c r="BH368" s="3" t="str">
        <f t="shared" ca="1" si="102"/>
        <v/>
      </c>
      <c r="BI368" s="165" t="str">
        <f ca="1">IF(BF368="","",INDEX(OFFSET(Arb!$X$2,,,Arb!$AJ$5,),BF368)/BG368)</f>
        <v/>
      </c>
      <c r="BJ368" s="165" t="str">
        <f ca="1">IF(BF368="","",(INDEX(OFFSET(Arb!$U$2,,,Arb!$AJ$5,),BF368)+INDEX(OFFSET(Arb!$V$2,,,Arb!$AJ$5,),BF368))/BG368)</f>
        <v/>
      </c>
      <c r="BK368" s="51" t="str">
        <f t="shared" ca="1" si="112"/>
        <v/>
      </c>
      <c r="BL368" s="91" t="str">
        <f ca="1">IF(BF368="","",DATE(INDEX(OFFSET(Arb!$C$2,,,Arb!$AJ$5,),BF368),INDEX(OFFSET(Arb!$B$2,,,Arb!$AJ$5,),BF368),INDEX(OFFSET(Arb!$A$2,,,Arb!$AJ$5,),BF368))+ROW()*0.001)</f>
        <v/>
      </c>
      <c r="BM368" s="442">
        <v>226</v>
      </c>
      <c r="BO368" s="52" t="str">
        <f ca="1">IF(BN368="","",INDEX(OFFSET(Arb!$H$2,,,Arb!$AJ$5,),BN368))</f>
        <v/>
      </c>
      <c r="BP368" s="3" t="str">
        <f t="shared" ca="1" si="103"/>
        <v/>
      </c>
      <c r="BQ368" s="165" t="str">
        <f ca="1">IF(BN368="","",INDEX(OFFSET(Arb!$X$2,,,Arb!$AJ$5,),BN368)/BO368)</f>
        <v/>
      </c>
      <c r="BR368" s="165" t="str">
        <f ca="1">IF(BN368="","",(INDEX(OFFSET(Arb!$U$2,,,Arb!$AJ$5,),BN368)+INDEX(OFFSET(Arb!$V$2,,,Arb!$AJ$5,),BN368))/BO368)</f>
        <v/>
      </c>
      <c r="BS368" s="51" t="str">
        <f t="shared" ca="1" si="113"/>
        <v/>
      </c>
      <c r="BT368" s="88" t="str">
        <f ca="1">IF(BN368="","",DATE(INDEX(OFFSET(Arb!$C$2,,,Arb!$AJ$5,),BN368),INDEX(OFFSET(Arb!$B$2,,,Arb!$AJ$5,),BN368),INDEX(OFFSET(Arb!$A$2,,,Arb!$AJ$5,),BN368))+ROW()*0.001)</f>
        <v/>
      </c>
      <c r="BU368" s="436">
        <v>226</v>
      </c>
      <c r="BW368" s="52" t="str">
        <f ca="1">IF(BV368="","",INDEX(OFFSET(Arb!$H$2,,,Arb!$AJ$5,),BV368))</f>
        <v/>
      </c>
      <c r="BX368" s="3" t="str">
        <f t="shared" ca="1" si="104"/>
        <v/>
      </c>
      <c r="BY368" s="165" t="str">
        <f ca="1">IF(BV368="","",INDEX(OFFSET(Arb!$X$2,,,Arb!$AJ$5,),BV368)/BW368)</f>
        <v/>
      </c>
      <c r="BZ368" s="165" t="str">
        <f ca="1">IF(BV368="","",(INDEX(OFFSET(Arb!$U$2,,,Arb!$AJ$5,),BV368)+INDEX(OFFSET(Arb!$V$2,,,Arb!$AJ$5,),BV368))/BW368)</f>
        <v/>
      </c>
      <c r="CA368" s="51" t="str">
        <f t="shared" ca="1" si="114"/>
        <v/>
      </c>
      <c r="CB368" s="91" t="str">
        <f ca="1">IF(BV368="","",DATE(INDEX(OFFSET(Arb!$C$2,,,Arb!$AJ$5,),BV368),INDEX(OFFSET(Arb!$B$2,,,Arb!$AJ$5,),BV368),INDEX(OFFSET(Arb!$A$2,,,Arb!$AJ$5,),BV368))+ROW()*0.001)</f>
        <v/>
      </c>
    </row>
    <row r="369" spans="1:80" x14ac:dyDescent="0.25">
      <c r="A369" s="433">
        <v>227</v>
      </c>
      <c r="C369" s="52" t="str">
        <f ca="1">IF(B369="","",INDEX(OFFSET(Arb!$H$2,,,Arb!$AJ$5,),B369))</f>
        <v/>
      </c>
      <c r="D369" s="3" t="str">
        <f t="shared" ca="1" si="95"/>
        <v/>
      </c>
      <c r="E369" s="165" t="str">
        <f ca="1">IF(B369="","",INDEX(OFFSET(Arb!$X$2,,,Arb!$AJ$5,),B369)/C369)</f>
        <v/>
      </c>
      <c r="F369" s="165" t="str">
        <f ca="1">IF(B369="","",(INDEX(OFFSET(Arb!$U$2,,,Arb!$AJ$5,),B369)+INDEX(OFFSET(Arb!$V$2,,,Arb!$AJ$5,),B369))/C369)</f>
        <v/>
      </c>
      <c r="G369" s="51" t="str">
        <f t="shared" ca="1" si="105"/>
        <v/>
      </c>
      <c r="H369" s="355" t="str">
        <f ca="1">IF(B369="","",DATE(INDEX(OFFSET(Arb!$C$2,,,Arb!$AJ$5,),B369),INDEX(OFFSET(Arb!$B$2,,,Arb!$AJ$5,),B369),INDEX(OFFSET(Arb!$A$2,,,Arb!$AJ$5,),B369))+ROW()*0.001)</f>
        <v/>
      </c>
      <c r="I369" s="436">
        <v>227</v>
      </c>
      <c r="K369" s="52" t="str">
        <f ca="1">IF(J369="","",INDEX(OFFSET(Arb!$H$2,,,Arb!$AJ$5,),J369))</f>
        <v/>
      </c>
      <c r="L369" s="3" t="str">
        <f t="shared" ca="1" si="96"/>
        <v/>
      </c>
      <c r="M369" s="165" t="str">
        <f ca="1">IF(J369="","",INDEX(OFFSET(Arb!$X$2,,,Arb!$AJ$5,),J369)/K369)</f>
        <v/>
      </c>
      <c r="N369" s="165" t="str">
        <f ca="1">IF(J369="","",(INDEX(OFFSET(Arb!$U$2,,,Arb!$AJ$5,),J369)+INDEX(OFFSET(Arb!$V$2,,,Arb!$AJ$5,),J369))/K369)</f>
        <v/>
      </c>
      <c r="O369" s="51" t="str">
        <f t="shared" ca="1" si="106"/>
        <v/>
      </c>
      <c r="P369" s="91" t="str">
        <f ca="1">IF(J369="","",DATE(INDEX(OFFSET(Arb!$C$2,,,Arb!$AJ$5,),J369),INDEX(OFFSET(Arb!$B$2,,,Arb!$AJ$5,),J369),INDEX(OFFSET(Arb!$A$2,,,Arb!$AJ$5,),J369))+ROW()*0.001)</f>
        <v/>
      </c>
      <c r="Q369" s="442">
        <v>227</v>
      </c>
      <c r="S369" s="52" t="str">
        <f ca="1">IF(R369="","",INDEX(OFFSET(Arb!$H$2,,,Arb!$AJ$5,),R369))</f>
        <v/>
      </c>
      <c r="T369" s="3" t="str">
        <f t="shared" ca="1" si="97"/>
        <v/>
      </c>
      <c r="U369" s="165" t="str">
        <f ca="1">IF(R369="","",INDEX(OFFSET(Arb!$X$2,,,Arb!$AJ$5,),R369)/S369)</f>
        <v/>
      </c>
      <c r="V369" s="165" t="str">
        <f ca="1">IF(R369="","",(INDEX(OFFSET(Arb!$U$2,,,Arb!$AJ$5,),R369)+INDEX(OFFSET(Arb!$V$2,,,Arb!$AJ$5,),R369))/S369)</f>
        <v/>
      </c>
      <c r="W369" s="51" t="str">
        <f t="shared" ca="1" si="107"/>
        <v/>
      </c>
      <c r="X369" s="88" t="str">
        <f ca="1">IF(R369="","",DATE(INDEX(OFFSET(Arb!$C$2,,,Arb!$AJ$5,),R369),INDEX(OFFSET(Arb!$B$2,,,Arb!$AJ$5,),R369),INDEX(OFFSET(Arb!$A$2,,,Arb!$AJ$5,),R369))+ROW()*0.001)</f>
        <v/>
      </c>
      <c r="Y369" s="436">
        <v>227</v>
      </c>
      <c r="AA369" s="52" t="str">
        <f ca="1">IF(Z369="","",INDEX(OFFSET(Arb!$H$2,,,Arb!$AJ$5,),Z369))</f>
        <v/>
      </c>
      <c r="AB369" s="3" t="str">
        <f t="shared" ca="1" si="98"/>
        <v/>
      </c>
      <c r="AC369" s="165" t="str">
        <f ca="1">IF(Z369="","",INDEX(OFFSET(Arb!$X$2,,,Arb!$AJ$5,),Z369)/AA369)</f>
        <v/>
      </c>
      <c r="AD369" s="165" t="str">
        <f ca="1">IF(Z369="","",(INDEX(OFFSET(Arb!$U$2,,,Arb!$AJ$5,),Z369)+INDEX(OFFSET(Arb!$V$2,,,Arb!$AJ$5,),Z369))/AA369)</f>
        <v/>
      </c>
      <c r="AE369" s="51" t="str">
        <f t="shared" ca="1" si="108"/>
        <v/>
      </c>
      <c r="AF369" s="91" t="str">
        <f ca="1">IF(Z369="","",DATE(INDEX(OFFSET(Arb!$C$2,,,Arb!$AJ$5,),Z369),INDEX(OFFSET(Arb!$B$2,,,Arb!$AJ$5,),Z369),INDEX(OFFSET(Arb!$A$2,,,Arb!$AJ$5,),Z369))+ROW()*0.001)</f>
        <v/>
      </c>
      <c r="AG369" s="442">
        <v>227</v>
      </c>
      <c r="AI369" s="52" t="str">
        <f ca="1">IF(AH369="","",INDEX(OFFSET(Arb!$H$2,,,Arb!$AJ$5,),AH369))</f>
        <v/>
      </c>
      <c r="AJ369" s="3" t="str">
        <f t="shared" ca="1" si="99"/>
        <v/>
      </c>
      <c r="AK369" s="165" t="str">
        <f ca="1">IF(AH369="","",INDEX(OFFSET(Arb!$X$2,,,Arb!$AJ$5,),AH369)/AI369)</f>
        <v/>
      </c>
      <c r="AL369" s="165" t="str">
        <f ca="1">IF(AH369="","",(INDEX(OFFSET(Arb!$U$2,,,Arb!$AJ$5,),AH369)+INDEX(OFFSET(Arb!$V$2,,,Arb!$AJ$5,),AH369))/AI369)</f>
        <v/>
      </c>
      <c r="AM369" s="51" t="str">
        <f t="shared" ca="1" si="109"/>
        <v/>
      </c>
      <c r="AN369" s="88" t="str">
        <f ca="1">IF(AH369="","",DATE(INDEX(OFFSET(Arb!$C$2,,,Arb!$AJ$5,),AH369),INDEX(OFFSET(Arb!$B$2,,,Arb!$AJ$5,),AH369),INDEX(OFFSET(Arb!$A$2,,,Arb!$AJ$5,),AH369))+ROW()*0.001)</f>
        <v/>
      </c>
      <c r="AO369" s="436">
        <v>227</v>
      </c>
      <c r="AQ369" s="52" t="str">
        <f ca="1">IF(AP369="","",INDEX(OFFSET(Arb!$H$2,,,Arb!$AJ$5,),AP369))</f>
        <v/>
      </c>
      <c r="AR369" s="3" t="str">
        <f t="shared" ca="1" si="100"/>
        <v/>
      </c>
      <c r="AS369" s="165" t="str">
        <f ca="1">IF(AP369="","",INDEX(OFFSET(Arb!$X$2,,,Arb!$AJ$5,),AP369)/AQ369)</f>
        <v/>
      </c>
      <c r="AT369" s="165" t="str">
        <f ca="1">IF(AP369="","",(INDEX(OFFSET(Arb!$U$2,,,Arb!$AJ$5,),AP369)+INDEX(OFFSET(Arb!$V$2,,,Arb!$AJ$5,),AP369))/AQ369)</f>
        <v/>
      </c>
      <c r="AU369" s="51" t="str">
        <f t="shared" ca="1" si="110"/>
        <v/>
      </c>
      <c r="AV369" s="91" t="str">
        <f ca="1">IF(AP369="","",DATE(INDEX(OFFSET(Arb!$C$2,,,Arb!$AJ$5,),AP369),INDEX(OFFSET(Arb!$B$2,,,Arb!$AJ$5,),AP369),INDEX(OFFSET(Arb!$A$2,,,Arb!$AJ$5,),AP369))+ROW()*0.001)</f>
        <v/>
      </c>
      <c r="AW369" s="442">
        <v>227</v>
      </c>
      <c r="AY369" s="52" t="str">
        <f ca="1">IF(AX369="","",INDEX(OFFSET(Arb!$H$2,,,Arb!$AJ$5,),AX369))</f>
        <v/>
      </c>
      <c r="AZ369" s="3" t="str">
        <f t="shared" ca="1" si="101"/>
        <v/>
      </c>
      <c r="BA369" s="165" t="str">
        <f ca="1">IF(AX369="","",INDEX(OFFSET(Arb!$X$2,,,Arb!$AJ$5,),AX369)/AY369)</f>
        <v/>
      </c>
      <c r="BB369" s="165" t="str">
        <f ca="1">IF(AX369="","",(INDEX(OFFSET(Arb!$U$2,,,Arb!$AJ$5,),AX369)+INDEX(OFFSET(Arb!$V$2,,,Arb!$AJ$5,),AX369))/AY369)</f>
        <v/>
      </c>
      <c r="BC369" s="51" t="str">
        <f t="shared" ca="1" si="111"/>
        <v/>
      </c>
      <c r="BD369" s="88" t="str">
        <f ca="1">IF(AX369="","",DATE(INDEX(OFFSET(Arb!$C$2,,,Arb!$AJ$5,),AX369),INDEX(OFFSET(Arb!$B$2,,,Arb!$AJ$5,),AX369),INDEX(OFFSET(Arb!$A$2,,,Arb!$AJ$5,),AX369))+ROW()*0.001)</f>
        <v/>
      </c>
      <c r="BE369" s="436">
        <v>227</v>
      </c>
      <c r="BG369" s="52" t="str">
        <f ca="1">IF(BF369="","",INDEX(OFFSET(Arb!$H$2,,,Arb!$AJ$5,),BF369))</f>
        <v/>
      </c>
      <c r="BH369" s="3" t="str">
        <f t="shared" ca="1" si="102"/>
        <v/>
      </c>
      <c r="BI369" s="165" t="str">
        <f ca="1">IF(BF369="","",INDEX(OFFSET(Arb!$X$2,,,Arb!$AJ$5,),BF369)/BG369)</f>
        <v/>
      </c>
      <c r="BJ369" s="165" t="str">
        <f ca="1">IF(BF369="","",(INDEX(OFFSET(Arb!$U$2,,,Arb!$AJ$5,),BF369)+INDEX(OFFSET(Arb!$V$2,,,Arb!$AJ$5,),BF369))/BG369)</f>
        <v/>
      </c>
      <c r="BK369" s="51" t="str">
        <f t="shared" ca="1" si="112"/>
        <v/>
      </c>
      <c r="BL369" s="91" t="str">
        <f ca="1">IF(BF369="","",DATE(INDEX(OFFSET(Arb!$C$2,,,Arb!$AJ$5,),BF369),INDEX(OFFSET(Arb!$B$2,,,Arb!$AJ$5,),BF369),INDEX(OFFSET(Arb!$A$2,,,Arb!$AJ$5,),BF369))+ROW()*0.001)</f>
        <v/>
      </c>
      <c r="BM369" s="442">
        <v>227</v>
      </c>
      <c r="BO369" s="52" t="str">
        <f ca="1">IF(BN369="","",INDEX(OFFSET(Arb!$H$2,,,Arb!$AJ$5,),BN369))</f>
        <v/>
      </c>
      <c r="BP369" s="3" t="str">
        <f t="shared" ca="1" si="103"/>
        <v/>
      </c>
      <c r="BQ369" s="165" t="str">
        <f ca="1">IF(BN369="","",INDEX(OFFSET(Arb!$X$2,,,Arb!$AJ$5,),BN369)/BO369)</f>
        <v/>
      </c>
      <c r="BR369" s="165" t="str">
        <f ca="1">IF(BN369="","",(INDEX(OFFSET(Arb!$U$2,,,Arb!$AJ$5,),BN369)+INDEX(OFFSET(Arb!$V$2,,,Arb!$AJ$5,),BN369))/BO369)</f>
        <v/>
      </c>
      <c r="BS369" s="51" t="str">
        <f t="shared" ca="1" si="113"/>
        <v/>
      </c>
      <c r="BT369" s="88" t="str">
        <f ca="1">IF(BN369="","",DATE(INDEX(OFFSET(Arb!$C$2,,,Arb!$AJ$5,),BN369),INDEX(OFFSET(Arb!$B$2,,,Arb!$AJ$5,),BN369),INDEX(OFFSET(Arb!$A$2,,,Arb!$AJ$5,),BN369))+ROW()*0.001)</f>
        <v/>
      </c>
      <c r="BU369" s="436">
        <v>227</v>
      </c>
      <c r="BW369" s="52" t="str">
        <f ca="1">IF(BV369="","",INDEX(OFFSET(Arb!$H$2,,,Arb!$AJ$5,),BV369))</f>
        <v/>
      </c>
      <c r="BX369" s="3" t="str">
        <f t="shared" ca="1" si="104"/>
        <v/>
      </c>
      <c r="BY369" s="165" t="str">
        <f ca="1">IF(BV369="","",INDEX(OFFSET(Arb!$X$2,,,Arb!$AJ$5,),BV369)/BW369)</f>
        <v/>
      </c>
      <c r="BZ369" s="165" t="str">
        <f ca="1">IF(BV369="","",(INDEX(OFFSET(Arb!$U$2,,,Arb!$AJ$5,),BV369)+INDEX(OFFSET(Arb!$V$2,,,Arb!$AJ$5,),BV369))/BW369)</f>
        <v/>
      </c>
      <c r="CA369" s="51" t="str">
        <f t="shared" ca="1" si="114"/>
        <v/>
      </c>
      <c r="CB369" s="91" t="str">
        <f ca="1">IF(BV369="","",DATE(INDEX(OFFSET(Arb!$C$2,,,Arb!$AJ$5,),BV369),INDEX(OFFSET(Arb!$B$2,,,Arb!$AJ$5,),BV369),INDEX(OFFSET(Arb!$A$2,,,Arb!$AJ$5,),BV369))+ROW()*0.001)</f>
        <v/>
      </c>
    </row>
    <row r="370" spans="1:80" x14ac:dyDescent="0.25">
      <c r="A370" s="433">
        <v>228</v>
      </c>
      <c r="B370" s="1">
        <v>2917</v>
      </c>
      <c r="C370" s="52">
        <f ca="1">IF(B370="","",INDEX(OFFSET(Arb!$H$2,,,Arb!$AJ$5,),B370))</f>
        <v>90.59</v>
      </c>
      <c r="D370" s="3">
        <f t="shared" ref="D370:D420" ca="1" si="115">IFERROR(A370/C370,"")</f>
        <v>2.5168340876476432</v>
      </c>
      <c r="E370" s="165">
        <f ca="1">IF(B370="","",INDEX(OFFSET(Arb!$X$2,,,Arb!$AJ$5,),B370)/C370)</f>
        <v>2.936306435588917</v>
      </c>
      <c r="F370" s="165">
        <f ca="1">IF(B370="","",(INDEX(OFFSET(Arb!$U$2,,,Arb!$AJ$5,),B370)+INDEX(OFFSET(Arb!$V$2,,,Arb!$AJ$5,),B370))/C370)</f>
        <v>3.2895463075394633</v>
      </c>
      <c r="G370" s="51">
        <f t="shared" ca="1" si="105"/>
        <v>46.707719230627681</v>
      </c>
      <c r="H370" s="355">
        <f ca="1">IF(B370="","",DATE(INDEX(OFFSET(Arb!$C$2,,,Arb!$AJ$5,),B370),INDEX(OFFSET(Arb!$B$2,,,Arb!$AJ$5,),B370),INDEX(OFFSET(Arb!$A$2,,,Arb!$AJ$5,),B370))+ROW()*0.001)</f>
        <v>43934.37</v>
      </c>
      <c r="I370" s="436">
        <v>228</v>
      </c>
      <c r="K370" s="52" t="str">
        <f ca="1">IF(J370="","",INDEX(OFFSET(Arb!$H$2,,,Arb!$AJ$5,),J370))</f>
        <v/>
      </c>
      <c r="L370" s="3" t="str">
        <f t="shared" ref="L370:L420" ca="1" si="116">IFERROR(I370/K370,"")</f>
        <v/>
      </c>
      <c r="M370" s="165" t="str">
        <f ca="1">IF(J370="","",INDEX(OFFSET(Arb!$X$2,,,Arb!$AJ$5,),J370)/K370)</f>
        <v/>
      </c>
      <c r="N370" s="165" t="str">
        <f ca="1">IF(J370="","",(INDEX(OFFSET(Arb!$U$2,,,Arb!$AJ$5,),J370)+INDEX(OFFSET(Arb!$V$2,,,Arb!$AJ$5,),J370))/K370)</f>
        <v/>
      </c>
      <c r="O370" s="51" t="str">
        <f t="shared" ca="1" si="106"/>
        <v/>
      </c>
      <c r="P370" s="91" t="str">
        <f ca="1">IF(J370="","",DATE(INDEX(OFFSET(Arb!$C$2,,,Arb!$AJ$5,),J370),INDEX(OFFSET(Arb!$B$2,,,Arb!$AJ$5,),J370),INDEX(OFFSET(Arb!$A$2,,,Arb!$AJ$5,),J370))+ROW()*0.001)</f>
        <v/>
      </c>
      <c r="Q370" s="442">
        <v>228</v>
      </c>
      <c r="S370" s="52" t="str">
        <f ca="1">IF(R370="","",INDEX(OFFSET(Arb!$H$2,,,Arb!$AJ$5,),R370))</f>
        <v/>
      </c>
      <c r="T370" s="3" t="str">
        <f t="shared" ref="T370:T420" ca="1" si="117">IFERROR(Q370/S370,"")</f>
        <v/>
      </c>
      <c r="U370" s="165" t="str">
        <f ca="1">IF(R370="","",INDEX(OFFSET(Arb!$X$2,,,Arb!$AJ$5,),R370)/S370)</f>
        <v/>
      </c>
      <c r="V370" s="165" t="str">
        <f ca="1">IF(R370="","",(INDEX(OFFSET(Arb!$U$2,,,Arb!$AJ$5,),R370)+INDEX(OFFSET(Arb!$V$2,,,Arb!$AJ$5,),R370))/S370)</f>
        <v/>
      </c>
      <c r="W370" s="51" t="str">
        <f t="shared" ca="1" si="107"/>
        <v/>
      </c>
      <c r="X370" s="88" t="str">
        <f ca="1">IF(R370="","",DATE(INDEX(OFFSET(Arb!$C$2,,,Arb!$AJ$5,),R370),INDEX(OFFSET(Arb!$B$2,,,Arb!$AJ$5,),R370),INDEX(OFFSET(Arb!$A$2,,,Arb!$AJ$5,),R370))+ROW()*0.001)</f>
        <v/>
      </c>
      <c r="Y370" s="436">
        <v>228</v>
      </c>
      <c r="AA370" s="52" t="str">
        <f ca="1">IF(Z370="","",INDEX(OFFSET(Arb!$H$2,,,Arb!$AJ$5,),Z370))</f>
        <v/>
      </c>
      <c r="AB370" s="3" t="str">
        <f t="shared" ref="AB370:AB420" ca="1" si="118">IFERROR(Y370/AA370,"")</f>
        <v/>
      </c>
      <c r="AC370" s="165" t="str">
        <f ca="1">IF(Z370="","",INDEX(OFFSET(Arb!$X$2,,,Arb!$AJ$5,),Z370)/AA370)</f>
        <v/>
      </c>
      <c r="AD370" s="165" t="str">
        <f ca="1">IF(Z370="","",(INDEX(OFFSET(Arb!$U$2,,,Arb!$AJ$5,),Z370)+INDEX(OFFSET(Arb!$V$2,,,Arb!$AJ$5,),Z370))/AA370)</f>
        <v/>
      </c>
      <c r="AE370" s="51" t="str">
        <f t="shared" ca="1" si="108"/>
        <v/>
      </c>
      <c r="AF370" s="91" t="str">
        <f ca="1">IF(Z370="","",DATE(INDEX(OFFSET(Arb!$C$2,,,Arb!$AJ$5,),Z370),INDEX(OFFSET(Arb!$B$2,,,Arb!$AJ$5,),Z370),INDEX(OFFSET(Arb!$A$2,,,Arb!$AJ$5,),Z370))+ROW()*0.001)</f>
        <v/>
      </c>
      <c r="AG370" s="442">
        <v>228</v>
      </c>
      <c r="AI370" s="52" t="str">
        <f ca="1">IF(AH370="","",INDEX(OFFSET(Arb!$H$2,,,Arb!$AJ$5,),AH370))</f>
        <v/>
      </c>
      <c r="AJ370" s="3" t="str">
        <f t="shared" ref="AJ370:AJ420" ca="1" si="119">IFERROR(AG370/AI370,"")</f>
        <v/>
      </c>
      <c r="AK370" s="165" t="str">
        <f ca="1">IF(AH370="","",INDEX(OFFSET(Arb!$X$2,,,Arb!$AJ$5,),AH370)/AI370)</f>
        <v/>
      </c>
      <c r="AL370" s="165" t="str">
        <f ca="1">IF(AH370="","",(INDEX(OFFSET(Arb!$U$2,,,Arb!$AJ$5,),AH370)+INDEX(OFFSET(Arb!$V$2,,,Arb!$AJ$5,),AH370))/AI370)</f>
        <v/>
      </c>
      <c r="AM370" s="51" t="str">
        <f t="shared" ca="1" si="109"/>
        <v/>
      </c>
      <c r="AN370" s="88" t="str">
        <f ca="1">IF(AH370="","",DATE(INDEX(OFFSET(Arb!$C$2,,,Arb!$AJ$5,),AH370),INDEX(OFFSET(Arb!$B$2,,,Arb!$AJ$5,),AH370),INDEX(OFFSET(Arb!$A$2,,,Arb!$AJ$5,),AH370))+ROW()*0.001)</f>
        <v/>
      </c>
      <c r="AO370" s="436">
        <v>228</v>
      </c>
      <c r="AQ370" s="52" t="str">
        <f ca="1">IF(AP370="","",INDEX(OFFSET(Arb!$H$2,,,Arb!$AJ$5,),AP370))</f>
        <v/>
      </c>
      <c r="AR370" s="3" t="str">
        <f t="shared" ref="AR370:AR420" ca="1" si="120">IFERROR(AO370/AQ370,"")</f>
        <v/>
      </c>
      <c r="AS370" s="165" t="str">
        <f ca="1">IF(AP370="","",INDEX(OFFSET(Arb!$X$2,,,Arb!$AJ$5,),AP370)/AQ370)</f>
        <v/>
      </c>
      <c r="AT370" s="165" t="str">
        <f ca="1">IF(AP370="","",(INDEX(OFFSET(Arb!$U$2,,,Arb!$AJ$5,),AP370)+INDEX(OFFSET(Arb!$V$2,,,Arb!$AJ$5,),AP370))/AQ370)</f>
        <v/>
      </c>
      <c r="AU370" s="51" t="str">
        <f t="shared" ca="1" si="110"/>
        <v/>
      </c>
      <c r="AV370" s="91" t="str">
        <f ca="1">IF(AP370="","",DATE(INDEX(OFFSET(Arb!$C$2,,,Arb!$AJ$5,),AP370),INDEX(OFFSET(Arb!$B$2,,,Arb!$AJ$5,),AP370),INDEX(OFFSET(Arb!$A$2,,,Arb!$AJ$5,),AP370))+ROW()*0.001)</f>
        <v/>
      </c>
      <c r="AW370" s="442">
        <v>228</v>
      </c>
      <c r="AY370" s="52" t="str">
        <f ca="1">IF(AX370="","",INDEX(OFFSET(Arb!$H$2,,,Arb!$AJ$5,),AX370))</f>
        <v/>
      </c>
      <c r="AZ370" s="3" t="str">
        <f t="shared" ref="AZ370:AZ420" ca="1" si="121">IFERROR(AW370/AY370,"")</f>
        <v/>
      </c>
      <c r="BA370" s="165" t="str">
        <f ca="1">IF(AX370="","",INDEX(OFFSET(Arb!$X$2,,,Arb!$AJ$5,),AX370)/AY370)</f>
        <v/>
      </c>
      <c r="BB370" s="165" t="str">
        <f ca="1">IF(AX370="","",(INDEX(OFFSET(Arb!$U$2,,,Arb!$AJ$5,),AX370)+INDEX(OFFSET(Arb!$V$2,,,Arb!$AJ$5,),AX370))/AY370)</f>
        <v/>
      </c>
      <c r="BC370" s="51" t="str">
        <f t="shared" ca="1" si="111"/>
        <v/>
      </c>
      <c r="BD370" s="88" t="str">
        <f ca="1">IF(AX370="","",DATE(INDEX(OFFSET(Arb!$C$2,,,Arb!$AJ$5,),AX370),INDEX(OFFSET(Arb!$B$2,,,Arb!$AJ$5,),AX370),INDEX(OFFSET(Arb!$A$2,,,Arb!$AJ$5,),AX370))+ROW()*0.001)</f>
        <v/>
      </c>
      <c r="BE370" s="436">
        <v>228</v>
      </c>
      <c r="BG370" s="52" t="str">
        <f ca="1">IF(BF370="","",INDEX(OFFSET(Arb!$H$2,,,Arb!$AJ$5,),BF370))</f>
        <v/>
      </c>
      <c r="BH370" s="3" t="str">
        <f t="shared" ref="BH370:BH420" ca="1" si="122">IFERROR(BE370/BG370,"")</f>
        <v/>
      </c>
      <c r="BI370" s="165" t="str">
        <f ca="1">IF(BF370="","",INDEX(OFFSET(Arb!$X$2,,,Arb!$AJ$5,),BF370)/BG370)</f>
        <v/>
      </c>
      <c r="BJ370" s="165" t="str">
        <f ca="1">IF(BF370="","",(INDEX(OFFSET(Arb!$U$2,,,Arb!$AJ$5,),BF370)+INDEX(OFFSET(Arb!$V$2,,,Arb!$AJ$5,),BF370))/BG370)</f>
        <v/>
      </c>
      <c r="BK370" s="51" t="str">
        <f t="shared" ca="1" si="112"/>
        <v/>
      </c>
      <c r="BL370" s="91" t="str">
        <f ca="1">IF(BF370="","",DATE(INDEX(OFFSET(Arb!$C$2,,,Arb!$AJ$5,),BF370),INDEX(OFFSET(Arb!$B$2,,,Arb!$AJ$5,),BF370),INDEX(OFFSET(Arb!$A$2,,,Arb!$AJ$5,),BF370))+ROW()*0.001)</f>
        <v/>
      </c>
      <c r="BM370" s="442">
        <v>228</v>
      </c>
      <c r="BO370" s="52" t="str">
        <f ca="1">IF(BN370="","",INDEX(OFFSET(Arb!$H$2,,,Arb!$AJ$5,),BN370))</f>
        <v/>
      </c>
      <c r="BP370" s="3" t="str">
        <f t="shared" ref="BP370:BP420" ca="1" si="123">IFERROR(BM370/BO370,"")</f>
        <v/>
      </c>
      <c r="BQ370" s="165" t="str">
        <f ca="1">IF(BN370="","",INDEX(OFFSET(Arb!$X$2,,,Arb!$AJ$5,),BN370)/BO370)</f>
        <v/>
      </c>
      <c r="BR370" s="165" t="str">
        <f ca="1">IF(BN370="","",(INDEX(OFFSET(Arb!$U$2,,,Arb!$AJ$5,),BN370)+INDEX(OFFSET(Arb!$V$2,,,Arb!$AJ$5,),BN370))/BO370)</f>
        <v/>
      </c>
      <c r="BS370" s="51" t="str">
        <f t="shared" ca="1" si="113"/>
        <v/>
      </c>
      <c r="BT370" s="88" t="str">
        <f ca="1">IF(BN370="","",DATE(INDEX(OFFSET(Arb!$C$2,,,Arb!$AJ$5,),BN370),INDEX(OFFSET(Arb!$B$2,,,Arb!$AJ$5,),BN370),INDEX(OFFSET(Arb!$A$2,,,Arb!$AJ$5,),BN370))+ROW()*0.001)</f>
        <v/>
      </c>
      <c r="BU370" s="436">
        <v>228</v>
      </c>
      <c r="BW370" s="52" t="str">
        <f ca="1">IF(BV370="","",INDEX(OFFSET(Arb!$H$2,,,Arb!$AJ$5,),BV370))</f>
        <v/>
      </c>
      <c r="BX370" s="3" t="str">
        <f t="shared" ref="BX370:BX420" ca="1" si="124">IFERROR(BU370/BW370,"")</f>
        <v/>
      </c>
      <c r="BY370" s="165" t="str">
        <f ca="1">IF(BV370="","",INDEX(OFFSET(Arb!$X$2,,,Arb!$AJ$5,),BV370)/BW370)</f>
        <v/>
      </c>
      <c r="BZ370" s="165" t="str">
        <f ca="1">IF(BV370="","",(INDEX(OFFSET(Arb!$U$2,,,Arb!$AJ$5,),BV370)+INDEX(OFFSET(Arb!$V$2,,,Arb!$AJ$5,),BV370))/BW370)</f>
        <v/>
      </c>
      <c r="CA370" s="51" t="str">
        <f t="shared" ca="1" si="114"/>
        <v/>
      </c>
      <c r="CB370" s="91" t="str">
        <f ca="1">IF(BV370="","",DATE(INDEX(OFFSET(Arb!$C$2,,,Arb!$AJ$5,),BV370),INDEX(OFFSET(Arb!$B$2,,,Arb!$AJ$5,),BV370),INDEX(OFFSET(Arb!$A$2,,,Arb!$AJ$5,),BV370))+ROW()*0.001)</f>
        <v/>
      </c>
    </row>
    <row r="371" spans="1:80" x14ac:dyDescent="0.25">
      <c r="A371" s="433">
        <v>229</v>
      </c>
      <c r="C371" s="52" t="str">
        <f ca="1">IF(B371="","",INDEX(OFFSET(Arb!$H$2,,,Arb!$AJ$5,),B371))</f>
        <v/>
      </c>
      <c r="D371" s="3" t="str">
        <f t="shared" ca="1" si="115"/>
        <v/>
      </c>
      <c r="E371" s="165" t="str">
        <f ca="1">IF(B371="","",INDEX(OFFSET(Arb!$X$2,,,Arb!$AJ$5,),B371)/C371)</f>
        <v/>
      </c>
      <c r="F371" s="165" t="str">
        <f ca="1">IF(B371="","",(INDEX(OFFSET(Arb!$U$2,,,Arb!$AJ$5,),B371)+INDEX(OFFSET(Arb!$V$2,,,Arb!$AJ$5,),B371))/C371)</f>
        <v/>
      </c>
      <c r="G371" s="51" t="str">
        <f t="shared" ref="G371:G430" ca="1" si="125">IFERROR(435.001/(C371^1.7/A371),"")</f>
        <v/>
      </c>
      <c r="H371" s="355" t="str">
        <f ca="1">IF(B371="","",DATE(INDEX(OFFSET(Arb!$C$2,,,Arb!$AJ$5,),B371),INDEX(OFFSET(Arb!$B$2,,,Arb!$AJ$5,),B371),INDEX(OFFSET(Arb!$A$2,,,Arb!$AJ$5,),B371))+ROW()*0.001)</f>
        <v/>
      </c>
      <c r="I371" s="436">
        <v>229</v>
      </c>
      <c r="K371" s="52" t="str">
        <f ca="1">IF(J371="","",INDEX(OFFSET(Arb!$H$2,,,Arb!$AJ$5,),J371))</f>
        <v/>
      </c>
      <c r="L371" s="3" t="str">
        <f t="shared" ca="1" si="116"/>
        <v/>
      </c>
      <c r="M371" s="165" t="str">
        <f ca="1">IF(J371="","",INDEX(OFFSET(Arb!$X$2,,,Arb!$AJ$5,),J371)/K371)</f>
        <v/>
      </c>
      <c r="N371" s="165" t="str">
        <f ca="1">IF(J371="","",(INDEX(OFFSET(Arb!$U$2,,,Arb!$AJ$5,),J371)+INDEX(OFFSET(Arb!$V$2,,,Arb!$AJ$5,),J371))/K371)</f>
        <v/>
      </c>
      <c r="O371" s="51" t="str">
        <f t="shared" ref="O371:O430" ca="1" si="126">IFERROR(435.001/(K371^1.7/I371),"")</f>
        <v/>
      </c>
      <c r="P371" s="91" t="str">
        <f ca="1">IF(J371="","",DATE(INDEX(OFFSET(Arb!$C$2,,,Arb!$AJ$5,),J371),INDEX(OFFSET(Arb!$B$2,,,Arb!$AJ$5,),J371),INDEX(OFFSET(Arb!$A$2,,,Arb!$AJ$5,),J371))+ROW()*0.001)</f>
        <v/>
      </c>
      <c r="Q371" s="442">
        <v>229</v>
      </c>
      <c r="S371" s="52" t="str">
        <f ca="1">IF(R371="","",INDEX(OFFSET(Arb!$H$2,,,Arb!$AJ$5,),R371))</f>
        <v/>
      </c>
      <c r="T371" s="3" t="str">
        <f t="shared" ca="1" si="117"/>
        <v/>
      </c>
      <c r="U371" s="165" t="str">
        <f ca="1">IF(R371="","",INDEX(OFFSET(Arb!$X$2,,,Arb!$AJ$5,),R371)/S371)</f>
        <v/>
      </c>
      <c r="V371" s="165" t="str">
        <f ca="1">IF(R371="","",(INDEX(OFFSET(Arb!$U$2,,,Arb!$AJ$5,),R371)+INDEX(OFFSET(Arb!$V$2,,,Arb!$AJ$5,),R371))/S371)</f>
        <v/>
      </c>
      <c r="W371" s="51" t="str">
        <f t="shared" ref="W371:W430" ca="1" si="127">IFERROR(435.001/(S371^1.7/Q371),"")</f>
        <v/>
      </c>
      <c r="X371" s="88" t="str">
        <f ca="1">IF(R371="","",DATE(INDEX(OFFSET(Arb!$C$2,,,Arb!$AJ$5,),R371),INDEX(OFFSET(Arb!$B$2,,,Arb!$AJ$5,),R371),INDEX(OFFSET(Arb!$A$2,,,Arb!$AJ$5,),R371))+ROW()*0.001)</f>
        <v/>
      </c>
      <c r="Y371" s="436">
        <v>229</v>
      </c>
      <c r="AA371" s="52" t="str">
        <f ca="1">IF(Z371="","",INDEX(OFFSET(Arb!$H$2,,,Arb!$AJ$5,),Z371))</f>
        <v/>
      </c>
      <c r="AB371" s="3" t="str">
        <f t="shared" ca="1" si="118"/>
        <v/>
      </c>
      <c r="AC371" s="165" t="str">
        <f ca="1">IF(Z371="","",INDEX(OFFSET(Arb!$X$2,,,Arb!$AJ$5,),Z371)/AA371)</f>
        <v/>
      </c>
      <c r="AD371" s="165" t="str">
        <f ca="1">IF(Z371="","",(INDEX(OFFSET(Arb!$U$2,,,Arb!$AJ$5,),Z371)+INDEX(OFFSET(Arb!$V$2,,,Arb!$AJ$5,),Z371))/AA371)</f>
        <v/>
      </c>
      <c r="AE371" s="51" t="str">
        <f t="shared" ref="AE371:AE430" ca="1" si="128">IFERROR(435.001/(AA371^1.7/Y371),"")</f>
        <v/>
      </c>
      <c r="AF371" s="91" t="str">
        <f ca="1">IF(Z371="","",DATE(INDEX(OFFSET(Arb!$C$2,,,Arb!$AJ$5,),Z371),INDEX(OFFSET(Arb!$B$2,,,Arb!$AJ$5,),Z371),INDEX(OFFSET(Arb!$A$2,,,Arb!$AJ$5,),Z371))+ROW()*0.001)</f>
        <v/>
      </c>
      <c r="AG371" s="442">
        <v>229</v>
      </c>
      <c r="AI371" s="52" t="str">
        <f ca="1">IF(AH371="","",INDEX(OFFSET(Arb!$H$2,,,Arb!$AJ$5,),AH371))</f>
        <v/>
      </c>
      <c r="AJ371" s="3" t="str">
        <f t="shared" ca="1" si="119"/>
        <v/>
      </c>
      <c r="AK371" s="165" t="str">
        <f ca="1">IF(AH371="","",INDEX(OFFSET(Arb!$X$2,,,Arb!$AJ$5,),AH371)/AI371)</f>
        <v/>
      </c>
      <c r="AL371" s="165" t="str">
        <f ca="1">IF(AH371="","",(INDEX(OFFSET(Arb!$U$2,,,Arb!$AJ$5,),AH371)+INDEX(OFFSET(Arb!$V$2,,,Arb!$AJ$5,),AH371))/AI371)</f>
        <v/>
      </c>
      <c r="AM371" s="51" t="str">
        <f t="shared" ref="AM371:AM430" ca="1" si="129">IFERROR(435.001/(AI371^1.7/AG371),"")</f>
        <v/>
      </c>
      <c r="AN371" s="88" t="str">
        <f ca="1">IF(AH371="","",DATE(INDEX(OFFSET(Arb!$C$2,,,Arb!$AJ$5,),AH371),INDEX(OFFSET(Arb!$B$2,,,Arb!$AJ$5,),AH371),INDEX(OFFSET(Arb!$A$2,,,Arb!$AJ$5,),AH371))+ROW()*0.001)</f>
        <v/>
      </c>
      <c r="AO371" s="436">
        <v>229</v>
      </c>
      <c r="AQ371" s="52" t="str">
        <f ca="1">IF(AP371="","",INDEX(OFFSET(Arb!$H$2,,,Arb!$AJ$5,),AP371))</f>
        <v/>
      </c>
      <c r="AR371" s="3" t="str">
        <f t="shared" ca="1" si="120"/>
        <v/>
      </c>
      <c r="AS371" s="165" t="str">
        <f ca="1">IF(AP371="","",INDEX(OFFSET(Arb!$X$2,,,Arb!$AJ$5,),AP371)/AQ371)</f>
        <v/>
      </c>
      <c r="AT371" s="165" t="str">
        <f ca="1">IF(AP371="","",(INDEX(OFFSET(Arb!$U$2,,,Arb!$AJ$5,),AP371)+INDEX(OFFSET(Arb!$V$2,,,Arb!$AJ$5,),AP371))/AQ371)</f>
        <v/>
      </c>
      <c r="AU371" s="51" t="str">
        <f t="shared" ref="AU371:AU430" ca="1" si="130">IFERROR(435.001/(AQ371^1.7/AO371),"")</f>
        <v/>
      </c>
      <c r="AV371" s="91" t="str">
        <f ca="1">IF(AP371="","",DATE(INDEX(OFFSET(Arb!$C$2,,,Arb!$AJ$5,),AP371),INDEX(OFFSET(Arb!$B$2,,,Arb!$AJ$5,),AP371),INDEX(OFFSET(Arb!$A$2,,,Arb!$AJ$5,),AP371))+ROW()*0.001)</f>
        <v/>
      </c>
      <c r="AW371" s="442">
        <v>229</v>
      </c>
      <c r="AY371" s="52" t="str">
        <f ca="1">IF(AX371="","",INDEX(OFFSET(Arb!$H$2,,,Arb!$AJ$5,),AX371))</f>
        <v/>
      </c>
      <c r="AZ371" s="3" t="str">
        <f t="shared" ca="1" si="121"/>
        <v/>
      </c>
      <c r="BA371" s="165" t="str">
        <f ca="1">IF(AX371="","",INDEX(OFFSET(Arb!$X$2,,,Arb!$AJ$5,),AX371)/AY371)</f>
        <v/>
      </c>
      <c r="BB371" s="165" t="str">
        <f ca="1">IF(AX371="","",(INDEX(OFFSET(Arb!$U$2,,,Arb!$AJ$5,),AX371)+INDEX(OFFSET(Arb!$V$2,,,Arb!$AJ$5,),AX371))/AY371)</f>
        <v/>
      </c>
      <c r="BC371" s="51" t="str">
        <f t="shared" ref="BC371:BC430" ca="1" si="131">IFERROR(435.001/(AY371^1.7/AW371),"")</f>
        <v/>
      </c>
      <c r="BD371" s="88" t="str">
        <f ca="1">IF(AX371="","",DATE(INDEX(OFFSET(Arb!$C$2,,,Arb!$AJ$5,),AX371),INDEX(OFFSET(Arb!$B$2,,,Arb!$AJ$5,),AX371),INDEX(OFFSET(Arb!$A$2,,,Arb!$AJ$5,),AX371))+ROW()*0.001)</f>
        <v/>
      </c>
      <c r="BE371" s="436">
        <v>229</v>
      </c>
      <c r="BG371" s="52" t="str">
        <f ca="1">IF(BF371="","",INDEX(OFFSET(Arb!$H$2,,,Arb!$AJ$5,),BF371))</f>
        <v/>
      </c>
      <c r="BH371" s="3" t="str">
        <f t="shared" ca="1" si="122"/>
        <v/>
      </c>
      <c r="BI371" s="165" t="str">
        <f ca="1">IF(BF371="","",INDEX(OFFSET(Arb!$X$2,,,Arb!$AJ$5,),BF371)/BG371)</f>
        <v/>
      </c>
      <c r="BJ371" s="165" t="str">
        <f ca="1">IF(BF371="","",(INDEX(OFFSET(Arb!$U$2,,,Arb!$AJ$5,),BF371)+INDEX(OFFSET(Arb!$V$2,,,Arb!$AJ$5,),BF371))/BG371)</f>
        <v/>
      </c>
      <c r="BK371" s="51" t="str">
        <f t="shared" ref="BK371:BK430" ca="1" si="132">IFERROR(435.001/(BG371^1.7/BE371),"")</f>
        <v/>
      </c>
      <c r="BL371" s="91" t="str">
        <f ca="1">IF(BF371="","",DATE(INDEX(OFFSET(Arb!$C$2,,,Arb!$AJ$5,),BF371),INDEX(OFFSET(Arb!$B$2,,,Arb!$AJ$5,),BF371),INDEX(OFFSET(Arb!$A$2,,,Arb!$AJ$5,),BF371))+ROW()*0.001)</f>
        <v/>
      </c>
      <c r="BM371" s="442">
        <v>229</v>
      </c>
      <c r="BO371" s="52" t="str">
        <f ca="1">IF(BN371="","",INDEX(OFFSET(Arb!$H$2,,,Arb!$AJ$5,),BN371))</f>
        <v/>
      </c>
      <c r="BP371" s="3" t="str">
        <f t="shared" ca="1" si="123"/>
        <v/>
      </c>
      <c r="BQ371" s="165" t="str">
        <f ca="1">IF(BN371="","",INDEX(OFFSET(Arb!$X$2,,,Arb!$AJ$5,),BN371)/BO371)</f>
        <v/>
      </c>
      <c r="BR371" s="165" t="str">
        <f ca="1">IF(BN371="","",(INDEX(OFFSET(Arb!$U$2,,,Arb!$AJ$5,),BN371)+INDEX(OFFSET(Arb!$V$2,,,Arb!$AJ$5,),BN371))/BO371)</f>
        <v/>
      </c>
      <c r="BS371" s="51" t="str">
        <f t="shared" ref="BS371:BS430" ca="1" si="133">IFERROR(435.001/(BO371^1.7/BM371),"")</f>
        <v/>
      </c>
      <c r="BT371" s="88" t="str">
        <f ca="1">IF(BN371="","",DATE(INDEX(OFFSET(Arb!$C$2,,,Arb!$AJ$5,),BN371),INDEX(OFFSET(Arb!$B$2,,,Arb!$AJ$5,),BN371),INDEX(OFFSET(Arb!$A$2,,,Arb!$AJ$5,),BN371))+ROW()*0.001)</f>
        <v/>
      </c>
      <c r="BU371" s="436">
        <v>229</v>
      </c>
      <c r="BW371" s="52" t="str">
        <f ca="1">IF(BV371="","",INDEX(OFFSET(Arb!$H$2,,,Arb!$AJ$5,),BV371))</f>
        <v/>
      </c>
      <c r="BX371" s="3" t="str">
        <f t="shared" ca="1" si="124"/>
        <v/>
      </c>
      <c r="BY371" s="165" t="str">
        <f ca="1">IF(BV371="","",INDEX(OFFSET(Arb!$X$2,,,Arb!$AJ$5,),BV371)/BW371)</f>
        <v/>
      </c>
      <c r="BZ371" s="165" t="str">
        <f ca="1">IF(BV371="","",(INDEX(OFFSET(Arb!$U$2,,,Arb!$AJ$5,),BV371)+INDEX(OFFSET(Arb!$V$2,,,Arb!$AJ$5,),BV371))/BW371)</f>
        <v/>
      </c>
      <c r="CA371" s="51" t="str">
        <f t="shared" ref="CA371:CA430" ca="1" si="134">IFERROR(435.001/(BW371^1.7/BU371),"")</f>
        <v/>
      </c>
      <c r="CB371" s="91" t="str">
        <f ca="1">IF(BV371="","",DATE(INDEX(OFFSET(Arb!$C$2,,,Arb!$AJ$5,),BV371),INDEX(OFFSET(Arb!$B$2,,,Arb!$AJ$5,),BV371),INDEX(OFFSET(Arb!$A$2,,,Arb!$AJ$5,),BV371))+ROW()*0.001)</f>
        <v/>
      </c>
    </row>
    <row r="372" spans="1:80" x14ac:dyDescent="0.25">
      <c r="A372" s="433">
        <v>230</v>
      </c>
      <c r="C372" s="52" t="str">
        <f ca="1">IF(B372="","",INDEX(OFFSET(Arb!$H$2,,,Arb!$AJ$5,),B372))</f>
        <v/>
      </c>
      <c r="D372" s="3" t="str">
        <f t="shared" ca="1" si="115"/>
        <v/>
      </c>
      <c r="E372" s="165" t="str">
        <f ca="1">IF(B372="","",INDEX(OFFSET(Arb!$X$2,,,Arb!$AJ$5,),B372)/C372)</f>
        <v/>
      </c>
      <c r="F372" s="165" t="str">
        <f ca="1">IF(B372="","",(INDEX(OFFSET(Arb!$U$2,,,Arb!$AJ$5,),B372)+INDEX(OFFSET(Arb!$V$2,,,Arb!$AJ$5,),B372))/C372)</f>
        <v/>
      </c>
      <c r="G372" s="51" t="str">
        <f t="shared" ca="1" si="125"/>
        <v/>
      </c>
      <c r="H372" s="355" t="str">
        <f ca="1">IF(B372="","",DATE(INDEX(OFFSET(Arb!$C$2,,,Arb!$AJ$5,),B372),INDEX(OFFSET(Arb!$B$2,,,Arb!$AJ$5,),B372),INDEX(OFFSET(Arb!$A$2,,,Arb!$AJ$5,),B372))+ROW()*0.001)</f>
        <v/>
      </c>
      <c r="I372" s="436">
        <v>230</v>
      </c>
      <c r="K372" s="52" t="str">
        <f ca="1">IF(J372="","",INDEX(OFFSET(Arb!$H$2,,,Arb!$AJ$5,),J372))</f>
        <v/>
      </c>
      <c r="L372" s="3" t="str">
        <f t="shared" ca="1" si="116"/>
        <v/>
      </c>
      <c r="M372" s="165" t="str">
        <f ca="1">IF(J372="","",INDEX(OFFSET(Arb!$X$2,,,Arb!$AJ$5,),J372)/K372)</f>
        <v/>
      </c>
      <c r="N372" s="165" t="str">
        <f ca="1">IF(J372="","",(INDEX(OFFSET(Arb!$U$2,,,Arb!$AJ$5,),J372)+INDEX(OFFSET(Arb!$V$2,,,Arb!$AJ$5,),J372))/K372)</f>
        <v/>
      </c>
      <c r="O372" s="51" t="str">
        <f t="shared" ca="1" si="126"/>
        <v/>
      </c>
      <c r="P372" s="91" t="str">
        <f ca="1">IF(J372="","",DATE(INDEX(OFFSET(Arb!$C$2,,,Arb!$AJ$5,),J372),INDEX(OFFSET(Arb!$B$2,,,Arb!$AJ$5,),J372),INDEX(OFFSET(Arb!$A$2,,,Arb!$AJ$5,),J372))+ROW()*0.001)</f>
        <v/>
      </c>
      <c r="Q372" s="442">
        <v>230</v>
      </c>
      <c r="S372" s="52" t="str">
        <f ca="1">IF(R372="","",INDEX(OFFSET(Arb!$H$2,,,Arb!$AJ$5,),R372))</f>
        <v/>
      </c>
      <c r="T372" s="3" t="str">
        <f t="shared" ca="1" si="117"/>
        <v/>
      </c>
      <c r="U372" s="165" t="str">
        <f ca="1">IF(R372="","",INDEX(OFFSET(Arb!$X$2,,,Arb!$AJ$5,),R372)/S372)</f>
        <v/>
      </c>
      <c r="V372" s="165" t="str">
        <f ca="1">IF(R372="","",(INDEX(OFFSET(Arb!$U$2,,,Arb!$AJ$5,),R372)+INDEX(OFFSET(Arb!$V$2,,,Arb!$AJ$5,),R372))/S372)</f>
        <v/>
      </c>
      <c r="W372" s="51" t="str">
        <f t="shared" ca="1" si="127"/>
        <v/>
      </c>
      <c r="X372" s="88" t="str">
        <f ca="1">IF(R372="","",DATE(INDEX(OFFSET(Arb!$C$2,,,Arb!$AJ$5,),R372),INDEX(OFFSET(Arb!$B$2,,,Arb!$AJ$5,),R372),INDEX(OFFSET(Arb!$A$2,,,Arb!$AJ$5,),R372))+ROW()*0.001)</f>
        <v/>
      </c>
      <c r="Y372" s="436">
        <v>230</v>
      </c>
      <c r="AA372" s="52" t="str">
        <f ca="1">IF(Z372="","",INDEX(OFFSET(Arb!$H$2,,,Arb!$AJ$5,),Z372))</f>
        <v/>
      </c>
      <c r="AB372" s="3" t="str">
        <f t="shared" ca="1" si="118"/>
        <v/>
      </c>
      <c r="AC372" s="165" t="str">
        <f ca="1">IF(Z372="","",INDEX(OFFSET(Arb!$X$2,,,Arb!$AJ$5,),Z372)/AA372)</f>
        <v/>
      </c>
      <c r="AD372" s="165" t="str">
        <f ca="1">IF(Z372="","",(INDEX(OFFSET(Arb!$U$2,,,Arb!$AJ$5,),Z372)+INDEX(OFFSET(Arb!$V$2,,,Arb!$AJ$5,),Z372))/AA372)</f>
        <v/>
      </c>
      <c r="AE372" s="51" t="str">
        <f t="shared" ca="1" si="128"/>
        <v/>
      </c>
      <c r="AF372" s="91" t="str">
        <f ca="1">IF(Z372="","",DATE(INDEX(OFFSET(Arb!$C$2,,,Arb!$AJ$5,),Z372),INDEX(OFFSET(Arb!$B$2,,,Arb!$AJ$5,),Z372),INDEX(OFFSET(Arb!$A$2,,,Arb!$AJ$5,),Z372))+ROW()*0.001)</f>
        <v/>
      </c>
      <c r="AG372" s="442">
        <v>230</v>
      </c>
      <c r="AI372" s="52" t="str">
        <f ca="1">IF(AH372="","",INDEX(OFFSET(Arb!$H$2,,,Arb!$AJ$5,),AH372))</f>
        <v/>
      </c>
      <c r="AJ372" s="3" t="str">
        <f t="shared" ca="1" si="119"/>
        <v/>
      </c>
      <c r="AK372" s="165" t="str">
        <f ca="1">IF(AH372="","",INDEX(OFFSET(Arb!$X$2,,,Arb!$AJ$5,),AH372)/AI372)</f>
        <v/>
      </c>
      <c r="AL372" s="165" t="str">
        <f ca="1">IF(AH372="","",(INDEX(OFFSET(Arb!$U$2,,,Arb!$AJ$5,),AH372)+INDEX(OFFSET(Arb!$V$2,,,Arb!$AJ$5,),AH372))/AI372)</f>
        <v/>
      </c>
      <c r="AM372" s="51" t="str">
        <f t="shared" ca="1" si="129"/>
        <v/>
      </c>
      <c r="AN372" s="88" t="str">
        <f ca="1">IF(AH372="","",DATE(INDEX(OFFSET(Arb!$C$2,,,Arb!$AJ$5,),AH372),INDEX(OFFSET(Arb!$B$2,,,Arb!$AJ$5,),AH372),INDEX(OFFSET(Arb!$A$2,,,Arb!$AJ$5,),AH372))+ROW()*0.001)</f>
        <v/>
      </c>
      <c r="AO372" s="436">
        <v>230</v>
      </c>
      <c r="AQ372" s="52" t="str">
        <f ca="1">IF(AP372="","",INDEX(OFFSET(Arb!$H$2,,,Arb!$AJ$5,),AP372))</f>
        <v/>
      </c>
      <c r="AR372" s="3" t="str">
        <f t="shared" ca="1" si="120"/>
        <v/>
      </c>
      <c r="AS372" s="165" t="str">
        <f ca="1">IF(AP372="","",INDEX(OFFSET(Arb!$X$2,,,Arb!$AJ$5,),AP372)/AQ372)</f>
        <v/>
      </c>
      <c r="AT372" s="165" t="str">
        <f ca="1">IF(AP372="","",(INDEX(OFFSET(Arb!$U$2,,,Arb!$AJ$5,),AP372)+INDEX(OFFSET(Arb!$V$2,,,Arb!$AJ$5,),AP372))/AQ372)</f>
        <v/>
      </c>
      <c r="AU372" s="51" t="str">
        <f t="shared" ca="1" si="130"/>
        <v/>
      </c>
      <c r="AV372" s="91" t="str">
        <f ca="1">IF(AP372="","",DATE(INDEX(OFFSET(Arb!$C$2,,,Arb!$AJ$5,),AP372),INDEX(OFFSET(Arb!$B$2,,,Arb!$AJ$5,),AP372),INDEX(OFFSET(Arb!$A$2,,,Arb!$AJ$5,),AP372))+ROW()*0.001)</f>
        <v/>
      </c>
      <c r="AW372" s="442">
        <v>230</v>
      </c>
      <c r="AY372" s="52" t="str">
        <f ca="1">IF(AX372="","",INDEX(OFFSET(Arb!$H$2,,,Arb!$AJ$5,),AX372))</f>
        <v/>
      </c>
      <c r="AZ372" s="3" t="str">
        <f t="shared" ca="1" si="121"/>
        <v/>
      </c>
      <c r="BA372" s="165" t="str">
        <f ca="1">IF(AX372="","",INDEX(OFFSET(Arb!$X$2,,,Arb!$AJ$5,),AX372)/AY372)</f>
        <v/>
      </c>
      <c r="BB372" s="165" t="str">
        <f ca="1">IF(AX372="","",(INDEX(OFFSET(Arb!$U$2,,,Arb!$AJ$5,),AX372)+INDEX(OFFSET(Arb!$V$2,,,Arb!$AJ$5,),AX372))/AY372)</f>
        <v/>
      </c>
      <c r="BC372" s="51" t="str">
        <f t="shared" ca="1" si="131"/>
        <v/>
      </c>
      <c r="BD372" s="88" t="str">
        <f ca="1">IF(AX372="","",DATE(INDEX(OFFSET(Arb!$C$2,,,Arb!$AJ$5,),AX372),INDEX(OFFSET(Arb!$B$2,,,Arb!$AJ$5,),AX372),INDEX(OFFSET(Arb!$A$2,,,Arb!$AJ$5,),AX372))+ROW()*0.001)</f>
        <v/>
      </c>
      <c r="BE372" s="436">
        <v>230</v>
      </c>
      <c r="BG372" s="52" t="str">
        <f ca="1">IF(BF372="","",INDEX(OFFSET(Arb!$H$2,,,Arb!$AJ$5,),BF372))</f>
        <v/>
      </c>
      <c r="BH372" s="3" t="str">
        <f t="shared" ca="1" si="122"/>
        <v/>
      </c>
      <c r="BI372" s="165" t="str">
        <f ca="1">IF(BF372="","",INDEX(OFFSET(Arb!$X$2,,,Arb!$AJ$5,),BF372)/BG372)</f>
        <v/>
      </c>
      <c r="BJ372" s="165" t="str">
        <f ca="1">IF(BF372="","",(INDEX(OFFSET(Arb!$U$2,,,Arb!$AJ$5,),BF372)+INDEX(OFFSET(Arb!$V$2,,,Arb!$AJ$5,),BF372))/BG372)</f>
        <v/>
      </c>
      <c r="BK372" s="51" t="str">
        <f t="shared" ca="1" si="132"/>
        <v/>
      </c>
      <c r="BL372" s="91" t="str">
        <f ca="1">IF(BF372="","",DATE(INDEX(OFFSET(Arb!$C$2,,,Arb!$AJ$5,),BF372),INDEX(OFFSET(Arb!$B$2,,,Arb!$AJ$5,),BF372),INDEX(OFFSET(Arb!$A$2,,,Arb!$AJ$5,),BF372))+ROW()*0.001)</f>
        <v/>
      </c>
      <c r="BM372" s="442">
        <v>230</v>
      </c>
      <c r="BO372" s="52" t="str">
        <f ca="1">IF(BN372="","",INDEX(OFFSET(Arb!$H$2,,,Arb!$AJ$5,),BN372))</f>
        <v/>
      </c>
      <c r="BP372" s="3" t="str">
        <f t="shared" ca="1" si="123"/>
        <v/>
      </c>
      <c r="BQ372" s="165" t="str">
        <f ca="1">IF(BN372="","",INDEX(OFFSET(Arb!$X$2,,,Arb!$AJ$5,),BN372)/BO372)</f>
        <v/>
      </c>
      <c r="BR372" s="165" t="str">
        <f ca="1">IF(BN372="","",(INDEX(OFFSET(Arb!$U$2,,,Arb!$AJ$5,),BN372)+INDEX(OFFSET(Arb!$V$2,,,Arb!$AJ$5,),BN372))/BO372)</f>
        <v/>
      </c>
      <c r="BS372" s="51" t="str">
        <f t="shared" ca="1" si="133"/>
        <v/>
      </c>
      <c r="BT372" s="88" t="str">
        <f ca="1">IF(BN372="","",DATE(INDEX(OFFSET(Arb!$C$2,,,Arb!$AJ$5,),BN372),INDEX(OFFSET(Arb!$B$2,,,Arb!$AJ$5,),BN372),INDEX(OFFSET(Arb!$A$2,,,Arb!$AJ$5,),BN372))+ROW()*0.001)</f>
        <v/>
      </c>
      <c r="BU372" s="436">
        <v>230</v>
      </c>
      <c r="BW372" s="52" t="str">
        <f ca="1">IF(BV372="","",INDEX(OFFSET(Arb!$H$2,,,Arb!$AJ$5,),BV372))</f>
        <v/>
      </c>
      <c r="BX372" s="3" t="str">
        <f t="shared" ca="1" si="124"/>
        <v/>
      </c>
      <c r="BY372" s="165" t="str">
        <f ca="1">IF(BV372="","",INDEX(OFFSET(Arb!$X$2,,,Arb!$AJ$5,),BV372)/BW372)</f>
        <v/>
      </c>
      <c r="BZ372" s="165" t="str">
        <f ca="1">IF(BV372="","",(INDEX(OFFSET(Arb!$U$2,,,Arb!$AJ$5,),BV372)+INDEX(OFFSET(Arb!$V$2,,,Arb!$AJ$5,),BV372))/BW372)</f>
        <v/>
      </c>
      <c r="CA372" s="51" t="str">
        <f t="shared" ca="1" si="134"/>
        <v/>
      </c>
      <c r="CB372" s="91" t="str">
        <f ca="1">IF(BV372="","",DATE(INDEX(OFFSET(Arb!$C$2,,,Arb!$AJ$5,),BV372),INDEX(OFFSET(Arb!$B$2,,,Arb!$AJ$5,),BV372),INDEX(OFFSET(Arb!$A$2,,,Arb!$AJ$5,),BV372))+ROW()*0.001)</f>
        <v/>
      </c>
    </row>
    <row r="373" spans="1:80" x14ac:dyDescent="0.25">
      <c r="A373" s="433">
        <v>231</v>
      </c>
      <c r="C373" s="52" t="str">
        <f ca="1">IF(B373="","",INDEX(OFFSET(Arb!$H$2,,,Arb!$AJ$5,),B373))</f>
        <v/>
      </c>
      <c r="D373" s="3" t="str">
        <f t="shared" ca="1" si="115"/>
        <v/>
      </c>
      <c r="E373" s="165" t="str">
        <f ca="1">IF(B373="","",INDEX(OFFSET(Arb!$X$2,,,Arb!$AJ$5,),B373)/C373)</f>
        <v/>
      </c>
      <c r="F373" s="165" t="str">
        <f ca="1">IF(B373="","",(INDEX(OFFSET(Arb!$U$2,,,Arb!$AJ$5,),B373)+INDEX(OFFSET(Arb!$V$2,,,Arb!$AJ$5,),B373))/C373)</f>
        <v/>
      </c>
      <c r="G373" s="51" t="str">
        <f t="shared" ca="1" si="125"/>
        <v/>
      </c>
      <c r="H373" s="355" t="str">
        <f ca="1">IF(B373="","",DATE(INDEX(OFFSET(Arb!$C$2,,,Arb!$AJ$5,),B373),INDEX(OFFSET(Arb!$B$2,,,Arb!$AJ$5,),B373),INDEX(OFFSET(Arb!$A$2,,,Arb!$AJ$5,),B373))+ROW()*0.001)</f>
        <v/>
      </c>
      <c r="I373" s="436">
        <v>231</v>
      </c>
      <c r="K373" s="52" t="str">
        <f ca="1">IF(J373="","",INDEX(OFFSET(Arb!$H$2,,,Arb!$AJ$5,),J373))</f>
        <v/>
      </c>
      <c r="L373" s="3" t="str">
        <f t="shared" ca="1" si="116"/>
        <v/>
      </c>
      <c r="M373" s="165" t="str">
        <f ca="1">IF(J373="","",INDEX(OFFSET(Arb!$X$2,,,Arb!$AJ$5,),J373)/K373)</f>
        <v/>
      </c>
      <c r="N373" s="165" t="str">
        <f ca="1">IF(J373="","",(INDEX(OFFSET(Arb!$U$2,,,Arb!$AJ$5,),J373)+INDEX(OFFSET(Arb!$V$2,,,Arb!$AJ$5,),J373))/K373)</f>
        <v/>
      </c>
      <c r="O373" s="51" t="str">
        <f t="shared" ca="1" si="126"/>
        <v/>
      </c>
      <c r="P373" s="91" t="str">
        <f ca="1">IF(J373="","",DATE(INDEX(OFFSET(Arb!$C$2,,,Arb!$AJ$5,),J373),INDEX(OFFSET(Arb!$B$2,,,Arb!$AJ$5,),J373),INDEX(OFFSET(Arb!$A$2,,,Arb!$AJ$5,),J373))+ROW()*0.001)</f>
        <v/>
      </c>
      <c r="Q373" s="442">
        <v>231</v>
      </c>
      <c r="S373" s="52" t="str">
        <f ca="1">IF(R373="","",INDEX(OFFSET(Arb!$H$2,,,Arb!$AJ$5,),R373))</f>
        <v/>
      </c>
      <c r="T373" s="3" t="str">
        <f t="shared" ca="1" si="117"/>
        <v/>
      </c>
      <c r="U373" s="165" t="str">
        <f ca="1">IF(R373="","",INDEX(OFFSET(Arb!$X$2,,,Arb!$AJ$5,),R373)/S373)</f>
        <v/>
      </c>
      <c r="V373" s="165" t="str">
        <f ca="1">IF(R373="","",(INDEX(OFFSET(Arb!$U$2,,,Arb!$AJ$5,),R373)+INDEX(OFFSET(Arb!$V$2,,,Arb!$AJ$5,),R373))/S373)</f>
        <v/>
      </c>
      <c r="W373" s="51" t="str">
        <f t="shared" ca="1" si="127"/>
        <v/>
      </c>
      <c r="X373" s="88" t="str">
        <f ca="1">IF(R373="","",DATE(INDEX(OFFSET(Arb!$C$2,,,Arb!$AJ$5,),R373),INDEX(OFFSET(Arb!$B$2,,,Arb!$AJ$5,),R373),INDEX(OFFSET(Arb!$A$2,,,Arb!$AJ$5,),R373))+ROW()*0.001)</f>
        <v/>
      </c>
      <c r="Y373" s="436">
        <v>231</v>
      </c>
      <c r="AA373" s="52" t="str">
        <f ca="1">IF(Z373="","",INDEX(OFFSET(Arb!$H$2,,,Arb!$AJ$5,),Z373))</f>
        <v/>
      </c>
      <c r="AB373" s="3" t="str">
        <f t="shared" ca="1" si="118"/>
        <v/>
      </c>
      <c r="AC373" s="165" t="str">
        <f ca="1">IF(Z373="","",INDEX(OFFSET(Arb!$X$2,,,Arb!$AJ$5,),Z373)/AA373)</f>
        <v/>
      </c>
      <c r="AD373" s="165" t="str">
        <f ca="1">IF(Z373="","",(INDEX(OFFSET(Arb!$U$2,,,Arb!$AJ$5,),Z373)+INDEX(OFFSET(Arb!$V$2,,,Arb!$AJ$5,),Z373))/AA373)</f>
        <v/>
      </c>
      <c r="AE373" s="51" t="str">
        <f t="shared" ca="1" si="128"/>
        <v/>
      </c>
      <c r="AF373" s="91" t="str">
        <f ca="1">IF(Z373="","",DATE(INDEX(OFFSET(Arb!$C$2,,,Arb!$AJ$5,),Z373),INDEX(OFFSET(Arb!$B$2,,,Arb!$AJ$5,),Z373),INDEX(OFFSET(Arb!$A$2,,,Arb!$AJ$5,),Z373))+ROW()*0.001)</f>
        <v/>
      </c>
      <c r="AG373" s="442">
        <v>231</v>
      </c>
      <c r="AI373" s="52" t="str">
        <f ca="1">IF(AH373="","",INDEX(OFFSET(Arb!$H$2,,,Arb!$AJ$5,),AH373))</f>
        <v/>
      </c>
      <c r="AJ373" s="3" t="str">
        <f t="shared" ca="1" si="119"/>
        <v/>
      </c>
      <c r="AK373" s="165" t="str">
        <f ca="1">IF(AH373="","",INDEX(OFFSET(Arb!$X$2,,,Arb!$AJ$5,),AH373)/AI373)</f>
        <v/>
      </c>
      <c r="AL373" s="165" t="str">
        <f ca="1">IF(AH373="","",(INDEX(OFFSET(Arb!$U$2,,,Arb!$AJ$5,),AH373)+INDEX(OFFSET(Arb!$V$2,,,Arb!$AJ$5,),AH373))/AI373)</f>
        <v/>
      </c>
      <c r="AM373" s="51" t="str">
        <f t="shared" ca="1" si="129"/>
        <v/>
      </c>
      <c r="AN373" s="88" t="str">
        <f ca="1">IF(AH373="","",DATE(INDEX(OFFSET(Arb!$C$2,,,Arb!$AJ$5,),AH373),INDEX(OFFSET(Arb!$B$2,,,Arb!$AJ$5,),AH373),INDEX(OFFSET(Arb!$A$2,,,Arb!$AJ$5,),AH373))+ROW()*0.001)</f>
        <v/>
      </c>
      <c r="AO373" s="436">
        <v>231</v>
      </c>
      <c r="AQ373" s="52" t="str">
        <f ca="1">IF(AP373="","",INDEX(OFFSET(Arb!$H$2,,,Arb!$AJ$5,),AP373))</f>
        <v/>
      </c>
      <c r="AR373" s="3" t="str">
        <f t="shared" ca="1" si="120"/>
        <v/>
      </c>
      <c r="AS373" s="165" t="str">
        <f ca="1">IF(AP373="","",INDEX(OFFSET(Arb!$X$2,,,Arb!$AJ$5,),AP373)/AQ373)</f>
        <v/>
      </c>
      <c r="AT373" s="165" t="str">
        <f ca="1">IF(AP373="","",(INDEX(OFFSET(Arb!$U$2,,,Arb!$AJ$5,),AP373)+INDEX(OFFSET(Arb!$V$2,,,Arb!$AJ$5,),AP373))/AQ373)</f>
        <v/>
      </c>
      <c r="AU373" s="51" t="str">
        <f t="shared" ca="1" si="130"/>
        <v/>
      </c>
      <c r="AV373" s="91" t="str">
        <f ca="1">IF(AP373="","",DATE(INDEX(OFFSET(Arb!$C$2,,,Arb!$AJ$5,),AP373),INDEX(OFFSET(Arb!$B$2,,,Arb!$AJ$5,),AP373),INDEX(OFFSET(Arb!$A$2,,,Arb!$AJ$5,),AP373))+ROW()*0.001)</f>
        <v/>
      </c>
      <c r="AW373" s="442">
        <v>231</v>
      </c>
      <c r="AY373" s="52" t="str">
        <f ca="1">IF(AX373="","",INDEX(OFFSET(Arb!$H$2,,,Arb!$AJ$5,),AX373))</f>
        <v/>
      </c>
      <c r="AZ373" s="3" t="str">
        <f t="shared" ca="1" si="121"/>
        <v/>
      </c>
      <c r="BA373" s="165" t="str">
        <f ca="1">IF(AX373="","",INDEX(OFFSET(Arb!$X$2,,,Arb!$AJ$5,),AX373)/AY373)</f>
        <v/>
      </c>
      <c r="BB373" s="165" t="str">
        <f ca="1">IF(AX373="","",(INDEX(OFFSET(Arb!$U$2,,,Arb!$AJ$5,),AX373)+INDEX(OFFSET(Arb!$V$2,,,Arb!$AJ$5,),AX373))/AY373)</f>
        <v/>
      </c>
      <c r="BC373" s="51" t="str">
        <f t="shared" ca="1" si="131"/>
        <v/>
      </c>
      <c r="BD373" s="88" t="str">
        <f ca="1">IF(AX373="","",DATE(INDEX(OFFSET(Arb!$C$2,,,Arb!$AJ$5,),AX373),INDEX(OFFSET(Arb!$B$2,,,Arb!$AJ$5,),AX373),INDEX(OFFSET(Arb!$A$2,,,Arb!$AJ$5,),AX373))+ROW()*0.001)</f>
        <v/>
      </c>
      <c r="BE373" s="436">
        <v>231</v>
      </c>
      <c r="BG373" s="52" t="str">
        <f ca="1">IF(BF373="","",INDEX(OFFSET(Arb!$H$2,,,Arb!$AJ$5,),BF373))</f>
        <v/>
      </c>
      <c r="BH373" s="3" t="str">
        <f t="shared" ca="1" si="122"/>
        <v/>
      </c>
      <c r="BI373" s="165" t="str">
        <f ca="1">IF(BF373="","",INDEX(OFFSET(Arb!$X$2,,,Arb!$AJ$5,),BF373)/BG373)</f>
        <v/>
      </c>
      <c r="BJ373" s="165" t="str">
        <f ca="1">IF(BF373="","",(INDEX(OFFSET(Arb!$U$2,,,Arb!$AJ$5,),BF373)+INDEX(OFFSET(Arb!$V$2,,,Arb!$AJ$5,),BF373))/BG373)</f>
        <v/>
      </c>
      <c r="BK373" s="51" t="str">
        <f t="shared" ca="1" si="132"/>
        <v/>
      </c>
      <c r="BL373" s="91" t="str">
        <f ca="1">IF(BF373="","",DATE(INDEX(OFFSET(Arb!$C$2,,,Arb!$AJ$5,),BF373),INDEX(OFFSET(Arb!$B$2,,,Arb!$AJ$5,),BF373),INDEX(OFFSET(Arb!$A$2,,,Arb!$AJ$5,),BF373))+ROW()*0.001)</f>
        <v/>
      </c>
      <c r="BM373" s="442">
        <v>231</v>
      </c>
      <c r="BO373" s="52" t="str">
        <f ca="1">IF(BN373="","",INDEX(OFFSET(Arb!$H$2,,,Arb!$AJ$5,),BN373))</f>
        <v/>
      </c>
      <c r="BP373" s="3" t="str">
        <f t="shared" ca="1" si="123"/>
        <v/>
      </c>
      <c r="BQ373" s="165" t="str">
        <f ca="1">IF(BN373="","",INDEX(OFFSET(Arb!$X$2,,,Arb!$AJ$5,),BN373)/BO373)</f>
        <v/>
      </c>
      <c r="BR373" s="165" t="str">
        <f ca="1">IF(BN373="","",(INDEX(OFFSET(Arb!$U$2,,,Arb!$AJ$5,),BN373)+INDEX(OFFSET(Arb!$V$2,,,Arb!$AJ$5,),BN373))/BO373)</f>
        <v/>
      </c>
      <c r="BS373" s="51" t="str">
        <f t="shared" ca="1" si="133"/>
        <v/>
      </c>
      <c r="BT373" s="88" t="str">
        <f ca="1">IF(BN373="","",DATE(INDEX(OFFSET(Arb!$C$2,,,Arb!$AJ$5,),BN373),INDEX(OFFSET(Arb!$B$2,,,Arb!$AJ$5,),BN373),INDEX(OFFSET(Arb!$A$2,,,Arb!$AJ$5,),BN373))+ROW()*0.001)</f>
        <v/>
      </c>
      <c r="BU373" s="436">
        <v>231</v>
      </c>
      <c r="BW373" s="52" t="str">
        <f ca="1">IF(BV373="","",INDEX(OFFSET(Arb!$H$2,,,Arb!$AJ$5,),BV373))</f>
        <v/>
      </c>
      <c r="BX373" s="3" t="str">
        <f t="shared" ca="1" si="124"/>
        <v/>
      </c>
      <c r="BY373" s="165" t="str">
        <f ca="1">IF(BV373="","",INDEX(OFFSET(Arb!$X$2,,,Arb!$AJ$5,),BV373)/BW373)</f>
        <v/>
      </c>
      <c r="BZ373" s="165" t="str">
        <f ca="1">IF(BV373="","",(INDEX(OFFSET(Arb!$U$2,,,Arb!$AJ$5,),BV373)+INDEX(OFFSET(Arb!$V$2,,,Arb!$AJ$5,),BV373))/BW373)</f>
        <v/>
      </c>
      <c r="CA373" s="51" t="str">
        <f t="shared" ca="1" si="134"/>
        <v/>
      </c>
      <c r="CB373" s="91" t="str">
        <f ca="1">IF(BV373="","",DATE(INDEX(OFFSET(Arb!$C$2,,,Arb!$AJ$5,),BV373),INDEX(OFFSET(Arb!$B$2,,,Arb!$AJ$5,),BV373),INDEX(OFFSET(Arb!$A$2,,,Arb!$AJ$5,),BV373))+ROW()*0.001)</f>
        <v/>
      </c>
    </row>
    <row r="374" spans="1:80" x14ac:dyDescent="0.25">
      <c r="A374" s="433">
        <v>232</v>
      </c>
      <c r="C374" s="52" t="str">
        <f ca="1">IF(B374="","",INDEX(OFFSET(Arb!$H$2,,,Arb!$AJ$5,),B374))</f>
        <v/>
      </c>
      <c r="D374" s="3" t="str">
        <f t="shared" ca="1" si="115"/>
        <v/>
      </c>
      <c r="E374" s="165" t="str">
        <f ca="1">IF(B374="","",INDEX(OFFSET(Arb!$X$2,,,Arb!$AJ$5,),B374)/C374)</f>
        <v/>
      </c>
      <c r="F374" s="165" t="str">
        <f ca="1">IF(B374="","",(INDEX(OFFSET(Arb!$U$2,,,Arb!$AJ$5,),B374)+INDEX(OFFSET(Arb!$V$2,,,Arb!$AJ$5,),B374))/C374)</f>
        <v/>
      </c>
      <c r="G374" s="51" t="str">
        <f t="shared" ca="1" si="125"/>
        <v/>
      </c>
      <c r="H374" s="355" t="str">
        <f ca="1">IF(B374="","",DATE(INDEX(OFFSET(Arb!$C$2,,,Arb!$AJ$5,),B374),INDEX(OFFSET(Arb!$B$2,,,Arb!$AJ$5,),B374),INDEX(OFFSET(Arb!$A$2,,,Arb!$AJ$5,),B374))+ROW()*0.001)</f>
        <v/>
      </c>
      <c r="I374" s="436">
        <v>232</v>
      </c>
      <c r="K374" s="52" t="str">
        <f ca="1">IF(J374="","",INDEX(OFFSET(Arb!$H$2,,,Arb!$AJ$5,),J374))</f>
        <v/>
      </c>
      <c r="L374" s="3" t="str">
        <f t="shared" ca="1" si="116"/>
        <v/>
      </c>
      <c r="M374" s="165" t="str">
        <f ca="1">IF(J374="","",INDEX(OFFSET(Arb!$X$2,,,Arb!$AJ$5,),J374)/K374)</f>
        <v/>
      </c>
      <c r="N374" s="165" t="str">
        <f ca="1">IF(J374="","",(INDEX(OFFSET(Arb!$U$2,,,Arb!$AJ$5,),J374)+INDEX(OFFSET(Arb!$V$2,,,Arb!$AJ$5,),J374))/K374)</f>
        <v/>
      </c>
      <c r="O374" s="51" t="str">
        <f t="shared" ca="1" si="126"/>
        <v/>
      </c>
      <c r="P374" s="91" t="str">
        <f ca="1">IF(J374="","",DATE(INDEX(OFFSET(Arb!$C$2,,,Arb!$AJ$5,),J374),INDEX(OFFSET(Arb!$B$2,,,Arb!$AJ$5,),J374),INDEX(OFFSET(Arb!$A$2,,,Arb!$AJ$5,),J374))+ROW()*0.001)</f>
        <v/>
      </c>
      <c r="Q374" s="442">
        <v>232</v>
      </c>
      <c r="S374" s="52" t="str">
        <f ca="1">IF(R374="","",INDEX(OFFSET(Arb!$H$2,,,Arb!$AJ$5,),R374))</f>
        <v/>
      </c>
      <c r="T374" s="3" t="str">
        <f t="shared" ca="1" si="117"/>
        <v/>
      </c>
      <c r="U374" s="165" t="str">
        <f ca="1">IF(R374="","",INDEX(OFFSET(Arb!$X$2,,,Arb!$AJ$5,),R374)/S374)</f>
        <v/>
      </c>
      <c r="V374" s="165" t="str">
        <f ca="1">IF(R374="","",(INDEX(OFFSET(Arb!$U$2,,,Arb!$AJ$5,),R374)+INDEX(OFFSET(Arb!$V$2,,,Arb!$AJ$5,),R374))/S374)</f>
        <v/>
      </c>
      <c r="W374" s="51" t="str">
        <f t="shared" ca="1" si="127"/>
        <v/>
      </c>
      <c r="X374" s="88" t="str">
        <f ca="1">IF(R374="","",DATE(INDEX(OFFSET(Arb!$C$2,,,Arb!$AJ$5,),R374),INDEX(OFFSET(Arb!$B$2,,,Arb!$AJ$5,),R374),INDEX(OFFSET(Arb!$A$2,,,Arb!$AJ$5,),R374))+ROW()*0.001)</f>
        <v/>
      </c>
      <c r="Y374" s="436">
        <v>232</v>
      </c>
      <c r="AA374" s="52" t="str">
        <f ca="1">IF(Z374="","",INDEX(OFFSET(Arb!$H$2,,,Arb!$AJ$5,),Z374))</f>
        <v/>
      </c>
      <c r="AB374" s="3" t="str">
        <f t="shared" ca="1" si="118"/>
        <v/>
      </c>
      <c r="AC374" s="165" t="str">
        <f ca="1">IF(Z374="","",INDEX(OFFSET(Arb!$X$2,,,Arb!$AJ$5,),Z374)/AA374)</f>
        <v/>
      </c>
      <c r="AD374" s="165" t="str">
        <f ca="1">IF(Z374="","",(INDEX(OFFSET(Arb!$U$2,,,Arb!$AJ$5,),Z374)+INDEX(OFFSET(Arb!$V$2,,,Arb!$AJ$5,),Z374))/AA374)</f>
        <v/>
      </c>
      <c r="AE374" s="51" t="str">
        <f t="shared" ca="1" si="128"/>
        <v/>
      </c>
      <c r="AF374" s="91" t="str">
        <f ca="1">IF(Z374="","",DATE(INDEX(OFFSET(Arb!$C$2,,,Arb!$AJ$5,),Z374),INDEX(OFFSET(Arb!$B$2,,,Arb!$AJ$5,),Z374),INDEX(OFFSET(Arb!$A$2,,,Arb!$AJ$5,),Z374))+ROW()*0.001)</f>
        <v/>
      </c>
      <c r="AG374" s="442">
        <v>232</v>
      </c>
      <c r="AI374" s="52" t="str">
        <f ca="1">IF(AH374="","",INDEX(OFFSET(Arb!$H$2,,,Arb!$AJ$5,),AH374))</f>
        <v/>
      </c>
      <c r="AJ374" s="3" t="str">
        <f t="shared" ca="1" si="119"/>
        <v/>
      </c>
      <c r="AK374" s="165" t="str">
        <f ca="1">IF(AH374="","",INDEX(OFFSET(Arb!$X$2,,,Arb!$AJ$5,),AH374)/AI374)</f>
        <v/>
      </c>
      <c r="AL374" s="165" t="str">
        <f ca="1">IF(AH374="","",(INDEX(OFFSET(Arb!$U$2,,,Arb!$AJ$5,),AH374)+INDEX(OFFSET(Arb!$V$2,,,Arb!$AJ$5,),AH374))/AI374)</f>
        <v/>
      </c>
      <c r="AM374" s="51" t="str">
        <f t="shared" ca="1" si="129"/>
        <v/>
      </c>
      <c r="AN374" s="88" t="str">
        <f ca="1">IF(AH374="","",DATE(INDEX(OFFSET(Arb!$C$2,,,Arb!$AJ$5,),AH374),INDEX(OFFSET(Arb!$B$2,,,Arb!$AJ$5,),AH374),INDEX(OFFSET(Arb!$A$2,,,Arb!$AJ$5,),AH374))+ROW()*0.001)</f>
        <v/>
      </c>
      <c r="AO374" s="436">
        <v>232</v>
      </c>
      <c r="AQ374" s="52" t="str">
        <f ca="1">IF(AP374="","",INDEX(OFFSET(Arb!$H$2,,,Arb!$AJ$5,),AP374))</f>
        <v/>
      </c>
      <c r="AR374" s="3" t="str">
        <f t="shared" ca="1" si="120"/>
        <v/>
      </c>
      <c r="AS374" s="165" t="str">
        <f ca="1">IF(AP374="","",INDEX(OFFSET(Arb!$X$2,,,Arb!$AJ$5,),AP374)/AQ374)</f>
        <v/>
      </c>
      <c r="AT374" s="165" t="str">
        <f ca="1">IF(AP374="","",(INDEX(OFFSET(Arb!$U$2,,,Arb!$AJ$5,),AP374)+INDEX(OFFSET(Arb!$V$2,,,Arb!$AJ$5,),AP374))/AQ374)</f>
        <v/>
      </c>
      <c r="AU374" s="51" t="str">
        <f t="shared" ca="1" si="130"/>
        <v/>
      </c>
      <c r="AV374" s="91" t="str">
        <f ca="1">IF(AP374="","",DATE(INDEX(OFFSET(Arb!$C$2,,,Arb!$AJ$5,),AP374),INDEX(OFFSET(Arb!$B$2,,,Arb!$AJ$5,),AP374),INDEX(OFFSET(Arb!$A$2,,,Arb!$AJ$5,),AP374))+ROW()*0.001)</f>
        <v/>
      </c>
      <c r="AW374" s="442">
        <v>232</v>
      </c>
      <c r="AY374" s="52" t="str">
        <f ca="1">IF(AX374="","",INDEX(OFFSET(Arb!$H$2,,,Arb!$AJ$5,),AX374))</f>
        <v/>
      </c>
      <c r="AZ374" s="3" t="str">
        <f t="shared" ca="1" si="121"/>
        <v/>
      </c>
      <c r="BA374" s="165" t="str">
        <f ca="1">IF(AX374="","",INDEX(OFFSET(Arb!$X$2,,,Arb!$AJ$5,),AX374)/AY374)</f>
        <v/>
      </c>
      <c r="BB374" s="165" t="str">
        <f ca="1">IF(AX374="","",(INDEX(OFFSET(Arb!$U$2,,,Arb!$AJ$5,),AX374)+INDEX(OFFSET(Arb!$V$2,,,Arb!$AJ$5,),AX374))/AY374)</f>
        <v/>
      </c>
      <c r="BC374" s="51" t="str">
        <f t="shared" ca="1" si="131"/>
        <v/>
      </c>
      <c r="BD374" s="88" t="str">
        <f ca="1">IF(AX374="","",DATE(INDEX(OFFSET(Arb!$C$2,,,Arb!$AJ$5,),AX374),INDEX(OFFSET(Arb!$B$2,,,Arb!$AJ$5,),AX374),INDEX(OFFSET(Arb!$A$2,,,Arb!$AJ$5,),AX374))+ROW()*0.001)</f>
        <v/>
      </c>
      <c r="BE374" s="436">
        <v>232</v>
      </c>
      <c r="BG374" s="52" t="str">
        <f ca="1">IF(BF374="","",INDEX(OFFSET(Arb!$H$2,,,Arb!$AJ$5,),BF374))</f>
        <v/>
      </c>
      <c r="BH374" s="3" t="str">
        <f t="shared" ca="1" si="122"/>
        <v/>
      </c>
      <c r="BI374" s="165" t="str">
        <f ca="1">IF(BF374="","",INDEX(OFFSET(Arb!$X$2,,,Arb!$AJ$5,),BF374)/BG374)</f>
        <v/>
      </c>
      <c r="BJ374" s="165" t="str">
        <f ca="1">IF(BF374="","",(INDEX(OFFSET(Arb!$U$2,,,Arb!$AJ$5,),BF374)+INDEX(OFFSET(Arb!$V$2,,,Arb!$AJ$5,),BF374))/BG374)</f>
        <v/>
      </c>
      <c r="BK374" s="51" t="str">
        <f t="shared" ca="1" si="132"/>
        <v/>
      </c>
      <c r="BL374" s="91" t="str">
        <f ca="1">IF(BF374="","",DATE(INDEX(OFFSET(Arb!$C$2,,,Arb!$AJ$5,),BF374),INDEX(OFFSET(Arb!$B$2,,,Arb!$AJ$5,),BF374),INDEX(OFFSET(Arb!$A$2,,,Arb!$AJ$5,),BF374))+ROW()*0.001)</f>
        <v/>
      </c>
      <c r="BM374" s="442">
        <v>232</v>
      </c>
      <c r="BO374" s="52" t="str">
        <f ca="1">IF(BN374="","",INDEX(OFFSET(Arb!$H$2,,,Arb!$AJ$5,),BN374))</f>
        <v/>
      </c>
      <c r="BP374" s="3" t="str">
        <f t="shared" ca="1" si="123"/>
        <v/>
      </c>
      <c r="BQ374" s="165" t="str">
        <f ca="1">IF(BN374="","",INDEX(OFFSET(Arb!$X$2,,,Arb!$AJ$5,),BN374)/BO374)</f>
        <v/>
      </c>
      <c r="BR374" s="165" t="str">
        <f ca="1">IF(BN374="","",(INDEX(OFFSET(Arb!$U$2,,,Arb!$AJ$5,),BN374)+INDEX(OFFSET(Arb!$V$2,,,Arb!$AJ$5,),BN374))/BO374)</f>
        <v/>
      </c>
      <c r="BS374" s="51" t="str">
        <f t="shared" ca="1" si="133"/>
        <v/>
      </c>
      <c r="BT374" s="88" t="str">
        <f ca="1">IF(BN374="","",DATE(INDEX(OFFSET(Arb!$C$2,,,Arb!$AJ$5,),BN374),INDEX(OFFSET(Arb!$B$2,,,Arb!$AJ$5,),BN374),INDEX(OFFSET(Arb!$A$2,,,Arb!$AJ$5,),BN374))+ROW()*0.001)</f>
        <v/>
      </c>
      <c r="BU374" s="436">
        <v>232</v>
      </c>
      <c r="BW374" s="52" t="str">
        <f ca="1">IF(BV374="","",INDEX(OFFSET(Arb!$H$2,,,Arb!$AJ$5,),BV374))</f>
        <v/>
      </c>
      <c r="BX374" s="3" t="str">
        <f t="shared" ca="1" si="124"/>
        <v/>
      </c>
      <c r="BY374" s="165" t="str">
        <f ca="1">IF(BV374="","",INDEX(OFFSET(Arb!$X$2,,,Arb!$AJ$5,),BV374)/BW374)</f>
        <v/>
      </c>
      <c r="BZ374" s="165" t="str">
        <f ca="1">IF(BV374="","",(INDEX(OFFSET(Arb!$U$2,,,Arb!$AJ$5,),BV374)+INDEX(OFFSET(Arb!$V$2,,,Arb!$AJ$5,),BV374))/BW374)</f>
        <v/>
      </c>
      <c r="CA374" s="51" t="str">
        <f t="shared" ca="1" si="134"/>
        <v/>
      </c>
      <c r="CB374" s="91" t="str">
        <f ca="1">IF(BV374="","",DATE(INDEX(OFFSET(Arb!$C$2,,,Arb!$AJ$5,),BV374),INDEX(OFFSET(Arb!$B$2,,,Arb!$AJ$5,),BV374),INDEX(OFFSET(Arb!$A$2,,,Arb!$AJ$5,),BV374))+ROW()*0.001)</f>
        <v/>
      </c>
    </row>
    <row r="375" spans="1:80" x14ac:dyDescent="0.25">
      <c r="A375" s="433">
        <v>233</v>
      </c>
      <c r="C375" s="52" t="str">
        <f ca="1">IF(B375="","",INDEX(OFFSET(Arb!$H$2,,,Arb!$AJ$5,),B375))</f>
        <v/>
      </c>
      <c r="D375" s="3" t="str">
        <f t="shared" ca="1" si="115"/>
        <v/>
      </c>
      <c r="E375" s="165" t="str">
        <f ca="1">IF(B375="","",INDEX(OFFSET(Arb!$X$2,,,Arb!$AJ$5,),B375)/C375)</f>
        <v/>
      </c>
      <c r="F375" s="165" t="str">
        <f ca="1">IF(B375="","",(INDEX(OFFSET(Arb!$U$2,,,Arb!$AJ$5,),B375)+INDEX(OFFSET(Arb!$V$2,,,Arb!$AJ$5,),B375))/C375)</f>
        <v/>
      </c>
      <c r="G375" s="51" t="str">
        <f t="shared" ca="1" si="125"/>
        <v/>
      </c>
      <c r="H375" s="355" t="str">
        <f ca="1">IF(B375="","",DATE(INDEX(OFFSET(Arb!$C$2,,,Arb!$AJ$5,),B375),INDEX(OFFSET(Arb!$B$2,,,Arb!$AJ$5,),B375),INDEX(OFFSET(Arb!$A$2,,,Arb!$AJ$5,),B375))+ROW()*0.001)</f>
        <v/>
      </c>
      <c r="I375" s="436">
        <v>233</v>
      </c>
      <c r="K375" s="52" t="str">
        <f ca="1">IF(J375="","",INDEX(OFFSET(Arb!$H$2,,,Arb!$AJ$5,),J375))</f>
        <v/>
      </c>
      <c r="L375" s="3" t="str">
        <f t="shared" ca="1" si="116"/>
        <v/>
      </c>
      <c r="M375" s="165" t="str">
        <f ca="1">IF(J375="","",INDEX(OFFSET(Arb!$X$2,,,Arb!$AJ$5,),J375)/K375)</f>
        <v/>
      </c>
      <c r="N375" s="165" t="str">
        <f ca="1">IF(J375="","",(INDEX(OFFSET(Arb!$U$2,,,Arb!$AJ$5,),J375)+INDEX(OFFSET(Arb!$V$2,,,Arb!$AJ$5,),J375))/K375)</f>
        <v/>
      </c>
      <c r="O375" s="51" t="str">
        <f t="shared" ca="1" si="126"/>
        <v/>
      </c>
      <c r="P375" s="91" t="str">
        <f ca="1">IF(J375="","",DATE(INDEX(OFFSET(Arb!$C$2,,,Arb!$AJ$5,),J375),INDEX(OFFSET(Arb!$B$2,,,Arb!$AJ$5,),J375),INDEX(OFFSET(Arb!$A$2,,,Arb!$AJ$5,),J375))+ROW()*0.001)</f>
        <v/>
      </c>
      <c r="Q375" s="442">
        <v>233</v>
      </c>
      <c r="S375" s="52" t="str">
        <f ca="1">IF(R375="","",INDEX(OFFSET(Arb!$H$2,,,Arb!$AJ$5,),R375))</f>
        <v/>
      </c>
      <c r="T375" s="3" t="str">
        <f t="shared" ca="1" si="117"/>
        <v/>
      </c>
      <c r="U375" s="165" t="str">
        <f ca="1">IF(R375="","",INDEX(OFFSET(Arb!$X$2,,,Arb!$AJ$5,),R375)/S375)</f>
        <v/>
      </c>
      <c r="V375" s="165" t="str">
        <f ca="1">IF(R375="","",(INDEX(OFFSET(Arb!$U$2,,,Arb!$AJ$5,),R375)+INDEX(OFFSET(Arb!$V$2,,,Arb!$AJ$5,),R375))/S375)</f>
        <v/>
      </c>
      <c r="W375" s="51" t="str">
        <f t="shared" ca="1" si="127"/>
        <v/>
      </c>
      <c r="X375" s="88" t="str">
        <f ca="1">IF(R375="","",DATE(INDEX(OFFSET(Arb!$C$2,,,Arb!$AJ$5,),R375),INDEX(OFFSET(Arb!$B$2,,,Arb!$AJ$5,),R375),INDEX(OFFSET(Arb!$A$2,,,Arb!$AJ$5,),R375))+ROW()*0.001)</f>
        <v/>
      </c>
      <c r="Y375" s="436">
        <v>233</v>
      </c>
      <c r="AA375" s="52" t="str">
        <f ca="1">IF(Z375="","",INDEX(OFFSET(Arb!$H$2,,,Arb!$AJ$5,),Z375))</f>
        <v/>
      </c>
      <c r="AB375" s="3" t="str">
        <f t="shared" ca="1" si="118"/>
        <v/>
      </c>
      <c r="AC375" s="165" t="str">
        <f ca="1">IF(Z375="","",INDEX(OFFSET(Arb!$X$2,,,Arb!$AJ$5,),Z375)/AA375)</f>
        <v/>
      </c>
      <c r="AD375" s="165" t="str">
        <f ca="1">IF(Z375="","",(INDEX(OFFSET(Arb!$U$2,,,Arb!$AJ$5,),Z375)+INDEX(OFFSET(Arb!$V$2,,,Arb!$AJ$5,),Z375))/AA375)</f>
        <v/>
      </c>
      <c r="AE375" s="51" t="str">
        <f t="shared" ca="1" si="128"/>
        <v/>
      </c>
      <c r="AF375" s="91" t="str">
        <f ca="1">IF(Z375="","",DATE(INDEX(OFFSET(Arb!$C$2,,,Arb!$AJ$5,),Z375),INDEX(OFFSET(Arb!$B$2,,,Arb!$AJ$5,),Z375),INDEX(OFFSET(Arb!$A$2,,,Arb!$AJ$5,),Z375))+ROW()*0.001)</f>
        <v/>
      </c>
      <c r="AG375" s="442">
        <v>233</v>
      </c>
      <c r="AI375" s="52" t="str">
        <f ca="1">IF(AH375="","",INDEX(OFFSET(Arb!$H$2,,,Arb!$AJ$5,),AH375))</f>
        <v/>
      </c>
      <c r="AJ375" s="3" t="str">
        <f t="shared" ca="1" si="119"/>
        <v/>
      </c>
      <c r="AK375" s="165" t="str">
        <f ca="1">IF(AH375="","",INDEX(OFFSET(Arb!$X$2,,,Arb!$AJ$5,),AH375)/AI375)</f>
        <v/>
      </c>
      <c r="AL375" s="165" t="str">
        <f ca="1">IF(AH375="","",(INDEX(OFFSET(Arb!$U$2,,,Arb!$AJ$5,),AH375)+INDEX(OFFSET(Arb!$V$2,,,Arb!$AJ$5,),AH375))/AI375)</f>
        <v/>
      </c>
      <c r="AM375" s="51" t="str">
        <f t="shared" ca="1" si="129"/>
        <v/>
      </c>
      <c r="AN375" s="88" t="str">
        <f ca="1">IF(AH375="","",DATE(INDEX(OFFSET(Arb!$C$2,,,Arb!$AJ$5,),AH375),INDEX(OFFSET(Arb!$B$2,,,Arb!$AJ$5,),AH375),INDEX(OFFSET(Arb!$A$2,,,Arb!$AJ$5,),AH375))+ROW()*0.001)</f>
        <v/>
      </c>
      <c r="AO375" s="436">
        <v>233</v>
      </c>
      <c r="AQ375" s="52" t="str">
        <f ca="1">IF(AP375="","",INDEX(OFFSET(Arb!$H$2,,,Arb!$AJ$5,),AP375))</f>
        <v/>
      </c>
      <c r="AR375" s="3" t="str">
        <f t="shared" ca="1" si="120"/>
        <v/>
      </c>
      <c r="AS375" s="165" t="str">
        <f ca="1">IF(AP375="","",INDEX(OFFSET(Arb!$X$2,,,Arb!$AJ$5,),AP375)/AQ375)</f>
        <v/>
      </c>
      <c r="AT375" s="165" t="str">
        <f ca="1">IF(AP375="","",(INDEX(OFFSET(Arb!$U$2,,,Arb!$AJ$5,),AP375)+INDEX(OFFSET(Arb!$V$2,,,Arb!$AJ$5,),AP375))/AQ375)</f>
        <v/>
      </c>
      <c r="AU375" s="51" t="str">
        <f t="shared" ca="1" si="130"/>
        <v/>
      </c>
      <c r="AV375" s="91" t="str">
        <f ca="1">IF(AP375="","",DATE(INDEX(OFFSET(Arb!$C$2,,,Arb!$AJ$5,),AP375),INDEX(OFFSET(Arb!$B$2,,,Arb!$AJ$5,),AP375),INDEX(OFFSET(Arb!$A$2,,,Arb!$AJ$5,),AP375))+ROW()*0.001)</f>
        <v/>
      </c>
      <c r="AW375" s="442">
        <v>233</v>
      </c>
      <c r="AY375" s="52" t="str">
        <f ca="1">IF(AX375="","",INDEX(OFFSET(Arb!$H$2,,,Arb!$AJ$5,),AX375))</f>
        <v/>
      </c>
      <c r="AZ375" s="3" t="str">
        <f t="shared" ca="1" si="121"/>
        <v/>
      </c>
      <c r="BA375" s="165" t="str">
        <f ca="1">IF(AX375="","",INDEX(OFFSET(Arb!$X$2,,,Arb!$AJ$5,),AX375)/AY375)</f>
        <v/>
      </c>
      <c r="BB375" s="165" t="str">
        <f ca="1">IF(AX375="","",(INDEX(OFFSET(Arb!$U$2,,,Arb!$AJ$5,),AX375)+INDEX(OFFSET(Arb!$V$2,,,Arb!$AJ$5,),AX375))/AY375)</f>
        <v/>
      </c>
      <c r="BC375" s="51" t="str">
        <f t="shared" ca="1" si="131"/>
        <v/>
      </c>
      <c r="BD375" s="88" t="str">
        <f ca="1">IF(AX375="","",DATE(INDEX(OFFSET(Arb!$C$2,,,Arb!$AJ$5,),AX375),INDEX(OFFSET(Arb!$B$2,,,Arb!$AJ$5,),AX375),INDEX(OFFSET(Arb!$A$2,,,Arb!$AJ$5,),AX375))+ROW()*0.001)</f>
        <v/>
      </c>
      <c r="BE375" s="436">
        <v>233</v>
      </c>
      <c r="BG375" s="52" t="str">
        <f ca="1">IF(BF375="","",INDEX(OFFSET(Arb!$H$2,,,Arb!$AJ$5,),BF375))</f>
        <v/>
      </c>
      <c r="BH375" s="3" t="str">
        <f t="shared" ca="1" si="122"/>
        <v/>
      </c>
      <c r="BI375" s="165" t="str">
        <f ca="1">IF(BF375="","",INDEX(OFFSET(Arb!$X$2,,,Arb!$AJ$5,),BF375)/BG375)</f>
        <v/>
      </c>
      <c r="BJ375" s="165" t="str">
        <f ca="1">IF(BF375="","",(INDEX(OFFSET(Arb!$U$2,,,Arb!$AJ$5,),BF375)+INDEX(OFFSET(Arb!$V$2,,,Arb!$AJ$5,),BF375))/BG375)</f>
        <v/>
      </c>
      <c r="BK375" s="51" t="str">
        <f t="shared" ca="1" si="132"/>
        <v/>
      </c>
      <c r="BL375" s="91" t="str">
        <f ca="1">IF(BF375="","",DATE(INDEX(OFFSET(Arb!$C$2,,,Arb!$AJ$5,),BF375),INDEX(OFFSET(Arb!$B$2,,,Arb!$AJ$5,),BF375),INDEX(OFFSET(Arb!$A$2,,,Arb!$AJ$5,),BF375))+ROW()*0.001)</f>
        <v/>
      </c>
      <c r="BM375" s="442">
        <v>233</v>
      </c>
      <c r="BO375" s="52" t="str">
        <f ca="1">IF(BN375="","",INDEX(OFFSET(Arb!$H$2,,,Arb!$AJ$5,),BN375))</f>
        <v/>
      </c>
      <c r="BP375" s="3" t="str">
        <f t="shared" ca="1" si="123"/>
        <v/>
      </c>
      <c r="BQ375" s="165" t="str">
        <f ca="1">IF(BN375="","",INDEX(OFFSET(Arb!$X$2,,,Arb!$AJ$5,),BN375)/BO375)</f>
        <v/>
      </c>
      <c r="BR375" s="165" t="str">
        <f ca="1">IF(BN375="","",(INDEX(OFFSET(Arb!$U$2,,,Arb!$AJ$5,),BN375)+INDEX(OFFSET(Arb!$V$2,,,Arb!$AJ$5,),BN375))/BO375)</f>
        <v/>
      </c>
      <c r="BS375" s="51" t="str">
        <f t="shared" ca="1" si="133"/>
        <v/>
      </c>
      <c r="BT375" s="88" t="str">
        <f ca="1">IF(BN375="","",DATE(INDEX(OFFSET(Arb!$C$2,,,Arb!$AJ$5,),BN375),INDEX(OFFSET(Arb!$B$2,,,Arb!$AJ$5,),BN375),INDEX(OFFSET(Arb!$A$2,,,Arb!$AJ$5,),BN375))+ROW()*0.001)</f>
        <v/>
      </c>
      <c r="BU375" s="436">
        <v>233</v>
      </c>
      <c r="BW375" s="52" t="str">
        <f ca="1">IF(BV375="","",INDEX(OFFSET(Arb!$H$2,,,Arb!$AJ$5,),BV375))</f>
        <v/>
      </c>
      <c r="BX375" s="3" t="str">
        <f t="shared" ca="1" si="124"/>
        <v/>
      </c>
      <c r="BY375" s="165" t="str">
        <f ca="1">IF(BV375="","",INDEX(OFFSET(Arb!$X$2,,,Arb!$AJ$5,),BV375)/BW375)</f>
        <v/>
      </c>
      <c r="BZ375" s="165" t="str">
        <f ca="1">IF(BV375="","",(INDEX(OFFSET(Arb!$U$2,,,Arb!$AJ$5,),BV375)+INDEX(OFFSET(Arb!$V$2,,,Arb!$AJ$5,),BV375))/BW375)</f>
        <v/>
      </c>
      <c r="CA375" s="51" t="str">
        <f t="shared" ca="1" si="134"/>
        <v/>
      </c>
      <c r="CB375" s="91" t="str">
        <f ca="1">IF(BV375="","",DATE(INDEX(OFFSET(Arb!$C$2,,,Arb!$AJ$5,),BV375),INDEX(OFFSET(Arb!$B$2,,,Arb!$AJ$5,),BV375),INDEX(OFFSET(Arb!$A$2,,,Arb!$AJ$5,),BV375))+ROW()*0.001)</f>
        <v/>
      </c>
    </row>
    <row r="376" spans="1:80" x14ac:dyDescent="0.25">
      <c r="A376" s="433">
        <v>234</v>
      </c>
      <c r="C376" s="52" t="str">
        <f ca="1">IF(B376="","",INDEX(OFFSET(Arb!$H$2,,,Arb!$AJ$5,),B376))</f>
        <v/>
      </c>
      <c r="D376" s="3" t="str">
        <f t="shared" ca="1" si="115"/>
        <v/>
      </c>
      <c r="E376" s="165" t="str">
        <f ca="1">IF(B376="","",INDEX(OFFSET(Arb!$X$2,,,Arb!$AJ$5,),B376)/C376)</f>
        <v/>
      </c>
      <c r="F376" s="165" t="str">
        <f ca="1">IF(B376="","",(INDEX(OFFSET(Arb!$U$2,,,Arb!$AJ$5,),B376)+INDEX(OFFSET(Arb!$V$2,,,Arb!$AJ$5,),B376))/C376)</f>
        <v/>
      </c>
      <c r="G376" s="51" t="str">
        <f t="shared" ca="1" si="125"/>
        <v/>
      </c>
      <c r="H376" s="355" t="str">
        <f ca="1">IF(B376="","",DATE(INDEX(OFFSET(Arb!$C$2,,,Arb!$AJ$5,),B376),INDEX(OFFSET(Arb!$B$2,,,Arb!$AJ$5,),B376),INDEX(OFFSET(Arb!$A$2,,,Arb!$AJ$5,),B376))+ROW()*0.001)</f>
        <v/>
      </c>
      <c r="I376" s="436">
        <v>234</v>
      </c>
      <c r="K376" s="52" t="str">
        <f ca="1">IF(J376="","",INDEX(OFFSET(Arb!$H$2,,,Arb!$AJ$5,),J376))</f>
        <v/>
      </c>
      <c r="L376" s="3" t="str">
        <f t="shared" ca="1" si="116"/>
        <v/>
      </c>
      <c r="M376" s="165" t="str">
        <f ca="1">IF(J376="","",INDEX(OFFSET(Arb!$X$2,,,Arb!$AJ$5,),J376)/K376)</f>
        <v/>
      </c>
      <c r="N376" s="165" t="str">
        <f ca="1">IF(J376="","",(INDEX(OFFSET(Arb!$U$2,,,Arb!$AJ$5,),J376)+INDEX(OFFSET(Arb!$V$2,,,Arb!$AJ$5,),J376))/K376)</f>
        <v/>
      </c>
      <c r="O376" s="51" t="str">
        <f t="shared" ca="1" si="126"/>
        <v/>
      </c>
      <c r="P376" s="91" t="str">
        <f ca="1">IF(J376="","",DATE(INDEX(OFFSET(Arb!$C$2,,,Arb!$AJ$5,),J376),INDEX(OFFSET(Arb!$B$2,,,Arb!$AJ$5,),J376),INDEX(OFFSET(Arb!$A$2,,,Arb!$AJ$5,),J376))+ROW()*0.001)</f>
        <v/>
      </c>
      <c r="Q376" s="442">
        <v>234</v>
      </c>
      <c r="S376" s="52" t="str">
        <f ca="1">IF(R376="","",INDEX(OFFSET(Arb!$H$2,,,Arb!$AJ$5,),R376))</f>
        <v/>
      </c>
      <c r="T376" s="3" t="str">
        <f t="shared" ca="1" si="117"/>
        <v/>
      </c>
      <c r="U376" s="165" t="str">
        <f ca="1">IF(R376="","",INDEX(OFFSET(Arb!$X$2,,,Arb!$AJ$5,),R376)/S376)</f>
        <v/>
      </c>
      <c r="V376" s="165" t="str">
        <f ca="1">IF(R376="","",(INDEX(OFFSET(Arb!$U$2,,,Arb!$AJ$5,),R376)+INDEX(OFFSET(Arb!$V$2,,,Arb!$AJ$5,),R376))/S376)</f>
        <v/>
      </c>
      <c r="W376" s="51" t="str">
        <f t="shared" ca="1" si="127"/>
        <v/>
      </c>
      <c r="X376" s="88" t="str">
        <f ca="1">IF(R376="","",DATE(INDEX(OFFSET(Arb!$C$2,,,Arb!$AJ$5,),R376),INDEX(OFFSET(Arb!$B$2,,,Arb!$AJ$5,),R376),INDEX(OFFSET(Arb!$A$2,,,Arb!$AJ$5,),R376))+ROW()*0.001)</f>
        <v/>
      </c>
      <c r="Y376" s="436">
        <v>234</v>
      </c>
      <c r="AA376" s="52" t="str">
        <f ca="1">IF(Z376="","",INDEX(OFFSET(Arb!$H$2,,,Arb!$AJ$5,),Z376))</f>
        <v/>
      </c>
      <c r="AB376" s="3" t="str">
        <f t="shared" ca="1" si="118"/>
        <v/>
      </c>
      <c r="AC376" s="165" t="str">
        <f ca="1">IF(Z376="","",INDEX(OFFSET(Arb!$X$2,,,Arb!$AJ$5,),Z376)/AA376)</f>
        <v/>
      </c>
      <c r="AD376" s="165" t="str">
        <f ca="1">IF(Z376="","",(INDEX(OFFSET(Arb!$U$2,,,Arb!$AJ$5,),Z376)+INDEX(OFFSET(Arb!$V$2,,,Arb!$AJ$5,),Z376))/AA376)</f>
        <v/>
      </c>
      <c r="AE376" s="51" t="str">
        <f t="shared" ca="1" si="128"/>
        <v/>
      </c>
      <c r="AF376" s="91" t="str">
        <f ca="1">IF(Z376="","",DATE(INDEX(OFFSET(Arb!$C$2,,,Arb!$AJ$5,),Z376),INDEX(OFFSET(Arb!$B$2,,,Arb!$AJ$5,),Z376),INDEX(OFFSET(Arb!$A$2,,,Arb!$AJ$5,),Z376))+ROW()*0.001)</f>
        <v/>
      </c>
      <c r="AG376" s="442">
        <v>234</v>
      </c>
      <c r="AI376" s="52" t="str">
        <f ca="1">IF(AH376="","",INDEX(OFFSET(Arb!$H$2,,,Arb!$AJ$5,),AH376))</f>
        <v/>
      </c>
      <c r="AJ376" s="3" t="str">
        <f t="shared" ca="1" si="119"/>
        <v/>
      </c>
      <c r="AK376" s="165" t="str">
        <f ca="1">IF(AH376="","",INDEX(OFFSET(Arb!$X$2,,,Arb!$AJ$5,),AH376)/AI376)</f>
        <v/>
      </c>
      <c r="AL376" s="165" t="str">
        <f ca="1">IF(AH376="","",(INDEX(OFFSET(Arb!$U$2,,,Arb!$AJ$5,),AH376)+INDEX(OFFSET(Arb!$V$2,,,Arb!$AJ$5,),AH376))/AI376)</f>
        <v/>
      </c>
      <c r="AM376" s="51" t="str">
        <f t="shared" ca="1" si="129"/>
        <v/>
      </c>
      <c r="AN376" s="88" t="str">
        <f ca="1">IF(AH376="","",DATE(INDEX(OFFSET(Arb!$C$2,,,Arb!$AJ$5,),AH376),INDEX(OFFSET(Arb!$B$2,,,Arb!$AJ$5,),AH376),INDEX(OFFSET(Arb!$A$2,,,Arb!$AJ$5,),AH376))+ROW()*0.001)</f>
        <v/>
      </c>
      <c r="AO376" s="436">
        <v>234</v>
      </c>
      <c r="AQ376" s="52" t="str">
        <f ca="1">IF(AP376="","",INDEX(OFFSET(Arb!$H$2,,,Arb!$AJ$5,),AP376))</f>
        <v/>
      </c>
      <c r="AR376" s="3" t="str">
        <f t="shared" ca="1" si="120"/>
        <v/>
      </c>
      <c r="AS376" s="165" t="str">
        <f ca="1">IF(AP376="","",INDEX(OFFSET(Arb!$X$2,,,Arb!$AJ$5,),AP376)/AQ376)</f>
        <v/>
      </c>
      <c r="AT376" s="165" t="str">
        <f ca="1">IF(AP376="","",(INDEX(OFFSET(Arb!$U$2,,,Arb!$AJ$5,),AP376)+INDEX(OFFSET(Arb!$V$2,,,Arb!$AJ$5,),AP376))/AQ376)</f>
        <v/>
      </c>
      <c r="AU376" s="51" t="str">
        <f t="shared" ca="1" si="130"/>
        <v/>
      </c>
      <c r="AV376" s="91" t="str">
        <f ca="1">IF(AP376="","",DATE(INDEX(OFFSET(Arb!$C$2,,,Arb!$AJ$5,),AP376),INDEX(OFFSET(Arb!$B$2,,,Arb!$AJ$5,),AP376),INDEX(OFFSET(Arb!$A$2,,,Arb!$AJ$5,),AP376))+ROW()*0.001)</f>
        <v/>
      </c>
      <c r="AW376" s="442">
        <v>234</v>
      </c>
      <c r="AY376" s="52" t="str">
        <f ca="1">IF(AX376="","",INDEX(OFFSET(Arb!$H$2,,,Arb!$AJ$5,),AX376))</f>
        <v/>
      </c>
      <c r="AZ376" s="3" t="str">
        <f t="shared" ca="1" si="121"/>
        <v/>
      </c>
      <c r="BA376" s="165" t="str">
        <f ca="1">IF(AX376="","",INDEX(OFFSET(Arb!$X$2,,,Arb!$AJ$5,),AX376)/AY376)</f>
        <v/>
      </c>
      <c r="BB376" s="165" t="str">
        <f ca="1">IF(AX376="","",(INDEX(OFFSET(Arb!$U$2,,,Arb!$AJ$5,),AX376)+INDEX(OFFSET(Arb!$V$2,,,Arb!$AJ$5,),AX376))/AY376)</f>
        <v/>
      </c>
      <c r="BC376" s="51" t="str">
        <f t="shared" ca="1" si="131"/>
        <v/>
      </c>
      <c r="BD376" s="88" t="str">
        <f ca="1">IF(AX376="","",DATE(INDEX(OFFSET(Arb!$C$2,,,Arb!$AJ$5,),AX376),INDEX(OFFSET(Arb!$B$2,,,Arb!$AJ$5,),AX376),INDEX(OFFSET(Arb!$A$2,,,Arb!$AJ$5,),AX376))+ROW()*0.001)</f>
        <v/>
      </c>
      <c r="BE376" s="436">
        <v>234</v>
      </c>
      <c r="BG376" s="52" t="str">
        <f ca="1">IF(BF376="","",INDEX(OFFSET(Arb!$H$2,,,Arb!$AJ$5,),BF376))</f>
        <v/>
      </c>
      <c r="BH376" s="3" t="str">
        <f t="shared" ca="1" si="122"/>
        <v/>
      </c>
      <c r="BI376" s="165" t="str">
        <f ca="1">IF(BF376="","",INDEX(OFFSET(Arb!$X$2,,,Arb!$AJ$5,),BF376)/BG376)</f>
        <v/>
      </c>
      <c r="BJ376" s="165" t="str">
        <f ca="1">IF(BF376="","",(INDEX(OFFSET(Arb!$U$2,,,Arb!$AJ$5,),BF376)+INDEX(OFFSET(Arb!$V$2,,,Arb!$AJ$5,),BF376))/BG376)</f>
        <v/>
      </c>
      <c r="BK376" s="51" t="str">
        <f t="shared" ca="1" si="132"/>
        <v/>
      </c>
      <c r="BL376" s="91" t="str">
        <f ca="1">IF(BF376="","",DATE(INDEX(OFFSET(Arb!$C$2,,,Arb!$AJ$5,),BF376),INDEX(OFFSET(Arb!$B$2,,,Arb!$AJ$5,),BF376),INDEX(OFFSET(Arb!$A$2,,,Arb!$AJ$5,),BF376))+ROW()*0.001)</f>
        <v/>
      </c>
      <c r="BM376" s="442">
        <v>234</v>
      </c>
      <c r="BO376" s="52" t="str">
        <f ca="1">IF(BN376="","",INDEX(OFFSET(Arb!$H$2,,,Arb!$AJ$5,),BN376))</f>
        <v/>
      </c>
      <c r="BP376" s="3" t="str">
        <f t="shared" ca="1" si="123"/>
        <v/>
      </c>
      <c r="BQ376" s="165" t="str">
        <f ca="1">IF(BN376="","",INDEX(OFFSET(Arb!$X$2,,,Arb!$AJ$5,),BN376)/BO376)</f>
        <v/>
      </c>
      <c r="BR376" s="165" t="str">
        <f ca="1">IF(BN376="","",(INDEX(OFFSET(Arb!$U$2,,,Arb!$AJ$5,),BN376)+INDEX(OFFSET(Arb!$V$2,,,Arb!$AJ$5,),BN376))/BO376)</f>
        <v/>
      </c>
      <c r="BS376" s="51" t="str">
        <f t="shared" ca="1" si="133"/>
        <v/>
      </c>
      <c r="BT376" s="88" t="str">
        <f ca="1">IF(BN376="","",DATE(INDEX(OFFSET(Arb!$C$2,,,Arb!$AJ$5,),BN376),INDEX(OFFSET(Arb!$B$2,,,Arb!$AJ$5,),BN376),INDEX(OFFSET(Arb!$A$2,,,Arb!$AJ$5,),BN376))+ROW()*0.001)</f>
        <v/>
      </c>
      <c r="BU376" s="436">
        <v>234</v>
      </c>
      <c r="BW376" s="52" t="str">
        <f ca="1">IF(BV376="","",INDEX(OFFSET(Arb!$H$2,,,Arb!$AJ$5,),BV376))</f>
        <v/>
      </c>
      <c r="BX376" s="3" t="str">
        <f t="shared" ca="1" si="124"/>
        <v/>
      </c>
      <c r="BY376" s="165" t="str">
        <f ca="1">IF(BV376="","",INDEX(OFFSET(Arb!$X$2,,,Arb!$AJ$5,),BV376)/BW376)</f>
        <v/>
      </c>
      <c r="BZ376" s="165" t="str">
        <f ca="1">IF(BV376="","",(INDEX(OFFSET(Arb!$U$2,,,Arb!$AJ$5,),BV376)+INDEX(OFFSET(Arb!$V$2,,,Arb!$AJ$5,),BV376))/BW376)</f>
        <v/>
      </c>
      <c r="CA376" s="51" t="str">
        <f t="shared" ca="1" si="134"/>
        <v/>
      </c>
      <c r="CB376" s="91" t="str">
        <f ca="1">IF(BV376="","",DATE(INDEX(OFFSET(Arb!$C$2,,,Arb!$AJ$5,),BV376),INDEX(OFFSET(Arb!$B$2,,,Arb!$AJ$5,),BV376),INDEX(OFFSET(Arb!$A$2,,,Arb!$AJ$5,),BV376))+ROW()*0.001)</f>
        <v/>
      </c>
    </row>
    <row r="377" spans="1:80" x14ac:dyDescent="0.25">
      <c r="A377" s="433">
        <v>235</v>
      </c>
      <c r="C377" s="52" t="str">
        <f ca="1">IF(B377="","",INDEX(OFFSET(Arb!$H$2,,,Arb!$AJ$5,),B377))</f>
        <v/>
      </c>
      <c r="D377" s="3" t="str">
        <f t="shared" ca="1" si="115"/>
        <v/>
      </c>
      <c r="E377" s="165" t="str">
        <f ca="1">IF(B377="","",INDEX(OFFSET(Arb!$X$2,,,Arb!$AJ$5,),B377)/C377)</f>
        <v/>
      </c>
      <c r="F377" s="165" t="str">
        <f ca="1">IF(B377="","",(INDEX(OFFSET(Arb!$U$2,,,Arb!$AJ$5,),B377)+INDEX(OFFSET(Arb!$V$2,,,Arb!$AJ$5,),B377))/C377)</f>
        <v/>
      </c>
      <c r="G377" s="51" t="str">
        <f t="shared" ca="1" si="125"/>
        <v/>
      </c>
      <c r="H377" s="355" t="str">
        <f ca="1">IF(B377="","",DATE(INDEX(OFFSET(Arb!$C$2,,,Arb!$AJ$5,),B377),INDEX(OFFSET(Arb!$B$2,,,Arb!$AJ$5,),B377),INDEX(OFFSET(Arb!$A$2,,,Arb!$AJ$5,),B377))+ROW()*0.001)</f>
        <v/>
      </c>
      <c r="I377" s="436">
        <v>235</v>
      </c>
      <c r="K377" s="52" t="str">
        <f ca="1">IF(J377="","",INDEX(OFFSET(Arb!$H$2,,,Arb!$AJ$5,),J377))</f>
        <v/>
      </c>
      <c r="L377" s="3" t="str">
        <f t="shared" ca="1" si="116"/>
        <v/>
      </c>
      <c r="M377" s="165" t="str">
        <f ca="1">IF(J377="","",INDEX(OFFSET(Arb!$X$2,,,Arb!$AJ$5,),J377)/K377)</f>
        <v/>
      </c>
      <c r="N377" s="165" t="str">
        <f ca="1">IF(J377="","",(INDEX(OFFSET(Arb!$U$2,,,Arb!$AJ$5,),J377)+INDEX(OFFSET(Arb!$V$2,,,Arb!$AJ$5,),J377))/K377)</f>
        <v/>
      </c>
      <c r="O377" s="51" t="str">
        <f t="shared" ca="1" si="126"/>
        <v/>
      </c>
      <c r="P377" s="91" t="str">
        <f ca="1">IF(J377="","",DATE(INDEX(OFFSET(Arb!$C$2,,,Arb!$AJ$5,),J377),INDEX(OFFSET(Arb!$B$2,,,Arb!$AJ$5,),J377),INDEX(OFFSET(Arb!$A$2,,,Arb!$AJ$5,),J377))+ROW()*0.001)</f>
        <v/>
      </c>
      <c r="Q377" s="442">
        <v>235</v>
      </c>
      <c r="S377" s="52" t="str">
        <f ca="1">IF(R377="","",INDEX(OFFSET(Arb!$H$2,,,Arb!$AJ$5,),R377))</f>
        <v/>
      </c>
      <c r="T377" s="3" t="str">
        <f t="shared" ca="1" si="117"/>
        <v/>
      </c>
      <c r="U377" s="165" t="str">
        <f ca="1">IF(R377="","",INDEX(OFFSET(Arb!$X$2,,,Arb!$AJ$5,),R377)/S377)</f>
        <v/>
      </c>
      <c r="V377" s="165" t="str">
        <f ca="1">IF(R377="","",(INDEX(OFFSET(Arb!$U$2,,,Arb!$AJ$5,),R377)+INDEX(OFFSET(Arb!$V$2,,,Arb!$AJ$5,),R377))/S377)</f>
        <v/>
      </c>
      <c r="W377" s="51" t="str">
        <f t="shared" ca="1" si="127"/>
        <v/>
      </c>
      <c r="X377" s="88" t="str">
        <f ca="1">IF(R377="","",DATE(INDEX(OFFSET(Arb!$C$2,,,Arb!$AJ$5,),R377),INDEX(OFFSET(Arb!$B$2,,,Arb!$AJ$5,),R377),INDEX(OFFSET(Arb!$A$2,,,Arb!$AJ$5,),R377))+ROW()*0.001)</f>
        <v/>
      </c>
      <c r="Y377" s="436">
        <v>235</v>
      </c>
      <c r="AA377" s="52" t="str">
        <f ca="1">IF(Z377="","",INDEX(OFFSET(Arb!$H$2,,,Arb!$AJ$5,),Z377))</f>
        <v/>
      </c>
      <c r="AB377" s="3" t="str">
        <f t="shared" ca="1" si="118"/>
        <v/>
      </c>
      <c r="AC377" s="165" t="str">
        <f ca="1">IF(Z377="","",INDEX(OFFSET(Arb!$X$2,,,Arb!$AJ$5,),Z377)/AA377)</f>
        <v/>
      </c>
      <c r="AD377" s="165" t="str">
        <f ca="1">IF(Z377="","",(INDEX(OFFSET(Arb!$U$2,,,Arb!$AJ$5,),Z377)+INDEX(OFFSET(Arb!$V$2,,,Arb!$AJ$5,),Z377))/AA377)</f>
        <v/>
      </c>
      <c r="AE377" s="51" t="str">
        <f t="shared" ca="1" si="128"/>
        <v/>
      </c>
      <c r="AF377" s="91" t="str">
        <f ca="1">IF(Z377="","",DATE(INDEX(OFFSET(Arb!$C$2,,,Arb!$AJ$5,),Z377),INDEX(OFFSET(Arb!$B$2,,,Arb!$AJ$5,),Z377),INDEX(OFFSET(Arb!$A$2,,,Arb!$AJ$5,),Z377))+ROW()*0.001)</f>
        <v/>
      </c>
      <c r="AG377" s="442">
        <v>235</v>
      </c>
      <c r="AI377" s="52" t="str">
        <f ca="1">IF(AH377="","",INDEX(OFFSET(Arb!$H$2,,,Arb!$AJ$5,),AH377))</f>
        <v/>
      </c>
      <c r="AJ377" s="3" t="str">
        <f t="shared" ca="1" si="119"/>
        <v/>
      </c>
      <c r="AK377" s="165" t="str">
        <f ca="1">IF(AH377="","",INDEX(OFFSET(Arb!$X$2,,,Arb!$AJ$5,),AH377)/AI377)</f>
        <v/>
      </c>
      <c r="AL377" s="165" t="str">
        <f ca="1">IF(AH377="","",(INDEX(OFFSET(Arb!$U$2,,,Arb!$AJ$5,),AH377)+INDEX(OFFSET(Arb!$V$2,,,Arb!$AJ$5,),AH377))/AI377)</f>
        <v/>
      </c>
      <c r="AM377" s="51" t="str">
        <f t="shared" ca="1" si="129"/>
        <v/>
      </c>
      <c r="AN377" s="88" t="str">
        <f ca="1">IF(AH377="","",DATE(INDEX(OFFSET(Arb!$C$2,,,Arb!$AJ$5,),AH377),INDEX(OFFSET(Arb!$B$2,,,Arb!$AJ$5,),AH377),INDEX(OFFSET(Arb!$A$2,,,Arb!$AJ$5,),AH377))+ROW()*0.001)</f>
        <v/>
      </c>
      <c r="AO377" s="436">
        <v>235</v>
      </c>
      <c r="AQ377" s="52" t="str">
        <f ca="1">IF(AP377="","",INDEX(OFFSET(Arb!$H$2,,,Arb!$AJ$5,),AP377))</f>
        <v/>
      </c>
      <c r="AR377" s="3" t="str">
        <f t="shared" ca="1" si="120"/>
        <v/>
      </c>
      <c r="AS377" s="165" t="str">
        <f ca="1">IF(AP377="","",INDEX(OFFSET(Arb!$X$2,,,Arb!$AJ$5,),AP377)/AQ377)</f>
        <v/>
      </c>
      <c r="AT377" s="165" t="str">
        <f ca="1">IF(AP377="","",(INDEX(OFFSET(Arb!$U$2,,,Arb!$AJ$5,),AP377)+INDEX(OFFSET(Arb!$V$2,,,Arb!$AJ$5,),AP377))/AQ377)</f>
        <v/>
      </c>
      <c r="AU377" s="51" t="str">
        <f t="shared" ca="1" si="130"/>
        <v/>
      </c>
      <c r="AV377" s="91" t="str">
        <f ca="1">IF(AP377="","",DATE(INDEX(OFFSET(Arb!$C$2,,,Arb!$AJ$5,),AP377),INDEX(OFFSET(Arb!$B$2,,,Arb!$AJ$5,),AP377),INDEX(OFFSET(Arb!$A$2,,,Arb!$AJ$5,),AP377))+ROW()*0.001)</f>
        <v/>
      </c>
      <c r="AW377" s="442">
        <v>235</v>
      </c>
      <c r="AY377" s="52" t="str">
        <f ca="1">IF(AX377="","",INDEX(OFFSET(Arb!$H$2,,,Arb!$AJ$5,),AX377))</f>
        <v/>
      </c>
      <c r="AZ377" s="3" t="str">
        <f t="shared" ca="1" si="121"/>
        <v/>
      </c>
      <c r="BA377" s="165" t="str">
        <f ca="1">IF(AX377="","",INDEX(OFFSET(Arb!$X$2,,,Arb!$AJ$5,),AX377)/AY377)</f>
        <v/>
      </c>
      <c r="BB377" s="165" t="str">
        <f ca="1">IF(AX377="","",(INDEX(OFFSET(Arb!$U$2,,,Arb!$AJ$5,),AX377)+INDEX(OFFSET(Arb!$V$2,,,Arb!$AJ$5,),AX377))/AY377)</f>
        <v/>
      </c>
      <c r="BC377" s="51" t="str">
        <f t="shared" ca="1" si="131"/>
        <v/>
      </c>
      <c r="BD377" s="88" t="str">
        <f ca="1">IF(AX377="","",DATE(INDEX(OFFSET(Arb!$C$2,,,Arb!$AJ$5,),AX377),INDEX(OFFSET(Arb!$B$2,,,Arb!$AJ$5,),AX377),INDEX(OFFSET(Arb!$A$2,,,Arb!$AJ$5,),AX377))+ROW()*0.001)</f>
        <v/>
      </c>
      <c r="BE377" s="436">
        <v>235</v>
      </c>
      <c r="BG377" s="52" t="str">
        <f ca="1">IF(BF377="","",INDEX(OFFSET(Arb!$H$2,,,Arb!$AJ$5,),BF377))</f>
        <v/>
      </c>
      <c r="BH377" s="3" t="str">
        <f t="shared" ca="1" si="122"/>
        <v/>
      </c>
      <c r="BI377" s="165" t="str">
        <f ca="1">IF(BF377="","",INDEX(OFFSET(Arb!$X$2,,,Arb!$AJ$5,),BF377)/BG377)</f>
        <v/>
      </c>
      <c r="BJ377" s="165" t="str">
        <f ca="1">IF(BF377="","",(INDEX(OFFSET(Arb!$U$2,,,Arb!$AJ$5,),BF377)+INDEX(OFFSET(Arb!$V$2,,,Arb!$AJ$5,),BF377))/BG377)</f>
        <v/>
      </c>
      <c r="BK377" s="51" t="str">
        <f t="shared" ca="1" si="132"/>
        <v/>
      </c>
      <c r="BL377" s="91" t="str">
        <f ca="1">IF(BF377="","",DATE(INDEX(OFFSET(Arb!$C$2,,,Arb!$AJ$5,),BF377),INDEX(OFFSET(Arb!$B$2,,,Arb!$AJ$5,),BF377),INDEX(OFFSET(Arb!$A$2,,,Arb!$AJ$5,),BF377))+ROW()*0.001)</f>
        <v/>
      </c>
      <c r="BM377" s="442">
        <v>235</v>
      </c>
      <c r="BO377" s="52" t="str">
        <f ca="1">IF(BN377="","",INDEX(OFFSET(Arb!$H$2,,,Arb!$AJ$5,),BN377))</f>
        <v/>
      </c>
      <c r="BP377" s="3" t="str">
        <f t="shared" ca="1" si="123"/>
        <v/>
      </c>
      <c r="BQ377" s="165" t="str">
        <f ca="1">IF(BN377="","",INDEX(OFFSET(Arb!$X$2,,,Arb!$AJ$5,),BN377)/BO377)</f>
        <v/>
      </c>
      <c r="BR377" s="165" t="str">
        <f ca="1">IF(BN377="","",(INDEX(OFFSET(Arb!$U$2,,,Arb!$AJ$5,),BN377)+INDEX(OFFSET(Arb!$V$2,,,Arb!$AJ$5,),BN377))/BO377)</f>
        <v/>
      </c>
      <c r="BS377" s="51" t="str">
        <f t="shared" ca="1" si="133"/>
        <v/>
      </c>
      <c r="BT377" s="88" t="str">
        <f ca="1">IF(BN377="","",DATE(INDEX(OFFSET(Arb!$C$2,,,Arb!$AJ$5,),BN377),INDEX(OFFSET(Arb!$B$2,,,Arb!$AJ$5,),BN377),INDEX(OFFSET(Arb!$A$2,,,Arb!$AJ$5,),BN377))+ROW()*0.001)</f>
        <v/>
      </c>
      <c r="BU377" s="436">
        <v>235</v>
      </c>
      <c r="BW377" s="52" t="str">
        <f ca="1">IF(BV377="","",INDEX(OFFSET(Arb!$H$2,,,Arb!$AJ$5,),BV377))</f>
        <v/>
      </c>
      <c r="BX377" s="3" t="str">
        <f t="shared" ca="1" si="124"/>
        <v/>
      </c>
      <c r="BY377" s="165" t="str">
        <f ca="1">IF(BV377="","",INDEX(OFFSET(Arb!$X$2,,,Arb!$AJ$5,),BV377)/BW377)</f>
        <v/>
      </c>
      <c r="BZ377" s="165" t="str">
        <f ca="1">IF(BV377="","",(INDEX(OFFSET(Arb!$U$2,,,Arb!$AJ$5,),BV377)+INDEX(OFFSET(Arb!$V$2,,,Arb!$AJ$5,),BV377))/BW377)</f>
        <v/>
      </c>
      <c r="CA377" s="51" t="str">
        <f t="shared" ca="1" si="134"/>
        <v/>
      </c>
      <c r="CB377" s="91" t="str">
        <f ca="1">IF(BV377="","",DATE(INDEX(OFFSET(Arb!$C$2,,,Arb!$AJ$5,),BV377),INDEX(OFFSET(Arb!$B$2,,,Arb!$AJ$5,),BV377),INDEX(OFFSET(Arb!$A$2,,,Arb!$AJ$5,),BV377))+ROW()*0.001)</f>
        <v/>
      </c>
    </row>
    <row r="378" spans="1:80" x14ac:dyDescent="0.25">
      <c r="A378" s="433">
        <v>236</v>
      </c>
      <c r="B378" s="1">
        <v>3213</v>
      </c>
      <c r="C378" s="52">
        <f ca="1">IF(B378="","",INDEX(OFFSET(Arb!$H$2,,,Arb!$AJ$5,),B378))</f>
        <v>83.1</v>
      </c>
      <c r="D378" s="3">
        <f t="shared" ca="1" si="115"/>
        <v>2.8399518652226234</v>
      </c>
      <c r="E378" s="165">
        <f ca="1">IF(B378="","",INDEX(OFFSET(Arb!$X$2,,,Arb!$AJ$5,),B378)/C378)</f>
        <v>3.1648616125150424</v>
      </c>
      <c r="F378" s="165">
        <f ca="1">IF(B378="","",(INDEX(OFFSET(Arb!$U$2,,,Arb!$AJ$5,),B378)+INDEX(OFFSET(Arb!$V$2,,,Arb!$AJ$5,),B378))/C378)</f>
        <v>3.5379061371841156</v>
      </c>
      <c r="G378" s="51">
        <f t="shared" ca="1" si="125"/>
        <v>55.986138975222552</v>
      </c>
      <c r="H378" s="355">
        <f ca="1">IF(B378="","",DATE(INDEX(OFFSET(Arb!$C$2,,,Arb!$AJ$5,),B378),INDEX(OFFSET(Arb!$B$2,,,Arb!$AJ$5,),B378),INDEX(OFFSET(Arb!$A$2,,,Arb!$AJ$5,),B378))+ROW()*0.001)</f>
        <v>44059.377999999997</v>
      </c>
      <c r="I378" s="436">
        <v>236</v>
      </c>
      <c r="K378" s="52" t="str">
        <f ca="1">IF(J378="","",INDEX(OFFSET(Arb!$H$2,,,Arb!$AJ$5,),J378))</f>
        <v/>
      </c>
      <c r="L378" s="3" t="str">
        <f t="shared" ca="1" si="116"/>
        <v/>
      </c>
      <c r="M378" s="165" t="str">
        <f ca="1">IF(J378="","",INDEX(OFFSET(Arb!$X$2,,,Arb!$AJ$5,),J378)/K378)</f>
        <v/>
      </c>
      <c r="N378" s="165" t="str">
        <f ca="1">IF(J378="","",(INDEX(OFFSET(Arb!$U$2,,,Arb!$AJ$5,),J378)+INDEX(OFFSET(Arb!$V$2,,,Arb!$AJ$5,),J378))/K378)</f>
        <v/>
      </c>
      <c r="O378" s="51" t="str">
        <f t="shared" ca="1" si="126"/>
        <v/>
      </c>
      <c r="P378" s="91" t="str">
        <f ca="1">IF(J378="","",DATE(INDEX(OFFSET(Arb!$C$2,,,Arb!$AJ$5,),J378),INDEX(OFFSET(Arb!$B$2,,,Arb!$AJ$5,),J378),INDEX(OFFSET(Arb!$A$2,,,Arb!$AJ$5,),J378))+ROW()*0.001)</f>
        <v/>
      </c>
      <c r="Q378" s="442">
        <v>236</v>
      </c>
      <c r="S378" s="52" t="str">
        <f ca="1">IF(R378="","",INDEX(OFFSET(Arb!$H$2,,,Arb!$AJ$5,),R378))</f>
        <v/>
      </c>
      <c r="T378" s="3" t="str">
        <f t="shared" ca="1" si="117"/>
        <v/>
      </c>
      <c r="U378" s="165" t="str">
        <f ca="1">IF(R378="","",INDEX(OFFSET(Arb!$X$2,,,Arb!$AJ$5,),R378)/S378)</f>
        <v/>
      </c>
      <c r="V378" s="165" t="str">
        <f ca="1">IF(R378="","",(INDEX(OFFSET(Arb!$U$2,,,Arb!$AJ$5,),R378)+INDEX(OFFSET(Arb!$V$2,,,Arb!$AJ$5,),R378))/S378)</f>
        <v/>
      </c>
      <c r="W378" s="51" t="str">
        <f t="shared" ca="1" si="127"/>
        <v/>
      </c>
      <c r="X378" s="88" t="str">
        <f ca="1">IF(R378="","",DATE(INDEX(OFFSET(Arb!$C$2,,,Arb!$AJ$5,),R378),INDEX(OFFSET(Arb!$B$2,,,Arb!$AJ$5,),R378),INDEX(OFFSET(Arb!$A$2,,,Arb!$AJ$5,),R378))+ROW()*0.001)</f>
        <v/>
      </c>
      <c r="Y378" s="436">
        <v>236</v>
      </c>
      <c r="AA378" s="52" t="str">
        <f ca="1">IF(Z378="","",INDEX(OFFSET(Arb!$H$2,,,Arb!$AJ$5,),Z378))</f>
        <v/>
      </c>
      <c r="AB378" s="3" t="str">
        <f t="shared" ca="1" si="118"/>
        <v/>
      </c>
      <c r="AC378" s="165" t="str">
        <f ca="1">IF(Z378="","",INDEX(OFFSET(Arb!$X$2,,,Arb!$AJ$5,),Z378)/AA378)</f>
        <v/>
      </c>
      <c r="AD378" s="165" t="str">
        <f ca="1">IF(Z378="","",(INDEX(OFFSET(Arb!$U$2,,,Arb!$AJ$5,),Z378)+INDEX(OFFSET(Arb!$V$2,,,Arb!$AJ$5,),Z378))/AA378)</f>
        <v/>
      </c>
      <c r="AE378" s="51" t="str">
        <f t="shared" ca="1" si="128"/>
        <v/>
      </c>
      <c r="AF378" s="91" t="str">
        <f ca="1">IF(Z378="","",DATE(INDEX(OFFSET(Arb!$C$2,,,Arb!$AJ$5,),Z378),INDEX(OFFSET(Arb!$B$2,,,Arb!$AJ$5,),Z378),INDEX(OFFSET(Arb!$A$2,,,Arb!$AJ$5,),Z378))+ROW()*0.001)</f>
        <v/>
      </c>
      <c r="AG378" s="442">
        <v>236</v>
      </c>
      <c r="AI378" s="52" t="str">
        <f ca="1">IF(AH378="","",INDEX(OFFSET(Arb!$H$2,,,Arb!$AJ$5,),AH378))</f>
        <v/>
      </c>
      <c r="AJ378" s="3" t="str">
        <f t="shared" ca="1" si="119"/>
        <v/>
      </c>
      <c r="AK378" s="165" t="str">
        <f ca="1">IF(AH378="","",INDEX(OFFSET(Arb!$X$2,,,Arb!$AJ$5,),AH378)/AI378)</f>
        <v/>
      </c>
      <c r="AL378" s="165" t="str">
        <f ca="1">IF(AH378="","",(INDEX(OFFSET(Arb!$U$2,,,Arb!$AJ$5,),AH378)+INDEX(OFFSET(Arb!$V$2,,,Arb!$AJ$5,),AH378))/AI378)</f>
        <v/>
      </c>
      <c r="AM378" s="51" t="str">
        <f t="shared" ca="1" si="129"/>
        <v/>
      </c>
      <c r="AN378" s="88" t="str">
        <f ca="1">IF(AH378="","",DATE(INDEX(OFFSET(Arb!$C$2,,,Arb!$AJ$5,),AH378),INDEX(OFFSET(Arb!$B$2,,,Arb!$AJ$5,),AH378),INDEX(OFFSET(Arb!$A$2,,,Arb!$AJ$5,),AH378))+ROW()*0.001)</f>
        <v/>
      </c>
      <c r="AO378" s="436">
        <v>236</v>
      </c>
      <c r="AQ378" s="52" t="str">
        <f ca="1">IF(AP378="","",INDEX(OFFSET(Arb!$H$2,,,Arb!$AJ$5,),AP378))</f>
        <v/>
      </c>
      <c r="AR378" s="3" t="str">
        <f t="shared" ca="1" si="120"/>
        <v/>
      </c>
      <c r="AS378" s="165" t="str">
        <f ca="1">IF(AP378="","",INDEX(OFFSET(Arb!$X$2,,,Arb!$AJ$5,),AP378)/AQ378)</f>
        <v/>
      </c>
      <c r="AT378" s="165" t="str">
        <f ca="1">IF(AP378="","",(INDEX(OFFSET(Arb!$U$2,,,Arb!$AJ$5,),AP378)+INDEX(OFFSET(Arb!$V$2,,,Arb!$AJ$5,),AP378))/AQ378)</f>
        <v/>
      </c>
      <c r="AU378" s="51" t="str">
        <f t="shared" ca="1" si="130"/>
        <v/>
      </c>
      <c r="AV378" s="91" t="str">
        <f ca="1">IF(AP378="","",DATE(INDEX(OFFSET(Arb!$C$2,,,Arb!$AJ$5,),AP378),INDEX(OFFSET(Arb!$B$2,,,Arb!$AJ$5,),AP378),INDEX(OFFSET(Arb!$A$2,,,Arb!$AJ$5,),AP378))+ROW()*0.001)</f>
        <v/>
      </c>
      <c r="AW378" s="442">
        <v>236</v>
      </c>
      <c r="AY378" s="52" t="str">
        <f ca="1">IF(AX378="","",INDEX(OFFSET(Arb!$H$2,,,Arb!$AJ$5,),AX378))</f>
        <v/>
      </c>
      <c r="AZ378" s="3" t="str">
        <f t="shared" ca="1" si="121"/>
        <v/>
      </c>
      <c r="BA378" s="165" t="str">
        <f ca="1">IF(AX378="","",INDEX(OFFSET(Arb!$X$2,,,Arb!$AJ$5,),AX378)/AY378)</f>
        <v/>
      </c>
      <c r="BB378" s="165" t="str">
        <f ca="1">IF(AX378="","",(INDEX(OFFSET(Arb!$U$2,,,Arb!$AJ$5,),AX378)+INDEX(OFFSET(Arb!$V$2,,,Arb!$AJ$5,),AX378))/AY378)</f>
        <v/>
      </c>
      <c r="BC378" s="51" t="str">
        <f t="shared" ca="1" si="131"/>
        <v/>
      </c>
      <c r="BD378" s="88" t="str">
        <f ca="1">IF(AX378="","",DATE(INDEX(OFFSET(Arb!$C$2,,,Arb!$AJ$5,),AX378),INDEX(OFFSET(Arb!$B$2,,,Arb!$AJ$5,),AX378),INDEX(OFFSET(Arb!$A$2,,,Arb!$AJ$5,),AX378))+ROW()*0.001)</f>
        <v/>
      </c>
      <c r="BE378" s="436">
        <v>236</v>
      </c>
      <c r="BG378" s="52" t="str">
        <f ca="1">IF(BF378="","",INDEX(OFFSET(Arb!$H$2,,,Arb!$AJ$5,),BF378))</f>
        <v/>
      </c>
      <c r="BH378" s="3" t="str">
        <f t="shared" ca="1" si="122"/>
        <v/>
      </c>
      <c r="BI378" s="165" t="str">
        <f ca="1">IF(BF378="","",INDEX(OFFSET(Arb!$X$2,,,Arb!$AJ$5,),BF378)/BG378)</f>
        <v/>
      </c>
      <c r="BJ378" s="165" t="str">
        <f ca="1">IF(BF378="","",(INDEX(OFFSET(Arb!$U$2,,,Arb!$AJ$5,),BF378)+INDEX(OFFSET(Arb!$V$2,,,Arb!$AJ$5,),BF378))/BG378)</f>
        <v/>
      </c>
      <c r="BK378" s="51" t="str">
        <f t="shared" ca="1" si="132"/>
        <v/>
      </c>
      <c r="BL378" s="91" t="str">
        <f ca="1">IF(BF378="","",DATE(INDEX(OFFSET(Arb!$C$2,,,Arb!$AJ$5,),BF378),INDEX(OFFSET(Arb!$B$2,,,Arb!$AJ$5,),BF378),INDEX(OFFSET(Arb!$A$2,,,Arb!$AJ$5,),BF378))+ROW()*0.001)</f>
        <v/>
      </c>
      <c r="BM378" s="442">
        <v>236</v>
      </c>
      <c r="BO378" s="52" t="str">
        <f ca="1">IF(BN378="","",INDEX(OFFSET(Arb!$H$2,,,Arb!$AJ$5,),BN378))</f>
        <v/>
      </c>
      <c r="BP378" s="3" t="str">
        <f t="shared" ca="1" si="123"/>
        <v/>
      </c>
      <c r="BQ378" s="165" t="str">
        <f ca="1">IF(BN378="","",INDEX(OFFSET(Arb!$X$2,,,Arb!$AJ$5,),BN378)/BO378)</f>
        <v/>
      </c>
      <c r="BR378" s="165" t="str">
        <f ca="1">IF(BN378="","",(INDEX(OFFSET(Arb!$U$2,,,Arb!$AJ$5,),BN378)+INDEX(OFFSET(Arb!$V$2,,,Arb!$AJ$5,),BN378))/BO378)</f>
        <v/>
      </c>
      <c r="BS378" s="51" t="str">
        <f t="shared" ca="1" si="133"/>
        <v/>
      </c>
      <c r="BT378" s="88" t="str">
        <f ca="1">IF(BN378="","",DATE(INDEX(OFFSET(Arb!$C$2,,,Arb!$AJ$5,),BN378),INDEX(OFFSET(Arb!$B$2,,,Arb!$AJ$5,),BN378),INDEX(OFFSET(Arb!$A$2,,,Arb!$AJ$5,),BN378))+ROW()*0.001)</f>
        <v/>
      </c>
      <c r="BU378" s="436">
        <v>236</v>
      </c>
      <c r="BW378" s="52" t="str">
        <f ca="1">IF(BV378="","",INDEX(OFFSET(Arb!$H$2,,,Arb!$AJ$5,),BV378))</f>
        <v/>
      </c>
      <c r="BX378" s="3" t="str">
        <f t="shared" ca="1" si="124"/>
        <v/>
      </c>
      <c r="BY378" s="165" t="str">
        <f ca="1">IF(BV378="","",INDEX(OFFSET(Arb!$X$2,,,Arb!$AJ$5,),BV378)/BW378)</f>
        <v/>
      </c>
      <c r="BZ378" s="165" t="str">
        <f ca="1">IF(BV378="","",(INDEX(OFFSET(Arb!$U$2,,,Arb!$AJ$5,),BV378)+INDEX(OFFSET(Arb!$V$2,,,Arb!$AJ$5,),BV378))/BW378)</f>
        <v/>
      </c>
      <c r="CA378" s="51" t="str">
        <f t="shared" ca="1" si="134"/>
        <v/>
      </c>
      <c r="CB378" s="91" t="str">
        <f ca="1">IF(BV378="","",DATE(INDEX(OFFSET(Arb!$C$2,,,Arb!$AJ$5,),BV378),INDEX(OFFSET(Arb!$B$2,,,Arb!$AJ$5,),BV378),INDEX(OFFSET(Arb!$A$2,,,Arb!$AJ$5,),BV378))+ROW()*0.001)</f>
        <v/>
      </c>
    </row>
    <row r="379" spans="1:80" x14ac:dyDescent="0.25">
      <c r="A379" s="433">
        <v>237</v>
      </c>
      <c r="C379" s="52" t="str">
        <f ca="1">IF(B379="","",INDEX(OFFSET(Arb!$H$2,,,Arb!$AJ$5,),B379))</f>
        <v/>
      </c>
      <c r="D379" s="3" t="str">
        <f t="shared" ca="1" si="115"/>
        <v/>
      </c>
      <c r="E379" s="165" t="str">
        <f ca="1">IF(B379="","",INDEX(OFFSET(Arb!$X$2,,,Arb!$AJ$5,),B379)/C379)</f>
        <v/>
      </c>
      <c r="F379" s="165" t="str">
        <f ca="1">IF(B379="","",(INDEX(OFFSET(Arb!$U$2,,,Arb!$AJ$5,),B379)+INDEX(OFFSET(Arb!$V$2,,,Arb!$AJ$5,),B379))/C379)</f>
        <v/>
      </c>
      <c r="G379" s="51" t="str">
        <f t="shared" ca="1" si="125"/>
        <v/>
      </c>
      <c r="H379" s="355" t="str">
        <f ca="1">IF(B379="","",DATE(INDEX(OFFSET(Arb!$C$2,,,Arb!$AJ$5,),B379),INDEX(OFFSET(Arb!$B$2,,,Arb!$AJ$5,),B379),INDEX(OFFSET(Arb!$A$2,,,Arb!$AJ$5,),B379))+ROW()*0.001)</f>
        <v/>
      </c>
      <c r="I379" s="436">
        <v>237</v>
      </c>
      <c r="K379" s="52" t="str">
        <f ca="1">IF(J379="","",INDEX(OFFSET(Arb!$H$2,,,Arb!$AJ$5,),J379))</f>
        <v/>
      </c>
      <c r="L379" s="3" t="str">
        <f t="shared" ca="1" si="116"/>
        <v/>
      </c>
      <c r="M379" s="165" t="str">
        <f ca="1">IF(J379="","",INDEX(OFFSET(Arb!$X$2,,,Arb!$AJ$5,),J379)/K379)</f>
        <v/>
      </c>
      <c r="N379" s="165" t="str">
        <f ca="1">IF(J379="","",(INDEX(OFFSET(Arb!$U$2,,,Arb!$AJ$5,),J379)+INDEX(OFFSET(Arb!$V$2,,,Arb!$AJ$5,),J379))/K379)</f>
        <v/>
      </c>
      <c r="O379" s="51" t="str">
        <f t="shared" ca="1" si="126"/>
        <v/>
      </c>
      <c r="P379" s="91" t="str">
        <f ca="1">IF(J379="","",DATE(INDEX(OFFSET(Arb!$C$2,,,Arb!$AJ$5,),J379),INDEX(OFFSET(Arb!$B$2,,,Arb!$AJ$5,),J379),INDEX(OFFSET(Arb!$A$2,,,Arb!$AJ$5,),J379))+ROW()*0.001)</f>
        <v/>
      </c>
      <c r="Q379" s="442">
        <v>237</v>
      </c>
      <c r="S379" s="52" t="str">
        <f ca="1">IF(R379="","",INDEX(OFFSET(Arb!$H$2,,,Arb!$AJ$5,),R379))</f>
        <v/>
      </c>
      <c r="T379" s="3" t="str">
        <f t="shared" ca="1" si="117"/>
        <v/>
      </c>
      <c r="U379" s="165" t="str">
        <f ca="1">IF(R379="","",INDEX(OFFSET(Arb!$X$2,,,Arb!$AJ$5,),R379)/S379)</f>
        <v/>
      </c>
      <c r="V379" s="165" t="str">
        <f ca="1">IF(R379="","",(INDEX(OFFSET(Arb!$U$2,,,Arb!$AJ$5,),R379)+INDEX(OFFSET(Arb!$V$2,,,Arb!$AJ$5,),R379))/S379)</f>
        <v/>
      </c>
      <c r="W379" s="51" t="str">
        <f t="shared" ca="1" si="127"/>
        <v/>
      </c>
      <c r="X379" s="88" t="str">
        <f ca="1">IF(R379="","",DATE(INDEX(OFFSET(Arb!$C$2,,,Arb!$AJ$5,),R379),INDEX(OFFSET(Arb!$B$2,,,Arb!$AJ$5,),R379),INDEX(OFFSET(Arb!$A$2,,,Arb!$AJ$5,),R379))+ROW()*0.001)</f>
        <v/>
      </c>
      <c r="Y379" s="436">
        <v>237</v>
      </c>
      <c r="AA379" s="52" t="str">
        <f ca="1">IF(Z379="","",INDEX(OFFSET(Arb!$H$2,,,Arb!$AJ$5,),Z379))</f>
        <v/>
      </c>
      <c r="AB379" s="3" t="str">
        <f t="shared" ca="1" si="118"/>
        <v/>
      </c>
      <c r="AC379" s="165" t="str">
        <f ca="1">IF(Z379="","",INDEX(OFFSET(Arb!$X$2,,,Arb!$AJ$5,),Z379)/AA379)</f>
        <v/>
      </c>
      <c r="AD379" s="165" t="str">
        <f ca="1">IF(Z379="","",(INDEX(OFFSET(Arb!$U$2,,,Arb!$AJ$5,),Z379)+INDEX(OFFSET(Arb!$V$2,,,Arb!$AJ$5,),Z379))/AA379)</f>
        <v/>
      </c>
      <c r="AE379" s="51" t="str">
        <f t="shared" ca="1" si="128"/>
        <v/>
      </c>
      <c r="AF379" s="91" t="str">
        <f ca="1">IF(Z379="","",DATE(INDEX(OFFSET(Arb!$C$2,,,Arb!$AJ$5,),Z379),INDEX(OFFSET(Arb!$B$2,,,Arb!$AJ$5,),Z379),INDEX(OFFSET(Arb!$A$2,,,Arb!$AJ$5,),Z379))+ROW()*0.001)</f>
        <v/>
      </c>
      <c r="AG379" s="442">
        <v>237</v>
      </c>
      <c r="AI379" s="52" t="str">
        <f ca="1">IF(AH379="","",INDEX(OFFSET(Arb!$H$2,,,Arb!$AJ$5,),AH379))</f>
        <v/>
      </c>
      <c r="AJ379" s="3" t="str">
        <f t="shared" ca="1" si="119"/>
        <v/>
      </c>
      <c r="AK379" s="165" t="str">
        <f ca="1">IF(AH379="","",INDEX(OFFSET(Arb!$X$2,,,Arb!$AJ$5,),AH379)/AI379)</f>
        <v/>
      </c>
      <c r="AL379" s="165" t="str">
        <f ca="1">IF(AH379="","",(INDEX(OFFSET(Arb!$U$2,,,Arb!$AJ$5,),AH379)+INDEX(OFFSET(Arb!$V$2,,,Arb!$AJ$5,),AH379))/AI379)</f>
        <v/>
      </c>
      <c r="AM379" s="51" t="str">
        <f t="shared" ca="1" si="129"/>
        <v/>
      </c>
      <c r="AN379" s="88" t="str">
        <f ca="1">IF(AH379="","",DATE(INDEX(OFFSET(Arb!$C$2,,,Arb!$AJ$5,),AH379),INDEX(OFFSET(Arb!$B$2,,,Arb!$AJ$5,),AH379),INDEX(OFFSET(Arb!$A$2,,,Arb!$AJ$5,),AH379))+ROW()*0.001)</f>
        <v/>
      </c>
      <c r="AO379" s="436">
        <v>237</v>
      </c>
      <c r="AQ379" s="52" t="str">
        <f ca="1">IF(AP379="","",INDEX(OFFSET(Arb!$H$2,,,Arb!$AJ$5,),AP379))</f>
        <v/>
      </c>
      <c r="AR379" s="3" t="str">
        <f t="shared" ca="1" si="120"/>
        <v/>
      </c>
      <c r="AS379" s="165" t="str">
        <f ca="1">IF(AP379="","",INDEX(OFFSET(Arb!$X$2,,,Arb!$AJ$5,),AP379)/AQ379)</f>
        <v/>
      </c>
      <c r="AT379" s="165" t="str">
        <f ca="1">IF(AP379="","",(INDEX(OFFSET(Arb!$U$2,,,Arb!$AJ$5,),AP379)+INDEX(OFFSET(Arb!$V$2,,,Arb!$AJ$5,),AP379))/AQ379)</f>
        <v/>
      </c>
      <c r="AU379" s="51" t="str">
        <f t="shared" ca="1" si="130"/>
        <v/>
      </c>
      <c r="AV379" s="91" t="str">
        <f ca="1">IF(AP379="","",DATE(INDEX(OFFSET(Arb!$C$2,,,Arb!$AJ$5,),AP379),INDEX(OFFSET(Arb!$B$2,,,Arb!$AJ$5,),AP379),INDEX(OFFSET(Arb!$A$2,,,Arb!$AJ$5,),AP379))+ROW()*0.001)</f>
        <v/>
      </c>
      <c r="AW379" s="442">
        <v>237</v>
      </c>
      <c r="AY379" s="52" t="str">
        <f ca="1">IF(AX379="","",INDEX(OFFSET(Arb!$H$2,,,Arb!$AJ$5,),AX379))</f>
        <v/>
      </c>
      <c r="AZ379" s="3" t="str">
        <f t="shared" ca="1" si="121"/>
        <v/>
      </c>
      <c r="BA379" s="165" t="str">
        <f ca="1">IF(AX379="","",INDEX(OFFSET(Arb!$X$2,,,Arb!$AJ$5,),AX379)/AY379)</f>
        <v/>
      </c>
      <c r="BB379" s="165" t="str">
        <f ca="1">IF(AX379="","",(INDEX(OFFSET(Arb!$U$2,,,Arb!$AJ$5,),AX379)+INDEX(OFFSET(Arb!$V$2,,,Arb!$AJ$5,),AX379))/AY379)</f>
        <v/>
      </c>
      <c r="BC379" s="51" t="str">
        <f t="shared" ca="1" si="131"/>
        <v/>
      </c>
      <c r="BD379" s="88" t="str">
        <f ca="1">IF(AX379="","",DATE(INDEX(OFFSET(Arb!$C$2,,,Arb!$AJ$5,),AX379),INDEX(OFFSET(Arb!$B$2,,,Arb!$AJ$5,),AX379),INDEX(OFFSET(Arb!$A$2,,,Arb!$AJ$5,),AX379))+ROW()*0.001)</f>
        <v/>
      </c>
      <c r="BE379" s="436">
        <v>237</v>
      </c>
      <c r="BG379" s="52" t="str">
        <f ca="1">IF(BF379="","",INDEX(OFFSET(Arb!$H$2,,,Arb!$AJ$5,),BF379))</f>
        <v/>
      </c>
      <c r="BH379" s="3" t="str">
        <f t="shared" ca="1" si="122"/>
        <v/>
      </c>
      <c r="BI379" s="165" t="str">
        <f ca="1">IF(BF379="","",INDEX(OFFSET(Arb!$X$2,,,Arb!$AJ$5,),BF379)/BG379)</f>
        <v/>
      </c>
      <c r="BJ379" s="165" t="str">
        <f ca="1">IF(BF379="","",(INDEX(OFFSET(Arb!$U$2,,,Arb!$AJ$5,),BF379)+INDEX(OFFSET(Arb!$V$2,,,Arb!$AJ$5,),BF379))/BG379)</f>
        <v/>
      </c>
      <c r="BK379" s="51" t="str">
        <f t="shared" ca="1" si="132"/>
        <v/>
      </c>
      <c r="BL379" s="91" t="str">
        <f ca="1">IF(BF379="","",DATE(INDEX(OFFSET(Arb!$C$2,,,Arb!$AJ$5,),BF379),INDEX(OFFSET(Arb!$B$2,,,Arb!$AJ$5,),BF379),INDEX(OFFSET(Arb!$A$2,,,Arb!$AJ$5,),BF379))+ROW()*0.001)</f>
        <v/>
      </c>
      <c r="BM379" s="442">
        <v>237</v>
      </c>
      <c r="BO379" s="52" t="str">
        <f ca="1">IF(BN379="","",INDEX(OFFSET(Arb!$H$2,,,Arb!$AJ$5,),BN379))</f>
        <v/>
      </c>
      <c r="BP379" s="3" t="str">
        <f t="shared" ca="1" si="123"/>
        <v/>
      </c>
      <c r="BQ379" s="165" t="str">
        <f ca="1">IF(BN379="","",INDEX(OFFSET(Arb!$X$2,,,Arb!$AJ$5,),BN379)/BO379)</f>
        <v/>
      </c>
      <c r="BR379" s="165" t="str">
        <f ca="1">IF(BN379="","",(INDEX(OFFSET(Arb!$U$2,,,Arb!$AJ$5,),BN379)+INDEX(OFFSET(Arb!$V$2,,,Arb!$AJ$5,),BN379))/BO379)</f>
        <v/>
      </c>
      <c r="BS379" s="51" t="str">
        <f t="shared" ca="1" si="133"/>
        <v/>
      </c>
      <c r="BT379" s="88" t="str">
        <f ca="1">IF(BN379="","",DATE(INDEX(OFFSET(Arb!$C$2,,,Arb!$AJ$5,),BN379),INDEX(OFFSET(Arb!$B$2,,,Arb!$AJ$5,),BN379),INDEX(OFFSET(Arb!$A$2,,,Arb!$AJ$5,),BN379))+ROW()*0.001)</f>
        <v/>
      </c>
      <c r="BU379" s="436">
        <v>237</v>
      </c>
      <c r="BW379" s="52" t="str">
        <f ca="1">IF(BV379="","",INDEX(OFFSET(Arb!$H$2,,,Arb!$AJ$5,),BV379))</f>
        <v/>
      </c>
      <c r="BX379" s="3" t="str">
        <f t="shared" ca="1" si="124"/>
        <v/>
      </c>
      <c r="BY379" s="165" t="str">
        <f ca="1">IF(BV379="","",INDEX(OFFSET(Arb!$X$2,,,Arb!$AJ$5,),BV379)/BW379)</f>
        <v/>
      </c>
      <c r="BZ379" s="165" t="str">
        <f ca="1">IF(BV379="","",(INDEX(OFFSET(Arb!$U$2,,,Arb!$AJ$5,),BV379)+INDEX(OFFSET(Arb!$V$2,,,Arb!$AJ$5,),BV379))/BW379)</f>
        <v/>
      </c>
      <c r="CA379" s="51" t="str">
        <f t="shared" ca="1" si="134"/>
        <v/>
      </c>
      <c r="CB379" s="91" t="str">
        <f ca="1">IF(BV379="","",DATE(INDEX(OFFSET(Arb!$C$2,,,Arb!$AJ$5,),BV379),INDEX(OFFSET(Arb!$B$2,,,Arb!$AJ$5,),BV379),INDEX(OFFSET(Arb!$A$2,,,Arb!$AJ$5,),BV379))+ROW()*0.001)</f>
        <v/>
      </c>
    </row>
    <row r="380" spans="1:80" x14ac:dyDescent="0.25">
      <c r="A380" s="433">
        <v>238</v>
      </c>
      <c r="C380" s="52" t="str">
        <f ca="1">IF(B380="","",INDEX(OFFSET(Arb!$H$2,,,Arb!$AJ$5,),B380))</f>
        <v/>
      </c>
      <c r="D380" s="3" t="str">
        <f t="shared" ca="1" si="115"/>
        <v/>
      </c>
      <c r="E380" s="165" t="str">
        <f ca="1">IF(B380="","",INDEX(OFFSET(Arb!$X$2,,,Arb!$AJ$5,),B380)/C380)</f>
        <v/>
      </c>
      <c r="F380" s="165" t="str">
        <f ca="1">IF(B380="","",(INDEX(OFFSET(Arb!$U$2,,,Arb!$AJ$5,),B380)+INDEX(OFFSET(Arb!$V$2,,,Arb!$AJ$5,),B380))/C380)</f>
        <v/>
      </c>
      <c r="G380" s="51" t="str">
        <f t="shared" ca="1" si="125"/>
        <v/>
      </c>
      <c r="H380" s="355" t="str">
        <f ca="1">IF(B380="","",DATE(INDEX(OFFSET(Arb!$C$2,,,Arb!$AJ$5,),B380),INDEX(OFFSET(Arb!$B$2,,,Arb!$AJ$5,),B380),INDEX(OFFSET(Arb!$A$2,,,Arb!$AJ$5,),B380))+ROW()*0.001)</f>
        <v/>
      </c>
      <c r="I380" s="436">
        <v>238</v>
      </c>
      <c r="K380" s="52" t="str">
        <f ca="1">IF(J380="","",INDEX(OFFSET(Arb!$H$2,,,Arb!$AJ$5,),J380))</f>
        <v/>
      </c>
      <c r="L380" s="3" t="str">
        <f t="shared" ca="1" si="116"/>
        <v/>
      </c>
      <c r="M380" s="165" t="str">
        <f ca="1">IF(J380="","",INDEX(OFFSET(Arb!$X$2,,,Arb!$AJ$5,),J380)/K380)</f>
        <v/>
      </c>
      <c r="N380" s="165" t="str">
        <f ca="1">IF(J380="","",(INDEX(OFFSET(Arb!$U$2,,,Arb!$AJ$5,),J380)+INDEX(OFFSET(Arb!$V$2,,,Arb!$AJ$5,),J380))/K380)</f>
        <v/>
      </c>
      <c r="O380" s="51" t="str">
        <f t="shared" ca="1" si="126"/>
        <v/>
      </c>
      <c r="P380" s="91" t="str">
        <f ca="1">IF(J380="","",DATE(INDEX(OFFSET(Arb!$C$2,,,Arb!$AJ$5,),J380),INDEX(OFFSET(Arb!$B$2,,,Arb!$AJ$5,),J380),INDEX(OFFSET(Arb!$A$2,,,Arb!$AJ$5,),J380))+ROW()*0.001)</f>
        <v/>
      </c>
      <c r="Q380" s="442">
        <v>238</v>
      </c>
      <c r="S380" s="52" t="str">
        <f ca="1">IF(R380="","",INDEX(OFFSET(Arb!$H$2,,,Arb!$AJ$5,),R380))</f>
        <v/>
      </c>
      <c r="T380" s="3" t="str">
        <f t="shared" ca="1" si="117"/>
        <v/>
      </c>
      <c r="U380" s="165" t="str">
        <f ca="1">IF(R380="","",INDEX(OFFSET(Arb!$X$2,,,Arb!$AJ$5,),R380)/S380)</f>
        <v/>
      </c>
      <c r="V380" s="165" t="str">
        <f ca="1">IF(R380="","",(INDEX(OFFSET(Arb!$U$2,,,Arb!$AJ$5,),R380)+INDEX(OFFSET(Arb!$V$2,,,Arb!$AJ$5,),R380))/S380)</f>
        <v/>
      </c>
      <c r="W380" s="51" t="str">
        <f t="shared" ca="1" si="127"/>
        <v/>
      </c>
      <c r="X380" s="88" t="str">
        <f ca="1">IF(R380="","",DATE(INDEX(OFFSET(Arb!$C$2,,,Arb!$AJ$5,),R380),INDEX(OFFSET(Arb!$B$2,,,Arb!$AJ$5,),R380),INDEX(OFFSET(Arb!$A$2,,,Arb!$AJ$5,),R380))+ROW()*0.001)</f>
        <v/>
      </c>
      <c r="Y380" s="436">
        <v>238</v>
      </c>
      <c r="AA380" s="52" t="str">
        <f ca="1">IF(Z380="","",INDEX(OFFSET(Arb!$H$2,,,Arb!$AJ$5,),Z380))</f>
        <v/>
      </c>
      <c r="AB380" s="3" t="str">
        <f t="shared" ca="1" si="118"/>
        <v/>
      </c>
      <c r="AC380" s="165" t="str">
        <f ca="1">IF(Z380="","",INDEX(OFFSET(Arb!$X$2,,,Arb!$AJ$5,),Z380)/AA380)</f>
        <v/>
      </c>
      <c r="AD380" s="165" t="str">
        <f ca="1">IF(Z380="","",(INDEX(OFFSET(Arb!$U$2,,,Arb!$AJ$5,),Z380)+INDEX(OFFSET(Arb!$V$2,,,Arb!$AJ$5,),Z380))/AA380)</f>
        <v/>
      </c>
      <c r="AE380" s="51" t="str">
        <f t="shared" ca="1" si="128"/>
        <v/>
      </c>
      <c r="AF380" s="91" t="str">
        <f ca="1">IF(Z380="","",DATE(INDEX(OFFSET(Arb!$C$2,,,Arb!$AJ$5,),Z380),INDEX(OFFSET(Arb!$B$2,,,Arb!$AJ$5,),Z380),INDEX(OFFSET(Arb!$A$2,,,Arb!$AJ$5,),Z380))+ROW()*0.001)</f>
        <v/>
      </c>
      <c r="AG380" s="442">
        <v>238</v>
      </c>
      <c r="AI380" s="52" t="str">
        <f ca="1">IF(AH380="","",INDEX(OFFSET(Arb!$H$2,,,Arb!$AJ$5,),AH380))</f>
        <v/>
      </c>
      <c r="AJ380" s="3" t="str">
        <f t="shared" ca="1" si="119"/>
        <v/>
      </c>
      <c r="AK380" s="165" t="str">
        <f ca="1">IF(AH380="","",INDEX(OFFSET(Arb!$X$2,,,Arb!$AJ$5,),AH380)/AI380)</f>
        <v/>
      </c>
      <c r="AL380" s="165" t="str">
        <f ca="1">IF(AH380="","",(INDEX(OFFSET(Arb!$U$2,,,Arb!$AJ$5,),AH380)+INDEX(OFFSET(Arb!$V$2,,,Arb!$AJ$5,),AH380))/AI380)</f>
        <v/>
      </c>
      <c r="AM380" s="51" t="str">
        <f t="shared" ca="1" si="129"/>
        <v/>
      </c>
      <c r="AN380" s="88" t="str">
        <f ca="1">IF(AH380="","",DATE(INDEX(OFFSET(Arb!$C$2,,,Arb!$AJ$5,),AH380),INDEX(OFFSET(Arb!$B$2,,,Arb!$AJ$5,),AH380),INDEX(OFFSET(Arb!$A$2,,,Arb!$AJ$5,),AH380))+ROW()*0.001)</f>
        <v/>
      </c>
      <c r="AO380" s="436">
        <v>238</v>
      </c>
      <c r="AQ380" s="52" t="str">
        <f ca="1">IF(AP380="","",INDEX(OFFSET(Arb!$H$2,,,Arb!$AJ$5,),AP380))</f>
        <v/>
      </c>
      <c r="AR380" s="3" t="str">
        <f t="shared" ca="1" si="120"/>
        <v/>
      </c>
      <c r="AS380" s="165" t="str">
        <f ca="1">IF(AP380="","",INDEX(OFFSET(Arb!$X$2,,,Arb!$AJ$5,),AP380)/AQ380)</f>
        <v/>
      </c>
      <c r="AT380" s="165" t="str">
        <f ca="1">IF(AP380="","",(INDEX(OFFSET(Arb!$U$2,,,Arb!$AJ$5,),AP380)+INDEX(OFFSET(Arb!$V$2,,,Arb!$AJ$5,),AP380))/AQ380)</f>
        <v/>
      </c>
      <c r="AU380" s="51" t="str">
        <f t="shared" ca="1" si="130"/>
        <v/>
      </c>
      <c r="AV380" s="91" t="str">
        <f ca="1">IF(AP380="","",DATE(INDEX(OFFSET(Arb!$C$2,,,Arb!$AJ$5,),AP380),INDEX(OFFSET(Arb!$B$2,,,Arb!$AJ$5,),AP380),INDEX(OFFSET(Arb!$A$2,,,Arb!$AJ$5,),AP380))+ROW()*0.001)</f>
        <v/>
      </c>
      <c r="AW380" s="442">
        <v>238</v>
      </c>
      <c r="AY380" s="52" t="str">
        <f ca="1">IF(AX380="","",INDEX(OFFSET(Arb!$H$2,,,Arb!$AJ$5,),AX380))</f>
        <v/>
      </c>
      <c r="AZ380" s="3" t="str">
        <f t="shared" ca="1" si="121"/>
        <v/>
      </c>
      <c r="BA380" s="165" t="str">
        <f ca="1">IF(AX380="","",INDEX(OFFSET(Arb!$X$2,,,Arb!$AJ$5,),AX380)/AY380)</f>
        <v/>
      </c>
      <c r="BB380" s="165" t="str">
        <f ca="1">IF(AX380="","",(INDEX(OFFSET(Arb!$U$2,,,Arb!$AJ$5,),AX380)+INDEX(OFFSET(Arb!$V$2,,,Arb!$AJ$5,),AX380))/AY380)</f>
        <v/>
      </c>
      <c r="BC380" s="51" t="str">
        <f t="shared" ca="1" si="131"/>
        <v/>
      </c>
      <c r="BD380" s="88" t="str">
        <f ca="1">IF(AX380="","",DATE(INDEX(OFFSET(Arb!$C$2,,,Arb!$AJ$5,),AX380),INDEX(OFFSET(Arb!$B$2,,,Arb!$AJ$5,),AX380),INDEX(OFFSET(Arb!$A$2,,,Arb!$AJ$5,),AX380))+ROW()*0.001)</f>
        <v/>
      </c>
      <c r="BE380" s="436">
        <v>238</v>
      </c>
      <c r="BG380" s="52" t="str">
        <f ca="1">IF(BF380="","",INDEX(OFFSET(Arb!$H$2,,,Arb!$AJ$5,),BF380))</f>
        <v/>
      </c>
      <c r="BH380" s="3" t="str">
        <f t="shared" ca="1" si="122"/>
        <v/>
      </c>
      <c r="BI380" s="165" t="str">
        <f ca="1">IF(BF380="","",INDEX(OFFSET(Arb!$X$2,,,Arb!$AJ$5,),BF380)/BG380)</f>
        <v/>
      </c>
      <c r="BJ380" s="165" t="str">
        <f ca="1">IF(BF380="","",(INDEX(OFFSET(Arb!$U$2,,,Arb!$AJ$5,),BF380)+INDEX(OFFSET(Arb!$V$2,,,Arb!$AJ$5,),BF380))/BG380)</f>
        <v/>
      </c>
      <c r="BK380" s="51" t="str">
        <f t="shared" ca="1" si="132"/>
        <v/>
      </c>
      <c r="BL380" s="91" t="str">
        <f ca="1">IF(BF380="","",DATE(INDEX(OFFSET(Arb!$C$2,,,Arb!$AJ$5,),BF380),INDEX(OFFSET(Arb!$B$2,,,Arb!$AJ$5,),BF380),INDEX(OFFSET(Arb!$A$2,,,Arb!$AJ$5,),BF380))+ROW()*0.001)</f>
        <v/>
      </c>
      <c r="BM380" s="442">
        <v>238</v>
      </c>
      <c r="BO380" s="52" t="str">
        <f ca="1">IF(BN380="","",INDEX(OFFSET(Arb!$H$2,,,Arb!$AJ$5,),BN380))</f>
        <v/>
      </c>
      <c r="BP380" s="3" t="str">
        <f t="shared" ca="1" si="123"/>
        <v/>
      </c>
      <c r="BQ380" s="165" t="str">
        <f ca="1">IF(BN380="","",INDEX(OFFSET(Arb!$X$2,,,Arb!$AJ$5,),BN380)/BO380)</f>
        <v/>
      </c>
      <c r="BR380" s="165" t="str">
        <f ca="1">IF(BN380="","",(INDEX(OFFSET(Arb!$U$2,,,Arb!$AJ$5,),BN380)+INDEX(OFFSET(Arb!$V$2,,,Arb!$AJ$5,),BN380))/BO380)</f>
        <v/>
      </c>
      <c r="BS380" s="51" t="str">
        <f t="shared" ca="1" si="133"/>
        <v/>
      </c>
      <c r="BT380" s="88" t="str">
        <f ca="1">IF(BN380="","",DATE(INDEX(OFFSET(Arb!$C$2,,,Arb!$AJ$5,),BN380),INDEX(OFFSET(Arb!$B$2,,,Arb!$AJ$5,),BN380),INDEX(OFFSET(Arb!$A$2,,,Arb!$AJ$5,),BN380))+ROW()*0.001)</f>
        <v/>
      </c>
      <c r="BU380" s="436">
        <v>238</v>
      </c>
      <c r="BW380" s="52" t="str">
        <f ca="1">IF(BV380="","",INDEX(OFFSET(Arb!$H$2,,,Arb!$AJ$5,),BV380))</f>
        <v/>
      </c>
      <c r="BX380" s="3" t="str">
        <f t="shared" ca="1" si="124"/>
        <v/>
      </c>
      <c r="BY380" s="165" t="str">
        <f ca="1">IF(BV380="","",INDEX(OFFSET(Arb!$X$2,,,Arb!$AJ$5,),BV380)/BW380)</f>
        <v/>
      </c>
      <c r="BZ380" s="165" t="str">
        <f ca="1">IF(BV380="","",(INDEX(OFFSET(Arb!$U$2,,,Arb!$AJ$5,),BV380)+INDEX(OFFSET(Arb!$V$2,,,Arb!$AJ$5,),BV380))/BW380)</f>
        <v/>
      </c>
      <c r="CA380" s="51" t="str">
        <f t="shared" ca="1" si="134"/>
        <v/>
      </c>
      <c r="CB380" s="91" t="str">
        <f ca="1">IF(BV380="","",DATE(INDEX(OFFSET(Arb!$C$2,,,Arb!$AJ$5,),BV380),INDEX(OFFSET(Arb!$B$2,,,Arb!$AJ$5,),BV380),INDEX(OFFSET(Arb!$A$2,,,Arb!$AJ$5,),BV380))+ROW()*0.001)</f>
        <v/>
      </c>
    </row>
    <row r="381" spans="1:80" x14ac:dyDescent="0.25">
      <c r="A381" s="433">
        <v>239</v>
      </c>
      <c r="C381" s="52" t="str">
        <f ca="1">IF(B381="","",INDEX(OFFSET(Arb!$H$2,,,Arb!$AJ$5,),B381))</f>
        <v/>
      </c>
      <c r="D381" s="3" t="str">
        <f t="shared" ca="1" si="115"/>
        <v/>
      </c>
      <c r="E381" s="165" t="str">
        <f ca="1">IF(B381="","",INDEX(OFFSET(Arb!$X$2,,,Arb!$AJ$5,),B381)/C381)</f>
        <v/>
      </c>
      <c r="F381" s="165" t="str">
        <f ca="1">IF(B381="","",(INDEX(OFFSET(Arb!$U$2,,,Arb!$AJ$5,),B381)+INDEX(OFFSET(Arb!$V$2,,,Arb!$AJ$5,),B381))/C381)</f>
        <v/>
      </c>
      <c r="G381" s="51" t="str">
        <f t="shared" ca="1" si="125"/>
        <v/>
      </c>
      <c r="H381" s="355" t="str">
        <f ca="1">IF(B381="","",DATE(INDEX(OFFSET(Arb!$C$2,,,Arb!$AJ$5,),B381),INDEX(OFFSET(Arb!$B$2,,,Arb!$AJ$5,),B381),INDEX(OFFSET(Arb!$A$2,,,Arb!$AJ$5,),B381))+ROW()*0.001)</f>
        <v/>
      </c>
      <c r="I381" s="436">
        <v>239</v>
      </c>
      <c r="K381" s="52" t="str">
        <f ca="1">IF(J381="","",INDEX(OFFSET(Arb!$H$2,,,Arb!$AJ$5,),J381))</f>
        <v/>
      </c>
      <c r="L381" s="3" t="str">
        <f t="shared" ca="1" si="116"/>
        <v/>
      </c>
      <c r="M381" s="165" t="str">
        <f ca="1">IF(J381="","",INDEX(OFFSET(Arb!$X$2,,,Arb!$AJ$5,),J381)/K381)</f>
        <v/>
      </c>
      <c r="N381" s="165" t="str">
        <f ca="1">IF(J381="","",(INDEX(OFFSET(Arb!$U$2,,,Arb!$AJ$5,),J381)+INDEX(OFFSET(Arb!$V$2,,,Arb!$AJ$5,),J381))/K381)</f>
        <v/>
      </c>
      <c r="O381" s="51" t="str">
        <f t="shared" ca="1" si="126"/>
        <v/>
      </c>
      <c r="P381" s="91" t="str">
        <f ca="1">IF(J381="","",DATE(INDEX(OFFSET(Arb!$C$2,,,Arb!$AJ$5,),J381),INDEX(OFFSET(Arb!$B$2,,,Arb!$AJ$5,),J381),INDEX(OFFSET(Arb!$A$2,,,Arb!$AJ$5,),J381))+ROW()*0.001)</f>
        <v/>
      </c>
      <c r="Q381" s="442">
        <v>239</v>
      </c>
      <c r="S381" s="52" t="str">
        <f ca="1">IF(R381="","",INDEX(OFFSET(Arb!$H$2,,,Arb!$AJ$5,),R381))</f>
        <v/>
      </c>
      <c r="T381" s="3" t="str">
        <f t="shared" ca="1" si="117"/>
        <v/>
      </c>
      <c r="U381" s="165" t="str">
        <f ca="1">IF(R381="","",INDEX(OFFSET(Arb!$X$2,,,Arb!$AJ$5,),R381)/S381)</f>
        <v/>
      </c>
      <c r="V381" s="165" t="str">
        <f ca="1">IF(R381="","",(INDEX(OFFSET(Arb!$U$2,,,Arb!$AJ$5,),R381)+INDEX(OFFSET(Arb!$V$2,,,Arb!$AJ$5,),R381))/S381)</f>
        <v/>
      </c>
      <c r="W381" s="51" t="str">
        <f t="shared" ca="1" si="127"/>
        <v/>
      </c>
      <c r="X381" s="88" t="str">
        <f ca="1">IF(R381="","",DATE(INDEX(OFFSET(Arb!$C$2,,,Arb!$AJ$5,),R381),INDEX(OFFSET(Arb!$B$2,,,Arb!$AJ$5,),R381),INDEX(OFFSET(Arb!$A$2,,,Arb!$AJ$5,),R381))+ROW()*0.001)</f>
        <v/>
      </c>
      <c r="Y381" s="436">
        <v>239</v>
      </c>
      <c r="AA381" s="52" t="str">
        <f ca="1">IF(Z381="","",INDEX(OFFSET(Arb!$H$2,,,Arb!$AJ$5,),Z381))</f>
        <v/>
      </c>
      <c r="AB381" s="3" t="str">
        <f t="shared" ca="1" si="118"/>
        <v/>
      </c>
      <c r="AC381" s="165" t="str">
        <f ca="1">IF(Z381="","",INDEX(OFFSET(Arb!$X$2,,,Arb!$AJ$5,),Z381)/AA381)</f>
        <v/>
      </c>
      <c r="AD381" s="165" t="str">
        <f ca="1">IF(Z381="","",(INDEX(OFFSET(Arb!$U$2,,,Arb!$AJ$5,),Z381)+INDEX(OFFSET(Arb!$V$2,,,Arb!$AJ$5,),Z381))/AA381)</f>
        <v/>
      </c>
      <c r="AE381" s="51" t="str">
        <f t="shared" ca="1" si="128"/>
        <v/>
      </c>
      <c r="AF381" s="91" t="str">
        <f ca="1">IF(Z381="","",DATE(INDEX(OFFSET(Arb!$C$2,,,Arb!$AJ$5,),Z381),INDEX(OFFSET(Arb!$B$2,,,Arb!$AJ$5,),Z381),INDEX(OFFSET(Arb!$A$2,,,Arb!$AJ$5,),Z381))+ROW()*0.001)</f>
        <v/>
      </c>
      <c r="AG381" s="442">
        <v>239</v>
      </c>
      <c r="AI381" s="52" t="str">
        <f ca="1">IF(AH381="","",INDEX(OFFSET(Arb!$H$2,,,Arb!$AJ$5,),AH381))</f>
        <v/>
      </c>
      <c r="AJ381" s="3" t="str">
        <f t="shared" ca="1" si="119"/>
        <v/>
      </c>
      <c r="AK381" s="165" t="str">
        <f ca="1">IF(AH381="","",INDEX(OFFSET(Arb!$X$2,,,Arb!$AJ$5,),AH381)/AI381)</f>
        <v/>
      </c>
      <c r="AL381" s="165" t="str">
        <f ca="1">IF(AH381="","",(INDEX(OFFSET(Arb!$U$2,,,Arb!$AJ$5,),AH381)+INDEX(OFFSET(Arb!$V$2,,,Arb!$AJ$5,),AH381))/AI381)</f>
        <v/>
      </c>
      <c r="AM381" s="51" t="str">
        <f t="shared" ca="1" si="129"/>
        <v/>
      </c>
      <c r="AN381" s="88" t="str">
        <f ca="1">IF(AH381="","",DATE(INDEX(OFFSET(Arb!$C$2,,,Arb!$AJ$5,),AH381),INDEX(OFFSET(Arb!$B$2,,,Arb!$AJ$5,),AH381),INDEX(OFFSET(Arb!$A$2,,,Arb!$AJ$5,),AH381))+ROW()*0.001)</f>
        <v/>
      </c>
      <c r="AO381" s="436">
        <v>239</v>
      </c>
      <c r="AQ381" s="52" t="str">
        <f ca="1">IF(AP381="","",INDEX(OFFSET(Arb!$H$2,,,Arb!$AJ$5,),AP381))</f>
        <v/>
      </c>
      <c r="AR381" s="3" t="str">
        <f t="shared" ca="1" si="120"/>
        <v/>
      </c>
      <c r="AS381" s="165" t="str">
        <f ca="1">IF(AP381="","",INDEX(OFFSET(Arb!$X$2,,,Arb!$AJ$5,),AP381)/AQ381)</f>
        <v/>
      </c>
      <c r="AT381" s="165" t="str">
        <f ca="1">IF(AP381="","",(INDEX(OFFSET(Arb!$U$2,,,Arb!$AJ$5,),AP381)+INDEX(OFFSET(Arb!$V$2,,,Arb!$AJ$5,),AP381))/AQ381)</f>
        <v/>
      </c>
      <c r="AU381" s="51" t="str">
        <f t="shared" ca="1" si="130"/>
        <v/>
      </c>
      <c r="AV381" s="91" t="str">
        <f ca="1">IF(AP381="","",DATE(INDEX(OFFSET(Arb!$C$2,,,Arb!$AJ$5,),AP381),INDEX(OFFSET(Arb!$B$2,,,Arb!$AJ$5,),AP381),INDEX(OFFSET(Arb!$A$2,,,Arb!$AJ$5,),AP381))+ROW()*0.001)</f>
        <v/>
      </c>
      <c r="AW381" s="442">
        <v>239</v>
      </c>
      <c r="AY381" s="52" t="str">
        <f ca="1">IF(AX381="","",INDEX(OFFSET(Arb!$H$2,,,Arb!$AJ$5,),AX381))</f>
        <v/>
      </c>
      <c r="AZ381" s="3" t="str">
        <f t="shared" ca="1" si="121"/>
        <v/>
      </c>
      <c r="BA381" s="165" t="str">
        <f ca="1">IF(AX381="","",INDEX(OFFSET(Arb!$X$2,,,Arb!$AJ$5,),AX381)/AY381)</f>
        <v/>
      </c>
      <c r="BB381" s="165" t="str">
        <f ca="1">IF(AX381="","",(INDEX(OFFSET(Arb!$U$2,,,Arb!$AJ$5,),AX381)+INDEX(OFFSET(Arb!$V$2,,,Arb!$AJ$5,),AX381))/AY381)</f>
        <v/>
      </c>
      <c r="BC381" s="51" t="str">
        <f t="shared" ca="1" si="131"/>
        <v/>
      </c>
      <c r="BD381" s="88" t="str">
        <f ca="1">IF(AX381="","",DATE(INDEX(OFFSET(Arb!$C$2,,,Arb!$AJ$5,),AX381),INDEX(OFFSET(Arb!$B$2,,,Arb!$AJ$5,),AX381),INDEX(OFFSET(Arb!$A$2,,,Arb!$AJ$5,),AX381))+ROW()*0.001)</f>
        <v/>
      </c>
      <c r="BE381" s="436">
        <v>239</v>
      </c>
      <c r="BG381" s="52" t="str">
        <f ca="1">IF(BF381="","",INDEX(OFFSET(Arb!$H$2,,,Arb!$AJ$5,),BF381))</f>
        <v/>
      </c>
      <c r="BH381" s="3" t="str">
        <f t="shared" ca="1" si="122"/>
        <v/>
      </c>
      <c r="BI381" s="165" t="str">
        <f ca="1">IF(BF381="","",INDEX(OFFSET(Arb!$X$2,,,Arb!$AJ$5,),BF381)/BG381)</f>
        <v/>
      </c>
      <c r="BJ381" s="165" t="str">
        <f ca="1">IF(BF381="","",(INDEX(OFFSET(Arb!$U$2,,,Arb!$AJ$5,),BF381)+INDEX(OFFSET(Arb!$V$2,,,Arb!$AJ$5,),BF381))/BG381)</f>
        <v/>
      </c>
      <c r="BK381" s="51" t="str">
        <f t="shared" ca="1" si="132"/>
        <v/>
      </c>
      <c r="BL381" s="91" t="str">
        <f ca="1">IF(BF381="","",DATE(INDEX(OFFSET(Arb!$C$2,,,Arb!$AJ$5,),BF381),INDEX(OFFSET(Arb!$B$2,,,Arb!$AJ$5,),BF381),INDEX(OFFSET(Arb!$A$2,,,Arb!$AJ$5,),BF381))+ROW()*0.001)</f>
        <v/>
      </c>
      <c r="BM381" s="442">
        <v>239</v>
      </c>
      <c r="BO381" s="52" t="str">
        <f ca="1">IF(BN381="","",INDEX(OFFSET(Arb!$H$2,,,Arb!$AJ$5,),BN381))</f>
        <v/>
      </c>
      <c r="BP381" s="3" t="str">
        <f t="shared" ca="1" si="123"/>
        <v/>
      </c>
      <c r="BQ381" s="165" t="str">
        <f ca="1">IF(BN381="","",INDEX(OFFSET(Arb!$X$2,,,Arb!$AJ$5,),BN381)/BO381)</f>
        <v/>
      </c>
      <c r="BR381" s="165" t="str">
        <f ca="1">IF(BN381="","",(INDEX(OFFSET(Arb!$U$2,,,Arb!$AJ$5,),BN381)+INDEX(OFFSET(Arb!$V$2,,,Arb!$AJ$5,),BN381))/BO381)</f>
        <v/>
      </c>
      <c r="BS381" s="51" t="str">
        <f t="shared" ca="1" si="133"/>
        <v/>
      </c>
      <c r="BT381" s="88" t="str">
        <f ca="1">IF(BN381="","",DATE(INDEX(OFFSET(Arb!$C$2,,,Arb!$AJ$5,),BN381),INDEX(OFFSET(Arb!$B$2,,,Arb!$AJ$5,),BN381),INDEX(OFFSET(Arb!$A$2,,,Arb!$AJ$5,),BN381))+ROW()*0.001)</f>
        <v/>
      </c>
      <c r="BU381" s="436">
        <v>239</v>
      </c>
      <c r="BW381" s="52" t="str">
        <f ca="1">IF(BV381="","",INDEX(OFFSET(Arb!$H$2,,,Arb!$AJ$5,),BV381))</f>
        <v/>
      </c>
      <c r="BX381" s="3" t="str">
        <f t="shared" ca="1" si="124"/>
        <v/>
      </c>
      <c r="BY381" s="165" t="str">
        <f ca="1">IF(BV381="","",INDEX(OFFSET(Arb!$X$2,,,Arb!$AJ$5,),BV381)/BW381)</f>
        <v/>
      </c>
      <c r="BZ381" s="165" t="str">
        <f ca="1">IF(BV381="","",(INDEX(OFFSET(Arb!$U$2,,,Arb!$AJ$5,),BV381)+INDEX(OFFSET(Arb!$V$2,,,Arb!$AJ$5,),BV381))/BW381)</f>
        <v/>
      </c>
      <c r="CA381" s="51" t="str">
        <f t="shared" ca="1" si="134"/>
        <v/>
      </c>
      <c r="CB381" s="91" t="str">
        <f ca="1">IF(BV381="","",DATE(INDEX(OFFSET(Arb!$C$2,,,Arb!$AJ$5,),BV381),INDEX(OFFSET(Arb!$B$2,,,Arb!$AJ$5,),BV381),INDEX(OFFSET(Arb!$A$2,,,Arb!$AJ$5,),BV381))+ROW()*0.001)</f>
        <v/>
      </c>
    </row>
    <row r="382" spans="1:80" x14ac:dyDescent="0.25">
      <c r="A382" s="433">
        <v>240</v>
      </c>
      <c r="C382" s="52" t="str">
        <f ca="1">IF(B382="","",INDEX(OFFSET(Arb!$H$2,,,Arb!$AJ$5,),B382))</f>
        <v/>
      </c>
      <c r="D382" s="3" t="str">
        <f t="shared" ca="1" si="115"/>
        <v/>
      </c>
      <c r="E382" s="165" t="str">
        <f ca="1">IF(B382="","",INDEX(OFFSET(Arb!$X$2,,,Arb!$AJ$5,),B382)/C382)</f>
        <v/>
      </c>
      <c r="F382" s="165" t="str">
        <f ca="1">IF(B382="","",(INDEX(OFFSET(Arb!$U$2,,,Arb!$AJ$5,),B382)+INDEX(OFFSET(Arb!$V$2,,,Arb!$AJ$5,),B382))/C382)</f>
        <v/>
      </c>
      <c r="G382" s="51" t="str">
        <f t="shared" ca="1" si="125"/>
        <v/>
      </c>
      <c r="H382" s="355" t="str">
        <f ca="1">IF(B382="","",DATE(INDEX(OFFSET(Arb!$C$2,,,Arb!$AJ$5,),B382),INDEX(OFFSET(Arb!$B$2,,,Arb!$AJ$5,),B382),INDEX(OFFSET(Arb!$A$2,,,Arb!$AJ$5,),B382))+ROW()*0.001)</f>
        <v/>
      </c>
      <c r="I382" s="436">
        <v>240</v>
      </c>
      <c r="K382" s="52" t="str">
        <f ca="1">IF(J382="","",INDEX(OFFSET(Arb!$H$2,,,Arb!$AJ$5,),J382))</f>
        <v/>
      </c>
      <c r="L382" s="3" t="str">
        <f t="shared" ca="1" si="116"/>
        <v/>
      </c>
      <c r="M382" s="165" t="str">
        <f ca="1">IF(J382="","",INDEX(OFFSET(Arb!$X$2,,,Arb!$AJ$5,),J382)/K382)</f>
        <v/>
      </c>
      <c r="N382" s="165" t="str">
        <f ca="1">IF(J382="","",(INDEX(OFFSET(Arb!$U$2,,,Arb!$AJ$5,),J382)+INDEX(OFFSET(Arb!$V$2,,,Arb!$AJ$5,),J382))/K382)</f>
        <v/>
      </c>
      <c r="O382" s="51" t="str">
        <f t="shared" ca="1" si="126"/>
        <v/>
      </c>
      <c r="P382" s="91" t="str">
        <f ca="1">IF(J382="","",DATE(INDEX(OFFSET(Arb!$C$2,,,Arb!$AJ$5,),J382),INDEX(OFFSET(Arb!$B$2,,,Arb!$AJ$5,),J382),INDEX(OFFSET(Arb!$A$2,,,Arb!$AJ$5,),J382))+ROW()*0.001)</f>
        <v/>
      </c>
      <c r="Q382" s="442">
        <v>240</v>
      </c>
      <c r="S382" s="52" t="str">
        <f ca="1">IF(R382="","",INDEX(OFFSET(Arb!$H$2,,,Arb!$AJ$5,),R382))</f>
        <v/>
      </c>
      <c r="T382" s="3" t="str">
        <f t="shared" ca="1" si="117"/>
        <v/>
      </c>
      <c r="U382" s="165" t="str">
        <f ca="1">IF(R382="","",INDEX(OFFSET(Arb!$X$2,,,Arb!$AJ$5,),R382)/S382)</f>
        <v/>
      </c>
      <c r="V382" s="165" t="str">
        <f ca="1">IF(R382="","",(INDEX(OFFSET(Arb!$U$2,,,Arb!$AJ$5,),R382)+INDEX(OFFSET(Arb!$V$2,,,Arb!$AJ$5,),R382))/S382)</f>
        <v/>
      </c>
      <c r="W382" s="51" t="str">
        <f t="shared" ca="1" si="127"/>
        <v/>
      </c>
      <c r="X382" s="88" t="str">
        <f ca="1">IF(R382="","",DATE(INDEX(OFFSET(Arb!$C$2,,,Arb!$AJ$5,),R382),INDEX(OFFSET(Arb!$B$2,,,Arb!$AJ$5,),R382),INDEX(OFFSET(Arb!$A$2,,,Arb!$AJ$5,),R382))+ROW()*0.001)</f>
        <v/>
      </c>
      <c r="Y382" s="436">
        <v>240</v>
      </c>
      <c r="AA382" s="52" t="str">
        <f ca="1">IF(Z382="","",INDEX(OFFSET(Arb!$H$2,,,Arb!$AJ$5,),Z382))</f>
        <v/>
      </c>
      <c r="AB382" s="3" t="str">
        <f t="shared" ca="1" si="118"/>
        <v/>
      </c>
      <c r="AC382" s="165" t="str">
        <f ca="1">IF(Z382="","",INDEX(OFFSET(Arb!$X$2,,,Arb!$AJ$5,),Z382)/AA382)</f>
        <v/>
      </c>
      <c r="AD382" s="165" t="str">
        <f ca="1">IF(Z382="","",(INDEX(OFFSET(Arb!$U$2,,,Arb!$AJ$5,),Z382)+INDEX(OFFSET(Arb!$V$2,,,Arb!$AJ$5,),Z382))/AA382)</f>
        <v/>
      </c>
      <c r="AE382" s="51" t="str">
        <f t="shared" ca="1" si="128"/>
        <v/>
      </c>
      <c r="AF382" s="91" t="str">
        <f ca="1">IF(Z382="","",DATE(INDEX(OFFSET(Arb!$C$2,,,Arb!$AJ$5,),Z382),INDEX(OFFSET(Arb!$B$2,,,Arb!$AJ$5,),Z382),INDEX(OFFSET(Arb!$A$2,,,Arb!$AJ$5,),Z382))+ROW()*0.001)</f>
        <v/>
      </c>
      <c r="AG382" s="442">
        <v>240</v>
      </c>
      <c r="AI382" s="52" t="str">
        <f ca="1">IF(AH382="","",INDEX(OFFSET(Arb!$H$2,,,Arb!$AJ$5,),AH382))</f>
        <v/>
      </c>
      <c r="AJ382" s="3" t="str">
        <f t="shared" ca="1" si="119"/>
        <v/>
      </c>
      <c r="AK382" s="165" t="str">
        <f ca="1">IF(AH382="","",INDEX(OFFSET(Arb!$X$2,,,Arb!$AJ$5,),AH382)/AI382)</f>
        <v/>
      </c>
      <c r="AL382" s="165" t="str">
        <f ca="1">IF(AH382="","",(INDEX(OFFSET(Arb!$U$2,,,Arb!$AJ$5,),AH382)+INDEX(OFFSET(Arb!$V$2,,,Arb!$AJ$5,),AH382))/AI382)</f>
        <v/>
      </c>
      <c r="AM382" s="51" t="str">
        <f t="shared" ca="1" si="129"/>
        <v/>
      </c>
      <c r="AN382" s="88" t="str">
        <f ca="1">IF(AH382="","",DATE(INDEX(OFFSET(Arb!$C$2,,,Arb!$AJ$5,),AH382),INDEX(OFFSET(Arb!$B$2,,,Arb!$AJ$5,),AH382),INDEX(OFFSET(Arb!$A$2,,,Arb!$AJ$5,),AH382))+ROW()*0.001)</f>
        <v/>
      </c>
      <c r="AO382" s="436">
        <v>240</v>
      </c>
      <c r="AQ382" s="52" t="str">
        <f ca="1">IF(AP382="","",INDEX(OFFSET(Arb!$H$2,,,Arb!$AJ$5,),AP382))</f>
        <v/>
      </c>
      <c r="AR382" s="3" t="str">
        <f t="shared" ca="1" si="120"/>
        <v/>
      </c>
      <c r="AS382" s="165" t="str">
        <f ca="1">IF(AP382="","",INDEX(OFFSET(Arb!$X$2,,,Arb!$AJ$5,),AP382)/AQ382)</f>
        <v/>
      </c>
      <c r="AT382" s="165" t="str">
        <f ca="1">IF(AP382="","",(INDEX(OFFSET(Arb!$U$2,,,Arb!$AJ$5,),AP382)+INDEX(OFFSET(Arb!$V$2,,,Arb!$AJ$5,),AP382))/AQ382)</f>
        <v/>
      </c>
      <c r="AU382" s="51" t="str">
        <f t="shared" ca="1" si="130"/>
        <v/>
      </c>
      <c r="AV382" s="91" t="str">
        <f ca="1">IF(AP382="","",DATE(INDEX(OFFSET(Arb!$C$2,,,Arb!$AJ$5,),AP382),INDEX(OFFSET(Arb!$B$2,,,Arb!$AJ$5,),AP382),INDEX(OFFSET(Arb!$A$2,,,Arb!$AJ$5,),AP382))+ROW()*0.001)</f>
        <v/>
      </c>
      <c r="AW382" s="442">
        <v>240</v>
      </c>
      <c r="AY382" s="52" t="str">
        <f ca="1">IF(AX382="","",INDEX(OFFSET(Arb!$H$2,,,Arb!$AJ$5,),AX382))</f>
        <v/>
      </c>
      <c r="AZ382" s="3" t="str">
        <f t="shared" ca="1" si="121"/>
        <v/>
      </c>
      <c r="BA382" s="165" t="str">
        <f ca="1">IF(AX382="","",INDEX(OFFSET(Arb!$X$2,,,Arb!$AJ$5,),AX382)/AY382)</f>
        <v/>
      </c>
      <c r="BB382" s="165" t="str">
        <f ca="1">IF(AX382="","",(INDEX(OFFSET(Arb!$U$2,,,Arb!$AJ$5,),AX382)+INDEX(OFFSET(Arb!$V$2,,,Arb!$AJ$5,),AX382))/AY382)</f>
        <v/>
      </c>
      <c r="BC382" s="51" t="str">
        <f t="shared" ca="1" si="131"/>
        <v/>
      </c>
      <c r="BD382" s="88" t="str">
        <f ca="1">IF(AX382="","",DATE(INDEX(OFFSET(Arb!$C$2,,,Arb!$AJ$5,),AX382),INDEX(OFFSET(Arb!$B$2,,,Arb!$AJ$5,),AX382),INDEX(OFFSET(Arb!$A$2,,,Arb!$AJ$5,),AX382))+ROW()*0.001)</f>
        <v/>
      </c>
      <c r="BE382" s="436">
        <v>240</v>
      </c>
      <c r="BG382" s="52" t="str">
        <f ca="1">IF(BF382="","",INDEX(OFFSET(Arb!$H$2,,,Arb!$AJ$5,),BF382))</f>
        <v/>
      </c>
      <c r="BH382" s="3" t="str">
        <f t="shared" ca="1" si="122"/>
        <v/>
      </c>
      <c r="BI382" s="165" t="str">
        <f ca="1">IF(BF382="","",INDEX(OFFSET(Arb!$X$2,,,Arb!$AJ$5,),BF382)/BG382)</f>
        <v/>
      </c>
      <c r="BJ382" s="165" t="str">
        <f ca="1">IF(BF382="","",(INDEX(OFFSET(Arb!$U$2,,,Arb!$AJ$5,),BF382)+INDEX(OFFSET(Arb!$V$2,,,Arb!$AJ$5,),BF382))/BG382)</f>
        <v/>
      </c>
      <c r="BK382" s="51" t="str">
        <f t="shared" ca="1" si="132"/>
        <v/>
      </c>
      <c r="BL382" s="91" t="str">
        <f ca="1">IF(BF382="","",DATE(INDEX(OFFSET(Arb!$C$2,,,Arb!$AJ$5,),BF382),INDEX(OFFSET(Arb!$B$2,,,Arb!$AJ$5,),BF382),INDEX(OFFSET(Arb!$A$2,,,Arb!$AJ$5,),BF382))+ROW()*0.001)</f>
        <v/>
      </c>
      <c r="BM382" s="442">
        <v>240</v>
      </c>
      <c r="BO382" s="52" t="str">
        <f ca="1">IF(BN382="","",INDEX(OFFSET(Arb!$H$2,,,Arb!$AJ$5,),BN382))</f>
        <v/>
      </c>
      <c r="BP382" s="3" t="str">
        <f t="shared" ca="1" si="123"/>
        <v/>
      </c>
      <c r="BQ382" s="165" t="str">
        <f ca="1">IF(BN382="","",INDEX(OFFSET(Arb!$X$2,,,Arb!$AJ$5,),BN382)/BO382)</f>
        <v/>
      </c>
      <c r="BR382" s="165" t="str">
        <f ca="1">IF(BN382="","",(INDEX(OFFSET(Arb!$U$2,,,Arb!$AJ$5,),BN382)+INDEX(OFFSET(Arb!$V$2,,,Arb!$AJ$5,),BN382))/BO382)</f>
        <v/>
      </c>
      <c r="BS382" s="51" t="str">
        <f t="shared" ca="1" si="133"/>
        <v/>
      </c>
      <c r="BT382" s="88" t="str">
        <f ca="1">IF(BN382="","",DATE(INDEX(OFFSET(Arb!$C$2,,,Arb!$AJ$5,),BN382),INDEX(OFFSET(Arb!$B$2,,,Arb!$AJ$5,),BN382),INDEX(OFFSET(Arb!$A$2,,,Arb!$AJ$5,),BN382))+ROW()*0.001)</f>
        <v/>
      </c>
      <c r="BU382" s="436">
        <v>240</v>
      </c>
      <c r="BW382" s="52" t="str">
        <f ca="1">IF(BV382="","",INDEX(OFFSET(Arb!$H$2,,,Arb!$AJ$5,),BV382))</f>
        <v/>
      </c>
      <c r="BX382" s="3" t="str">
        <f t="shared" ca="1" si="124"/>
        <v/>
      </c>
      <c r="BY382" s="165" t="str">
        <f ca="1">IF(BV382="","",INDEX(OFFSET(Arb!$X$2,,,Arb!$AJ$5,),BV382)/BW382)</f>
        <v/>
      </c>
      <c r="BZ382" s="165" t="str">
        <f ca="1">IF(BV382="","",(INDEX(OFFSET(Arb!$U$2,,,Arb!$AJ$5,),BV382)+INDEX(OFFSET(Arb!$V$2,,,Arb!$AJ$5,),BV382))/BW382)</f>
        <v/>
      </c>
      <c r="CA382" s="51" t="str">
        <f t="shared" ca="1" si="134"/>
        <v/>
      </c>
      <c r="CB382" s="91" t="str">
        <f ca="1">IF(BV382="","",DATE(INDEX(OFFSET(Arb!$C$2,,,Arb!$AJ$5,),BV382),INDEX(OFFSET(Arb!$B$2,,,Arb!$AJ$5,),BV382),INDEX(OFFSET(Arb!$A$2,,,Arb!$AJ$5,),BV382))+ROW()*0.001)</f>
        <v/>
      </c>
    </row>
    <row r="383" spans="1:80" x14ac:dyDescent="0.25">
      <c r="A383" s="433">
        <v>241</v>
      </c>
      <c r="C383" s="52" t="str">
        <f ca="1">IF(B383="","",INDEX(OFFSET(Arb!$H$2,,,Arb!$AJ$5,),B383))</f>
        <v/>
      </c>
      <c r="D383" s="3" t="str">
        <f t="shared" ca="1" si="115"/>
        <v/>
      </c>
      <c r="E383" s="165" t="str">
        <f ca="1">IF(B383="","",INDEX(OFFSET(Arb!$X$2,,,Arb!$AJ$5,),B383)/C383)</f>
        <v/>
      </c>
      <c r="F383" s="165" t="str">
        <f ca="1">IF(B383="","",(INDEX(OFFSET(Arb!$U$2,,,Arb!$AJ$5,),B383)+INDEX(OFFSET(Arb!$V$2,,,Arb!$AJ$5,),B383))/C383)</f>
        <v/>
      </c>
      <c r="G383" s="51" t="str">
        <f t="shared" ca="1" si="125"/>
        <v/>
      </c>
      <c r="H383" s="355" t="str">
        <f ca="1">IF(B383="","",DATE(INDEX(OFFSET(Arb!$C$2,,,Arb!$AJ$5,),B383),INDEX(OFFSET(Arb!$B$2,,,Arb!$AJ$5,),B383),INDEX(OFFSET(Arb!$A$2,,,Arb!$AJ$5,),B383))+ROW()*0.001)</f>
        <v/>
      </c>
      <c r="I383" s="436">
        <v>241</v>
      </c>
      <c r="K383" s="52" t="str">
        <f ca="1">IF(J383="","",INDEX(OFFSET(Arb!$H$2,,,Arb!$AJ$5,),J383))</f>
        <v/>
      </c>
      <c r="L383" s="3" t="str">
        <f t="shared" ca="1" si="116"/>
        <v/>
      </c>
      <c r="M383" s="165" t="str">
        <f ca="1">IF(J383="","",INDEX(OFFSET(Arb!$X$2,,,Arb!$AJ$5,),J383)/K383)</f>
        <v/>
      </c>
      <c r="N383" s="165" t="str">
        <f ca="1">IF(J383="","",(INDEX(OFFSET(Arb!$U$2,,,Arb!$AJ$5,),J383)+INDEX(OFFSET(Arb!$V$2,,,Arb!$AJ$5,),J383))/K383)</f>
        <v/>
      </c>
      <c r="O383" s="51" t="str">
        <f t="shared" ca="1" si="126"/>
        <v/>
      </c>
      <c r="P383" s="91" t="str">
        <f ca="1">IF(J383="","",DATE(INDEX(OFFSET(Arb!$C$2,,,Arb!$AJ$5,),J383),INDEX(OFFSET(Arb!$B$2,,,Arb!$AJ$5,),J383),INDEX(OFFSET(Arb!$A$2,,,Arb!$AJ$5,),J383))+ROW()*0.001)</f>
        <v/>
      </c>
      <c r="Q383" s="442">
        <v>241</v>
      </c>
      <c r="S383" s="52" t="str">
        <f ca="1">IF(R383="","",INDEX(OFFSET(Arb!$H$2,,,Arb!$AJ$5,),R383))</f>
        <v/>
      </c>
      <c r="T383" s="3" t="str">
        <f t="shared" ca="1" si="117"/>
        <v/>
      </c>
      <c r="U383" s="165" t="str">
        <f ca="1">IF(R383="","",INDEX(OFFSET(Arb!$X$2,,,Arb!$AJ$5,),R383)/S383)</f>
        <v/>
      </c>
      <c r="V383" s="165" t="str">
        <f ca="1">IF(R383="","",(INDEX(OFFSET(Arb!$U$2,,,Arb!$AJ$5,),R383)+INDEX(OFFSET(Arb!$V$2,,,Arb!$AJ$5,),R383))/S383)</f>
        <v/>
      </c>
      <c r="W383" s="51" t="str">
        <f t="shared" ca="1" si="127"/>
        <v/>
      </c>
      <c r="X383" s="88" t="str">
        <f ca="1">IF(R383="","",DATE(INDEX(OFFSET(Arb!$C$2,,,Arb!$AJ$5,),R383),INDEX(OFFSET(Arb!$B$2,,,Arb!$AJ$5,),R383),INDEX(OFFSET(Arb!$A$2,,,Arb!$AJ$5,),R383))+ROW()*0.001)</f>
        <v/>
      </c>
      <c r="Y383" s="436">
        <v>241</v>
      </c>
      <c r="AA383" s="52" t="str">
        <f ca="1">IF(Z383="","",INDEX(OFFSET(Arb!$H$2,,,Arb!$AJ$5,),Z383))</f>
        <v/>
      </c>
      <c r="AB383" s="3" t="str">
        <f t="shared" ca="1" si="118"/>
        <v/>
      </c>
      <c r="AC383" s="165" t="str">
        <f ca="1">IF(Z383="","",INDEX(OFFSET(Arb!$X$2,,,Arb!$AJ$5,),Z383)/AA383)</f>
        <v/>
      </c>
      <c r="AD383" s="165" t="str">
        <f ca="1">IF(Z383="","",(INDEX(OFFSET(Arb!$U$2,,,Arb!$AJ$5,),Z383)+INDEX(OFFSET(Arb!$V$2,,,Arb!$AJ$5,),Z383))/AA383)</f>
        <v/>
      </c>
      <c r="AE383" s="51" t="str">
        <f t="shared" ca="1" si="128"/>
        <v/>
      </c>
      <c r="AF383" s="91" t="str">
        <f ca="1">IF(Z383="","",DATE(INDEX(OFFSET(Arb!$C$2,,,Arb!$AJ$5,),Z383),INDEX(OFFSET(Arb!$B$2,,,Arb!$AJ$5,),Z383),INDEX(OFFSET(Arb!$A$2,,,Arb!$AJ$5,),Z383))+ROW()*0.001)</f>
        <v/>
      </c>
      <c r="AG383" s="442">
        <v>241</v>
      </c>
      <c r="AI383" s="52" t="str">
        <f ca="1">IF(AH383="","",INDEX(OFFSET(Arb!$H$2,,,Arb!$AJ$5,),AH383))</f>
        <v/>
      </c>
      <c r="AJ383" s="3" t="str">
        <f t="shared" ca="1" si="119"/>
        <v/>
      </c>
      <c r="AK383" s="165" t="str">
        <f ca="1">IF(AH383="","",INDEX(OFFSET(Arb!$X$2,,,Arb!$AJ$5,),AH383)/AI383)</f>
        <v/>
      </c>
      <c r="AL383" s="165" t="str">
        <f ca="1">IF(AH383="","",(INDEX(OFFSET(Arb!$U$2,,,Arb!$AJ$5,),AH383)+INDEX(OFFSET(Arb!$V$2,,,Arb!$AJ$5,),AH383))/AI383)</f>
        <v/>
      </c>
      <c r="AM383" s="51" t="str">
        <f t="shared" ca="1" si="129"/>
        <v/>
      </c>
      <c r="AN383" s="88" t="str">
        <f ca="1">IF(AH383="","",DATE(INDEX(OFFSET(Arb!$C$2,,,Arb!$AJ$5,),AH383),INDEX(OFFSET(Arb!$B$2,,,Arb!$AJ$5,),AH383),INDEX(OFFSET(Arb!$A$2,,,Arb!$AJ$5,),AH383))+ROW()*0.001)</f>
        <v/>
      </c>
      <c r="AO383" s="436">
        <v>241</v>
      </c>
      <c r="AQ383" s="52" t="str">
        <f ca="1">IF(AP383="","",INDEX(OFFSET(Arb!$H$2,,,Arb!$AJ$5,),AP383))</f>
        <v/>
      </c>
      <c r="AR383" s="3" t="str">
        <f t="shared" ca="1" si="120"/>
        <v/>
      </c>
      <c r="AS383" s="165" t="str">
        <f ca="1">IF(AP383="","",INDEX(OFFSET(Arb!$X$2,,,Arb!$AJ$5,),AP383)/AQ383)</f>
        <v/>
      </c>
      <c r="AT383" s="165" t="str">
        <f ca="1">IF(AP383="","",(INDEX(OFFSET(Arb!$U$2,,,Arb!$AJ$5,),AP383)+INDEX(OFFSET(Arb!$V$2,,,Arb!$AJ$5,),AP383))/AQ383)</f>
        <v/>
      </c>
      <c r="AU383" s="51" t="str">
        <f t="shared" ca="1" si="130"/>
        <v/>
      </c>
      <c r="AV383" s="91" t="str">
        <f ca="1">IF(AP383="","",DATE(INDEX(OFFSET(Arb!$C$2,,,Arb!$AJ$5,),AP383),INDEX(OFFSET(Arb!$B$2,,,Arb!$AJ$5,),AP383),INDEX(OFFSET(Arb!$A$2,,,Arb!$AJ$5,),AP383))+ROW()*0.001)</f>
        <v/>
      </c>
      <c r="AW383" s="442">
        <v>241</v>
      </c>
      <c r="AY383" s="52" t="str">
        <f ca="1">IF(AX383="","",INDEX(OFFSET(Arb!$H$2,,,Arb!$AJ$5,),AX383))</f>
        <v/>
      </c>
      <c r="AZ383" s="3" t="str">
        <f t="shared" ca="1" si="121"/>
        <v/>
      </c>
      <c r="BA383" s="165" t="str">
        <f ca="1">IF(AX383="","",INDEX(OFFSET(Arb!$X$2,,,Arb!$AJ$5,),AX383)/AY383)</f>
        <v/>
      </c>
      <c r="BB383" s="165" t="str">
        <f ca="1">IF(AX383="","",(INDEX(OFFSET(Arb!$U$2,,,Arb!$AJ$5,),AX383)+INDEX(OFFSET(Arb!$V$2,,,Arb!$AJ$5,),AX383))/AY383)</f>
        <v/>
      </c>
      <c r="BC383" s="51" t="str">
        <f t="shared" ca="1" si="131"/>
        <v/>
      </c>
      <c r="BD383" s="88" t="str">
        <f ca="1">IF(AX383="","",DATE(INDEX(OFFSET(Arb!$C$2,,,Arb!$AJ$5,),AX383),INDEX(OFFSET(Arb!$B$2,,,Arb!$AJ$5,),AX383),INDEX(OFFSET(Arb!$A$2,,,Arb!$AJ$5,),AX383))+ROW()*0.001)</f>
        <v/>
      </c>
      <c r="BE383" s="436">
        <v>241</v>
      </c>
      <c r="BG383" s="52" t="str">
        <f ca="1">IF(BF383="","",INDEX(OFFSET(Arb!$H$2,,,Arb!$AJ$5,),BF383))</f>
        <v/>
      </c>
      <c r="BH383" s="3" t="str">
        <f t="shared" ca="1" si="122"/>
        <v/>
      </c>
      <c r="BI383" s="165" t="str">
        <f ca="1">IF(BF383="","",INDEX(OFFSET(Arb!$X$2,,,Arb!$AJ$5,),BF383)/BG383)</f>
        <v/>
      </c>
      <c r="BJ383" s="165" t="str">
        <f ca="1">IF(BF383="","",(INDEX(OFFSET(Arb!$U$2,,,Arb!$AJ$5,),BF383)+INDEX(OFFSET(Arb!$V$2,,,Arb!$AJ$5,),BF383))/BG383)</f>
        <v/>
      </c>
      <c r="BK383" s="51" t="str">
        <f t="shared" ca="1" si="132"/>
        <v/>
      </c>
      <c r="BL383" s="91" t="str">
        <f ca="1">IF(BF383="","",DATE(INDEX(OFFSET(Arb!$C$2,,,Arb!$AJ$5,),BF383),INDEX(OFFSET(Arb!$B$2,,,Arb!$AJ$5,),BF383),INDEX(OFFSET(Arb!$A$2,,,Arb!$AJ$5,),BF383))+ROW()*0.001)</f>
        <v/>
      </c>
      <c r="BM383" s="442">
        <v>241</v>
      </c>
      <c r="BO383" s="52" t="str">
        <f ca="1">IF(BN383="","",INDEX(OFFSET(Arb!$H$2,,,Arb!$AJ$5,),BN383))</f>
        <v/>
      </c>
      <c r="BP383" s="3" t="str">
        <f t="shared" ca="1" si="123"/>
        <v/>
      </c>
      <c r="BQ383" s="165" t="str">
        <f ca="1">IF(BN383="","",INDEX(OFFSET(Arb!$X$2,,,Arb!$AJ$5,),BN383)/BO383)</f>
        <v/>
      </c>
      <c r="BR383" s="165" t="str">
        <f ca="1">IF(BN383="","",(INDEX(OFFSET(Arb!$U$2,,,Arb!$AJ$5,),BN383)+INDEX(OFFSET(Arb!$V$2,,,Arb!$AJ$5,),BN383))/BO383)</f>
        <v/>
      </c>
      <c r="BS383" s="51" t="str">
        <f t="shared" ca="1" si="133"/>
        <v/>
      </c>
      <c r="BT383" s="88" t="str">
        <f ca="1">IF(BN383="","",DATE(INDEX(OFFSET(Arb!$C$2,,,Arb!$AJ$5,),BN383),INDEX(OFFSET(Arb!$B$2,,,Arb!$AJ$5,),BN383),INDEX(OFFSET(Arb!$A$2,,,Arb!$AJ$5,),BN383))+ROW()*0.001)</f>
        <v/>
      </c>
      <c r="BU383" s="436">
        <v>241</v>
      </c>
      <c r="BW383" s="52" t="str">
        <f ca="1">IF(BV383="","",INDEX(OFFSET(Arb!$H$2,,,Arb!$AJ$5,),BV383))</f>
        <v/>
      </c>
      <c r="BX383" s="3" t="str">
        <f t="shared" ca="1" si="124"/>
        <v/>
      </c>
      <c r="BY383" s="165" t="str">
        <f ca="1">IF(BV383="","",INDEX(OFFSET(Arb!$X$2,,,Arb!$AJ$5,),BV383)/BW383)</f>
        <v/>
      </c>
      <c r="BZ383" s="165" t="str">
        <f ca="1">IF(BV383="","",(INDEX(OFFSET(Arb!$U$2,,,Arb!$AJ$5,),BV383)+INDEX(OFFSET(Arb!$V$2,,,Arb!$AJ$5,),BV383))/BW383)</f>
        <v/>
      </c>
      <c r="CA383" s="51" t="str">
        <f t="shared" ca="1" si="134"/>
        <v/>
      </c>
      <c r="CB383" s="91" t="str">
        <f ca="1">IF(BV383="","",DATE(INDEX(OFFSET(Arb!$C$2,,,Arb!$AJ$5,),BV383),INDEX(OFFSET(Arb!$B$2,,,Arb!$AJ$5,),BV383),INDEX(OFFSET(Arb!$A$2,,,Arb!$AJ$5,),BV383))+ROW()*0.001)</f>
        <v/>
      </c>
    </row>
    <row r="384" spans="1:80" x14ac:dyDescent="0.25">
      <c r="A384" s="433">
        <v>242</v>
      </c>
      <c r="B384" s="1">
        <v>2796</v>
      </c>
      <c r="C384" s="52">
        <f ca="1">IF(B384="","",INDEX(OFFSET(Arb!$H$2,,,Arb!$AJ$5,),B384))</f>
        <v>92.28</v>
      </c>
      <c r="D384" s="3">
        <f t="shared" ca="1" si="115"/>
        <v>2.6224534026874728</v>
      </c>
      <c r="E384" s="165">
        <f ca="1">IF(B384="","",INDEX(OFFSET(Arb!$X$2,,,Arb!$AJ$5,),B384)/C384)</f>
        <v>2.9692241005635025</v>
      </c>
      <c r="F384" s="165">
        <f ca="1">IF(B384="","",(INDEX(OFFSET(Arb!$U$2,,,Arb!$AJ$5,),B384)+INDEX(OFFSET(Arb!$V$2,,,Arb!$AJ$5,),B384))/C384)</f>
        <v>3.2834850455136539</v>
      </c>
      <c r="G384" s="51">
        <f t="shared" ca="1" si="125"/>
        <v>48.042182135028682</v>
      </c>
      <c r="H384" s="355">
        <f ca="1">IF(B384="","",DATE(INDEX(OFFSET(Arb!$C$2,,,Arb!$AJ$5,),B384),INDEX(OFFSET(Arb!$B$2,,,Arb!$AJ$5,),B384),INDEX(OFFSET(Arb!$A$2,,,Arb!$AJ$5,),B384))+ROW()*0.001)</f>
        <v>43894.383999999998</v>
      </c>
      <c r="I384" s="436">
        <v>242</v>
      </c>
      <c r="K384" s="52" t="str">
        <f ca="1">IF(J384="","",INDEX(OFFSET(Arb!$H$2,,,Arb!$AJ$5,),J384))</f>
        <v/>
      </c>
      <c r="L384" s="3" t="str">
        <f t="shared" ca="1" si="116"/>
        <v/>
      </c>
      <c r="M384" s="165" t="str">
        <f ca="1">IF(J384="","",INDEX(OFFSET(Arb!$X$2,,,Arb!$AJ$5,),J384)/K384)</f>
        <v/>
      </c>
      <c r="N384" s="165" t="str">
        <f ca="1">IF(J384="","",(INDEX(OFFSET(Arb!$U$2,,,Arb!$AJ$5,),J384)+INDEX(OFFSET(Arb!$V$2,,,Arb!$AJ$5,),J384))/K384)</f>
        <v/>
      </c>
      <c r="O384" s="51" t="str">
        <f t="shared" ca="1" si="126"/>
        <v/>
      </c>
      <c r="P384" s="91" t="str">
        <f ca="1">IF(J384="","",DATE(INDEX(OFFSET(Arb!$C$2,,,Arb!$AJ$5,),J384),INDEX(OFFSET(Arb!$B$2,,,Arb!$AJ$5,),J384),INDEX(OFFSET(Arb!$A$2,,,Arb!$AJ$5,),J384))+ROW()*0.001)</f>
        <v/>
      </c>
      <c r="Q384" s="442">
        <v>242</v>
      </c>
      <c r="S384" s="52" t="str">
        <f ca="1">IF(R384="","",INDEX(OFFSET(Arb!$H$2,,,Arb!$AJ$5,),R384))</f>
        <v/>
      </c>
      <c r="T384" s="3" t="str">
        <f t="shared" ca="1" si="117"/>
        <v/>
      </c>
      <c r="U384" s="165" t="str">
        <f ca="1">IF(R384="","",INDEX(OFFSET(Arb!$X$2,,,Arb!$AJ$5,),R384)/S384)</f>
        <v/>
      </c>
      <c r="V384" s="165" t="str">
        <f ca="1">IF(R384="","",(INDEX(OFFSET(Arb!$U$2,,,Arb!$AJ$5,),R384)+INDEX(OFFSET(Arb!$V$2,,,Arb!$AJ$5,),R384))/S384)</f>
        <v/>
      </c>
      <c r="W384" s="51" t="str">
        <f t="shared" ca="1" si="127"/>
        <v/>
      </c>
      <c r="X384" s="88" t="str">
        <f ca="1">IF(R384="","",DATE(INDEX(OFFSET(Arb!$C$2,,,Arb!$AJ$5,),R384),INDEX(OFFSET(Arb!$B$2,,,Arb!$AJ$5,),R384),INDEX(OFFSET(Arb!$A$2,,,Arb!$AJ$5,),R384))+ROW()*0.001)</f>
        <v/>
      </c>
      <c r="Y384" s="436">
        <v>242</v>
      </c>
      <c r="AA384" s="52" t="str">
        <f ca="1">IF(Z384="","",INDEX(OFFSET(Arb!$H$2,,,Arb!$AJ$5,),Z384))</f>
        <v/>
      </c>
      <c r="AB384" s="3" t="str">
        <f t="shared" ca="1" si="118"/>
        <v/>
      </c>
      <c r="AC384" s="165" t="str">
        <f ca="1">IF(Z384="","",INDEX(OFFSET(Arb!$X$2,,,Arb!$AJ$5,),Z384)/AA384)</f>
        <v/>
      </c>
      <c r="AD384" s="165" t="str">
        <f ca="1">IF(Z384="","",(INDEX(OFFSET(Arb!$U$2,,,Arb!$AJ$5,),Z384)+INDEX(OFFSET(Arb!$V$2,,,Arb!$AJ$5,),Z384))/AA384)</f>
        <v/>
      </c>
      <c r="AE384" s="51" t="str">
        <f t="shared" ca="1" si="128"/>
        <v/>
      </c>
      <c r="AF384" s="91" t="str">
        <f ca="1">IF(Z384="","",DATE(INDEX(OFFSET(Arb!$C$2,,,Arb!$AJ$5,),Z384),INDEX(OFFSET(Arb!$B$2,,,Arb!$AJ$5,),Z384),INDEX(OFFSET(Arb!$A$2,,,Arb!$AJ$5,),Z384))+ROW()*0.001)</f>
        <v/>
      </c>
      <c r="AG384" s="442">
        <v>242</v>
      </c>
      <c r="AI384" s="52" t="str">
        <f ca="1">IF(AH384="","",INDEX(OFFSET(Arb!$H$2,,,Arb!$AJ$5,),AH384))</f>
        <v/>
      </c>
      <c r="AJ384" s="3" t="str">
        <f t="shared" ca="1" si="119"/>
        <v/>
      </c>
      <c r="AK384" s="165" t="str">
        <f ca="1">IF(AH384="","",INDEX(OFFSET(Arb!$X$2,,,Arb!$AJ$5,),AH384)/AI384)</f>
        <v/>
      </c>
      <c r="AL384" s="165" t="str">
        <f ca="1">IF(AH384="","",(INDEX(OFFSET(Arb!$U$2,,,Arb!$AJ$5,),AH384)+INDEX(OFFSET(Arb!$V$2,,,Arb!$AJ$5,),AH384))/AI384)</f>
        <v/>
      </c>
      <c r="AM384" s="51" t="str">
        <f t="shared" ca="1" si="129"/>
        <v/>
      </c>
      <c r="AN384" s="88" t="str">
        <f ca="1">IF(AH384="","",DATE(INDEX(OFFSET(Arb!$C$2,,,Arb!$AJ$5,),AH384),INDEX(OFFSET(Arb!$B$2,,,Arb!$AJ$5,),AH384),INDEX(OFFSET(Arb!$A$2,,,Arb!$AJ$5,),AH384))+ROW()*0.001)</f>
        <v/>
      </c>
      <c r="AO384" s="436">
        <v>242</v>
      </c>
      <c r="AQ384" s="52" t="str">
        <f ca="1">IF(AP384="","",INDEX(OFFSET(Arb!$H$2,,,Arb!$AJ$5,),AP384))</f>
        <v/>
      </c>
      <c r="AR384" s="3" t="str">
        <f t="shared" ca="1" si="120"/>
        <v/>
      </c>
      <c r="AS384" s="165" t="str">
        <f ca="1">IF(AP384="","",INDEX(OFFSET(Arb!$X$2,,,Arb!$AJ$5,),AP384)/AQ384)</f>
        <v/>
      </c>
      <c r="AT384" s="165" t="str">
        <f ca="1">IF(AP384="","",(INDEX(OFFSET(Arb!$U$2,,,Arb!$AJ$5,),AP384)+INDEX(OFFSET(Arb!$V$2,,,Arb!$AJ$5,),AP384))/AQ384)</f>
        <v/>
      </c>
      <c r="AU384" s="51" t="str">
        <f t="shared" ca="1" si="130"/>
        <v/>
      </c>
      <c r="AV384" s="91" t="str">
        <f ca="1">IF(AP384="","",DATE(INDEX(OFFSET(Arb!$C$2,,,Arb!$AJ$5,),AP384),INDEX(OFFSET(Arb!$B$2,,,Arb!$AJ$5,),AP384),INDEX(OFFSET(Arb!$A$2,,,Arb!$AJ$5,),AP384))+ROW()*0.001)</f>
        <v/>
      </c>
      <c r="AW384" s="442">
        <v>242</v>
      </c>
      <c r="AY384" s="52" t="str">
        <f ca="1">IF(AX384="","",INDEX(OFFSET(Arb!$H$2,,,Arb!$AJ$5,),AX384))</f>
        <v/>
      </c>
      <c r="AZ384" s="3" t="str">
        <f t="shared" ca="1" si="121"/>
        <v/>
      </c>
      <c r="BA384" s="165" t="str">
        <f ca="1">IF(AX384="","",INDEX(OFFSET(Arb!$X$2,,,Arb!$AJ$5,),AX384)/AY384)</f>
        <v/>
      </c>
      <c r="BB384" s="165" t="str">
        <f ca="1">IF(AX384="","",(INDEX(OFFSET(Arb!$U$2,,,Arb!$AJ$5,),AX384)+INDEX(OFFSET(Arb!$V$2,,,Arb!$AJ$5,),AX384))/AY384)</f>
        <v/>
      </c>
      <c r="BC384" s="51" t="str">
        <f t="shared" ca="1" si="131"/>
        <v/>
      </c>
      <c r="BD384" s="88" t="str">
        <f ca="1">IF(AX384="","",DATE(INDEX(OFFSET(Arb!$C$2,,,Arb!$AJ$5,),AX384),INDEX(OFFSET(Arb!$B$2,,,Arb!$AJ$5,),AX384),INDEX(OFFSET(Arb!$A$2,,,Arb!$AJ$5,),AX384))+ROW()*0.001)</f>
        <v/>
      </c>
      <c r="BE384" s="436">
        <v>242</v>
      </c>
      <c r="BG384" s="52" t="str">
        <f ca="1">IF(BF384="","",INDEX(OFFSET(Arb!$H$2,,,Arb!$AJ$5,),BF384))</f>
        <v/>
      </c>
      <c r="BH384" s="3" t="str">
        <f t="shared" ca="1" si="122"/>
        <v/>
      </c>
      <c r="BI384" s="165" t="str">
        <f ca="1">IF(BF384="","",INDEX(OFFSET(Arb!$X$2,,,Arb!$AJ$5,),BF384)/BG384)</f>
        <v/>
      </c>
      <c r="BJ384" s="165" t="str">
        <f ca="1">IF(BF384="","",(INDEX(OFFSET(Arb!$U$2,,,Arb!$AJ$5,),BF384)+INDEX(OFFSET(Arb!$V$2,,,Arb!$AJ$5,),BF384))/BG384)</f>
        <v/>
      </c>
      <c r="BK384" s="51" t="str">
        <f t="shared" ca="1" si="132"/>
        <v/>
      </c>
      <c r="BL384" s="91" t="str">
        <f ca="1">IF(BF384="","",DATE(INDEX(OFFSET(Arb!$C$2,,,Arb!$AJ$5,),BF384),INDEX(OFFSET(Arb!$B$2,,,Arb!$AJ$5,),BF384),INDEX(OFFSET(Arb!$A$2,,,Arb!$AJ$5,),BF384))+ROW()*0.001)</f>
        <v/>
      </c>
      <c r="BM384" s="442">
        <v>242</v>
      </c>
      <c r="BO384" s="52" t="str">
        <f ca="1">IF(BN384="","",INDEX(OFFSET(Arb!$H$2,,,Arb!$AJ$5,),BN384))</f>
        <v/>
      </c>
      <c r="BP384" s="3" t="str">
        <f t="shared" ca="1" si="123"/>
        <v/>
      </c>
      <c r="BQ384" s="165" t="str">
        <f ca="1">IF(BN384="","",INDEX(OFFSET(Arb!$X$2,,,Arb!$AJ$5,),BN384)/BO384)</f>
        <v/>
      </c>
      <c r="BR384" s="165" t="str">
        <f ca="1">IF(BN384="","",(INDEX(OFFSET(Arb!$U$2,,,Arb!$AJ$5,),BN384)+INDEX(OFFSET(Arb!$V$2,,,Arb!$AJ$5,),BN384))/BO384)</f>
        <v/>
      </c>
      <c r="BS384" s="51" t="str">
        <f t="shared" ca="1" si="133"/>
        <v/>
      </c>
      <c r="BT384" s="88" t="str">
        <f ca="1">IF(BN384="","",DATE(INDEX(OFFSET(Arb!$C$2,,,Arb!$AJ$5,),BN384),INDEX(OFFSET(Arb!$B$2,,,Arb!$AJ$5,),BN384),INDEX(OFFSET(Arb!$A$2,,,Arb!$AJ$5,),BN384))+ROW()*0.001)</f>
        <v/>
      </c>
      <c r="BU384" s="436">
        <v>242</v>
      </c>
      <c r="BW384" s="52" t="str">
        <f ca="1">IF(BV384="","",INDEX(OFFSET(Arb!$H$2,,,Arb!$AJ$5,),BV384))</f>
        <v/>
      </c>
      <c r="BX384" s="3" t="str">
        <f t="shared" ca="1" si="124"/>
        <v/>
      </c>
      <c r="BY384" s="165" t="str">
        <f ca="1">IF(BV384="","",INDEX(OFFSET(Arb!$X$2,,,Arb!$AJ$5,),BV384)/BW384)</f>
        <v/>
      </c>
      <c r="BZ384" s="165" t="str">
        <f ca="1">IF(BV384="","",(INDEX(OFFSET(Arb!$U$2,,,Arb!$AJ$5,),BV384)+INDEX(OFFSET(Arb!$V$2,,,Arb!$AJ$5,),BV384))/BW384)</f>
        <v/>
      </c>
      <c r="CA384" s="51" t="str">
        <f t="shared" ca="1" si="134"/>
        <v/>
      </c>
      <c r="CB384" s="91" t="str">
        <f ca="1">IF(BV384="","",DATE(INDEX(OFFSET(Arb!$C$2,,,Arb!$AJ$5,),BV384),INDEX(OFFSET(Arb!$B$2,,,Arb!$AJ$5,),BV384),INDEX(OFFSET(Arb!$A$2,,,Arb!$AJ$5,),BV384))+ROW()*0.001)</f>
        <v/>
      </c>
    </row>
    <row r="385" spans="1:80" x14ac:dyDescent="0.25">
      <c r="A385" s="433">
        <v>243</v>
      </c>
      <c r="C385" s="52" t="str">
        <f ca="1">IF(B385="","",INDEX(OFFSET(Arb!$H$2,,,Arb!$AJ$5,),B385))</f>
        <v/>
      </c>
      <c r="D385" s="3" t="str">
        <f t="shared" ca="1" si="115"/>
        <v/>
      </c>
      <c r="E385" s="165" t="str">
        <f ca="1">IF(B385="","",INDEX(OFFSET(Arb!$X$2,,,Arb!$AJ$5,),B385)/C385)</f>
        <v/>
      </c>
      <c r="F385" s="165" t="str">
        <f ca="1">IF(B385="","",(INDEX(OFFSET(Arb!$U$2,,,Arb!$AJ$5,),B385)+INDEX(OFFSET(Arb!$V$2,,,Arb!$AJ$5,),B385))/C385)</f>
        <v/>
      </c>
      <c r="G385" s="51" t="str">
        <f t="shared" ca="1" si="125"/>
        <v/>
      </c>
      <c r="H385" s="355" t="str">
        <f ca="1">IF(B385="","",DATE(INDEX(OFFSET(Arb!$C$2,,,Arb!$AJ$5,),B385),INDEX(OFFSET(Arb!$B$2,,,Arb!$AJ$5,),B385),INDEX(OFFSET(Arb!$A$2,,,Arb!$AJ$5,),B385))+ROW()*0.001)</f>
        <v/>
      </c>
      <c r="I385" s="436">
        <v>243</v>
      </c>
      <c r="K385" s="52" t="str">
        <f ca="1">IF(J385="","",INDEX(OFFSET(Arb!$H$2,,,Arb!$AJ$5,),J385))</f>
        <v/>
      </c>
      <c r="L385" s="3" t="str">
        <f t="shared" ca="1" si="116"/>
        <v/>
      </c>
      <c r="M385" s="165" t="str">
        <f ca="1">IF(J385="","",INDEX(OFFSET(Arb!$X$2,,,Arb!$AJ$5,),J385)/K385)</f>
        <v/>
      </c>
      <c r="N385" s="165" t="str">
        <f ca="1">IF(J385="","",(INDEX(OFFSET(Arb!$U$2,,,Arb!$AJ$5,),J385)+INDEX(OFFSET(Arb!$V$2,,,Arb!$AJ$5,),J385))/K385)</f>
        <v/>
      </c>
      <c r="O385" s="51" t="str">
        <f t="shared" ca="1" si="126"/>
        <v/>
      </c>
      <c r="P385" s="91" t="str">
        <f ca="1">IF(J385="","",DATE(INDEX(OFFSET(Arb!$C$2,,,Arb!$AJ$5,),J385),INDEX(OFFSET(Arb!$B$2,,,Arb!$AJ$5,),J385),INDEX(OFFSET(Arb!$A$2,,,Arb!$AJ$5,),J385))+ROW()*0.001)</f>
        <v/>
      </c>
      <c r="Q385" s="442">
        <v>243</v>
      </c>
      <c r="S385" s="52" t="str">
        <f ca="1">IF(R385="","",INDEX(OFFSET(Arb!$H$2,,,Arb!$AJ$5,),R385))</f>
        <v/>
      </c>
      <c r="T385" s="3" t="str">
        <f t="shared" ca="1" si="117"/>
        <v/>
      </c>
      <c r="U385" s="165" t="str">
        <f ca="1">IF(R385="","",INDEX(OFFSET(Arb!$X$2,,,Arb!$AJ$5,),R385)/S385)</f>
        <v/>
      </c>
      <c r="V385" s="165" t="str">
        <f ca="1">IF(R385="","",(INDEX(OFFSET(Arb!$U$2,,,Arb!$AJ$5,),R385)+INDEX(OFFSET(Arb!$V$2,,,Arb!$AJ$5,),R385))/S385)</f>
        <v/>
      </c>
      <c r="W385" s="51" t="str">
        <f t="shared" ca="1" si="127"/>
        <v/>
      </c>
      <c r="X385" s="88" t="str">
        <f ca="1">IF(R385="","",DATE(INDEX(OFFSET(Arb!$C$2,,,Arb!$AJ$5,),R385),INDEX(OFFSET(Arb!$B$2,,,Arb!$AJ$5,),R385),INDEX(OFFSET(Arb!$A$2,,,Arb!$AJ$5,),R385))+ROW()*0.001)</f>
        <v/>
      </c>
      <c r="Y385" s="436">
        <v>243</v>
      </c>
      <c r="AA385" s="52" t="str">
        <f ca="1">IF(Z385="","",INDEX(OFFSET(Arb!$H$2,,,Arb!$AJ$5,),Z385))</f>
        <v/>
      </c>
      <c r="AB385" s="3" t="str">
        <f t="shared" ca="1" si="118"/>
        <v/>
      </c>
      <c r="AC385" s="165" t="str">
        <f ca="1">IF(Z385="","",INDEX(OFFSET(Arb!$X$2,,,Arb!$AJ$5,),Z385)/AA385)</f>
        <v/>
      </c>
      <c r="AD385" s="165" t="str">
        <f ca="1">IF(Z385="","",(INDEX(OFFSET(Arb!$U$2,,,Arb!$AJ$5,),Z385)+INDEX(OFFSET(Arb!$V$2,,,Arb!$AJ$5,),Z385))/AA385)</f>
        <v/>
      </c>
      <c r="AE385" s="51" t="str">
        <f t="shared" ca="1" si="128"/>
        <v/>
      </c>
      <c r="AF385" s="91" t="str">
        <f ca="1">IF(Z385="","",DATE(INDEX(OFFSET(Arb!$C$2,,,Arb!$AJ$5,),Z385),INDEX(OFFSET(Arb!$B$2,,,Arb!$AJ$5,),Z385),INDEX(OFFSET(Arb!$A$2,,,Arb!$AJ$5,),Z385))+ROW()*0.001)</f>
        <v/>
      </c>
      <c r="AG385" s="442">
        <v>243</v>
      </c>
      <c r="AI385" s="52" t="str">
        <f ca="1">IF(AH385="","",INDEX(OFFSET(Arb!$H$2,,,Arb!$AJ$5,),AH385))</f>
        <v/>
      </c>
      <c r="AJ385" s="3" t="str">
        <f t="shared" ca="1" si="119"/>
        <v/>
      </c>
      <c r="AK385" s="165" t="str">
        <f ca="1">IF(AH385="","",INDEX(OFFSET(Arb!$X$2,,,Arb!$AJ$5,),AH385)/AI385)</f>
        <v/>
      </c>
      <c r="AL385" s="165" t="str">
        <f ca="1">IF(AH385="","",(INDEX(OFFSET(Arb!$U$2,,,Arb!$AJ$5,),AH385)+INDEX(OFFSET(Arb!$V$2,,,Arb!$AJ$5,),AH385))/AI385)</f>
        <v/>
      </c>
      <c r="AM385" s="51" t="str">
        <f t="shared" ca="1" si="129"/>
        <v/>
      </c>
      <c r="AN385" s="88" t="str">
        <f ca="1">IF(AH385="","",DATE(INDEX(OFFSET(Arb!$C$2,,,Arb!$AJ$5,),AH385),INDEX(OFFSET(Arb!$B$2,,,Arb!$AJ$5,),AH385),INDEX(OFFSET(Arb!$A$2,,,Arb!$AJ$5,),AH385))+ROW()*0.001)</f>
        <v/>
      </c>
      <c r="AO385" s="436">
        <v>243</v>
      </c>
      <c r="AQ385" s="52" t="str">
        <f ca="1">IF(AP385="","",INDEX(OFFSET(Arb!$H$2,,,Arb!$AJ$5,),AP385))</f>
        <v/>
      </c>
      <c r="AR385" s="3" t="str">
        <f t="shared" ca="1" si="120"/>
        <v/>
      </c>
      <c r="AS385" s="165" t="str">
        <f ca="1">IF(AP385="","",INDEX(OFFSET(Arb!$X$2,,,Arb!$AJ$5,),AP385)/AQ385)</f>
        <v/>
      </c>
      <c r="AT385" s="165" t="str">
        <f ca="1">IF(AP385="","",(INDEX(OFFSET(Arb!$U$2,,,Arb!$AJ$5,),AP385)+INDEX(OFFSET(Arb!$V$2,,,Arb!$AJ$5,),AP385))/AQ385)</f>
        <v/>
      </c>
      <c r="AU385" s="51" t="str">
        <f t="shared" ca="1" si="130"/>
        <v/>
      </c>
      <c r="AV385" s="91" t="str">
        <f ca="1">IF(AP385="","",DATE(INDEX(OFFSET(Arb!$C$2,,,Arb!$AJ$5,),AP385),INDEX(OFFSET(Arb!$B$2,,,Arb!$AJ$5,),AP385),INDEX(OFFSET(Arb!$A$2,,,Arb!$AJ$5,),AP385))+ROW()*0.001)</f>
        <v/>
      </c>
      <c r="AW385" s="442">
        <v>243</v>
      </c>
      <c r="AY385" s="52" t="str">
        <f ca="1">IF(AX385="","",INDEX(OFFSET(Arb!$H$2,,,Arb!$AJ$5,),AX385))</f>
        <v/>
      </c>
      <c r="AZ385" s="3" t="str">
        <f t="shared" ca="1" si="121"/>
        <v/>
      </c>
      <c r="BA385" s="165" t="str">
        <f ca="1">IF(AX385="","",INDEX(OFFSET(Arb!$X$2,,,Arb!$AJ$5,),AX385)/AY385)</f>
        <v/>
      </c>
      <c r="BB385" s="165" t="str">
        <f ca="1">IF(AX385="","",(INDEX(OFFSET(Arb!$U$2,,,Arb!$AJ$5,),AX385)+INDEX(OFFSET(Arb!$V$2,,,Arb!$AJ$5,),AX385))/AY385)</f>
        <v/>
      </c>
      <c r="BC385" s="51" t="str">
        <f t="shared" ca="1" si="131"/>
        <v/>
      </c>
      <c r="BD385" s="88" t="str">
        <f ca="1">IF(AX385="","",DATE(INDEX(OFFSET(Arb!$C$2,,,Arb!$AJ$5,),AX385),INDEX(OFFSET(Arb!$B$2,,,Arb!$AJ$5,),AX385),INDEX(OFFSET(Arb!$A$2,,,Arb!$AJ$5,),AX385))+ROW()*0.001)</f>
        <v/>
      </c>
      <c r="BE385" s="436">
        <v>243</v>
      </c>
      <c r="BG385" s="52" t="str">
        <f ca="1">IF(BF385="","",INDEX(OFFSET(Arb!$H$2,,,Arb!$AJ$5,),BF385))</f>
        <v/>
      </c>
      <c r="BH385" s="3" t="str">
        <f t="shared" ca="1" si="122"/>
        <v/>
      </c>
      <c r="BI385" s="165" t="str">
        <f ca="1">IF(BF385="","",INDEX(OFFSET(Arb!$X$2,,,Arb!$AJ$5,),BF385)/BG385)</f>
        <v/>
      </c>
      <c r="BJ385" s="165" t="str">
        <f ca="1">IF(BF385="","",(INDEX(OFFSET(Arb!$U$2,,,Arb!$AJ$5,),BF385)+INDEX(OFFSET(Arb!$V$2,,,Arb!$AJ$5,),BF385))/BG385)</f>
        <v/>
      </c>
      <c r="BK385" s="51" t="str">
        <f t="shared" ca="1" si="132"/>
        <v/>
      </c>
      <c r="BL385" s="91" t="str">
        <f ca="1">IF(BF385="","",DATE(INDEX(OFFSET(Arb!$C$2,,,Arb!$AJ$5,),BF385),INDEX(OFFSET(Arb!$B$2,,,Arb!$AJ$5,),BF385),INDEX(OFFSET(Arb!$A$2,,,Arb!$AJ$5,),BF385))+ROW()*0.001)</f>
        <v/>
      </c>
      <c r="BM385" s="442">
        <v>243</v>
      </c>
      <c r="BO385" s="52" t="str">
        <f ca="1">IF(BN385="","",INDEX(OFFSET(Arb!$H$2,,,Arb!$AJ$5,),BN385))</f>
        <v/>
      </c>
      <c r="BP385" s="3" t="str">
        <f t="shared" ca="1" si="123"/>
        <v/>
      </c>
      <c r="BQ385" s="165" t="str">
        <f ca="1">IF(BN385="","",INDEX(OFFSET(Arb!$X$2,,,Arb!$AJ$5,),BN385)/BO385)</f>
        <v/>
      </c>
      <c r="BR385" s="165" t="str">
        <f ca="1">IF(BN385="","",(INDEX(OFFSET(Arb!$U$2,,,Arb!$AJ$5,),BN385)+INDEX(OFFSET(Arb!$V$2,,,Arb!$AJ$5,),BN385))/BO385)</f>
        <v/>
      </c>
      <c r="BS385" s="51" t="str">
        <f t="shared" ca="1" si="133"/>
        <v/>
      </c>
      <c r="BT385" s="88" t="str">
        <f ca="1">IF(BN385="","",DATE(INDEX(OFFSET(Arb!$C$2,,,Arb!$AJ$5,),BN385),INDEX(OFFSET(Arb!$B$2,,,Arb!$AJ$5,),BN385),INDEX(OFFSET(Arb!$A$2,,,Arb!$AJ$5,),BN385))+ROW()*0.001)</f>
        <v/>
      </c>
      <c r="BU385" s="436">
        <v>243</v>
      </c>
      <c r="BW385" s="52" t="str">
        <f ca="1">IF(BV385="","",INDEX(OFFSET(Arb!$H$2,,,Arb!$AJ$5,),BV385))</f>
        <v/>
      </c>
      <c r="BX385" s="3" t="str">
        <f t="shared" ca="1" si="124"/>
        <v/>
      </c>
      <c r="BY385" s="165" t="str">
        <f ca="1">IF(BV385="","",INDEX(OFFSET(Arb!$X$2,,,Arb!$AJ$5,),BV385)/BW385)</f>
        <v/>
      </c>
      <c r="BZ385" s="165" t="str">
        <f ca="1">IF(BV385="","",(INDEX(OFFSET(Arb!$U$2,,,Arb!$AJ$5,),BV385)+INDEX(OFFSET(Arb!$V$2,,,Arb!$AJ$5,),BV385))/BW385)</f>
        <v/>
      </c>
      <c r="CA385" s="51" t="str">
        <f t="shared" ca="1" si="134"/>
        <v/>
      </c>
      <c r="CB385" s="91" t="str">
        <f ca="1">IF(BV385="","",DATE(INDEX(OFFSET(Arb!$C$2,,,Arb!$AJ$5,),BV385),INDEX(OFFSET(Arb!$B$2,,,Arb!$AJ$5,),BV385),INDEX(OFFSET(Arb!$A$2,,,Arb!$AJ$5,),BV385))+ROW()*0.001)</f>
        <v/>
      </c>
    </row>
    <row r="386" spans="1:80" x14ac:dyDescent="0.25">
      <c r="A386" s="433">
        <v>244</v>
      </c>
      <c r="C386" s="52" t="str">
        <f ca="1">IF(B386="","",INDEX(OFFSET(Arb!$H$2,,,Arb!$AJ$5,),B386))</f>
        <v/>
      </c>
      <c r="D386" s="3" t="str">
        <f t="shared" ca="1" si="115"/>
        <v/>
      </c>
      <c r="E386" s="165" t="str">
        <f ca="1">IF(B386="","",INDEX(OFFSET(Arb!$X$2,,,Arb!$AJ$5,),B386)/C386)</f>
        <v/>
      </c>
      <c r="F386" s="165" t="str">
        <f ca="1">IF(B386="","",(INDEX(OFFSET(Arb!$U$2,,,Arb!$AJ$5,),B386)+INDEX(OFFSET(Arb!$V$2,,,Arb!$AJ$5,),B386))/C386)</f>
        <v/>
      </c>
      <c r="G386" s="51" t="str">
        <f t="shared" ca="1" si="125"/>
        <v/>
      </c>
      <c r="H386" s="355" t="str">
        <f ca="1">IF(B386="","",DATE(INDEX(OFFSET(Arb!$C$2,,,Arb!$AJ$5,),B386),INDEX(OFFSET(Arb!$B$2,,,Arb!$AJ$5,),B386),INDEX(OFFSET(Arb!$A$2,,,Arb!$AJ$5,),B386))+ROW()*0.001)</f>
        <v/>
      </c>
      <c r="I386" s="436">
        <v>244</v>
      </c>
      <c r="K386" s="52" t="str">
        <f ca="1">IF(J386="","",INDEX(OFFSET(Arb!$H$2,,,Arb!$AJ$5,),J386))</f>
        <v/>
      </c>
      <c r="L386" s="3" t="str">
        <f t="shared" ca="1" si="116"/>
        <v/>
      </c>
      <c r="M386" s="165" t="str">
        <f ca="1">IF(J386="","",INDEX(OFFSET(Arb!$X$2,,,Arb!$AJ$5,),J386)/K386)</f>
        <v/>
      </c>
      <c r="N386" s="165" t="str">
        <f ca="1">IF(J386="","",(INDEX(OFFSET(Arb!$U$2,,,Arb!$AJ$5,),J386)+INDEX(OFFSET(Arb!$V$2,,,Arb!$AJ$5,),J386))/K386)</f>
        <v/>
      </c>
      <c r="O386" s="51" t="str">
        <f t="shared" ca="1" si="126"/>
        <v/>
      </c>
      <c r="P386" s="91" t="str">
        <f ca="1">IF(J386="","",DATE(INDEX(OFFSET(Arb!$C$2,,,Arb!$AJ$5,),J386),INDEX(OFFSET(Arb!$B$2,,,Arb!$AJ$5,),J386),INDEX(OFFSET(Arb!$A$2,,,Arb!$AJ$5,),J386))+ROW()*0.001)</f>
        <v/>
      </c>
      <c r="Q386" s="442">
        <v>244</v>
      </c>
      <c r="S386" s="52" t="str">
        <f ca="1">IF(R386="","",INDEX(OFFSET(Arb!$H$2,,,Arb!$AJ$5,),R386))</f>
        <v/>
      </c>
      <c r="T386" s="3" t="str">
        <f t="shared" ca="1" si="117"/>
        <v/>
      </c>
      <c r="U386" s="165" t="str">
        <f ca="1">IF(R386="","",INDEX(OFFSET(Arb!$X$2,,,Arb!$AJ$5,),R386)/S386)</f>
        <v/>
      </c>
      <c r="V386" s="165" t="str">
        <f ca="1">IF(R386="","",(INDEX(OFFSET(Arb!$U$2,,,Arb!$AJ$5,),R386)+INDEX(OFFSET(Arb!$V$2,,,Arb!$AJ$5,),R386))/S386)</f>
        <v/>
      </c>
      <c r="W386" s="51" t="str">
        <f t="shared" ca="1" si="127"/>
        <v/>
      </c>
      <c r="X386" s="88" t="str">
        <f ca="1">IF(R386="","",DATE(INDEX(OFFSET(Arb!$C$2,,,Arb!$AJ$5,),R386),INDEX(OFFSET(Arb!$B$2,,,Arb!$AJ$5,),R386),INDEX(OFFSET(Arb!$A$2,,,Arb!$AJ$5,),R386))+ROW()*0.001)</f>
        <v/>
      </c>
      <c r="Y386" s="436">
        <v>244</v>
      </c>
      <c r="AA386" s="52" t="str">
        <f ca="1">IF(Z386="","",INDEX(OFFSET(Arb!$H$2,,,Arb!$AJ$5,),Z386))</f>
        <v/>
      </c>
      <c r="AB386" s="3" t="str">
        <f t="shared" ca="1" si="118"/>
        <v/>
      </c>
      <c r="AC386" s="165" t="str">
        <f ca="1">IF(Z386="","",INDEX(OFFSET(Arb!$X$2,,,Arb!$AJ$5,),Z386)/AA386)</f>
        <v/>
      </c>
      <c r="AD386" s="165" t="str">
        <f ca="1">IF(Z386="","",(INDEX(OFFSET(Arb!$U$2,,,Arb!$AJ$5,),Z386)+INDEX(OFFSET(Arb!$V$2,,,Arb!$AJ$5,),Z386))/AA386)</f>
        <v/>
      </c>
      <c r="AE386" s="51" t="str">
        <f t="shared" ca="1" si="128"/>
        <v/>
      </c>
      <c r="AF386" s="91" t="str">
        <f ca="1">IF(Z386="","",DATE(INDEX(OFFSET(Arb!$C$2,,,Arb!$AJ$5,),Z386),INDEX(OFFSET(Arb!$B$2,,,Arb!$AJ$5,),Z386),INDEX(OFFSET(Arb!$A$2,,,Arb!$AJ$5,),Z386))+ROW()*0.001)</f>
        <v/>
      </c>
      <c r="AG386" s="442">
        <v>244</v>
      </c>
      <c r="AI386" s="52" t="str">
        <f ca="1">IF(AH386="","",INDEX(OFFSET(Arb!$H$2,,,Arb!$AJ$5,),AH386))</f>
        <v/>
      </c>
      <c r="AJ386" s="3" t="str">
        <f t="shared" ca="1" si="119"/>
        <v/>
      </c>
      <c r="AK386" s="165" t="str">
        <f ca="1">IF(AH386="","",INDEX(OFFSET(Arb!$X$2,,,Arb!$AJ$5,),AH386)/AI386)</f>
        <v/>
      </c>
      <c r="AL386" s="165" t="str">
        <f ca="1">IF(AH386="","",(INDEX(OFFSET(Arb!$U$2,,,Arb!$AJ$5,),AH386)+INDEX(OFFSET(Arb!$V$2,,,Arb!$AJ$5,),AH386))/AI386)</f>
        <v/>
      </c>
      <c r="AM386" s="51" t="str">
        <f t="shared" ca="1" si="129"/>
        <v/>
      </c>
      <c r="AN386" s="88" t="str">
        <f ca="1">IF(AH386="","",DATE(INDEX(OFFSET(Arb!$C$2,,,Arb!$AJ$5,),AH386),INDEX(OFFSET(Arb!$B$2,,,Arb!$AJ$5,),AH386),INDEX(OFFSET(Arb!$A$2,,,Arb!$AJ$5,),AH386))+ROW()*0.001)</f>
        <v/>
      </c>
      <c r="AO386" s="436">
        <v>244</v>
      </c>
      <c r="AQ386" s="52" t="str">
        <f ca="1">IF(AP386="","",INDEX(OFFSET(Arb!$H$2,,,Arb!$AJ$5,),AP386))</f>
        <v/>
      </c>
      <c r="AR386" s="3" t="str">
        <f t="shared" ca="1" si="120"/>
        <v/>
      </c>
      <c r="AS386" s="165" t="str">
        <f ca="1">IF(AP386="","",INDEX(OFFSET(Arb!$X$2,,,Arb!$AJ$5,),AP386)/AQ386)</f>
        <v/>
      </c>
      <c r="AT386" s="165" t="str">
        <f ca="1">IF(AP386="","",(INDEX(OFFSET(Arb!$U$2,,,Arb!$AJ$5,),AP386)+INDEX(OFFSET(Arb!$V$2,,,Arb!$AJ$5,),AP386))/AQ386)</f>
        <v/>
      </c>
      <c r="AU386" s="51" t="str">
        <f t="shared" ca="1" si="130"/>
        <v/>
      </c>
      <c r="AV386" s="91" t="str">
        <f ca="1">IF(AP386="","",DATE(INDEX(OFFSET(Arb!$C$2,,,Arb!$AJ$5,),AP386),INDEX(OFFSET(Arb!$B$2,,,Arb!$AJ$5,),AP386),INDEX(OFFSET(Arb!$A$2,,,Arb!$AJ$5,),AP386))+ROW()*0.001)</f>
        <v/>
      </c>
      <c r="AW386" s="442">
        <v>244</v>
      </c>
      <c r="AY386" s="52" t="str">
        <f ca="1">IF(AX386="","",INDEX(OFFSET(Arb!$H$2,,,Arb!$AJ$5,),AX386))</f>
        <v/>
      </c>
      <c r="AZ386" s="3" t="str">
        <f t="shared" ca="1" si="121"/>
        <v/>
      </c>
      <c r="BA386" s="165" t="str">
        <f ca="1">IF(AX386="","",INDEX(OFFSET(Arb!$X$2,,,Arb!$AJ$5,),AX386)/AY386)</f>
        <v/>
      </c>
      <c r="BB386" s="165" t="str">
        <f ca="1">IF(AX386="","",(INDEX(OFFSET(Arb!$U$2,,,Arb!$AJ$5,),AX386)+INDEX(OFFSET(Arb!$V$2,,,Arb!$AJ$5,),AX386))/AY386)</f>
        <v/>
      </c>
      <c r="BC386" s="51" t="str">
        <f t="shared" ca="1" si="131"/>
        <v/>
      </c>
      <c r="BD386" s="88" t="str">
        <f ca="1">IF(AX386="","",DATE(INDEX(OFFSET(Arb!$C$2,,,Arb!$AJ$5,),AX386),INDEX(OFFSET(Arb!$B$2,,,Arb!$AJ$5,),AX386),INDEX(OFFSET(Arb!$A$2,,,Arb!$AJ$5,),AX386))+ROW()*0.001)</f>
        <v/>
      </c>
      <c r="BE386" s="436">
        <v>244</v>
      </c>
      <c r="BG386" s="52" t="str">
        <f ca="1">IF(BF386="","",INDEX(OFFSET(Arb!$H$2,,,Arb!$AJ$5,),BF386))</f>
        <v/>
      </c>
      <c r="BH386" s="3" t="str">
        <f t="shared" ca="1" si="122"/>
        <v/>
      </c>
      <c r="BI386" s="165" t="str">
        <f ca="1">IF(BF386="","",INDEX(OFFSET(Arb!$X$2,,,Arb!$AJ$5,),BF386)/BG386)</f>
        <v/>
      </c>
      <c r="BJ386" s="165" t="str">
        <f ca="1">IF(BF386="","",(INDEX(OFFSET(Arb!$U$2,,,Arb!$AJ$5,),BF386)+INDEX(OFFSET(Arb!$V$2,,,Arb!$AJ$5,),BF386))/BG386)</f>
        <v/>
      </c>
      <c r="BK386" s="51" t="str">
        <f t="shared" ca="1" si="132"/>
        <v/>
      </c>
      <c r="BL386" s="91" t="str">
        <f ca="1">IF(BF386="","",DATE(INDEX(OFFSET(Arb!$C$2,,,Arb!$AJ$5,),BF386),INDEX(OFFSET(Arb!$B$2,,,Arb!$AJ$5,),BF386),INDEX(OFFSET(Arb!$A$2,,,Arb!$AJ$5,),BF386))+ROW()*0.001)</f>
        <v/>
      </c>
      <c r="BM386" s="442">
        <v>244</v>
      </c>
      <c r="BO386" s="52" t="str">
        <f ca="1">IF(BN386="","",INDEX(OFFSET(Arb!$H$2,,,Arb!$AJ$5,),BN386))</f>
        <v/>
      </c>
      <c r="BP386" s="3" t="str">
        <f t="shared" ca="1" si="123"/>
        <v/>
      </c>
      <c r="BQ386" s="165" t="str">
        <f ca="1">IF(BN386="","",INDEX(OFFSET(Arb!$X$2,,,Arb!$AJ$5,),BN386)/BO386)</f>
        <v/>
      </c>
      <c r="BR386" s="165" t="str">
        <f ca="1">IF(BN386="","",(INDEX(OFFSET(Arb!$U$2,,,Arb!$AJ$5,),BN386)+INDEX(OFFSET(Arb!$V$2,,,Arb!$AJ$5,),BN386))/BO386)</f>
        <v/>
      </c>
      <c r="BS386" s="51" t="str">
        <f t="shared" ca="1" si="133"/>
        <v/>
      </c>
      <c r="BT386" s="88" t="str">
        <f ca="1">IF(BN386="","",DATE(INDEX(OFFSET(Arb!$C$2,,,Arb!$AJ$5,),BN386),INDEX(OFFSET(Arb!$B$2,,,Arb!$AJ$5,),BN386),INDEX(OFFSET(Arb!$A$2,,,Arb!$AJ$5,),BN386))+ROW()*0.001)</f>
        <v/>
      </c>
      <c r="BU386" s="436">
        <v>244</v>
      </c>
      <c r="BW386" s="52" t="str">
        <f ca="1">IF(BV386="","",INDEX(OFFSET(Arb!$H$2,,,Arb!$AJ$5,),BV386))</f>
        <v/>
      </c>
      <c r="BX386" s="3" t="str">
        <f t="shared" ca="1" si="124"/>
        <v/>
      </c>
      <c r="BY386" s="165" t="str">
        <f ca="1">IF(BV386="","",INDEX(OFFSET(Arb!$X$2,,,Arb!$AJ$5,),BV386)/BW386)</f>
        <v/>
      </c>
      <c r="BZ386" s="165" t="str">
        <f ca="1">IF(BV386="","",(INDEX(OFFSET(Arb!$U$2,,,Arb!$AJ$5,),BV386)+INDEX(OFFSET(Arb!$V$2,,,Arb!$AJ$5,),BV386))/BW386)</f>
        <v/>
      </c>
      <c r="CA386" s="51" t="str">
        <f t="shared" ca="1" si="134"/>
        <v/>
      </c>
      <c r="CB386" s="91" t="str">
        <f ca="1">IF(BV386="","",DATE(INDEX(OFFSET(Arb!$C$2,,,Arb!$AJ$5,),BV386),INDEX(OFFSET(Arb!$B$2,,,Arb!$AJ$5,),BV386),INDEX(OFFSET(Arb!$A$2,,,Arb!$AJ$5,),BV386))+ROW()*0.001)</f>
        <v/>
      </c>
    </row>
    <row r="387" spans="1:80" x14ac:dyDescent="0.25">
      <c r="A387" s="433">
        <v>245</v>
      </c>
      <c r="C387" s="52" t="str">
        <f ca="1">IF(B387="","",INDEX(OFFSET(Arb!$H$2,,,Arb!$AJ$5,),B387))</f>
        <v/>
      </c>
      <c r="D387" s="3" t="str">
        <f t="shared" ca="1" si="115"/>
        <v/>
      </c>
      <c r="E387" s="165" t="str">
        <f ca="1">IF(B387="","",INDEX(OFFSET(Arb!$X$2,,,Arb!$AJ$5,),B387)/C387)</f>
        <v/>
      </c>
      <c r="F387" s="165" t="str">
        <f ca="1">IF(B387="","",(INDEX(OFFSET(Arb!$U$2,,,Arb!$AJ$5,),B387)+INDEX(OFFSET(Arb!$V$2,,,Arb!$AJ$5,),B387))/C387)</f>
        <v/>
      </c>
      <c r="G387" s="51" t="str">
        <f t="shared" ca="1" si="125"/>
        <v/>
      </c>
      <c r="H387" s="355" t="str">
        <f ca="1">IF(B387="","",DATE(INDEX(OFFSET(Arb!$C$2,,,Arb!$AJ$5,),B387),INDEX(OFFSET(Arb!$B$2,,,Arb!$AJ$5,),B387),INDEX(OFFSET(Arb!$A$2,,,Arb!$AJ$5,),B387))+ROW()*0.001)</f>
        <v/>
      </c>
      <c r="I387" s="436">
        <v>245</v>
      </c>
      <c r="K387" s="52" t="str">
        <f ca="1">IF(J387="","",INDEX(OFFSET(Arb!$H$2,,,Arb!$AJ$5,),J387))</f>
        <v/>
      </c>
      <c r="L387" s="3" t="str">
        <f t="shared" ca="1" si="116"/>
        <v/>
      </c>
      <c r="M387" s="165" t="str">
        <f ca="1">IF(J387="","",INDEX(OFFSET(Arb!$X$2,,,Arb!$AJ$5,),J387)/K387)</f>
        <v/>
      </c>
      <c r="N387" s="165" t="str">
        <f ca="1">IF(J387="","",(INDEX(OFFSET(Arb!$U$2,,,Arb!$AJ$5,),J387)+INDEX(OFFSET(Arb!$V$2,,,Arb!$AJ$5,),J387))/K387)</f>
        <v/>
      </c>
      <c r="O387" s="51" t="str">
        <f t="shared" ca="1" si="126"/>
        <v/>
      </c>
      <c r="P387" s="91" t="str">
        <f ca="1">IF(J387="","",DATE(INDEX(OFFSET(Arb!$C$2,,,Arb!$AJ$5,),J387),INDEX(OFFSET(Arb!$B$2,,,Arb!$AJ$5,),J387),INDEX(OFFSET(Arb!$A$2,,,Arb!$AJ$5,),J387))+ROW()*0.001)</f>
        <v/>
      </c>
      <c r="Q387" s="442">
        <v>245</v>
      </c>
      <c r="S387" s="52" t="str">
        <f ca="1">IF(R387="","",INDEX(OFFSET(Arb!$H$2,,,Arb!$AJ$5,),R387))</f>
        <v/>
      </c>
      <c r="T387" s="3" t="str">
        <f t="shared" ca="1" si="117"/>
        <v/>
      </c>
      <c r="U387" s="165" t="str">
        <f ca="1">IF(R387="","",INDEX(OFFSET(Arb!$X$2,,,Arb!$AJ$5,),R387)/S387)</f>
        <v/>
      </c>
      <c r="V387" s="165" t="str">
        <f ca="1">IF(R387="","",(INDEX(OFFSET(Arb!$U$2,,,Arb!$AJ$5,),R387)+INDEX(OFFSET(Arb!$V$2,,,Arb!$AJ$5,),R387))/S387)</f>
        <v/>
      </c>
      <c r="W387" s="51" t="str">
        <f t="shared" ca="1" si="127"/>
        <v/>
      </c>
      <c r="X387" s="88" t="str">
        <f ca="1">IF(R387="","",DATE(INDEX(OFFSET(Arb!$C$2,,,Arb!$AJ$5,),R387),INDEX(OFFSET(Arb!$B$2,,,Arb!$AJ$5,),R387),INDEX(OFFSET(Arb!$A$2,,,Arb!$AJ$5,),R387))+ROW()*0.001)</f>
        <v/>
      </c>
      <c r="Y387" s="436">
        <v>245</v>
      </c>
      <c r="AA387" s="52" t="str">
        <f ca="1">IF(Z387="","",INDEX(OFFSET(Arb!$H$2,,,Arb!$AJ$5,),Z387))</f>
        <v/>
      </c>
      <c r="AB387" s="3" t="str">
        <f t="shared" ca="1" si="118"/>
        <v/>
      </c>
      <c r="AC387" s="165" t="str">
        <f ca="1">IF(Z387="","",INDEX(OFFSET(Arb!$X$2,,,Arb!$AJ$5,),Z387)/AA387)</f>
        <v/>
      </c>
      <c r="AD387" s="165" t="str">
        <f ca="1">IF(Z387="","",(INDEX(OFFSET(Arb!$U$2,,,Arb!$AJ$5,),Z387)+INDEX(OFFSET(Arb!$V$2,,,Arb!$AJ$5,),Z387))/AA387)</f>
        <v/>
      </c>
      <c r="AE387" s="51" t="str">
        <f t="shared" ca="1" si="128"/>
        <v/>
      </c>
      <c r="AF387" s="91" t="str">
        <f ca="1">IF(Z387="","",DATE(INDEX(OFFSET(Arb!$C$2,,,Arb!$AJ$5,),Z387),INDEX(OFFSET(Arb!$B$2,,,Arb!$AJ$5,),Z387),INDEX(OFFSET(Arb!$A$2,,,Arb!$AJ$5,),Z387))+ROW()*0.001)</f>
        <v/>
      </c>
      <c r="AG387" s="442">
        <v>245</v>
      </c>
      <c r="AI387" s="52" t="str">
        <f ca="1">IF(AH387="","",INDEX(OFFSET(Arb!$H$2,,,Arb!$AJ$5,),AH387))</f>
        <v/>
      </c>
      <c r="AJ387" s="3" t="str">
        <f t="shared" ca="1" si="119"/>
        <v/>
      </c>
      <c r="AK387" s="165" t="str">
        <f ca="1">IF(AH387="","",INDEX(OFFSET(Arb!$X$2,,,Arb!$AJ$5,),AH387)/AI387)</f>
        <v/>
      </c>
      <c r="AL387" s="165" t="str">
        <f ca="1">IF(AH387="","",(INDEX(OFFSET(Arb!$U$2,,,Arb!$AJ$5,),AH387)+INDEX(OFFSET(Arb!$V$2,,,Arb!$AJ$5,),AH387))/AI387)</f>
        <v/>
      </c>
      <c r="AM387" s="51" t="str">
        <f t="shared" ca="1" si="129"/>
        <v/>
      </c>
      <c r="AN387" s="88" t="str">
        <f ca="1">IF(AH387="","",DATE(INDEX(OFFSET(Arb!$C$2,,,Arb!$AJ$5,),AH387),INDEX(OFFSET(Arb!$B$2,,,Arb!$AJ$5,),AH387),INDEX(OFFSET(Arb!$A$2,,,Arb!$AJ$5,),AH387))+ROW()*0.001)</f>
        <v/>
      </c>
      <c r="AO387" s="436">
        <v>245</v>
      </c>
      <c r="AQ387" s="52" t="str">
        <f ca="1">IF(AP387="","",INDEX(OFFSET(Arb!$H$2,,,Arb!$AJ$5,),AP387))</f>
        <v/>
      </c>
      <c r="AR387" s="3" t="str">
        <f t="shared" ca="1" si="120"/>
        <v/>
      </c>
      <c r="AS387" s="165" t="str">
        <f ca="1">IF(AP387="","",INDEX(OFFSET(Arb!$X$2,,,Arb!$AJ$5,),AP387)/AQ387)</f>
        <v/>
      </c>
      <c r="AT387" s="165" t="str">
        <f ca="1">IF(AP387="","",(INDEX(OFFSET(Arb!$U$2,,,Arb!$AJ$5,),AP387)+INDEX(OFFSET(Arb!$V$2,,,Arb!$AJ$5,),AP387))/AQ387)</f>
        <v/>
      </c>
      <c r="AU387" s="51" t="str">
        <f t="shared" ca="1" si="130"/>
        <v/>
      </c>
      <c r="AV387" s="91" t="str">
        <f ca="1">IF(AP387="","",DATE(INDEX(OFFSET(Arb!$C$2,,,Arb!$AJ$5,),AP387),INDEX(OFFSET(Arb!$B$2,,,Arb!$AJ$5,),AP387),INDEX(OFFSET(Arb!$A$2,,,Arb!$AJ$5,),AP387))+ROW()*0.001)</f>
        <v/>
      </c>
      <c r="AW387" s="442">
        <v>245</v>
      </c>
      <c r="AY387" s="52" t="str">
        <f ca="1">IF(AX387="","",INDEX(OFFSET(Arb!$H$2,,,Arb!$AJ$5,),AX387))</f>
        <v/>
      </c>
      <c r="AZ387" s="3" t="str">
        <f t="shared" ca="1" si="121"/>
        <v/>
      </c>
      <c r="BA387" s="165" t="str">
        <f ca="1">IF(AX387="","",INDEX(OFFSET(Arb!$X$2,,,Arb!$AJ$5,),AX387)/AY387)</f>
        <v/>
      </c>
      <c r="BB387" s="165" t="str">
        <f ca="1">IF(AX387="","",(INDEX(OFFSET(Arb!$U$2,,,Arb!$AJ$5,),AX387)+INDEX(OFFSET(Arb!$V$2,,,Arb!$AJ$5,),AX387))/AY387)</f>
        <v/>
      </c>
      <c r="BC387" s="51" t="str">
        <f t="shared" ca="1" si="131"/>
        <v/>
      </c>
      <c r="BD387" s="88" t="str">
        <f ca="1">IF(AX387="","",DATE(INDEX(OFFSET(Arb!$C$2,,,Arb!$AJ$5,),AX387),INDEX(OFFSET(Arb!$B$2,,,Arb!$AJ$5,),AX387),INDEX(OFFSET(Arb!$A$2,,,Arb!$AJ$5,),AX387))+ROW()*0.001)</f>
        <v/>
      </c>
      <c r="BE387" s="436">
        <v>245</v>
      </c>
      <c r="BG387" s="52" t="str">
        <f ca="1">IF(BF387="","",INDEX(OFFSET(Arb!$H$2,,,Arb!$AJ$5,),BF387))</f>
        <v/>
      </c>
      <c r="BH387" s="3" t="str">
        <f t="shared" ca="1" si="122"/>
        <v/>
      </c>
      <c r="BI387" s="165" t="str">
        <f ca="1">IF(BF387="","",INDEX(OFFSET(Arb!$X$2,,,Arb!$AJ$5,),BF387)/BG387)</f>
        <v/>
      </c>
      <c r="BJ387" s="165" t="str">
        <f ca="1">IF(BF387="","",(INDEX(OFFSET(Arb!$U$2,,,Arb!$AJ$5,),BF387)+INDEX(OFFSET(Arb!$V$2,,,Arb!$AJ$5,),BF387))/BG387)</f>
        <v/>
      </c>
      <c r="BK387" s="51" t="str">
        <f t="shared" ca="1" si="132"/>
        <v/>
      </c>
      <c r="BL387" s="91" t="str">
        <f ca="1">IF(BF387="","",DATE(INDEX(OFFSET(Arb!$C$2,,,Arb!$AJ$5,),BF387),INDEX(OFFSET(Arb!$B$2,,,Arb!$AJ$5,),BF387),INDEX(OFFSET(Arb!$A$2,,,Arb!$AJ$5,),BF387))+ROW()*0.001)</f>
        <v/>
      </c>
      <c r="BM387" s="442">
        <v>245</v>
      </c>
      <c r="BO387" s="52" t="str">
        <f ca="1">IF(BN387="","",INDEX(OFFSET(Arb!$H$2,,,Arb!$AJ$5,),BN387))</f>
        <v/>
      </c>
      <c r="BP387" s="3" t="str">
        <f t="shared" ca="1" si="123"/>
        <v/>
      </c>
      <c r="BQ387" s="165" t="str">
        <f ca="1">IF(BN387="","",INDEX(OFFSET(Arb!$X$2,,,Arb!$AJ$5,),BN387)/BO387)</f>
        <v/>
      </c>
      <c r="BR387" s="165" t="str">
        <f ca="1">IF(BN387="","",(INDEX(OFFSET(Arb!$U$2,,,Arb!$AJ$5,),BN387)+INDEX(OFFSET(Arb!$V$2,,,Arb!$AJ$5,),BN387))/BO387)</f>
        <v/>
      </c>
      <c r="BS387" s="51" t="str">
        <f t="shared" ca="1" si="133"/>
        <v/>
      </c>
      <c r="BT387" s="88" t="str">
        <f ca="1">IF(BN387="","",DATE(INDEX(OFFSET(Arb!$C$2,,,Arb!$AJ$5,),BN387),INDEX(OFFSET(Arb!$B$2,,,Arb!$AJ$5,),BN387),INDEX(OFFSET(Arb!$A$2,,,Arb!$AJ$5,),BN387))+ROW()*0.001)</f>
        <v/>
      </c>
      <c r="BU387" s="436">
        <v>245</v>
      </c>
      <c r="BW387" s="52" t="str">
        <f ca="1">IF(BV387="","",INDEX(OFFSET(Arb!$H$2,,,Arb!$AJ$5,),BV387))</f>
        <v/>
      </c>
      <c r="BX387" s="3" t="str">
        <f t="shared" ca="1" si="124"/>
        <v/>
      </c>
      <c r="BY387" s="165" t="str">
        <f ca="1">IF(BV387="","",INDEX(OFFSET(Arb!$X$2,,,Arb!$AJ$5,),BV387)/BW387)</f>
        <v/>
      </c>
      <c r="BZ387" s="165" t="str">
        <f ca="1">IF(BV387="","",(INDEX(OFFSET(Arb!$U$2,,,Arb!$AJ$5,),BV387)+INDEX(OFFSET(Arb!$V$2,,,Arb!$AJ$5,),BV387))/BW387)</f>
        <v/>
      </c>
      <c r="CA387" s="51" t="str">
        <f t="shared" ca="1" si="134"/>
        <v/>
      </c>
      <c r="CB387" s="91" t="str">
        <f ca="1">IF(BV387="","",DATE(INDEX(OFFSET(Arb!$C$2,,,Arb!$AJ$5,),BV387),INDEX(OFFSET(Arb!$B$2,,,Arb!$AJ$5,),BV387),INDEX(OFFSET(Arb!$A$2,,,Arb!$AJ$5,),BV387))+ROW()*0.001)</f>
        <v/>
      </c>
    </row>
    <row r="388" spans="1:80" x14ac:dyDescent="0.25">
      <c r="A388" s="433">
        <v>246</v>
      </c>
      <c r="C388" s="52" t="str">
        <f ca="1">IF(B388="","",INDEX(OFFSET(Arb!$H$2,,,Arb!$AJ$5,),B388))</f>
        <v/>
      </c>
      <c r="D388" s="3" t="str">
        <f t="shared" ca="1" si="115"/>
        <v/>
      </c>
      <c r="E388" s="165" t="str">
        <f ca="1">IF(B388="","",INDEX(OFFSET(Arb!$X$2,,,Arb!$AJ$5,),B388)/C388)</f>
        <v/>
      </c>
      <c r="F388" s="165" t="str">
        <f ca="1">IF(B388="","",(INDEX(OFFSET(Arb!$U$2,,,Arb!$AJ$5,),B388)+INDEX(OFFSET(Arb!$V$2,,,Arb!$AJ$5,),B388))/C388)</f>
        <v/>
      </c>
      <c r="G388" s="51" t="str">
        <f t="shared" ca="1" si="125"/>
        <v/>
      </c>
      <c r="H388" s="355" t="str">
        <f ca="1">IF(B388="","",DATE(INDEX(OFFSET(Arb!$C$2,,,Arb!$AJ$5,),B388),INDEX(OFFSET(Arb!$B$2,,,Arb!$AJ$5,),B388),INDEX(OFFSET(Arb!$A$2,,,Arb!$AJ$5,),B388))+ROW()*0.001)</f>
        <v/>
      </c>
      <c r="I388" s="436">
        <v>246</v>
      </c>
      <c r="K388" s="52" t="str">
        <f ca="1">IF(J388="","",INDEX(OFFSET(Arb!$H$2,,,Arb!$AJ$5,),J388))</f>
        <v/>
      </c>
      <c r="L388" s="3" t="str">
        <f t="shared" ca="1" si="116"/>
        <v/>
      </c>
      <c r="M388" s="165" t="str">
        <f ca="1">IF(J388="","",INDEX(OFFSET(Arb!$X$2,,,Arb!$AJ$5,),J388)/K388)</f>
        <v/>
      </c>
      <c r="N388" s="165" t="str">
        <f ca="1">IF(J388="","",(INDEX(OFFSET(Arb!$U$2,,,Arb!$AJ$5,),J388)+INDEX(OFFSET(Arb!$V$2,,,Arb!$AJ$5,),J388))/K388)</f>
        <v/>
      </c>
      <c r="O388" s="51" t="str">
        <f t="shared" ca="1" si="126"/>
        <v/>
      </c>
      <c r="P388" s="91" t="str">
        <f ca="1">IF(J388="","",DATE(INDEX(OFFSET(Arb!$C$2,,,Arb!$AJ$5,),J388),INDEX(OFFSET(Arb!$B$2,,,Arb!$AJ$5,),J388),INDEX(OFFSET(Arb!$A$2,,,Arb!$AJ$5,),J388))+ROW()*0.001)</f>
        <v/>
      </c>
      <c r="Q388" s="442">
        <v>246</v>
      </c>
      <c r="S388" s="52" t="str">
        <f ca="1">IF(R388="","",INDEX(OFFSET(Arb!$H$2,,,Arb!$AJ$5,),R388))</f>
        <v/>
      </c>
      <c r="T388" s="3" t="str">
        <f t="shared" ca="1" si="117"/>
        <v/>
      </c>
      <c r="U388" s="165" t="str">
        <f ca="1">IF(R388="","",INDEX(OFFSET(Arb!$X$2,,,Arb!$AJ$5,),R388)/S388)</f>
        <v/>
      </c>
      <c r="V388" s="165" t="str">
        <f ca="1">IF(R388="","",(INDEX(OFFSET(Arb!$U$2,,,Arb!$AJ$5,),R388)+INDEX(OFFSET(Arb!$V$2,,,Arb!$AJ$5,),R388))/S388)</f>
        <v/>
      </c>
      <c r="W388" s="51" t="str">
        <f t="shared" ca="1" si="127"/>
        <v/>
      </c>
      <c r="X388" s="88" t="str">
        <f ca="1">IF(R388="","",DATE(INDEX(OFFSET(Arb!$C$2,,,Arb!$AJ$5,),R388),INDEX(OFFSET(Arb!$B$2,,,Arb!$AJ$5,),R388),INDEX(OFFSET(Arb!$A$2,,,Arb!$AJ$5,),R388))+ROW()*0.001)</f>
        <v/>
      </c>
      <c r="Y388" s="436">
        <v>246</v>
      </c>
      <c r="AA388" s="52" t="str">
        <f ca="1">IF(Z388="","",INDEX(OFFSET(Arb!$H$2,,,Arb!$AJ$5,),Z388))</f>
        <v/>
      </c>
      <c r="AB388" s="3" t="str">
        <f t="shared" ca="1" si="118"/>
        <v/>
      </c>
      <c r="AC388" s="165" t="str">
        <f ca="1">IF(Z388="","",INDEX(OFFSET(Arb!$X$2,,,Arb!$AJ$5,),Z388)/AA388)</f>
        <v/>
      </c>
      <c r="AD388" s="165" t="str">
        <f ca="1">IF(Z388="","",(INDEX(OFFSET(Arb!$U$2,,,Arb!$AJ$5,),Z388)+INDEX(OFFSET(Arb!$V$2,,,Arb!$AJ$5,),Z388))/AA388)</f>
        <v/>
      </c>
      <c r="AE388" s="51" t="str">
        <f t="shared" ca="1" si="128"/>
        <v/>
      </c>
      <c r="AF388" s="91" t="str">
        <f ca="1">IF(Z388="","",DATE(INDEX(OFFSET(Arb!$C$2,,,Arb!$AJ$5,),Z388),INDEX(OFFSET(Arb!$B$2,,,Arb!$AJ$5,),Z388),INDEX(OFFSET(Arb!$A$2,,,Arb!$AJ$5,),Z388))+ROW()*0.001)</f>
        <v/>
      </c>
      <c r="AG388" s="442">
        <v>246</v>
      </c>
      <c r="AI388" s="52" t="str">
        <f ca="1">IF(AH388="","",INDEX(OFFSET(Arb!$H$2,,,Arb!$AJ$5,),AH388))</f>
        <v/>
      </c>
      <c r="AJ388" s="3" t="str">
        <f t="shared" ca="1" si="119"/>
        <v/>
      </c>
      <c r="AK388" s="165" t="str">
        <f ca="1">IF(AH388="","",INDEX(OFFSET(Arb!$X$2,,,Arb!$AJ$5,),AH388)/AI388)</f>
        <v/>
      </c>
      <c r="AL388" s="165" t="str">
        <f ca="1">IF(AH388="","",(INDEX(OFFSET(Arb!$U$2,,,Arb!$AJ$5,),AH388)+INDEX(OFFSET(Arb!$V$2,,,Arb!$AJ$5,),AH388))/AI388)</f>
        <v/>
      </c>
      <c r="AM388" s="51" t="str">
        <f t="shared" ca="1" si="129"/>
        <v/>
      </c>
      <c r="AN388" s="88" t="str">
        <f ca="1">IF(AH388="","",DATE(INDEX(OFFSET(Arb!$C$2,,,Arb!$AJ$5,),AH388),INDEX(OFFSET(Arb!$B$2,,,Arb!$AJ$5,),AH388),INDEX(OFFSET(Arb!$A$2,,,Arb!$AJ$5,),AH388))+ROW()*0.001)</f>
        <v/>
      </c>
      <c r="AO388" s="436">
        <v>246</v>
      </c>
      <c r="AQ388" s="52" t="str">
        <f ca="1">IF(AP388="","",INDEX(OFFSET(Arb!$H$2,,,Arb!$AJ$5,),AP388))</f>
        <v/>
      </c>
      <c r="AR388" s="3" t="str">
        <f t="shared" ca="1" si="120"/>
        <v/>
      </c>
      <c r="AS388" s="165" t="str">
        <f ca="1">IF(AP388="","",INDEX(OFFSET(Arb!$X$2,,,Arb!$AJ$5,),AP388)/AQ388)</f>
        <v/>
      </c>
      <c r="AT388" s="165" t="str">
        <f ca="1">IF(AP388="","",(INDEX(OFFSET(Arb!$U$2,,,Arb!$AJ$5,),AP388)+INDEX(OFFSET(Arb!$V$2,,,Arb!$AJ$5,),AP388))/AQ388)</f>
        <v/>
      </c>
      <c r="AU388" s="51" t="str">
        <f t="shared" ca="1" si="130"/>
        <v/>
      </c>
      <c r="AV388" s="91" t="str">
        <f ca="1">IF(AP388="","",DATE(INDEX(OFFSET(Arb!$C$2,,,Arb!$AJ$5,),AP388),INDEX(OFFSET(Arb!$B$2,,,Arb!$AJ$5,),AP388),INDEX(OFFSET(Arb!$A$2,,,Arb!$AJ$5,),AP388))+ROW()*0.001)</f>
        <v/>
      </c>
      <c r="AW388" s="442">
        <v>246</v>
      </c>
      <c r="AY388" s="52" t="str">
        <f ca="1">IF(AX388="","",INDEX(OFFSET(Arb!$H$2,,,Arb!$AJ$5,),AX388))</f>
        <v/>
      </c>
      <c r="AZ388" s="3" t="str">
        <f t="shared" ca="1" si="121"/>
        <v/>
      </c>
      <c r="BA388" s="165" t="str">
        <f ca="1">IF(AX388="","",INDEX(OFFSET(Arb!$X$2,,,Arb!$AJ$5,),AX388)/AY388)</f>
        <v/>
      </c>
      <c r="BB388" s="165" t="str">
        <f ca="1">IF(AX388="","",(INDEX(OFFSET(Arb!$U$2,,,Arb!$AJ$5,),AX388)+INDEX(OFFSET(Arb!$V$2,,,Arb!$AJ$5,),AX388))/AY388)</f>
        <v/>
      </c>
      <c r="BC388" s="51" t="str">
        <f t="shared" ca="1" si="131"/>
        <v/>
      </c>
      <c r="BD388" s="88" t="str">
        <f ca="1">IF(AX388="","",DATE(INDEX(OFFSET(Arb!$C$2,,,Arb!$AJ$5,),AX388),INDEX(OFFSET(Arb!$B$2,,,Arb!$AJ$5,),AX388),INDEX(OFFSET(Arb!$A$2,,,Arb!$AJ$5,),AX388))+ROW()*0.001)</f>
        <v/>
      </c>
      <c r="BE388" s="436">
        <v>246</v>
      </c>
      <c r="BG388" s="52" t="str">
        <f ca="1">IF(BF388="","",INDEX(OFFSET(Arb!$H$2,,,Arb!$AJ$5,),BF388))</f>
        <v/>
      </c>
      <c r="BH388" s="3" t="str">
        <f t="shared" ca="1" si="122"/>
        <v/>
      </c>
      <c r="BI388" s="165" t="str">
        <f ca="1">IF(BF388="","",INDEX(OFFSET(Arb!$X$2,,,Arb!$AJ$5,),BF388)/BG388)</f>
        <v/>
      </c>
      <c r="BJ388" s="165" t="str">
        <f ca="1">IF(BF388="","",(INDEX(OFFSET(Arb!$U$2,,,Arb!$AJ$5,),BF388)+INDEX(OFFSET(Arb!$V$2,,,Arb!$AJ$5,),BF388))/BG388)</f>
        <v/>
      </c>
      <c r="BK388" s="51" t="str">
        <f t="shared" ca="1" si="132"/>
        <v/>
      </c>
      <c r="BL388" s="91" t="str">
        <f ca="1">IF(BF388="","",DATE(INDEX(OFFSET(Arb!$C$2,,,Arb!$AJ$5,),BF388),INDEX(OFFSET(Arb!$B$2,,,Arb!$AJ$5,),BF388),INDEX(OFFSET(Arb!$A$2,,,Arb!$AJ$5,),BF388))+ROW()*0.001)</f>
        <v/>
      </c>
      <c r="BM388" s="442">
        <v>246</v>
      </c>
      <c r="BO388" s="52" t="str">
        <f ca="1">IF(BN388="","",INDEX(OFFSET(Arb!$H$2,,,Arb!$AJ$5,),BN388))</f>
        <v/>
      </c>
      <c r="BP388" s="3" t="str">
        <f t="shared" ca="1" si="123"/>
        <v/>
      </c>
      <c r="BQ388" s="165" t="str">
        <f ca="1">IF(BN388="","",INDEX(OFFSET(Arb!$X$2,,,Arb!$AJ$5,),BN388)/BO388)</f>
        <v/>
      </c>
      <c r="BR388" s="165" t="str">
        <f ca="1">IF(BN388="","",(INDEX(OFFSET(Arb!$U$2,,,Arb!$AJ$5,),BN388)+INDEX(OFFSET(Arb!$V$2,,,Arb!$AJ$5,),BN388))/BO388)</f>
        <v/>
      </c>
      <c r="BS388" s="51" t="str">
        <f t="shared" ca="1" si="133"/>
        <v/>
      </c>
      <c r="BT388" s="88" t="str">
        <f ca="1">IF(BN388="","",DATE(INDEX(OFFSET(Arb!$C$2,,,Arb!$AJ$5,),BN388),INDEX(OFFSET(Arb!$B$2,,,Arb!$AJ$5,),BN388),INDEX(OFFSET(Arb!$A$2,,,Arb!$AJ$5,),BN388))+ROW()*0.001)</f>
        <v/>
      </c>
      <c r="BU388" s="436">
        <v>246</v>
      </c>
      <c r="BW388" s="52" t="str">
        <f ca="1">IF(BV388="","",INDEX(OFFSET(Arb!$H$2,,,Arb!$AJ$5,),BV388))</f>
        <v/>
      </c>
      <c r="BX388" s="3" t="str">
        <f t="shared" ca="1" si="124"/>
        <v/>
      </c>
      <c r="BY388" s="165" t="str">
        <f ca="1">IF(BV388="","",INDEX(OFFSET(Arb!$X$2,,,Arb!$AJ$5,),BV388)/BW388)</f>
        <v/>
      </c>
      <c r="BZ388" s="165" t="str">
        <f ca="1">IF(BV388="","",(INDEX(OFFSET(Arb!$U$2,,,Arb!$AJ$5,),BV388)+INDEX(OFFSET(Arb!$V$2,,,Arb!$AJ$5,),BV388))/BW388)</f>
        <v/>
      </c>
      <c r="CA388" s="51" t="str">
        <f t="shared" ca="1" si="134"/>
        <v/>
      </c>
      <c r="CB388" s="91" t="str">
        <f ca="1">IF(BV388="","",DATE(INDEX(OFFSET(Arb!$C$2,,,Arb!$AJ$5,),BV388),INDEX(OFFSET(Arb!$B$2,,,Arb!$AJ$5,),BV388),INDEX(OFFSET(Arb!$A$2,,,Arb!$AJ$5,),BV388))+ROW()*0.001)</f>
        <v/>
      </c>
    </row>
    <row r="389" spans="1:80" x14ac:dyDescent="0.25">
      <c r="A389" s="433">
        <v>247</v>
      </c>
      <c r="C389" s="52" t="str">
        <f ca="1">IF(B389="","",INDEX(OFFSET(Arb!$H$2,,,Arb!$AJ$5,),B389))</f>
        <v/>
      </c>
      <c r="D389" s="3" t="str">
        <f t="shared" ca="1" si="115"/>
        <v/>
      </c>
      <c r="E389" s="165" t="str">
        <f ca="1">IF(B389="","",INDEX(OFFSET(Arb!$X$2,,,Arb!$AJ$5,),B389)/C389)</f>
        <v/>
      </c>
      <c r="F389" s="165" t="str">
        <f ca="1">IF(B389="","",(INDEX(OFFSET(Arb!$U$2,,,Arb!$AJ$5,),B389)+INDEX(OFFSET(Arb!$V$2,,,Arb!$AJ$5,),B389))/C389)</f>
        <v/>
      </c>
      <c r="G389" s="51" t="str">
        <f t="shared" ca="1" si="125"/>
        <v/>
      </c>
      <c r="H389" s="355" t="str">
        <f ca="1">IF(B389="","",DATE(INDEX(OFFSET(Arb!$C$2,,,Arb!$AJ$5,),B389),INDEX(OFFSET(Arb!$B$2,,,Arb!$AJ$5,),B389),INDEX(OFFSET(Arb!$A$2,,,Arb!$AJ$5,),B389))+ROW()*0.001)</f>
        <v/>
      </c>
      <c r="I389" s="436">
        <v>247</v>
      </c>
      <c r="K389" s="52" t="str">
        <f ca="1">IF(J389="","",INDEX(OFFSET(Arb!$H$2,,,Arb!$AJ$5,),J389))</f>
        <v/>
      </c>
      <c r="L389" s="3" t="str">
        <f t="shared" ca="1" si="116"/>
        <v/>
      </c>
      <c r="M389" s="165" t="str">
        <f ca="1">IF(J389="","",INDEX(OFFSET(Arb!$X$2,,,Arb!$AJ$5,),J389)/K389)</f>
        <v/>
      </c>
      <c r="N389" s="165" t="str">
        <f ca="1">IF(J389="","",(INDEX(OFFSET(Arb!$U$2,,,Arb!$AJ$5,),J389)+INDEX(OFFSET(Arb!$V$2,,,Arb!$AJ$5,),J389))/K389)</f>
        <v/>
      </c>
      <c r="O389" s="51" t="str">
        <f t="shared" ca="1" si="126"/>
        <v/>
      </c>
      <c r="P389" s="91" t="str">
        <f ca="1">IF(J389="","",DATE(INDEX(OFFSET(Arb!$C$2,,,Arb!$AJ$5,),J389),INDEX(OFFSET(Arb!$B$2,,,Arb!$AJ$5,),J389),INDEX(OFFSET(Arb!$A$2,,,Arb!$AJ$5,),J389))+ROW()*0.001)</f>
        <v/>
      </c>
      <c r="Q389" s="442">
        <v>247</v>
      </c>
      <c r="S389" s="52" t="str">
        <f ca="1">IF(R389="","",INDEX(OFFSET(Arb!$H$2,,,Arb!$AJ$5,),R389))</f>
        <v/>
      </c>
      <c r="T389" s="3" t="str">
        <f t="shared" ca="1" si="117"/>
        <v/>
      </c>
      <c r="U389" s="165" t="str">
        <f ca="1">IF(R389="","",INDEX(OFFSET(Arb!$X$2,,,Arb!$AJ$5,),R389)/S389)</f>
        <v/>
      </c>
      <c r="V389" s="165" t="str">
        <f ca="1">IF(R389="","",(INDEX(OFFSET(Arb!$U$2,,,Arb!$AJ$5,),R389)+INDEX(OFFSET(Arb!$V$2,,,Arb!$AJ$5,),R389))/S389)</f>
        <v/>
      </c>
      <c r="W389" s="51" t="str">
        <f t="shared" ca="1" si="127"/>
        <v/>
      </c>
      <c r="X389" s="88" t="str">
        <f ca="1">IF(R389="","",DATE(INDEX(OFFSET(Arb!$C$2,,,Arb!$AJ$5,),R389),INDEX(OFFSET(Arb!$B$2,,,Arb!$AJ$5,),R389),INDEX(OFFSET(Arb!$A$2,,,Arb!$AJ$5,),R389))+ROW()*0.001)</f>
        <v/>
      </c>
      <c r="Y389" s="436">
        <v>247</v>
      </c>
      <c r="AA389" s="52" t="str">
        <f ca="1">IF(Z389="","",INDEX(OFFSET(Arb!$H$2,,,Arb!$AJ$5,),Z389))</f>
        <v/>
      </c>
      <c r="AB389" s="3" t="str">
        <f t="shared" ca="1" si="118"/>
        <v/>
      </c>
      <c r="AC389" s="165" t="str">
        <f ca="1">IF(Z389="","",INDEX(OFFSET(Arb!$X$2,,,Arb!$AJ$5,),Z389)/AA389)</f>
        <v/>
      </c>
      <c r="AD389" s="165" t="str">
        <f ca="1">IF(Z389="","",(INDEX(OFFSET(Arb!$U$2,,,Arb!$AJ$5,),Z389)+INDEX(OFFSET(Arb!$V$2,,,Arb!$AJ$5,),Z389))/AA389)</f>
        <v/>
      </c>
      <c r="AE389" s="51" t="str">
        <f t="shared" ca="1" si="128"/>
        <v/>
      </c>
      <c r="AF389" s="91" t="str">
        <f ca="1">IF(Z389="","",DATE(INDEX(OFFSET(Arb!$C$2,,,Arb!$AJ$5,),Z389),INDEX(OFFSET(Arb!$B$2,,,Arb!$AJ$5,),Z389),INDEX(OFFSET(Arb!$A$2,,,Arb!$AJ$5,),Z389))+ROW()*0.001)</f>
        <v/>
      </c>
      <c r="AG389" s="442">
        <v>247</v>
      </c>
      <c r="AI389" s="52" t="str">
        <f ca="1">IF(AH389="","",INDEX(OFFSET(Arb!$H$2,,,Arb!$AJ$5,),AH389))</f>
        <v/>
      </c>
      <c r="AJ389" s="3" t="str">
        <f t="shared" ca="1" si="119"/>
        <v/>
      </c>
      <c r="AK389" s="165" t="str">
        <f ca="1">IF(AH389="","",INDEX(OFFSET(Arb!$X$2,,,Arb!$AJ$5,),AH389)/AI389)</f>
        <v/>
      </c>
      <c r="AL389" s="165" t="str">
        <f ca="1">IF(AH389="","",(INDEX(OFFSET(Arb!$U$2,,,Arb!$AJ$5,),AH389)+INDEX(OFFSET(Arb!$V$2,,,Arb!$AJ$5,),AH389))/AI389)</f>
        <v/>
      </c>
      <c r="AM389" s="51" t="str">
        <f t="shared" ca="1" si="129"/>
        <v/>
      </c>
      <c r="AN389" s="88" t="str">
        <f ca="1">IF(AH389="","",DATE(INDEX(OFFSET(Arb!$C$2,,,Arb!$AJ$5,),AH389),INDEX(OFFSET(Arb!$B$2,,,Arb!$AJ$5,),AH389),INDEX(OFFSET(Arb!$A$2,,,Arb!$AJ$5,),AH389))+ROW()*0.001)</f>
        <v/>
      </c>
      <c r="AO389" s="436">
        <v>247</v>
      </c>
      <c r="AQ389" s="52" t="str">
        <f ca="1">IF(AP389="","",INDEX(OFFSET(Arb!$H$2,,,Arb!$AJ$5,),AP389))</f>
        <v/>
      </c>
      <c r="AR389" s="3" t="str">
        <f t="shared" ca="1" si="120"/>
        <v/>
      </c>
      <c r="AS389" s="165" t="str">
        <f ca="1">IF(AP389="","",INDEX(OFFSET(Arb!$X$2,,,Arb!$AJ$5,),AP389)/AQ389)</f>
        <v/>
      </c>
      <c r="AT389" s="165" t="str">
        <f ca="1">IF(AP389="","",(INDEX(OFFSET(Arb!$U$2,,,Arb!$AJ$5,),AP389)+INDEX(OFFSET(Arb!$V$2,,,Arb!$AJ$5,),AP389))/AQ389)</f>
        <v/>
      </c>
      <c r="AU389" s="51" t="str">
        <f t="shared" ca="1" si="130"/>
        <v/>
      </c>
      <c r="AV389" s="91" t="str">
        <f ca="1">IF(AP389="","",DATE(INDEX(OFFSET(Arb!$C$2,,,Arb!$AJ$5,),AP389),INDEX(OFFSET(Arb!$B$2,,,Arb!$AJ$5,),AP389),INDEX(OFFSET(Arb!$A$2,,,Arb!$AJ$5,),AP389))+ROW()*0.001)</f>
        <v/>
      </c>
      <c r="AW389" s="442">
        <v>247</v>
      </c>
      <c r="AY389" s="52" t="str">
        <f ca="1">IF(AX389="","",INDEX(OFFSET(Arb!$H$2,,,Arb!$AJ$5,),AX389))</f>
        <v/>
      </c>
      <c r="AZ389" s="3" t="str">
        <f t="shared" ca="1" si="121"/>
        <v/>
      </c>
      <c r="BA389" s="165" t="str">
        <f ca="1">IF(AX389="","",INDEX(OFFSET(Arb!$X$2,,,Arb!$AJ$5,),AX389)/AY389)</f>
        <v/>
      </c>
      <c r="BB389" s="165" t="str">
        <f ca="1">IF(AX389="","",(INDEX(OFFSET(Arb!$U$2,,,Arb!$AJ$5,),AX389)+INDEX(OFFSET(Arb!$V$2,,,Arb!$AJ$5,),AX389))/AY389)</f>
        <v/>
      </c>
      <c r="BC389" s="51" t="str">
        <f t="shared" ca="1" si="131"/>
        <v/>
      </c>
      <c r="BD389" s="88" t="str">
        <f ca="1">IF(AX389="","",DATE(INDEX(OFFSET(Arb!$C$2,,,Arb!$AJ$5,),AX389),INDEX(OFFSET(Arb!$B$2,,,Arb!$AJ$5,),AX389),INDEX(OFFSET(Arb!$A$2,,,Arb!$AJ$5,),AX389))+ROW()*0.001)</f>
        <v/>
      </c>
      <c r="BE389" s="436">
        <v>247</v>
      </c>
      <c r="BG389" s="52" t="str">
        <f ca="1">IF(BF389="","",INDEX(OFFSET(Arb!$H$2,,,Arb!$AJ$5,),BF389))</f>
        <v/>
      </c>
      <c r="BH389" s="3" t="str">
        <f t="shared" ca="1" si="122"/>
        <v/>
      </c>
      <c r="BI389" s="165" t="str">
        <f ca="1">IF(BF389="","",INDEX(OFFSET(Arb!$X$2,,,Arb!$AJ$5,),BF389)/BG389)</f>
        <v/>
      </c>
      <c r="BJ389" s="165" t="str">
        <f ca="1">IF(BF389="","",(INDEX(OFFSET(Arb!$U$2,,,Arb!$AJ$5,),BF389)+INDEX(OFFSET(Arb!$V$2,,,Arb!$AJ$5,),BF389))/BG389)</f>
        <v/>
      </c>
      <c r="BK389" s="51" t="str">
        <f t="shared" ca="1" si="132"/>
        <v/>
      </c>
      <c r="BL389" s="91" t="str">
        <f ca="1">IF(BF389="","",DATE(INDEX(OFFSET(Arb!$C$2,,,Arb!$AJ$5,),BF389),INDEX(OFFSET(Arb!$B$2,,,Arb!$AJ$5,),BF389),INDEX(OFFSET(Arb!$A$2,,,Arb!$AJ$5,),BF389))+ROW()*0.001)</f>
        <v/>
      </c>
      <c r="BM389" s="442">
        <v>247</v>
      </c>
      <c r="BO389" s="52" t="str">
        <f ca="1">IF(BN389="","",INDEX(OFFSET(Arb!$H$2,,,Arb!$AJ$5,),BN389))</f>
        <v/>
      </c>
      <c r="BP389" s="3" t="str">
        <f t="shared" ca="1" si="123"/>
        <v/>
      </c>
      <c r="BQ389" s="165" t="str">
        <f ca="1">IF(BN389="","",INDEX(OFFSET(Arb!$X$2,,,Arb!$AJ$5,),BN389)/BO389)</f>
        <v/>
      </c>
      <c r="BR389" s="165" t="str">
        <f ca="1">IF(BN389="","",(INDEX(OFFSET(Arb!$U$2,,,Arb!$AJ$5,),BN389)+INDEX(OFFSET(Arb!$V$2,,,Arb!$AJ$5,),BN389))/BO389)</f>
        <v/>
      </c>
      <c r="BS389" s="51" t="str">
        <f t="shared" ca="1" si="133"/>
        <v/>
      </c>
      <c r="BT389" s="88" t="str">
        <f ca="1">IF(BN389="","",DATE(INDEX(OFFSET(Arb!$C$2,,,Arb!$AJ$5,),BN389),INDEX(OFFSET(Arb!$B$2,,,Arb!$AJ$5,),BN389),INDEX(OFFSET(Arb!$A$2,,,Arb!$AJ$5,),BN389))+ROW()*0.001)</f>
        <v/>
      </c>
      <c r="BU389" s="436">
        <v>247</v>
      </c>
      <c r="BW389" s="52" t="str">
        <f ca="1">IF(BV389="","",INDEX(OFFSET(Arb!$H$2,,,Arb!$AJ$5,),BV389))</f>
        <v/>
      </c>
      <c r="BX389" s="3" t="str">
        <f t="shared" ca="1" si="124"/>
        <v/>
      </c>
      <c r="BY389" s="165" t="str">
        <f ca="1">IF(BV389="","",INDEX(OFFSET(Arb!$X$2,,,Arb!$AJ$5,),BV389)/BW389)</f>
        <v/>
      </c>
      <c r="BZ389" s="165" t="str">
        <f ca="1">IF(BV389="","",(INDEX(OFFSET(Arb!$U$2,,,Arb!$AJ$5,),BV389)+INDEX(OFFSET(Arb!$V$2,,,Arb!$AJ$5,),BV389))/BW389)</f>
        <v/>
      </c>
      <c r="CA389" s="51" t="str">
        <f t="shared" ca="1" si="134"/>
        <v/>
      </c>
      <c r="CB389" s="91" t="str">
        <f ca="1">IF(BV389="","",DATE(INDEX(OFFSET(Arb!$C$2,,,Arb!$AJ$5,),BV389),INDEX(OFFSET(Arb!$B$2,,,Arb!$AJ$5,),BV389),INDEX(OFFSET(Arb!$A$2,,,Arb!$AJ$5,),BV389))+ROW()*0.001)</f>
        <v/>
      </c>
    </row>
    <row r="390" spans="1:80" x14ac:dyDescent="0.25">
      <c r="A390" s="433">
        <v>248</v>
      </c>
      <c r="C390" s="52" t="str">
        <f ca="1">IF(B390="","",INDEX(OFFSET(Arb!$H$2,,,Arb!$AJ$5,),B390))</f>
        <v/>
      </c>
      <c r="D390" s="3" t="str">
        <f t="shared" ca="1" si="115"/>
        <v/>
      </c>
      <c r="E390" s="165" t="str">
        <f ca="1">IF(B390="","",INDEX(OFFSET(Arb!$X$2,,,Arb!$AJ$5,),B390)/C390)</f>
        <v/>
      </c>
      <c r="F390" s="165" t="str">
        <f ca="1">IF(B390="","",(INDEX(OFFSET(Arb!$U$2,,,Arb!$AJ$5,),B390)+INDEX(OFFSET(Arb!$V$2,,,Arb!$AJ$5,),B390))/C390)</f>
        <v/>
      </c>
      <c r="G390" s="51" t="str">
        <f t="shared" ca="1" si="125"/>
        <v/>
      </c>
      <c r="H390" s="355" t="str">
        <f ca="1">IF(B390="","",DATE(INDEX(OFFSET(Arb!$C$2,,,Arb!$AJ$5,),B390),INDEX(OFFSET(Arb!$B$2,,,Arb!$AJ$5,),B390),INDEX(OFFSET(Arb!$A$2,,,Arb!$AJ$5,),B390))+ROW()*0.001)</f>
        <v/>
      </c>
      <c r="I390" s="436">
        <v>248</v>
      </c>
      <c r="K390" s="52" t="str">
        <f ca="1">IF(J390="","",INDEX(OFFSET(Arb!$H$2,,,Arb!$AJ$5,),J390))</f>
        <v/>
      </c>
      <c r="L390" s="3" t="str">
        <f t="shared" ca="1" si="116"/>
        <v/>
      </c>
      <c r="M390" s="165" t="str">
        <f ca="1">IF(J390="","",INDEX(OFFSET(Arb!$X$2,,,Arb!$AJ$5,),J390)/K390)</f>
        <v/>
      </c>
      <c r="N390" s="165" t="str">
        <f ca="1">IF(J390="","",(INDEX(OFFSET(Arb!$U$2,,,Arb!$AJ$5,),J390)+INDEX(OFFSET(Arb!$V$2,,,Arb!$AJ$5,),J390))/K390)</f>
        <v/>
      </c>
      <c r="O390" s="51" t="str">
        <f t="shared" ca="1" si="126"/>
        <v/>
      </c>
      <c r="P390" s="91" t="str">
        <f ca="1">IF(J390="","",DATE(INDEX(OFFSET(Arb!$C$2,,,Arb!$AJ$5,),J390),INDEX(OFFSET(Arb!$B$2,,,Arb!$AJ$5,),J390),INDEX(OFFSET(Arb!$A$2,,,Arb!$AJ$5,),J390))+ROW()*0.001)</f>
        <v/>
      </c>
      <c r="Q390" s="442">
        <v>248</v>
      </c>
      <c r="S390" s="52" t="str">
        <f ca="1">IF(R390="","",INDEX(OFFSET(Arb!$H$2,,,Arb!$AJ$5,),R390))</f>
        <v/>
      </c>
      <c r="T390" s="3" t="str">
        <f t="shared" ca="1" si="117"/>
        <v/>
      </c>
      <c r="U390" s="165" t="str">
        <f ca="1">IF(R390="","",INDEX(OFFSET(Arb!$X$2,,,Arb!$AJ$5,),R390)/S390)</f>
        <v/>
      </c>
      <c r="V390" s="165" t="str">
        <f ca="1">IF(R390="","",(INDEX(OFFSET(Arb!$U$2,,,Arb!$AJ$5,),R390)+INDEX(OFFSET(Arb!$V$2,,,Arb!$AJ$5,),R390))/S390)</f>
        <v/>
      </c>
      <c r="W390" s="51" t="str">
        <f t="shared" ca="1" si="127"/>
        <v/>
      </c>
      <c r="X390" s="88" t="str">
        <f ca="1">IF(R390="","",DATE(INDEX(OFFSET(Arb!$C$2,,,Arb!$AJ$5,),R390),INDEX(OFFSET(Arb!$B$2,,,Arb!$AJ$5,),R390),INDEX(OFFSET(Arb!$A$2,,,Arb!$AJ$5,),R390))+ROW()*0.001)</f>
        <v/>
      </c>
      <c r="Y390" s="436">
        <v>248</v>
      </c>
      <c r="AA390" s="52" t="str">
        <f ca="1">IF(Z390="","",INDEX(OFFSET(Arb!$H$2,,,Arb!$AJ$5,),Z390))</f>
        <v/>
      </c>
      <c r="AB390" s="3" t="str">
        <f t="shared" ca="1" si="118"/>
        <v/>
      </c>
      <c r="AC390" s="165" t="str">
        <f ca="1">IF(Z390="","",INDEX(OFFSET(Arb!$X$2,,,Arb!$AJ$5,),Z390)/AA390)</f>
        <v/>
      </c>
      <c r="AD390" s="165" t="str">
        <f ca="1">IF(Z390="","",(INDEX(OFFSET(Arb!$U$2,,,Arb!$AJ$5,),Z390)+INDEX(OFFSET(Arb!$V$2,,,Arb!$AJ$5,),Z390))/AA390)</f>
        <v/>
      </c>
      <c r="AE390" s="51" t="str">
        <f t="shared" ca="1" si="128"/>
        <v/>
      </c>
      <c r="AF390" s="91" t="str">
        <f ca="1">IF(Z390="","",DATE(INDEX(OFFSET(Arb!$C$2,,,Arb!$AJ$5,),Z390),INDEX(OFFSET(Arb!$B$2,,,Arb!$AJ$5,),Z390),INDEX(OFFSET(Arb!$A$2,,,Arb!$AJ$5,),Z390))+ROW()*0.001)</f>
        <v/>
      </c>
      <c r="AG390" s="442">
        <v>248</v>
      </c>
      <c r="AI390" s="52" t="str">
        <f ca="1">IF(AH390="","",INDEX(OFFSET(Arb!$H$2,,,Arb!$AJ$5,),AH390))</f>
        <v/>
      </c>
      <c r="AJ390" s="3" t="str">
        <f t="shared" ca="1" si="119"/>
        <v/>
      </c>
      <c r="AK390" s="165" t="str">
        <f ca="1">IF(AH390="","",INDEX(OFFSET(Arb!$X$2,,,Arb!$AJ$5,),AH390)/AI390)</f>
        <v/>
      </c>
      <c r="AL390" s="165" t="str">
        <f ca="1">IF(AH390="","",(INDEX(OFFSET(Arb!$U$2,,,Arb!$AJ$5,),AH390)+INDEX(OFFSET(Arb!$V$2,,,Arb!$AJ$5,),AH390))/AI390)</f>
        <v/>
      </c>
      <c r="AM390" s="51" t="str">
        <f t="shared" ca="1" si="129"/>
        <v/>
      </c>
      <c r="AN390" s="88" t="str">
        <f ca="1">IF(AH390="","",DATE(INDEX(OFFSET(Arb!$C$2,,,Arb!$AJ$5,),AH390),INDEX(OFFSET(Arb!$B$2,,,Arb!$AJ$5,),AH390),INDEX(OFFSET(Arb!$A$2,,,Arb!$AJ$5,),AH390))+ROW()*0.001)</f>
        <v/>
      </c>
      <c r="AO390" s="436">
        <v>248</v>
      </c>
      <c r="AQ390" s="52" t="str">
        <f ca="1">IF(AP390="","",INDEX(OFFSET(Arb!$H$2,,,Arb!$AJ$5,),AP390))</f>
        <v/>
      </c>
      <c r="AR390" s="3" t="str">
        <f t="shared" ca="1" si="120"/>
        <v/>
      </c>
      <c r="AS390" s="165" t="str">
        <f ca="1">IF(AP390="","",INDEX(OFFSET(Arb!$X$2,,,Arb!$AJ$5,),AP390)/AQ390)</f>
        <v/>
      </c>
      <c r="AT390" s="165" t="str">
        <f ca="1">IF(AP390="","",(INDEX(OFFSET(Arb!$U$2,,,Arb!$AJ$5,),AP390)+INDEX(OFFSET(Arb!$V$2,,,Arb!$AJ$5,),AP390))/AQ390)</f>
        <v/>
      </c>
      <c r="AU390" s="51" t="str">
        <f t="shared" ca="1" si="130"/>
        <v/>
      </c>
      <c r="AV390" s="91" t="str">
        <f ca="1">IF(AP390="","",DATE(INDEX(OFFSET(Arb!$C$2,,,Arb!$AJ$5,),AP390),INDEX(OFFSET(Arb!$B$2,,,Arb!$AJ$5,),AP390),INDEX(OFFSET(Arb!$A$2,,,Arb!$AJ$5,),AP390))+ROW()*0.001)</f>
        <v/>
      </c>
      <c r="AW390" s="442">
        <v>248</v>
      </c>
      <c r="AY390" s="52" t="str">
        <f ca="1">IF(AX390="","",INDEX(OFFSET(Arb!$H$2,,,Arb!$AJ$5,),AX390))</f>
        <v/>
      </c>
      <c r="AZ390" s="3" t="str">
        <f t="shared" ca="1" si="121"/>
        <v/>
      </c>
      <c r="BA390" s="165" t="str">
        <f ca="1">IF(AX390="","",INDEX(OFFSET(Arb!$X$2,,,Arb!$AJ$5,),AX390)/AY390)</f>
        <v/>
      </c>
      <c r="BB390" s="165" t="str">
        <f ca="1">IF(AX390="","",(INDEX(OFFSET(Arb!$U$2,,,Arb!$AJ$5,),AX390)+INDEX(OFFSET(Arb!$V$2,,,Arb!$AJ$5,),AX390))/AY390)</f>
        <v/>
      </c>
      <c r="BC390" s="51" t="str">
        <f t="shared" ca="1" si="131"/>
        <v/>
      </c>
      <c r="BD390" s="88" t="str">
        <f ca="1">IF(AX390="","",DATE(INDEX(OFFSET(Arb!$C$2,,,Arb!$AJ$5,),AX390),INDEX(OFFSET(Arb!$B$2,,,Arb!$AJ$5,),AX390),INDEX(OFFSET(Arb!$A$2,,,Arb!$AJ$5,),AX390))+ROW()*0.001)</f>
        <v/>
      </c>
      <c r="BE390" s="436">
        <v>248</v>
      </c>
      <c r="BG390" s="52" t="str">
        <f ca="1">IF(BF390="","",INDEX(OFFSET(Arb!$H$2,,,Arb!$AJ$5,),BF390))</f>
        <v/>
      </c>
      <c r="BH390" s="3" t="str">
        <f t="shared" ca="1" si="122"/>
        <v/>
      </c>
      <c r="BI390" s="165" t="str">
        <f ca="1">IF(BF390="","",INDEX(OFFSET(Arb!$X$2,,,Arb!$AJ$5,),BF390)/BG390)</f>
        <v/>
      </c>
      <c r="BJ390" s="165" t="str">
        <f ca="1">IF(BF390="","",(INDEX(OFFSET(Arb!$U$2,,,Arb!$AJ$5,),BF390)+INDEX(OFFSET(Arb!$V$2,,,Arb!$AJ$5,),BF390))/BG390)</f>
        <v/>
      </c>
      <c r="BK390" s="51" t="str">
        <f t="shared" ca="1" si="132"/>
        <v/>
      </c>
      <c r="BL390" s="91" t="str">
        <f ca="1">IF(BF390="","",DATE(INDEX(OFFSET(Arb!$C$2,,,Arb!$AJ$5,),BF390),INDEX(OFFSET(Arb!$B$2,,,Arb!$AJ$5,),BF390),INDEX(OFFSET(Arb!$A$2,,,Arb!$AJ$5,),BF390))+ROW()*0.001)</f>
        <v/>
      </c>
      <c r="BM390" s="442">
        <v>248</v>
      </c>
      <c r="BO390" s="52" t="str">
        <f ca="1">IF(BN390="","",INDEX(OFFSET(Arb!$H$2,,,Arb!$AJ$5,),BN390))</f>
        <v/>
      </c>
      <c r="BP390" s="3" t="str">
        <f t="shared" ca="1" si="123"/>
        <v/>
      </c>
      <c r="BQ390" s="165" t="str">
        <f ca="1">IF(BN390="","",INDEX(OFFSET(Arb!$X$2,,,Arb!$AJ$5,),BN390)/BO390)</f>
        <v/>
      </c>
      <c r="BR390" s="165" t="str">
        <f ca="1">IF(BN390="","",(INDEX(OFFSET(Arb!$U$2,,,Arb!$AJ$5,),BN390)+INDEX(OFFSET(Arb!$V$2,,,Arb!$AJ$5,),BN390))/BO390)</f>
        <v/>
      </c>
      <c r="BS390" s="51" t="str">
        <f t="shared" ca="1" si="133"/>
        <v/>
      </c>
      <c r="BT390" s="88" t="str">
        <f ca="1">IF(BN390="","",DATE(INDEX(OFFSET(Arb!$C$2,,,Arb!$AJ$5,),BN390),INDEX(OFFSET(Arb!$B$2,,,Arb!$AJ$5,),BN390),INDEX(OFFSET(Arb!$A$2,,,Arb!$AJ$5,),BN390))+ROW()*0.001)</f>
        <v/>
      </c>
      <c r="BU390" s="436">
        <v>248</v>
      </c>
      <c r="BW390" s="52" t="str">
        <f ca="1">IF(BV390="","",INDEX(OFFSET(Arb!$H$2,,,Arb!$AJ$5,),BV390))</f>
        <v/>
      </c>
      <c r="BX390" s="3" t="str">
        <f t="shared" ca="1" si="124"/>
        <v/>
      </c>
      <c r="BY390" s="165" t="str">
        <f ca="1">IF(BV390="","",INDEX(OFFSET(Arb!$X$2,,,Arb!$AJ$5,),BV390)/BW390)</f>
        <v/>
      </c>
      <c r="BZ390" s="165" t="str">
        <f ca="1">IF(BV390="","",(INDEX(OFFSET(Arb!$U$2,,,Arb!$AJ$5,),BV390)+INDEX(OFFSET(Arb!$V$2,,,Arb!$AJ$5,),BV390))/BW390)</f>
        <v/>
      </c>
      <c r="CA390" s="51" t="str">
        <f t="shared" ca="1" si="134"/>
        <v/>
      </c>
      <c r="CB390" s="91" t="str">
        <f ca="1">IF(BV390="","",DATE(INDEX(OFFSET(Arb!$C$2,,,Arb!$AJ$5,),BV390),INDEX(OFFSET(Arb!$B$2,,,Arb!$AJ$5,),BV390),INDEX(OFFSET(Arb!$A$2,,,Arb!$AJ$5,),BV390))+ROW()*0.001)</f>
        <v/>
      </c>
    </row>
    <row r="391" spans="1:80" x14ac:dyDescent="0.25">
      <c r="A391" s="433">
        <v>249</v>
      </c>
      <c r="C391" s="52" t="str">
        <f ca="1">IF(B391="","",INDEX(OFFSET(Arb!$H$2,,,Arb!$AJ$5,),B391))</f>
        <v/>
      </c>
      <c r="D391" s="3" t="str">
        <f t="shared" ca="1" si="115"/>
        <v/>
      </c>
      <c r="E391" s="165" t="str">
        <f ca="1">IF(B391="","",INDEX(OFFSET(Arb!$X$2,,,Arb!$AJ$5,),B391)/C391)</f>
        <v/>
      </c>
      <c r="F391" s="165" t="str">
        <f ca="1">IF(B391="","",(INDEX(OFFSET(Arb!$U$2,,,Arb!$AJ$5,),B391)+INDEX(OFFSET(Arb!$V$2,,,Arb!$AJ$5,),B391))/C391)</f>
        <v/>
      </c>
      <c r="G391" s="51" t="str">
        <f t="shared" ca="1" si="125"/>
        <v/>
      </c>
      <c r="H391" s="355" t="str">
        <f ca="1">IF(B391="","",DATE(INDEX(OFFSET(Arb!$C$2,,,Arb!$AJ$5,),B391),INDEX(OFFSET(Arb!$B$2,,,Arb!$AJ$5,),B391),INDEX(OFFSET(Arb!$A$2,,,Arb!$AJ$5,),B391))+ROW()*0.001)</f>
        <v/>
      </c>
      <c r="I391" s="436">
        <v>249</v>
      </c>
      <c r="K391" s="52" t="str">
        <f ca="1">IF(J391="","",INDEX(OFFSET(Arb!$H$2,,,Arb!$AJ$5,),J391))</f>
        <v/>
      </c>
      <c r="L391" s="3" t="str">
        <f t="shared" ca="1" si="116"/>
        <v/>
      </c>
      <c r="M391" s="165" t="str">
        <f ca="1">IF(J391="","",INDEX(OFFSET(Arb!$X$2,,,Arb!$AJ$5,),J391)/K391)</f>
        <v/>
      </c>
      <c r="N391" s="165" t="str">
        <f ca="1">IF(J391="","",(INDEX(OFFSET(Arb!$U$2,,,Arb!$AJ$5,),J391)+INDEX(OFFSET(Arb!$V$2,,,Arb!$AJ$5,),J391))/K391)</f>
        <v/>
      </c>
      <c r="O391" s="51" t="str">
        <f t="shared" ca="1" si="126"/>
        <v/>
      </c>
      <c r="P391" s="91" t="str">
        <f ca="1">IF(J391="","",DATE(INDEX(OFFSET(Arb!$C$2,,,Arb!$AJ$5,),J391),INDEX(OFFSET(Arb!$B$2,,,Arb!$AJ$5,),J391),INDEX(OFFSET(Arb!$A$2,,,Arb!$AJ$5,),J391))+ROW()*0.001)</f>
        <v/>
      </c>
      <c r="Q391" s="442">
        <v>249</v>
      </c>
      <c r="S391" s="52" t="str">
        <f ca="1">IF(R391="","",INDEX(OFFSET(Arb!$H$2,,,Arb!$AJ$5,),R391))</f>
        <v/>
      </c>
      <c r="T391" s="3" t="str">
        <f t="shared" ca="1" si="117"/>
        <v/>
      </c>
      <c r="U391" s="165" t="str">
        <f ca="1">IF(R391="","",INDEX(OFFSET(Arb!$X$2,,,Arb!$AJ$5,),R391)/S391)</f>
        <v/>
      </c>
      <c r="V391" s="165" t="str">
        <f ca="1">IF(R391="","",(INDEX(OFFSET(Arb!$U$2,,,Arb!$AJ$5,),R391)+INDEX(OFFSET(Arb!$V$2,,,Arb!$AJ$5,),R391))/S391)</f>
        <v/>
      </c>
      <c r="W391" s="51" t="str">
        <f t="shared" ca="1" si="127"/>
        <v/>
      </c>
      <c r="X391" s="88" t="str">
        <f ca="1">IF(R391="","",DATE(INDEX(OFFSET(Arb!$C$2,,,Arb!$AJ$5,),R391),INDEX(OFFSET(Arb!$B$2,,,Arb!$AJ$5,),R391),INDEX(OFFSET(Arb!$A$2,,,Arb!$AJ$5,),R391))+ROW()*0.001)</f>
        <v/>
      </c>
      <c r="Y391" s="436">
        <v>249</v>
      </c>
      <c r="AA391" s="52" t="str">
        <f ca="1">IF(Z391="","",INDEX(OFFSET(Arb!$H$2,,,Arb!$AJ$5,),Z391))</f>
        <v/>
      </c>
      <c r="AB391" s="3" t="str">
        <f t="shared" ca="1" si="118"/>
        <v/>
      </c>
      <c r="AC391" s="165" t="str">
        <f ca="1">IF(Z391="","",INDEX(OFFSET(Arb!$X$2,,,Arb!$AJ$5,),Z391)/AA391)</f>
        <v/>
      </c>
      <c r="AD391" s="165" t="str">
        <f ca="1">IF(Z391="","",(INDEX(OFFSET(Arb!$U$2,,,Arb!$AJ$5,),Z391)+INDEX(OFFSET(Arb!$V$2,,,Arb!$AJ$5,),Z391))/AA391)</f>
        <v/>
      </c>
      <c r="AE391" s="51" t="str">
        <f t="shared" ca="1" si="128"/>
        <v/>
      </c>
      <c r="AF391" s="91" t="str">
        <f ca="1">IF(Z391="","",DATE(INDEX(OFFSET(Arb!$C$2,,,Arb!$AJ$5,),Z391),INDEX(OFFSET(Arb!$B$2,,,Arb!$AJ$5,),Z391),INDEX(OFFSET(Arb!$A$2,,,Arb!$AJ$5,),Z391))+ROW()*0.001)</f>
        <v/>
      </c>
      <c r="AG391" s="442">
        <v>249</v>
      </c>
      <c r="AI391" s="52" t="str">
        <f ca="1">IF(AH391="","",INDEX(OFFSET(Arb!$H$2,,,Arb!$AJ$5,),AH391))</f>
        <v/>
      </c>
      <c r="AJ391" s="3" t="str">
        <f t="shared" ca="1" si="119"/>
        <v/>
      </c>
      <c r="AK391" s="165" t="str">
        <f ca="1">IF(AH391="","",INDEX(OFFSET(Arb!$X$2,,,Arb!$AJ$5,),AH391)/AI391)</f>
        <v/>
      </c>
      <c r="AL391" s="165" t="str">
        <f ca="1">IF(AH391="","",(INDEX(OFFSET(Arb!$U$2,,,Arb!$AJ$5,),AH391)+INDEX(OFFSET(Arb!$V$2,,,Arb!$AJ$5,),AH391))/AI391)</f>
        <v/>
      </c>
      <c r="AM391" s="51" t="str">
        <f t="shared" ca="1" si="129"/>
        <v/>
      </c>
      <c r="AN391" s="88" t="str">
        <f ca="1">IF(AH391="","",DATE(INDEX(OFFSET(Arb!$C$2,,,Arb!$AJ$5,),AH391),INDEX(OFFSET(Arb!$B$2,,,Arb!$AJ$5,),AH391),INDEX(OFFSET(Arb!$A$2,,,Arb!$AJ$5,),AH391))+ROW()*0.001)</f>
        <v/>
      </c>
      <c r="AO391" s="436">
        <v>249</v>
      </c>
      <c r="AQ391" s="52" t="str">
        <f ca="1">IF(AP391="","",INDEX(OFFSET(Arb!$H$2,,,Arb!$AJ$5,),AP391))</f>
        <v/>
      </c>
      <c r="AR391" s="3" t="str">
        <f t="shared" ca="1" si="120"/>
        <v/>
      </c>
      <c r="AS391" s="165" t="str">
        <f ca="1">IF(AP391="","",INDEX(OFFSET(Arb!$X$2,,,Arb!$AJ$5,),AP391)/AQ391)</f>
        <v/>
      </c>
      <c r="AT391" s="165" t="str">
        <f ca="1">IF(AP391="","",(INDEX(OFFSET(Arb!$U$2,,,Arb!$AJ$5,),AP391)+INDEX(OFFSET(Arb!$V$2,,,Arb!$AJ$5,),AP391))/AQ391)</f>
        <v/>
      </c>
      <c r="AU391" s="51" t="str">
        <f t="shared" ca="1" si="130"/>
        <v/>
      </c>
      <c r="AV391" s="91" t="str">
        <f ca="1">IF(AP391="","",DATE(INDEX(OFFSET(Arb!$C$2,,,Arb!$AJ$5,),AP391),INDEX(OFFSET(Arb!$B$2,,,Arb!$AJ$5,),AP391),INDEX(OFFSET(Arb!$A$2,,,Arb!$AJ$5,),AP391))+ROW()*0.001)</f>
        <v/>
      </c>
      <c r="AW391" s="442">
        <v>249</v>
      </c>
      <c r="AY391" s="52" t="str">
        <f ca="1">IF(AX391="","",INDEX(OFFSET(Arb!$H$2,,,Arb!$AJ$5,),AX391))</f>
        <v/>
      </c>
      <c r="AZ391" s="3" t="str">
        <f t="shared" ca="1" si="121"/>
        <v/>
      </c>
      <c r="BA391" s="165" t="str">
        <f ca="1">IF(AX391="","",INDEX(OFFSET(Arb!$X$2,,,Arb!$AJ$5,),AX391)/AY391)</f>
        <v/>
      </c>
      <c r="BB391" s="165" t="str">
        <f ca="1">IF(AX391="","",(INDEX(OFFSET(Arb!$U$2,,,Arb!$AJ$5,),AX391)+INDEX(OFFSET(Arb!$V$2,,,Arb!$AJ$5,),AX391))/AY391)</f>
        <v/>
      </c>
      <c r="BC391" s="51" t="str">
        <f t="shared" ca="1" si="131"/>
        <v/>
      </c>
      <c r="BD391" s="88" t="str">
        <f ca="1">IF(AX391="","",DATE(INDEX(OFFSET(Arb!$C$2,,,Arb!$AJ$5,),AX391),INDEX(OFFSET(Arb!$B$2,,,Arb!$AJ$5,),AX391),INDEX(OFFSET(Arb!$A$2,,,Arb!$AJ$5,),AX391))+ROW()*0.001)</f>
        <v/>
      </c>
      <c r="BE391" s="436">
        <v>249</v>
      </c>
      <c r="BG391" s="52" t="str">
        <f ca="1">IF(BF391="","",INDEX(OFFSET(Arb!$H$2,,,Arb!$AJ$5,),BF391))</f>
        <v/>
      </c>
      <c r="BH391" s="3" t="str">
        <f t="shared" ca="1" si="122"/>
        <v/>
      </c>
      <c r="BI391" s="165" t="str">
        <f ca="1">IF(BF391="","",INDEX(OFFSET(Arb!$X$2,,,Arb!$AJ$5,),BF391)/BG391)</f>
        <v/>
      </c>
      <c r="BJ391" s="165" t="str">
        <f ca="1">IF(BF391="","",(INDEX(OFFSET(Arb!$U$2,,,Arb!$AJ$5,),BF391)+INDEX(OFFSET(Arb!$V$2,,,Arb!$AJ$5,),BF391))/BG391)</f>
        <v/>
      </c>
      <c r="BK391" s="51" t="str">
        <f t="shared" ca="1" si="132"/>
        <v/>
      </c>
      <c r="BL391" s="91" t="str">
        <f ca="1">IF(BF391="","",DATE(INDEX(OFFSET(Arb!$C$2,,,Arb!$AJ$5,),BF391),INDEX(OFFSET(Arb!$B$2,,,Arb!$AJ$5,),BF391),INDEX(OFFSET(Arb!$A$2,,,Arb!$AJ$5,),BF391))+ROW()*0.001)</f>
        <v/>
      </c>
      <c r="BM391" s="442">
        <v>249</v>
      </c>
      <c r="BO391" s="52" t="str">
        <f ca="1">IF(BN391="","",INDEX(OFFSET(Arb!$H$2,,,Arb!$AJ$5,),BN391))</f>
        <v/>
      </c>
      <c r="BP391" s="3" t="str">
        <f t="shared" ca="1" si="123"/>
        <v/>
      </c>
      <c r="BQ391" s="165" t="str">
        <f ca="1">IF(BN391="","",INDEX(OFFSET(Arb!$X$2,,,Arb!$AJ$5,),BN391)/BO391)</f>
        <v/>
      </c>
      <c r="BR391" s="165" t="str">
        <f ca="1">IF(BN391="","",(INDEX(OFFSET(Arb!$U$2,,,Arb!$AJ$5,),BN391)+INDEX(OFFSET(Arb!$V$2,,,Arb!$AJ$5,),BN391))/BO391)</f>
        <v/>
      </c>
      <c r="BS391" s="51" t="str">
        <f t="shared" ca="1" si="133"/>
        <v/>
      </c>
      <c r="BT391" s="88" t="str">
        <f ca="1">IF(BN391="","",DATE(INDEX(OFFSET(Arb!$C$2,,,Arb!$AJ$5,),BN391),INDEX(OFFSET(Arb!$B$2,,,Arb!$AJ$5,),BN391),INDEX(OFFSET(Arb!$A$2,,,Arb!$AJ$5,),BN391))+ROW()*0.001)</f>
        <v/>
      </c>
      <c r="BU391" s="436">
        <v>249</v>
      </c>
      <c r="BW391" s="52" t="str">
        <f ca="1">IF(BV391="","",INDEX(OFFSET(Arb!$H$2,,,Arb!$AJ$5,),BV391))</f>
        <v/>
      </c>
      <c r="BX391" s="3" t="str">
        <f t="shared" ca="1" si="124"/>
        <v/>
      </c>
      <c r="BY391" s="165" t="str">
        <f ca="1">IF(BV391="","",INDEX(OFFSET(Arb!$X$2,,,Arb!$AJ$5,),BV391)/BW391)</f>
        <v/>
      </c>
      <c r="BZ391" s="165" t="str">
        <f ca="1">IF(BV391="","",(INDEX(OFFSET(Arb!$U$2,,,Arb!$AJ$5,),BV391)+INDEX(OFFSET(Arb!$V$2,,,Arb!$AJ$5,),BV391))/BW391)</f>
        <v/>
      </c>
      <c r="CA391" s="51" t="str">
        <f t="shared" ca="1" si="134"/>
        <v/>
      </c>
      <c r="CB391" s="91" t="str">
        <f ca="1">IF(BV391="","",DATE(INDEX(OFFSET(Arb!$C$2,,,Arb!$AJ$5,),BV391),INDEX(OFFSET(Arb!$B$2,,,Arb!$AJ$5,),BV391),INDEX(OFFSET(Arb!$A$2,,,Arb!$AJ$5,),BV391))+ROW()*0.001)</f>
        <v/>
      </c>
    </row>
    <row r="392" spans="1:80" x14ac:dyDescent="0.25">
      <c r="A392" s="433">
        <v>250</v>
      </c>
      <c r="C392" s="52" t="str">
        <f ca="1">IF(B392="","",INDEX(OFFSET(Arb!$H$2,,,Arb!$AJ$5,),B392))</f>
        <v/>
      </c>
      <c r="D392" s="3" t="str">
        <f t="shared" ca="1" si="115"/>
        <v/>
      </c>
      <c r="E392" s="165" t="str">
        <f ca="1">IF(B392="","",INDEX(OFFSET(Arb!$X$2,,,Arb!$AJ$5,),B392)/C392)</f>
        <v/>
      </c>
      <c r="F392" s="165" t="str">
        <f ca="1">IF(B392="","",(INDEX(OFFSET(Arb!$U$2,,,Arb!$AJ$5,),B392)+INDEX(OFFSET(Arb!$V$2,,,Arb!$AJ$5,),B392))/C392)</f>
        <v/>
      </c>
      <c r="G392" s="51" t="str">
        <f t="shared" ca="1" si="125"/>
        <v/>
      </c>
      <c r="H392" s="355" t="str">
        <f ca="1">IF(B392="","",DATE(INDEX(OFFSET(Arb!$C$2,,,Arb!$AJ$5,),B392),INDEX(OFFSET(Arb!$B$2,,,Arb!$AJ$5,),B392),INDEX(OFFSET(Arb!$A$2,,,Arb!$AJ$5,),B392))+ROW()*0.001)</f>
        <v/>
      </c>
      <c r="I392" s="436">
        <v>250</v>
      </c>
      <c r="K392" s="52" t="str">
        <f ca="1">IF(J392="","",INDEX(OFFSET(Arb!$H$2,,,Arb!$AJ$5,),J392))</f>
        <v/>
      </c>
      <c r="L392" s="3" t="str">
        <f t="shared" ca="1" si="116"/>
        <v/>
      </c>
      <c r="M392" s="165" t="str">
        <f ca="1">IF(J392="","",INDEX(OFFSET(Arb!$X$2,,,Arb!$AJ$5,),J392)/K392)</f>
        <v/>
      </c>
      <c r="N392" s="165" t="str">
        <f ca="1">IF(J392="","",(INDEX(OFFSET(Arb!$U$2,,,Arb!$AJ$5,),J392)+INDEX(OFFSET(Arb!$V$2,,,Arb!$AJ$5,),J392))/K392)</f>
        <v/>
      </c>
      <c r="O392" s="51" t="str">
        <f t="shared" ca="1" si="126"/>
        <v/>
      </c>
      <c r="P392" s="91" t="str">
        <f ca="1">IF(J392="","",DATE(INDEX(OFFSET(Arb!$C$2,,,Arb!$AJ$5,),J392),INDEX(OFFSET(Arb!$B$2,,,Arb!$AJ$5,),J392),INDEX(OFFSET(Arb!$A$2,,,Arb!$AJ$5,),J392))+ROW()*0.001)</f>
        <v/>
      </c>
      <c r="Q392" s="442">
        <v>250</v>
      </c>
      <c r="S392" s="52" t="str">
        <f ca="1">IF(R392="","",INDEX(OFFSET(Arb!$H$2,,,Arb!$AJ$5,),R392))</f>
        <v/>
      </c>
      <c r="T392" s="3" t="str">
        <f t="shared" ca="1" si="117"/>
        <v/>
      </c>
      <c r="U392" s="165" t="str">
        <f ca="1">IF(R392="","",INDEX(OFFSET(Arb!$X$2,,,Arb!$AJ$5,),R392)/S392)</f>
        <v/>
      </c>
      <c r="V392" s="165" t="str">
        <f ca="1">IF(R392="","",(INDEX(OFFSET(Arb!$U$2,,,Arb!$AJ$5,),R392)+INDEX(OFFSET(Arb!$V$2,,,Arb!$AJ$5,),R392))/S392)</f>
        <v/>
      </c>
      <c r="W392" s="51" t="str">
        <f t="shared" ca="1" si="127"/>
        <v/>
      </c>
      <c r="X392" s="88" t="str">
        <f ca="1">IF(R392="","",DATE(INDEX(OFFSET(Arb!$C$2,,,Arb!$AJ$5,),R392),INDEX(OFFSET(Arb!$B$2,,,Arb!$AJ$5,),R392),INDEX(OFFSET(Arb!$A$2,,,Arb!$AJ$5,),R392))+ROW()*0.001)</f>
        <v/>
      </c>
      <c r="Y392" s="436">
        <v>250</v>
      </c>
      <c r="AA392" s="52" t="str">
        <f ca="1">IF(Z392="","",INDEX(OFFSET(Arb!$H$2,,,Arb!$AJ$5,),Z392))</f>
        <v/>
      </c>
      <c r="AB392" s="3" t="str">
        <f t="shared" ca="1" si="118"/>
        <v/>
      </c>
      <c r="AC392" s="165" t="str">
        <f ca="1">IF(Z392="","",INDEX(OFFSET(Arb!$X$2,,,Arb!$AJ$5,),Z392)/AA392)</f>
        <v/>
      </c>
      <c r="AD392" s="165" t="str">
        <f ca="1">IF(Z392="","",(INDEX(OFFSET(Arb!$U$2,,,Arb!$AJ$5,),Z392)+INDEX(OFFSET(Arb!$V$2,,,Arb!$AJ$5,),Z392))/AA392)</f>
        <v/>
      </c>
      <c r="AE392" s="51" t="str">
        <f t="shared" ca="1" si="128"/>
        <v/>
      </c>
      <c r="AF392" s="91" t="str">
        <f ca="1">IF(Z392="","",DATE(INDEX(OFFSET(Arb!$C$2,,,Arb!$AJ$5,),Z392),INDEX(OFFSET(Arb!$B$2,,,Arb!$AJ$5,),Z392),INDEX(OFFSET(Arb!$A$2,,,Arb!$AJ$5,),Z392))+ROW()*0.001)</f>
        <v/>
      </c>
      <c r="AG392" s="442">
        <v>250</v>
      </c>
      <c r="AI392" s="52" t="str">
        <f ca="1">IF(AH392="","",INDEX(OFFSET(Arb!$H$2,,,Arb!$AJ$5,),AH392))</f>
        <v/>
      </c>
      <c r="AJ392" s="3" t="str">
        <f t="shared" ca="1" si="119"/>
        <v/>
      </c>
      <c r="AK392" s="165" t="str">
        <f ca="1">IF(AH392="","",INDEX(OFFSET(Arb!$X$2,,,Arb!$AJ$5,),AH392)/AI392)</f>
        <v/>
      </c>
      <c r="AL392" s="165" t="str">
        <f ca="1">IF(AH392="","",(INDEX(OFFSET(Arb!$U$2,,,Arb!$AJ$5,),AH392)+INDEX(OFFSET(Arb!$V$2,,,Arb!$AJ$5,),AH392))/AI392)</f>
        <v/>
      </c>
      <c r="AM392" s="51" t="str">
        <f t="shared" ca="1" si="129"/>
        <v/>
      </c>
      <c r="AN392" s="88" t="str">
        <f ca="1">IF(AH392="","",DATE(INDEX(OFFSET(Arb!$C$2,,,Arb!$AJ$5,),AH392),INDEX(OFFSET(Arb!$B$2,,,Arb!$AJ$5,),AH392),INDEX(OFFSET(Arb!$A$2,,,Arb!$AJ$5,),AH392))+ROW()*0.001)</f>
        <v/>
      </c>
      <c r="AO392" s="436">
        <v>250</v>
      </c>
      <c r="AQ392" s="52" t="str">
        <f ca="1">IF(AP392="","",INDEX(OFFSET(Arb!$H$2,,,Arb!$AJ$5,),AP392))</f>
        <v/>
      </c>
      <c r="AR392" s="3" t="str">
        <f t="shared" ca="1" si="120"/>
        <v/>
      </c>
      <c r="AS392" s="165" t="str">
        <f ca="1">IF(AP392="","",INDEX(OFFSET(Arb!$X$2,,,Arb!$AJ$5,),AP392)/AQ392)</f>
        <v/>
      </c>
      <c r="AT392" s="165" t="str">
        <f ca="1">IF(AP392="","",(INDEX(OFFSET(Arb!$U$2,,,Arb!$AJ$5,),AP392)+INDEX(OFFSET(Arb!$V$2,,,Arb!$AJ$5,),AP392))/AQ392)</f>
        <v/>
      </c>
      <c r="AU392" s="51" t="str">
        <f t="shared" ca="1" si="130"/>
        <v/>
      </c>
      <c r="AV392" s="91" t="str">
        <f ca="1">IF(AP392="","",DATE(INDEX(OFFSET(Arb!$C$2,,,Arb!$AJ$5,),AP392),INDEX(OFFSET(Arb!$B$2,,,Arb!$AJ$5,),AP392),INDEX(OFFSET(Arb!$A$2,,,Arb!$AJ$5,),AP392))+ROW()*0.001)</f>
        <v/>
      </c>
      <c r="AW392" s="442">
        <v>250</v>
      </c>
      <c r="AY392" s="52" t="str">
        <f ca="1">IF(AX392="","",INDEX(OFFSET(Arb!$H$2,,,Arb!$AJ$5,),AX392))</f>
        <v/>
      </c>
      <c r="AZ392" s="3" t="str">
        <f t="shared" ca="1" si="121"/>
        <v/>
      </c>
      <c r="BA392" s="165" t="str">
        <f ca="1">IF(AX392="","",INDEX(OFFSET(Arb!$X$2,,,Arb!$AJ$5,),AX392)/AY392)</f>
        <v/>
      </c>
      <c r="BB392" s="165" t="str">
        <f ca="1">IF(AX392="","",(INDEX(OFFSET(Arb!$U$2,,,Arb!$AJ$5,),AX392)+INDEX(OFFSET(Arb!$V$2,,,Arb!$AJ$5,),AX392))/AY392)</f>
        <v/>
      </c>
      <c r="BC392" s="51" t="str">
        <f t="shared" ca="1" si="131"/>
        <v/>
      </c>
      <c r="BD392" s="88" t="str">
        <f ca="1">IF(AX392="","",DATE(INDEX(OFFSET(Arb!$C$2,,,Arb!$AJ$5,),AX392),INDEX(OFFSET(Arb!$B$2,,,Arb!$AJ$5,),AX392),INDEX(OFFSET(Arb!$A$2,,,Arb!$AJ$5,),AX392))+ROW()*0.001)</f>
        <v/>
      </c>
      <c r="BE392" s="436">
        <v>250</v>
      </c>
      <c r="BG392" s="52" t="str">
        <f ca="1">IF(BF392="","",INDEX(OFFSET(Arb!$H$2,,,Arb!$AJ$5,),BF392))</f>
        <v/>
      </c>
      <c r="BH392" s="3" t="str">
        <f t="shared" ca="1" si="122"/>
        <v/>
      </c>
      <c r="BI392" s="165" t="str">
        <f ca="1">IF(BF392="","",INDEX(OFFSET(Arb!$X$2,,,Arb!$AJ$5,),BF392)/BG392)</f>
        <v/>
      </c>
      <c r="BJ392" s="165" t="str">
        <f ca="1">IF(BF392="","",(INDEX(OFFSET(Arb!$U$2,,,Arb!$AJ$5,),BF392)+INDEX(OFFSET(Arb!$V$2,,,Arb!$AJ$5,),BF392))/BG392)</f>
        <v/>
      </c>
      <c r="BK392" s="51" t="str">
        <f t="shared" ca="1" si="132"/>
        <v/>
      </c>
      <c r="BL392" s="91" t="str">
        <f ca="1">IF(BF392="","",DATE(INDEX(OFFSET(Arb!$C$2,,,Arb!$AJ$5,),BF392),INDEX(OFFSET(Arb!$B$2,,,Arb!$AJ$5,),BF392),INDEX(OFFSET(Arb!$A$2,,,Arb!$AJ$5,),BF392))+ROW()*0.001)</f>
        <v/>
      </c>
      <c r="BM392" s="442">
        <v>250</v>
      </c>
      <c r="BO392" s="52" t="str">
        <f ca="1">IF(BN392="","",INDEX(OFFSET(Arb!$H$2,,,Arb!$AJ$5,),BN392))</f>
        <v/>
      </c>
      <c r="BP392" s="3" t="str">
        <f t="shared" ca="1" si="123"/>
        <v/>
      </c>
      <c r="BQ392" s="165" t="str">
        <f ca="1">IF(BN392="","",INDEX(OFFSET(Arb!$X$2,,,Arb!$AJ$5,),BN392)/BO392)</f>
        <v/>
      </c>
      <c r="BR392" s="165" t="str">
        <f ca="1">IF(BN392="","",(INDEX(OFFSET(Arb!$U$2,,,Arb!$AJ$5,),BN392)+INDEX(OFFSET(Arb!$V$2,,,Arb!$AJ$5,),BN392))/BO392)</f>
        <v/>
      </c>
      <c r="BS392" s="51" t="str">
        <f t="shared" ca="1" si="133"/>
        <v/>
      </c>
      <c r="BT392" s="88" t="str">
        <f ca="1">IF(BN392="","",DATE(INDEX(OFFSET(Arb!$C$2,,,Arb!$AJ$5,),BN392),INDEX(OFFSET(Arb!$B$2,,,Arb!$AJ$5,),BN392),INDEX(OFFSET(Arb!$A$2,,,Arb!$AJ$5,),BN392))+ROW()*0.001)</f>
        <v/>
      </c>
      <c r="BU392" s="436">
        <v>250</v>
      </c>
      <c r="BW392" s="52" t="str">
        <f ca="1">IF(BV392="","",INDEX(OFFSET(Arb!$H$2,,,Arb!$AJ$5,),BV392))</f>
        <v/>
      </c>
      <c r="BX392" s="3" t="str">
        <f t="shared" ca="1" si="124"/>
        <v/>
      </c>
      <c r="BY392" s="165" t="str">
        <f ca="1">IF(BV392="","",INDEX(OFFSET(Arb!$X$2,,,Arb!$AJ$5,),BV392)/BW392)</f>
        <v/>
      </c>
      <c r="BZ392" s="165" t="str">
        <f ca="1">IF(BV392="","",(INDEX(OFFSET(Arb!$U$2,,,Arb!$AJ$5,),BV392)+INDEX(OFFSET(Arb!$V$2,,,Arb!$AJ$5,),BV392))/BW392)</f>
        <v/>
      </c>
      <c r="CA392" s="51" t="str">
        <f t="shared" ca="1" si="134"/>
        <v/>
      </c>
      <c r="CB392" s="91" t="str">
        <f ca="1">IF(BV392="","",DATE(INDEX(OFFSET(Arb!$C$2,,,Arb!$AJ$5,),BV392),INDEX(OFFSET(Arb!$B$2,,,Arb!$AJ$5,),BV392),INDEX(OFFSET(Arb!$A$2,,,Arb!$AJ$5,),BV392))+ROW()*0.001)</f>
        <v/>
      </c>
    </row>
    <row r="393" spans="1:80" x14ac:dyDescent="0.25">
      <c r="A393" s="433">
        <v>251</v>
      </c>
      <c r="C393" s="52" t="str">
        <f ca="1">IF(B393="","",INDEX(OFFSET(Arb!$H$2,,,Arb!$AJ$5,),B393))</f>
        <v/>
      </c>
      <c r="D393" s="3" t="str">
        <f t="shared" ca="1" si="115"/>
        <v/>
      </c>
      <c r="E393" s="165" t="str">
        <f ca="1">IF(B393="","",INDEX(OFFSET(Arb!$X$2,,,Arb!$AJ$5,),B393)/C393)</f>
        <v/>
      </c>
      <c r="F393" s="165" t="str">
        <f ca="1">IF(B393="","",(INDEX(OFFSET(Arb!$U$2,,,Arb!$AJ$5,),B393)+INDEX(OFFSET(Arb!$V$2,,,Arb!$AJ$5,),B393))/C393)</f>
        <v/>
      </c>
      <c r="G393" s="51" t="str">
        <f t="shared" ca="1" si="125"/>
        <v/>
      </c>
      <c r="H393" s="355" t="str">
        <f ca="1">IF(B393="","",DATE(INDEX(OFFSET(Arb!$C$2,,,Arb!$AJ$5,),B393),INDEX(OFFSET(Arb!$B$2,,,Arb!$AJ$5,),B393),INDEX(OFFSET(Arb!$A$2,,,Arb!$AJ$5,),B393))+ROW()*0.001)</f>
        <v/>
      </c>
      <c r="I393" s="436">
        <v>251</v>
      </c>
      <c r="K393" s="52" t="str">
        <f ca="1">IF(J393="","",INDEX(OFFSET(Arb!$H$2,,,Arb!$AJ$5,),J393))</f>
        <v/>
      </c>
      <c r="L393" s="3" t="str">
        <f t="shared" ca="1" si="116"/>
        <v/>
      </c>
      <c r="M393" s="165" t="str">
        <f ca="1">IF(J393="","",INDEX(OFFSET(Arb!$X$2,,,Arb!$AJ$5,),J393)/K393)</f>
        <v/>
      </c>
      <c r="N393" s="165" t="str">
        <f ca="1">IF(J393="","",(INDEX(OFFSET(Arb!$U$2,,,Arb!$AJ$5,),J393)+INDEX(OFFSET(Arb!$V$2,,,Arb!$AJ$5,),J393))/K393)</f>
        <v/>
      </c>
      <c r="O393" s="51" t="str">
        <f t="shared" ca="1" si="126"/>
        <v/>
      </c>
      <c r="P393" s="91" t="str">
        <f ca="1">IF(J393="","",DATE(INDEX(OFFSET(Arb!$C$2,,,Arb!$AJ$5,),J393),INDEX(OFFSET(Arb!$B$2,,,Arb!$AJ$5,),J393),INDEX(OFFSET(Arb!$A$2,,,Arb!$AJ$5,),J393))+ROW()*0.001)</f>
        <v/>
      </c>
      <c r="Q393" s="442">
        <v>251</v>
      </c>
      <c r="S393" s="52" t="str">
        <f ca="1">IF(R393="","",INDEX(OFFSET(Arb!$H$2,,,Arb!$AJ$5,),R393))</f>
        <v/>
      </c>
      <c r="T393" s="3" t="str">
        <f t="shared" ca="1" si="117"/>
        <v/>
      </c>
      <c r="U393" s="165" t="str">
        <f ca="1">IF(R393="","",INDEX(OFFSET(Arb!$X$2,,,Arb!$AJ$5,),R393)/S393)</f>
        <v/>
      </c>
      <c r="V393" s="165" t="str">
        <f ca="1">IF(R393="","",(INDEX(OFFSET(Arb!$U$2,,,Arb!$AJ$5,),R393)+INDEX(OFFSET(Arb!$V$2,,,Arb!$AJ$5,),R393))/S393)</f>
        <v/>
      </c>
      <c r="W393" s="51" t="str">
        <f t="shared" ca="1" si="127"/>
        <v/>
      </c>
      <c r="X393" s="88" t="str">
        <f ca="1">IF(R393="","",DATE(INDEX(OFFSET(Arb!$C$2,,,Arb!$AJ$5,),R393),INDEX(OFFSET(Arb!$B$2,,,Arb!$AJ$5,),R393),INDEX(OFFSET(Arb!$A$2,,,Arb!$AJ$5,),R393))+ROW()*0.001)</f>
        <v/>
      </c>
      <c r="Y393" s="436">
        <v>251</v>
      </c>
      <c r="AA393" s="52" t="str">
        <f ca="1">IF(Z393="","",INDEX(OFFSET(Arb!$H$2,,,Arb!$AJ$5,),Z393))</f>
        <v/>
      </c>
      <c r="AB393" s="3" t="str">
        <f t="shared" ca="1" si="118"/>
        <v/>
      </c>
      <c r="AC393" s="165" t="str">
        <f ca="1">IF(Z393="","",INDEX(OFFSET(Arb!$X$2,,,Arb!$AJ$5,),Z393)/AA393)</f>
        <v/>
      </c>
      <c r="AD393" s="165" t="str">
        <f ca="1">IF(Z393="","",(INDEX(OFFSET(Arb!$U$2,,,Arb!$AJ$5,),Z393)+INDEX(OFFSET(Arb!$V$2,,,Arb!$AJ$5,),Z393))/AA393)</f>
        <v/>
      </c>
      <c r="AE393" s="51" t="str">
        <f t="shared" ca="1" si="128"/>
        <v/>
      </c>
      <c r="AF393" s="91" t="str">
        <f ca="1">IF(Z393="","",DATE(INDEX(OFFSET(Arb!$C$2,,,Arb!$AJ$5,),Z393),INDEX(OFFSET(Arb!$B$2,,,Arb!$AJ$5,),Z393),INDEX(OFFSET(Arb!$A$2,,,Arb!$AJ$5,),Z393))+ROW()*0.001)</f>
        <v/>
      </c>
      <c r="AG393" s="442">
        <v>251</v>
      </c>
      <c r="AI393" s="52" t="str">
        <f ca="1">IF(AH393="","",INDEX(OFFSET(Arb!$H$2,,,Arb!$AJ$5,),AH393))</f>
        <v/>
      </c>
      <c r="AJ393" s="3" t="str">
        <f t="shared" ca="1" si="119"/>
        <v/>
      </c>
      <c r="AK393" s="165" t="str">
        <f ca="1">IF(AH393="","",INDEX(OFFSET(Arb!$X$2,,,Arb!$AJ$5,),AH393)/AI393)</f>
        <v/>
      </c>
      <c r="AL393" s="165" t="str">
        <f ca="1">IF(AH393="","",(INDEX(OFFSET(Arb!$U$2,,,Arb!$AJ$5,),AH393)+INDEX(OFFSET(Arb!$V$2,,,Arb!$AJ$5,),AH393))/AI393)</f>
        <v/>
      </c>
      <c r="AM393" s="51" t="str">
        <f t="shared" ca="1" si="129"/>
        <v/>
      </c>
      <c r="AN393" s="88" t="str">
        <f ca="1">IF(AH393="","",DATE(INDEX(OFFSET(Arb!$C$2,,,Arb!$AJ$5,),AH393),INDEX(OFFSET(Arb!$B$2,,,Arb!$AJ$5,),AH393),INDEX(OFFSET(Arb!$A$2,,,Arb!$AJ$5,),AH393))+ROW()*0.001)</f>
        <v/>
      </c>
      <c r="AO393" s="436">
        <v>251</v>
      </c>
      <c r="AQ393" s="52" t="str">
        <f ca="1">IF(AP393="","",INDEX(OFFSET(Arb!$H$2,,,Arb!$AJ$5,),AP393))</f>
        <v/>
      </c>
      <c r="AR393" s="3" t="str">
        <f t="shared" ca="1" si="120"/>
        <v/>
      </c>
      <c r="AS393" s="165" t="str">
        <f ca="1">IF(AP393="","",INDEX(OFFSET(Arb!$X$2,,,Arb!$AJ$5,),AP393)/AQ393)</f>
        <v/>
      </c>
      <c r="AT393" s="165" t="str">
        <f ca="1">IF(AP393="","",(INDEX(OFFSET(Arb!$U$2,,,Arb!$AJ$5,),AP393)+INDEX(OFFSET(Arb!$V$2,,,Arb!$AJ$5,),AP393))/AQ393)</f>
        <v/>
      </c>
      <c r="AU393" s="51" t="str">
        <f t="shared" ca="1" si="130"/>
        <v/>
      </c>
      <c r="AV393" s="91" t="str">
        <f ca="1">IF(AP393="","",DATE(INDEX(OFFSET(Arb!$C$2,,,Arb!$AJ$5,),AP393),INDEX(OFFSET(Arb!$B$2,,,Arb!$AJ$5,),AP393),INDEX(OFFSET(Arb!$A$2,,,Arb!$AJ$5,),AP393))+ROW()*0.001)</f>
        <v/>
      </c>
      <c r="AW393" s="442">
        <v>251</v>
      </c>
      <c r="AY393" s="52" t="str">
        <f ca="1">IF(AX393="","",INDEX(OFFSET(Arb!$H$2,,,Arb!$AJ$5,),AX393))</f>
        <v/>
      </c>
      <c r="AZ393" s="3" t="str">
        <f t="shared" ca="1" si="121"/>
        <v/>
      </c>
      <c r="BA393" s="165" t="str">
        <f ca="1">IF(AX393="","",INDEX(OFFSET(Arb!$X$2,,,Arb!$AJ$5,),AX393)/AY393)</f>
        <v/>
      </c>
      <c r="BB393" s="165" t="str">
        <f ca="1">IF(AX393="","",(INDEX(OFFSET(Arb!$U$2,,,Arb!$AJ$5,),AX393)+INDEX(OFFSET(Arb!$V$2,,,Arb!$AJ$5,),AX393))/AY393)</f>
        <v/>
      </c>
      <c r="BC393" s="51" t="str">
        <f t="shared" ca="1" si="131"/>
        <v/>
      </c>
      <c r="BD393" s="88" t="str">
        <f ca="1">IF(AX393="","",DATE(INDEX(OFFSET(Arb!$C$2,,,Arb!$AJ$5,),AX393),INDEX(OFFSET(Arb!$B$2,,,Arb!$AJ$5,),AX393),INDEX(OFFSET(Arb!$A$2,,,Arb!$AJ$5,),AX393))+ROW()*0.001)</f>
        <v/>
      </c>
      <c r="BE393" s="436">
        <v>251</v>
      </c>
      <c r="BG393" s="52" t="str">
        <f ca="1">IF(BF393="","",INDEX(OFFSET(Arb!$H$2,,,Arb!$AJ$5,),BF393))</f>
        <v/>
      </c>
      <c r="BH393" s="3" t="str">
        <f t="shared" ca="1" si="122"/>
        <v/>
      </c>
      <c r="BI393" s="165" t="str">
        <f ca="1">IF(BF393="","",INDEX(OFFSET(Arb!$X$2,,,Arb!$AJ$5,),BF393)/BG393)</f>
        <v/>
      </c>
      <c r="BJ393" s="165" t="str">
        <f ca="1">IF(BF393="","",(INDEX(OFFSET(Arb!$U$2,,,Arb!$AJ$5,),BF393)+INDEX(OFFSET(Arb!$V$2,,,Arb!$AJ$5,),BF393))/BG393)</f>
        <v/>
      </c>
      <c r="BK393" s="51" t="str">
        <f t="shared" ca="1" si="132"/>
        <v/>
      </c>
      <c r="BL393" s="91" t="str">
        <f ca="1">IF(BF393="","",DATE(INDEX(OFFSET(Arb!$C$2,,,Arb!$AJ$5,),BF393),INDEX(OFFSET(Arb!$B$2,,,Arb!$AJ$5,),BF393),INDEX(OFFSET(Arb!$A$2,,,Arb!$AJ$5,),BF393))+ROW()*0.001)</f>
        <v/>
      </c>
      <c r="BM393" s="442">
        <v>251</v>
      </c>
      <c r="BO393" s="52" t="str">
        <f ca="1">IF(BN393="","",INDEX(OFFSET(Arb!$H$2,,,Arb!$AJ$5,),BN393))</f>
        <v/>
      </c>
      <c r="BP393" s="3" t="str">
        <f t="shared" ca="1" si="123"/>
        <v/>
      </c>
      <c r="BQ393" s="165" t="str">
        <f ca="1">IF(BN393="","",INDEX(OFFSET(Arb!$X$2,,,Arb!$AJ$5,),BN393)/BO393)</f>
        <v/>
      </c>
      <c r="BR393" s="165" t="str">
        <f ca="1">IF(BN393="","",(INDEX(OFFSET(Arb!$U$2,,,Arb!$AJ$5,),BN393)+INDEX(OFFSET(Arb!$V$2,,,Arb!$AJ$5,),BN393))/BO393)</f>
        <v/>
      </c>
      <c r="BS393" s="51" t="str">
        <f t="shared" ca="1" si="133"/>
        <v/>
      </c>
      <c r="BT393" s="88" t="str">
        <f ca="1">IF(BN393="","",DATE(INDEX(OFFSET(Arb!$C$2,,,Arb!$AJ$5,),BN393),INDEX(OFFSET(Arb!$B$2,,,Arb!$AJ$5,),BN393),INDEX(OFFSET(Arb!$A$2,,,Arb!$AJ$5,),BN393))+ROW()*0.001)</f>
        <v/>
      </c>
      <c r="BU393" s="436">
        <v>251</v>
      </c>
      <c r="BW393" s="52" t="str">
        <f ca="1">IF(BV393="","",INDEX(OFFSET(Arb!$H$2,,,Arb!$AJ$5,),BV393))</f>
        <v/>
      </c>
      <c r="BX393" s="3" t="str">
        <f t="shared" ca="1" si="124"/>
        <v/>
      </c>
      <c r="BY393" s="165" t="str">
        <f ca="1">IF(BV393="","",INDEX(OFFSET(Arb!$X$2,,,Arb!$AJ$5,),BV393)/BW393)</f>
        <v/>
      </c>
      <c r="BZ393" s="165" t="str">
        <f ca="1">IF(BV393="","",(INDEX(OFFSET(Arb!$U$2,,,Arb!$AJ$5,),BV393)+INDEX(OFFSET(Arb!$V$2,,,Arb!$AJ$5,),BV393))/BW393)</f>
        <v/>
      </c>
      <c r="CA393" s="51" t="str">
        <f t="shared" ca="1" si="134"/>
        <v/>
      </c>
      <c r="CB393" s="91" t="str">
        <f ca="1">IF(BV393="","",DATE(INDEX(OFFSET(Arb!$C$2,,,Arb!$AJ$5,),BV393),INDEX(OFFSET(Arb!$B$2,,,Arb!$AJ$5,),BV393),INDEX(OFFSET(Arb!$A$2,,,Arb!$AJ$5,),BV393))+ROW()*0.001)</f>
        <v/>
      </c>
    </row>
    <row r="394" spans="1:80" x14ac:dyDescent="0.25">
      <c r="A394" s="433">
        <v>252</v>
      </c>
      <c r="C394" s="52" t="str">
        <f ca="1">IF(B394="","",INDEX(OFFSET(Arb!$H$2,,,Arb!$AJ$5,),B394))</f>
        <v/>
      </c>
      <c r="D394" s="3" t="str">
        <f t="shared" ca="1" si="115"/>
        <v/>
      </c>
      <c r="E394" s="165" t="str">
        <f ca="1">IF(B394="","",INDEX(OFFSET(Arb!$X$2,,,Arb!$AJ$5,),B394)/C394)</f>
        <v/>
      </c>
      <c r="F394" s="165" t="str">
        <f ca="1">IF(B394="","",(INDEX(OFFSET(Arb!$U$2,,,Arb!$AJ$5,),B394)+INDEX(OFFSET(Arb!$V$2,,,Arb!$AJ$5,),B394))/C394)</f>
        <v/>
      </c>
      <c r="G394" s="51" t="str">
        <f t="shared" ca="1" si="125"/>
        <v/>
      </c>
      <c r="H394" s="355" t="str">
        <f ca="1">IF(B394="","",DATE(INDEX(OFFSET(Arb!$C$2,,,Arb!$AJ$5,),B394),INDEX(OFFSET(Arb!$B$2,,,Arb!$AJ$5,),B394),INDEX(OFFSET(Arb!$A$2,,,Arb!$AJ$5,),B394))+ROW()*0.001)</f>
        <v/>
      </c>
      <c r="I394" s="436">
        <v>252</v>
      </c>
      <c r="K394" s="52" t="str">
        <f ca="1">IF(J394="","",INDEX(OFFSET(Arb!$H$2,,,Arb!$AJ$5,),J394))</f>
        <v/>
      </c>
      <c r="L394" s="3" t="str">
        <f t="shared" ca="1" si="116"/>
        <v/>
      </c>
      <c r="M394" s="165" t="str">
        <f ca="1">IF(J394="","",INDEX(OFFSET(Arb!$X$2,,,Arb!$AJ$5,),J394)/K394)</f>
        <v/>
      </c>
      <c r="N394" s="165" t="str">
        <f ca="1">IF(J394="","",(INDEX(OFFSET(Arb!$U$2,,,Arb!$AJ$5,),J394)+INDEX(OFFSET(Arb!$V$2,,,Arb!$AJ$5,),J394))/K394)</f>
        <v/>
      </c>
      <c r="O394" s="51" t="str">
        <f t="shared" ca="1" si="126"/>
        <v/>
      </c>
      <c r="P394" s="91" t="str">
        <f ca="1">IF(J394="","",DATE(INDEX(OFFSET(Arb!$C$2,,,Arb!$AJ$5,),J394),INDEX(OFFSET(Arb!$B$2,,,Arb!$AJ$5,),J394),INDEX(OFFSET(Arb!$A$2,,,Arb!$AJ$5,),J394))+ROW()*0.001)</f>
        <v/>
      </c>
      <c r="Q394" s="442">
        <v>252</v>
      </c>
      <c r="S394" s="52" t="str">
        <f ca="1">IF(R394="","",INDEX(OFFSET(Arb!$H$2,,,Arb!$AJ$5,),R394))</f>
        <v/>
      </c>
      <c r="T394" s="3" t="str">
        <f t="shared" ca="1" si="117"/>
        <v/>
      </c>
      <c r="U394" s="165" t="str">
        <f ca="1">IF(R394="","",INDEX(OFFSET(Arb!$X$2,,,Arb!$AJ$5,),R394)/S394)</f>
        <v/>
      </c>
      <c r="V394" s="165" t="str">
        <f ca="1">IF(R394="","",(INDEX(OFFSET(Arb!$U$2,,,Arb!$AJ$5,),R394)+INDEX(OFFSET(Arb!$V$2,,,Arb!$AJ$5,),R394))/S394)</f>
        <v/>
      </c>
      <c r="W394" s="51" t="str">
        <f t="shared" ca="1" si="127"/>
        <v/>
      </c>
      <c r="X394" s="88" t="str">
        <f ca="1">IF(R394="","",DATE(INDEX(OFFSET(Arb!$C$2,,,Arb!$AJ$5,),R394),INDEX(OFFSET(Arb!$B$2,,,Arb!$AJ$5,),R394),INDEX(OFFSET(Arb!$A$2,,,Arb!$AJ$5,),R394))+ROW()*0.001)</f>
        <v/>
      </c>
      <c r="Y394" s="436">
        <v>252</v>
      </c>
      <c r="AA394" s="52" t="str">
        <f ca="1">IF(Z394="","",INDEX(OFFSET(Arb!$H$2,,,Arb!$AJ$5,),Z394))</f>
        <v/>
      </c>
      <c r="AB394" s="3" t="str">
        <f t="shared" ca="1" si="118"/>
        <v/>
      </c>
      <c r="AC394" s="165" t="str">
        <f ca="1">IF(Z394="","",INDEX(OFFSET(Arb!$X$2,,,Arb!$AJ$5,),Z394)/AA394)</f>
        <v/>
      </c>
      <c r="AD394" s="165" t="str">
        <f ca="1">IF(Z394="","",(INDEX(OFFSET(Arb!$U$2,,,Arb!$AJ$5,),Z394)+INDEX(OFFSET(Arb!$V$2,,,Arb!$AJ$5,),Z394))/AA394)</f>
        <v/>
      </c>
      <c r="AE394" s="51" t="str">
        <f t="shared" ca="1" si="128"/>
        <v/>
      </c>
      <c r="AF394" s="91" t="str">
        <f ca="1">IF(Z394="","",DATE(INDEX(OFFSET(Arb!$C$2,,,Arb!$AJ$5,),Z394),INDEX(OFFSET(Arb!$B$2,,,Arb!$AJ$5,),Z394),INDEX(OFFSET(Arb!$A$2,,,Arb!$AJ$5,),Z394))+ROW()*0.001)</f>
        <v/>
      </c>
      <c r="AG394" s="442">
        <v>252</v>
      </c>
      <c r="AI394" s="52" t="str">
        <f ca="1">IF(AH394="","",INDEX(OFFSET(Arb!$H$2,,,Arb!$AJ$5,),AH394))</f>
        <v/>
      </c>
      <c r="AJ394" s="3" t="str">
        <f t="shared" ca="1" si="119"/>
        <v/>
      </c>
      <c r="AK394" s="165" t="str">
        <f ca="1">IF(AH394="","",INDEX(OFFSET(Arb!$X$2,,,Arb!$AJ$5,),AH394)/AI394)</f>
        <v/>
      </c>
      <c r="AL394" s="165" t="str">
        <f ca="1">IF(AH394="","",(INDEX(OFFSET(Arb!$U$2,,,Arb!$AJ$5,),AH394)+INDEX(OFFSET(Arb!$V$2,,,Arb!$AJ$5,),AH394))/AI394)</f>
        <v/>
      </c>
      <c r="AM394" s="51" t="str">
        <f t="shared" ca="1" si="129"/>
        <v/>
      </c>
      <c r="AN394" s="88" t="str">
        <f ca="1">IF(AH394="","",DATE(INDEX(OFFSET(Arb!$C$2,,,Arb!$AJ$5,),AH394),INDEX(OFFSET(Arb!$B$2,,,Arb!$AJ$5,),AH394),INDEX(OFFSET(Arb!$A$2,,,Arb!$AJ$5,),AH394))+ROW()*0.001)</f>
        <v/>
      </c>
      <c r="AO394" s="436">
        <v>252</v>
      </c>
      <c r="AQ394" s="52" t="str">
        <f ca="1">IF(AP394="","",INDEX(OFFSET(Arb!$H$2,,,Arb!$AJ$5,),AP394))</f>
        <v/>
      </c>
      <c r="AR394" s="3" t="str">
        <f t="shared" ca="1" si="120"/>
        <v/>
      </c>
      <c r="AS394" s="165" t="str">
        <f ca="1">IF(AP394="","",INDEX(OFFSET(Arb!$X$2,,,Arb!$AJ$5,),AP394)/AQ394)</f>
        <v/>
      </c>
      <c r="AT394" s="165" t="str">
        <f ca="1">IF(AP394="","",(INDEX(OFFSET(Arb!$U$2,,,Arb!$AJ$5,),AP394)+INDEX(OFFSET(Arb!$V$2,,,Arb!$AJ$5,),AP394))/AQ394)</f>
        <v/>
      </c>
      <c r="AU394" s="51" t="str">
        <f t="shared" ca="1" si="130"/>
        <v/>
      </c>
      <c r="AV394" s="91" t="str">
        <f ca="1">IF(AP394="","",DATE(INDEX(OFFSET(Arb!$C$2,,,Arb!$AJ$5,),AP394),INDEX(OFFSET(Arb!$B$2,,,Arb!$AJ$5,),AP394),INDEX(OFFSET(Arb!$A$2,,,Arb!$AJ$5,),AP394))+ROW()*0.001)</f>
        <v/>
      </c>
      <c r="AW394" s="442">
        <v>252</v>
      </c>
      <c r="AY394" s="52" t="str">
        <f ca="1">IF(AX394="","",INDEX(OFFSET(Arb!$H$2,,,Arb!$AJ$5,),AX394))</f>
        <v/>
      </c>
      <c r="AZ394" s="3" t="str">
        <f t="shared" ca="1" si="121"/>
        <v/>
      </c>
      <c r="BA394" s="165" t="str">
        <f ca="1">IF(AX394="","",INDEX(OFFSET(Arb!$X$2,,,Arb!$AJ$5,),AX394)/AY394)</f>
        <v/>
      </c>
      <c r="BB394" s="165" t="str">
        <f ca="1">IF(AX394="","",(INDEX(OFFSET(Arb!$U$2,,,Arb!$AJ$5,),AX394)+INDEX(OFFSET(Arb!$V$2,,,Arb!$AJ$5,),AX394))/AY394)</f>
        <v/>
      </c>
      <c r="BC394" s="51" t="str">
        <f t="shared" ca="1" si="131"/>
        <v/>
      </c>
      <c r="BD394" s="88" t="str">
        <f ca="1">IF(AX394="","",DATE(INDEX(OFFSET(Arb!$C$2,,,Arb!$AJ$5,),AX394),INDEX(OFFSET(Arb!$B$2,,,Arb!$AJ$5,),AX394),INDEX(OFFSET(Arb!$A$2,,,Arb!$AJ$5,),AX394))+ROW()*0.001)</f>
        <v/>
      </c>
      <c r="BE394" s="436">
        <v>252</v>
      </c>
      <c r="BG394" s="52" t="str">
        <f ca="1">IF(BF394="","",INDEX(OFFSET(Arb!$H$2,,,Arb!$AJ$5,),BF394))</f>
        <v/>
      </c>
      <c r="BH394" s="3" t="str">
        <f t="shared" ca="1" si="122"/>
        <v/>
      </c>
      <c r="BI394" s="165" t="str">
        <f ca="1">IF(BF394="","",INDEX(OFFSET(Arb!$X$2,,,Arb!$AJ$5,),BF394)/BG394)</f>
        <v/>
      </c>
      <c r="BJ394" s="165" t="str">
        <f ca="1">IF(BF394="","",(INDEX(OFFSET(Arb!$U$2,,,Arb!$AJ$5,),BF394)+INDEX(OFFSET(Arb!$V$2,,,Arb!$AJ$5,),BF394))/BG394)</f>
        <v/>
      </c>
      <c r="BK394" s="51" t="str">
        <f t="shared" ca="1" si="132"/>
        <v/>
      </c>
      <c r="BL394" s="91" t="str">
        <f ca="1">IF(BF394="","",DATE(INDEX(OFFSET(Arb!$C$2,,,Arb!$AJ$5,),BF394),INDEX(OFFSET(Arb!$B$2,,,Arb!$AJ$5,),BF394),INDEX(OFFSET(Arb!$A$2,,,Arb!$AJ$5,),BF394))+ROW()*0.001)</f>
        <v/>
      </c>
      <c r="BM394" s="442">
        <v>252</v>
      </c>
      <c r="BO394" s="52" t="str">
        <f ca="1">IF(BN394="","",INDEX(OFFSET(Arb!$H$2,,,Arb!$AJ$5,),BN394))</f>
        <v/>
      </c>
      <c r="BP394" s="3" t="str">
        <f t="shared" ca="1" si="123"/>
        <v/>
      </c>
      <c r="BQ394" s="165" t="str">
        <f ca="1">IF(BN394="","",INDEX(OFFSET(Arb!$X$2,,,Arb!$AJ$5,),BN394)/BO394)</f>
        <v/>
      </c>
      <c r="BR394" s="165" t="str">
        <f ca="1">IF(BN394="","",(INDEX(OFFSET(Arb!$U$2,,,Arb!$AJ$5,),BN394)+INDEX(OFFSET(Arb!$V$2,,,Arb!$AJ$5,),BN394))/BO394)</f>
        <v/>
      </c>
      <c r="BS394" s="51" t="str">
        <f t="shared" ca="1" si="133"/>
        <v/>
      </c>
      <c r="BT394" s="88" t="str">
        <f ca="1">IF(BN394="","",DATE(INDEX(OFFSET(Arb!$C$2,,,Arb!$AJ$5,),BN394),INDEX(OFFSET(Arb!$B$2,,,Arb!$AJ$5,),BN394),INDEX(OFFSET(Arb!$A$2,,,Arb!$AJ$5,),BN394))+ROW()*0.001)</f>
        <v/>
      </c>
      <c r="BU394" s="436">
        <v>252</v>
      </c>
      <c r="BW394" s="52" t="str">
        <f ca="1">IF(BV394="","",INDEX(OFFSET(Arb!$H$2,,,Arb!$AJ$5,),BV394))</f>
        <v/>
      </c>
      <c r="BX394" s="3" t="str">
        <f t="shared" ca="1" si="124"/>
        <v/>
      </c>
      <c r="BY394" s="165" t="str">
        <f ca="1">IF(BV394="","",INDEX(OFFSET(Arb!$X$2,,,Arb!$AJ$5,),BV394)/BW394)</f>
        <v/>
      </c>
      <c r="BZ394" s="165" t="str">
        <f ca="1">IF(BV394="","",(INDEX(OFFSET(Arb!$U$2,,,Arb!$AJ$5,),BV394)+INDEX(OFFSET(Arb!$V$2,,,Arb!$AJ$5,),BV394))/BW394)</f>
        <v/>
      </c>
      <c r="CA394" s="51" t="str">
        <f t="shared" ca="1" si="134"/>
        <v/>
      </c>
      <c r="CB394" s="91" t="str">
        <f ca="1">IF(BV394="","",DATE(INDEX(OFFSET(Arb!$C$2,,,Arb!$AJ$5,),BV394),INDEX(OFFSET(Arb!$B$2,,,Arb!$AJ$5,),BV394),INDEX(OFFSET(Arb!$A$2,,,Arb!$AJ$5,),BV394))+ROW()*0.001)</f>
        <v/>
      </c>
    </row>
    <row r="395" spans="1:80" x14ac:dyDescent="0.25">
      <c r="A395" s="433">
        <v>253</v>
      </c>
      <c r="C395" s="52" t="str">
        <f ca="1">IF(B395="","",INDEX(OFFSET(Arb!$H$2,,,Arb!$AJ$5,),B395))</f>
        <v/>
      </c>
      <c r="D395" s="3" t="str">
        <f t="shared" ca="1" si="115"/>
        <v/>
      </c>
      <c r="E395" s="165" t="str">
        <f ca="1">IF(B395="","",INDEX(OFFSET(Arb!$X$2,,,Arb!$AJ$5,),B395)/C395)</f>
        <v/>
      </c>
      <c r="F395" s="165" t="str">
        <f ca="1">IF(B395="","",(INDEX(OFFSET(Arb!$U$2,,,Arb!$AJ$5,),B395)+INDEX(OFFSET(Arb!$V$2,,,Arb!$AJ$5,),B395))/C395)</f>
        <v/>
      </c>
      <c r="G395" s="51" t="str">
        <f t="shared" ca="1" si="125"/>
        <v/>
      </c>
      <c r="H395" s="355" t="str">
        <f ca="1">IF(B395="","",DATE(INDEX(OFFSET(Arb!$C$2,,,Arb!$AJ$5,),B395),INDEX(OFFSET(Arb!$B$2,,,Arb!$AJ$5,),B395),INDEX(OFFSET(Arb!$A$2,,,Arb!$AJ$5,),B395))+ROW()*0.001)</f>
        <v/>
      </c>
      <c r="I395" s="436">
        <v>253</v>
      </c>
      <c r="K395" s="52" t="str">
        <f ca="1">IF(J395="","",INDEX(OFFSET(Arb!$H$2,,,Arb!$AJ$5,),J395))</f>
        <v/>
      </c>
      <c r="L395" s="3" t="str">
        <f t="shared" ca="1" si="116"/>
        <v/>
      </c>
      <c r="M395" s="165" t="str">
        <f ca="1">IF(J395="","",INDEX(OFFSET(Arb!$X$2,,,Arb!$AJ$5,),J395)/K395)</f>
        <v/>
      </c>
      <c r="N395" s="165" t="str">
        <f ca="1">IF(J395="","",(INDEX(OFFSET(Arb!$U$2,,,Arb!$AJ$5,),J395)+INDEX(OFFSET(Arb!$V$2,,,Arb!$AJ$5,),J395))/K395)</f>
        <v/>
      </c>
      <c r="O395" s="51" t="str">
        <f t="shared" ca="1" si="126"/>
        <v/>
      </c>
      <c r="P395" s="91" t="str">
        <f ca="1">IF(J395="","",DATE(INDEX(OFFSET(Arb!$C$2,,,Arb!$AJ$5,),J395),INDEX(OFFSET(Arb!$B$2,,,Arb!$AJ$5,),J395),INDEX(OFFSET(Arb!$A$2,,,Arb!$AJ$5,),J395))+ROW()*0.001)</f>
        <v/>
      </c>
      <c r="Q395" s="442">
        <v>253</v>
      </c>
      <c r="S395" s="52" t="str">
        <f ca="1">IF(R395="","",INDEX(OFFSET(Arb!$H$2,,,Arb!$AJ$5,),R395))</f>
        <v/>
      </c>
      <c r="T395" s="3" t="str">
        <f t="shared" ca="1" si="117"/>
        <v/>
      </c>
      <c r="U395" s="165" t="str">
        <f ca="1">IF(R395="","",INDEX(OFFSET(Arb!$X$2,,,Arb!$AJ$5,),R395)/S395)</f>
        <v/>
      </c>
      <c r="V395" s="165" t="str">
        <f ca="1">IF(R395="","",(INDEX(OFFSET(Arb!$U$2,,,Arb!$AJ$5,),R395)+INDEX(OFFSET(Arb!$V$2,,,Arb!$AJ$5,),R395))/S395)</f>
        <v/>
      </c>
      <c r="W395" s="51" t="str">
        <f t="shared" ca="1" si="127"/>
        <v/>
      </c>
      <c r="X395" s="88" t="str">
        <f ca="1">IF(R395="","",DATE(INDEX(OFFSET(Arb!$C$2,,,Arb!$AJ$5,),R395),INDEX(OFFSET(Arb!$B$2,,,Arb!$AJ$5,),R395),INDEX(OFFSET(Arb!$A$2,,,Arb!$AJ$5,),R395))+ROW()*0.001)</f>
        <v/>
      </c>
      <c r="Y395" s="436">
        <v>253</v>
      </c>
      <c r="AA395" s="52" t="str">
        <f ca="1">IF(Z395="","",INDEX(OFFSET(Arb!$H$2,,,Arb!$AJ$5,),Z395))</f>
        <v/>
      </c>
      <c r="AB395" s="3" t="str">
        <f t="shared" ca="1" si="118"/>
        <v/>
      </c>
      <c r="AC395" s="165" t="str">
        <f ca="1">IF(Z395="","",INDEX(OFFSET(Arb!$X$2,,,Arb!$AJ$5,),Z395)/AA395)</f>
        <v/>
      </c>
      <c r="AD395" s="165" t="str">
        <f ca="1">IF(Z395="","",(INDEX(OFFSET(Arb!$U$2,,,Arb!$AJ$5,),Z395)+INDEX(OFFSET(Arb!$V$2,,,Arb!$AJ$5,),Z395))/AA395)</f>
        <v/>
      </c>
      <c r="AE395" s="51" t="str">
        <f t="shared" ca="1" si="128"/>
        <v/>
      </c>
      <c r="AF395" s="91" t="str">
        <f ca="1">IF(Z395="","",DATE(INDEX(OFFSET(Arb!$C$2,,,Arb!$AJ$5,),Z395),INDEX(OFFSET(Arb!$B$2,,,Arb!$AJ$5,),Z395),INDEX(OFFSET(Arb!$A$2,,,Arb!$AJ$5,),Z395))+ROW()*0.001)</f>
        <v/>
      </c>
      <c r="AG395" s="442">
        <v>253</v>
      </c>
      <c r="AI395" s="52" t="str">
        <f ca="1">IF(AH395="","",INDEX(OFFSET(Arb!$H$2,,,Arb!$AJ$5,),AH395))</f>
        <v/>
      </c>
      <c r="AJ395" s="3" t="str">
        <f t="shared" ca="1" si="119"/>
        <v/>
      </c>
      <c r="AK395" s="165" t="str">
        <f ca="1">IF(AH395="","",INDEX(OFFSET(Arb!$X$2,,,Arb!$AJ$5,),AH395)/AI395)</f>
        <v/>
      </c>
      <c r="AL395" s="165" t="str">
        <f ca="1">IF(AH395="","",(INDEX(OFFSET(Arb!$U$2,,,Arb!$AJ$5,),AH395)+INDEX(OFFSET(Arb!$V$2,,,Arb!$AJ$5,),AH395))/AI395)</f>
        <v/>
      </c>
      <c r="AM395" s="51" t="str">
        <f t="shared" ca="1" si="129"/>
        <v/>
      </c>
      <c r="AN395" s="88" t="str">
        <f ca="1">IF(AH395="","",DATE(INDEX(OFFSET(Arb!$C$2,,,Arb!$AJ$5,),AH395),INDEX(OFFSET(Arb!$B$2,,,Arb!$AJ$5,),AH395),INDEX(OFFSET(Arb!$A$2,,,Arb!$AJ$5,),AH395))+ROW()*0.001)</f>
        <v/>
      </c>
      <c r="AO395" s="436">
        <v>253</v>
      </c>
      <c r="AQ395" s="52" t="str">
        <f ca="1">IF(AP395="","",INDEX(OFFSET(Arb!$H$2,,,Arb!$AJ$5,),AP395))</f>
        <v/>
      </c>
      <c r="AR395" s="3" t="str">
        <f t="shared" ca="1" si="120"/>
        <v/>
      </c>
      <c r="AS395" s="165" t="str">
        <f ca="1">IF(AP395="","",INDEX(OFFSET(Arb!$X$2,,,Arb!$AJ$5,),AP395)/AQ395)</f>
        <v/>
      </c>
      <c r="AT395" s="165" t="str">
        <f ca="1">IF(AP395="","",(INDEX(OFFSET(Arb!$U$2,,,Arb!$AJ$5,),AP395)+INDEX(OFFSET(Arb!$V$2,,,Arb!$AJ$5,),AP395))/AQ395)</f>
        <v/>
      </c>
      <c r="AU395" s="51" t="str">
        <f t="shared" ca="1" si="130"/>
        <v/>
      </c>
      <c r="AV395" s="91" t="str">
        <f ca="1">IF(AP395="","",DATE(INDEX(OFFSET(Arb!$C$2,,,Arb!$AJ$5,),AP395),INDEX(OFFSET(Arb!$B$2,,,Arb!$AJ$5,),AP395),INDEX(OFFSET(Arb!$A$2,,,Arb!$AJ$5,),AP395))+ROW()*0.001)</f>
        <v/>
      </c>
      <c r="AW395" s="442">
        <v>253</v>
      </c>
      <c r="AY395" s="52" t="str">
        <f ca="1">IF(AX395="","",INDEX(OFFSET(Arb!$H$2,,,Arb!$AJ$5,),AX395))</f>
        <v/>
      </c>
      <c r="AZ395" s="3" t="str">
        <f t="shared" ca="1" si="121"/>
        <v/>
      </c>
      <c r="BA395" s="165" t="str">
        <f ca="1">IF(AX395="","",INDEX(OFFSET(Arb!$X$2,,,Arb!$AJ$5,),AX395)/AY395)</f>
        <v/>
      </c>
      <c r="BB395" s="165" t="str">
        <f ca="1">IF(AX395="","",(INDEX(OFFSET(Arb!$U$2,,,Arb!$AJ$5,),AX395)+INDEX(OFFSET(Arb!$V$2,,,Arb!$AJ$5,),AX395))/AY395)</f>
        <v/>
      </c>
      <c r="BC395" s="51" t="str">
        <f t="shared" ca="1" si="131"/>
        <v/>
      </c>
      <c r="BD395" s="88" t="str">
        <f ca="1">IF(AX395="","",DATE(INDEX(OFFSET(Arb!$C$2,,,Arb!$AJ$5,),AX395),INDEX(OFFSET(Arb!$B$2,,,Arb!$AJ$5,),AX395),INDEX(OFFSET(Arb!$A$2,,,Arb!$AJ$5,),AX395))+ROW()*0.001)</f>
        <v/>
      </c>
      <c r="BE395" s="436">
        <v>253</v>
      </c>
      <c r="BG395" s="52" t="str">
        <f ca="1">IF(BF395="","",INDEX(OFFSET(Arb!$H$2,,,Arb!$AJ$5,),BF395))</f>
        <v/>
      </c>
      <c r="BH395" s="3" t="str">
        <f t="shared" ca="1" si="122"/>
        <v/>
      </c>
      <c r="BI395" s="165" t="str">
        <f ca="1">IF(BF395="","",INDEX(OFFSET(Arb!$X$2,,,Arb!$AJ$5,),BF395)/BG395)</f>
        <v/>
      </c>
      <c r="BJ395" s="165" t="str">
        <f ca="1">IF(BF395="","",(INDEX(OFFSET(Arb!$U$2,,,Arb!$AJ$5,),BF395)+INDEX(OFFSET(Arb!$V$2,,,Arb!$AJ$5,),BF395))/BG395)</f>
        <v/>
      </c>
      <c r="BK395" s="51" t="str">
        <f t="shared" ca="1" si="132"/>
        <v/>
      </c>
      <c r="BL395" s="91" t="str">
        <f ca="1">IF(BF395="","",DATE(INDEX(OFFSET(Arb!$C$2,,,Arb!$AJ$5,),BF395),INDEX(OFFSET(Arb!$B$2,,,Arb!$AJ$5,),BF395),INDEX(OFFSET(Arb!$A$2,,,Arb!$AJ$5,),BF395))+ROW()*0.001)</f>
        <v/>
      </c>
      <c r="BM395" s="442">
        <v>253</v>
      </c>
      <c r="BO395" s="52" t="str">
        <f ca="1">IF(BN395="","",INDEX(OFFSET(Arb!$H$2,,,Arb!$AJ$5,),BN395))</f>
        <v/>
      </c>
      <c r="BP395" s="3" t="str">
        <f t="shared" ca="1" si="123"/>
        <v/>
      </c>
      <c r="BQ395" s="165" t="str">
        <f ca="1">IF(BN395="","",INDEX(OFFSET(Arb!$X$2,,,Arb!$AJ$5,),BN395)/BO395)</f>
        <v/>
      </c>
      <c r="BR395" s="165" t="str">
        <f ca="1">IF(BN395="","",(INDEX(OFFSET(Arb!$U$2,,,Arb!$AJ$5,),BN395)+INDEX(OFFSET(Arb!$V$2,,,Arb!$AJ$5,),BN395))/BO395)</f>
        <v/>
      </c>
      <c r="BS395" s="51" t="str">
        <f t="shared" ca="1" si="133"/>
        <v/>
      </c>
      <c r="BT395" s="88" t="str">
        <f ca="1">IF(BN395="","",DATE(INDEX(OFFSET(Arb!$C$2,,,Arb!$AJ$5,),BN395),INDEX(OFFSET(Arb!$B$2,,,Arb!$AJ$5,),BN395),INDEX(OFFSET(Arb!$A$2,,,Arb!$AJ$5,),BN395))+ROW()*0.001)</f>
        <v/>
      </c>
      <c r="BU395" s="436">
        <v>253</v>
      </c>
      <c r="BW395" s="52" t="str">
        <f ca="1">IF(BV395="","",INDEX(OFFSET(Arb!$H$2,,,Arb!$AJ$5,),BV395))</f>
        <v/>
      </c>
      <c r="BX395" s="3" t="str">
        <f t="shared" ca="1" si="124"/>
        <v/>
      </c>
      <c r="BY395" s="165" t="str">
        <f ca="1">IF(BV395="","",INDEX(OFFSET(Arb!$X$2,,,Arb!$AJ$5,),BV395)/BW395)</f>
        <v/>
      </c>
      <c r="BZ395" s="165" t="str">
        <f ca="1">IF(BV395="","",(INDEX(OFFSET(Arb!$U$2,,,Arb!$AJ$5,),BV395)+INDEX(OFFSET(Arb!$V$2,,,Arb!$AJ$5,),BV395))/BW395)</f>
        <v/>
      </c>
      <c r="CA395" s="51" t="str">
        <f t="shared" ca="1" si="134"/>
        <v/>
      </c>
      <c r="CB395" s="91" t="str">
        <f ca="1">IF(BV395="","",DATE(INDEX(OFFSET(Arb!$C$2,,,Arb!$AJ$5,),BV395),INDEX(OFFSET(Arb!$B$2,,,Arb!$AJ$5,),BV395),INDEX(OFFSET(Arb!$A$2,,,Arb!$AJ$5,),BV395))+ROW()*0.001)</f>
        <v/>
      </c>
    </row>
    <row r="396" spans="1:80" x14ac:dyDescent="0.25">
      <c r="A396" s="433">
        <v>254</v>
      </c>
      <c r="C396" s="52" t="str">
        <f ca="1">IF(B396="","",INDEX(OFFSET(Arb!$H$2,,,Arb!$AJ$5,),B396))</f>
        <v/>
      </c>
      <c r="D396" s="3" t="str">
        <f t="shared" ca="1" si="115"/>
        <v/>
      </c>
      <c r="E396" s="165" t="str">
        <f ca="1">IF(B396="","",INDEX(OFFSET(Arb!$X$2,,,Arb!$AJ$5,),B396)/C396)</f>
        <v/>
      </c>
      <c r="F396" s="165" t="str">
        <f ca="1">IF(B396="","",(INDEX(OFFSET(Arb!$U$2,,,Arb!$AJ$5,),B396)+INDEX(OFFSET(Arb!$V$2,,,Arb!$AJ$5,),B396))/C396)</f>
        <v/>
      </c>
      <c r="G396" s="51" t="str">
        <f t="shared" ca="1" si="125"/>
        <v/>
      </c>
      <c r="H396" s="355" t="str">
        <f ca="1">IF(B396="","",DATE(INDEX(OFFSET(Arb!$C$2,,,Arb!$AJ$5,),B396),INDEX(OFFSET(Arb!$B$2,,,Arb!$AJ$5,),B396),INDEX(OFFSET(Arb!$A$2,,,Arb!$AJ$5,),B396))+ROW()*0.001)</f>
        <v/>
      </c>
      <c r="I396" s="436">
        <v>254</v>
      </c>
      <c r="K396" s="52" t="str">
        <f ca="1">IF(J396="","",INDEX(OFFSET(Arb!$H$2,,,Arb!$AJ$5,),J396))</f>
        <v/>
      </c>
      <c r="L396" s="3" t="str">
        <f t="shared" ca="1" si="116"/>
        <v/>
      </c>
      <c r="M396" s="165" t="str">
        <f ca="1">IF(J396="","",INDEX(OFFSET(Arb!$X$2,,,Arb!$AJ$5,),J396)/K396)</f>
        <v/>
      </c>
      <c r="N396" s="165" t="str">
        <f ca="1">IF(J396="","",(INDEX(OFFSET(Arb!$U$2,,,Arb!$AJ$5,),J396)+INDEX(OFFSET(Arb!$V$2,,,Arb!$AJ$5,),J396))/K396)</f>
        <v/>
      </c>
      <c r="O396" s="51" t="str">
        <f t="shared" ca="1" si="126"/>
        <v/>
      </c>
      <c r="P396" s="91" t="str">
        <f ca="1">IF(J396="","",DATE(INDEX(OFFSET(Arb!$C$2,,,Arb!$AJ$5,),J396),INDEX(OFFSET(Arb!$B$2,,,Arb!$AJ$5,),J396),INDEX(OFFSET(Arb!$A$2,,,Arb!$AJ$5,),J396))+ROW()*0.001)</f>
        <v/>
      </c>
      <c r="Q396" s="442">
        <v>254</v>
      </c>
      <c r="S396" s="52" t="str">
        <f ca="1">IF(R396="","",INDEX(OFFSET(Arb!$H$2,,,Arb!$AJ$5,),R396))</f>
        <v/>
      </c>
      <c r="T396" s="3" t="str">
        <f t="shared" ca="1" si="117"/>
        <v/>
      </c>
      <c r="U396" s="165" t="str">
        <f ca="1">IF(R396="","",INDEX(OFFSET(Arb!$X$2,,,Arb!$AJ$5,),R396)/S396)</f>
        <v/>
      </c>
      <c r="V396" s="165" t="str">
        <f ca="1">IF(R396="","",(INDEX(OFFSET(Arb!$U$2,,,Arb!$AJ$5,),R396)+INDEX(OFFSET(Arb!$V$2,,,Arb!$AJ$5,),R396))/S396)</f>
        <v/>
      </c>
      <c r="W396" s="51" t="str">
        <f t="shared" ca="1" si="127"/>
        <v/>
      </c>
      <c r="X396" s="88" t="str">
        <f ca="1">IF(R396="","",DATE(INDEX(OFFSET(Arb!$C$2,,,Arb!$AJ$5,),R396),INDEX(OFFSET(Arb!$B$2,,,Arb!$AJ$5,),R396),INDEX(OFFSET(Arb!$A$2,,,Arb!$AJ$5,),R396))+ROW()*0.001)</f>
        <v/>
      </c>
      <c r="Y396" s="436">
        <v>254</v>
      </c>
      <c r="AA396" s="52" t="str">
        <f ca="1">IF(Z396="","",INDEX(OFFSET(Arb!$H$2,,,Arb!$AJ$5,),Z396))</f>
        <v/>
      </c>
      <c r="AB396" s="3" t="str">
        <f t="shared" ca="1" si="118"/>
        <v/>
      </c>
      <c r="AC396" s="165" t="str">
        <f ca="1">IF(Z396="","",INDEX(OFFSET(Arb!$X$2,,,Arb!$AJ$5,),Z396)/AA396)</f>
        <v/>
      </c>
      <c r="AD396" s="165" t="str">
        <f ca="1">IF(Z396="","",(INDEX(OFFSET(Arb!$U$2,,,Arb!$AJ$5,),Z396)+INDEX(OFFSET(Arb!$V$2,,,Arb!$AJ$5,),Z396))/AA396)</f>
        <v/>
      </c>
      <c r="AE396" s="51" t="str">
        <f t="shared" ca="1" si="128"/>
        <v/>
      </c>
      <c r="AF396" s="91" t="str">
        <f ca="1">IF(Z396="","",DATE(INDEX(OFFSET(Arb!$C$2,,,Arb!$AJ$5,),Z396),INDEX(OFFSET(Arb!$B$2,,,Arb!$AJ$5,),Z396),INDEX(OFFSET(Arb!$A$2,,,Arb!$AJ$5,),Z396))+ROW()*0.001)</f>
        <v/>
      </c>
      <c r="AG396" s="442">
        <v>254</v>
      </c>
      <c r="AI396" s="52" t="str">
        <f ca="1">IF(AH396="","",INDEX(OFFSET(Arb!$H$2,,,Arb!$AJ$5,),AH396))</f>
        <v/>
      </c>
      <c r="AJ396" s="3" t="str">
        <f t="shared" ca="1" si="119"/>
        <v/>
      </c>
      <c r="AK396" s="165" t="str">
        <f ca="1">IF(AH396="","",INDEX(OFFSET(Arb!$X$2,,,Arb!$AJ$5,),AH396)/AI396)</f>
        <v/>
      </c>
      <c r="AL396" s="165" t="str">
        <f ca="1">IF(AH396="","",(INDEX(OFFSET(Arb!$U$2,,,Arb!$AJ$5,),AH396)+INDEX(OFFSET(Arb!$V$2,,,Arb!$AJ$5,),AH396))/AI396)</f>
        <v/>
      </c>
      <c r="AM396" s="51" t="str">
        <f t="shared" ca="1" si="129"/>
        <v/>
      </c>
      <c r="AN396" s="88" t="str">
        <f ca="1">IF(AH396="","",DATE(INDEX(OFFSET(Arb!$C$2,,,Arb!$AJ$5,),AH396),INDEX(OFFSET(Arb!$B$2,,,Arb!$AJ$5,),AH396),INDEX(OFFSET(Arb!$A$2,,,Arb!$AJ$5,),AH396))+ROW()*0.001)</f>
        <v/>
      </c>
      <c r="AO396" s="436">
        <v>254</v>
      </c>
      <c r="AQ396" s="52" t="str">
        <f ca="1">IF(AP396="","",INDEX(OFFSET(Arb!$H$2,,,Arb!$AJ$5,),AP396))</f>
        <v/>
      </c>
      <c r="AR396" s="3" t="str">
        <f t="shared" ca="1" si="120"/>
        <v/>
      </c>
      <c r="AS396" s="165" t="str">
        <f ca="1">IF(AP396="","",INDEX(OFFSET(Arb!$X$2,,,Arb!$AJ$5,),AP396)/AQ396)</f>
        <v/>
      </c>
      <c r="AT396" s="165" t="str">
        <f ca="1">IF(AP396="","",(INDEX(OFFSET(Arb!$U$2,,,Arb!$AJ$5,),AP396)+INDEX(OFFSET(Arb!$V$2,,,Arb!$AJ$5,),AP396))/AQ396)</f>
        <v/>
      </c>
      <c r="AU396" s="51" t="str">
        <f t="shared" ca="1" si="130"/>
        <v/>
      </c>
      <c r="AV396" s="91" t="str">
        <f ca="1">IF(AP396="","",DATE(INDEX(OFFSET(Arb!$C$2,,,Arb!$AJ$5,),AP396),INDEX(OFFSET(Arb!$B$2,,,Arb!$AJ$5,),AP396),INDEX(OFFSET(Arb!$A$2,,,Arb!$AJ$5,),AP396))+ROW()*0.001)</f>
        <v/>
      </c>
      <c r="AW396" s="442">
        <v>254</v>
      </c>
      <c r="AY396" s="52" t="str">
        <f ca="1">IF(AX396="","",INDEX(OFFSET(Arb!$H$2,,,Arb!$AJ$5,),AX396))</f>
        <v/>
      </c>
      <c r="AZ396" s="3" t="str">
        <f t="shared" ca="1" si="121"/>
        <v/>
      </c>
      <c r="BA396" s="165" t="str">
        <f ca="1">IF(AX396="","",INDEX(OFFSET(Arb!$X$2,,,Arb!$AJ$5,),AX396)/AY396)</f>
        <v/>
      </c>
      <c r="BB396" s="165" t="str">
        <f ca="1">IF(AX396="","",(INDEX(OFFSET(Arb!$U$2,,,Arb!$AJ$5,),AX396)+INDEX(OFFSET(Arb!$V$2,,,Arb!$AJ$5,),AX396))/AY396)</f>
        <v/>
      </c>
      <c r="BC396" s="51" t="str">
        <f t="shared" ca="1" si="131"/>
        <v/>
      </c>
      <c r="BD396" s="88" t="str">
        <f ca="1">IF(AX396="","",DATE(INDEX(OFFSET(Arb!$C$2,,,Arb!$AJ$5,),AX396),INDEX(OFFSET(Arb!$B$2,,,Arb!$AJ$5,),AX396),INDEX(OFFSET(Arb!$A$2,,,Arb!$AJ$5,),AX396))+ROW()*0.001)</f>
        <v/>
      </c>
      <c r="BE396" s="436">
        <v>254</v>
      </c>
      <c r="BG396" s="52" t="str">
        <f ca="1">IF(BF396="","",INDEX(OFFSET(Arb!$H$2,,,Arb!$AJ$5,),BF396))</f>
        <v/>
      </c>
      <c r="BH396" s="3" t="str">
        <f t="shared" ca="1" si="122"/>
        <v/>
      </c>
      <c r="BI396" s="165" t="str">
        <f ca="1">IF(BF396="","",INDEX(OFFSET(Arb!$X$2,,,Arb!$AJ$5,),BF396)/BG396)</f>
        <v/>
      </c>
      <c r="BJ396" s="165" t="str">
        <f ca="1">IF(BF396="","",(INDEX(OFFSET(Arb!$U$2,,,Arb!$AJ$5,),BF396)+INDEX(OFFSET(Arb!$V$2,,,Arb!$AJ$5,),BF396))/BG396)</f>
        <v/>
      </c>
      <c r="BK396" s="51" t="str">
        <f t="shared" ca="1" si="132"/>
        <v/>
      </c>
      <c r="BL396" s="91" t="str">
        <f ca="1">IF(BF396="","",DATE(INDEX(OFFSET(Arb!$C$2,,,Arb!$AJ$5,),BF396),INDEX(OFFSET(Arb!$B$2,,,Arb!$AJ$5,),BF396),INDEX(OFFSET(Arb!$A$2,,,Arb!$AJ$5,),BF396))+ROW()*0.001)</f>
        <v/>
      </c>
      <c r="BM396" s="442">
        <v>254</v>
      </c>
      <c r="BO396" s="52" t="str">
        <f ca="1">IF(BN396="","",INDEX(OFFSET(Arb!$H$2,,,Arb!$AJ$5,),BN396))</f>
        <v/>
      </c>
      <c r="BP396" s="3" t="str">
        <f t="shared" ca="1" si="123"/>
        <v/>
      </c>
      <c r="BQ396" s="165" t="str">
        <f ca="1">IF(BN396="","",INDEX(OFFSET(Arb!$X$2,,,Arb!$AJ$5,),BN396)/BO396)</f>
        <v/>
      </c>
      <c r="BR396" s="165" t="str">
        <f ca="1">IF(BN396="","",(INDEX(OFFSET(Arb!$U$2,,,Arb!$AJ$5,),BN396)+INDEX(OFFSET(Arb!$V$2,,,Arb!$AJ$5,),BN396))/BO396)</f>
        <v/>
      </c>
      <c r="BS396" s="51" t="str">
        <f t="shared" ca="1" si="133"/>
        <v/>
      </c>
      <c r="BT396" s="88" t="str">
        <f ca="1">IF(BN396="","",DATE(INDEX(OFFSET(Arb!$C$2,,,Arb!$AJ$5,),BN396),INDEX(OFFSET(Arb!$B$2,,,Arb!$AJ$5,),BN396),INDEX(OFFSET(Arb!$A$2,,,Arb!$AJ$5,),BN396))+ROW()*0.001)</f>
        <v/>
      </c>
      <c r="BU396" s="436">
        <v>254</v>
      </c>
      <c r="BW396" s="52" t="str">
        <f ca="1">IF(BV396="","",INDEX(OFFSET(Arb!$H$2,,,Arb!$AJ$5,),BV396))</f>
        <v/>
      </c>
      <c r="BX396" s="3" t="str">
        <f t="shared" ca="1" si="124"/>
        <v/>
      </c>
      <c r="BY396" s="165" t="str">
        <f ca="1">IF(BV396="","",INDEX(OFFSET(Arb!$X$2,,,Arb!$AJ$5,),BV396)/BW396)</f>
        <v/>
      </c>
      <c r="BZ396" s="165" t="str">
        <f ca="1">IF(BV396="","",(INDEX(OFFSET(Arb!$U$2,,,Arb!$AJ$5,),BV396)+INDEX(OFFSET(Arb!$V$2,,,Arb!$AJ$5,),BV396))/BW396)</f>
        <v/>
      </c>
      <c r="CA396" s="51" t="str">
        <f t="shared" ca="1" si="134"/>
        <v/>
      </c>
      <c r="CB396" s="91" t="str">
        <f ca="1">IF(BV396="","",DATE(INDEX(OFFSET(Arb!$C$2,,,Arb!$AJ$5,),BV396),INDEX(OFFSET(Arb!$B$2,,,Arb!$AJ$5,),BV396),INDEX(OFFSET(Arb!$A$2,,,Arb!$AJ$5,),BV396))+ROW()*0.001)</f>
        <v/>
      </c>
    </row>
    <row r="397" spans="1:80" x14ac:dyDescent="0.25">
      <c r="A397" s="433">
        <v>255</v>
      </c>
      <c r="C397" s="52" t="str">
        <f ca="1">IF(B397="","",INDEX(OFFSET(Arb!$H$2,,,Arb!$AJ$5,),B397))</f>
        <v/>
      </c>
      <c r="D397" s="3" t="str">
        <f t="shared" ca="1" si="115"/>
        <v/>
      </c>
      <c r="E397" s="165" t="str">
        <f ca="1">IF(B397="","",INDEX(OFFSET(Arb!$X$2,,,Arb!$AJ$5,),B397)/C397)</f>
        <v/>
      </c>
      <c r="F397" s="165" t="str">
        <f ca="1">IF(B397="","",(INDEX(OFFSET(Arb!$U$2,,,Arb!$AJ$5,),B397)+INDEX(OFFSET(Arb!$V$2,,,Arb!$AJ$5,),B397))/C397)</f>
        <v/>
      </c>
      <c r="G397" s="51" t="str">
        <f t="shared" ca="1" si="125"/>
        <v/>
      </c>
      <c r="H397" s="355" t="str">
        <f ca="1">IF(B397="","",DATE(INDEX(OFFSET(Arb!$C$2,,,Arb!$AJ$5,),B397),INDEX(OFFSET(Arb!$B$2,,,Arb!$AJ$5,),B397),INDEX(OFFSET(Arb!$A$2,,,Arb!$AJ$5,),B397))+ROW()*0.001)</f>
        <v/>
      </c>
      <c r="I397" s="436">
        <v>255</v>
      </c>
      <c r="K397" s="52" t="str">
        <f ca="1">IF(J397="","",INDEX(OFFSET(Arb!$H$2,,,Arb!$AJ$5,),J397))</f>
        <v/>
      </c>
      <c r="L397" s="3" t="str">
        <f t="shared" ca="1" si="116"/>
        <v/>
      </c>
      <c r="M397" s="165" t="str">
        <f ca="1">IF(J397="","",INDEX(OFFSET(Arb!$X$2,,,Arb!$AJ$5,),J397)/K397)</f>
        <v/>
      </c>
      <c r="N397" s="165" t="str">
        <f ca="1">IF(J397="","",(INDEX(OFFSET(Arb!$U$2,,,Arb!$AJ$5,),J397)+INDEX(OFFSET(Arb!$V$2,,,Arb!$AJ$5,),J397))/K397)</f>
        <v/>
      </c>
      <c r="O397" s="51" t="str">
        <f t="shared" ca="1" si="126"/>
        <v/>
      </c>
      <c r="P397" s="91" t="str">
        <f ca="1">IF(J397="","",DATE(INDEX(OFFSET(Arb!$C$2,,,Arb!$AJ$5,),J397),INDEX(OFFSET(Arb!$B$2,,,Arb!$AJ$5,),J397),INDEX(OFFSET(Arb!$A$2,,,Arb!$AJ$5,),J397))+ROW()*0.001)</f>
        <v/>
      </c>
      <c r="Q397" s="442">
        <v>255</v>
      </c>
      <c r="S397" s="52" t="str">
        <f ca="1">IF(R397="","",INDEX(OFFSET(Arb!$H$2,,,Arb!$AJ$5,),R397))</f>
        <v/>
      </c>
      <c r="T397" s="3" t="str">
        <f t="shared" ca="1" si="117"/>
        <v/>
      </c>
      <c r="U397" s="165" t="str">
        <f ca="1">IF(R397="","",INDEX(OFFSET(Arb!$X$2,,,Arb!$AJ$5,),R397)/S397)</f>
        <v/>
      </c>
      <c r="V397" s="165" t="str">
        <f ca="1">IF(R397="","",(INDEX(OFFSET(Arb!$U$2,,,Arb!$AJ$5,),R397)+INDEX(OFFSET(Arb!$V$2,,,Arb!$AJ$5,),R397))/S397)</f>
        <v/>
      </c>
      <c r="W397" s="51" t="str">
        <f t="shared" ca="1" si="127"/>
        <v/>
      </c>
      <c r="X397" s="88" t="str">
        <f ca="1">IF(R397="","",DATE(INDEX(OFFSET(Arb!$C$2,,,Arb!$AJ$5,),R397),INDEX(OFFSET(Arb!$B$2,,,Arb!$AJ$5,),R397),INDEX(OFFSET(Arb!$A$2,,,Arb!$AJ$5,),R397))+ROW()*0.001)</f>
        <v/>
      </c>
      <c r="Y397" s="436">
        <v>255</v>
      </c>
      <c r="AA397" s="52" t="str">
        <f ca="1">IF(Z397="","",INDEX(OFFSET(Arb!$H$2,,,Arb!$AJ$5,),Z397))</f>
        <v/>
      </c>
      <c r="AB397" s="3" t="str">
        <f t="shared" ca="1" si="118"/>
        <v/>
      </c>
      <c r="AC397" s="165" t="str">
        <f ca="1">IF(Z397="","",INDEX(OFFSET(Arb!$X$2,,,Arb!$AJ$5,),Z397)/AA397)</f>
        <v/>
      </c>
      <c r="AD397" s="165" t="str">
        <f ca="1">IF(Z397="","",(INDEX(OFFSET(Arb!$U$2,,,Arb!$AJ$5,),Z397)+INDEX(OFFSET(Arb!$V$2,,,Arb!$AJ$5,),Z397))/AA397)</f>
        <v/>
      </c>
      <c r="AE397" s="51" t="str">
        <f t="shared" ca="1" si="128"/>
        <v/>
      </c>
      <c r="AF397" s="91" t="str">
        <f ca="1">IF(Z397="","",DATE(INDEX(OFFSET(Arb!$C$2,,,Arb!$AJ$5,),Z397),INDEX(OFFSET(Arb!$B$2,,,Arb!$AJ$5,),Z397),INDEX(OFFSET(Arb!$A$2,,,Arb!$AJ$5,),Z397))+ROW()*0.001)</f>
        <v/>
      </c>
      <c r="AG397" s="442">
        <v>255</v>
      </c>
      <c r="AI397" s="52" t="str">
        <f ca="1">IF(AH397="","",INDEX(OFFSET(Arb!$H$2,,,Arb!$AJ$5,),AH397))</f>
        <v/>
      </c>
      <c r="AJ397" s="3" t="str">
        <f t="shared" ca="1" si="119"/>
        <v/>
      </c>
      <c r="AK397" s="165" t="str">
        <f ca="1">IF(AH397="","",INDEX(OFFSET(Arb!$X$2,,,Arb!$AJ$5,),AH397)/AI397)</f>
        <v/>
      </c>
      <c r="AL397" s="165" t="str">
        <f ca="1">IF(AH397="","",(INDEX(OFFSET(Arb!$U$2,,,Arb!$AJ$5,),AH397)+INDEX(OFFSET(Arb!$V$2,,,Arb!$AJ$5,),AH397))/AI397)</f>
        <v/>
      </c>
      <c r="AM397" s="51" t="str">
        <f t="shared" ca="1" si="129"/>
        <v/>
      </c>
      <c r="AN397" s="88" t="str">
        <f ca="1">IF(AH397="","",DATE(INDEX(OFFSET(Arb!$C$2,,,Arb!$AJ$5,),AH397),INDEX(OFFSET(Arb!$B$2,,,Arb!$AJ$5,),AH397),INDEX(OFFSET(Arb!$A$2,,,Arb!$AJ$5,),AH397))+ROW()*0.001)</f>
        <v/>
      </c>
      <c r="AO397" s="436">
        <v>255</v>
      </c>
      <c r="AQ397" s="52" t="str">
        <f ca="1">IF(AP397="","",INDEX(OFFSET(Arb!$H$2,,,Arb!$AJ$5,),AP397))</f>
        <v/>
      </c>
      <c r="AR397" s="3" t="str">
        <f t="shared" ca="1" si="120"/>
        <v/>
      </c>
      <c r="AS397" s="165" t="str">
        <f ca="1">IF(AP397="","",INDEX(OFFSET(Arb!$X$2,,,Arb!$AJ$5,),AP397)/AQ397)</f>
        <v/>
      </c>
      <c r="AT397" s="165" t="str">
        <f ca="1">IF(AP397="","",(INDEX(OFFSET(Arb!$U$2,,,Arb!$AJ$5,),AP397)+INDEX(OFFSET(Arb!$V$2,,,Arb!$AJ$5,),AP397))/AQ397)</f>
        <v/>
      </c>
      <c r="AU397" s="51" t="str">
        <f t="shared" ca="1" si="130"/>
        <v/>
      </c>
      <c r="AV397" s="91" t="str">
        <f ca="1">IF(AP397="","",DATE(INDEX(OFFSET(Arb!$C$2,,,Arb!$AJ$5,),AP397),INDEX(OFFSET(Arb!$B$2,,,Arb!$AJ$5,),AP397),INDEX(OFFSET(Arb!$A$2,,,Arb!$AJ$5,),AP397))+ROW()*0.001)</f>
        <v/>
      </c>
      <c r="AW397" s="442">
        <v>255</v>
      </c>
      <c r="AY397" s="52" t="str">
        <f ca="1">IF(AX397="","",INDEX(OFFSET(Arb!$H$2,,,Arb!$AJ$5,),AX397))</f>
        <v/>
      </c>
      <c r="AZ397" s="3" t="str">
        <f t="shared" ca="1" si="121"/>
        <v/>
      </c>
      <c r="BA397" s="165" t="str">
        <f ca="1">IF(AX397="","",INDEX(OFFSET(Arb!$X$2,,,Arb!$AJ$5,),AX397)/AY397)</f>
        <v/>
      </c>
      <c r="BB397" s="165" t="str">
        <f ca="1">IF(AX397="","",(INDEX(OFFSET(Arb!$U$2,,,Arb!$AJ$5,),AX397)+INDEX(OFFSET(Arb!$V$2,,,Arb!$AJ$5,),AX397))/AY397)</f>
        <v/>
      </c>
      <c r="BC397" s="51" t="str">
        <f t="shared" ca="1" si="131"/>
        <v/>
      </c>
      <c r="BD397" s="88" t="str">
        <f ca="1">IF(AX397="","",DATE(INDEX(OFFSET(Arb!$C$2,,,Arb!$AJ$5,),AX397),INDEX(OFFSET(Arb!$B$2,,,Arb!$AJ$5,),AX397),INDEX(OFFSET(Arb!$A$2,,,Arb!$AJ$5,),AX397))+ROW()*0.001)</f>
        <v/>
      </c>
      <c r="BE397" s="436">
        <v>255</v>
      </c>
      <c r="BG397" s="52" t="str">
        <f ca="1">IF(BF397="","",INDEX(OFFSET(Arb!$H$2,,,Arb!$AJ$5,),BF397))</f>
        <v/>
      </c>
      <c r="BH397" s="3" t="str">
        <f t="shared" ca="1" si="122"/>
        <v/>
      </c>
      <c r="BI397" s="165" t="str">
        <f ca="1">IF(BF397="","",INDEX(OFFSET(Arb!$X$2,,,Arb!$AJ$5,),BF397)/BG397)</f>
        <v/>
      </c>
      <c r="BJ397" s="165" t="str">
        <f ca="1">IF(BF397="","",(INDEX(OFFSET(Arb!$U$2,,,Arb!$AJ$5,),BF397)+INDEX(OFFSET(Arb!$V$2,,,Arb!$AJ$5,),BF397))/BG397)</f>
        <v/>
      </c>
      <c r="BK397" s="51" t="str">
        <f t="shared" ca="1" si="132"/>
        <v/>
      </c>
      <c r="BL397" s="91" t="str">
        <f ca="1">IF(BF397="","",DATE(INDEX(OFFSET(Arb!$C$2,,,Arb!$AJ$5,),BF397),INDEX(OFFSET(Arb!$B$2,,,Arb!$AJ$5,),BF397),INDEX(OFFSET(Arb!$A$2,,,Arb!$AJ$5,),BF397))+ROW()*0.001)</f>
        <v/>
      </c>
      <c r="BM397" s="442">
        <v>255</v>
      </c>
      <c r="BO397" s="52" t="str">
        <f ca="1">IF(BN397="","",INDEX(OFFSET(Arb!$H$2,,,Arb!$AJ$5,),BN397))</f>
        <v/>
      </c>
      <c r="BP397" s="3" t="str">
        <f t="shared" ca="1" si="123"/>
        <v/>
      </c>
      <c r="BQ397" s="165" t="str">
        <f ca="1">IF(BN397="","",INDEX(OFFSET(Arb!$X$2,,,Arb!$AJ$5,),BN397)/BO397)</f>
        <v/>
      </c>
      <c r="BR397" s="165" t="str">
        <f ca="1">IF(BN397="","",(INDEX(OFFSET(Arb!$U$2,,,Arb!$AJ$5,),BN397)+INDEX(OFFSET(Arb!$V$2,,,Arb!$AJ$5,),BN397))/BO397)</f>
        <v/>
      </c>
      <c r="BS397" s="51" t="str">
        <f t="shared" ca="1" si="133"/>
        <v/>
      </c>
      <c r="BT397" s="88" t="str">
        <f ca="1">IF(BN397="","",DATE(INDEX(OFFSET(Arb!$C$2,,,Arb!$AJ$5,),BN397),INDEX(OFFSET(Arb!$B$2,,,Arb!$AJ$5,),BN397),INDEX(OFFSET(Arb!$A$2,,,Arb!$AJ$5,),BN397))+ROW()*0.001)</f>
        <v/>
      </c>
      <c r="BU397" s="436">
        <v>255</v>
      </c>
      <c r="BW397" s="52" t="str">
        <f ca="1">IF(BV397="","",INDEX(OFFSET(Arb!$H$2,,,Arb!$AJ$5,),BV397))</f>
        <v/>
      </c>
      <c r="BX397" s="3" t="str">
        <f t="shared" ca="1" si="124"/>
        <v/>
      </c>
      <c r="BY397" s="165" t="str">
        <f ca="1">IF(BV397="","",INDEX(OFFSET(Arb!$X$2,,,Arb!$AJ$5,),BV397)/BW397)</f>
        <v/>
      </c>
      <c r="BZ397" s="165" t="str">
        <f ca="1">IF(BV397="","",(INDEX(OFFSET(Arb!$U$2,,,Arb!$AJ$5,),BV397)+INDEX(OFFSET(Arb!$V$2,,,Arb!$AJ$5,),BV397))/BW397)</f>
        <v/>
      </c>
      <c r="CA397" s="51" t="str">
        <f t="shared" ca="1" si="134"/>
        <v/>
      </c>
      <c r="CB397" s="91" t="str">
        <f ca="1">IF(BV397="","",DATE(INDEX(OFFSET(Arb!$C$2,,,Arb!$AJ$5,),BV397),INDEX(OFFSET(Arb!$B$2,,,Arb!$AJ$5,),BV397),INDEX(OFFSET(Arb!$A$2,,,Arb!$AJ$5,),BV397))+ROW()*0.001)</f>
        <v/>
      </c>
    </row>
    <row r="398" spans="1:80" x14ac:dyDescent="0.25">
      <c r="A398" s="433">
        <v>256</v>
      </c>
      <c r="C398" s="52" t="str">
        <f ca="1">IF(B398="","",INDEX(OFFSET(Arb!$H$2,,,Arb!$AJ$5,),B398))</f>
        <v/>
      </c>
      <c r="D398" s="3" t="str">
        <f t="shared" ca="1" si="115"/>
        <v/>
      </c>
      <c r="E398" s="165" t="str">
        <f ca="1">IF(B398="","",INDEX(OFFSET(Arb!$X$2,,,Arb!$AJ$5,),B398)/C398)</f>
        <v/>
      </c>
      <c r="F398" s="165" t="str">
        <f ca="1">IF(B398="","",(INDEX(OFFSET(Arb!$U$2,,,Arb!$AJ$5,),B398)+INDEX(OFFSET(Arb!$V$2,,,Arb!$AJ$5,),B398))/C398)</f>
        <v/>
      </c>
      <c r="G398" s="51" t="str">
        <f t="shared" ca="1" si="125"/>
        <v/>
      </c>
      <c r="H398" s="355" t="str">
        <f ca="1">IF(B398="","",DATE(INDEX(OFFSET(Arb!$C$2,,,Arb!$AJ$5,),B398),INDEX(OFFSET(Arb!$B$2,,,Arb!$AJ$5,),B398),INDEX(OFFSET(Arb!$A$2,,,Arb!$AJ$5,),B398))+ROW()*0.001)</f>
        <v/>
      </c>
      <c r="I398" s="436">
        <v>256</v>
      </c>
      <c r="K398" s="52" t="str">
        <f ca="1">IF(J398="","",INDEX(OFFSET(Arb!$H$2,,,Arb!$AJ$5,),J398))</f>
        <v/>
      </c>
      <c r="L398" s="3" t="str">
        <f t="shared" ca="1" si="116"/>
        <v/>
      </c>
      <c r="M398" s="165" t="str">
        <f ca="1">IF(J398="","",INDEX(OFFSET(Arb!$X$2,,,Arb!$AJ$5,),J398)/K398)</f>
        <v/>
      </c>
      <c r="N398" s="165" t="str">
        <f ca="1">IF(J398="","",(INDEX(OFFSET(Arb!$U$2,,,Arb!$AJ$5,),J398)+INDEX(OFFSET(Arb!$V$2,,,Arb!$AJ$5,),J398))/K398)</f>
        <v/>
      </c>
      <c r="O398" s="51" t="str">
        <f t="shared" ca="1" si="126"/>
        <v/>
      </c>
      <c r="P398" s="91" t="str">
        <f ca="1">IF(J398="","",DATE(INDEX(OFFSET(Arb!$C$2,,,Arb!$AJ$5,),J398),INDEX(OFFSET(Arb!$B$2,,,Arb!$AJ$5,),J398),INDEX(OFFSET(Arb!$A$2,,,Arb!$AJ$5,),J398))+ROW()*0.001)</f>
        <v/>
      </c>
      <c r="Q398" s="442">
        <v>256</v>
      </c>
      <c r="S398" s="52" t="str">
        <f ca="1">IF(R398="","",INDEX(OFFSET(Arb!$H$2,,,Arb!$AJ$5,),R398))</f>
        <v/>
      </c>
      <c r="T398" s="3" t="str">
        <f t="shared" ca="1" si="117"/>
        <v/>
      </c>
      <c r="U398" s="165" t="str">
        <f ca="1">IF(R398="","",INDEX(OFFSET(Arb!$X$2,,,Arb!$AJ$5,),R398)/S398)</f>
        <v/>
      </c>
      <c r="V398" s="165" t="str">
        <f ca="1">IF(R398="","",(INDEX(OFFSET(Arb!$U$2,,,Arb!$AJ$5,),R398)+INDEX(OFFSET(Arb!$V$2,,,Arb!$AJ$5,),R398))/S398)</f>
        <v/>
      </c>
      <c r="W398" s="51" t="str">
        <f t="shared" ca="1" si="127"/>
        <v/>
      </c>
      <c r="X398" s="88" t="str">
        <f ca="1">IF(R398="","",DATE(INDEX(OFFSET(Arb!$C$2,,,Arb!$AJ$5,),R398),INDEX(OFFSET(Arb!$B$2,,,Arb!$AJ$5,),R398),INDEX(OFFSET(Arb!$A$2,,,Arb!$AJ$5,),R398))+ROW()*0.001)</f>
        <v/>
      </c>
      <c r="Y398" s="436">
        <v>256</v>
      </c>
      <c r="AA398" s="52" t="str">
        <f ca="1">IF(Z398="","",INDEX(OFFSET(Arb!$H$2,,,Arb!$AJ$5,),Z398))</f>
        <v/>
      </c>
      <c r="AB398" s="3" t="str">
        <f t="shared" ca="1" si="118"/>
        <v/>
      </c>
      <c r="AC398" s="165" t="str">
        <f ca="1">IF(Z398="","",INDEX(OFFSET(Arb!$X$2,,,Arb!$AJ$5,),Z398)/AA398)</f>
        <v/>
      </c>
      <c r="AD398" s="165" t="str">
        <f ca="1">IF(Z398="","",(INDEX(OFFSET(Arb!$U$2,,,Arb!$AJ$5,),Z398)+INDEX(OFFSET(Arb!$V$2,,,Arb!$AJ$5,),Z398))/AA398)</f>
        <v/>
      </c>
      <c r="AE398" s="51" t="str">
        <f t="shared" ca="1" si="128"/>
        <v/>
      </c>
      <c r="AF398" s="91" t="str">
        <f ca="1">IF(Z398="","",DATE(INDEX(OFFSET(Arb!$C$2,,,Arb!$AJ$5,),Z398),INDEX(OFFSET(Arb!$B$2,,,Arb!$AJ$5,),Z398),INDEX(OFFSET(Arb!$A$2,,,Arb!$AJ$5,),Z398))+ROW()*0.001)</f>
        <v/>
      </c>
      <c r="AG398" s="442">
        <v>256</v>
      </c>
      <c r="AI398" s="52" t="str">
        <f ca="1">IF(AH398="","",INDEX(OFFSET(Arb!$H$2,,,Arb!$AJ$5,),AH398))</f>
        <v/>
      </c>
      <c r="AJ398" s="3" t="str">
        <f t="shared" ca="1" si="119"/>
        <v/>
      </c>
      <c r="AK398" s="165" t="str">
        <f ca="1">IF(AH398="","",INDEX(OFFSET(Arb!$X$2,,,Arb!$AJ$5,),AH398)/AI398)</f>
        <v/>
      </c>
      <c r="AL398" s="165" t="str">
        <f ca="1">IF(AH398="","",(INDEX(OFFSET(Arb!$U$2,,,Arb!$AJ$5,),AH398)+INDEX(OFFSET(Arb!$V$2,,,Arb!$AJ$5,),AH398))/AI398)</f>
        <v/>
      </c>
      <c r="AM398" s="51" t="str">
        <f t="shared" ca="1" si="129"/>
        <v/>
      </c>
      <c r="AN398" s="88" t="str">
        <f ca="1">IF(AH398="","",DATE(INDEX(OFFSET(Arb!$C$2,,,Arb!$AJ$5,),AH398),INDEX(OFFSET(Arb!$B$2,,,Arb!$AJ$5,),AH398),INDEX(OFFSET(Arb!$A$2,,,Arb!$AJ$5,),AH398))+ROW()*0.001)</f>
        <v/>
      </c>
      <c r="AO398" s="436">
        <v>256</v>
      </c>
      <c r="AQ398" s="52" t="str">
        <f ca="1">IF(AP398="","",INDEX(OFFSET(Arb!$H$2,,,Arb!$AJ$5,),AP398))</f>
        <v/>
      </c>
      <c r="AR398" s="3" t="str">
        <f t="shared" ca="1" si="120"/>
        <v/>
      </c>
      <c r="AS398" s="165" t="str">
        <f ca="1">IF(AP398="","",INDEX(OFFSET(Arb!$X$2,,,Arb!$AJ$5,),AP398)/AQ398)</f>
        <v/>
      </c>
      <c r="AT398" s="165" t="str">
        <f ca="1">IF(AP398="","",(INDEX(OFFSET(Arb!$U$2,,,Arb!$AJ$5,),AP398)+INDEX(OFFSET(Arb!$V$2,,,Arb!$AJ$5,),AP398))/AQ398)</f>
        <v/>
      </c>
      <c r="AU398" s="51" t="str">
        <f t="shared" ca="1" si="130"/>
        <v/>
      </c>
      <c r="AV398" s="91" t="str">
        <f ca="1">IF(AP398="","",DATE(INDEX(OFFSET(Arb!$C$2,,,Arb!$AJ$5,),AP398),INDEX(OFFSET(Arb!$B$2,,,Arb!$AJ$5,),AP398),INDEX(OFFSET(Arb!$A$2,,,Arb!$AJ$5,),AP398))+ROW()*0.001)</f>
        <v/>
      </c>
      <c r="AW398" s="442">
        <v>256</v>
      </c>
      <c r="AY398" s="52" t="str">
        <f ca="1">IF(AX398="","",INDEX(OFFSET(Arb!$H$2,,,Arb!$AJ$5,),AX398))</f>
        <v/>
      </c>
      <c r="AZ398" s="3" t="str">
        <f t="shared" ca="1" si="121"/>
        <v/>
      </c>
      <c r="BA398" s="165" t="str">
        <f ca="1">IF(AX398="","",INDEX(OFFSET(Arb!$X$2,,,Arb!$AJ$5,),AX398)/AY398)</f>
        <v/>
      </c>
      <c r="BB398" s="165" t="str">
        <f ca="1">IF(AX398="","",(INDEX(OFFSET(Arb!$U$2,,,Arb!$AJ$5,),AX398)+INDEX(OFFSET(Arb!$V$2,,,Arb!$AJ$5,),AX398))/AY398)</f>
        <v/>
      </c>
      <c r="BC398" s="51" t="str">
        <f t="shared" ca="1" si="131"/>
        <v/>
      </c>
      <c r="BD398" s="88" t="str">
        <f ca="1">IF(AX398="","",DATE(INDEX(OFFSET(Arb!$C$2,,,Arb!$AJ$5,),AX398),INDEX(OFFSET(Arb!$B$2,,,Arb!$AJ$5,),AX398),INDEX(OFFSET(Arb!$A$2,,,Arb!$AJ$5,),AX398))+ROW()*0.001)</f>
        <v/>
      </c>
      <c r="BE398" s="436">
        <v>256</v>
      </c>
      <c r="BG398" s="52" t="str">
        <f ca="1">IF(BF398="","",INDEX(OFFSET(Arb!$H$2,,,Arb!$AJ$5,),BF398))</f>
        <v/>
      </c>
      <c r="BH398" s="3" t="str">
        <f t="shared" ca="1" si="122"/>
        <v/>
      </c>
      <c r="BI398" s="165" t="str">
        <f ca="1">IF(BF398="","",INDEX(OFFSET(Arb!$X$2,,,Arb!$AJ$5,),BF398)/BG398)</f>
        <v/>
      </c>
      <c r="BJ398" s="165" t="str">
        <f ca="1">IF(BF398="","",(INDEX(OFFSET(Arb!$U$2,,,Arb!$AJ$5,),BF398)+INDEX(OFFSET(Arb!$V$2,,,Arb!$AJ$5,),BF398))/BG398)</f>
        <v/>
      </c>
      <c r="BK398" s="51" t="str">
        <f t="shared" ca="1" si="132"/>
        <v/>
      </c>
      <c r="BL398" s="91" t="str">
        <f ca="1">IF(BF398="","",DATE(INDEX(OFFSET(Arb!$C$2,,,Arb!$AJ$5,),BF398),INDEX(OFFSET(Arb!$B$2,,,Arb!$AJ$5,),BF398),INDEX(OFFSET(Arb!$A$2,,,Arb!$AJ$5,),BF398))+ROW()*0.001)</f>
        <v/>
      </c>
      <c r="BM398" s="442">
        <v>256</v>
      </c>
      <c r="BO398" s="52" t="str">
        <f ca="1">IF(BN398="","",INDEX(OFFSET(Arb!$H$2,,,Arb!$AJ$5,),BN398))</f>
        <v/>
      </c>
      <c r="BP398" s="3" t="str">
        <f t="shared" ca="1" si="123"/>
        <v/>
      </c>
      <c r="BQ398" s="165" t="str">
        <f ca="1">IF(BN398="","",INDEX(OFFSET(Arb!$X$2,,,Arb!$AJ$5,),BN398)/BO398)</f>
        <v/>
      </c>
      <c r="BR398" s="165" t="str">
        <f ca="1">IF(BN398="","",(INDEX(OFFSET(Arb!$U$2,,,Arb!$AJ$5,),BN398)+INDEX(OFFSET(Arb!$V$2,,,Arb!$AJ$5,),BN398))/BO398)</f>
        <v/>
      </c>
      <c r="BS398" s="51" t="str">
        <f t="shared" ca="1" si="133"/>
        <v/>
      </c>
      <c r="BT398" s="88" t="str">
        <f ca="1">IF(BN398="","",DATE(INDEX(OFFSET(Arb!$C$2,,,Arb!$AJ$5,),BN398),INDEX(OFFSET(Arb!$B$2,,,Arb!$AJ$5,),BN398),INDEX(OFFSET(Arb!$A$2,,,Arb!$AJ$5,),BN398))+ROW()*0.001)</f>
        <v/>
      </c>
      <c r="BU398" s="436">
        <v>256</v>
      </c>
      <c r="BW398" s="52" t="str">
        <f ca="1">IF(BV398="","",INDEX(OFFSET(Arb!$H$2,,,Arb!$AJ$5,),BV398))</f>
        <v/>
      </c>
      <c r="BX398" s="3" t="str">
        <f t="shared" ca="1" si="124"/>
        <v/>
      </c>
      <c r="BY398" s="165" t="str">
        <f ca="1">IF(BV398="","",INDEX(OFFSET(Arb!$X$2,,,Arb!$AJ$5,),BV398)/BW398)</f>
        <v/>
      </c>
      <c r="BZ398" s="165" t="str">
        <f ca="1">IF(BV398="","",(INDEX(OFFSET(Arb!$U$2,,,Arb!$AJ$5,),BV398)+INDEX(OFFSET(Arb!$V$2,,,Arb!$AJ$5,),BV398))/BW398)</f>
        <v/>
      </c>
      <c r="CA398" s="51" t="str">
        <f t="shared" ca="1" si="134"/>
        <v/>
      </c>
      <c r="CB398" s="91" t="str">
        <f ca="1">IF(BV398="","",DATE(INDEX(OFFSET(Arb!$C$2,,,Arb!$AJ$5,),BV398),INDEX(OFFSET(Arb!$B$2,,,Arb!$AJ$5,),BV398),INDEX(OFFSET(Arb!$A$2,,,Arb!$AJ$5,),BV398))+ROW()*0.001)</f>
        <v/>
      </c>
    </row>
    <row r="399" spans="1:80" x14ac:dyDescent="0.25">
      <c r="A399" s="433">
        <v>257</v>
      </c>
      <c r="C399" s="52" t="str">
        <f ca="1">IF(B399="","",INDEX(OFFSET(Arb!$H$2,,,Arb!$AJ$5,),B399))</f>
        <v/>
      </c>
      <c r="D399" s="3" t="str">
        <f t="shared" ca="1" si="115"/>
        <v/>
      </c>
      <c r="E399" s="165" t="str">
        <f ca="1">IF(B399="","",INDEX(OFFSET(Arb!$X$2,,,Arb!$AJ$5,),B399)/C399)</f>
        <v/>
      </c>
      <c r="F399" s="165" t="str">
        <f ca="1">IF(B399="","",(INDEX(OFFSET(Arb!$U$2,,,Arb!$AJ$5,),B399)+INDEX(OFFSET(Arb!$V$2,,,Arb!$AJ$5,),B399))/C399)</f>
        <v/>
      </c>
      <c r="G399" s="51" t="str">
        <f t="shared" ca="1" si="125"/>
        <v/>
      </c>
      <c r="H399" s="355" t="str">
        <f ca="1">IF(B399="","",DATE(INDEX(OFFSET(Arb!$C$2,,,Arb!$AJ$5,),B399),INDEX(OFFSET(Arb!$B$2,,,Arb!$AJ$5,),B399),INDEX(OFFSET(Arb!$A$2,,,Arb!$AJ$5,),B399))+ROW()*0.001)</f>
        <v/>
      </c>
      <c r="I399" s="436">
        <v>257</v>
      </c>
      <c r="K399" s="52" t="str">
        <f ca="1">IF(J399="","",INDEX(OFFSET(Arb!$H$2,,,Arb!$AJ$5,),J399))</f>
        <v/>
      </c>
      <c r="L399" s="3" t="str">
        <f t="shared" ca="1" si="116"/>
        <v/>
      </c>
      <c r="M399" s="165" t="str">
        <f ca="1">IF(J399="","",INDEX(OFFSET(Arb!$X$2,,,Arb!$AJ$5,),J399)/K399)</f>
        <v/>
      </c>
      <c r="N399" s="165" t="str">
        <f ca="1">IF(J399="","",(INDEX(OFFSET(Arb!$U$2,,,Arb!$AJ$5,),J399)+INDEX(OFFSET(Arb!$V$2,,,Arb!$AJ$5,),J399))/K399)</f>
        <v/>
      </c>
      <c r="O399" s="51" t="str">
        <f t="shared" ca="1" si="126"/>
        <v/>
      </c>
      <c r="P399" s="91" t="str">
        <f ca="1">IF(J399="","",DATE(INDEX(OFFSET(Arb!$C$2,,,Arb!$AJ$5,),J399),INDEX(OFFSET(Arb!$B$2,,,Arb!$AJ$5,),J399),INDEX(OFFSET(Arb!$A$2,,,Arb!$AJ$5,),J399))+ROW()*0.001)</f>
        <v/>
      </c>
      <c r="Q399" s="442">
        <v>257</v>
      </c>
      <c r="S399" s="52" t="str">
        <f ca="1">IF(R399="","",INDEX(OFFSET(Arb!$H$2,,,Arb!$AJ$5,),R399))</f>
        <v/>
      </c>
      <c r="T399" s="3" t="str">
        <f t="shared" ca="1" si="117"/>
        <v/>
      </c>
      <c r="U399" s="165" t="str">
        <f ca="1">IF(R399="","",INDEX(OFFSET(Arb!$X$2,,,Arb!$AJ$5,),R399)/S399)</f>
        <v/>
      </c>
      <c r="V399" s="165" t="str">
        <f ca="1">IF(R399="","",(INDEX(OFFSET(Arb!$U$2,,,Arb!$AJ$5,),R399)+INDEX(OFFSET(Arb!$V$2,,,Arb!$AJ$5,),R399))/S399)</f>
        <v/>
      </c>
      <c r="W399" s="51" t="str">
        <f t="shared" ca="1" si="127"/>
        <v/>
      </c>
      <c r="X399" s="88" t="str">
        <f ca="1">IF(R399="","",DATE(INDEX(OFFSET(Arb!$C$2,,,Arb!$AJ$5,),R399),INDEX(OFFSET(Arb!$B$2,,,Arb!$AJ$5,),R399),INDEX(OFFSET(Arb!$A$2,,,Arb!$AJ$5,),R399))+ROW()*0.001)</f>
        <v/>
      </c>
      <c r="Y399" s="436">
        <v>257</v>
      </c>
      <c r="AA399" s="52" t="str">
        <f ca="1">IF(Z399="","",INDEX(OFFSET(Arb!$H$2,,,Arb!$AJ$5,),Z399))</f>
        <v/>
      </c>
      <c r="AB399" s="3" t="str">
        <f t="shared" ca="1" si="118"/>
        <v/>
      </c>
      <c r="AC399" s="165" t="str">
        <f ca="1">IF(Z399="","",INDEX(OFFSET(Arb!$X$2,,,Arb!$AJ$5,),Z399)/AA399)</f>
        <v/>
      </c>
      <c r="AD399" s="165" t="str">
        <f ca="1">IF(Z399="","",(INDEX(OFFSET(Arb!$U$2,,,Arb!$AJ$5,),Z399)+INDEX(OFFSET(Arb!$V$2,,,Arb!$AJ$5,),Z399))/AA399)</f>
        <v/>
      </c>
      <c r="AE399" s="51" t="str">
        <f t="shared" ca="1" si="128"/>
        <v/>
      </c>
      <c r="AF399" s="91" t="str">
        <f ca="1">IF(Z399="","",DATE(INDEX(OFFSET(Arb!$C$2,,,Arb!$AJ$5,),Z399),INDEX(OFFSET(Arb!$B$2,,,Arb!$AJ$5,),Z399),INDEX(OFFSET(Arb!$A$2,,,Arb!$AJ$5,),Z399))+ROW()*0.001)</f>
        <v/>
      </c>
      <c r="AG399" s="442">
        <v>257</v>
      </c>
      <c r="AI399" s="52" t="str">
        <f ca="1">IF(AH399="","",INDEX(OFFSET(Arb!$H$2,,,Arb!$AJ$5,),AH399))</f>
        <v/>
      </c>
      <c r="AJ399" s="3" t="str">
        <f t="shared" ca="1" si="119"/>
        <v/>
      </c>
      <c r="AK399" s="165" t="str">
        <f ca="1">IF(AH399="","",INDEX(OFFSET(Arb!$X$2,,,Arb!$AJ$5,),AH399)/AI399)</f>
        <v/>
      </c>
      <c r="AL399" s="165" t="str">
        <f ca="1">IF(AH399="","",(INDEX(OFFSET(Arb!$U$2,,,Arb!$AJ$5,),AH399)+INDEX(OFFSET(Arb!$V$2,,,Arb!$AJ$5,),AH399))/AI399)</f>
        <v/>
      </c>
      <c r="AM399" s="51" t="str">
        <f t="shared" ca="1" si="129"/>
        <v/>
      </c>
      <c r="AN399" s="88" t="str">
        <f ca="1">IF(AH399="","",DATE(INDEX(OFFSET(Arb!$C$2,,,Arb!$AJ$5,),AH399),INDEX(OFFSET(Arb!$B$2,,,Arb!$AJ$5,),AH399),INDEX(OFFSET(Arb!$A$2,,,Arb!$AJ$5,),AH399))+ROW()*0.001)</f>
        <v/>
      </c>
      <c r="AO399" s="436">
        <v>257</v>
      </c>
      <c r="AQ399" s="52" t="str">
        <f ca="1">IF(AP399="","",INDEX(OFFSET(Arb!$H$2,,,Arb!$AJ$5,),AP399))</f>
        <v/>
      </c>
      <c r="AR399" s="3" t="str">
        <f t="shared" ca="1" si="120"/>
        <v/>
      </c>
      <c r="AS399" s="165" t="str">
        <f ca="1">IF(AP399="","",INDEX(OFFSET(Arb!$X$2,,,Arb!$AJ$5,),AP399)/AQ399)</f>
        <v/>
      </c>
      <c r="AT399" s="165" t="str">
        <f ca="1">IF(AP399="","",(INDEX(OFFSET(Arb!$U$2,,,Arb!$AJ$5,),AP399)+INDEX(OFFSET(Arb!$V$2,,,Arb!$AJ$5,),AP399))/AQ399)</f>
        <v/>
      </c>
      <c r="AU399" s="51" t="str">
        <f t="shared" ca="1" si="130"/>
        <v/>
      </c>
      <c r="AV399" s="91" t="str">
        <f ca="1">IF(AP399="","",DATE(INDEX(OFFSET(Arb!$C$2,,,Arb!$AJ$5,),AP399),INDEX(OFFSET(Arb!$B$2,,,Arb!$AJ$5,),AP399),INDEX(OFFSET(Arb!$A$2,,,Arb!$AJ$5,),AP399))+ROW()*0.001)</f>
        <v/>
      </c>
      <c r="AW399" s="442">
        <v>257</v>
      </c>
      <c r="AY399" s="52" t="str">
        <f ca="1">IF(AX399="","",INDEX(OFFSET(Arb!$H$2,,,Arb!$AJ$5,),AX399))</f>
        <v/>
      </c>
      <c r="AZ399" s="3" t="str">
        <f t="shared" ca="1" si="121"/>
        <v/>
      </c>
      <c r="BA399" s="165" t="str">
        <f ca="1">IF(AX399="","",INDEX(OFFSET(Arb!$X$2,,,Arb!$AJ$5,),AX399)/AY399)</f>
        <v/>
      </c>
      <c r="BB399" s="165" t="str">
        <f ca="1">IF(AX399="","",(INDEX(OFFSET(Arb!$U$2,,,Arb!$AJ$5,),AX399)+INDEX(OFFSET(Arb!$V$2,,,Arb!$AJ$5,),AX399))/AY399)</f>
        <v/>
      </c>
      <c r="BC399" s="51" t="str">
        <f t="shared" ca="1" si="131"/>
        <v/>
      </c>
      <c r="BD399" s="88" t="str">
        <f ca="1">IF(AX399="","",DATE(INDEX(OFFSET(Arb!$C$2,,,Arb!$AJ$5,),AX399),INDEX(OFFSET(Arb!$B$2,,,Arb!$AJ$5,),AX399),INDEX(OFFSET(Arb!$A$2,,,Arb!$AJ$5,),AX399))+ROW()*0.001)</f>
        <v/>
      </c>
      <c r="BE399" s="436">
        <v>257</v>
      </c>
      <c r="BG399" s="52" t="str">
        <f ca="1">IF(BF399="","",INDEX(OFFSET(Arb!$H$2,,,Arb!$AJ$5,),BF399))</f>
        <v/>
      </c>
      <c r="BH399" s="3" t="str">
        <f t="shared" ca="1" si="122"/>
        <v/>
      </c>
      <c r="BI399" s="165" t="str">
        <f ca="1">IF(BF399="","",INDEX(OFFSET(Arb!$X$2,,,Arb!$AJ$5,),BF399)/BG399)</f>
        <v/>
      </c>
      <c r="BJ399" s="165" t="str">
        <f ca="1">IF(BF399="","",(INDEX(OFFSET(Arb!$U$2,,,Arb!$AJ$5,),BF399)+INDEX(OFFSET(Arb!$V$2,,,Arb!$AJ$5,),BF399))/BG399)</f>
        <v/>
      </c>
      <c r="BK399" s="51" t="str">
        <f t="shared" ca="1" si="132"/>
        <v/>
      </c>
      <c r="BL399" s="91" t="str">
        <f ca="1">IF(BF399="","",DATE(INDEX(OFFSET(Arb!$C$2,,,Arb!$AJ$5,),BF399),INDEX(OFFSET(Arb!$B$2,,,Arb!$AJ$5,),BF399),INDEX(OFFSET(Arb!$A$2,,,Arb!$AJ$5,),BF399))+ROW()*0.001)</f>
        <v/>
      </c>
      <c r="BM399" s="442">
        <v>257</v>
      </c>
      <c r="BO399" s="52" t="str">
        <f ca="1">IF(BN399="","",INDEX(OFFSET(Arb!$H$2,,,Arb!$AJ$5,),BN399))</f>
        <v/>
      </c>
      <c r="BP399" s="3" t="str">
        <f t="shared" ca="1" si="123"/>
        <v/>
      </c>
      <c r="BQ399" s="165" t="str">
        <f ca="1">IF(BN399="","",INDEX(OFFSET(Arb!$X$2,,,Arb!$AJ$5,),BN399)/BO399)</f>
        <v/>
      </c>
      <c r="BR399" s="165" t="str">
        <f ca="1">IF(BN399="","",(INDEX(OFFSET(Arb!$U$2,,,Arb!$AJ$5,),BN399)+INDEX(OFFSET(Arb!$V$2,,,Arb!$AJ$5,),BN399))/BO399)</f>
        <v/>
      </c>
      <c r="BS399" s="51" t="str">
        <f t="shared" ca="1" si="133"/>
        <v/>
      </c>
      <c r="BT399" s="88" t="str">
        <f ca="1">IF(BN399="","",DATE(INDEX(OFFSET(Arb!$C$2,,,Arb!$AJ$5,),BN399),INDEX(OFFSET(Arb!$B$2,,,Arb!$AJ$5,),BN399),INDEX(OFFSET(Arb!$A$2,,,Arb!$AJ$5,),BN399))+ROW()*0.001)</f>
        <v/>
      </c>
      <c r="BU399" s="436">
        <v>257</v>
      </c>
      <c r="BW399" s="52" t="str">
        <f ca="1">IF(BV399="","",INDEX(OFFSET(Arb!$H$2,,,Arb!$AJ$5,),BV399))</f>
        <v/>
      </c>
      <c r="BX399" s="3" t="str">
        <f t="shared" ca="1" si="124"/>
        <v/>
      </c>
      <c r="BY399" s="165" t="str">
        <f ca="1">IF(BV399="","",INDEX(OFFSET(Arb!$X$2,,,Arb!$AJ$5,),BV399)/BW399)</f>
        <v/>
      </c>
      <c r="BZ399" s="165" t="str">
        <f ca="1">IF(BV399="","",(INDEX(OFFSET(Arb!$U$2,,,Arb!$AJ$5,),BV399)+INDEX(OFFSET(Arb!$V$2,,,Arb!$AJ$5,),BV399))/BW399)</f>
        <v/>
      </c>
      <c r="CA399" s="51" t="str">
        <f t="shared" ca="1" si="134"/>
        <v/>
      </c>
      <c r="CB399" s="91" t="str">
        <f ca="1">IF(BV399="","",DATE(INDEX(OFFSET(Arb!$C$2,,,Arb!$AJ$5,),BV399),INDEX(OFFSET(Arb!$B$2,,,Arb!$AJ$5,),BV399),INDEX(OFFSET(Arb!$A$2,,,Arb!$AJ$5,),BV399))+ROW()*0.001)</f>
        <v/>
      </c>
    </row>
    <row r="400" spans="1:80" x14ac:dyDescent="0.25">
      <c r="A400" s="433">
        <v>258</v>
      </c>
      <c r="C400" s="52" t="str">
        <f ca="1">IF(B400="","",INDEX(OFFSET(Arb!$H$2,,,Arb!$AJ$5,),B400))</f>
        <v/>
      </c>
      <c r="D400" s="3" t="str">
        <f t="shared" ca="1" si="115"/>
        <v/>
      </c>
      <c r="E400" s="165" t="str">
        <f ca="1">IF(B400="","",INDEX(OFFSET(Arb!$X$2,,,Arb!$AJ$5,),B400)/C400)</f>
        <v/>
      </c>
      <c r="F400" s="165" t="str">
        <f ca="1">IF(B400="","",(INDEX(OFFSET(Arb!$U$2,,,Arb!$AJ$5,),B400)+INDEX(OFFSET(Arb!$V$2,,,Arb!$AJ$5,),B400))/C400)</f>
        <v/>
      </c>
      <c r="G400" s="51" t="str">
        <f t="shared" ca="1" si="125"/>
        <v/>
      </c>
      <c r="H400" s="355" t="str">
        <f ca="1">IF(B400="","",DATE(INDEX(OFFSET(Arb!$C$2,,,Arb!$AJ$5,),B400),INDEX(OFFSET(Arb!$B$2,,,Arb!$AJ$5,),B400),INDEX(OFFSET(Arb!$A$2,,,Arb!$AJ$5,),B400))+ROW()*0.001)</f>
        <v/>
      </c>
      <c r="I400" s="436">
        <v>258</v>
      </c>
      <c r="K400" s="52" t="str">
        <f ca="1">IF(J400="","",INDEX(OFFSET(Arb!$H$2,,,Arb!$AJ$5,),J400))</f>
        <v/>
      </c>
      <c r="L400" s="3" t="str">
        <f t="shared" ca="1" si="116"/>
        <v/>
      </c>
      <c r="M400" s="165" t="str">
        <f ca="1">IF(J400="","",INDEX(OFFSET(Arb!$X$2,,,Arb!$AJ$5,),J400)/K400)</f>
        <v/>
      </c>
      <c r="N400" s="165" t="str">
        <f ca="1">IF(J400="","",(INDEX(OFFSET(Arb!$U$2,,,Arb!$AJ$5,),J400)+INDEX(OFFSET(Arb!$V$2,,,Arb!$AJ$5,),J400))/K400)</f>
        <v/>
      </c>
      <c r="O400" s="51" t="str">
        <f t="shared" ca="1" si="126"/>
        <v/>
      </c>
      <c r="P400" s="91" t="str">
        <f ca="1">IF(J400="","",DATE(INDEX(OFFSET(Arb!$C$2,,,Arb!$AJ$5,),J400),INDEX(OFFSET(Arb!$B$2,,,Arb!$AJ$5,),J400),INDEX(OFFSET(Arb!$A$2,,,Arb!$AJ$5,),J400))+ROW()*0.001)</f>
        <v/>
      </c>
      <c r="Q400" s="442">
        <v>258</v>
      </c>
      <c r="S400" s="52" t="str">
        <f ca="1">IF(R400="","",INDEX(OFFSET(Arb!$H$2,,,Arb!$AJ$5,),R400))</f>
        <v/>
      </c>
      <c r="T400" s="3" t="str">
        <f t="shared" ca="1" si="117"/>
        <v/>
      </c>
      <c r="U400" s="165" t="str">
        <f ca="1">IF(R400="","",INDEX(OFFSET(Arb!$X$2,,,Arb!$AJ$5,),R400)/S400)</f>
        <v/>
      </c>
      <c r="V400" s="165" t="str">
        <f ca="1">IF(R400="","",(INDEX(OFFSET(Arb!$U$2,,,Arb!$AJ$5,),R400)+INDEX(OFFSET(Arb!$V$2,,,Arb!$AJ$5,),R400))/S400)</f>
        <v/>
      </c>
      <c r="W400" s="51" t="str">
        <f t="shared" ca="1" si="127"/>
        <v/>
      </c>
      <c r="X400" s="88" t="str">
        <f ca="1">IF(R400="","",DATE(INDEX(OFFSET(Arb!$C$2,,,Arb!$AJ$5,),R400),INDEX(OFFSET(Arb!$B$2,,,Arb!$AJ$5,),R400),INDEX(OFFSET(Arb!$A$2,,,Arb!$AJ$5,),R400))+ROW()*0.001)</f>
        <v/>
      </c>
      <c r="Y400" s="436">
        <v>258</v>
      </c>
      <c r="AA400" s="52" t="str">
        <f ca="1">IF(Z400="","",INDEX(OFFSET(Arb!$H$2,,,Arb!$AJ$5,),Z400))</f>
        <v/>
      </c>
      <c r="AB400" s="3" t="str">
        <f t="shared" ca="1" si="118"/>
        <v/>
      </c>
      <c r="AC400" s="165" t="str">
        <f ca="1">IF(Z400="","",INDEX(OFFSET(Arb!$X$2,,,Arb!$AJ$5,),Z400)/AA400)</f>
        <v/>
      </c>
      <c r="AD400" s="165" t="str">
        <f ca="1">IF(Z400="","",(INDEX(OFFSET(Arb!$U$2,,,Arb!$AJ$5,),Z400)+INDEX(OFFSET(Arb!$V$2,,,Arb!$AJ$5,),Z400))/AA400)</f>
        <v/>
      </c>
      <c r="AE400" s="51" t="str">
        <f t="shared" ca="1" si="128"/>
        <v/>
      </c>
      <c r="AF400" s="91" t="str">
        <f ca="1">IF(Z400="","",DATE(INDEX(OFFSET(Arb!$C$2,,,Arb!$AJ$5,),Z400),INDEX(OFFSET(Arb!$B$2,,,Arb!$AJ$5,),Z400),INDEX(OFFSET(Arb!$A$2,,,Arb!$AJ$5,),Z400))+ROW()*0.001)</f>
        <v/>
      </c>
      <c r="AG400" s="442">
        <v>258</v>
      </c>
      <c r="AI400" s="52" t="str">
        <f ca="1">IF(AH400="","",INDEX(OFFSET(Arb!$H$2,,,Arb!$AJ$5,),AH400))</f>
        <v/>
      </c>
      <c r="AJ400" s="3" t="str">
        <f t="shared" ca="1" si="119"/>
        <v/>
      </c>
      <c r="AK400" s="165" t="str">
        <f ca="1">IF(AH400="","",INDEX(OFFSET(Arb!$X$2,,,Arb!$AJ$5,),AH400)/AI400)</f>
        <v/>
      </c>
      <c r="AL400" s="165" t="str">
        <f ca="1">IF(AH400="","",(INDEX(OFFSET(Arb!$U$2,,,Arb!$AJ$5,),AH400)+INDEX(OFFSET(Arb!$V$2,,,Arb!$AJ$5,),AH400))/AI400)</f>
        <v/>
      </c>
      <c r="AM400" s="51" t="str">
        <f t="shared" ca="1" si="129"/>
        <v/>
      </c>
      <c r="AN400" s="88" t="str">
        <f ca="1">IF(AH400="","",DATE(INDEX(OFFSET(Arb!$C$2,,,Arb!$AJ$5,),AH400),INDEX(OFFSET(Arb!$B$2,,,Arb!$AJ$5,),AH400),INDEX(OFFSET(Arb!$A$2,,,Arb!$AJ$5,),AH400))+ROW()*0.001)</f>
        <v/>
      </c>
      <c r="AO400" s="436">
        <v>258</v>
      </c>
      <c r="AQ400" s="52" t="str">
        <f ca="1">IF(AP400="","",INDEX(OFFSET(Arb!$H$2,,,Arb!$AJ$5,),AP400))</f>
        <v/>
      </c>
      <c r="AR400" s="3" t="str">
        <f t="shared" ca="1" si="120"/>
        <v/>
      </c>
      <c r="AS400" s="165" t="str">
        <f ca="1">IF(AP400="","",INDEX(OFFSET(Arb!$X$2,,,Arb!$AJ$5,),AP400)/AQ400)</f>
        <v/>
      </c>
      <c r="AT400" s="165" t="str">
        <f ca="1">IF(AP400="","",(INDEX(OFFSET(Arb!$U$2,,,Arb!$AJ$5,),AP400)+INDEX(OFFSET(Arb!$V$2,,,Arb!$AJ$5,),AP400))/AQ400)</f>
        <v/>
      </c>
      <c r="AU400" s="51" t="str">
        <f t="shared" ca="1" si="130"/>
        <v/>
      </c>
      <c r="AV400" s="91" t="str">
        <f ca="1">IF(AP400="","",DATE(INDEX(OFFSET(Arb!$C$2,,,Arb!$AJ$5,),AP400),INDEX(OFFSET(Arb!$B$2,,,Arb!$AJ$5,),AP400),INDEX(OFFSET(Arb!$A$2,,,Arb!$AJ$5,),AP400))+ROW()*0.001)</f>
        <v/>
      </c>
      <c r="AW400" s="442">
        <v>258</v>
      </c>
      <c r="AY400" s="52" t="str">
        <f ca="1">IF(AX400="","",INDEX(OFFSET(Arb!$H$2,,,Arb!$AJ$5,),AX400))</f>
        <v/>
      </c>
      <c r="AZ400" s="3" t="str">
        <f t="shared" ca="1" si="121"/>
        <v/>
      </c>
      <c r="BA400" s="165" t="str">
        <f ca="1">IF(AX400="","",INDEX(OFFSET(Arb!$X$2,,,Arb!$AJ$5,),AX400)/AY400)</f>
        <v/>
      </c>
      <c r="BB400" s="165" t="str">
        <f ca="1">IF(AX400="","",(INDEX(OFFSET(Arb!$U$2,,,Arb!$AJ$5,),AX400)+INDEX(OFFSET(Arb!$V$2,,,Arb!$AJ$5,),AX400))/AY400)</f>
        <v/>
      </c>
      <c r="BC400" s="51" t="str">
        <f t="shared" ca="1" si="131"/>
        <v/>
      </c>
      <c r="BD400" s="88" t="str">
        <f ca="1">IF(AX400="","",DATE(INDEX(OFFSET(Arb!$C$2,,,Arb!$AJ$5,),AX400),INDEX(OFFSET(Arb!$B$2,,,Arb!$AJ$5,),AX400),INDEX(OFFSET(Arb!$A$2,,,Arb!$AJ$5,),AX400))+ROW()*0.001)</f>
        <v/>
      </c>
      <c r="BE400" s="436">
        <v>258</v>
      </c>
      <c r="BG400" s="52" t="str">
        <f ca="1">IF(BF400="","",INDEX(OFFSET(Arb!$H$2,,,Arb!$AJ$5,),BF400))</f>
        <v/>
      </c>
      <c r="BH400" s="3" t="str">
        <f t="shared" ca="1" si="122"/>
        <v/>
      </c>
      <c r="BI400" s="165" t="str">
        <f ca="1">IF(BF400="","",INDEX(OFFSET(Arb!$X$2,,,Arb!$AJ$5,),BF400)/BG400)</f>
        <v/>
      </c>
      <c r="BJ400" s="165" t="str">
        <f ca="1">IF(BF400="","",(INDEX(OFFSET(Arb!$U$2,,,Arb!$AJ$5,),BF400)+INDEX(OFFSET(Arb!$V$2,,,Arb!$AJ$5,),BF400))/BG400)</f>
        <v/>
      </c>
      <c r="BK400" s="51" t="str">
        <f t="shared" ca="1" si="132"/>
        <v/>
      </c>
      <c r="BL400" s="91" t="str">
        <f ca="1">IF(BF400="","",DATE(INDEX(OFFSET(Arb!$C$2,,,Arb!$AJ$5,),BF400),INDEX(OFFSET(Arb!$B$2,,,Arb!$AJ$5,),BF400),INDEX(OFFSET(Arb!$A$2,,,Arb!$AJ$5,),BF400))+ROW()*0.001)</f>
        <v/>
      </c>
      <c r="BM400" s="442">
        <v>258</v>
      </c>
      <c r="BO400" s="52" t="str">
        <f ca="1">IF(BN400="","",INDEX(OFFSET(Arb!$H$2,,,Arb!$AJ$5,),BN400))</f>
        <v/>
      </c>
      <c r="BP400" s="3" t="str">
        <f t="shared" ca="1" si="123"/>
        <v/>
      </c>
      <c r="BQ400" s="165" t="str">
        <f ca="1">IF(BN400="","",INDEX(OFFSET(Arb!$X$2,,,Arb!$AJ$5,),BN400)/BO400)</f>
        <v/>
      </c>
      <c r="BR400" s="165" t="str">
        <f ca="1">IF(BN400="","",(INDEX(OFFSET(Arb!$U$2,,,Arb!$AJ$5,),BN400)+INDEX(OFFSET(Arb!$V$2,,,Arb!$AJ$5,),BN400))/BO400)</f>
        <v/>
      </c>
      <c r="BS400" s="51" t="str">
        <f t="shared" ca="1" si="133"/>
        <v/>
      </c>
      <c r="BT400" s="88" t="str">
        <f ca="1">IF(BN400="","",DATE(INDEX(OFFSET(Arb!$C$2,,,Arb!$AJ$5,),BN400),INDEX(OFFSET(Arb!$B$2,,,Arb!$AJ$5,),BN400),INDEX(OFFSET(Arb!$A$2,,,Arb!$AJ$5,),BN400))+ROW()*0.001)</f>
        <v/>
      </c>
      <c r="BU400" s="436">
        <v>258</v>
      </c>
      <c r="BW400" s="52" t="str">
        <f ca="1">IF(BV400="","",INDEX(OFFSET(Arb!$H$2,,,Arb!$AJ$5,),BV400))</f>
        <v/>
      </c>
      <c r="BX400" s="3" t="str">
        <f t="shared" ca="1" si="124"/>
        <v/>
      </c>
      <c r="BY400" s="165" t="str">
        <f ca="1">IF(BV400="","",INDEX(OFFSET(Arb!$X$2,,,Arb!$AJ$5,),BV400)/BW400)</f>
        <v/>
      </c>
      <c r="BZ400" s="165" t="str">
        <f ca="1">IF(BV400="","",(INDEX(OFFSET(Arb!$U$2,,,Arb!$AJ$5,),BV400)+INDEX(OFFSET(Arb!$V$2,,,Arb!$AJ$5,),BV400))/BW400)</f>
        <v/>
      </c>
      <c r="CA400" s="51" t="str">
        <f t="shared" ca="1" si="134"/>
        <v/>
      </c>
      <c r="CB400" s="91" t="str">
        <f ca="1">IF(BV400="","",DATE(INDEX(OFFSET(Arb!$C$2,,,Arb!$AJ$5,),BV400),INDEX(OFFSET(Arb!$B$2,,,Arb!$AJ$5,),BV400),INDEX(OFFSET(Arb!$A$2,,,Arb!$AJ$5,),BV400))+ROW()*0.001)</f>
        <v/>
      </c>
    </row>
    <row r="401" spans="1:80" x14ac:dyDescent="0.25">
      <c r="A401" s="433">
        <v>259</v>
      </c>
      <c r="C401" s="52" t="str">
        <f ca="1">IF(B401="","",INDEX(OFFSET(Arb!$H$2,,,Arb!$AJ$5,),B401))</f>
        <v/>
      </c>
      <c r="D401" s="3" t="str">
        <f t="shared" ca="1" si="115"/>
        <v/>
      </c>
      <c r="E401" s="165" t="str">
        <f ca="1">IF(B401="","",INDEX(OFFSET(Arb!$X$2,,,Arb!$AJ$5,),B401)/C401)</f>
        <v/>
      </c>
      <c r="F401" s="165" t="str">
        <f ca="1">IF(B401="","",(INDEX(OFFSET(Arb!$U$2,,,Arb!$AJ$5,),B401)+INDEX(OFFSET(Arb!$V$2,,,Arb!$AJ$5,),B401))/C401)</f>
        <v/>
      </c>
      <c r="G401" s="51" t="str">
        <f t="shared" ca="1" si="125"/>
        <v/>
      </c>
      <c r="H401" s="355" t="str">
        <f ca="1">IF(B401="","",DATE(INDEX(OFFSET(Arb!$C$2,,,Arb!$AJ$5,),B401),INDEX(OFFSET(Arb!$B$2,,,Arb!$AJ$5,),B401),INDEX(OFFSET(Arb!$A$2,,,Arb!$AJ$5,),B401))+ROW()*0.001)</f>
        <v/>
      </c>
      <c r="I401" s="436">
        <v>259</v>
      </c>
      <c r="K401" s="52" t="str">
        <f ca="1">IF(J401="","",INDEX(OFFSET(Arb!$H$2,,,Arb!$AJ$5,),J401))</f>
        <v/>
      </c>
      <c r="L401" s="3" t="str">
        <f t="shared" ca="1" si="116"/>
        <v/>
      </c>
      <c r="M401" s="165" t="str">
        <f ca="1">IF(J401="","",INDEX(OFFSET(Arb!$X$2,,,Arb!$AJ$5,),J401)/K401)</f>
        <v/>
      </c>
      <c r="N401" s="165" t="str">
        <f ca="1">IF(J401="","",(INDEX(OFFSET(Arb!$U$2,,,Arb!$AJ$5,),J401)+INDEX(OFFSET(Arb!$V$2,,,Arb!$AJ$5,),J401))/K401)</f>
        <v/>
      </c>
      <c r="O401" s="51" t="str">
        <f t="shared" ca="1" si="126"/>
        <v/>
      </c>
      <c r="P401" s="91" t="str">
        <f ca="1">IF(J401="","",DATE(INDEX(OFFSET(Arb!$C$2,,,Arb!$AJ$5,),J401),INDEX(OFFSET(Arb!$B$2,,,Arb!$AJ$5,),J401),INDEX(OFFSET(Arb!$A$2,,,Arb!$AJ$5,),J401))+ROW()*0.001)</f>
        <v/>
      </c>
      <c r="Q401" s="442">
        <v>259</v>
      </c>
      <c r="S401" s="52" t="str">
        <f ca="1">IF(R401="","",INDEX(OFFSET(Arb!$H$2,,,Arb!$AJ$5,),R401))</f>
        <v/>
      </c>
      <c r="T401" s="3" t="str">
        <f t="shared" ca="1" si="117"/>
        <v/>
      </c>
      <c r="U401" s="165" t="str">
        <f ca="1">IF(R401="","",INDEX(OFFSET(Arb!$X$2,,,Arb!$AJ$5,),R401)/S401)</f>
        <v/>
      </c>
      <c r="V401" s="165" t="str">
        <f ca="1">IF(R401="","",(INDEX(OFFSET(Arb!$U$2,,,Arb!$AJ$5,),R401)+INDEX(OFFSET(Arb!$V$2,,,Arb!$AJ$5,),R401))/S401)</f>
        <v/>
      </c>
      <c r="W401" s="51" t="str">
        <f t="shared" ca="1" si="127"/>
        <v/>
      </c>
      <c r="X401" s="88" t="str">
        <f ca="1">IF(R401="","",DATE(INDEX(OFFSET(Arb!$C$2,,,Arb!$AJ$5,),R401),INDEX(OFFSET(Arb!$B$2,,,Arb!$AJ$5,),R401),INDEX(OFFSET(Arb!$A$2,,,Arb!$AJ$5,),R401))+ROW()*0.001)</f>
        <v/>
      </c>
      <c r="Y401" s="436">
        <v>259</v>
      </c>
      <c r="AA401" s="52" t="str">
        <f ca="1">IF(Z401="","",INDEX(OFFSET(Arb!$H$2,,,Arb!$AJ$5,),Z401))</f>
        <v/>
      </c>
      <c r="AB401" s="3" t="str">
        <f t="shared" ca="1" si="118"/>
        <v/>
      </c>
      <c r="AC401" s="165" t="str">
        <f ca="1">IF(Z401="","",INDEX(OFFSET(Arb!$X$2,,,Arb!$AJ$5,),Z401)/AA401)</f>
        <v/>
      </c>
      <c r="AD401" s="165" t="str">
        <f ca="1">IF(Z401="","",(INDEX(OFFSET(Arb!$U$2,,,Arb!$AJ$5,),Z401)+INDEX(OFFSET(Arb!$V$2,,,Arb!$AJ$5,),Z401))/AA401)</f>
        <v/>
      </c>
      <c r="AE401" s="51" t="str">
        <f t="shared" ca="1" si="128"/>
        <v/>
      </c>
      <c r="AF401" s="91" t="str">
        <f ca="1">IF(Z401="","",DATE(INDEX(OFFSET(Arb!$C$2,,,Arb!$AJ$5,),Z401),INDEX(OFFSET(Arb!$B$2,,,Arb!$AJ$5,),Z401),INDEX(OFFSET(Arb!$A$2,,,Arb!$AJ$5,),Z401))+ROW()*0.001)</f>
        <v/>
      </c>
      <c r="AG401" s="442">
        <v>259</v>
      </c>
      <c r="AI401" s="52" t="str">
        <f ca="1">IF(AH401="","",INDEX(OFFSET(Arb!$H$2,,,Arb!$AJ$5,),AH401))</f>
        <v/>
      </c>
      <c r="AJ401" s="3" t="str">
        <f t="shared" ca="1" si="119"/>
        <v/>
      </c>
      <c r="AK401" s="165" t="str">
        <f ca="1">IF(AH401="","",INDEX(OFFSET(Arb!$X$2,,,Arb!$AJ$5,),AH401)/AI401)</f>
        <v/>
      </c>
      <c r="AL401" s="165" t="str">
        <f ca="1">IF(AH401="","",(INDEX(OFFSET(Arb!$U$2,,,Arb!$AJ$5,),AH401)+INDEX(OFFSET(Arb!$V$2,,,Arb!$AJ$5,),AH401))/AI401)</f>
        <v/>
      </c>
      <c r="AM401" s="51" t="str">
        <f t="shared" ca="1" si="129"/>
        <v/>
      </c>
      <c r="AN401" s="88" t="str">
        <f ca="1">IF(AH401="","",DATE(INDEX(OFFSET(Arb!$C$2,,,Arb!$AJ$5,),AH401),INDEX(OFFSET(Arb!$B$2,,,Arb!$AJ$5,),AH401),INDEX(OFFSET(Arb!$A$2,,,Arb!$AJ$5,),AH401))+ROW()*0.001)</f>
        <v/>
      </c>
      <c r="AO401" s="436">
        <v>259</v>
      </c>
      <c r="AQ401" s="52" t="str">
        <f ca="1">IF(AP401="","",INDEX(OFFSET(Arb!$H$2,,,Arb!$AJ$5,),AP401))</f>
        <v/>
      </c>
      <c r="AR401" s="3" t="str">
        <f t="shared" ca="1" si="120"/>
        <v/>
      </c>
      <c r="AS401" s="165" t="str">
        <f ca="1">IF(AP401="","",INDEX(OFFSET(Arb!$X$2,,,Arb!$AJ$5,),AP401)/AQ401)</f>
        <v/>
      </c>
      <c r="AT401" s="165" t="str">
        <f ca="1">IF(AP401="","",(INDEX(OFFSET(Arb!$U$2,,,Arb!$AJ$5,),AP401)+INDEX(OFFSET(Arb!$V$2,,,Arb!$AJ$5,),AP401))/AQ401)</f>
        <v/>
      </c>
      <c r="AU401" s="51" t="str">
        <f t="shared" ca="1" si="130"/>
        <v/>
      </c>
      <c r="AV401" s="91" t="str">
        <f ca="1">IF(AP401="","",DATE(INDEX(OFFSET(Arb!$C$2,,,Arb!$AJ$5,),AP401),INDEX(OFFSET(Arb!$B$2,,,Arb!$AJ$5,),AP401),INDEX(OFFSET(Arb!$A$2,,,Arb!$AJ$5,),AP401))+ROW()*0.001)</f>
        <v/>
      </c>
      <c r="AW401" s="442">
        <v>259</v>
      </c>
      <c r="AY401" s="52" t="str">
        <f ca="1">IF(AX401="","",INDEX(OFFSET(Arb!$H$2,,,Arb!$AJ$5,),AX401))</f>
        <v/>
      </c>
      <c r="AZ401" s="3" t="str">
        <f t="shared" ca="1" si="121"/>
        <v/>
      </c>
      <c r="BA401" s="165" t="str">
        <f ca="1">IF(AX401="","",INDEX(OFFSET(Arb!$X$2,,,Arb!$AJ$5,),AX401)/AY401)</f>
        <v/>
      </c>
      <c r="BB401" s="165" t="str">
        <f ca="1">IF(AX401="","",(INDEX(OFFSET(Arb!$U$2,,,Arb!$AJ$5,),AX401)+INDEX(OFFSET(Arb!$V$2,,,Arb!$AJ$5,),AX401))/AY401)</f>
        <v/>
      </c>
      <c r="BC401" s="51" t="str">
        <f t="shared" ca="1" si="131"/>
        <v/>
      </c>
      <c r="BD401" s="88" t="str">
        <f ca="1">IF(AX401="","",DATE(INDEX(OFFSET(Arb!$C$2,,,Arb!$AJ$5,),AX401),INDEX(OFFSET(Arb!$B$2,,,Arb!$AJ$5,),AX401),INDEX(OFFSET(Arb!$A$2,,,Arb!$AJ$5,),AX401))+ROW()*0.001)</f>
        <v/>
      </c>
      <c r="BE401" s="436">
        <v>259</v>
      </c>
      <c r="BG401" s="52" t="str">
        <f ca="1">IF(BF401="","",INDEX(OFFSET(Arb!$H$2,,,Arb!$AJ$5,),BF401))</f>
        <v/>
      </c>
      <c r="BH401" s="3" t="str">
        <f t="shared" ca="1" si="122"/>
        <v/>
      </c>
      <c r="BI401" s="165" t="str">
        <f ca="1">IF(BF401="","",INDEX(OFFSET(Arb!$X$2,,,Arb!$AJ$5,),BF401)/BG401)</f>
        <v/>
      </c>
      <c r="BJ401" s="165" t="str">
        <f ca="1">IF(BF401="","",(INDEX(OFFSET(Arb!$U$2,,,Arb!$AJ$5,),BF401)+INDEX(OFFSET(Arb!$V$2,,,Arb!$AJ$5,),BF401))/BG401)</f>
        <v/>
      </c>
      <c r="BK401" s="51" t="str">
        <f t="shared" ca="1" si="132"/>
        <v/>
      </c>
      <c r="BL401" s="91" t="str">
        <f ca="1">IF(BF401="","",DATE(INDEX(OFFSET(Arb!$C$2,,,Arb!$AJ$5,),BF401),INDEX(OFFSET(Arb!$B$2,,,Arb!$AJ$5,),BF401),INDEX(OFFSET(Arb!$A$2,,,Arb!$AJ$5,),BF401))+ROW()*0.001)</f>
        <v/>
      </c>
      <c r="BM401" s="442">
        <v>259</v>
      </c>
      <c r="BO401" s="52" t="str">
        <f ca="1">IF(BN401="","",INDEX(OFFSET(Arb!$H$2,,,Arb!$AJ$5,),BN401))</f>
        <v/>
      </c>
      <c r="BP401" s="3" t="str">
        <f t="shared" ca="1" si="123"/>
        <v/>
      </c>
      <c r="BQ401" s="165" t="str">
        <f ca="1">IF(BN401="","",INDEX(OFFSET(Arb!$X$2,,,Arb!$AJ$5,),BN401)/BO401)</f>
        <v/>
      </c>
      <c r="BR401" s="165" t="str">
        <f ca="1">IF(BN401="","",(INDEX(OFFSET(Arb!$U$2,,,Arb!$AJ$5,),BN401)+INDEX(OFFSET(Arb!$V$2,,,Arb!$AJ$5,),BN401))/BO401)</f>
        <v/>
      </c>
      <c r="BS401" s="51" t="str">
        <f t="shared" ca="1" si="133"/>
        <v/>
      </c>
      <c r="BT401" s="88" t="str">
        <f ca="1">IF(BN401="","",DATE(INDEX(OFFSET(Arb!$C$2,,,Arb!$AJ$5,),BN401),INDEX(OFFSET(Arb!$B$2,,,Arb!$AJ$5,),BN401),INDEX(OFFSET(Arb!$A$2,,,Arb!$AJ$5,),BN401))+ROW()*0.001)</f>
        <v/>
      </c>
      <c r="BU401" s="436">
        <v>259</v>
      </c>
      <c r="BW401" s="52" t="str">
        <f ca="1">IF(BV401="","",INDEX(OFFSET(Arb!$H$2,,,Arb!$AJ$5,),BV401))</f>
        <v/>
      </c>
      <c r="BX401" s="3" t="str">
        <f t="shared" ca="1" si="124"/>
        <v/>
      </c>
      <c r="BY401" s="165" t="str">
        <f ca="1">IF(BV401="","",INDEX(OFFSET(Arb!$X$2,,,Arb!$AJ$5,),BV401)/BW401)</f>
        <v/>
      </c>
      <c r="BZ401" s="165" t="str">
        <f ca="1">IF(BV401="","",(INDEX(OFFSET(Arb!$U$2,,,Arb!$AJ$5,),BV401)+INDEX(OFFSET(Arb!$V$2,,,Arb!$AJ$5,),BV401))/BW401)</f>
        <v/>
      </c>
      <c r="CA401" s="51" t="str">
        <f t="shared" ca="1" si="134"/>
        <v/>
      </c>
      <c r="CB401" s="91" t="str">
        <f ca="1">IF(BV401="","",DATE(INDEX(OFFSET(Arb!$C$2,,,Arb!$AJ$5,),BV401),INDEX(OFFSET(Arb!$B$2,,,Arb!$AJ$5,),BV401),INDEX(OFFSET(Arb!$A$2,,,Arb!$AJ$5,),BV401))+ROW()*0.001)</f>
        <v/>
      </c>
    </row>
    <row r="402" spans="1:80" x14ac:dyDescent="0.25">
      <c r="A402" s="433">
        <v>260</v>
      </c>
      <c r="C402" s="52" t="str">
        <f ca="1">IF(B402="","",INDEX(OFFSET(Arb!$H$2,,,Arb!$AJ$5,),B402))</f>
        <v/>
      </c>
      <c r="D402" s="3" t="str">
        <f t="shared" ca="1" si="115"/>
        <v/>
      </c>
      <c r="E402" s="165" t="str">
        <f ca="1">IF(B402="","",INDEX(OFFSET(Arb!$X$2,,,Arb!$AJ$5,),B402)/C402)</f>
        <v/>
      </c>
      <c r="F402" s="165" t="str">
        <f ca="1">IF(B402="","",(INDEX(OFFSET(Arb!$U$2,,,Arb!$AJ$5,),B402)+INDEX(OFFSET(Arb!$V$2,,,Arb!$AJ$5,),B402))/C402)</f>
        <v/>
      </c>
      <c r="G402" s="51" t="str">
        <f t="shared" ca="1" si="125"/>
        <v/>
      </c>
      <c r="H402" s="355" t="str">
        <f ca="1">IF(B402="","",DATE(INDEX(OFFSET(Arb!$C$2,,,Arb!$AJ$5,),B402),INDEX(OFFSET(Arb!$B$2,,,Arb!$AJ$5,),B402),INDEX(OFFSET(Arb!$A$2,,,Arb!$AJ$5,),B402))+ROW()*0.001)</f>
        <v/>
      </c>
      <c r="I402" s="436">
        <v>260</v>
      </c>
      <c r="K402" s="52" t="str">
        <f ca="1">IF(J402="","",INDEX(OFFSET(Arb!$H$2,,,Arb!$AJ$5,),J402))</f>
        <v/>
      </c>
      <c r="L402" s="3" t="str">
        <f t="shared" ca="1" si="116"/>
        <v/>
      </c>
      <c r="M402" s="165" t="str">
        <f ca="1">IF(J402="","",INDEX(OFFSET(Arb!$X$2,,,Arb!$AJ$5,),J402)/K402)</f>
        <v/>
      </c>
      <c r="N402" s="165" t="str">
        <f ca="1">IF(J402="","",(INDEX(OFFSET(Arb!$U$2,,,Arb!$AJ$5,),J402)+INDEX(OFFSET(Arb!$V$2,,,Arb!$AJ$5,),J402))/K402)</f>
        <v/>
      </c>
      <c r="O402" s="51" t="str">
        <f t="shared" ca="1" si="126"/>
        <v/>
      </c>
      <c r="P402" s="91" t="str">
        <f ca="1">IF(J402="","",DATE(INDEX(OFFSET(Arb!$C$2,,,Arb!$AJ$5,),J402),INDEX(OFFSET(Arb!$B$2,,,Arb!$AJ$5,),J402),INDEX(OFFSET(Arb!$A$2,,,Arb!$AJ$5,),J402))+ROW()*0.001)</f>
        <v/>
      </c>
      <c r="Q402" s="442">
        <v>260</v>
      </c>
      <c r="S402" s="52" t="str">
        <f ca="1">IF(R402="","",INDEX(OFFSET(Arb!$H$2,,,Arb!$AJ$5,),R402))</f>
        <v/>
      </c>
      <c r="T402" s="3" t="str">
        <f t="shared" ca="1" si="117"/>
        <v/>
      </c>
      <c r="U402" s="165" t="str">
        <f ca="1">IF(R402="","",INDEX(OFFSET(Arb!$X$2,,,Arb!$AJ$5,),R402)/S402)</f>
        <v/>
      </c>
      <c r="V402" s="165" t="str">
        <f ca="1">IF(R402="","",(INDEX(OFFSET(Arb!$U$2,,,Arb!$AJ$5,),R402)+INDEX(OFFSET(Arb!$V$2,,,Arb!$AJ$5,),R402))/S402)</f>
        <v/>
      </c>
      <c r="W402" s="51" t="str">
        <f t="shared" ca="1" si="127"/>
        <v/>
      </c>
      <c r="X402" s="88" t="str">
        <f ca="1">IF(R402="","",DATE(INDEX(OFFSET(Arb!$C$2,,,Arb!$AJ$5,),R402),INDEX(OFFSET(Arb!$B$2,,,Arb!$AJ$5,),R402),INDEX(OFFSET(Arb!$A$2,,,Arb!$AJ$5,),R402))+ROW()*0.001)</f>
        <v/>
      </c>
      <c r="Y402" s="436">
        <v>260</v>
      </c>
      <c r="AA402" s="52" t="str">
        <f ca="1">IF(Z402="","",INDEX(OFFSET(Arb!$H$2,,,Arb!$AJ$5,),Z402))</f>
        <v/>
      </c>
      <c r="AB402" s="3" t="str">
        <f t="shared" ca="1" si="118"/>
        <v/>
      </c>
      <c r="AC402" s="165" t="str">
        <f ca="1">IF(Z402="","",INDEX(OFFSET(Arb!$X$2,,,Arb!$AJ$5,),Z402)/AA402)</f>
        <v/>
      </c>
      <c r="AD402" s="165" t="str">
        <f ca="1">IF(Z402="","",(INDEX(OFFSET(Arb!$U$2,,,Arb!$AJ$5,),Z402)+INDEX(OFFSET(Arb!$V$2,,,Arb!$AJ$5,),Z402))/AA402)</f>
        <v/>
      </c>
      <c r="AE402" s="51" t="str">
        <f t="shared" ca="1" si="128"/>
        <v/>
      </c>
      <c r="AF402" s="91" t="str">
        <f ca="1">IF(Z402="","",DATE(INDEX(OFFSET(Arb!$C$2,,,Arb!$AJ$5,),Z402),INDEX(OFFSET(Arb!$B$2,,,Arb!$AJ$5,),Z402),INDEX(OFFSET(Arb!$A$2,,,Arb!$AJ$5,),Z402))+ROW()*0.001)</f>
        <v/>
      </c>
      <c r="AG402" s="442">
        <v>260</v>
      </c>
      <c r="AI402" s="52" t="str">
        <f ca="1">IF(AH402="","",INDEX(OFFSET(Arb!$H$2,,,Arb!$AJ$5,),AH402))</f>
        <v/>
      </c>
      <c r="AJ402" s="3" t="str">
        <f t="shared" ca="1" si="119"/>
        <v/>
      </c>
      <c r="AK402" s="165" t="str">
        <f ca="1">IF(AH402="","",INDEX(OFFSET(Arb!$X$2,,,Arb!$AJ$5,),AH402)/AI402)</f>
        <v/>
      </c>
      <c r="AL402" s="165" t="str">
        <f ca="1">IF(AH402="","",(INDEX(OFFSET(Arb!$U$2,,,Arb!$AJ$5,),AH402)+INDEX(OFFSET(Arb!$V$2,,,Arb!$AJ$5,),AH402))/AI402)</f>
        <v/>
      </c>
      <c r="AM402" s="51" t="str">
        <f t="shared" ca="1" si="129"/>
        <v/>
      </c>
      <c r="AN402" s="88" t="str">
        <f ca="1">IF(AH402="","",DATE(INDEX(OFFSET(Arb!$C$2,,,Arb!$AJ$5,),AH402),INDEX(OFFSET(Arb!$B$2,,,Arb!$AJ$5,),AH402),INDEX(OFFSET(Arb!$A$2,,,Arb!$AJ$5,),AH402))+ROW()*0.001)</f>
        <v/>
      </c>
      <c r="AO402" s="436">
        <v>260</v>
      </c>
      <c r="AQ402" s="52" t="str">
        <f ca="1">IF(AP402="","",INDEX(OFFSET(Arb!$H$2,,,Arb!$AJ$5,),AP402))</f>
        <v/>
      </c>
      <c r="AR402" s="3" t="str">
        <f t="shared" ca="1" si="120"/>
        <v/>
      </c>
      <c r="AS402" s="165" t="str">
        <f ca="1">IF(AP402="","",INDEX(OFFSET(Arb!$X$2,,,Arb!$AJ$5,),AP402)/AQ402)</f>
        <v/>
      </c>
      <c r="AT402" s="165" t="str">
        <f ca="1">IF(AP402="","",(INDEX(OFFSET(Arb!$U$2,,,Arb!$AJ$5,),AP402)+INDEX(OFFSET(Arb!$V$2,,,Arb!$AJ$5,),AP402))/AQ402)</f>
        <v/>
      </c>
      <c r="AU402" s="51" t="str">
        <f t="shared" ca="1" si="130"/>
        <v/>
      </c>
      <c r="AV402" s="91" t="str">
        <f ca="1">IF(AP402="","",DATE(INDEX(OFFSET(Arb!$C$2,,,Arb!$AJ$5,),AP402),INDEX(OFFSET(Arb!$B$2,,,Arb!$AJ$5,),AP402),INDEX(OFFSET(Arb!$A$2,,,Arb!$AJ$5,),AP402))+ROW()*0.001)</f>
        <v/>
      </c>
      <c r="AW402" s="442">
        <v>260</v>
      </c>
      <c r="AY402" s="52" t="str">
        <f ca="1">IF(AX402="","",INDEX(OFFSET(Arb!$H$2,,,Arb!$AJ$5,),AX402))</f>
        <v/>
      </c>
      <c r="AZ402" s="3" t="str">
        <f t="shared" ca="1" si="121"/>
        <v/>
      </c>
      <c r="BA402" s="165" t="str">
        <f ca="1">IF(AX402="","",INDEX(OFFSET(Arb!$X$2,,,Arb!$AJ$5,),AX402)/AY402)</f>
        <v/>
      </c>
      <c r="BB402" s="165" t="str">
        <f ca="1">IF(AX402="","",(INDEX(OFFSET(Arb!$U$2,,,Arb!$AJ$5,),AX402)+INDEX(OFFSET(Arb!$V$2,,,Arb!$AJ$5,),AX402))/AY402)</f>
        <v/>
      </c>
      <c r="BC402" s="51" t="str">
        <f t="shared" ca="1" si="131"/>
        <v/>
      </c>
      <c r="BD402" s="88" t="str">
        <f ca="1">IF(AX402="","",DATE(INDEX(OFFSET(Arb!$C$2,,,Arb!$AJ$5,),AX402),INDEX(OFFSET(Arb!$B$2,,,Arb!$AJ$5,),AX402),INDEX(OFFSET(Arb!$A$2,,,Arb!$AJ$5,),AX402))+ROW()*0.001)</f>
        <v/>
      </c>
      <c r="BE402" s="436">
        <v>260</v>
      </c>
      <c r="BG402" s="52" t="str">
        <f ca="1">IF(BF402="","",INDEX(OFFSET(Arb!$H$2,,,Arb!$AJ$5,),BF402))</f>
        <v/>
      </c>
      <c r="BH402" s="3" t="str">
        <f t="shared" ca="1" si="122"/>
        <v/>
      </c>
      <c r="BI402" s="165" t="str">
        <f ca="1">IF(BF402="","",INDEX(OFFSET(Arb!$X$2,,,Arb!$AJ$5,),BF402)/BG402)</f>
        <v/>
      </c>
      <c r="BJ402" s="165" t="str">
        <f ca="1">IF(BF402="","",(INDEX(OFFSET(Arb!$U$2,,,Arb!$AJ$5,),BF402)+INDEX(OFFSET(Arb!$V$2,,,Arb!$AJ$5,),BF402))/BG402)</f>
        <v/>
      </c>
      <c r="BK402" s="51" t="str">
        <f t="shared" ca="1" si="132"/>
        <v/>
      </c>
      <c r="BL402" s="91" t="str">
        <f ca="1">IF(BF402="","",DATE(INDEX(OFFSET(Arb!$C$2,,,Arb!$AJ$5,),BF402),INDEX(OFFSET(Arb!$B$2,,,Arb!$AJ$5,),BF402),INDEX(OFFSET(Arb!$A$2,,,Arb!$AJ$5,),BF402))+ROW()*0.001)</f>
        <v/>
      </c>
      <c r="BM402" s="442">
        <v>260</v>
      </c>
      <c r="BO402" s="52" t="str">
        <f ca="1">IF(BN402="","",INDEX(OFFSET(Arb!$H$2,,,Arb!$AJ$5,),BN402))</f>
        <v/>
      </c>
      <c r="BP402" s="3" t="str">
        <f t="shared" ca="1" si="123"/>
        <v/>
      </c>
      <c r="BQ402" s="165" t="str">
        <f ca="1">IF(BN402="","",INDEX(OFFSET(Arb!$X$2,,,Arb!$AJ$5,),BN402)/BO402)</f>
        <v/>
      </c>
      <c r="BR402" s="165" t="str">
        <f ca="1">IF(BN402="","",(INDEX(OFFSET(Arb!$U$2,,,Arb!$AJ$5,),BN402)+INDEX(OFFSET(Arb!$V$2,,,Arb!$AJ$5,),BN402))/BO402)</f>
        <v/>
      </c>
      <c r="BS402" s="51" t="str">
        <f t="shared" ca="1" si="133"/>
        <v/>
      </c>
      <c r="BT402" s="88" t="str">
        <f ca="1">IF(BN402="","",DATE(INDEX(OFFSET(Arb!$C$2,,,Arb!$AJ$5,),BN402),INDEX(OFFSET(Arb!$B$2,,,Arb!$AJ$5,),BN402),INDEX(OFFSET(Arb!$A$2,,,Arb!$AJ$5,),BN402))+ROW()*0.001)</f>
        <v/>
      </c>
      <c r="BU402" s="436">
        <v>260</v>
      </c>
      <c r="BW402" s="52" t="str">
        <f ca="1">IF(BV402="","",INDEX(OFFSET(Arb!$H$2,,,Arb!$AJ$5,),BV402))</f>
        <v/>
      </c>
      <c r="BX402" s="3" t="str">
        <f t="shared" ca="1" si="124"/>
        <v/>
      </c>
      <c r="BY402" s="165" t="str">
        <f ca="1">IF(BV402="","",INDEX(OFFSET(Arb!$X$2,,,Arb!$AJ$5,),BV402)/BW402)</f>
        <v/>
      </c>
      <c r="BZ402" s="165" t="str">
        <f ca="1">IF(BV402="","",(INDEX(OFFSET(Arb!$U$2,,,Arb!$AJ$5,),BV402)+INDEX(OFFSET(Arb!$V$2,,,Arb!$AJ$5,),BV402))/BW402)</f>
        <v/>
      </c>
      <c r="CA402" s="51" t="str">
        <f t="shared" ca="1" si="134"/>
        <v/>
      </c>
      <c r="CB402" s="91" t="str">
        <f ca="1">IF(BV402="","",DATE(INDEX(OFFSET(Arb!$C$2,,,Arb!$AJ$5,),BV402),INDEX(OFFSET(Arb!$B$2,,,Arb!$AJ$5,),BV402),INDEX(OFFSET(Arb!$A$2,,,Arb!$AJ$5,),BV402))+ROW()*0.001)</f>
        <v/>
      </c>
    </row>
    <row r="403" spans="1:80" x14ac:dyDescent="0.25">
      <c r="A403" s="433">
        <v>261</v>
      </c>
      <c r="C403" s="52" t="str">
        <f ca="1">IF(B403="","",INDEX(OFFSET(Arb!$H$2,,,Arb!$AJ$5,),B403))</f>
        <v/>
      </c>
      <c r="D403" s="3" t="str">
        <f t="shared" ca="1" si="115"/>
        <v/>
      </c>
      <c r="E403" s="165" t="str">
        <f ca="1">IF(B403="","",INDEX(OFFSET(Arb!$X$2,,,Arb!$AJ$5,),B403)/C403)</f>
        <v/>
      </c>
      <c r="F403" s="165" t="str">
        <f ca="1">IF(B403="","",(INDEX(OFFSET(Arb!$U$2,,,Arb!$AJ$5,),B403)+INDEX(OFFSET(Arb!$V$2,,,Arb!$AJ$5,),B403))/C403)</f>
        <v/>
      </c>
      <c r="G403" s="51" t="str">
        <f t="shared" ca="1" si="125"/>
        <v/>
      </c>
      <c r="H403" s="355" t="str">
        <f ca="1">IF(B403="","",DATE(INDEX(OFFSET(Arb!$C$2,,,Arb!$AJ$5,),B403),INDEX(OFFSET(Arb!$B$2,,,Arb!$AJ$5,),B403),INDEX(OFFSET(Arb!$A$2,,,Arb!$AJ$5,),B403))+ROW()*0.001)</f>
        <v/>
      </c>
      <c r="I403" s="436">
        <v>261</v>
      </c>
      <c r="K403" s="52" t="str">
        <f ca="1">IF(J403="","",INDEX(OFFSET(Arb!$H$2,,,Arb!$AJ$5,),J403))</f>
        <v/>
      </c>
      <c r="L403" s="3" t="str">
        <f t="shared" ca="1" si="116"/>
        <v/>
      </c>
      <c r="M403" s="165" t="str">
        <f ca="1">IF(J403="","",INDEX(OFFSET(Arb!$X$2,,,Arb!$AJ$5,),J403)/K403)</f>
        <v/>
      </c>
      <c r="N403" s="165" t="str">
        <f ca="1">IF(J403="","",(INDEX(OFFSET(Arb!$U$2,,,Arb!$AJ$5,),J403)+INDEX(OFFSET(Arb!$V$2,,,Arb!$AJ$5,),J403))/K403)</f>
        <v/>
      </c>
      <c r="O403" s="51" t="str">
        <f t="shared" ca="1" si="126"/>
        <v/>
      </c>
      <c r="P403" s="91" t="str">
        <f ca="1">IF(J403="","",DATE(INDEX(OFFSET(Arb!$C$2,,,Arb!$AJ$5,),J403),INDEX(OFFSET(Arb!$B$2,,,Arb!$AJ$5,),J403),INDEX(OFFSET(Arb!$A$2,,,Arb!$AJ$5,),J403))+ROW()*0.001)</f>
        <v/>
      </c>
      <c r="Q403" s="442">
        <v>261</v>
      </c>
      <c r="S403" s="52" t="str">
        <f ca="1">IF(R403="","",INDEX(OFFSET(Arb!$H$2,,,Arb!$AJ$5,),R403))</f>
        <v/>
      </c>
      <c r="T403" s="3" t="str">
        <f t="shared" ca="1" si="117"/>
        <v/>
      </c>
      <c r="U403" s="165" t="str">
        <f ca="1">IF(R403="","",INDEX(OFFSET(Arb!$X$2,,,Arb!$AJ$5,),R403)/S403)</f>
        <v/>
      </c>
      <c r="V403" s="165" t="str">
        <f ca="1">IF(R403="","",(INDEX(OFFSET(Arb!$U$2,,,Arb!$AJ$5,),R403)+INDEX(OFFSET(Arb!$V$2,,,Arb!$AJ$5,),R403))/S403)</f>
        <v/>
      </c>
      <c r="W403" s="51" t="str">
        <f t="shared" ca="1" si="127"/>
        <v/>
      </c>
      <c r="X403" s="88" t="str">
        <f ca="1">IF(R403="","",DATE(INDEX(OFFSET(Arb!$C$2,,,Arb!$AJ$5,),R403),INDEX(OFFSET(Arb!$B$2,,,Arb!$AJ$5,),R403),INDEX(OFFSET(Arb!$A$2,,,Arb!$AJ$5,),R403))+ROW()*0.001)</f>
        <v/>
      </c>
      <c r="Y403" s="436">
        <v>261</v>
      </c>
      <c r="AA403" s="52" t="str">
        <f ca="1">IF(Z403="","",INDEX(OFFSET(Arb!$H$2,,,Arb!$AJ$5,),Z403))</f>
        <v/>
      </c>
      <c r="AB403" s="3" t="str">
        <f t="shared" ca="1" si="118"/>
        <v/>
      </c>
      <c r="AC403" s="165" t="str">
        <f ca="1">IF(Z403="","",INDEX(OFFSET(Arb!$X$2,,,Arb!$AJ$5,),Z403)/AA403)</f>
        <v/>
      </c>
      <c r="AD403" s="165" t="str">
        <f ca="1">IF(Z403="","",(INDEX(OFFSET(Arb!$U$2,,,Arb!$AJ$5,),Z403)+INDEX(OFFSET(Arb!$V$2,,,Arb!$AJ$5,),Z403))/AA403)</f>
        <v/>
      </c>
      <c r="AE403" s="51" t="str">
        <f t="shared" ca="1" si="128"/>
        <v/>
      </c>
      <c r="AF403" s="91" t="str">
        <f ca="1">IF(Z403="","",DATE(INDEX(OFFSET(Arb!$C$2,,,Arb!$AJ$5,),Z403),INDEX(OFFSET(Arb!$B$2,,,Arb!$AJ$5,),Z403),INDEX(OFFSET(Arb!$A$2,,,Arb!$AJ$5,),Z403))+ROW()*0.001)</f>
        <v/>
      </c>
      <c r="AG403" s="442">
        <v>261</v>
      </c>
      <c r="AI403" s="52" t="str">
        <f ca="1">IF(AH403="","",INDEX(OFFSET(Arb!$H$2,,,Arb!$AJ$5,),AH403))</f>
        <v/>
      </c>
      <c r="AJ403" s="3" t="str">
        <f t="shared" ca="1" si="119"/>
        <v/>
      </c>
      <c r="AK403" s="165" t="str">
        <f ca="1">IF(AH403="","",INDEX(OFFSET(Arb!$X$2,,,Arb!$AJ$5,),AH403)/AI403)</f>
        <v/>
      </c>
      <c r="AL403" s="165" t="str">
        <f ca="1">IF(AH403="","",(INDEX(OFFSET(Arb!$U$2,,,Arb!$AJ$5,),AH403)+INDEX(OFFSET(Arb!$V$2,,,Arb!$AJ$5,),AH403))/AI403)</f>
        <v/>
      </c>
      <c r="AM403" s="51" t="str">
        <f t="shared" ca="1" si="129"/>
        <v/>
      </c>
      <c r="AN403" s="88" t="str">
        <f ca="1">IF(AH403="","",DATE(INDEX(OFFSET(Arb!$C$2,,,Arb!$AJ$5,),AH403),INDEX(OFFSET(Arb!$B$2,,,Arb!$AJ$5,),AH403),INDEX(OFFSET(Arb!$A$2,,,Arb!$AJ$5,),AH403))+ROW()*0.001)</f>
        <v/>
      </c>
      <c r="AO403" s="436">
        <v>261</v>
      </c>
      <c r="AQ403" s="52" t="str">
        <f ca="1">IF(AP403="","",INDEX(OFFSET(Arb!$H$2,,,Arb!$AJ$5,),AP403))</f>
        <v/>
      </c>
      <c r="AR403" s="3" t="str">
        <f t="shared" ca="1" si="120"/>
        <v/>
      </c>
      <c r="AS403" s="165" t="str">
        <f ca="1">IF(AP403="","",INDEX(OFFSET(Arb!$X$2,,,Arb!$AJ$5,),AP403)/AQ403)</f>
        <v/>
      </c>
      <c r="AT403" s="165" t="str">
        <f ca="1">IF(AP403="","",(INDEX(OFFSET(Arb!$U$2,,,Arb!$AJ$5,),AP403)+INDEX(OFFSET(Arb!$V$2,,,Arb!$AJ$5,),AP403))/AQ403)</f>
        <v/>
      </c>
      <c r="AU403" s="51" t="str">
        <f t="shared" ca="1" si="130"/>
        <v/>
      </c>
      <c r="AV403" s="91" t="str">
        <f ca="1">IF(AP403="","",DATE(INDEX(OFFSET(Arb!$C$2,,,Arb!$AJ$5,),AP403),INDEX(OFFSET(Arb!$B$2,,,Arb!$AJ$5,),AP403),INDEX(OFFSET(Arb!$A$2,,,Arb!$AJ$5,),AP403))+ROW()*0.001)</f>
        <v/>
      </c>
      <c r="AW403" s="442">
        <v>261</v>
      </c>
      <c r="AY403" s="52" t="str">
        <f ca="1">IF(AX403="","",INDEX(OFFSET(Arb!$H$2,,,Arb!$AJ$5,),AX403))</f>
        <v/>
      </c>
      <c r="AZ403" s="3" t="str">
        <f t="shared" ca="1" si="121"/>
        <v/>
      </c>
      <c r="BA403" s="165" t="str">
        <f ca="1">IF(AX403="","",INDEX(OFFSET(Arb!$X$2,,,Arb!$AJ$5,),AX403)/AY403)</f>
        <v/>
      </c>
      <c r="BB403" s="165" t="str">
        <f ca="1">IF(AX403="","",(INDEX(OFFSET(Arb!$U$2,,,Arb!$AJ$5,),AX403)+INDEX(OFFSET(Arb!$V$2,,,Arb!$AJ$5,),AX403))/AY403)</f>
        <v/>
      </c>
      <c r="BC403" s="51" t="str">
        <f t="shared" ca="1" si="131"/>
        <v/>
      </c>
      <c r="BD403" s="88" t="str">
        <f ca="1">IF(AX403="","",DATE(INDEX(OFFSET(Arb!$C$2,,,Arb!$AJ$5,),AX403),INDEX(OFFSET(Arb!$B$2,,,Arb!$AJ$5,),AX403),INDEX(OFFSET(Arb!$A$2,,,Arb!$AJ$5,),AX403))+ROW()*0.001)</f>
        <v/>
      </c>
      <c r="BE403" s="436">
        <v>261</v>
      </c>
      <c r="BG403" s="52" t="str">
        <f ca="1">IF(BF403="","",INDEX(OFFSET(Arb!$H$2,,,Arb!$AJ$5,),BF403))</f>
        <v/>
      </c>
      <c r="BH403" s="3" t="str">
        <f t="shared" ca="1" si="122"/>
        <v/>
      </c>
      <c r="BI403" s="165" t="str">
        <f ca="1">IF(BF403="","",INDEX(OFFSET(Arb!$X$2,,,Arb!$AJ$5,),BF403)/BG403)</f>
        <v/>
      </c>
      <c r="BJ403" s="165" t="str">
        <f ca="1">IF(BF403="","",(INDEX(OFFSET(Arb!$U$2,,,Arb!$AJ$5,),BF403)+INDEX(OFFSET(Arb!$V$2,,,Arb!$AJ$5,),BF403))/BG403)</f>
        <v/>
      </c>
      <c r="BK403" s="51" t="str">
        <f t="shared" ca="1" si="132"/>
        <v/>
      </c>
      <c r="BL403" s="91" t="str">
        <f ca="1">IF(BF403="","",DATE(INDEX(OFFSET(Arb!$C$2,,,Arb!$AJ$5,),BF403),INDEX(OFFSET(Arb!$B$2,,,Arb!$AJ$5,),BF403),INDEX(OFFSET(Arb!$A$2,,,Arb!$AJ$5,),BF403))+ROW()*0.001)</f>
        <v/>
      </c>
      <c r="BM403" s="442">
        <v>261</v>
      </c>
      <c r="BO403" s="52" t="str">
        <f ca="1">IF(BN403="","",INDEX(OFFSET(Arb!$H$2,,,Arb!$AJ$5,),BN403))</f>
        <v/>
      </c>
      <c r="BP403" s="3" t="str">
        <f t="shared" ca="1" si="123"/>
        <v/>
      </c>
      <c r="BQ403" s="165" t="str">
        <f ca="1">IF(BN403="","",INDEX(OFFSET(Arb!$X$2,,,Arb!$AJ$5,),BN403)/BO403)</f>
        <v/>
      </c>
      <c r="BR403" s="165" t="str">
        <f ca="1">IF(BN403="","",(INDEX(OFFSET(Arb!$U$2,,,Arb!$AJ$5,),BN403)+INDEX(OFFSET(Arb!$V$2,,,Arb!$AJ$5,),BN403))/BO403)</f>
        <v/>
      </c>
      <c r="BS403" s="51" t="str">
        <f t="shared" ca="1" si="133"/>
        <v/>
      </c>
      <c r="BT403" s="88" t="str">
        <f ca="1">IF(BN403="","",DATE(INDEX(OFFSET(Arb!$C$2,,,Arb!$AJ$5,),BN403),INDEX(OFFSET(Arb!$B$2,,,Arb!$AJ$5,),BN403),INDEX(OFFSET(Arb!$A$2,,,Arb!$AJ$5,),BN403))+ROW()*0.001)</f>
        <v/>
      </c>
      <c r="BU403" s="436">
        <v>261</v>
      </c>
      <c r="BW403" s="52" t="str">
        <f ca="1">IF(BV403="","",INDEX(OFFSET(Arb!$H$2,,,Arb!$AJ$5,),BV403))</f>
        <v/>
      </c>
      <c r="BX403" s="3" t="str">
        <f t="shared" ca="1" si="124"/>
        <v/>
      </c>
      <c r="BY403" s="165" t="str">
        <f ca="1">IF(BV403="","",INDEX(OFFSET(Arb!$X$2,,,Arb!$AJ$5,),BV403)/BW403)</f>
        <v/>
      </c>
      <c r="BZ403" s="165" t="str">
        <f ca="1">IF(BV403="","",(INDEX(OFFSET(Arb!$U$2,,,Arb!$AJ$5,),BV403)+INDEX(OFFSET(Arb!$V$2,,,Arb!$AJ$5,),BV403))/BW403)</f>
        <v/>
      </c>
      <c r="CA403" s="51" t="str">
        <f t="shared" ca="1" si="134"/>
        <v/>
      </c>
      <c r="CB403" s="91" t="str">
        <f ca="1">IF(BV403="","",DATE(INDEX(OFFSET(Arb!$C$2,,,Arb!$AJ$5,),BV403),INDEX(OFFSET(Arb!$B$2,,,Arb!$AJ$5,),BV403),INDEX(OFFSET(Arb!$A$2,,,Arb!$AJ$5,),BV403))+ROW()*0.001)</f>
        <v/>
      </c>
    </row>
    <row r="404" spans="1:80" x14ac:dyDescent="0.25">
      <c r="A404" s="433">
        <v>262</v>
      </c>
      <c r="C404" s="52" t="str">
        <f ca="1">IF(B404="","",INDEX(OFFSET(Arb!$H$2,,,Arb!$AJ$5,),B404))</f>
        <v/>
      </c>
      <c r="D404" s="3" t="str">
        <f t="shared" ca="1" si="115"/>
        <v/>
      </c>
      <c r="E404" s="165" t="str">
        <f ca="1">IF(B404="","",INDEX(OFFSET(Arb!$X$2,,,Arb!$AJ$5,),B404)/C404)</f>
        <v/>
      </c>
      <c r="F404" s="165" t="str">
        <f ca="1">IF(B404="","",(INDEX(OFFSET(Arb!$U$2,,,Arb!$AJ$5,),B404)+INDEX(OFFSET(Arb!$V$2,,,Arb!$AJ$5,),B404))/C404)</f>
        <v/>
      </c>
      <c r="G404" s="51" t="str">
        <f t="shared" ca="1" si="125"/>
        <v/>
      </c>
      <c r="H404" s="355" t="str">
        <f ca="1">IF(B404="","",DATE(INDEX(OFFSET(Arb!$C$2,,,Arb!$AJ$5,),B404),INDEX(OFFSET(Arb!$B$2,,,Arb!$AJ$5,),B404),INDEX(OFFSET(Arb!$A$2,,,Arb!$AJ$5,),B404))+ROW()*0.001)</f>
        <v/>
      </c>
      <c r="I404" s="436">
        <v>262</v>
      </c>
      <c r="K404" s="52" t="str">
        <f ca="1">IF(J404="","",INDEX(OFFSET(Arb!$H$2,,,Arb!$AJ$5,),J404))</f>
        <v/>
      </c>
      <c r="L404" s="3" t="str">
        <f t="shared" ca="1" si="116"/>
        <v/>
      </c>
      <c r="M404" s="165" t="str">
        <f ca="1">IF(J404="","",INDEX(OFFSET(Arb!$X$2,,,Arb!$AJ$5,),J404)/K404)</f>
        <v/>
      </c>
      <c r="N404" s="165" t="str">
        <f ca="1">IF(J404="","",(INDEX(OFFSET(Arb!$U$2,,,Arb!$AJ$5,),J404)+INDEX(OFFSET(Arb!$V$2,,,Arb!$AJ$5,),J404))/K404)</f>
        <v/>
      </c>
      <c r="O404" s="51" t="str">
        <f t="shared" ca="1" si="126"/>
        <v/>
      </c>
      <c r="P404" s="91" t="str">
        <f ca="1">IF(J404="","",DATE(INDEX(OFFSET(Arb!$C$2,,,Arb!$AJ$5,),J404),INDEX(OFFSET(Arb!$B$2,,,Arb!$AJ$5,),J404),INDEX(OFFSET(Arb!$A$2,,,Arb!$AJ$5,),J404))+ROW()*0.001)</f>
        <v/>
      </c>
      <c r="Q404" s="442">
        <v>262</v>
      </c>
      <c r="S404" s="52" t="str">
        <f ca="1">IF(R404="","",INDEX(OFFSET(Arb!$H$2,,,Arb!$AJ$5,),R404))</f>
        <v/>
      </c>
      <c r="T404" s="3" t="str">
        <f t="shared" ca="1" si="117"/>
        <v/>
      </c>
      <c r="U404" s="165" t="str">
        <f ca="1">IF(R404="","",INDEX(OFFSET(Arb!$X$2,,,Arb!$AJ$5,),R404)/S404)</f>
        <v/>
      </c>
      <c r="V404" s="165" t="str">
        <f ca="1">IF(R404="","",(INDEX(OFFSET(Arb!$U$2,,,Arb!$AJ$5,),R404)+INDEX(OFFSET(Arb!$V$2,,,Arb!$AJ$5,),R404))/S404)</f>
        <v/>
      </c>
      <c r="W404" s="51" t="str">
        <f t="shared" ca="1" si="127"/>
        <v/>
      </c>
      <c r="X404" s="88" t="str">
        <f ca="1">IF(R404="","",DATE(INDEX(OFFSET(Arb!$C$2,,,Arb!$AJ$5,),R404),INDEX(OFFSET(Arb!$B$2,,,Arb!$AJ$5,),R404),INDEX(OFFSET(Arb!$A$2,,,Arb!$AJ$5,),R404))+ROW()*0.001)</f>
        <v/>
      </c>
      <c r="Y404" s="436">
        <v>262</v>
      </c>
      <c r="AA404" s="52" t="str">
        <f ca="1">IF(Z404="","",INDEX(OFFSET(Arb!$H$2,,,Arb!$AJ$5,),Z404))</f>
        <v/>
      </c>
      <c r="AB404" s="3" t="str">
        <f t="shared" ca="1" si="118"/>
        <v/>
      </c>
      <c r="AC404" s="165" t="str">
        <f ca="1">IF(Z404="","",INDEX(OFFSET(Arb!$X$2,,,Arb!$AJ$5,),Z404)/AA404)</f>
        <v/>
      </c>
      <c r="AD404" s="165" t="str">
        <f ca="1">IF(Z404="","",(INDEX(OFFSET(Arb!$U$2,,,Arb!$AJ$5,),Z404)+INDEX(OFFSET(Arb!$V$2,,,Arb!$AJ$5,),Z404))/AA404)</f>
        <v/>
      </c>
      <c r="AE404" s="51" t="str">
        <f t="shared" ca="1" si="128"/>
        <v/>
      </c>
      <c r="AF404" s="91" t="str">
        <f ca="1">IF(Z404="","",DATE(INDEX(OFFSET(Arb!$C$2,,,Arb!$AJ$5,),Z404),INDEX(OFFSET(Arb!$B$2,,,Arb!$AJ$5,),Z404),INDEX(OFFSET(Arb!$A$2,,,Arb!$AJ$5,),Z404))+ROW()*0.001)</f>
        <v/>
      </c>
      <c r="AG404" s="442">
        <v>262</v>
      </c>
      <c r="AI404" s="52" t="str">
        <f ca="1">IF(AH404="","",INDEX(OFFSET(Arb!$H$2,,,Arb!$AJ$5,),AH404))</f>
        <v/>
      </c>
      <c r="AJ404" s="3" t="str">
        <f t="shared" ca="1" si="119"/>
        <v/>
      </c>
      <c r="AK404" s="165" t="str">
        <f ca="1">IF(AH404="","",INDEX(OFFSET(Arb!$X$2,,,Arb!$AJ$5,),AH404)/AI404)</f>
        <v/>
      </c>
      <c r="AL404" s="165" t="str">
        <f ca="1">IF(AH404="","",(INDEX(OFFSET(Arb!$U$2,,,Arb!$AJ$5,),AH404)+INDEX(OFFSET(Arb!$V$2,,,Arb!$AJ$5,),AH404))/AI404)</f>
        <v/>
      </c>
      <c r="AM404" s="51" t="str">
        <f t="shared" ca="1" si="129"/>
        <v/>
      </c>
      <c r="AN404" s="88" t="str">
        <f ca="1">IF(AH404="","",DATE(INDEX(OFFSET(Arb!$C$2,,,Arb!$AJ$5,),AH404),INDEX(OFFSET(Arb!$B$2,,,Arb!$AJ$5,),AH404),INDEX(OFFSET(Arb!$A$2,,,Arb!$AJ$5,),AH404))+ROW()*0.001)</f>
        <v/>
      </c>
      <c r="AO404" s="436">
        <v>262</v>
      </c>
      <c r="AQ404" s="52" t="str">
        <f ca="1">IF(AP404="","",INDEX(OFFSET(Arb!$H$2,,,Arb!$AJ$5,),AP404))</f>
        <v/>
      </c>
      <c r="AR404" s="3" t="str">
        <f t="shared" ca="1" si="120"/>
        <v/>
      </c>
      <c r="AS404" s="165" t="str">
        <f ca="1">IF(AP404="","",INDEX(OFFSET(Arb!$X$2,,,Arb!$AJ$5,),AP404)/AQ404)</f>
        <v/>
      </c>
      <c r="AT404" s="165" t="str">
        <f ca="1">IF(AP404="","",(INDEX(OFFSET(Arb!$U$2,,,Arb!$AJ$5,),AP404)+INDEX(OFFSET(Arb!$V$2,,,Arb!$AJ$5,),AP404))/AQ404)</f>
        <v/>
      </c>
      <c r="AU404" s="51" t="str">
        <f t="shared" ca="1" si="130"/>
        <v/>
      </c>
      <c r="AV404" s="91" t="str">
        <f ca="1">IF(AP404="","",DATE(INDEX(OFFSET(Arb!$C$2,,,Arb!$AJ$5,),AP404),INDEX(OFFSET(Arb!$B$2,,,Arb!$AJ$5,),AP404),INDEX(OFFSET(Arb!$A$2,,,Arb!$AJ$5,),AP404))+ROW()*0.001)</f>
        <v/>
      </c>
      <c r="AW404" s="442">
        <v>262</v>
      </c>
      <c r="AY404" s="52" t="str">
        <f ca="1">IF(AX404="","",INDEX(OFFSET(Arb!$H$2,,,Arb!$AJ$5,),AX404))</f>
        <v/>
      </c>
      <c r="AZ404" s="3" t="str">
        <f t="shared" ca="1" si="121"/>
        <v/>
      </c>
      <c r="BA404" s="165" t="str">
        <f ca="1">IF(AX404="","",INDEX(OFFSET(Arb!$X$2,,,Arb!$AJ$5,),AX404)/AY404)</f>
        <v/>
      </c>
      <c r="BB404" s="165" t="str">
        <f ca="1">IF(AX404="","",(INDEX(OFFSET(Arb!$U$2,,,Arb!$AJ$5,),AX404)+INDEX(OFFSET(Arb!$V$2,,,Arb!$AJ$5,),AX404))/AY404)</f>
        <v/>
      </c>
      <c r="BC404" s="51" t="str">
        <f t="shared" ca="1" si="131"/>
        <v/>
      </c>
      <c r="BD404" s="88" t="str">
        <f ca="1">IF(AX404="","",DATE(INDEX(OFFSET(Arb!$C$2,,,Arb!$AJ$5,),AX404),INDEX(OFFSET(Arb!$B$2,,,Arb!$AJ$5,),AX404),INDEX(OFFSET(Arb!$A$2,,,Arb!$AJ$5,),AX404))+ROW()*0.001)</f>
        <v/>
      </c>
      <c r="BE404" s="436">
        <v>262</v>
      </c>
      <c r="BG404" s="52" t="str">
        <f ca="1">IF(BF404="","",INDEX(OFFSET(Arb!$H$2,,,Arb!$AJ$5,),BF404))</f>
        <v/>
      </c>
      <c r="BH404" s="3" t="str">
        <f t="shared" ca="1" si="122"/>
        <v/>
      </c>
      <c r="BI404" s="165" t="str">
        <f ca="1">IF(BF404="","",INDEX(OFFSET(Arb!$X$2,,,Arb!$AJ$5,),BF404)/BG404)</f>
        <v/>
      </c>
      <c r="BJ404" s="165" t="str">
        <f ca="1">IF(BF404="","",(INDEX(OFFSET(Arb!$U$2,,,Arb!$AJ$5,),BF404)+INDEX(OFFSET(Arb!$V$2,,,Arb!$AJ$5,),BF404))/BG404)</f>
        <v/>
      </c>
      <c r="BK404" s="51" t="str">
        <f t="shared" ca="1" si="132"/>
        <v/>
      </c>
      <c r="BL404" s="91" t="str">
        <f ca="1">IF(BF404="","",DATE(INDEX(OFFSET(Arb!$C$2,,,Arb!$AJ$5,),BF404),INDEX(OFFSET(Arb!$B$2,,,Arb!$AJ$5,),BF404),INDEX(OFFSET(Arb!$A$2,,,Arb!$AJ$5,),BF404))+ROW()*0.001)</f>
        <v/>
      </c>
      <c r="BM404" s="442">
        <v>262</v>
      </c>
      <c r="BO404" s="52" t="str">
        <f ca="1">IF(BN404="","",INDEX(OFFSET(Arb!$H$2,,,Arb!$AJ$5,),BN404))</f>
        <v/>
      </c>
      <c r="BP404" s="3" t="str">
        <f t="shared" ca="1" si="123"/>
        <v/>
      </c>
      <c r="BQ404" s="165" t="str">
        <f ca="1">IF(BN404="","",INDEX(OFFSET(Arb!$X$2,,,Arb!$AJ$5,),BN404)/BO404)</f>
        <v/>
      </c>
      <c r="BR404" s="165" t="str">
        <f ca="1">IF(BN404="","",(INDEX(OFFSET(Arb!$U$2,,,Arb!$AJ$5,),BN404)+INDEX(OFFSET(Arb!$V$2,,,Arb!$AJ$5,),BN404))/BO404)</f>
        <v/>
      </c>
      <c r="BS404" s="51" t="str">
        <f t="shared" ca="1" si="133"/>
        <v/>
      </c>
      <c r="BT404" s="88" t="str">
        <f ca="1">IF(BN404="","",DATE(INDEX(OFFSET(Arb!$C$2,,,Arb!$AJ$5,),BN404),INDEX(OFFSET(Arb!$B$2,,,Arb!$AJ$5,),BN404),INDEX(OFFSET(Arb!$A$2,,,Arb!$AJ$5,),BN404))+ROW()*0.001)</f>
        <v/>
      </c>
      <c r="BU404" s="436">
        <v>262</v>
      </c>
      <c r="BW404" s="52" t="str">
        <f ca="1">IF(BV404="","",INDEX(OFFSET(Arb!$H$2,,,Arb!$AJ$5,),BV404))</f>
        <v/>
      </c>
      <c r="BX404" s="3" t="str">
        <f t="shared" ca="1" si="124"/>
        <v/>
      </c>
      <c r="BY404" s="165" t="str">
        <f ca="1">IF(BV404="","",INDEX(OFFSET(Arb!$X$2,,,Arb!$AJ$5,),BV404)/BW404)</f>
        <v/>
      </c>
      <c r="BZ404" s="165" t="str">
        <f ca="1">IF(BV404="","",(INDEX(OFFSET(Arb!$U$2,,,Arb!$AJ$5,),BV404)+INDEX(OFFSET(Arb!$V$2,,,Arb!$AJ$5,),BV404))/BW404)</f>
        <v/>
      </c>
      <c r="CA404" s="51" t="str">
        <f t="shared" ca="1" si="134"/>
        <v/>
      </c>
      <c r="CB404" s="91" t="str">
        <f ca="1">IF(BV404="","",DATE(INDEX(OFFSET(Arb!$C$2,,,Arb!$AJ$5,),BV404),INDEX(OFFSET(Arb!$B$2,,,Arb!$AJ$5,),BV404),INDEX(OFFSET(Arb!$A$2,,,Arb!$AJ$5,),BV404))+ROW()*0.001)</f>
        <v/>
      </c>
    </row>
    <row r="405" spans="1:80" x14ac:dyDescent="0.25">
      <c r="A405" s="433">
        <v>263</v>
      </c>
      <c r="C405" s="52" t="str">
        <f ca="1">IF(B405="","",INDEX(OFFSET(Arb!$H$2,,,Arb!$AJ$5,),B405))</f>
        <v/>
      </c>
      <c r="D405" s="3" t="str">
        <f t="shared" ca="1" si="115"/>
        <v/>
      </c>
      <c r="E405" s="165" t="str">
        <f ca="1">IF(B405="","",INDEX(OFFSET(Arb!$X$2,,,Arb!$AJ$5,),B405)/C405)</f>
        <v/>
      </c>
      <c r="F405" s="165" t="str">
        <f ca="1">IF(B405="","",(INDEX(OFFSET(Arb!$U$2,,,Arb!$AJ$5,),B405)+INDEX(OFFSET(Arb!$V$2,,,Arb!$AJ$5,),B405))/C405)</f>
        <v/>
      </c>
      <c r="G405" s="51" t="str">
        <f t="shared" ca="1" si="125"/>
        <v/>
      </c>
      <c r="H405" s="355" t="str">
        <f ca="1">IF(B405="","",DATE(INDEX(OFFSET(Arb!$C$2,,,Arb!$AJ$5,),B405),INDEX(OFFSET(Arb!$B$2,,,Arb!$AJ$5,),B405),INDEX(OFFSET(Arb!$A$2,,,Arb!$AJ$5,),B405))+ROW()*0.001)</f>
        <v/>
      </c>
      <c r="I405" s="436">
        <v>263</v>
      </c>
      <c r="K405" s="52" t="str">
        <f ca="1">IF(J405="","",INDEX(OFFSET(Arb!$H$2,,,Arb!$AJ$5,),J405))</f>
        <v/>
      </c>
      <c r="L405" s="3" t="str">
        <f t="shared" ca="1" si="116"/>
        <v/>
      </c>
      <c r="M405" s="165" t="str">
        <f ca="1">IF(J405="","",INDEX(OFFSET(Arb!$X$2,,,Arb!$AJ$5,),J405)/K405)</f>
        <v/>
      </c>
      <c r="N405" s="165" t="str">
        <f ca="1">IF(J405="","",(INDEX(OFFSET(Arb!$U$2,,,Arb!$AJ$5,),J405)+INDEX(OFFSET(Arb!$V$2,,,Arb!$AJ$5,),J405))/K405)</f>
        <v/>
      </c>
      <c r="O405" s="51" t="str">
        <f t="shared" ca="1" si="126"/>
        <v/>
      </c>
      <c r="P405" s="91" t="str">
        <f ca="1">IF(J405="","",DATE(INDEX(OFFSET(Arb!$C$2,,,Arb!$AJ$5,),J405),INDEX(OFFSET(Arb!$B$2,,,Arb!$AJ$5,),J405),INDEX(OFFSET(Arb!$A$2,,,Arb!$AJ$5,),J405))+ROW()*0.001)</f>
        <v/>
      </c>
      <c r="Q405" s="442">
        <v>263</v>
      </c>
      <c r="S405" s="52" t="str">
        <f ca="1">IF(R405="","",INDEX(OFFSET(Arb!$H$2,,,Arb!$AJ$5,),R405))</f>
        <v/>
      </c>
      <c r="T405" s="3" t="str">
        <f t="shared" ca="1" si="117"/>
        <v/>
      </c>
      <c r="U405" s="165" t="str">
        <f ca="1">IF(R405="","",INDEX(OFFSET(Arb!$X$2,,,Arb!$AJ$5,),R405)/S405)</f>
        <v/>
      </c>
      <c r="V405" s="165" t="str">
        <f ca="1">IF(R405="","",(INDEX(OFFSET(Arb!$U$2,,,Arb!$AJ$5,),R405)+INDEX(OFFSET(Arb!$V$2,,,Arb!$AJ$5,),R405))/S405)</f>
        <v/>
      </c>
      <c r="W405" s="51" t="str">
        <f t="shared" ca="1" si="127"/>
        <v/>
      </c>
      <c r="X405" s="88" t="str">
        <f ca="1">IF(R405="","",DATE(INDEX(OFFSET(Arb!$C$2,,,Arb!$AJ$5,),R405),INDEX(OFFSET(Arb!$B$2,,,Arb!$AJ$5,),R405),INDEX(OFFSET(Arb!$A$2,,,Arb!$AJ$5,),R405))+ROW()*0.001)</f>
        <v/>
      </c>
      <c r="Y405" s="436">
        <v>263</v>
      </c>
      <c r="AA405" s="52" t="str">
        <f ca="1">IF(Z405="","",INDEX(OFFSET(Arb!$H$2,,,Arb!$AJ$5,),Z405))</f>
        <v/>
      </c>
      <c r="AB405" s="3" t="str">
        <f t="shared" ca="1" si="118"/>
        <v/>
      </c>
      <c r="AC405" s="165" t="str">
        <f ca="1">IF(Z405="","",INDEX(OFFSET(Arb!$X$2,,,Arb!$AJ$5,),Z405)/AA405)</f>
        <v/>
      </c>
      <c r="AD405" s="165" t="str">
        <f ca="1">IF(Z405="","",(INDEX(OFFSET(Arb!$U$2,,,Arb!$AJ$5,),Z405)+INDEX(OFFSET(Arb!$V$2,,,Arb!$AJ$5,),Z405))/AA405)</f>
        <v/>
      </c>
      <c r="AE405" s="51" t="str">
        <f t="shared" ca="1" si="128"/>
        <v/>
      </c>
      <c r="AF405" s="91" t="str">
        <f ca="1">IF(Z405="","",DATE(INDEX(OFFSET(Arb!$C$2,,,Arb!$AJ$5,),Z405),INDEX(OFFSET(Arb!$B$2,,,Arb!$AJ$5,),Z405),INDEX(OFFSET(Arb!$A$2,,,Arb!$AJ$5,),Z405))+ROW()*0.001)</f>
        <v/>
      </c>
      <c r="AG405" s="442">
        <v>263</v>
      </c>
      <c r="AI405" s="52" t="str">
        <f ca="1">IF(AH405="","",INDEX(OFFSET(Arb!$H$2,,,Arb!$AJ$5,),AH405))</f>
        <v/>
      </c>
      <c r="AJ405" s="3" t="str">
        <f t="shared" ca="1" si="119"/>
        <v/>
      </c>
      <c r="AK405" s="165" t="str">
        <f ca="1">IF(AH405="","",INDEX(OFFSET(Arb!$X$2,,,Arb!$AJ$5,),AH405)/AI405)</f>
        <v/>
      </c>
      <c r="AL405" s="165" t="str">
        <f ca="1">IF(AH405="","",(INDEX(OFFSET(Arb!$U$2,,,Arb!$AJ$5,),AH405)+INDEX(OFFSET(Arb!$V$2,,,Arb!$AJ$5,),AH405))/AI405)</f>
        <v/>
      </c>
      <c r="AM405" s="51" t="str">
        <f t="shared" ca="1" si="129"/>
        <v/>
      </c>
      <c r="AN405" s="88" t="str">
        <f ca="1">IF(AH405="","",DATE(INDEX(OFFSET(Arb!$C$2,,,Arb!$AJ$5,),AH405),INDEX(OFFSET(Arb!$B$2,,,Arb!$AJ$5,),AH405),INDEX(OFFSET(Arb!$A$2,,,Arb!$AJ$5,),AH405))+ROW()*0.001)</f>
        <v/>
      </c>
      <c r="AO405" s="436">
        <v>263</v>
      </c>
      <c r="AQ405" s="52" t="str">
        <f ca="1">IF(AP405="","",INDEX(OFFSET(Arb!$H$2,,,Arb!$AJ$5,),AP405))</f>
        <v/>
      </c>
      <c r="AR405" s="3" t="str">
        <f t="shared" ca="1" si="120"/>
        <v/>
      </c>
      <c r="AS405" s="165" t="str">
        <f ca="1">IF(AP405="","",INDEX(OFFSET(Arb!$X$2,,,Arb!$AJ$5,),AP405)/AQ405)</f>
        <v/>
      </c>
      <c r="AT405" s="165" t="str">
        <f ca="1">IF(AP405="","",(INDEX(OFFSET(Arb!$U$2,,,Arb!$AJ$5,),AP405)+INDEX(OFFSET(Arb!$V$2,,,Arb!$AJ$5,),AP405))/AQ405)</f>
        <v/>
      </c>
      <c r="AU405" s="51" t="str">
        <f t="shared" ca="1" si="130"/>
        <v/>
      </c>
      <c r="AV405" s="91" t="str">
        <f ca="1">IF(AP405="","",DATE(INDEX(OFFSET(Arb!$C$2,,,Arb!$AJ$5,),AP405),INDEX(OFFSET(Arb!$B$2,,,Arb!$AJ$5,),AP405),INDEX(OFFSET(Arb!$A$2,,,Arb!$AJ$5,),AP405))+ROW()*0.001)</f>
        <v/>
      </c>
      <c r="AW405" s="442">
        <v>263</v>
      </c>
      <c r="AY405" s="52" t="str">
        <f ca="1">IF(AX405="","",INDEX(OFFSET(Arb!$H$2,,,Arb!$AJ$5,),AX405))</f>
        <v/>
      </c>
      <c r="AZ405" s="3" t="str">
        <f t="shared" ca="1" si="121"/>
        <v/>
      </c>
      <c r="BA405" s="165" t="str">
        <f ca="1">IF(AX405="","",INDEX(OFFSET(Arb!$X$2,,,Arb!$AJ$5,),AX405)/AY405)</f>
        <v/>
      </c>
      <c r="BB405" s="165" t="str">
        <f ca="1">IF(AX405="","",(INDEX(OFFSET(Arb!$U$2,,,Arb!$AJ$5,),AX405)+INDEX(OFFSET(Arb!$V$2,,,Arb!$AJ$5,),AX405))/AY405)</f>
        <v/>
      </c>
      <c r="BC405" s="51" t="str">
        <f t="shared" ca="1" si="131"/>
        <v/>
      </c>
      <c r="BD405" s="88" t="str">
        <f ca="1">IF(AX405="","",DATE(INDEX(OFFSET(Arb!$C$2,,,Arb!$AJ$5,),AX405),INDEX(OFFSET(Arb!$B$2,,,Arb!$AJ$5,),AX405),INDEX(OFFSET(Arb!$A$2,,,Arb!$AJ$5,),AX405))+ROW()*0.001)</f>
        <v/>
      </c>
      <c r="BE405" s="436">
        <v>263</v>
      </c>
      <c r="BG405" s="52" t="str">
        <f ca="1">IF(BF405="","",INDEX(OFFSET(Arb!$H$2,,,Arb!$AJ$5,),BF405))</f>
        <v/>
      </c>
      <c r="BH405" s="3" t="str">
        <f t="shared" ca="1" si="122"/>
        <v/>
      </c>
      <c r="BI405" s="165" t="str">
        <f ca="1">IF(BF405="","",INDEX(OFFSET(Arb!$X$2,,,Arb!$AJ$5,),BF405)/BG405)</f>
        <v/>
      </c>
      <c r="BJ405" s="165" t="str">
        <f ca="1">IF(BF405="","",(INDEX(OFFSET(Arb!$U$2,,,Arb!$AJ$5,),BF405)+INDEX(OFFSET(Arb!$V$2,,,Arb!$AJ$5,),BF405))/BG405)</f>
        <v/>
      </c>
      <c r="BK405" s="51" t="str">
        <f t="shared" ca="1" si="132"/>
        <v/>
      </c>
      <c r="BL405" s="91" t="str">
        <f ca="1">IF(BF405="","",DATE(INDEX(OFFSET(Arb!$C$2,,,Arb!$AJ$5,),BF405),INDEX(OFFSET(Arb!$B$2,,,Arb!$AJ$5,),BF405),INDEX(OFFSET(Arb!$A$2,,,Arb!$AJ$5,),BF405))+ROW()*0.001)</f>
        <v/>
      </c>
      <c r="BM405" s="442">
        <v>263</v>
      </c>
      <c r="BO405" s="52" t="str">
        <f ca="1">IF(BN405="","",INDEX(OFFSET(Arb!$H$2,,,Arb!$AJ$5,),BN405))</f>
        <v/>
      </c>
      <c r="BP405" s="3" t="str">
        <f t="shared" ca="1" si="123"/>
        <v/>
      </c>
      <c r="BQ405" s="165" t="str">
        <f ca="1">IF(BN405="","",INDEX(OFFSET(Arb!$X$2,,,Arb!$AJ$5,),BN405)/BO405)</f>
        <v/>
      </c>
      <c r="BR405" s="165" t="str">
        <f ca="1">IF(BN405="","",(INDEX(OFFSET(Arb!$U$2,,,Arb!$AJ$5,),BN405)+INDEX(OFFSET(Arb!$V$2,,,Arb!$AJ$5,),BN405))/BO405)</f>
        <v/>
      </c>
      <c r="BS405" s="51" t="str">
        <f t="shared" ca="1" si="133"/>
        <v/>
      </c>
      <c r="BT405" s="88" t="str">
        <f ca="1">IF(BN405="","",DATE(INDEX(OFFSET(Arb!$C$2,,,Arb!$AJ$5,),BN405),INDEX(OFFSET(Arb!$B$2,,,Arb!$AJ$5,),BN405),INDEX(OFFSET(Arb!$A$2,,,Arb!$AJ$5,),BN405))+ROW()*0.001)</f>
        <v/>
      </c>
      <c r="BU405" s="436">
        <v>263</v>
      </c>
      <c r="BW405" s="52" t="str">
        <f ca="1">IF(BV405="","",INDEX(OFFSET(Arb!$H$2,,,Arb!$AJ$5,),BV405))</f>
        <v/>
      </c>
      <c r="BX405" s="3" t="str">
        <f t="shared" ca="1" si="124"/>
        <v/>
      </c>
      <c r="BY405" s="165" t="str">
        <f ca="1">IF(BV405="","",INDEX(OFFSET(Arb!$X$2,,,Arb!$AJ$5,),BV405)/BW405)</f>
        <v/>
      </c>
      <c r="BZ405" s="165" t="str">
        <f ca="1">IF(BV405="","",(INDEX(OFFSET(Arb!$U$2,,,Arb!$AJ$5,),BV405)+INDEX(OFFSET(Arb!$V$2,,,Arb!$AJ$5,),BV405))/BW405)</f>
        <v/>
      </c>
      <c r="CA405" s="51" t="str">
        <f t="shared" ca="1" si="134"/>
        <v/>
      </c>
      <c r="CB405" s="91" t="str">
        <f ca="1">IF(BV405="","",DATE(INDEX(OFFSET(Arb!$C$2,,,Arb!$AJ$5,),BV405),INDEX(OFFSET(Arb!$B$2,,,Arb!$AJ$5,),BV405),INDEX(OFFSET(Arb!$A$2,,,Arb!$AJ$5,),BV405))+ROW()*0.001)</f>
        <v/>
      </c>
    </row>
    <row r="406" spans="1:80" x14ac:dyDescent="0.25">
      <c r="A406" s="433">
        <v>264</v>
      </c>
      <c r="C406" s="52" t="str">
        <f ca="1">IF(B406="","",INDEX(OFFSET(Arb!$H$2,,,Arb!$AJ$5,),B406))</f>
        <v/>
      </c>
      <c r="D406" s="3" t="str">
        <f t="shared" ca="1" si="115"/>
        <v/>
      </c>
      <c r="E406" s="165" t="str">
        <f ca="1">IF(B406="","",INDEX(OFFSET(Arb!$X$2,,,Arb!$AJ$5,),B406)/C406)</f>
        <v/>
      </c>
      <c r="F406" s="165" t="str">
        <f ca="1">IF(B406="","",(INDEX(OFFSET(Arb!$U$2,,,Arb!$AJ$5,),B406)+INDEX(OFFSET(Arb!$V$2,,,Arb!$AJ$5,),B406))/C406)</f>
        <v/>
      </c>
      <c r="G406" s="51" t="str">
        <f t="shared" ca="1" si="125"/>
        <v/>
      </c>
      <c r="H406" s="355" t="str">
        <f ca="1">IF(B406="","",DATE(INDEX(OFFSET(Arb!$C$2,,,Arb!$AJ$5,),B406),INDEX(OFFSET(Arb!$B$2,,,Arb!$AJ$5,),B406),INDEX(OFFSET(Arb!$A$2,,,Arb!$AJ$5,),B406))+ROW()*0.001)</f>
        <v/>
      </c>
      <c r="I406" s="436">
        <v>264</v>
      </c>
      <c r="K406" s="52" t="str">
        <f ca="1">IF(J406="","",INDEX(OFFSET(Arb!$H$2,,,Arb!$AJ$5,),J406))</f>
        <v/>
      </c>
      <c r="L406" s="3" t="str">
        <f t="shared" ca="1" si="116"/>
        <v/>
      </c>
      <c r="M406" s="165" t="str">
        <f ca="1">IF(J406="","",INDEX(OFFSET(Arb!$X$2,,,Arb!$AJ$5,),J406)/K406)</f>
        <v/>
      </c>
      <c r="N406" s="165" t="str">
        <f ca="1">IF(J406="","",(INDEX(OFFSET(Arb!$U$2,,,Arb!$AJ$5,),J406)+INDEX(OFFSET(Arb!$V$2,,,Arb!$AJ$5,),J406))/K406)</f>
        <v/>
      </c>
      <c r="O406" s="51" t="str">
        <f t="shared" ca="1" si="126"/>
        <v/>
      </c>
      <c r="P406" s="91" t="str">
        <f ca="1">IF(J406="","",DATE(INDEX(OFFSET(Arb!$C$2,,,Arb!$AJ$5,),J406),INDEX(OFFSET(Arb!$B$2,,,Arb!$AJ$5,),J406),INDEX(OFFSET(Arb!$A$2,,,Arb!$AJ$5,),J406))+ROW()*0.001)</f>
        <v/>
      </c>
      <c r="Q406" s="442">
        <v>264</v>
      </c>
      <c r="S406" s="52" t="str">
        <f ca="1">IF(R406="","",INDEX(OFFSET(Arb!$H$2,,,Arb!$AJ$5,),R406))</f>
        <v/>
      </c>
      <c r="T406" s="3" t="str">
        <f t="shared" ca="1" si="117"/>
        <v/>
      </c>
      <c r="U406" s="165" t="str">
        <f ca="1">IF(R406="","",INDEX(OFFSET(Arb!$X$2,,,Arb!$AJ$5,),R406)/S406)</f>
        <v/>
      </c>
      <c r="V406" s="165" t="str">
        <f ca="1">IF(R406="","",(INDEX(OFFSET(Arb!$U$2,,,Arb!$AJ$5,),R406)+INDEX(OFFSET(Arb!$V$2,,,Arb!$AJ$5,),R406))/S406)</f>
        <v/>
      </c>
      <c r="W406" s="51" t="str">
        <f t="shared" ca="1" si="127"/>
        <v/>
      </c>
      <c r="X406" s="88" t="str">
        <f ca="1">IF(R406="","",DATE(INDEX(OFFSET(Arb!$C$2,,,Arb!$AJ$5,),R406),INDEX(OFFSET(Arb!$B$2,,,Arb!$AJ$5,),R406),INDEX(OFFSET(Arb!$A$2,,,Arb!$AJ$5,),R406))+ROW()*0.001)</f>
        <v/>
      </c>
      <c r="Y406" s="436">
        <v>264</v>
      </c>
      <c r="AA406" s="52" t="str">
        <f ca="1">IF(Z406="","",INDEX(OFFSET(Arb!$H$2,,,Arb!$AJ$5,),Z406))</f>
        <v/>
      </c>
      <c r="AB406" s="3" t="str">
        <f t="shared" ca="1" si="118"/>
        <v/>
      </c>
      <c r="AC406" s="165" t="str">
        <f ca="1">IF(Z406="","",INDEX(OFFSET(Arb!$X$2,,,Arb!$AJ$5,),Z406)/AA406)</f>
        <v/>
      </c>
      <c r="AD406" s="165" t="str">
        <f ca="1">IF(Z406="","",(INDEX(OFFSET(Arb!$U$2,,,Arb!$AJ$5,),Z406)+INDEX(OFFSET(Arb!$V$2,,,Arb!$AJ$5,),Z406))/AA406)</f>
        <v/>
      </c>
      <c r="AE406" s="51" t="str">
        <f t="shared" ca="1" si="128"/>
        <v/>
      </c>
      <c r="AF406" s="91" t="str">
        <f ca="1">IF(Z406="","",DATE(INDEX(OFFSET(Arb!$C$2,,,Arb!$AJ$5,),Z406),INDEX(OFFSET(Arb!$B$2,,,Arb!$AJ$5,),Z406),INDEX(OFFSET(Arb!$A$2,,,Arb!$AJ$5,),Z406))+ROW()*0.001)</f>
        <v/>
      </c>
      <c r="AG406" s="442">
        <v>264</v>
      </c>
      <c r="AI406" s="52" t="str">
        <f ca="1">IF(AH406="","",INDEX(OFFSET(Arb!$H$2,,,Arb!$AJ$5,),AH406))</f>
        <v/>
      </c>
      <c r="AJ406" s="3" t="str">
        <f t="shared" ca="1" si="119"/>
        <v/>
      </c>
      <c r="AK406" s="165" t="str">
        <f ca="1">IF(AH406="","",INDEX(OFFSET(Arb!$X$2,,,Arb!$AJ$5,),AH406)/AI406)</f>
        <v/>
      </c>
      <c r="AL406" s="165" t="str">
        <f ca="1">IF(AH406="","",(INDEX(OFFSET(Arb!$U$2,,,Arb!$AJ$5,),AH406)+INDEX(OFFSET(Arb!$V$2,,,Arb!$AJ$5,),AH406))/AI406)</f>
        <v/>
      </c>
      <c r="AM406" s="51" t="str">
        <f t="shared" ca="1" si="129"/>
        <v/>
      </c>
      <c r="AN406" s="88" t="str">
        <f ca="1">IF(AH406="","",DATE(INDEX(OFFSET(Arb!$C$2,,,Arb!$AJ$5,),AH406),INDEX(OFFSET(Arb!$B$2,,,Arb!$AJ$5,),AH406),INDEX(OFFSET(Arb!$A$2,,,Arb!$AJ$5,),AH406))+ROW()*0.001)</f>
        <v/>
      </c>
      <c r="AO406" s="436">
        <v>264</v>
      </c>
      <c r="AQ406" s="52" t="str">
        <f ca="1">IF(AP406="","",INDEX(OFFSET(Arb!$H$2,,,Arb!$AJ$5,),AP406))</f>
        <v/>
      </c>
      <c r="AR406" s="3" t="str">
        <f t="shared" ca="1" si="120"/>
        <v/>
      </c>
      <c r="AS406" s="165" t="str">
        <f ca="1">IF(AP406="","",INDEX(OFFSET(Arb!$X$2,,,Arb!$AJ$5,),AP406)/AQ406)</f>
        <v/>
      </c>
      <c r="AT406" s="165" t="str">
        <f ca="1">IF(AP406="","",(INDEX(OFFSET(Arb!$U$2,,,Arb!$AJ$5,),AP406)+INDEX(OFFSET(Arb!$V$2,,,Arb!$AJ$5,),AP406))/AQ406)</f>
        <v/>
      </c>
      <c r="AU406" s="51" t="str">
        <f t="shared" ca="1" si="130"/>
        <v/>
      </c>
      <c r="AV406" s="91" t="str">
        <f ca="1">IF(AP406="","",DATE(INDEX(OFFSET(Arb!$C$2,,,Arb!$AJ$5,),AP406),INDEX(OFFSET(Arb!$B$2,,,Arb!$AJ$5,),AP406),INDEX(OFFSET(Arb!$A$2,,,Arb!$AJ$5,),AP406))+ROW()*0.001)</f>
        <v/>
      </c>
      <c r="AW406" s="442">
        <v>264</v>
      </c>
      <c r="AY406" s="52" t="str">
        <f ca="1">IF(AX406="","",INDEX(OFFSET(Arb!$H$2,,,Arb!$AJ$5,),AX406))</f>
        <v/>
      </c>
      <c r="AZ406" s="3" t="str">
        <f t="shared" ca="1" si="121"/>
        <v/>
      </c>
      <c r="BA406" s="165" t="str">
        <f ca="1">IF(AX406="","",INDEX(OFFSET(Arb!$X$2,,,Arb!$AJ$5,),AX406)/AY406)</f>
        <v/>
      </c>
      <c r="BB406" s="165" t="str">
        <f ca="1">IF(AX406="","",(INDEX(OFFSET(Arb!$U$2,,,Arb!$AJ$5,),AX406)+INDEX(OFFSET(Arb!$V$2,,,Arb!$AJ$5,),AX406))/AY406)</f>
        <v/>
      </c>
      <c r="BC406" s="51" t="str">
        <f t="shared" ca="1" si="131"/>
        <v/>
      </c>
      <c r="BD406" s="88" t="str">
        <f ca="1">IF(AX406="","",DATE(INDEX(OFFSET(Arb!$C$2,,,Arb!$AJ$5,),AX406),INDEX(OFFSET(Arb!$B$2,,,Arb!$AJ$5,),AX406),INDEX(OFFSET(Arb!$A$2,,,Arb!$AJ$5,),AX406))+ROW()*0.001)</f>
        <v/>
      </c>
      <c r="BE406" s="436">
        <v>264</v>
      </c>
      <c r="BG406" s="52" t="str">
        <f ca="1">IF(BF406="","",INDEX(OFFSET(Arb!$H$2,,,Arb!$AJ$5,),BF406))</f>
        <v/>
      </c>
      <c r="BH406" s="3" t="str">
        <f t="shared" ca="1" si="122"/>
        <v/>
      </c>
      <c r="BI406" s="165" t="str">
        <f ca="1">IF(BF406="","",INDEX(OFFSET(Arb!$X$2,,,Arb!$AJ$5,),BF406)/BG406)</f>
        <v/>
      </c>
      <c r="BJ406" s="165" t="str">
        <f ca="1">IF(BF406="","",(INDEX(OFFSET(Arb!$U$2,,,Arb!$AJ$5,),BF406)+INDEX(OFFSET(Arb!$V$2,,,Arb!$AJ$5,),BF406))/BG406)</f>
        <v/>
      </c>
      <c r="BK406" s="51" t="str">
        <f t="shared" ca="1" si="132"/>
        <v/>
      </c>
      <c r="BL406" s="91" t="str">
        <f ca="1">IF(BF406="","",DATE(INDEX(OFFSET(Arb!$C$2,,,Arb!$AJ$5,),BF406),INDEX(OFFSET(Arb!$B$2,,,Arb!$AJ$5,),BF406),INDEX(OFFSET(Arb!$A$2,,,Arb!$AJ$5,),BF406))+ROW()*0.001)</f>
        <v/>
      </c>
      <c r="BM406" s="442">
        <v>264</v>
      </c>
      <c r="BO406" s="52" t="str">
        <f ca="1">IF(BN406="","",INDEX(OFFSET(Arb!$H$2,,,Arb!$AJ$5,),BN406))</f>
        <v/>
      </c>
      <c r="BP406" s="3" t="str">
        <f t="shared" ca="1" si="123"/>
        <v/>
      </c>
      <c r="BQ406" s="165" t="str">
        <f ca="1">IF(BN406="","",INDEX(OFFSET(Arb!$X$2,,,Arb!$AJ$5,),BN406)/BO406)</f>
        <v/>
      </c>
      <c r="BR406" s="165" t="str">
        <f ca="1">IF(BN406="","",(INDEX(OFFSET(Arb!$U$2,,,Arb!$AJ$5,),BN406)+INDEX(OFFSET(Arb!$V$2,,,Arb!$AJ$5,),BN406))/BO406)</f>
        <v/>
      </c>
      <c r="BS406" s="51" t="str">
        <f t="shared" ca="1" si="133"/>
        <v/>
      </c>
      <c r="BT406" s="88" t="str">
        <f ca="1">IF(BN406="","",DATE(INDEX(OFFSET(Arb!$C$2,,,Arb!$AJ$5,),BN406),INDEX(OFFSET(Arb!$B$2,,,Arb!$AJ$5,),BN406),INDEX(OFFSET(Arb!$A$2,,,Arb!$AJ$5,),BN406))+ROW()*0.001)</f>
        <v/>
      </c>
      <c r="BU406" s="436">
        <v>264</v>
      </c>
      <c r="BW406" s="52" t="str">
        <f ca="1">IF(BV406="","",INDEX(OFFSET(Arb!$H$2,,,Arb!$AJ$5,),BV406))</f>
        <v/>
      </c>
      <c r="BX406" s="3" t="str">
        <f t="shared" ca="1" si="124"/>
        <v/>
      </c>
      <c r="BY406" s="165" t="str">
        <f ca="1">IF(BV406="","",INDEX(OFFSET(Arb!$X$2,,,Arb!$AJ$5,),BV406)/BW406)</f>
        <v/>
      </c>
      <c r="BZ406" s="165" t="str">
        <f ca="1">IF(BV406="","",(INDEX(OFFSET(Arb!$U$2,,,Arb!$AJ$5,),BV406)+INDEX(OFFSET(Arb!$V$2,,,Arb!$AJ$5,),BV406))/BW406)</f>
        <v/>
      </c>
      <c r="CA406" s="51" t="str">
        <f t="shared" ca="1" si="134"/>
        <v/>
      </c>
      <c r="CB406" s="91" t="str">
        <f ca="1">IF(BV406="","",DATE(INDEX(OFFSET(Arb!$C$2,,,Arb!$AJ$5,),BV406),INDEX(OFFSET(Arb!$B$2,,,Arb!$AJ$5,),BV406),INDEX(OFFSET(Arb!$A$2,,,Arb!$AJ$5,),BV406))+ROW()*0.001)</f>
        <v/>
      </c>
    </row>
    <row r="407" spans="1:80" x14ac:dyDescent="0.25">
      <c r="A407" s="433">
        <v>265</v>
      </c>
      <c r="C407" s="52" t="str">
        <f ca="1">IF(B407="","",INDEX(OFFSET(Arb!$H$2,,,Arb!$AJ$5,),B407))</f>
        <v/>
      </c>
      <c r="D407" s="3" t="str">
        <f t="shared" ca="1" si="115"/>
        <v/>
      </c>
      <c r="E407" s="165" t="str">
        <f ca="1">IF(B407="","",INDEX(OFFSET(Arb!$X$2,,,Arb!$AJ$5,),B407)/C407)</f>
        <v/>
      </c>
      <c r="F407" s="165" t="str">
        <f ca="1">IF(B407="","",(INDEX(OFFSET(Arb!$U$2,,,Arb!$AJ$5,),B407)+INDEX(OFFSET(Arb!$V$2,,,Arb!$AJ$5,),B407))/C407)</f>
        <v/>
      </c>
      <c r="G407" s="51" t="str">
        <f t="shared" ca="1" si="125"/>
        <v/>
      </c>
      <c r="H407" s="355" t="str">
        <f ca="1">IF(B407="","",DATE(INDEX(OFFSET(Arb!$C$2,,,Arb!$AJ$5,),B407),INDEX(OFFSET(Arb!$B$2,,,Arb!$AJ$5,),B407),INDEX(OFFSET(Arb!$A$2,,,Arb!$AJ$5,),B407))+ROW()*0.001)</f>
        <v/>
      </c>
      <c r="I407" s="436">
        <v>265</v>
      </c>
      <c r="K407" s="52" t="str">
        <f ca="1">IF(J407="","",INDEX(OFFSET(Arb!$H$2,,,Arb!$AJ$5,),J407))</f>
        <v/>
      </c>
      <c r="L407" s="3" t="str">
        <f t="shared" ca="1" si="116"/>
        <v/>
      </c>
      <c r="M407" s="165" t="str">
        <f ca="1">IF(J407="","",INDEX(OFFSET(Arb!$X$2,,,Arb!$AJ$5,),J407)/K407)</f>
        <v/>
      </c>
      <c r="N407" s="165" t="str">
        <f ca="1">IF(J407="","",(INDEX(OFFSET(Arb!$U$2,,,Arb!$AJ$5,),J407)+INDEX(OFFSET(Arb!$V$2,,,Arb!$AJ$5,),J407))/K407)</f>
        <v/>
      </c>
      <c r="O407" s="51" t="str">
        <f t="shared" ca="1" si="126"/>
        <v/>
      </c>
      <c r="P407" s="91" t="str">
        <f ca="1">IF(J407="","",DATE(INDEX(OFFSET(Arb!$C$2,,,Arb!$AJ$5,),J407),INDEX(OFFSET(Arb!$B$2,,,Arb!$AJ$5,),J407),INDEX(OFFSET(Arb!$A$2,,,Arb!$AJ$5,),J407))+ROW()*0.001)</f>
        <v/>
      </c>
      <c r="Q407" s="442">
        <v>265</v>
      </c>
      <c r="S407" s="52" t="str">
        <f ca="1">IF(R407="","",INDEX(OFFSET(Arb!$H$2,,,Arb!$AJ$5,),R407))</f>
        <v/>
      </c>
      <c r="T407" s="3" t="str">
        <f t="shared" ca="1" si="117"/>
        <v/>
      </c>
      <c r="U407" s="165" t="str">
        <f ca="1">IF(R407="","",INDEX(OFFSET(Arb!$X$2,,,Arb!$AJ$5,),R407)/S407)</f>
        <v/>
      </c>
      <c r="V407" s="165" t="str">
        <f ca="1">IF(R407="","",(INDEX(OFFSET(Arb!$U$2,,,Arb!$AJ$5,),R407)+INDEX(OFFSET(Arb!$V$2,,,Arb!$AJ$5,),R407))/S407)</f>
        <v/>
      </c>
      <c r="W407" s="51" t="str">
        <f t="shared" ca="1" si="127"/>
        <v/>
      </c>
      <c r="X407" s="88" t="str">
        <f ca="1">IF(R407="","",DATE(INDEX(OFFSET(Arb!$C$2,,,Arb!$AJ$5,),R407),INDEX(OFFSET(Arb!$B$2,,,Arb!$AJ$5,),R407),INDEX(OFFSET(Arb!$A$2,,,Arb!$AJ$5,),R407))+ROW()*0.001)</f>
        <v/>
      </c>
      <c r="Y407" s="436">
        <v>265</v>
      </c>
      <c r="AA407" s="52" t="str">
        <f ca="1">IF(Z407="","",INDEX(OFFSET(Arb!$H$2,,,Arb!$AJ$5,),Z407))</f>
        <v/>
      </c>
      <c r="AB407" s="3" t="str">
        <f t="shared" ca="1" si="118"/>
        <v/>
      </c>
      <c r="AC407" s="165" t="str">
        <f ca="1">IF(Z407="","",INDEX(OFFSET(Arb!$X$2,,,Arb!$AJ$5,),Z407)/AA407)</f>
        <v/>
      </c>
      <c r="AD407" s="165" t="str">
        <f ca="1">IF(Z407="","",(INDEX(OFFSET(Arb!$U$2,,,Arb!$AJ$5,),Z407)+INDEX(OFFSET(Arb!$V$2,,,Arb!$AJ$5,),Z407))/AA407)</f>
        <v/>
      </c>
      <c r="AE407" s="51" t="str">
        <f t="shared" ca="1" si="128"/>
        <v/>
      </c>
      <c r="AF407" s="91" t="str">
        <f ca="1">IF(Z407="","",DATE(INDEX(OFFSET(Arb!$C$2,,,Arb!$AJ$5,),Z407),INDEX(OFFSET(Arb!$B$2,,,Arb!$AJ$5,),Z407),INDEX(OFFSET(Arb!$A$2,,,Arb!$AJ$5,),Z407))+ROW()*0.001)</f>
        <v/>
      </c>
      <c r="AG407" s="442">
        <v>265</v>
      </c>
      <c r="AI407" s="52" t="str">
        <f ca="1">IF(AH407="","",INDEX(OFFSET(Arb!$H$2,,,Arb!$AJ$5,),AH407))</f>
        <v/>
      </c>
      <c r="AJ407" s="3" t="str">
        <f t="shared" ca="1" si="119"/>
        <v/>
      </c>
      <c r="AK407" s="165" t="str">
        <f ca="1">IF(AH407="","",INDEX(OFFSET(Arb!$X$2,,,Arb!$AJ$5,),AH407)/AI407)</f>
        <v/>
      </c>
      <c r="AL407" s="165" t="str">
        <f ca="1">IF(AH407="","",(INDEX(OFFSET(Arb!$U$2,,,Arb!$AJ$5,),AH407)+INDEX(OFFSET(Arb!$V$2,,,Arb!$AJ$5,),AH407))/AI407)</f>
        <v/>
      </c>
      <c r="AM407" s="51" t="str">
        <f t="shared" ca="1" si="129"/>
        <v/>
      </c>
      <c r="AN407" s="88" t="str">
        <f ca="1">IF(AH407="","",DATE(INDEX(OFFSET(Arb!$C$2,,,Arb!$AJ$5,),AH407),INDEX(OFFSET(Arb!$B$2,,,Arb!$AJ$5,),AH407),INDEX(OFFSET(Arb!$A$2,,,Arb!$AJ$5,),AH407))+ROW()*0.001)</f>
        <v/>
      </c>
      <c r="AO407" s="436">
        <v>265</v>
      </c>
      <c r="AQ407" s="52" t="str">
        <f ca="1">IF(AP407="","",INDEX(OFFSET(Arb!$H$2,,,Arb!$AJ$5,),AP407))</f>
        <v/>
      </c>
      <c r="AR407" s="3" t="str">
        <f t="shared" ca="1" si="120"/>
        <v/>
      </c>
      <c r="AS407" s="165" t="str">
        <f ca="1">IF(AP407="","",INDEX(OFFSET(Arb!$X$2,,,Arb!$AJ$5,),AP407)/AQ407)</f>
        <v/>
      </c>
      <c r="AT407" s="165" t="str">
        <f ca="1">IF(AP407="","",(INDEX(OFFSET(Arb!$U$2,,,Arb!$AJ$5,),AP407)+INDEX(OFFSET(Arb!$V$2,,,Arb!$AJ$5,),AP407))/AQ407)</f>
        <v/>
      </c>
      <c r="AU407" s="51" t="str">
        <f t="shared" ca="1" si="130"/>
        <v/>
      </c>
      <c r="AV407" s="91" t="str">
        <f ca="1">IF(AP407="","",DATE(INDEX(OFFSET(Arb!$C$2,,,Arb!$AJ$5,),AP407),INDEX(OFFSET(Arb!$B$2,,,Arb!$AJ$5,),AP407),INDEX(OFFSET(Arb!$A$2,,,Arb!$AJ$5,),AP407))+ROW()*0.001)</f>
        <v/>
      </c>
      <c r="AW407" s="442">
        <v>265</v>
      </c>
      <c r="AY407" s="52" t="str">
        <f ca="1">IF(AX407="","",INDEX(OFFSET(Arb!$H$2,,,Arb!$AJ$5,),AX407))</f>
        <v/>
      </c>
      <c r="AZ407" s="3" t="str">
        <f t="shared" ca="1" si="121"/>
        <v/>
      </c>
      <c r="BA407" s="165" t="str">
        <f ca="1">IF(AX407="","",INDEX(OFFSET(Arb!$X$2,,,Arb!$AJ$5,),AX407)/AY407)</f>
        <v/>
      </c>
      <c r="BB407" s="165" t="str">
        <f ca="1">IF(AX407="","",(INDEX(OFFSET(Arb!$U$2,,,Arb!$AJ$5,),AX407)+INDEX(OFFSET(Arb!$V$2,,,Arb!$AJ$5,),AX407))/AY407)</f>
        <v/>
      </c>
      <c r="BC407" s="51" t="str">
        <f t="shared" ca="1" si="131"/>
        <v/>
      </c>
      <c r="BD407" s="88" t="str">
        <f ca="1">IF(AX407="","",DATE(INDEX(OFFSET(Arb!$C$2,,,Arb!$AJ$5,),AX407),INDEX(OFFSET(Arb!$B$2,,,Arb!$AJ$5,),AX407),INDEX(OFFSET(Arb!$A$2,,,Arb!$AJ$5,),AX407))+ROW()*0.001)</f>
        <v/>
      </c>
      <c r="BE407" s="436">
        <v>265</v>
      </c>
      <c r="BG407" s="52" t="str">
        <f ca="1">IF(BF407="","",INDEX(OFFSET(Arb!$H$2,,,Arb!$AJ$5,),BF407))</f>
        <v/>
      </c>
      <c r="BH407" s="3" t="str">
        <f t="shared" ca="1" si="122"/>
        <v/>
      </c>
      <c r="BI407" s="165" t="str">
        <f ca="1">IF(BF407="","",INDEX(OFFSET(Arb!$X$2,,,Arb!$AJ$5,),BF407)/BG407)</f>
        <v/>
      </c>
      <c r="BJ407" s="165" t="str">
        <f ca="1">IF(BF407="","",(INDEX(OFFSET(Arb!$U$2,,,Arb!$AJ$5,),BF407)+INDEX(OFFSET(Arb!$V$2,,,Arb!$AJ$5,),BF407))/BG407)</f>
        <v/>
      </c>
      <c r="BK407" s="51" t="str">
        <f t="shared" ca="1" si="132"/>
        <v/>
      </c>
      <c r="BL407" s="91" t="str">
        <f ca="1">IF(BF407="","",DATE(INDEX(OFFSET(Arb!$C$2,,,Arb!$AJ$5,),BF407),INDEX(OFFSET(Arb!$B$2,,,Arb!$AJ$5,),BF407),INDEX(OFFSET(Arb!$A$2,,,Arb!$AJ$5,),BF407))+ROW()*0.001)</f>
        <v/>
      </c>
      <c r="BM407" s="442">
        <v>265</v>
      </c>
      <c r="BO407" s="52" t="str">
        <f ca="1">IF(BN407="","",INDEX(OFFSET(Arb!$H$2,,,Arb!$AJ$5,),BN407))</f>
        <v/>
      </c>
      <c r="BP407" s="3" t="str">
        <f t="shared" ca="1" si="123"/>
        <v/>
      </c>
      <c r="BQ407" s="165" t="str">
        <f ca="1">IF(BN407="","",INDEX(OFFSET(Arb!$X$2,,,Arb!$AJ$5,),BN407)/BO407)</f>
        <v/>
      </c>
      <c r="BR407" s="165" t="str">
        <f ca="1">IF(BN407="","",(INDEX(OFFSET(Arb!$U$2,,,Arb!$AJ$5,),BN407)+INDEX(OFFSET(Arb!$V$2,,,Arb!$AJ$5,),BN407))/BO407)</f>
        <v/>
      </c>
      <c r="BS407" s="51" t="str">
        <f t="shared" ca="1" si="133"/>
        <v/>
      </c>
      <c r="BT407" s="88" t="str">
        <f ca="1">IF(BN407="","",DATE(INDEX(OFFSET(Arb!$C$2,,,Arb!$AJ$5,),BN407),INDEX(OFFSET(Arb!$B$2,,,Arb!$AJ$5,),BN407),INDEX(OFFSET(Arb!$A$2,,,Arb!$AJ$5,),BN407))+ROW()*0.001)</f>
        <v/>
      </c>
      <c r="BU407" s="436">
        <v>265</v>
      </c>
      <c r="BW407" s="52" t="str">
        <f ca="1">IF(BV407="","",INDEX(OFFSET(Arb!$H$2,,,Arb!$AJ$5,),BV407))</f>
        <v/>
      </c>
      <c r="BX407" s="3" t="str">
        <f t="shared" ca="1" si="124"/>
        <v/>
      </c>
      <c r="BY407" s="165" t="str">
        <f ca="1">IF(BV407="","",INDEX(OFFSET(Arb!$X$2,,,Arb!$AJ$5,),BV407)/BW407)</f>
        <v/>
      </c>
      <c r="BZ407" s="165" t="str">
        <f ca="1">IF(BV407="","",(INDEX(OFFSET(Arb!$U$2,,,Arb!$AJ$5,),BV407)+INDEX(OFFSET(Arb!$V$2,,,Arb!$AJ$5,),BV407))/BW407)</f>
        <v/>
      </c>
      <c r="CA407" s="51" t="str">
        <f t="shared" ca="1" si="134"/>
        <v/>
      </c>
      <c r="CB407" s="91" t="str">
        <f ca="1">IF(BV407="","",DATE(INDEX(OFFSET(Arb!$C$2,,,Arb!$AJ$5,),BV407),INDEX(OFFSET(Arb!$B$2,,,Arb!$AJ$5,),BV407),INDEX(OFFSET(Arb!$A$2,,,Arb!$AJ$5,),BV407))+ROW()*0.001)</f>
        <v/>
      </c>
    </row>
    <row r="408" spans="1:80" x14ac:dyDescent="0.25">
      <c r="A408" s="433">
        <v>266</v>
      </c>
      <c r="C408" s="52" t="str">
        <f ca="1">IF(B408="","",INDEX(OFFSET(Arb!$H$2,,,Arb!$AJ$5,),B408))</f>
        <v/>
      </c>
      <c r="D408" s="3" t="str">
        <f t="shared" ca="1" si="115"/>
        <v/>
      </c>
      <c r="E408" s="165" t="str">
        <f ca="1">IF(B408="","",INDEX(OFFSET(Arb!$X$2,,,Arb!$AJ$5,),B408)/C408)</f>
        <v/>
      </c>
      <c r="F408" s="165" t="str">
        <f ca="1">IF(B408="","",(INDEX(OFFSET(Arb!$U$2,,,Arb!$AJ$5,),B408)+INDEX(OFFSET(Arb!$V$2,,,Arb!$AJ$5,),B408))/C408)</f>
        <v/>
      </c>
      <c r="G408" s="51" t="str">
        <f t="shared" ca="1" si="125"/>
        <v/>
      </c>
      <c r="H408" s="355" t="str">
        <f ca="1">IF(B408="","",DATE(INDEX(OFFSET(Arb!$C$2,,,Arb!$AJ$5,),B408),INDEX(OFFSET(Arb!$B$2,,,Arb!$AJ$5,),B408),INDEX(OFFSET(Arb!$A$2,,,Arb!$AJ$5,),B408))+ROW()*0.001)</f>
        <v/>
      </c>
      <c r="I408" s="436">
        <v>266</v>
      </c>
      <c r="K408" s="52" t="str">
        <f ca="1">IF(J408="","",INDEX(OFFSET(Arb!$H$2,,,Arb!$AJ$5,),J408))</f>
        <v/>
      </c>
      <c r="L408" s="3" t="str">
        <f t="shared" ca="1" si="116"/>
        <v/>
      </c>
      <c r="M408" s="165" t="str">
        <f ca="1">IF(J408="","",INDEX(OFFSET(Arb!$X$2,,,Arb!$AJ$5,),J408)/K408)</f>
        <v/>
      </c>
      <c r="N408" s="165" t="str">
        <f ca="1">IF(J408="","",(INDEX(OFFSET(Arb!$U$2,,,Arb!$AJ$5,),J408)+INDEX(OFFSET(Arb!$V$2,,,Arb!$AJ$5,),J408))/K408)</f>
        <v/>
      </c>
      <c r="O408" s="51" t="str">
        <f t="shared" ca="1" si="126"/>
        <v/>
      </c>
      <c r="P408" s="91" t="str">
        <f ca="1">IF(J408="","",DATE(INDEX(OFFSET(Arb!$C$2,,,Arb!$AJ$5,),J408),INDEX(OFFSET(Arb!$B$2,,,Arb!$AJ$5,),J408),INDEX(OFFSET(Arb!$A$2,,,Arb!$AJ$5,),J408))+ROW()*0.001)</f>
        <v/>
      </c>
      <c r="Q408" s="442">
        <v>266</v>
      </c>
      <c r="S408" s="52" t="str">
        <f ca="1">IF(R408="","",INDEX(OFFSET(Arb!$H$2,,,Arb!$AJ$5,),R408))</f>
        <v/>
      </c>
      <c r="T408" s="3" t="str">
        <f t="shared" ca="1" si="117"/>
        <v/>
      </c>
      <c r="U408" s="165" t="str">
        <f ca="1">IF(R408="","",INDEX(OFFSET(Arb!$X$2,,,Arb!$AJ$5,),R408)/S408)</f>
        <v/>
      </c>
      <c r="V408" s="165" t="str">
        <f ca="1">IF(R408="","",(INDEX(OFFSET(Arb!$U$2,,,Arb!$AJ$5,),R408)+INDEX(OFFSET(Arb!$V$2,,,Arb!$AJ$5,),R408))/S408)</f>
        <v/>
      </c>
      <c r="W408" s="51" t="str">
        <f t="shared" ca="1" si="127"/>
        <v/>
      </c>
      <c r="X408" s="88" t="str">
        <f ca="1">IF(R408="","",DATE(INDEX(OFFSET(Arb!$C$2,,,Arb!$AJ$5,),R408),INDEX(OFFSET(Arb!$B$2,,,Arb!$AJ$5,),R408),INDEX(OFFSET(Arb!$A$2,,,Arb!$AJ$5,),R408))+ROW()*0.001)</f>
        <v/>
      </c>
      <c r="Y408" s="436">
        <v>266</v>
      </c>
      <c r="AA408" s="52" t="str">
        <f ca="1">IF(Z408="","",INDEX(OFFSET(Arb!$H$2,,,Arb!$AJ$5,),Z408))</f>
        <v/>
      </c>
      <c r="AB408" s="3" t="str">
        <f t="shared" ca="1" si="118"/>
        <v/>
      </c>
      <c r="AC408" s="165" t="str">
        <f ca="1">IF(Z408="","",INDEX(OFFSET(Arb!$X$2,,,Arb!$AJ$5,),Z408)/AA408)</f>
        <v/>
      </c>
      <c r="AD408" s="165" t="str">
        <f ca="1">IF(Z408="","",(INDEX(OFFSET(Arb!$U$2,,,Arb!$AJ$5,),Z408)+INDEX(OFFSET(Arb!$V$2,,,Arb!$AJ$5,),Z408))/AA408)</f>
        <v/>
      </c>
      <c r="AE408" s="51" t="str">
        <f t="shared" ca="1" si="128"/>
        <v/>
      </c>
      <c r="AF408" s="91" t="str">
        <f ca="1">IF(Z408="","",DATE(INDEX(OFFSET(Arb!$C$2,,,Arb!$AJ$5,),Z408),INDEX(OFFSET(Arb!$B$2,,,Arb!$AJ$5,),Z408),INDEX(OFFSET(Arb!$A$2,,,Arb!$AJ$5,),Z408))+ROW()*0.001)</f>
        <v/>
      </c>
      <c r="AG408" s="442">
        <v>266</v>
      </c>
      <c r="AI408" s="52" t="str">
        <f ca="1">IF(AH408="","",INDEX(OFFSET(Arb!$H$2,,,Arb!$AJ$5,),AH408))</f>
        <v/>
      </c>
      <c r="AJ408" s="3" t="str">
        <f t="shared" ca="1" si="119"/>
        <v/>
      </c>
      <c r="AK408" s="165" t="str">
        <f ca="1">IF(AH408="","",INDEX(OFFSET(Arb!$X$2,,,Arb!$AJ$5,),AH408)/AI408)</f>
        <v/>
      </c>
      <c r="AL408" s="165" t="str">
        <f ca="1">IF(AH408="","",(INDEX(OFFSET(Arb!$U$2,,,Arb!$AJ$5,),AH408)+INDEX(OFFSET(Arb!$V$2,,,Arb!$AJ$5,),AH408))/AI408)</f>
        <v/>
      </c>
      <c r="AM408" s="51" t="str">
        <f t="shared" ca="1" si="129"/>
        <v/>
      </c>
      <c r="AN408" s="88" t="str">
        <f ca="1">IF(AH408="","",DATE(INDEX(OFFSET(Arb!$C$2,,,Arb!$AJ$5,),AH408),INDEX(OFFSET(Arb!$B$2,,,Arb!$AJ$5,),AH408),INDEX(OFFSET(Arb!$A$2,,,Arb!$AJ$5,),AH408))+ROW()*0.001)</f>
        <v/>
      </c>
      <c r="AO408" s="436">
        <v>266</v>
      </c>
      <c r="AQ408" s="52" t="str">
        <f ca="1">IF(AP408="","",INDEX(OFFSET(Arb!$H$2,,,Arb!$AJ$5,),AP408))</f>
        <v/>
      </c>
      <c r="AR408" s="3" t="str">
        <f t="shared" ca="1" si="120"/>
        <v/>
      </c>
      <c r="AS408" s="165" t="str">
        <f ca="1">IF(AP408="","",INDEX(OFFSET(Arb!$X$2,,,Arb!$AJ$5,),AP408)/AQ408)</f>
        <v/>
      </c>
      <c r="AT408" s="165" t="str">
        <f ca="1">IF(AP408="","",(INDEX(OFFSET(Arb!$U$2,,,Arb!$AJ$5,),AP408)+INDEX(OFFSET(Arb!$V$2,,,Arb!$AJ$5,),AP408))/AQ408)</f>
        <v/>
      </c>
      <c r="AU408" s="51" t="str">
        <f t="shared" ca="1" si="130"/>
        <v/>
      </c>
      <c r="AV408" s="91" t="str">
        <f ca="1">IF(AP408="","",DATE(INDEX(OFFSET(Arb!$C$2,,,Arb!$AJ$5,),AP408),INDEX(OFFSET(Arb!$B$2,,,Arb!$AJ$5,),AP408),INDEX(OFFSET(Arb!$A$2,,,Arb!$AJ$5,),AP408))+ROW()*0.001)</f>
        <v/>
      </c>
      <c r="AW408" s="442">
        <v>266</v>
      </c>
      <c r="AY408" s="52" t="str">
        <f ca="1">IF(AX408="","",INDEX(OFFSET(Arb!$H$2,,,Arb!$AJ$5,),AX408))</f>
        <v/>
      </c>
      <c r="AZ408" s="3" t="str">
        <f t="shared" ca="1" si="121"/>
        <v/>
      </c>
      <c r="BA408" s="165" t="str">
        <f ca="1">IF(AX408="","",INDEX(OFFSET(Arb!$X$2,,,Arb!$AJ$5,),AX408)/AY408)</f>
        <v/>
      </c>
      <c r="BB408" s="165" t="str">
        <f ca="1">IF(AX408="","",(INDEX(OFFSET(Arb!$U$2,,,Arb!$AJ$5,),AX408)+INDEX(OFFSET(Arb!$V$2,,,Arb!$AJ$5,),AX408))/AY408)</f>
        <v/>
      </c>
      <c r="BC408" s="51" t="str">
        <f t="shared" ca="1" si="131"/>
        <v/>
      </c>
      <c r="BD408" s="88" t="str">
        <f ca="1">IF(AX408="","",DATE(INDEX(OFFSET(Arb!$C$2,,,Arb!$AJ$5,),AX408),INDEX(OFFSET(Arb!$B$2,,,Arb!$AJ$5,),AX408),INDEX(OFFSET(Arb!$A$2,,,Arb!$AJ$5,),AX408))+ROW()*0.001)</f>
        <v/>
      </c>
      <c r="BE408" s="436">
        <v>266</v>
      </c>
      <c r="BG408" s="52" t="str">
        <f ca="1">IF(BF408="","",INDEX(OFFSET(Arb!$H$2,,,Arb!$AJ$5,),BF408))</f>
        <v/>
      </c>
      <c r="BH408" s="3" t="str">
        <f t="shared" ca="1" si="122"/>
        <v/>
      </c>
      <c r="BI408" s="165" t="str">
        <f ca="1">IF(BF408="","",INDEX(OFFSET(Arb!$X$2,,,Arb!$AJ$5,),BF408)/BG408)</f>
        <v/>
      </c>
      <c r="BJ408" s="165" t="str">
        <f ca="1">IF(BF408="","",(INDEX(OFFSET(Arb!$U$2,,,Arb!$AJ$5,),BF408)+INDEX(OFFSET(Arb!$V$2,,,Arb!$AJ$5,),BF408))/BG408)</f>
        <v/>
      </c>
      <c r="BK408" s="51" t="str">
        <f t="shared" ca="1" si="132"/>
        <v/>
      </c>
      <c r="BL408" s="91" t="str">
        <f ca="1">IF(BF408="","",DATE(INDEX(OFFSET(Arb!$C$2,,,Arb!$AJ$5,),BF408),INDEX(OFFSET(Arb!$B$2,,,Arb!$AJ$5,),BF408),INDEX(OFFSET(Arb!$A$2,,,Arb!$AJ$5,),BF408))+ROW()*0.001)</f>
        <v/>
      </c>
      <c r="BM408" s="442">
        <v>266</v>
      </c>
      <c r="BO408" s="52" t="str">
        <f ca="1">IF(BN408="","",INDEX(OFFSET(Arb!$H$2,,,Arb!$AJ$5,),BN408))</f>
        <v/>
      </c>
      <c r="BP408" s="3" t="str">
        <f t="shared" ca="1" si="123"/>
        <v/>
      </c>
      <c r="BQ408" s="165" t="str">
        <f ca="1">IF(BN408="","",INDEX(OFFSET(Arb!$X$2,,,Arb!$AJ$5,),BN408)/BO408)</f>
        <v/>
      </c>
      <c r="BR408" s="165" t="str">
        <f ca="1">IF(BN408="","",(INDEX(OFFSET(Arb!$U$2,,,Arb!$AJ$5,),BN408)+INDEX(OFFSET(Arb!$V$2,,,Arb!$AJ$5,),BN408))/BO408)</f>
        <v/>
      </c>
      <c r="BS408" s="51" t="str">
        <f t="shared" ca="1" si="133"/>
        <v/>
      </c>
      <c r="BT408" s="88" t="str">
        <f ca="1">IF(BN408="","",DATE(INDEX(OFFSET(Arb!$C$2,,,Arb!$AJ$5,),BN408),INDEX(OFFSET(Arb!$B$2,,,Arb!$AJ$5,),BN408),INDEX(OFFSET(Arb!$A$2,,,Arb!$AJ$5,),BN408))+ROW()*0.001)</f>
        <v/>
      </c>
      <c r="BU408" s="436">
        <v>266</v>
      </c>
      <c r="BW408" s="52" t="str">
        <f ca="1">IF(BV408="","",INDEX(OFFSET(Arb!$H$2,,,Arb!$AJ$5,),BV408))</f>
        <v/>
      </c>
      <c r="BX408" s="3" t="str">
        <f t="shared" ca="1" si="124"/>
        <v/>
      </c>
      <c r="BY408" s="165" t="str">
        <f ca="1">IF(BV408="","",INDEX(OFFSET(Arb!$X$2,,,Arb!$AJ$5,),BV408)/BW408)</f>
        <v/>
      </c>
      <c r="BZ408" s="165" t="str">
        <f ca="1">IF(BV408="","",(INDEX(OFFSET(Arb!$U$2,,,Arb!$AJ$5,),BV408)+INDEX(OFFSET(Arb!$V$2,,,Arb!$AJ$5,),BV408))/BW408)</f>
        <v/>
      </c>
      <c r="CA408" s="51" t="str">
        <f t="shared" ca="1" si="134"/>
        <v/>
      </c>
      <c r="CB408" s="91" t="str">
        <f ca="1">IF(BV408="","",DATE(INDEX(OFFSET(Arb!$C$2,,,Arb!$AJ$5,),BV408),INDEX(OFFSET(Arb!$B$2,,,Arb!$AJ$5,),BV408),INDEX(OFFSET(Arb!$A$2,,,Arb!$AJ$5,),BV408))+ROW()*0.001)</f>
        <v/>
      </c>
    </row>
    <row r="409" spans="1:80" x14ac:dyDescent="0.25">
      <c r="A409" s="433">
        <v>267</v>
      </c>
      <c r="C409" s="52" t="str">
        <f ca="1">IF(B409="","",INDEX(OFFSET(Arb!$H$2,,,Arb!$AJ$5,),B409))</f>
        <v/>
      </c>
      <c r="D409" s="3" t="str">
        <f t="shared" ca="1" si="115"/>
        <v/>
      </c>
      <c r="E409" s="165" t="str">
        <f ca="1">IF(B409="","",INDEX(OFFSET(Arb!$X$2,,,Arb!$AJ$5,),B409)/C409)</f>
        <v/>
      </c>
      <c r="F409" s="165" t="str">
        <f ca="1">IF(B409="","",(INDEX(OFFSET(Arb!$U$2,,,Arb!$AJ$5,),B409)+INDEX(OFFSET(Arb!$V$2,,,Arb!$AJ$5,),B409))/C409)</f>
        <v/>
      </c>
      <c r="G409" s="51" t="str">
        <f t="shared" ca="1" si="125"/>
        <v/>
      </c>
      <c r="H409" s="355" t="str">
        <f ca="1">IF(B409="","",DATE(INDEX(OFFSET(Arb!$C$2,,,Arb!$AJ$5,),B409),INDEX(OFFSET(Arb!$B$2,,,Arb!$AJ$5,),B409),INDEX(OFFSET(Arb!$A$2,,,Arb!$AJ$5,),B409))+ROW()*0.001)</f>
        <v/>
      </c>
      <c r="I409" s="436">
        <v>267</v>
      </c>
      <c r="K409" s="52" t="str">
        <f ca="1">IF(J409="","",INDEX(OFFSET(Arb!$H$2,,,Arb!$AJ$5,),J409))</f>
        <v/>
      </c>
      <c r="L409" s="3" t="str">
        <f t="shared" ca="1" si="116"/>
        <v/>
      </c>
      <c r="M409" s="165" t="str">
        <f ca="1">IF(J409="","",INDEX(OFFSET(Arb!$X$2,,,Arb!$AJ$5,),J409)/K409)</f>
        <v/>
      </c>
      <c r="N409" s="165" t="str">
        <f ca="1">IF(J409="","",(INDEX(OFFSET(Arb!$U$2,,,Arb!$AJ$5,),J409)+INDEX(OFFSET(Arb!$V$2,,,Arb!$AJ$5,),J409))/K409)</f>
        <v/>
      </c>
      <c r="O409" s="51" t="str">
        <f t="shared" ca="1" si="126"/>
        <v/>
      </c>
      <c r="P409" s="91" t="str">
        <f ca="1">IF(J409="","",DATE(INDEX(OFFSET(Arb!$C$2,,,Arb!$AJ$5,),J409),INDEX(OFFSET(Arb!$B$2,,,Arb!$AJ$5,),J409),INDEX(OFFSET(Arb!$A$2,,,Arb!$AJ$5,),J409))+ROW()*0.001)</f>
        <v/>
      </c>
      <c r="Q409" s="442">
        <v>267</v>
      </c>
      <c r="S409" s="52" t="str">
        <f ca="1">IF(R409="","",INDEX(OFFSET(Arb!$H$2,,,Arb!$AJ$5,),R409))</f>
        <v/>
      </c>
      <c r="T409" s="3" t="str">
        <f t="shared" ca="1" si="117"/>
        <v/>
      </c>
      <c r="U409" s="165" t="str">
        <f ca="1">IF(R409="","",INDEX(OFFSET(Arb!$X$2,,,Arb!$AJ$5,),R409)/S409)</f>
        <v/>
      </c>
      <c r="V409" s="165" t="str">
        <f ca="1">IF(R409="","",(INDEX(OFFSET(Arb!$U$2,,,Arb!$AJ$5,),R409)+INDEX(OFFSET(Arb!$V$2,,,Arb!$AJ$5,),R409))/S409)</f>
        <v/>
      </c>
      <c r="W409" s="51" t="str">
        <f t="shared" ca="1" si="127"/>
        <v/>
      </c>
      <c r="X409" s="88" t="str">
        <f ca="1">IF(R409="","",DATE(INDEX(OFFSET(Arb!$C$2,,,Arb!$AJ$5,),R409),INDEX(OFFSET(Arb!$B$2,,,Arb!$AJ$5,),R409),INDEX(OFFSET(Arb!$A$2,,,Arb!$AJ$5,),R409))+ROW()*0.001)</f>
        <v/>
      </c>
      <c r="Y409" s="436">
        <v>267</v>
      </c>
      <c r="AA409" s="52" t="str">
        <f ca="1">IF(Z409="","",INDEX(OFFSET(Arb!$H$2,,,Arb!$AJ$5,),Z409))</f>
        <v/>
      </c>
      <c r="AB409" s="3" t="str">
        <f t="shared" ca="1" si="118"/>
        <v/>
      </c>
      <c r="AC409" s="165" t="str">
        <f ca="1">IF(Z409="","",INDEX(OFFSET(Arb!$X$2,,,Arb!$AJ$5,),Z409)/AA409)</f>
        <v/>
      </c>
      <c r="AD409" s="165" t="str">
        <f ca="1">IF(Z409="","",(INDEX(OFFSET(Arb!$U$2,,,Arb!$AJ$5,),Z409)+INDEX(OFFSET(Arb!$V$2,,,Arb!$AJ$5,),Z409))/AA409)</f>
        <v/>
      </c>
      <c r="AE409" s="51" t="str">
        <f t="shared" ca="1" si="128"/>
        <v/>
      </c>
      <c r="AF409" s="91" t="str">
        <f ca="1">IF(Z409="","",DATE(INDEX(OFFSET(Arb!$C$2,,,Arb!$AJ$5,),Z409),INDEX(OFFSET(Arb!$B$2,,,Arb!$AJ$5,),Z409),INDEX(OFFSET(Arb!$A$2,,,Arb!$AJ$5,),Z409))+ROW()*0.001)</f>
        <v/>
      </c>
      <c r="AG409" s="442">
        <v>267</v>
      </c>
      <c r="AI409" s="52" t="str">
        <f ca="1">IF(AH409="","",INDEX(OFFSET(Arb!$H$2,,,Arb!$AJ$5,),AH409))</f>
        <v/>
      </c>
      <c r="AJ409" s="3" t="str">
        <f t="shared" ca="1" si="119"/>
        <v/>
      </c>
      <c r="AK409" s="165" t="str">
        <f ca="1">IF(AH409="","",INDEX(OFFSET(Arb!$X$2,,,Arb!$AJ$5,),AH409)/AI409)</f>
        <v/>
      </c>
      <c r="AL409" s="165" t="str">
        <f ca="1">IF(AH409="","",(INDEX(OFFSET(Arb!$U$2,,,Arb!$AJ$5,),AH409)+INDEX(OFFSET(Arb!$V$2,,,Arb!$AJ$5,),AH409))/AI409)</f>
        <v/>
      </c>
      <c r="AM409" s="51" t="str">
        <f t="shared" ca="1" si="129"/>
        <v/>
      </c>
      <c r="AN409" s="88" t="str">
        <f ca="1">IF(AH409="","",DATE(INDEX(OFFSET(Arb!$C$2,,,Arb!$AJ$5,),AH409),INDEX(OFFSET(Arb!$B$2,,,Arb!$AJ$5,),AH409),INDEX(OFFSET(Arb!$A$2,,,Arb!$AJ$5,),AH409))+ROW()*0.001)</f>
        <v/>
      </c>
      <c r="AO409" s="436">
        <v>267</v>
      </c>
      <c r="AQ409" s="52" t="str">
        <f ca="1">IF(AP409="","",INDEX(OFFSET(Arb!$H$2,,,Arb!$AJ$5,),AP409))</f>
        <v/>
      </c>
      <c r="AR409" s="3" t="str">
        <f t="shared" ca="1" si="120"/>
        <v/>
      </c>
      <c r="AS409" s="165" t="str">
        <f ca="1">IF(AP409="","",INDEX(OFFSET(Arb!$X$2,,,Arb!$AJ$5,),AP409)/AQ409)</f>
        <v/>
      </c>
      <c r="AT409" s="165" t="str">
        <f ca="1">IF(AP409="","",(INDEX(OFFSET(Arb!$U$2,,,Arb!$AJ$5,),AP409)+INDEX(OFFSET(Arb!$V$2,,,Arb!$AJ$5,),AP409))/AQ409)</f>
        <v/>
      </c>
      <c r="AU409" s="51" t="str">
        <f t="shared" ca="1" si="130"/>
        <v/>
      </c>
      <c r="AV409" s="91" t="str">
        <f ca="1">IF(AP409="","",DATE(INDEX(OFFSET(Arb!$C$2,,,Arb!$AJ$5,),AP409),INDEX(OFFSET(Arb!$B$2,,,Arb!$AJ$5,),AP409),INDEX(OFFSET(Arb!$A$2,,,Arb!$AJ$5,),AP409))+ROW()*0.001)</f>
        <v/>
      </c>
      <c r="AW409" s="442">
        <v>267</v>
      </c>
      <c r="AY409" s="52" t="str">
        <f ca="1">IF(AX409="","",INDEX(OFFSET(Arb!$H$2,,,Arb!$AJ$5,),AX409))</f>
        <v/>
      </c>
      <c r="AZ409" s="3" t="str">
        <f t="shared" ca="1" si="121"/>
        <v/>
      </c>
      <c r="BA409" s="165" t="str">
        <f ca="1">IF(AX409="","",INDEX(OFFSET(Arb!$X$2,,,Arb!$AJ$5,),AX409)/AY409)</f>
        <v/>
      </c>
      <c r="BB409" s="165" t="str">
        <f ca="1">IF(AX409="","",(INDEX(OFFSET(Arb!$U$2,,,Arb!$AJ$5,),AX409)+INDEX(OFFSET(Arb!$V$2,,,Arb!$AJ$5,),AX409))/AY409)</f>
        <v/>
      </c>
      <c r="BC409" s="51" t="str">
        <f t="shared" ca="1" si="131"/>
        <v/>
      </c>
      <c r="BD409" s="88" t="str">
        <f ca="1">IF(AX409="","",DATE(INDEX(OFFSET(Arb!$C$2,,,Arb!$AJ$5,),AX409),INDEX(OFFSET(Arb!$B$2,,,Arb!$AJ$5,),AX409),INDEX(OFFSET(Arb!$A$2,,,Arb!$AJ$5,),AX409))+ROW()*0.001)</f>
        <v/>
      </c>
      <c r="BE409" s="436">
        <v>267</v>
      </c>
      <c r="BG409" s="52" t="str">
        <f ca="1">IF(BF409="","",INDEX(OFFSET(Arb!$H$2,,,Arb!$AJ$5,),BF409))</f>
        <v/>
      </c>
      <c r="BH409" s="3" t="str">
        <f t="shared" ca="1" si="122"/>
        <v/>
      </c>
      <c r="BI409" s="165" t="str">
        <f ca="1">IF(BF409="","",INDEX(OFFSET(Arb!$X$2,,,Arb!$AJ$5,),BF409)/BG409)</f>
        <v/>
      </c>
      <c r="BJ409" s="165" t="str">
        <f ca="1">IF(BF409="","",(INDEX(OFFSET(Arb!$U$2,,,Arb!$AJ$5,),BF409)+INDEX(OFFSET(Arb!$V$2,,,Arb!$AJ$5,),BF409))/BG409)</f>
        <v/>
      </c>
      <c r="BK409" s="51" t="str">
        <f t="shared" ca="1" si="132"/>
        <v/>
      </c>
      <c r="BL409" s="91" t="str">
        <f ca="1">IF(BF409="","",DATE(INDEX(OFFSET(Arb!$C$2,,,Arb!$AJ$5,),BF409),INDEX(OFFSET(Arb!$B$2,,,Arb!$AJ$5,),BF409),INDEX(OFFSET(Arb!$A$2,,,Arb!$AJ$5,),BF409))+ROW()*0.001)</f>
        <v/>
      </c>
      <c r="BM409" s="442">
        <v>267</v>
      </c>
      <c r="BO409" s="52" t="str">
        <f ca="1">IF(BN409="","",INDEX(OFFSET(Arb!$H$2,,,Arb!$AJ$5,),BN409))</f>
        <v/>
      </c>
      <c r="BP409" s="3" t="str">
        <f t="shared" ca="1" si="123"/>
        <v/>
      </c>
      <c r="BQ409" s="165" t="str">
        <f ca="1">IF(BN409="","",INDEX(OFFSET(Arb!$X$2,,,Arb!$AJ$5,),BN409)/BO409)</f>
        <v/>
      </c>
      <c r="BR409" s="165" t="str">
        <f ca="1">IF(BN409="","",(INDEX(OFFSET(Arb!$U$2,,,Arb!$AJ$5,),BN409)+INDEX(OFFSET(Arb!$V$2,,,Arb!$AJ$5,),BN409))/BO409)</f>
        <v/>
      </c>
      <c r="BS409" s="51" t="str">
        <f t="shared" ca="1" si="133"/>
        <v/>
      </c>
      <c r="BT409" s="88" t="str">
        <f ca="1">IF(BN409="","",DATE(INDEX(OFFSET(Arb!$C$2,,,Arb!$AJ$5,),BN409),INDEX(OFFSET(Arb!$B$2,,,Arb!$AJ$5,),BN409),INDEX(OFFSET(Arb!$A$2,,,Arb!$AJ$5,),BN409))+ROW()*0.001)</f>
        <v/>
      </c>
      <c r="BU409" s="436">
        <v>267</v>
      </c>
      <c r="BW409" s="52" t="str">
        <f ca="1">IF(BV409="","",INDEX(OFFSET(Arb!$H$2,,,Arb!$AJ$5,),BV409))</f>
        <v/>
      </c>
      <c r="BX409" s="3" t="str">
        <f t="shared" ca="1" si="124"/>
        <v/>
      </c>
      <c r="BY409" s="165" t="str">
        <f ca="1">IF(BV409="","",INDEX(OFFSET(Arb!$X$2,,,Arb!$AJ$5,),BV409)/BW409)</f>
        <v/>
      </c>
      <c r="BZ409" s="165" t="str">
        <f ca="1">IF(BV409="","",(INDEX(OFFSET(Arb!$U$2,,,Arb!$AJ$5,),BV409)+INDEX(OFFSET(Arb!$V$2,,,Arb!$AJ$5,),BV409))/BW409)</f>
        <v/>
      </c>
      <c r="CA409" s="51" t="str">
        <f t="shared" ca="1" si="134"/>
        <v/>
      </c>
      <c r="CB409" s="91" t="str">
        <f ca="1">IF(BV409="","",DATE(INDEX(OFFSET(Arb!$C$2,,,Arb!$AJ$5,),BV409),INDEX(OFFSET(Arb!$B$2,,,Arb!$AJ$5,),BV409),INDEX(OFFSET(Arb!$A$2,,,Arb!$AJ$5,),BV409))+ROW()*0.001)</f>
        <v/>
      </c>
    </row>
    <row r="410" spans="1:80" x14ac:dyDescent="0.25">
      <c r="A410" s="433">
        <v>268</v>
      </c>
      <c r="C410" s="52" t="str">
        <f ca="1">IF(B410="","",INDEX(OFFSET(Arb!$H$2,,,Arb!$AJ$5,),B410))</f>
        <v/>
      </c>
      <c r="D410" s="3" t="str">
        <f t="shared" ca="1" si="115"/>
        <v/>
      </c>
      <c r="E410" s="165" t="str">
        <f ca="1">IF(B410="","",INDEX(OFFSET(Arb!$X$2,,,Arb!$AJ$5,),B410)/C410)</f>
        <v/>
      </c>
      <c r="F410" s="165" t="str">
        <f ca="1">IF(B410="","",(INDEX(OFFSET(Arb!$U$2,,,Arb!$AJ$5,),B410)+INDEX(OFFSET(Arb!$V$2,,,Arb!$AJ$5,),B410))/C410)</f>
        <v/>
      </c>
      <c r="G410" s="51" t="str">
        <f t="shared" ca="1" si="125"/>
        <v/>
      </c>
      <c r="H410" s="355" t="str">
        <f ca="1">IF(B410="","",DATE(INDEX(OFFSET(Arb!$C$2,,,Arb!$AJ$5,),B410),INDEX(OFFSET(Arb!$B$2,,,Arb!$AJ$5,),B410),INDEX(OFFSET(Arb!$A$2,,,Arb!$AJ$5,),B410))+ROW()*0.001)</f>
        <v/>
      </c>
      <c r="I410" s="436">
        <v>268</v>
      </c>
      <c r="K410" s="52" t="str">
        <f ca="1">IF(J410="","",INDEX(OFFSET(Arb!$H$2,,,Arb!$AJ$5,),J410))</f>
        <v/>
      </c>
      <c r="L410" s="3" t="str">
        <f t="shared" ca="1" si="116"/>
        <v/>
      </c>
      <c r="M410" s="165" t="str">
        <f ca="1">IF(J410="","",INDEX(OFFSET(Arb!$X$2,,,Arb!$AJ$5,),J410)/K410)</f>
        <v/>
      </c>
      <c r="N410" s="165" t="str">
        <f ca="1">IF(J410="","",(INDEX(OFFSET(Arb!$U$2,,,Arb!$AJ$5,),J410)+INDEX(OFFSET(Arb!$V$2,,,Arb!$AJ$5,),J410))/K410)</f>
        <v/>
      </c>
      <c r="O410" s="51" t="str">
        <f t="shared" ca="1" si="126"/>
        <v/>
      </c>
      <c r="P410" s="91" t="str">
        <f ca="1">IF(J410="","",DATE(INDEX(OFFSET(Arb!$C$2,,,Arb!$AJ$5,),J410),INDEX(OFFSET(Arb!$B$2,,,Arb!$AJ$5,),J410),INDEX(OFFSET(Arb!$A$2,,,Arb!$AJ$5,),J410))+ROW()*0.001)</f>
        <v/>
      </c>
      <c r="Q410" s="442">
        <v>268</v>
      </c>
      <c r="S410" s="52" t="str">
        <f ca="1">IF(R410="","",INDEX(OFFSET(Arb!$H$2,,,Arb!$AJ$5,),R410))</f>
        <v/>
      </c>
      <c r="T410" s="3" t="str">
        <f t="shared" ca="1" si="117"/>
        <v/>
      </c>
      <c r="U410" s="165" t="str">
        <f ca="1">IF(R410="","",INDEX(OFFSET(Arb!$X$2,,,Arb!$AJ$5,),R410)/S410)</f>
        <v/>
      </c>
      <c r="V410" s="165" t="str">
        <f ca="1">IF(R410="","",(INDEX(OFFSET(Arb!$U$2,,,Arb!$AJ$5,),R410)+INDEX(OFFSET(Arb!$V$2,,,Arb!$AJ$5,),R410))/S410)</f>
        <v/>
      </c>
      <c r="W410" s="51" t="str">
        <f t="shared" ca="1" si="127"/>
        <v/>
      </c>
      <c r="X410" s="88" t="str">
        <f ca="1">IF(R410="","",DATE(INDEX(OFFSET(Arb!$C$2,,,Arb!$AJ$5,),R410),INDEX(OFFSET(Arb!$B$2,,,Arb!$AJ$5,),R410),INDEX(OFFSET(Arb!$A$2,,,Arb!$AJ$5,),R410))+ROW()*0.001)</f>
        <v/>
      </c>
      <c r="Y410" s="436">
        <v>268</v>
      </c>
      <c r="AA410" s="52" t="str">
        <f ca="1">IF(Z410="","",INDEX(OFFSET(Arb!$H$2,,,Arb!$AJ$5,),Z410))</f>
        <v/>
      </c>
      <c r="AB410" s="3" t="str">
        <f t="shared" ca="1" si="118"/>
        <v/>
      </c>
      <c r="AC410" s="165" t="str">
        <f ca="1">IF(Z410="","",INDEX(OFFSET(Arb!$X$2,,,Arb!$AJ$5,),Z410)/AA410)</f>
        <v/>
      </c>
      <c r="AD410" s="165" t="str">
        <f ca="1">IF(Z410="","",(INDEX(OFFSET(Arb!$U$2,,,Arb!$AJ$5,),Z410)+INDEX(OFFSET(Arb!$V$2,,,Arb!$AJ$5,),Z410))/AA410)</f>
        <v/>
      </c>
      <c r="AE410" s="51" t="str">
        <f t="shared" ca="1" si="128"/>
        <v/>
      </c>
      <c r="AF410" s="91" t="str">
        <f ca="1">IF(Z410="","",DATE(INDEX(OFFSET(Arb!$C$2,,,Arb!$AJ$5,),Z410),INDEX(OFFSET(Arb!$B$2,,,Arb!$AJ$5,),Z410),INDEX(OFFSET(Arb!$A$2,,,Arb!$AJ$5,),Z410))+ROW()*0.001)</f>
        <v/>
      </c>
      <c r="AG410" s="442">
        <v>268</v>
      </c>
      <c r="AI410" s="52" t="str">
        <f ca="1">IF(AH410="","",INDEX(OFFSET(Arb!$H$2,,,Arb!$AJ$5,),AH410))</f>
        <v/>
      </c>
      <c r="AJ410" s="3" t="str">
        <f t="shared" ca="1" si="119"/>
        <v/>
      </c>
      <c r="AK410" s="165" t="str">
        <f ca="1">IF(AH410="","",INDEX(OFFSET(Arb!$X$2,,,Arb!$AJ$5,),AH410)/AI410)</f>
        <v/>
      </c>
      <c r="AL410" s="165" t="str">
        <f ca="1">IF(AH410="","",(INDEX(OFFSET(Arb!$U$2,,,Arb!$AJ$5,),AH410)+INDEX(OFFSET(Arb!$V$2,,,Arb!$AJ$5,),AH410))/AI410)</f>
        <v/>
      </c>
      <c r="AM410" s="51" t="str">
        <f t="shared" ca="1" si="129"/>
        <v/>
      </c>
      <c r="AN410" s="88" t="str">
        <f ca="1">IF(AH410="","",DATE(INDEX(OFFSET(Arb!$C$2,,,Arb!$AJ$5,),AH410),INDEX(OFFSET(Arb!$B$2,,,Arb!$AJ$5,),AH410),INDEX(OFFSET(Arb!$A$2,,,Arb!$AJ$5,),AH410))+ROW()*0.001)</f>
        <v/>
      </c>
      <c r="AO410" s="436">
        <v>268</v>
      </c>
      <c r="AQ410" s="52" t="str">
        <f ca="1">IF(AP410="","",INDEX(OFFSET(Arb!$H$2,,,Arb!$AJ$5,),AP410))</f>
        <v/>
      </c>
      <c r="AR410" s="3" t="str">
        <f t="shared" ca="1" si="120"/>
        <v/>
      </c>
      <c r="AS410" s="165" t="str">
        <f ca="1">IF(AP410="","",INDEX(OFFSET(Arb!$X$2,,,Arb!$AJ$5,),AP410)/AQ410)</f>
        <v/>
      </c>
      <c r="AT410" s="165" t="str">
        <f ca="1">IF(AP410="","",(INDEX(OFFSET(Arb!$U$2,,,Arb!$AJ$5,),AP410)+INDEX(OFFSET(Arb!$V$2,,,Arb!$AJ$5,),AP410))/AQ410)</f>
        <v/>
      </c>
      <c r="AU410" s="51" t="str">
        <f t="shared" ca="1" si="130"/>
        <v/>
      </c>
      <c r="AV410" s="91" t="str">
        <f ca="1">IF(AP410="","",DATE(INDEX(OFFSET(Arb!$C$2,,,Arb!$AJ$5,),AP410),INDEX(OFFSET(Arb!$B$2,,,Arb!$AJ$5,),AP410),INDEX(OFFSET(Arb!$A$2,,,Arb!$AJ$5,),AP410))+ROW()*0.001)</f>
        <v/>
      </c>
      <c r="AW410" s="442">
        <v>268</v>
      </c>
      <c r="AY410" s="52" t="str">
        <f ca="1">IF(AX410="","",INDEX(OFFSET(Arb!$H$2,,,Arb!$AJ$5,),AX410))</f>
        <v/>
      </c>
      <c r="AZ410" s="3" t="str">
        <f t="shared" ca="1" si="121"/>
        <v/>
      </c>
      <c r="BA410" s="165" t="str">
        <f ca="1">IF(AX410="","",INDEX(OFFSET(Arb!$X$2,,,Arb!$AJ$5,),AX410)/AY410)</f>
        <v/>
      </c>
      <c r="BB410" s="165" t="str">
        <f ca="1">IF(AX410="","",(INDEX(OFFSET(Arb!$U$2,,,Arb!$AJ$5,),AX410)+INDEX(OFFSET(Arb!$V$2,,,Arb!$AJ$5,),AX410))/AY410)</f>
        <v/>
      </c>
      <c r="BC410" s="51" t="str">
        <f t="shared" ca="1" si="131"/>
        <v/>
      </c>
      <c r="BD410" s="88" t="str">
        <f ca="1">IF(AX410="","",DATE(INDEX(OFFSET(Arb!$C$2,,,Arb!$AJ$5,),AX410),INDEX(OFFSET(Arb!$B$2,,,Arb!$AJ$5,),AX410),INDEX(OFFSET(Arb!$A$2,,,Arb!$AJ$5,),AX410))+ROW()*0.001)</f>
        <v/>
      </c>
      <c r="BE410" s="436">
        <v>268</v>
      </c>
      <c r="BG410" s="52" t="str">
        <f ca="1">IF(BF410="","",INDEX(OFFSET(Arb!$H$2,,,Arb!$AJ$5,),BF410))</f>
        <v/>
      </c>
      <c r="BH410" s="3" t="str">
        <f t="shared" ca="1" si="122"/>
        <v/>
      </c>
      <c r="BI410" s="165" t="str">
        <f ca="1">IF(BF410="","",INDEX(OFFSET(Arb!$X$2,,,Arb!$AJ$5,),BF410)/BG410)</f>
        <v/>
      </c>
      <c r="BJ410" s="165" t="str">
        <f ca="1">IF(BF410="","",(INDEX(OFFSET(Arb!$U$2,,,Arb!$AJ$5,),BF410)+INDEX(OFFSET(Arb!$V$2,,,Arb!$AJ$5,),BF410))/BG410)</f>
        <v/>
      </c>
      <c r="BK410" s="51" t="str">
        <f t="shared" ca="1" si="132"/>
        <v/>
      </c>
      <c r="BL410" s="91" t="str">
        <f ca="1">IF(BF410="","",DATE(INDEX(OFFSET(Arb!$C$2,,,Arb!$AJ$5,),BF410),INDEX(OFFSET(Arb!$B$2,,,Arb!$AJ$5,),BF410),INDEX(OFFSET(Arb!$A$2,,,Arb!$AJ$5,),BF410))+ROW()*0.001)</f>
        <v/>
      </c>
      <c r="BM410" s="442">
        <v>268</v>
      </c>
      <c r="BO410" s="52" t="str">
        <f ca="1">IF(BN410="","",INDEX(OFFSET(Arb!$H$2,,,Arb!$AJ$5,),BN410))</f>
        <v/>
      </c>
      <c r="BP410" s="3" t="str">
        <f t="shared" ca="1" si="123"/>
        <v/>
      </c>
      <c r="BQ410" s="165" t="str">
        <f ca="1">IF(BN410="","",INDEX(OFFSET(Arb!$X$2,,,Arb!$AJ$5,),BN410)/BO410)</f>
        <v/>
      </c>
      <c r="BR410" s="165" t="str">
        <f ca="1">IF(BN410="","",(INDEX(OFFSET(Arb!$U$2,,,Arb!$AJ$5,),BN410)+INDEX(OFFSET(Arb!$V$2,,,Arb!$AJ$5,),BN410))/BO410)</f>
        <v/>
      </c>
      <c r="BS410" s="51" t="str">
        <f t="shared" ca="1" si="133"/>
        <v/>
      </c>
      <c r="BT410" s="88" t="str">
        <f ca="1">IF(BN410="","",DATE(INDEX(OFFSET(Arb!$C$2,,,Arb!$AJ$5,),BN410),INDEX(OFFSET(Arb!$B$2,,,Arb!$AJ$5,),BN410),INDEX(OFFSET(Arb!$A$2,,,Arb!$AJ$5,),BN410))+ROW()*0.001)</f>
        <v/>
      </c>
      <c r="BU410" s="436">
        <v>268</v>
      </c>
      <c r="BW410" s="52" t="str">
        <f ca="1">IF(BV410="","",INDEX(OFFSET(Arb!$H$2,,,Arb!$AJ$5,),BV410))</f>
        <v/>
      </c>
      <c r="BX410" s="3" t="str">
        <f t="shared" ca="1" si="124"/>
        <v/>
      </c>
      <c r="BY410" s="165" t="str">
        <f ca="1">IF(BV410="","",INDEX(OFFSET(Arb!$X$2,,,Arb!$AJ$5,),BV410)/BW410)</f>
        <v/>
      </c>
      <c r="BZ410" s="165" t="str">
        <f ca="1">IF(BV410="","",(INDEX(OFFSET(Arb!$U$2,,,Arb!$AJ$5,),BV410)+INDEX(OFFSET(Arb!$V$2,,,Arb!$AJ$5,),BV410))/BW410)</f>
        <v/>
      </c>
      <c r="CA410" s="51" t="str">
        <f t="shared" ca="1" si="134"/>
        <v/>
      </c>
      <c r="CB410" s="91" t="str">
        <f ca="1">IF(BV410="","",DATE(INDEX(OFFSET(Arb!$C$2,,,Arb!$AJ$5,),BV410),INDEX(OFFSET(Arb!$B$2,,,Arb!$AJ$5,),BV410),INDEX(OFFSET(Arb!$A$2,,,Arb!$AJ$5,),BV410))+ROW()*0.001)</f>
        <v/>
      </c>
    </row>
    <row r="411" spans="1:80" x14ac:dyDescent="0.25">
      <c r="A411" s="433">
        <v>269</v>
      </c>
      <c r="C411" s="52" t="str">
        <f ca="1">IF(B411="","",INDEX(OFFSET(Arb!$H$2,,,Arb!$AJ$5,),B411))</f>
        <v/>
      </c>
      <c r="D411" s="3" t="str">
        <f t="shared" ca="1" si="115"/>
        <v/>
      </c>
      <c r="E411" s="165" t="str">
        <f ca="1">IF(B411="","",INDEX(OFFSET(Arb!$X$2,,,Arb!$AJ$5,),B411)/C411)</f>
        <v/>
      </c>
      <c r="F411" s="165" t="str">
        <f ca="1">IF(B411="","",(INDEX(OFFSET(Arb!$U$2,,,Arb!$AJ$5,),B411)+INDEX(OFFSET(Arb!$V$2,,,Arb!$AJ$5,),B411))/C411)</f>
        <v/>
      </c>
      <c r="G411" s="51" t="str">
        <f t="shared" ca="1" si="125"/>
        <v/>
      </c>
      <c r="H411" s="355" t="str">
        <f ca="1">IF(B411="","",DATE(INDEX(OFFSET(Arb!$C$2,,,Arb!$AJ$5,),B411),INDEX(OFFSET(Arb!$B$2,,,Arb!$AJ$5,),B411),INDEX(OFFSET(Arb!$A$2,,,Arb!$AJ$5,),B411))+ROW()*0.001)</f>
        <v/>
      </c>
      <c r="I411" s="436">
        <v>269</v>
      </c>
      <c r="K411" s="52" t="str">
        <f ca="1">IF(J411="","",INDEX(OFFSET(Arb!$H$2,,,Arb!$AJ$5,),J411))</f>
        <v/>
      </c>
      <c r="L411" s="3" t="str">
        <f t="shared" ca="1" si="116"/>
        <v/>
      </c>
      <c r="M411" s="165" t="str">
        <f ca="1">IF(J411="","",INDEX(OFFSET(Arb!$X$2,,,Arb!$AJ$5,),J411)/K411)</f>
        <v/>
      </c>
      <c r="N411" s="165" t="str">
        <f ca="1">IF(J411="","",(INDEX(OFFSET(Arb!$U$2,,,Arb!$AJ$5,),J411)+INDEX(OFFSET(Arb!$V$2,,,Arb!$AJ$5,),J411))/K411)</f>
        <v/>
      </c>
      <c r="O411" s="51" t="str">
        <f t="shared" ca="1" si="126"/>
        <v/>
      </c>
      <c r="P411" s="91" t="str">
        <f ca="1">IF(J411="","",DATE(INDEX(OFFSET(Arb!$C$2,,,Arb!$AJ$5,),J411),INDEX(OFFSET(Arb!$B$2,,,Arb!$AJ$5,),J411),INDEX(OFFSET(Arb!$A$2,,,Arb!$AJ$5,),J411))+ROW()*0.001)</f>
        <v/>
      </c>
      <c r="Q411" s="442">
        <v>269</v>
      </c>
      <c r="S411" s="52" t="str">
        <f ca="1">IF(R411="","",INDEX(OFFSET(Arb!$H$2,,,Arb!$AJ$5,),R411))</f>
        <v/>
      </c>
      <c r="T411" s="3" t="str">
        <f t="shared" ca="1" si="117"/>
        <v/>
      </c>
      <c r="U411" s="165" t="str">
        <f ca="1">IF(R411="","",INDEX(OFFSET(Arb!$X$2,,,Arb!$AJ$5,),R411)/S411)</f>
        <v/>
      </c>
      <c r="V411" s="165" t="str">
        <f ca="1">IF(R411="","",(INDEX(OFFSET(Arb!$U$2,,,Arb!$AJ$5,),R411)+INDEX(OFFSET(Arb!$V$2,,,Arb!$AJ$5,),R411))/S411)</f>
        <v/>
      </c>
      <c r="W411" s="51" t="str">
        <f t="shared" ca="1" si="127"/>
        <v/>
      </c>
      <c r="X411" s="88" t="str">
        <f ca="1">IF(R411="","",DATE(INDEX(OFFSET(Arb!$C$2,,,Arb!$AJ$5,),R411),INDEX(OFFSET(Arb!$B$2,,,Arb!$AJ$5,),R411),INDEX(OFFSET(Arb!$A$2,,,Arb!$AJ$5,),R411))+ROW()*0.001)</f>
        <v/>
      </c>
      <c r="Y411" s="436">
        <v>269</v>
      </c>
      <c r="AA411" s="52" t="str">
        <f ca="1">IF(Z411="","",INDEX(OFFSET(Arb!$H$2,,,Arb!$AJ$5,),Z411))</f>
        <v/>
      </c>
      <c r="AB411" s="3" t="str">
        <f t="shared" ca="1" si="118"/>
        <v/>
      </c>
      <c r="AC411" s="165" t="str">
        <f ca="1">IF(Z411="","",INDEX(OFFSET(Arb!$X$2,,,Arb!$AJ$5,),Z411)/AA411)</f>
        <v/>
      </c>
      <c r="AD411" s="165" t="str">
        <f ca="1">IF(Z411="","",(INDEX(OFFSET(Arb!$U$2,,,Arb!$AJ$5,),Z411)+INDEX(OFFSET(Arb!$V$2,,,Arb!$AJ$5,),Z411))/AA411)</f>
        <v/>
      </c>
      <c r="AE411" s="51" t="str">
        <f t="shared" ca="1" si="128"/>
        <v/>
      </c>
      <c r="AF411" s="91" t="str">
        <f ca="1">IF(Z411="","",DATE(INDEX(OFFSET(Arb!$C$2,,,Arb!$AJ$5,),Z411),INDEX(OFFSET(Arb!$B$2,,,Arb!$AJ$5,),Z411),INDEX(OFFSET(Arb!$A$2,,,Arb!$AJ$5,),Z411))+ROW()*0.001)</f>
        <v/>
      </c>
      <c r="AG411" s="442">
        <v>269</v>
      </c>
      <c r="AI411" s="52" t="str">
        <f ca="1">IF(AH411="","",INDEX(OFFSET(Arb!$H$2,,,Arb!$AJ$5,),AH411))</f>
        <v/>
      </c>
      <c r="AJ411" s="3" t="str">
        <f t="shared" ca="1" si="119"/>
        <v/>
      </c>
      <c r="AK411" s="165" t="str">
        <f ca="1">IF(AH411="","",INDEX(OFFSET(Arb!$X$2,,,Arb!$AJ$5,),AH411)/AI411)</f>
        <v/>
      </c>
      <c r="AL411" s="165" t="str">
        <f ca="1">IF(AH411="","",(INDEX(OFFSET(Arb!$U$2,,,Arb!$AJ$5,),AH411)+INDEX(OFFSET(Arb!$V$2,,,Arb!$AJ$5,),AH411))/AI411)</f>
        <v/>
      </c>
      <c r="AM411" s="51" t="str">
        <f t="shared" ca="1" si="129"/>
        <v/>
      </c>
      <c r="AN411" s="88" t="str">
        <f ca="1">IF(AH411="","",DATE(INDEX(OFFSET(Arb!$C$2,,,Arb!$AJ$5,),AH411),INDEX(OFFSET(Arb!$B$2,,,Arb!$AJ$5,),AH411),INDEX(OFFSET(Arb!$A$2,,,Arb!$AJ$5,),AH411))+ROW()*0.001)</f>
        <v/>
      </c>
      <c r="AO411" s="436">
        <v>269</v>
      </c>
      <c r="AQ411" s="52" t="str">
        <f ca="1">IF(AP411="","",INDEX(OFFSET(Arb!$H$2,,,Arb!$AJ$5,),AP411))</f>
        <v/>
      </c>
      <c r="AR411" s="3" t="str">
        <f t="shared" ca="1" si="120"/>
        <v/>
      </c>
      <c r="AS411" s="165" t="str">
        <f ca="1">IF(AP411="","",INDEX(OFFSET(Arb!$X$2,,,Arb!$AJ$5,),AP411)/AQ411)</f>
        <v/>
      </c>
      <c r="AT411" s="165" t="str">
        <f ca="1">IF(AP411="","",(INDEX(OFFSET(Arb!$U$2,,,Arb!$AJ$5,),AP411)+INDEX(OFFSET(Arb!$V$2,,,Arb!$AJ$5,),AP411))/AQ411)</f>
        <v/>
      </c>
      <c r="AU411" s="51" t="str">
        <f t="shared" ca="1" si="130"/>
        <v/>
      </c>
      <c r="AV411" s="91" t="str">
        <f ca="1">IF(AP411="","",DATE(INDEX(OFFSET(Arb!$C$2,,,Arb!$AJ$5,),AP411),INDEX(OFFSET(Arb!$B$2,,,Arb!$AJ$5,),AP411),INDEX(OFFSET(Arb!$A$2,,,Arb!$AJ$5,),AP411))+ROW()*0.001)</f>
        <v/>
      </c>
      <c r="AW411" s="442">
        <v>269</v>
      </c>
      <c r="AY411" s="52" t="str">
        <f ca="1">IF(AX411="","",INDEX(OFFSET(Arb!$H$2,,,Arb!$AJ$5,),AX411))</f>
        <v/>
      </c>
      <c r="AZ411" s="3" t="str">
        <f t="shared" ca="1" si="121"/>
        <v/>
      </c>
      <c r="BA411" s="165" t="str">
        <f ca="1">IF(AX411="","",INDEX(OFFSET(Arb!$X$2,,,Arb!$AJ$5,),AX411)/AY411)</f>
        <v/>
      </c>
      <c r="BB411" s="165" t="str">
        <f ca="1">IF(AX411="","",(INDEX(OFFSET(Arb!$U$2,,,Arb!$AJ$5,),AX411)+INDEX(OFFSET(Arb!$V$2,,,Arb!$AJ$5,),AX411))/AY411)</f>
        <v/>
      </c>
      <c r="BC411" s="51" t="str">
        <f t="shared" ca="1" si="131"/>
        <v/>
      </c>
      <c r="BD411" s="88" t="str">
        <f ca="1">IF(AX411="","",DATE(INDEX(OFFSET(Arb!$C$2,,,Arb!$AJ$5,),AX411),INDEX(OFFSET(Arb!$B$2,,,Arb!$AJ$5,),AX411),INDEX(OFFSET(Arb!$A$2,,,Arb!$AJ$5,),AX411))+ROW()*0.001)</f>
        <v/>
      </c>
      <c r="BE411" s="436">
        <v>269</v>
      </c>
      <c r="BG411" s="52" t="str">
        <f ca="1">IF(BF411="","",INDEX(OFFSET(Arb!$H$2,,,Arb!$AJ$5,),BF411))</f>
        <v/>
      </c>
      <c r="BH411" s="3" t="str">
        <f t="shared" ca="1" si="122"/>
        <v/>
      </c>
      <c r="BI411" s="165" t="str">
        <f ca="1">IF(BF411="","",INDEX(OFFSET(Arb!$X$2,,,Arb!$AJ$5,),BF411)/BG411)</f>
        <v/>
      </c>
      <c r="BJ411" s="165" t="str">
        <f ca="1">IF(BF411="","",(INDEX(OFFSET(Arb!$U$2,,,Arb!$AJ$5,),BF411)+INDEX(OFFSET(Arb!$V$2,,,Arb!$AJ$5,),BF411))/BG411)</f>
        <v/>
      </c>
      <c r="BK411" s="51" t="str">
        <f t="shared" ca="1" si="132"/>
        <v/>
      </c>
      <c r="BL411" s="91" t="str">
        <f ca="1">IF(BF411="","",DATE(INDEX(OFFSET(Arb!$C$2,,,Arb!$AJ$5,),BF411),INDEX(OFFSET(Arb!$B$2,,,Arb!$AJ$5,),BF411),INDEX(OFFSET(Arb!$A$2,,,Arb!$AJ$5,),BF411))+ROW()*0.001)</f>
        <v/>
      </c>
      <c r="BM411" s="442">
        <v>269</v>
      </c>
      <c r="BO411" s="52" t="str">
        <f ca="1">IF(BN411="","",INDEX(OFFSET(Arb!$H$2,,,Arb!$AJ$5,),BN411))</f>
        <v/>
      </c>
      <c r="BP411" s="3" t="str">
        <f t="shared" ca="1" si="123"/>
        <v/>
      </c>
      <c r="BQ411" s="165" t="str">
        <f ca="1">IF(BN411="","",INDEX(OFFSET(Arb!$X$2,,,Arb!$AJ$5,),BN411)/BO411)</f>
        <v/>
      </c>
      <c r="BR411" s="165" t="str">
        <f ca="1">IF(BN411="","",(INDEX(OFFSET(Arb!$U$2,,,Arb!$AJ$5,),BN411)+INDEX(OFFSET(Arb!$V$2,,,Arb!$AJ$5,),BN411))/BO411)</f>
        <v/>
      </c>
      <c r="BS411" s="51" t="str">
        <f t="shared" ca="1" si="133"/>
        <v/>
      </c>
      <c r="BT411" s="88" t="str">
        <f ca="1">IF(BN411="","",DATE(INDEX(OFFSET(Arb!$C$2,,,Arb!$AJ$5,),BN411),INDEX(OFFSET(Arb!$B$2,,,Arb!$AJ$5,),BN411),INDEX(OFFSET(Arb!$A$2,,,Arb!$AJ$5,),BN411))+ROW()*0.001)</f>
        <v/>
      </c>
      <c r="BU411" s="436">
        <v>269</v>
      </c>
      <c r="BW411" s="52" t="str">
        <f ca="1">IF(BV411="","",INDEX(OFFSET(Arb!$H$2,,,Arb!$AJ$5,),BV411))</f>
        <v/>
      </c>
      <c r="BX411" s="3" t="str">
        <f t="shared" ca="1" si="124"/>
        <v/>
      </c>
      <c r="BY411" s="165" t="str">
        <f ca="1">IF(BV411="","",INDEX(OFFSET(Arb!$X$2,,,Arb!$AJ$5,),BV411)/BW411)</f>
        <v/>
      </c>
      <c r="BZ411" s="165" t="str">
        <f ca="1">IF(BV411="","",(INDEX(OFFSET(Arb!$U$2,,,Arb!$AJ$5,),BV411)+INDEX(OFFSET(Arb!$V$2,,,Arb!$AJ$5,),BV411))/BW411)</f>
        <v/>
      </c>
      <c r="CA411" s="51" t="str">
        <f t="shared" ca="1" si="134"/>
        <v/>
      </c>
      <c r="CB411" s="91" t="str">
        <f ca="1">IF(BV411="","",DATE(INDEX(OFFSET(Arb!$C$2,,,Arb!$AJ$5,),BV411),INDEX(OFFSET(Arb!$B$2,,,Arb!$AJ$5,),BV411),INDEX(OFFSET(Arb!$A$2,,,Arb!$AJ$5,),BV411))+ROW()*0.001)</f>
        <v/>
      </c>
    </row>
    <row r="412" spans="1:80" x14ac:dyDescent="0.25">
      <c r="A412" s="433">
        <v>270</v>
      </c>
      <c r="C412" s="52" t="str">
        <f ca="1">IF(B412="","",INDEX(OFFSET(Arb!$H$2,,,Arb!$AJ$5,),B412))</f>
        <v/>
      </c>
      <c r="D412" s="3" t="str">
        <f t="shared" ca="1" si="115"/>
        <v/>
      </c>
      <c r="E412" s="165" t="str">
        <f ca="1">IF(B412="","",INDEX(OFFSET(Arb!$X$2,,,Arb!$AJ$5,),B412)/C412)</f>
        <v/>
      </c>
      <c r="F412" s="165" t="str">
        <f ca="1">IF(B412="","",(INDEX(OFFSET(Arb!$U$2,,,Arb!$AJ$5,),B412)+INDEX(OFFSET(Arb!$V$2,,,Arb!$AJ$5,),B412))/C412)</f>
        <v/>
      </c>
      <c r="G412" s="51" t="str">
        <f t="shared" ca="1" si="125"/>
        <v/>
      </c>
      <c r="H412" s="355" t="str">
        <f ca="1">IF(B412="","",DATE(INDEX(OFFSET(Arb!$C$2,,,Arb!$AJ$5,),B412),INDEX(OFFSET(Arb!$B$2,,,Arb!$AJ$5,),B412),INDEX(OFFSET(Arb!$A$2,,,Arb!$AJ$5,),B412))+ROW()*0.001)</f>
        <v/>
      </c>
      <c r="I412" s="436">
        <v>270</v>
      </c>
      <c r="K412" s="52" t="str">
        <f ca="1">IF(J412="","",INDEX(OFFSET(Arb!$H$2,,,Arb!$AJ$5,),J412))</f>
        <v/>
      </c>
      <c r="L412" s="3" t="str">
        <f t="shared" ca="1" si="116"/>
        <v/>
      </c>
      <c r="M412" s="165" t="str">
        <f ca="1">IF(J412="","",INDEX(OFFSET(Arb!$X$2,,,Arb!$AJ$5,),J412)/K412)</f>
        <v/>
      </c>
      <c r="N412" s="165" t="str">
        <f ca="1">IF(J412="","",(INDEX(OFFSET(Arb!$U$2,,,Arb!$AJ$5,),J412)+INDEX(OFFSET(Arb!$V$2,,,Arb!$AJ$5,),J412))/K412)</f>
        <v/>
      </c>
      <c r="O412" s="51" t="str">
        <f t="shared" ca="1" si="126"/>
        <v/>
      </c>
      <c r="P412" s="91" t="str">
        <f ca="1">IF(J412="","",DATE(INDEX(OFFSET(Arb!$C$2,,,Arb!$AJ$5,),J412),INDEX(OFFSET(Arb!$B$2,,,Arb!$AJ$5,),J412),INDEX(OFFSET(Arb!$A$2,,,Arb!$AJ$5,),J412))+ROW()*0.001)</f>
        <v/>
      </c>
      <c r="Q412" s="442">
        <v>270</v>
      </c>
      <c r="S412" s="52" t="str">
        <f ca="1">IF(R412="","",INDEX(OFFSET(Arb!$H$2,,,Arb!$AJ$5,),R412))</f>
        <v/>
      </c>
      <c r="T412" s="3" t="str">
        <f t="shared" ca="1" si="117"/>
        <v/>
      </c>
      <c r="U412" s="165" t="str">
        <f ca="1">IF(R412="","",INDEX(OFFSET(Arb!$X$2,,,Arb!$AJ$5,),R412)/S412)</f>
        <v/>
      </c>
      <c r="V412" s="165" t="str">
        <f ca="1">IF(R412="","",(INDEX(OFFSET(Arb!$U$2,,,Arb!$AJ$5,),R412)+INDEX(OFFSET(Arb!$V$2,,,Arb!$AJ$5,),R412))/S412)</f>
        <v/>
      </c>
      <c r="W412" s="51" t="str">
        <f t="shared" ca="1" si="127"/>
        <v/>
      </c>
      <c r="X412" s="88" t="str">
        <f ca="1">IF(R412="","",DATE(INDEX(OFFSET(Arb!$C$2,,,Arb!$AJ$5,),R412),INDEX(OFFSET(Arb!$B$2,,,Arb!$AJ$5,),R412),INDEX(OFFSET(Arb!$A$2,,,Arb!$AJ$5,),R412))+ROW()*0.001)</f>
        <v/>
      </c>
      <c r="Y412" s="436">
        <v>270</v>
      </c>
      <c r="AA412" s="52" t="str">
        <f ca="1">IF(Z412="","",INDEX(OFFSET(Arb!$H$2,,,Arb!$AJ$5,),Z412))</f>
        <v/>
      </c>
      <c r="AB412" s="3" t="str">
        <f t="shared" ca="1" si="118"/>
        <v/>
      </c>
      <c r="AC412" s="165" t="str">
        <f ca="1">IF(Z412="","",INDEX(OFFSET(Arb!$X$2,,,Arb!$AJ$5,),Z412)/AA412)</f>
        <v/>
      </c>
      <c r="AD412" s="165" t="str">
        <f ca="1">IF(Z412="","",(INDEX(OFFSET(Arb!$U$2,,,Arb!$AJ$5,),Z412)+INDEX(OFFSET(Arb!$V$2,,,Arb!$AJ$5,),Z412))/AA412)</f>
        <v/>
      </c>
      <c r="AE412" s="51" t="str">
        <f t="shared" ca="1" si="128"/>
        <v/>
      </c>
      <c r="AF412" s="91" t="str">
        <f ca="1">IF(Z412="","",DATE(INDEX(OFFSET(Arb!$C$2,,,Arb!$AJ$5,),Z412),INDEX(OFFSET(Arb!$B$2,,,Arb!$AJ$5,),Z412),INDEX(OFFSET(Arb!$A$2,,,Arb!$AJ$5,),Z412))+ROW()*0.001)</f>
        <v/>
      </c>
      <c r="AG412" s="442">
        <v>270</v>
      </c>
      <c r="AI412" s="52" t="str">
        <f ca="1">IF(AH412="","",INDEX(OFFSET(Arb!$H$2,,,Arb!$AJ$5,),AH412))</f>
        <v/>
      </c>
      <c r="AJ412" s="3" t="str">
        <f t="shared" ca="1" si="119"/>
        <v/>
      </c>
      <c r="AK412" s="165" t="str">
        <f ca="1">IF(AH412="","",INDEX(OFFSET(Arb!$X$2,,,Arb!$AJ$5,),AH412)/AI412)</f>
        <v/>
      </c>
      <c r="AL412" s="165" t="str">
        <f ca="1">IF(AH412="","",(INDEX(OFFSET(Arb!$U$2,,,Arb!$AJ$5,),AH412)+INDEX(OFFSET(Arb!$V$2,,,Arb!$AJ$5,),AH412))/AI412)</f>
        <v/>
      </c>
      <c r="AM412" s="51" t="str">
        <f t="shared" ca="1" si="129"/>
        <v/>
      </c>
      <c r="AN412" s="88" t="str">
        <f ca="1">IF(AH412="","",DATE(INDEX(OFFSET(Arb!$C$2,,,Arb!$AJ$5,),AH412),INDEX(OFFSET(Arb!$B$2,,,Arb!$AJ$5,),AH412),INDEX(OFFSET(Arb!$A$2,,,Arb!$AJ$5,),AH412))+ROW()*0.001)</f>
        <v/>
      </c>
      <c r="AO412" s="436">
        <v>270</v>
      </c>
      <c r="AQ412" s="52" t="str">
        <f ca="1">IF(AP412="","",INDEX(OFFSET(Arb!$H$2,,,Arb!$AJ$5,),AP412))</f>
        <v/>
      </c>
      <c r="AR412" s="3" t="str">
        <f t="shared" ca="1" si="120"/>
        <v/>
      </c>
      <c r="AS412" s="165" t="str">
        <f ca="1">IF(AP412="","",INDEX(OFFSET(Arb!$X$2,,,Arb!$AJ$5,),AP412)/AQ412)</f>
        <v/>
      </c>
      <c r="AT412" s="165" t="str">
        <f ca="1">IF(AP412="","",(INDEX(OFFSET(Arb!$U$2,,,Arb!$AJ$5,),AP412)+INDEX(OFFSET(Arb!$V$2,,,Arb!$AJ$5,),AP412))/AQ412)</f>
        <v/>
      </c>
      <c r="AU412" s="51" t="str">
        <f t="shared" ca="1" si="130"/>
        <v/>
      </c>
      <c r="AV412" s="91" t="str">
        <f ca="1">IF(AP412="","",DATE(INDEX(OFFSET(Arb!$C$2,,,Arb!$AJ$5,),AP412),INDEX(OFFSET(Arb!$B$2,,,Arb!$AJ$5,),AP412),INDEX(OFFSET(Arb!$A$2,,,Arb!$AJ$5,),AP412))+ROW()*0.001)</f>
        <v/>
      </c>
      <c r="AW412" s="442">
        <v>270</v>
      </c>
      <c r="AY412" s="52" t="str">
        <f ca="1">IF(AX412="","",INDEX(OFFSET(Arb!$H$2,,,Arb!$AJ$5,),AX412))</f>
        <v/>
      </c>
      <c r="AZ412" s="3" t="str">
        <f t="shared" ca="1" si="121"/>
        <v/>
      </c>
      <c r="BA412" s="165" t="str">
        <f ca="1">IF(AX412="","",INDEX(OFFSET(Arb!$X$2,,,Arb!$AJ$5,),AX412)/AY412)</f>
        <v/>
      </c>
      <c r="BB412" s="165" t="str">
        <f ca="1">IF(AX412="","",(INDEX(OFFSET(Arb!$U$2,,,Arb!$AJ$5,),AX412)+INDEX(OFFSET(Arb!$V$2,,,Arb!$AJ$5,),AX412))/AY412)</f>
        <v/>
      </c>
      <c r="BC412" s="51" t="str">
        <f t="shared" ca="1" si="131"/>
        <v/>
      </c>
      <c r="BD412" s="88" t="str">
        <f ca="1">IF(AX412="","",DATE(INDEX(OFFSET(Arb!$C$2,,,Arb!$AJ$5,),AX412),INDEX(OFFSET(Arb!$B$2,,,Arb!$AJ$5,),AX412),INDEX(OFFSET(Arb!$A$2,,,Arb!$AJ$5,),AX412))+ROW()*0.001)</f>
        <v/>
      </c>
      <c r="BE412" s="436">
        <v>270</v>
      </c>
      <c r="BG412" s="52" t="str">
        <f ca="1">IF(BF412="","",INDEX(OFFSET(Arb!$H$2,,,Arb!$AJ$5,),BF412))</f>
        <v/>
      </c>
      <c r="BH412" s="3" t="str">
        <f t="shared" ca="1" si="122"/>
        <v/>
      </c>
      <c r="BI412" s="165" t="str">
        <f ca="1">IF(BF412="","",INDEX(OFFSET(Arb!$X$2,,,Arb!$AJ$5,),BF412)/BG412)</f>
        <v/>
      </c>
      <c r="BJ412" s="165" t="str">
        <f ca="1">IF(BF412="","",(INDEX(OFFSET(Arb!$U$2,,,Arb!$AJ$5,),BF412)+INDEX(OFFSET(Arb!$V$2,,,Arb!$AJ$5,),BF412))/BG412)</f>
        <v/>
      </c>
      <c r="BK412" s="51" t="str">
        <f t="shared" ca="1" si="132"/>
        <v/>
      </c>
      <c r="BL412" s="91" t="str">
        <f ca="1">IF(BF412="","",DATE(INDEX(OFFSET(Arb!$C$2,,,Arb!$AJ$5,),BF412),INDEX(OFFSET(Arb!$B$2,,,Arb!$AJ$5,),BF412),INDEX(OFFSET(Arb!$A$2,,,Arb!$AJ$5,),BF412))+ROW()*0.001)</f>
        <v/>
      </c>
      <c r="BM412" s="442">
        <v>270</v>
      </c>
      <c r="BO412" s="52" t="str">
        <f ca="1">IF(BN412="","",INDEX(OFFSET(Arb!$H$2,,,Arb!$AJ$5,),BN412))</f>
        <v/>
      </c>
      <c r="BP412" s="3" t="str">
        <f t="shared" ca="1" si="123"/>
        <v/>
      </c>
      <c r="BQ412" s="165" t="str">
        <f ca="1">IF(BN412="","",INDEX(OFFSET(Arb!$X$2,,,Arb!$AJ$5,),BN412)/BO412)</f>
        <v/>
      </c>
      <c r="BR412" s="165" t="str">
        <f ca="1">IF(BN412="","",(INDEX(OFFSET(Arb!$U$2,,,Arb!$AJ$5,),BN412)+INDEX(OFFSET(Arb!$V$2,,,Arb!$AJ$5,),BN412))/BO412)</f>
        <v/>
      </c>
      <c r="BS412" s="51" t="str">
        <f t="shared" ca="1" si="133"/>
        <v/>
      </c>
      <c r="BT412" s="88" t="str">
        <f ca="1">IF(BN412="","",DATE(INDEX(OFFSET(Arb!$C$2,,,Arb!$AJ$5,),BN412),INDEX(OFFSET(Arb!$B$2,,,Arb!$AJ$5,),BN412),INDEX(OFFSET(Arb!$A$2,,,Arb!$AJ$5,),BN412))+ROW()*0.001)</f>
        <v/>
      </c>
      <c r="BU412" s="436">
        <v>270</v>
      </c>
      <c r="BW412" s="52" t="str">
        <f ca="1">IF(BV412="","",INDEX(OFFSET(Arb!$H$2,,,Arb!$AJ$5,),BV412))</f>
        <v/>
      </c>
      <c r="BX412" s="3" t="str">
        <f t="shared" ca="1" si="124"/>
        <v/>
      </c>
      <c r="BY412" s="165" t="str">
        <f ca="1">IF(BV412="","",INDEX(OFFSET(Arb!$X$2,,,Arb!$AJ$5,),BV412)/BW412)</f>
        <v/>
      </c>
      <c r="BZ412" s="165" t="str">
        <f ca="1">IF(BV412="","",(INDEX(OFFSET(Arb!$U$2,,,Arb!$AJ$5,),BV412)+INDEX(OFFSET(Arb!$V$2,,,Arb!$AJ$5,),BV412))/BW412)</f>
        <v/>
      </c>
      <c r="CA412" s="51" t="str">
        <f t="shared" ca="1" si="134"/>
        <v/>
      </c>
      <c r="CB412" s="91" t="str">
        <f ca="1">IF(BV412="","",DATE(INDEX(OFFSET(Arb!$C$2,,,Arb!$AJ$5,),BV412),INDEX(OFFSET(Arb!$B$2,,,Arb!$AJ$5,),BV412),INDEX(OFFSET(Arb!$A$2,,,Arb!$AJ$5,),BV412))+ROW()*0.001)</f>
        <v/>
      </c>
    </row>
    <row r="413" spans="1:80" x14ac:dyDescent="0.25">
      <c r="A413" s="433">
        <v>271</v>
      </c>
      <c r="C413" s="52" t="str">
        <f ca="1">IF(B413="","",INDEX(OFFSET(Arb!$H$2,,,Arb!$AJ$5,),B413))</f>
        <v/>
      </c>
      <c r="D413" s="3" t="str">
        <f t="shared" ca="1" si="115"/>
        <v/>
      </c>
      <c r="E413" s="165" t="str">
        <f ca="1">IF(B413="","",INDEX(OFFSET(Arb!$X$2,,,Arb!$AJ$5,),B413)/C413)</f>
        <v/>
      </c>
      <c r="F413" s="165" t="str">
        <f ca="1">IF(B413="","",(INDEX(OFFSET(Arb!$U$2,,,Arb!$AJ$5,),B413)+INDEX(OFFSET(Arb!$V$2,,,Arb!$AJ$5,),B413))/C413)</f>
        <v/>
      </c>
      <c r="G413" s="51" t="str">
        <f t="shared" ca="1" si="125"/>
        <v/>
      </c>
      <c r="H413" s="355" t="str">
        <f ca="1">IF(B413="","",DATE(INDEX(OFFSET(Arb!$C$2,,,Arb!$AJ$5,),B413),INDEX(OFFSET(Arb!$B$2,,,Arb!$AJ$5,),B413),INDEX(OFFSET(Arb!$A$2,,,Arb!$AJ$5,),B413))+ROW()*0.001)</f>
        <v/>
      </c>
      <c r="I413" s="436">
        <v>271</v>
      </c>
      <c r="K413" s="52" t="str">
        <f ca="1">IF(J413="","",INDEX(OFFSET(Arb!$H$2,,,Arb!$AJ$5,),J413))</f>
        <v/>
      </c>
      <c r="L413" s="3" t="str">
        <f t="shared" ca="1" si="116"/>
        <v/>
      </c>
      <c r="M413" s="165" t="str">
        <f ca="1">IF(J413="","",INDEX(OFFSET(Arb!$X$2,,,Arb!$AJ$5,),J413)/K413)</f>
        <v/>
      </c>
      <c r="N413" s="165" t="str">
        <f ca="1">IF(J413="","",(INDEX(OFFSET(Arb!$U$2,,,Arb!$AJ$5,),J413)+INDEX(OFFSET(Arb!$V$2,,,Arb!$AJ$5,),J413))/K413)</f>
        <v/>
      </c>
      <c r="O413" s="51" t="str">
        <f t="shared" ca="1" si="126"/>
        <v/>
      </c>
      <c r="P413" s="91" t="str">
        <f ca="1">IF(J413="","",DATE(INDEX(OFFSET(Arb!$C$2,,,Arb!$AJ$5,),J413),INDEX(OFFSET(Arb!$B$2,,,Arb!$AJ$5,),J413),INDEX(OFFSET(Arb!$A$2,,,Arb!$AJ$5,),J413))+ROW()*0.001)</f>
        <v/>
      </c>
      <c r="Q413" s="442">
        <v>271</v>
      </c>
      <c r="S413" s="52" t="str">
        <f ca="1">IF(R413="","",INDEX(OFFSET(Arb!$H$2,,,Arb!$AJ$5,),R413))</f>
        <v/>
      </c>
      <c r="T413" s="3" t="str">
        <f t="shared" ca="1" si="117"/>
        <v/>
      </c>
      <c r="U413" s="165" t="str">
        <f ca="1">IF(R413="","",INDEX(OFFSET(Arb!$X$2,,,Arb!$AJ$5,),R413)/S413)</f>
        <v/>
      </c>
      <c r="V413" s="165" t="str">
        <f ca="1">IF(R413="","",(INDEX(OFFSET(Arb!$U$2,,,Arb!$AJ$5,),R413)+INDEX(OFFSET(Arb!$V$2,,,Arb!$AJ$5,),R413))/S413)</f>
        <v/>
      </c>
      <c r="W413" s="51" t="str">
        <f t="shared" ca="1" si="127"/>
        <v/>
      </c>
      <c r="X413" s="88" t="str">
        <f ca="1">IF(R413="","",DATE(INDEX(OFFSET(Arb!$C$2,,,Arb!$AJ$5,),R413),INDEX(OFFSET(Arb!$B$2,,,Arb!$AJ$5,),R413),INDEX(OFFSET(Arb!$A$2,,,Arb!$AJ$5,),R413))+ROW()*0.001)</f>
        <v/>
      </c>
      <c r="Y413" s="436">
        <v>271</v>
      </c>
      <c r="AA413" s="52" t="str">
        <f ca="1">IF(Z413="","",INDEX(OFFSET(Arb!$H$2,,,Arb!$AJ$5,),Z413))</f>
        <v/>
      </c>
      <c r="AB413" s="3" t="str">
        <f t="shared" ca="1" si="118"/>
        <v/>
      </c>
      <c r="AC413" s="165" t="str">
        <f ca="1">IF(Z413="","",INDEX(OFFSET(Arb!$X$2,,,Arb!$AJ$5,),Z413)/AA413)</f>
        <v/>
      </c>
      <c r="AD413" s="165" t="str">
        <f ca="1">IF(Z413="","",(INDEX(OFFSET(Arb!$U$2,,,Arb!$AJ$5,),Z413)+INDEX(OFFSET(Arb!$V$2,,,Arb!$AJ$5,),Z413))/AA413)</f>
        <v/>
      </c>
      <c r="AE413" s="51" t="str">
        <f t="shared" ca="1" si="128"/>
        <v/>
      </c>
      <c r="AF413" s="91" t="str">
        <f ca="1">IF(Z413="","",DATE(INDEX(OFFSET(Arb!$C$2,,,Arb!$AJ$5,),Z413),INDEX(OFFSET(Arb!$B$2,,,Arb!$AJ$5,),Z413),INDEX(OFFSET(Arb!$A$2,,,Arb!$AJ$5,),Z413))+ROW()*0.001)</f>
        <v/>
      </c>
      <c r="AG413" s="442">
        <v>271</v>
      </c>
      <c r="AI413" s="52" t="str">
        <f ca="1">IF(AH413="","",INDEX(OFFSET(Arb!$H$2,,,Arb!$AJ$5,),AH413))</f>
        <v/>
      </c>
      <c r="AJ413" s="3" t="str">
        <f t="shared" ca="1" si="119"/>
        <v/>
      </c>
      <c r="AK413" s="165" t="str">
        <f ca="1">IF(AH413="","",INDEX(OFFSET(Arb!$X$2,,,Arb!$AJ$5,),AH413)/AI413)</f>
        <v/>
      </c>
      <c r="AL413" s="165" t="str">
        <f ca="1">IF(AH413="","",(INDEX(OFFSET(Arb!$U$2,,,Arb!$AJ$5,),AH413)+INDEX(OFFSET(Arb!$V$2,,,Arb!$AJ$5,),AH413))/AI413)</f>
        <v/>
      </c>
      <c r="AM413" s="51" t="str">
        <f t="shared" ca="1" si="129"/>
        <v/>
      </c>
      <c r="AN413" s="88" t="str">
        <f ca="1">IF(AH413="","",DATE(INDEX(OFFSET(Arb!$C$2,,,Arb!$AJ$5,),AH413),INDEX(OFFSET(Arb!$B$2,,,Arb!$AJ$5,),AH413),INDEX(OFFSET(Arb!$A$2,,,Arb!$AJ$5,),AH413))+ROW()*0.001)</f>
        <v/>
      </c>
      <c r="AO413" s="436">
        <v>271</v>
      </c>
      <c r="AQ413" s="52" t="str">
        <f ca="1">IF(AP413="","",INDEX(OFFSET(Arb!$H$2,,,Arb!$AJ$5,),AP413))</f>
        <v/>
      </c>
      <c r="AR413" s="3" t="str">
        <f t="shared" ca="1" si="120"/>
        <v/>
      </c>
      <c r="AS413" s="165" t="str">
        <f ca="1">IF(AP413="","",INDEX(OFFSET(Arb!$X$2,,,Arb!$AJ$5,),AP413)/AQ413)</f>
        <v/>
      </c>
      <c r="AT413" s="165" t="str">
        <f ca="1">IF(AP413="","",(INDEX(OFFSET(Arb!$U$2,,,Arb!$AJ$5,),AP413)+INDEX(OFFSET(Arb!$V$2,,,Arb!$AJ$5,),AP413))/AQ413)</f>
        <v/>
      </c>
      <c r="AU413" s="51" t="str">
        <f t="shared" ca="1" si="130"/>
        <v/>
      </c>
      <c r="AV413" s="91" t="str">
        <f ca="1">IF(AP413="","",DATE(INDEX(OFFSET(Arb!$C$2,,,Arb!$AJ$5,),AP413),INDEX(OFFSET(Arb!$B$2,,,Arb!$AJ$5,),AP413),INDEX(OFFSET(Arb!$A$2,,,Arb!$AJ$5,),AP413))+ROW()*0.001)</f>
        <v/>
      </c>
      <c r="AW413" s="442">
        <v>271</v>
      </c>
      <c r="AY413" s="52" t="str">
        <f ca="1">IF(AX413="","",INDEX(OFFSET(Arb!$H$2,,,Arb!$AJ$5,),AX413))</f>
        <v/>
      </c>
      <c r="AZ413" s="3" t="str">
        <f t="shared" ca="1" si="121"/>
        <v/>
      </c>
      <c r="BA413" s="165" t="str">
        <f ca="1">IF(AX413="","",INDEX(OFFSET(Arb!$X$2,,,Arb!$AJ$5,),AX413)/AY413)</f>
        <v/>
      </c>
      <c r="BB413" s="165" t="str">
        <f ca="1">IF(AX413="","",(INDEX(OFFSET(Arb!$U$2,,,Arb!$AJ$5,),AX413)+INDEX(OFFSET(Arb!$V$2,,,Arb!$AJ$5,),AX413))/AY413)</f>
        <v/>
      </c>
      <c r="BC413" s="51" t="str">
        <f t="shared" ca="1" si="131"/>
        <v/>
      </c>
      <c r="BD413" s="88" t="str">
        <f ca="1">IF(AX413="","",DATE(INDEX(OFFSET(Arb!$C$2,,,Arb!$AJ$5,),AX413),INDEX(OFFSET(Arb!$B$2,,,Arb!$AJ$5,),AX413),INDEX(OFFSET(Arb!$A$2,,,Arb!$AJ$5,),AX413))+ROW()*0.001)</f>
        <v/>
      </c>
      <c r="BE413" s="436">
        <v>271</v>
      </c>
      <c r="BG413" s="52" t="str">
        <f ca="1">IF(BF413="","",INDEX(OFFSET(Arb!$H$2,,,Arb!$AJ$5,),BF413))</f>
        <v/>
      </c>
      <c r="BH413" s="3" t="str">
        <f t="shared" ca="1" si="122"/>
        <v/>
      </c>
      <c r="BI413" s="165" t="str">
        <f ca="1">IF(BF413="","",INDEX(OFFSET(Arb!$X$2,,,Arb!$AJ$5,),BF413)/BG413)</f>
        <v/>
      </c>
      <c r="BJ413" s="165" t="str">
        <f ca="1">IF(BF413="","",(INDEX(OFFSET(Arb!$U$2,,,Arb!$AJ$5,),BF413)+INDEX(OFFSET(Arb!$V$2,,,Arb!$AJ$5,),BF413))/BG413)</f>
        <v/>
      </c>
      <c r="BK413" s="51" t="str">
        <f t="shared" ca="1" si="132"/>
        <v/>
      </c>
      <c r="BL413" s="91" t="str">
        <f ca="1">IF(BF413="","",DATE(INDEX(OFFSET(Arb!$C$2,,,Arb!$AJ$5,),BF413),INDEX(OFFSET(Arb!$B$2,,,Arb!$AJ$5,),BF413),INDEX(OFFSET(Arb!$A$2,,,Arb!$AJ$5,),BF413))+ROW()*0.001)</f>
        <v/>
      </c>
      <c r="BM413" s="442">
        <v>271</v>
      </c>
      <c r="BO413" s="52" t="str">
        <f ca="1">IF(BN413="","",INDEX(OFFSET(Arb!$H$2,,,Arb!$AJ$5,),BN413))</f>
        <v/>
      </c>
      <c r="BP413" s="3" t="str">
        <f t="shared" ca="1" si="123"/>
        <v/>
      </c>
      <c r="BQ413" s="165" t="str">
        <f ca="1">IF(BN413="","",INDEX(OFFSET(Arb!$X$2,,,Arb!$AJ$5,),BN413)/BO413)</f>
        <v/>
      </c>
      <c r="BR413" s="165" t="str">
        <f ca="1">IF(BN413="","",(INDEX(OFFSET(Arb!$U$2,,,Arb!$AJ$5,),BN413)+INDEX(OFFSET(Arb!$V$2,,,Arb!$AJ$5,),BN413))/BO413)</f>
        <v/>
      </c>
      <c r="BS413" s="51" t="str">
        <f t="shared" ca="1" si="133"/>
        <v/>
      </c>
      <c r="BT413" s="88" t="str">
        <f ca="1">IF(BN413="","",DATE(INDEX(OFFSET(Arb!$C$2,,,Arb!$AJ$5,),BN413),INDEX(OFFSET(Arb!$B$2,,,Arb!$AJ$5,),BN413),INDEX(OFFSET(Arb!$A$2,,,Arb!$AJ$5,),BN413))+ROW()*0.001)</f>
        <v/>
      </c>
      <c r="BU413" s="436">
        <v>271</v>
      </c>
      <c r="BW413" s="52" t="str">
        <f ca="1">IF(BV413="","",INDEX(OFFSET(Arb!$H$2,,,Arb!$AJ$5,),BV413))</f>
        <v/>
      </c>
      <c r="BX413" s="3" t="str">
        <f t="shared" ca="1" si="124"/>
        <v/>
      </c>
      <c r="BY413" s="165" t="str">
        <f ca="1">IF(BV413="","",INDEX(OFFSET(Arb!$X$2,,,Arb!$AJ$5,),BV413)/BW413)</f>
        <v/>
      </c>
      <c r="BZ413" s="165" t="str">
        <f ca="1">IF(BV413="","",(INDEX(OFFSET(Arb!$U$2,,,Arb!$AJ$5,),BV413)+INDEX(OFFSET(Arb!$V$2,,,Arb!$AJ$5,),BV413))/BW413)</f>
        <v/>
      </c>
      <c r="CA413" s="51" t="str">
        <f t="shared" ca="1" si="134"/>
        <v/>
      </c>
      <c r="CB413" s="91" t="str">
        <f ca="1">IF(BV413="","",DATE(INDEX(OFFSET(Arb!$C$2,,,Arb!$AJ$5,),BV413),INDEX(OFFSET(Arb!$B$2,,,Arb!$AJ$5,),BV413),INDEX(OFFSET(Arb!$A$2,,,Arb!$AJ$5,),BV413))+ROW()*0.001)</f>
        <v/>
      </c>
    </row>
    <row r="414" spans="1:80" x14ac:dyDescent="0.25">
      <c r="A414" s="433">
        <v>272</v>
      </c>
      <c r="C414" s="52" t="str">
        <f ca="1">IF(B414="","",INDEX(OFFSET(Arb!$H$2,,,Arb!$AJ$5,),B414))</f>
        <v/>
      </c>
      <c r="D414" s="3" t="str">
        <f t="shared" ca="1" si="115"/>
        <v/>
      </c>
      <c r="E414" s="165" t="str">
        <f ca="1">IF(B414="","",INDEX(OFFSET(Arb!$X$2,,,Arb!$AJ$5,),B414)/C414)</f>
        <v/>
      </c>
      <c r="F414" s="165" t="str">
        <f ca="1">IF(B414="","",(INDEX(OFFSET(Arb!$U$2,,,Arb!$AJ$5,),B414)+INDEX(OFFSET(Arb!$V$2,,,Arb!$AJ$5,),B414))/C414)</f>
        <v/>
      </c>
      <c r="G414" s="51" t="str">
        <f t="shared" ca="1" si="125"/>
        <v/>
      </c>
      <c r="H414" s="355" t="str">
        <f ca="1">IF(B414="","",DATE(INDEX(OFFSET(Arb!$C$2,,,Arb!$AJ$5,),B414),INDEX(OFFSET(Arb!$B$2,,,Arb!$AJ$5,),B414),INDEX(OFFSET(Arb!$A$2,,,Arb!$AJ$5,),B414))+ROW()*0.001)</f>
        <v/>
      </c>
      <c r="I414" s="436">
        <v>272</v>
      </c>
      <c r="K414" s="52" t="str">
        <f ca="1">IF(J414="","",INDEX(OFFSET(Arb!$H$2,,,Arb!$AJ$5,),J414))</f>
        <v/>
      </c>
      <c r="L414" s="3" t="str">
        <f t="shared" ca="1" si="116"/>
        <v/>
      </c>
      <c r="M414" s="165" t="str">
        <f ca="1">IF(J414="","",INDEX(OFFSET(Arb!$X$2,,,Arb!$AJ$5,),J414)/K414)</f>
        <v/>
      </c>
      <c r="N414" s="165" t="str">
        <f ca="1">IF(J414="","",(INDEX(OFFSET(Arb!$U$2,,,Arb!$AJ$5,),J414)+INDEX(OFFSET(Arb!$V$2,,,Arb!$AJ$5,),J414))/K414)</f>
        <v/>
      </c>
      <c r="O414" s="51" t="str">
        <f t="shared" ca="1" si="126"/>
        <v/>
      </c>
      <c r="P414" s="91" t="str">
        <f ca="1">IF(J414="","",DATE(INDEX(OFFSET(Arb!$C$2,,,Arb!$AJ$5,),J414),INDEX(OFFSET(Arb!$B$2,,,Arb!$AJ$5,),J414),INDEX(OFFSET(Arb!$A$2,,,Arb!$AJ$5,),J414))+ROW()*0.001)</f>
        <v/>
      </c>
      <c r="Q414" s="442">
        <v>272</v>
      </c>
      <c r="S414" s="52" t="str">
        <f ca="1">IF(R414="","",INDEX(OFFSET(Arb!$H$2,,,Arb!$AJ$5,),R414))</f>
        <v/>
      </c>
      <c r="T414" s="3" t="str">
        <f t="shared" ca="1" si="117"/>
        <v/>
      </c>
      <c r="U414" s="165" t="str">
        <f ca="1">IF(R414="","",INDEX(OFFSET(Arb!$X$2,,,Arb!$AJ$5,),R414)/S414)</f>
        <v/>
      </c>
      <c r="V414" s="165" t="str">
        <f ca="1">IF(R414="","",(INDEX(OFFSET(Arb!$U$2,,,Arb!$AJ$5,),R414)+INDEX(OFFSET(Arb!$V$2,,,Arb!$AJ$5,),R414))/S414)</f>
        <v/>
      </c>
      <c r="W414" s="51" t="str">
        <f t="shared" ca="1" si="127"/>
        <v/>
      </c>
      <c r="X414" s="88" t="str">
        <f ca="1">IF(R414="","",DATE(INDEX(OFFSET(Arb!$C$2,,,Arb!$AJ$5,),R414),INDEX(OFFSET(Arb!$B$2,,,Arb!$AJ$5,),R414),INDEX(OFFSET(Arb!$A$2,,,Arb!$AJ$5,),R414))+ROW()*0.001)</f>
        <v/>
      </c>
      <c r="Y414" s="436">
        <v>272</v>
      </c>
      <c r="AA414" s="52" t="str">
        <f ca="1">IF(Z414="","",INDEX(OFFSET(Arb!$H$2,,,Arb!$AJ$5,),Z414))</f>
        <v/>
      </c>
      <c r="AB414" s="3" t="str">
        <f t="shared" ca="1" si="118"/>
        <v/>
      </c>
      <c r="AC414" s="165" t="str">
        <f ca="1">IF(Z414="","",INDEX(OFFSET(Arb!$X$2,,,Arb!$AJ$5,),Z414)/AA414)</f>
        <v/>
      </c>
      <c r="AD414" s="165" t="str">
        <f ca="1">IF(Z414="","",(INDEX(OFFSET(Arb!$U$2,,,Arb!$AJ$5,),Z414)+INDEX(OFFSET(Arb!$V$2,,,Arb!$AJ$5,),Z414))/AA414)</f>
        <v/>
      </c>
      <c r="AE414" s="51" t="str">
        <f t="shared" ca="1" si="128"/>
        <v/>
      </c>
      <c r="AF414" s="91" t="str">
        <f ca="1">IF(Z414="","",DATE(INDEX(OFFSET(Arb!$C$2,,,Arb!$AJ$5,),Z414),INDEX(OFFSET(Arb!$B$2,,,Arb!$AJ$5,),Z414),INDEX(OFFSET(Arb!$A$2,,,Arb!$AJ$5,),Z414))+ROW()*0.001)</f>
        <v/>
      </c>
      <c r="AG414" s="442">
        <v>272</v>
      </c>
      <c r="AI414" s="52" t="str">
        <f ca="1">IF(AH414="","",INDEX(OFFSET(Arb!$H$2,,,Arb!$AJ$5,),AH414))</f>
        <v/>
      </c>
      <c r="AJ414" s="3" t="str">
        <f t="shared" ca="1" si="119"/>
        <v/>
      </c>
      <c r="AK414" s="165" t="str">
        <f ca="1">IF(AH414="","",INDEX(OFFSET(Arb!$X$2,,,Arb!$AJ$5,),AH414)/AI414)</f>
        <v/>
      </c>
      <c r="AL414" s="165" t="str">
        <f ca="1">IF(AH414="","",(INDEX(OFFSET(Arb!$U$2,,,Arb!$AJ$5,),AH414)+INDEX(OFFSET(Arb!$V$2,,,Arb!$AJ$5,),AH414))/AI414)</f>
        <v/>
      </c>
      <c r="AM414" s="51" t="str">
        <f t="shared" ca="1" si="129"/>
        <v/>
      </c>
      <c r="AN414" s="88" t="str">
        <f ca="1">IF(AH414="","",DATE(INDEX(OFFSET(Arb!$C$2,,,Arb!$AJ$5,),AH414),INDEX(OFFSET(Arb!$B$2,,,Arb!$AJ$5,),AH414),INDEX(OFFSET(Arb!$A$2,,,Arb!$AJ$5,),AH414))+ROW()*0.001)</f>
        <v/>
      </c>
      <c r="AO414" s="436">
        <v>272</v>
      </c>
      <c r="AQ414" s="52" t="str">
        <f ca="1">IF(AP414="","",INDEX(OFFSET(Arb!$H$2,,,Arb!$AJ$5,),AP414))</f>
        <v/>
      </c>
      <c r="AR414" s="3" t="str">
        <f t="shared" ca="1" si="120"/>
        <v/>
      </c>
      <c r="AS414" s="165" t="str">
        <f ca="1">IF(AP414="","",INDEX(OFFSET(Arb!$X$2,,,Arb!$AJ$5,),AP414)/AQ414)</f>
        <v/>
      </c>
      <c r="AT414" s="165" t="str">
        <f ca="1">IF(AP414="","",(INDEX(OFFSET(Arb!$U$2,,,Arb!$AJ$5,),AP414)+INDEX(OFFSET(Arb!$V$2,,,Arb!$AJ$5,),AP414))/AQ414)</f>
        <v/>
      </c>
      <c r="AU414" s="51" t="str">
        <f t="shared" ca="1" si="130"/>
        <v/>
      </c>
      <c r="AV414" s="91" t="str">
        <f ca="1">IF(AP414="","",DATE(INDEX(OFFSET(Arb!$C$2,,,Arb!$AJ$5,),AP414),INDEX(OFFSET(Arb!$B$2,,,Arb!$AJ$5,),AP414),INDEX(OFFSET(Arb!$A$2,,,Arb!$AJ$5,),AP414))+ROW()*0.001)</f>
        <v/>
      </c>
      <c r="AW414" s="442">
        <v>272</v>
      </c>
      <c r="AY414" s="52" t="str">
        <f ca="1">IF(AX414="","",INDEX(OFFSET(Arb!$H$2,,,Arb!$AJ$5,),AX414))</f>
        <v/>
      </c>
      <c r="AZ414" s="3" t="str">
        <f t="shared" ca="1" si="121"/>
        <v/>
      </c>
      <c r="BA414" s="165" t="str">
        <f ca="1">IF(AX414="","",INDEX(OFFSET(Arb!$X$2,,,Arb!$AJ$5,),AX414)/AY414)</f>
        <v/>
      </c>
      <c r="BB414" s="165" t="str">
        <f ca="1">IF(AX414="","",(INDEX(OFFSET(Arb!$U$2,,,Arb!$AJ$5,),AX414)+INDEX(OFFSET(Arb!$V$2,,,Arb!$AJ$5,),AX414))/AY414)</f>
        <v/>
      </c>
      <c r="BC414" s="51" t="str">
        <f t="shared" ca="1" si="131"/>
        <v/>
      </c>
      <c r="BD414" s="88" t="str">
        <f ca="1">IF(AX414="","",DATE(INDEX(OFFSET(Arb!$C$2,,,Arb!$AJ$5,),AX414),INDEX(OFFSET(Arb!$B$2,,,Arb!$AJ$5,),AX414),INDEX(OFFSET(Arb!$A$2,,,Arb!$AJ$5,),AX414))+ROW()*0.001)</f>
        <v/>
      </c>
      <c r="BE414" s="436">
        <v>272</v>
      </c>
      <c r="BG414" s="52" t="str">
        <f ca="1">IF(BF414="","",INDEX(OFFSET(Arb!$H$2,,,Arb!$AJ$5,),BF414))</f>
        <v/>
      </c>
      <c r="BH414" s="3" t="str">
        <f t="shared" ca="1" si="122"/>
        <v/>
      </c>
      <c r="BI414" s="165" t="str">
        <f ca="1">IF(BF414="","",INDEX(OFFSET(Arb!$X$2,,,Arb!$AJ$5,),BF414)/BG414)</f>
        <v/>
      </c>
      <c r="BJ414" s="165" t="str">
        <f ca="1">IF(BF414="","",(INDEX(OFFSET(Arb!$U$2,,,Arb!$AJ$5,),BF414)+INDEX(OFFSET(Arb!$V$2,,,Arb!$AJ$5,),BF414))/BG414)</f>
        <v/>
      </c>
      <c r="BK414" s="51" t="str">
        <f t="shared" ca="1" si="132"/>
        <v/>
      </c>
      <c r="BL414" s="91" t="str">
        <f ca="1">IF(BF414="","",DATE(INDEX(OFFSET(Arb!$C$2,,,Arb!$AJ$5,),BF414),INDEX(OFFSET(Arb!$B$2,,,Arb!$AJ$5,),BF414),INDEX(OFFSET(Arb!$A$2,,,Arb!$AJ$5,),BF414))+ROW()*0.001)</f>
        <v/>
      </c>
      <c r="BM414" s="442">
        <v>272</v>
      </c>
      <c r="BO414" s="52" t="str">
        <f ca="1">IF(BN414="","",INDEX(OFFSET(Arb!$H$2,,,Arb!$AJ$5,),BN414))</f>
        <v/>
      </c>
      <c r="BP414" s="3" t="str">
        <f t="shared" ca="1" si="123"/>
        <v/>
      </c>
      <c r="BQ414" s="165" t="str">
        <f ca="1">IF(BN414="","",INDEX(OFFSET(Arb!$X$2,,,Arb!$AJ$5,),BN414)/BO414)</f>
        <v/>
      </c>
      <c r="BR414" s="165" t="str">
        <f ca="1">IF(BN414="","",(INDEX(OFFSET(Arb!$U$2,,,Arb!$AJ$5,),BN414)+INDEX(OFFSET(Arb!$V$2,,,Arb!$AJ$5,),BN414))/BO414)</f>
        <v/>
      </c>
      <c r="BS414" s="51" t="str">
        <f t="shared" ca="1" si="133"/>
        <v/>
      </c>
      <c r="BT414" s="88" t="str">
        <f ca="1">IF(BN414="","",DATE(INDEX(OFFSET(Arb!$C$2,,,Arb!$AJ$5,),BN414),INDEX(OFFSET(Arb!$B$2,,,Arb!$AJ$5,),BN414),INDEX(OFFSET(Arb!$A$2,,,Arb!$AJ$5,),BN414))+ROW()*0.001)</f>
        <v/>
      </c>
      <c r="BU414" s="436">
        <v>272</v>
      </c>
      <c r="BW414" s="52" t="str">
        <f ca="1">IF(BV414="","",INDEX(OFFSET(Arb!$H$2,,,Arb!$AJ$5,),BV414))</f>
        <v/>
      </c>
      <c r="BX414" s="3" t="str">
        <f t="shared" ca="1" si="124"/>
        <v/>
      </c>
      <c r="BY414" s="165" t="str">
        <f ca="1">IF(BV414="","",INDEX(OFFSET(Arb!$X$2,,,Arb!$AJ$5,),BV414)/BW414)</f>
        <v/>
      </c>
      <c r="BZ414" s="165" t="str">
        <f ca="1">IF(BV414="","",(INDEX(OFFSET(Arb!$U$2,,,Arb!$AJ$5,),BV414)+INDEX(OFFSET(Arb!$V$2,,,Arb!$AJ$5,),BV414))/BW414)</f>
        <v/>
      </c>
      <c r="CA414" s="51" t="str">
        <f t="shared" ca="1" si="134"/>
        <v/>
      </c>
      <c r="CB414" s="91" t="str">
        <f ca="1">IF(BV414="","",DATE(INDEX(OFFSET(Arb!$C$2,,,Arb!$AJ$5,),BV414),INDEX(OFFSET(Arb!$B$2,,,Arb!$AJ$5,),BV414),INDEX(OFFSET(Arb!$A$2,,,Arb!$AJ$5,),BV414))+ROW()*0.001)</f>
        <v/>
      </c>
    </row>
    <row r="415" spans="1:80" x14ac:dyDescent="0.25">
      <c r="A415" s="433">
        <v>273</v>
      </c>
      <c r="C415" s="52" t="str">
        <f ca="1">IF(B415="","",INDEX(OFFSET(Arb!$H$2,,,Arb!$AJ$5,),B415))</f>
        <v/>
      </c>
      <c r="D415" s="3" t="str">
        <f t="shared" ca="1" si="115"/>
        <v/>
      </c>
      <c r="E415" s="165" t="str">
        <f ca="1">IF(B415="","",INDEX(OFFSET(Arb!$X$2,,,Arb!$AJ$5,),B415)/C415)</f>
        <v/>
      </c>
      <c r="F415" s="165" t="str">
        <f ca="1">IF(B415="","",(INDEX(OFFSET(Arb!$U$2,,,Arb!$AJ$5,),B415)+INDEX(OFFSET(Arb!$V$2,,,Arb!$AJ$5,),B415))/C415)</f>
        <v/>
      </c>
      <c r="G415" s="51" t="str">
        <f t="shared" ca="1" si="125"/>
        <v/>
      </c>
      <c r="H415" s="355" t="str">
        <f ca="1">IF(B415="","",DATE(INDEX(OFFSET(Arb!$C$2,,,Arb!$AJ$5,),B415),INDEX(OFFSET(Arb!$B$2,,,Arb!$AJ$5,),B415),INDEX(OFFSET(Arb!$A$2,,,Arb!$AJ$5,),B415))+ROW()*0.001)</f>
        <v/>
      </c>
      <c r="I415" s="436">
        <v>273</v>
      </c>
      <c r="K415" s="52" t="str">
        <f ca="1">IF(J415="","",INDEX(OFFSET(Arb!$H$2,,,Arb!$AJ$5,),J415))</f>
        <v/>
      </c>
      <c r="L415" s="3" t="str">
        <f t="shared" ca="1" si="116"/>
        <v/>
      </c>
      <c r="M415" s="165" t="str">
        <f ca="1">IF(J415="","",INDEX(OFFSET(Arb!$X$2,,,Arb!$AJ$5,),J415)/K415)</f>
        <v/>
      </c>
      <c r="N415" s="165" t="str">
        <f ca="1">IF(J415="","",(INDEX(OFFSET(Arb!$U$2,,,Arb!$AJ$5,),J415)+INDEX(OFFSET(Arb!$V$2,,,Arb!$AJ$5,),J415))/K415)</f>
        <v/>
      </c>
      <c r="O415" s="51" t="str">
        <f t="shared" ca="1" si="126"/>
        <v/>
      </c>
      <c r="P415" s="91" t="str">
        <f ca="1">IF(J415="","",DATE(INDEX(OFFSET(Arb!$C$2,,,Arb!$AJ$5,),J415),INDEX(OFFSET(Arb!$B$2,,,Arb!$AJ$5,),J415),INDEX(OFFSET(Arb!$A$2,,,Arb!$AJ$5,),J415))+ROW()*0.001)</f>
        <v/>
      </c>
      <c r="Q415" s="442">
        <v>273</v>
      </c>
      <c r="S415" s="52" t="str">
        <f ca="1">IF(R415="","",INDEX(OFFSET(Arb!$H$2,,,Arb!$AJ$5,),R415))</f>
        <v/>
      </c>
      <c r="T415" s="3" t="str">
        <f t="shared" ca="1" si="117"/>
        <v/>
      </c>
      <c r="U415" s="165" t="str">
        <f ca="1">IF(R415="","",INDEX(OFFSET(Arb!$X$2,,,Arb!$AJ$5,),R415)/S415)</f>
        <v/>
      </c>
      <c r="V415" s="165" t="str">
        <f ca="1">IF(R415="","",(INDEX(OFFSET(Arb!$U$2,,,Arb!$AJ$5,),R415)+INDEX(OFFSET(Arb!$V$2,,,Arb!$AJ$5,),R415))/S415)</f>
        <v/>
      </c>
      <c r="W415" s="51" t="str">
        <f t="shared" ca="1" si="127"/>
        <v/>
      </c>
      <c r="X415" s="88" t="str">
        <f ca="1">IF(R415="","",DATE(INDEX(OFFSET(Arb!$C$2,,,Arb!$AJ$5,),R415),INDEX(OFFSET(Arb!$B$2,,,Arb!$AJ$5,),R415),INDEX(OFFSET(Arb!$A$2,,,Arb!$AJ$5,),R415))+ROW()*0.001)</f>
        <v/>
      </c>
      <c r="Y415" s="436">
        <v>273</v>
      </c>
      <c r="AA415" s="52" t="str">
        <f ca="1">IF(Z415="","",INDEX(OFFSET(Arb!$H$2,,,Arb!$AJ$5,),Z415))</f>
        <v/>
      </c>
      <c r="AB415" s="3" t="str">
        <f t="shared" ca="1" si="118"/>
        <v/>
      </c>
      <c r="AC415" s="165" t="str">
        <f ca="1">IF(Z415="","",INDEX(OFFSET(Arb!$X$2,,,Arb!$AJ$5,),Z415)/AA415)</f>
        <v/>
      </c>
      <c r="AD415" s="165" t="str">
        <f ca="1">IF(Z415="","",(INDEX(OFFSET(Arb!$U$2,,,Arb!$AJ$5,),Z415)+INDEX(OFFSET(Arb!$V$2,,,Arb!$AJ$5,),Z415))/AA415)</f>
        <v/>
      </c>
      <c r="AE415" s="51" t="str">
        <f t="shared" ca="1" si="128"/>
        <v/>
      </c>
      <c r="AF415" s="91" t="str">
        <f ca="1">IF(Z415="","",DATE(INDEX(OFFSET(Arb!$C$2,,,Arb!$AJ$5,),Z415),INDEX(OFFSET(Arb!$B$2,,,Arb!$AJ$5,),Z415),INDEX(OFFSET(Arb!$A$2,,,Arb!$AJ$5,),Z415))+ROW()*0.001)</f>
        <v/>
      </c>
      <c r="AG415" s="442">
        <v>273</v>
      </c>
      <c r="AI415" s="52" t="str">
        <f ca="1">IF(AH415="","",INDEX(OFFSET(Arb!$H$2,,,Arb!$AJ$5,),AH415))</f>
        <v/>
      </c>
      <c r="AJ415" s="3" t="str">
        <f t="shared" ca="1" si="119"/>
        <v/>
      </c>
      <c r="AK415" s="165" t="str">
        <f ca="1">IF(AH415="","",INDEX(OFFSET(Arb!$X$2,,,Arb!$AJ$5,),AH415)/AI415)</f>
        <v/>
      </c>
      <c r="AL415" s="165" t="str">
        <f ca="1">IF(AH415="","",(INDEX(OFFSET(Arb!$U$2,,,Arb!$AJ$5,),AH415)+INDEX(OFFSET(Arb!$V$2,,,Arb!$AJ$5,),AH415))/AI415)</f>
        <v/>
      </c>
      <c r="AM415" s="51" t="str">
        <f t="shared" ca="1" si="129"/>
        <v/>
      </c>
      <c r="AN415" s="88" t="str">
        <f ca="1">IF(AH415="","",DATE(INDEX(OFFSET(Arb!$C$2,,,Arb!$AJ$5,),AH415),INDEX(OFFSET(Arb!$B$2,,,Arb!$AJ$5,),AH415),INDEX(OFFSET(Arb!$A$2,,,Arb!$AJ$5,),AH415))+ROW()*0.001)</f>
        <v/>
      </c>
      <c r="AO415" s="436">
        <v>273</v>
      </c>
      <c r="AQ415" s="52" t="str">
        <f ca="1">IF(AP415="","",INDEX(OFFSET(Arb!$H$2,,,Arb!$AJ$5,),AP415))</f>
        <v/>
      </c>
      <c r="AR415" s="3" t="str">
        <f t="shared" ca="1" si="120"/>
        <v/>
      </c>
      <c r="AS415" s="165" t="str">
        <f ca="1">IF(AP415="","",INDEX(OFFSET(Arb!$X$2,,,Arb!$AJ$5,),AP415)/AQ415)</f>
        <v/>
      </c>
      <c r="AT415" s="165" t="str">
        <f ca="1">IF(AP415="","",(INDEX(OFFSET(Arb!$U$2,,,Arb!$AJ$5,),AP415)+INDEX(OFFSET(Arb!$V$2,,,Arb!$AJ$5,),AP415))/AQ415)</f>
        <v/>
      </c>
      <c r="AU415" s="51" t="str">
        <f t="shared" ca="1" si="130"/>
        <v/>
      </c>
      <c r="AV415" s="91" t="str">
        <f ca="1">IF(AP415="","",DATE(INDEX(OFFSET(Arb!$C$2,,,Arb!$AJ$5,),AP415),INDEX(OFFSET(Arb!$B$2,,,Arb!$AJ$5,),AP415),INDEX(OFFSET(Arb!$A$2,,,Arb!$AJ$5,),AP415))+ROW()*0.001)</f>
        <v/>
      </c>
      <c r="AW415" s="442">
        <v>273</v>
      </c>
      <c r="AY415" s="52" t="str">
        <f ca="1">IF(AX415="","",INDEX(OFFSET(Arb!$H$2,,,Arb!$AJ$5,),AX415))</f>
        <v/>
      </c>
      <c r="AZ415" s="3" t="str">
        <f t="shared" ca="1" si="121"/>
        <v/>
      </c>
      <c r="BA415" s="165" t="str">
        <f ca="1">IF(AX415="","",INDEX(OFFSET(Arb!$X$2,,,Arb!$AJ$5,),AX415)/AY415)</f>
        <v/>
      </c>
      <c r="BB415" s="165" t="str">
        <f ca="1">IF(AX415="","",(INDEX(OFFSET(Arb!$U$2,,,Arb!$AJ$5,),AX415)+INDEX(OFFSET(Arb!$V$2,,,Arb!$AJ$5,),AX415))/AY415)</f>
        <v/>
      </c>
      <c r="BC415" s="51" t="str">
        <f t="shared" ca="1" si="131"/>
        <v/>
      </c>
      <c r="BD415" s="88" t="str">
        <f ca="1">IF(AX415="","",DATE(INDEX(OFFSET(Arb!$C$2,,,Arb!$AJ$5,),AX415),INDEX(OFFSET(Arb!$B$2,,,Arb!$AJ$5,),AX415),INDEX(OFFSET(Arb!$A$2,,,Arb!$AJ$5,),AX415))+ROW()*0.001)</f>
        <v/>
      </c>
      <c r="BE415" s="436">
        <v>273</v>
      </c>
      <c r="BG415" s="52" t="str">
        <f ca="1">IF(BF415="","",INDEX(OFFSET(Arb!$H$2,,,Arb!$AJ$5,),BF415))</f>
        <v/>
      </c>
      <c r="BH415" s="3" t="str">
        <f t="shared" ca="1" si="122"/>
        <v/>
      </c>
      <c r="BI415" s="165" t="str">
        <f ca="1">IF(BF415="","",INDEX(OFFSET(Arb!$X$2,,,Arb!$AJ$5,),BF415)/BG415)</f>
        <v/>
      </c>
      <c r="BJ415" s="165" t="str">
        <f ca="1">IF(BF415="","",(INDEX(OFFSET(Arb!$U$2,,,Arb!$AJ$5,),BF415)+INDEX(OFFSET(Arb!$V$2,,,Arb!$AJ$5,),BF415))/BG415)</f>
        <v/>
      </c>
      <c r="BK415" s="51" t="str">
        <f t="shared" ca="1" si="132"/>
        <v/>
      </c>
      <c r="BL415" s="91" t="str">
        <f ca="1">IF(BF415="","",DATE(INDEX(OFFSET(Arb!$C$2,,,Arb!$AJ$5,),BF415),INDEX(OFFSET(Arb!$B$2,,,Arb!$AJ$5,),BF415),INDEX(OFFSET(Arb!$A$2,,,Arb!$AJ$5,),BF415))+ROW()*0.001)</f>
        <v/>
      </c>
      <c r="BM415" s="442">
        <v>273</v>
      </c>
      <c r="BO415" s="52" t="str">
        <f ca="1">IF(BN415="","",INDEX(OFFSET(Arb!$H$2,,,Arb!$AJ$5,),BN415))</f>
        <v/>
      </c>
      <c r="BP415" s="3" t="str">
        <f t="shared" ca="1" si="123"/>
        <v/>
      </c>
      <c r="BQ415" s="165" t="str">
        <f ca="1">IF(BN415="","",INDEX(OFFSET(Arb!$X$2,,,Arb!$AJ$5,),BN415)/BO415)</f>
        <v/>
      </c>
      <c r="BR415" s="165" t="str">
        <f ca="1">IF(BN415="","",(INDEX(OFFSET(Arb!$U$2,,,Arb!$AJ$5,),BN415)+INDEX(OFFSET(Arb!$V$2,,,Arb!$AJ$5,),BN415))/BO415)</f>
        <v/>
      </c>
      <c r="BS415" s="51" t="str">
        <f t="shared" ca="1" si="133"/>
        <v/>
      </c>
      <c r="BT415" s="88" t="str">
        <f ca="1">IF(BN415="","",DATE(INDEX(OFFSET(Arb!$C$2,,,Arb!$AJ$5,),BN415),INDEX(OFFSET(Arb!$B$2,,,Arb!$AJ$5,),BN415),INDEX(OFFSET(Arb!$A$2,,,Arb!$AJ$5,),BN415))+ROW()*0.001)</f>
        <v/>
      </c>
      <c r="BU415" s="436">
        <v>273</v>
      </c>
      <c r="BW415" s="52" t="str">
        <f ca="1">IF(BV415="","",INDEX(OFFSET(Arb!$H$2,,,Arb!$AJ$5,),BV415))</f>
        <v/>
      </c>
      <c r="BX415" s="3" t="str">
        <f t="shared" ca="1" si="124"/>
        <v/>
      </c>
      <c r="BY415" s="165" t="str">
        <f ca="1">IF(BV415="","",INDEX(OFFSET(Arb!$X$2,,,Arb!$AJ$5,),BV415)/BW415)</f>
        <v/>
      </c>
      <c r="BZ415" s="165" t="str">
        <f ca="1">IF(BV415="","",(INDEX(OFFSET(Arb!$U$2,,,Arb!$AJ$5,),BV415)+INDEX(OFFSET(Arb!$V$2,,,Arb!$AJ$5,),BV415))/BW415)</f>
        <v/>
      </c>
      <c r="CA415" s="51" t="str">
        <f t="shared" ca="1" si="134"/>
        <v/>
      </c>
      <c r="CB415" s="91" t="str">
        <f ca="1">IF(BV415="","",DATE(INDEX(OFFSET(Arb!$C$2,,,Arb!$AJ$5,),BV415),INDEX(OFFSET(Arb!$B$2,,,Arb!$AJ$5,),BV415),INDEX(OFFSET(Arb!$A$2,,,Arb!$AJ$5,),BV415))+ROW()*0.001)</f>
        <v/>
      </c>
    </row>
    <row r="416" spans="1:80" x14ac:dyDescent="0.25">
      <c r="A416" s="433">
        <v>274</v>
      </c>
      <c r="C416" s="52" t="str">
        <f ca="1">IF(B416="","",INDEX(OFFSET(Arb!$H$2,,,Arb!$AJ$5,),B416))</f>
        <v/>
      </c>
      <c r="D416" s="3" t="str">
        <f t="shared" ca="1" si="115"/>
        <v/>
      </c>
      <c r="E416" s="165" t="str">
        <f ca="1">IF(B416="","",INDEX(OFFSET(Arb!$X$2,,,Arb!$AJ$5,),B416)/C416)</f>
        <v/>
      </c>
      <c r="F416" s="165" t="str">
        <f ca="1">IF(B416="","",(INDEX(OFFSET(Arb!$U$2,,,Arb!$AJ$5,),B416)+INDEX(OFFSET(Arb!$V$2,,,Arb!$AJ$5,),B416))/C416)</f>
        <v/>
      </c>
      <c r="G416" s="51" t="str">
        <f t="shared" ca="1" si="125"/>
        <v/>
      </c>
      <c r="H416" s="355" t="str">
        <f ca="1">IF(B416="","",DATE(INDEX(OFFSET(Arb!$C$2,,,Arb!$AJ$5,),B416),INDEX(OFFSET(Arb!$B$2,,,Arb!$AJ$5,),B416),INDEX(OFFSET(Arb!$A$2,,,Arb!$AJ$5,),B416))+ROW()*0.001)</f>
        <v/>
      </c>
      <c r="I416" s="436">
        <v>274</v>
      </c>
      <c r="K416" s="52" t="str">
        <f ca="1">IF(J416="","",INDEX(OFFSET(Arb!$H$2,,,Arb!$AJ$5,),J416))</f>
        <v/>
      </c>
      <c r="L416" s="3" t="str">
        <f t="shared" ca="1" si="116"/>
        <v/>
      </c>
      <c r="M416" s="165" t="str">
        <f ca="1">IF(J416="","",INDEX(OFFSET(Arb!$X$2,,,Arb!$AJ$5,),J416)/K416)</f>
        <v/>
      </c>
      <c r="N416" s="165" t="str">
        <f ca="1">IF(J416="","",(INDEX(OFFSET(Arb!$U$2,,,Arb!$AJ$5,),J416)+INDEX(OFFSET(Arb!$V$2,,,Arb!$AJ$5,),J416))/K416)</f>
        <v/>
      </c>
      <c r="O416" s="51" t="str">
        <f t="shared" ca="1" si="126"/>
        <v/>
      </c>
      <c r="P416" s="91" t="str">
        <f ca="1">IF(J416="","",DATE(INDEX(OFFSET(Arb!$C$2,,,Arb!$AJ$5,),J416),INDEX(OFFSET(Arb!$B$2,,,Arb!$AJ$5,),J416),INDEX(OFFSET(Arb!$A$2,,,Arb!$AJ$5,),J416))+ROW()*0.001)</f>
        <v/>
      </c>
      <c r="Q416" s="442">
        <v>274</v>
      </c>
      <c r="S416" s="52" t="str">
        <f ca="1">IF(R416="","",INDEX(OFFSET(Arb!$H$2,,,Arb!$AJ$5,),R416))</f>
        <v/>
      </c>
      <c r="T416" s="3" t="str">
        <f t="shared" ca="1" si="117"/>
        <v/>
      </c>
      <c r="U416" s="165" t="str">
        <f ca="1">IF(R416="","",INDEX(OFFSET(Arb!$X$2,,,Arb!$AJ$5,),R416)/S416)</f>
        <v/>
      </c>
      <c r="V416" s="165" t="str">
        <f ca="1">IF(R416="","",(INDEX(OFFSET(Arb!$U$2,,,Arb!$AJ$5,),R416)+INDEX(OFFSET(Arb!$V$2,,,Arb!$AJ$5,),R416))/S416)</f>
        <v/>
      </c>
      <c r="W416" s="51" t="str">
        <f t="shared" ca="1" si="127"/>
        <v/>
      </c>
      <c r="X416" s="88" t="str">
        <f ca="1">IF(R416="","",DATE(INDEX(OFFSET(Arb!$C$2,,,Arb!$AJ$5,),R416),INDEX(OFFSET(Arb!$B$2,,,Arb!$AJ$5,),R416),INDEX(OFFSET(Arb!$A$2,,,Arb!$AJ$5,),R416))+ROW()*0.001)</f>
        <v/>
      </c>
      <c r="Y416" s="436">
        <v>274</v>
      </c>
      <c r="AA416" s="52" t="str">
        <f ca="1">IF(Z416="","",INDEX(OFFSET(Arb!$H$2,,,Arb!$AJ$5,),Z416))</f>
        <v/>
      </c>
      <c r="AB416" s="3" t="str">
        <f t="shared" ca="1" si="118"/>
        <v/>
      </c>
      <c r="AC416" s="165" t="str">
        <f ca="1">IF(Z416="","",INDEX(OFFSET(Arb!$X$2,,,Arb!$AJ$5,),Z416)/AA416)</f>
        <v/>
      </c>
      <c r="AD416" s="165" t="str">
        <f ca="1">IF(Z416="","",(INDEX(OFFSET(Arb!$U$2,,,Arb!$AJ$5,),Z416)+INDEX(OFFSET(Arb!$V$2,,,Arb!$AJ$5,),Z416))/AA416)</f>
        <v/>
      </c>
      <c r="AE416" s="51" t="str">
        <f t="shared" ca="1" si="128"/>
        <v/>
      </c>
      <c r="AF416" s="91" t="str">
        <f ca="1">IF(Z416="","",DATE(INDEX(OFFSET(Arb!$C$2,,,Arb!$AJ$5,),Z416),INDEX(OFFSET(Arb!$B$2,,,Arb!$AJ$5,),Z416),INDEX(OFFSET(Arb!$A$2,,,Arb!$AJ$5,),Z416))+ROW()*0.001)</f>
        <v/>
      </c>
      <c r="AG416" s="442">
        <v>274</v>
      </c>
      <c r="AI416" s="52" t="str">
        <f ca="1">IF(AH416="","",INDEX(OFFSET(Arb!$H$2,,,Arb!$AJ$5,),AH416))</f>
        <v/>
      </c>
      <c r="AJ416" s="3" t="str">
        <f t="shared" ca="1" si="119"/>
        <v/>
      </c>
      <c r="AK416" s="165" t="str">
        <f ca="1">IF(AH416="","",INDEX(OFFSET(Arb!$X$2,,,Arb!$AJ$5,),AH416)/AI416)</f>
        <v/>
      </c>
      <c r="AL416" s="165" t="str">
        <f ca="1">IF(AH416="","",(INDEX(OFFSET(Arb!$U$2,,,Arb!$AJ$5,),AH416)+INDEX(OFFSET(Arb!$V$2,,,Arb!$AJ$5,),AH416))/AI416)</f>
        <v/>
      </c>
      <c r="AM416" s="51" t="str">
        <f t="shared" ca="1" si="129"/>
        <v/>
      </c>
      <c r="AN416" s="88" t="str">
        <f ca="1">IF(AH416="","",DATE(INDEX(OFFSET(Arb!$C$2,,,Arb!$AJ$5,),AH416),INDEX(OFFSET(Arb!$B$2,,,Arb!$AJ$5,),AH416),INDEX(OFFSET(Arb!$A$2,,,Arb!$AJ$5,),AH416))+ROW()*0.001)</f>
        <v/>
      </c>
      <c r="AO416" s="436">
        <v>274</v>
      </c>
      <c r="AQ416" s="52" t="str">
        <f ca="1">IF(AP416="","",INDEX(OFFSET(Arb!$H$2,,,Arb!$AJ$5,),AP416))</f>
        <v/>
      </c>
      <c r="AR416" s="3" t="str">
        <f t="shared" ca="1" si="120"/>
        <v/>
      </c>
      <c r="AS416" s="165" t="str">
        <f ca="1">IF(AP416="","",INDEX(OFFSET(Arb!$X$2,,,Arb!$AJ$5,),AP416)/AQ416)</f>
        <v/>
      </c>
      <c r="AT416" s="165" t="str">
        <f ca="1">IF(AP416="","",(INDEX(OFFSET(Arb!$U$2,,,Arb!$AJ$5,),AP416)+INDEX(OFFSET(Arb!$V$2,,,Arb!$AJ$5,),AP416))/AQ416)</f>
        <v/>
      </c>
      <c r="AU416" s="51" t="str">
        <f t="shared" ca="1" si="130"/>
        <v/>
      </c>
      <c r="AV416" s="91" t="str">
        <f ca="1">IF(AP416="","",DATE(INDEX(OFFSET(Arb!$C$2,,,Arb!$AJ$5,),AP416),INDEX(OFFSET(Arb!$B$2,,,Arb!$AJ$5,),AP416),INDEX(OFFSET(Arb!$A$2,,,Arb!$AJ$5,),AP416))+ROW()*0.001)</f>
        <v/>
      </c>
      <c r="AW416" s="442">
        <v>274</v>
      </c>
      <c r="AY416" s="52" t="str">
        <f ca="1">IF(AX416="","",INDEX(OFFSET(Arb!$H$2,,,Arb!$AJ$5,),AX416))</f>
        <v/>
      </c>
      <c r="AZ416" s="3" t="str">
        <f t="shared" ca="1" si="121"/>
        <v/>
      </c>
      <c r="BA416" s="165" t="str">
        <f ca="1">IF(AX416="","",INDEX(OFFSET(Arb!$X$2,,,Arb!$AJ$5,),AX416)/AY416)</f>
        <v/>
      </c>
      <c r="BB416" s="165" t="str">
        <f ca="1">IF(AX416="","",(INDEX(OFFSET(Arb!$U$2,,,Arb!$AJ$5,),AX416)+INDEX(OFFSET(Arb!$V$2,,,Arb!$AJ$5,),AX416))/AY416)</f>
        <v/>
      </c>
      <c r="BC416" s="51" t="str">
        <f t="shared" ca="1" si="131"/>
        <v/>
      </c>
      <c r="BD416" s="88" t="str">
        <f ca="1">IF(AX416="","",DATE(INDEX(OFFSET(Arb!$C$2,,,Arb!$AJ$5,),AX416),INDEX(OFFSET(Arb!$B$2,,,Arb!$AJ$5,),AX416),INDEX(OFFSET(Arb!$A$2,,,Arb!$AJ$5,),AX416))+ROW()*0.001)</f>
        <v/>
      </c>
      <c r="BE416" s="436">
        <v>274</v>
      </c>
      <c r="BG416" s="52" t="str">
        <f ca="1">IF(BF416="","",INDEX(OFFSET(Arb!$H$2,,,Arb!$AJ$5,),BF416))</f>
        <v/>
      </c>
      <c r="BH416" s="3" t="str">
        <f t="shared" ca="1" si="122"/>
        <v/>
      </c>
      <c r="BI416" s="165" t="str">
        <f ca="1">IF(BF416="","",INDEX(OFFSET(Arb!$X$2,,,Arb!$AJ$5,),BF416)/BG416)</f>
        <v/>
      </c>
      <c r="BJ416" s="165" t="str">
        <f ca="1">IF(BF416="","",(INDEX(OFFSET(Arb!$U$2,,,Arb!$AJ$5,),BF416)+INDEX(OFFSET(Arb!$V$2,,,Arb!$AJ$5,),BF416))/BG416)</f>
        <v/>
      </c>
      <c r="BK416" s="51" t="str">
        <f t="shared" ca="1" si="132"/>
        <v/>
      </c>
      <c r="BL416" s="91" t="str">
        <f ca="1">IF(BF416="","",DATE(INDEX(OFFSET(Arb!$C$2,,,Arb!$AJ$5,),BF416),INDEX(OFFSET(Arb!$B$2,,,Arb!$AJ$5,),BF416),INDEX(OFFSET(Arb!$A$2,,,Arb!$AJ$5,),BF416))+ROW()*0.001)</f>
        <v/>
      </c>
      <c r="BM416" s="442">
        <v>274</v>
      </c>
      <c r="BO416" s="52" t="str">
        <f ca="1">IF(BN416="","",INDEX(OFFSET(Arb!$H$2,,,Arb!$AJ$5,),BN416))</f>
        <v/>
      </c>
      <c r="BP416" s="3" t="str">
        <f t="shared" ca="1" si="123"/>
        <v/>
      </c>
      <c r="BQ416" s="165" t="str">
        <f ca="1">IF(BN416="","",INDEX(OFFSET(Arb!$X$2,,,Arb!$AJ$5,),BN416)/BO416)</f>
        <v/>
      </c>
      <c r="BR416" s="165" t="str">
        <f ca="1">IF(BN416="","",(INDEX(OFFSET(Arb!$U$2,,,Arb!$AJ$5,),BN416)+INDEX(OFFSET(Arb!$V$2,,,Arb!$AJ$5,),BN416))/BO416)</f>
        <v/>
      </c>
      <c r="BS416" s="51" t="str">
        <f t="shared" ca="1" si="133"/>
        <v/>
      </c>
      <c r="BT416" s="88" t="str">
        <f ca="1">IF(BN416="","",DATE(INDEX(OFFSET(Arb!$C$2,,,Arb!$AJ$5,),BN416),INDEX(OFFSET(Arb!$B$2,,,Arb!$AJ$5,),BN416),INDEX(OFFSET(Arb!$A$2,,,Arb!$AJ$5,),BN416))+ROW()*0.001)</f>
        <v/>
      </c>
      <c r="BU416" s="436">
        <v>274</v>
      </c>
      <c r="BW416" s="52" t="str">
        <f ca="1">IF(BV416="","",INDEX(OFFSET(Arb!$H$2,,,Arb!$AJ$5,),BV416))</f>
        <v/>
      </c>
      <c r="BX416" s="3" t="str">
        <f t="shared" ca="1" si="124"/>
        <v/>
      </c>
      <c r="BY416" s="165" t="str">
        <f ca="1">IF(BV416="","",INDEX(OFFSET(Arb!$X$2,,,Arb!$AJ$5,),BV416)/BW416)</f>
        <v/>
      </c>
      <c r="BZ416" s="165" t="str">
        <f ca="1">IF(BV416="","",(INDEX(OFFSET(Arb!$U$2,,,Arb!$AJ$5,),BV416)+INDEX(OFFSET(Arb!$V$2,,,Arb!$AJ$5,),BV416))/BW416)</f>
        <v/>
      </c>
      <c r="CA416" s="51" t="str">
        <f t="shared" ca="1" si="134"/>
        <v/>
      </c>
      <c r="CB416" s="91" t="str">
        <f ca="1">IF(BV416="","",DATE(INDEX(OFFSET(Arb!$C$2,,,Arb!$AJ$5,),BV416),INDEX(OFFSET(Arb!$B$2,,,Arb!$AJ$5,),BV416),INDEX(OFFSET(Arb!$A$2,,,Arb!$AJ$5,),BV416))+ROW()*0.001)</f>
        <v/>
      </c>
    </row>
    <row r="417" spans="1:80" x14ac:dyDescent="0.25">
      <c r="A417" s="433">
        <v>275</v>
      </c>
      <c r="C417" s="52" t="str">
        <f ca="1">IF(B417="","",INDEX(OFFSET(Arb!$H$2,,,Arb!$AJ$5,),B417))</f>
        <v/>
      </c>
      <c r="D417" s="3" t="str">
        <f t="shared" ca="1" si="115"/>
        <v/>
      </c>
      <c r="E417" s="165" t="str">
        <f ca="1">IF(B417="","",INDEX(OFFSET(Arb!$X$2,,,Arb!$AJ$5,),B417)/C417)</f>
        <v/>
      </c>
      <c r="F417" s="165" t="str">
        <f ca="1">IF(B417="","",(INDEX(OFFSET(Arb!$U$2,,,Arb!$AJ$5,),B417)+INDEX(OFFSET(Arb!$V$2,,,Arb!$AJ$5,),B417))/C417)</f>
        <v/>
      </c>
      <c r="G417" s="51" t="str">
        <f t="shared" ca="1" si="125"/>
        <v/>
      </c>
      <c r="H417" s="355" t="str">
        <f ca="1">IF(B417="","",DATE(INDEX(OFFSET(Arb!$C$2,,,Arb!$AJ$5,),B417),INDEX(OFFSET(Arb!$B$2,,,Arb!$AJ$5,),B417),INDEX(OFFSET(Arb!$A$2,,,Arb!$AJ$5,),B417))+ROW()*0.001)</f>
        <v/>
      </c>
      <c r="I417" s="436">
        <v>275</v>
      </c>
      <c r="K417" s="52" t="str">
        <f ca="1">IF(J417="","",INDEX(OFFSET(Arb!$H$2,,,Arb!$AJ$5,),J417))</f>
        <v/>
      </c>
      <c r="L417" s="3" t="str">
        <f t="shared" ca="1" si="116"/>
        <v/>
      </c>
      <c r="M417" s="165" t="str">
        <f ca="1">IF(J417="","",INDEX(OFFSET(Arb!$X$2,,,Arb!$AJ$5,),J417)/K417)</f>
        <v/>
      </c>
      <c r="N417" s="165" t="str">
        <f ca="1">IF(J417="","",(INDEX(OFFSET(Arb!$U$2,,,Arb!$AJ$5,),J417)+INDEX(OFFSET(Arb!$V$2,,,Arb!$AJ$5,),J417))/K417)</f>
        <v/>
      </c>
      <c r="O417" s="51" t="str">
        <f t="shared" ca="1" si="126"/>
        <v/>
      </c>
      <c r="P417" s="91" t="str">
        <f ca="1">IF(J417="","",DATE(INDEX(OFFSET(Arb!$C$2,,,Arb!$AJ$5,),J417),INDEX(OFFSET(Arb!$B$2,,,Arb!$AJ$5,),J417),INDEX(OFFSET(Arb!$A$2,,,Arb!$AJ$5,),J417))+ROW()*0.001)</f>
        <v/>
      </c>
      <c r="Q417" s="442">
        <v>275</v>
      </c>
      <c r="S417" s="52" t="str">
        <f ca="1">IF(R417="","",INDEX(OFFSET(Arb!$H$2,,,Arb!$AJ$5,),R417))</f>
        <v/>
      </c>
      <c r="T417" s="3" t="str">
        <f t="shared" ca="1" si="117"/>
        <v/>
      </c>
      <c r="U417" s="165" t="str">
        <f ca="1">IF(R417="","",INDEX(OFFSET(Arb!$X$2,,,Arb!$AJ$5,),R417)/S417)</f>
        <v/>
      </c>
      <c r="V417" s="165" t="str">
        <f ca="1">IF(R417="","",(INDEX(OFFSET(Arb!$U$2,,,Arb!$AJ$5,),R417)+INDEX(OFFSET(Arb!$V$2,,,Arb!$AJ$5,),R417))/S417)</f>
        <v/>
      </c>
      <c r="W417" s="51" t="str">
        <f t="shared" ca="1" si="127"/>
        <v/>
      </c>
      <c r="X417" s="88" t="str">
        <f ca="1">IF(R417="","",DATE(INDEX(OFFSET(Arb!$C$2,,,Arb!$AJ$5,),R417),INDEX(OFFSET(Arb!$B$2,,,Arb!$AJ$5,),R417),INDEX(OFFSET(Arb!$A$2,,,Arb!$AJ$5,),R417))+ROW()*0.001)</f>
        <v/>
      </c>
      <c r="Y417" s="436">
        <v>275</v>
      </c>
      <c r="AA417" s="52" t="str">
        <f ca="1">IF(Z417="","",INDEX(OFFSET(Arb!$H$2,,,Arb!$AJ$5,),Z417))</f>
        <v/>
      </c>
      <c r="AB417" s="3" t="str">
        <f t="shared" ca="1" si="118"/>
        <v/>
      </c>
      <c r="AC417" s="165" t="str">
        <f ca="1">IF(Z417="","",INDEX(OFFSET(Arb!$X$2,,,Arb!$AJ$5,),Z417)/AA417)</f>
        <v/>
      </c>
      <c r="AD417" s="165" t="str">
        <f ca="1">IF(Z417="","",(INDEX(OFFSET(Arb!$U$2,,,Arb!$AJ$5,),Z417)+INDEX(OFFSET(Arb!$V$2,,,Arb!$AJ$5,),Z417))/AA417)</f>
        <v/>
      </c>
      <c r="AE417" s="51" t="str">
        <f t="shared" ca="1" si="128"/>
        <v/>
      </c>
      <c r="AF417" s="91" t="str">
        <f ca="1">IF(Z417="","",DATE(INDEX(OFFSET(Arb!$C$2,,,Arb!$AJ$5,),Z417),INDEX(OFFSET(Arb!$B$2,,,Arb!$AJ$5,),Z417),INDEX(OFFSET(Arb!$A$2,,,Arb!$AJ$5,),Z417))+ROW()*0.001)</f>
        <v/>
      </c>
      <c r="AG417" s="442">
        <v>275</v>
      </c>
      <c r="AI417" s="52" t="str">
        <f ca="1">IF(AH417="","",INDEX(OFFSET(Arb!$H$2,,,Arb!$AJ$5,),AH417))</f>
        <v/>
      </c>
      <c r="AJ417" s="3" t="str">
        <f t="shared" ca="1" si="119"/>
        <v/>
      </c>
      <c r="AK417" s="165" t="str">
        <f ca="1">IF(AH417="","",INDEX(OFFSET(Arb!$X$2,,,Arb!$AJ$5,),AH417)/AI417)</f>
        <v/>
      </c>
      <c r="AL417" s="165" t="str">
        <f ca="1">IF(AH417="","",(INDEX(OFFSET(Arb!$U$2,,,Arb!$AJ$5,),AH417)+INDEX(OFFSET(Arb!$V$2,,,Arb!$AJ$5,),AH417))/AI417)</f>
        <v/>
      </c>
      <c r="AM417" s="51" t="str">
        <f t="shared" ca="1" si="129"/>
        <v/>
      </c>
      <c r="AN417" s="88" t="str">
        <f ca="1">IF(AH417="","",DATE(INDEX(OFFSET(Arb!$C$2,,,Arb!$AJ$5,),AH417),INDEX(OFFSET(Arb!$B$2,,,Arb!$AJ$5,),AH417),INDEX(OFFSET(Arb!$A$2,,,Arb!$AJ$5,),AH417))+ROW()*0.001)</f>
        <v/>
      </c>
      <c r="AO417" s="436">
        <v>275</v>
      </c>
      <c r="AQ417" s="52" t="str">
        <f ca="1">IF(AP417="","",INDEX(OFFSET(Arb!$H$2,,,Arb!$AJ$5,),AP417))</f>
        <v/>
      </c>
      <c r="AR417" s="3" t="str">
        <f t="shared" ca="1" si="120"/>
        <v/>
      </c>
      <c r="AS417" s="165" t="str">
        <f ca="1">IF(AP417="","",INDEX(OFFSET(Arb!$X$2,,,Arb!$AJ$5,),AP417)/AQ417)</f>
        <v/>
      </c>
      <c r="AT417" s="165" t="str">
        <f ca="1">IF(AP417="","",(INDEX(OFFSET(Arb!$U$2,,,Arb!$AJ$5,),AP417)+INDEX(OFFSET(Arb!$V$2,,,Arb!$AJ$5,),AP417))/AQ417)</f>
        <v/>
      </c>
      <c r="AU417" s="51" t="str">
        <f t="shared" ca="1" si="130"/>
        <v/>
      </c>
      <c r="AV417" s="91" t="str">
        <f ca="1">IF(AP417="","",DATE(INDEX(OFFSET(Arb!$C$2,,,Arb!$AJ$5,),AP417),INDEX(OFFSET(Arb!$B$2,,,Arb!$AJ$5,),AP417),INDEX(OFFSET(Arb!$A$2,,,Arb!$AJ$5,),AP417))+ROW()*0.001)</f>
        <v/>
      </c>
      <c r="AW417" s="442">
        <v>275</v>
      </c>
      <c r="AY417" s="52" t="str">
        <f ca="1">IF(AX417="","",INDEX(OFFSET(Arb!$H$2,,,Arb!$AJ$5,),AX417))</f>
        <v/>
      </c>
      <c r="AZ417" s="3" t="str">
        <f t="shared" ca="1" si="121"/>
        <v/>
      </c>
      <c r="BA417" s="165" t="str">
        <f ca="1">IF(AX417="","",INDEX(OFFSET(Arb!$X$2,,,Arb!$AJ$5,),AX417)/AY417)</f>
        <v/>
      </c>
      <c r="BB417" s="165" t="str">
        <f ca="1">IF(AX417="","",(INDEX(OFFSET(Arb!$U$2,,,Arb!$AJ$5,),AX417)+INDEX(OFFSET(Arb!$V$2,,,Arb!$AJ$5,),AX417))/AY417)</f>
        <v/>
      </c>
      <c r="BC417" s="51" t="str">
        <f t="shared" ca="1" si="131"/>
        <v/>
      </c>
      <c r="BD417" s="88" t="str">
        <f ca="1">IF(AX417="","",DATE(INDEX(OFFSET(Arb!$C$2,,,Arb!$AJ$5,),AX417),INDEX(OFFSET(Arb!$B$2,,,Arb!$AJ$5,),AX417),INDEX(OFFSET(Arb!$A$2,,,Arb!$AJ$5,),AX417))+ROW()*0.001)</f>
        <v/>
      </c>
      <c r="BE417" s="436">
        <v>275</v>
      </c>
      <c r="BG417" s="52" t="str">
        <f ca="1">IF(BF417="","",INDEX(OFFSET(Arb!$H$2,,,Arb!$AJ$5,),BF417))</f>
        <v/>
      </c>
      <c r="BH417" s="3" t="str">
        <f t="shared" ca="1" si="122"/>
        <v/>
      </c>
      <c r="BI417" s="165" t="str">
        <f ca="1">IF(BF417="","",INDEX(OFFSET(Arb!$X$2,,,Arb!$AJ$5,),BF417)/BG417)</f>
        <v/>
      </c>
      <c r="BJ417" s="165" t="str">
        <f ca="1">IF(BF417="","",(INDEX(OFFSET(Arb!$U$2,,,Arb!$AJ$5,),BF417)+INDEX(OFFSET(Arb!$V$2,,,Arb!$AJ$5,),BF417))/BG417)</f>
        <v/>
      </c>
      <c r="BK417" s="51" t="str">
        <f t="shared" ca="1" si="132"/>
        <v/>
      </c>
      <c r="BL417" s="91" t="str">
        <f ca="1">IF(BF417="","",DATE(INDEX(OFFSET(Arb!$C$2,,,Arb!$AJ$5,),BF417),INDEX(OFFSET(Arb!$B$2,,,Arb!$AJ$5,),BF417),INDEX(OFFSET(Arb!$A$2,,,Arb!$AJ$5,),BF417))+ROW()*0.001)</f>
        <v/>
      </c>
      <c r="BM417" s="442">
        <v>275</v>
      </c>
      <c r="BO417" s="52" t="str">
        <f ca="1">IF(BN417="","",INDEX(OFFSET(Arb!$H$2,,,Arb!$AJ$5,),BN417))</f>
        <v/>
      </c>
      <c r="BP417" s="3" t="str">
        <f t="shared" ca="1" si="123"/>
        <v/>
      </c>
      <c r="BQ417" s="165" t="str">
        <f ca="1">IF(BN417="","",INDEX(OFFSET(Arb!$X$2,,,Arb!$AJ$5,),BN417)/BO417)</f>
        <v/>
      </c>
      <c r="BR417" s="165" t="str">
        <f ca="1">IF(BN417="","",(INDEX(OFFSET(Arb!$U$2,,,Arb!$AJ$5,),BN417)+INDEX(OFFSET(Arb!$V$2,,,Arb!$AJ$5,),BN417))/BO417)</f>
        <v/>
      </c>
      <c r="BS417" s="51" t="str">
        <f t="shared" ca="1" si="133"/>
        <v/>
      </c>
      <c r="BT417" s="88" t="str">
        <f ca="1">IF(BN417="","",DATE(INDEX(OFFSET(Arb!$C$2,,,Arb!$AJ$5,),BN417),INDEX(OFFSET(Arb!$B$2,,,Arb!$AJ$5,),BN417),INDEX(OFFSET(Arb!$A$2,,,Arb!$AJ$5,),BN417))+ROW()*0.001)</f>
        <v/>
      </c>
      <c r="BU417" s="436">
        <v>275</v>
      </c>
      <c r="BW417" s="52" t="str">
        <f ca="1">IF(BV417="","",INDEX(OFFSET(Arb!$H$2,,,Arb!$AJ$5,),BV417))</f>
        <v/>
      </c>
      <c r="BX417" s="3" t="str">
        <f t="shared" ca="1" si="124"/>
        <v/>
      </c>
      <c r="BY417" s="165" t="str">
        <f ca="1">IF(BV417="","",INDEX(OFFSET(Arb!$X$2,,,Arb!$AJ$5,),BV417)/BW417)</f>
        <v/>
      </c>
      <c r="BZ417" s="165" t="str">
        <f ca="1">IF(BV417="","",(INDEX(OFFSET(Arb!$U$2,,,Arb!$AJ$5,),BV417)+INDEX(OFFSET(Arb!$V$2,,,Arb!$AJ$5,),BV417))/BW417)</f>
        <v/>
      </c>
      <c r="CA417" s="51" t="str">
        <f t="shared" ca="1" si="134"/>
        <v/>
      </c>
      <c r="CB417" s="91" t="str">
        <f ca="1">IF(BV417="","",DATE(INDEX(OFFSET(Arb!$C$2,,,Arb!$AJ$5,),BV417),INDEX(OFFSET(Arb!$B$2,,,Arb!$AJ$5,),BV417),INDEX(OFFSET(Arb!$A$2,,,Arb!$AJ$5,),BV417))+ROW()*0.001)</f>
        <v/>
      </c>
    </row>
    <row r="418" spans="1:80" x14ac:dyDescent="0.25">
      <c r="A418" s="433">
        <v>276</v>
      </c>
      <c r="C418" s="52" t="str">
        <f ca="1">IF(B418="","",INDEX(OFFSET(Arb!$H$2,,,Arb!$AJ$5,),B418))</f>
        <v/>
      </c>
      <c r="D418" s="3" t="str">
        <f t="shared" ca="1" si="115"/>
        <v/>
      </c>
      <c r="E418" s="165" t="str">
        <f ca="1">IF(B418="","",INDEX(OFFSET(Arb!$X$2,,,Arb!$AJ$5,),B418)/C418)</f>
        <v/>
      </c>
      <c r="F418" s="165" t="str">
        <f ca="1">IF(B418="","",(INDEX(OFFSET(Arb!$U$2,,,Arb!$AJ$5,),B418)+INDEX(OFFSET(Arb!$V$2,,,Arb!$AJ$5,),B418))/C418)</f>
        <v/>
      </c>
      <c r="G418" s="51" t="str">
        <f t="shared" ca="1" si="125"/>
        <v/>
      </c>
      <c r="H418" s="355" t="str">
        <f ca="1">IF(B418="","",DATE(INDEX(OFFSET(Arb!$C$2,,,Arb!$AJ$5,),B418),INDEX(OFFSET(Arb!$B$2,,,Arb!$AJ$5,),B418),INDEX(OFFSET(Arb!$A$2,,,Arb!$AJ$5,),B418))+ROW()*0.001)</f>
        <v/>
      </c>
      <c r="I418" s="436">
        <v>276</v>
      </c>
      <c r="K418" s="52" t="str">
        <f ca="1">IF(J418="","",INDEX(OFFSET(Arb!$H$2,,,Arb!$AJ$5,),J418))</f>
        <v/>
      </c>
      <c r="L418" s="3" t="str">
        <f t="shared" ca="1" si="116"/>
        <v/>
      </c>
      <c r="M418" s="165" t="str">
        <f ca="1">IF(J418="","",INDEX(OFFSET(Arb!$X$2,,,Arb!$AJ$5,),J418)/K418)</f>
        <v/>
      </c>
      <c r="N418" s="165" t="str">
        <f ca="1">IF(J418="","",(INDEX(OFFSET(Arb!$U$2,,,Arb!$AJ$5,),J418)+INDEX(OFFSET(Arb!$V$2,,,Arb!$AJ$5,),J418))/K418)</f>
        <v/>
      </c>
      <c r="O418" s="51" t="str">
        <f t="shared" ca="1" si="126"/>
        <v/>
      </c>
      <c r="P418" s="91" t="str">
        <f ca="1">IF(J418="","",DATE(INDEX(OFFSET(Arb!$C$2,,,Arb!$AJ$5,),J418),INDEX(OFFSET(Arb!$B$2,,,Arb!$AJ$5,),J418),INDEX(OFFSET(Arb!$A$2,,,Arb!$AJ$5,),J418))+ROW()*0.001)</f>
        <v/>
      </c>
      <c r="Q418" s="442">
        <v>276</v>
      </c>
      <c r="S418" s="52" t="str">
        <f ca="1">IF(R418="","",INDEX(OFFSET(Arb!$H$2,,,Arb!$AJ$5,),R418))</f>
        <v/>
      </c>
      <c r="T418" s="3" t="str">
        <f t="shared" ca="1" si="117"/>
        <v/>
      </c>
      <c r="U418" s="165" t="str">
        <f ca="1">IF(R418="","",INDEX(OFFSET(Arb!$X$2,,,Arb!$AJ$5,),R418)/S418)</f>
        <v/>
      </c>
      <c r="V418" s="165" t="str">
        <f ca="1">IF(R418="","",(INDEX(OFFSET(Arb!$U$2,,,Arb!$AJ$5,),R418)+INDEX(OFFSET(Arb!$V$2,,,Arb!$AJ$5,),R418))/S418)</f>
        <v/>
      </c>
      <c r="W418" s="51" t="str">
        <f t="shared" ca="1" si="127"/>
        <v/>
      </c>
      <c r="X418" s="88" t="str">
        <f ca="1">IF(R418="","",DATE(INDEX(OFFSET(Arb!$C$2,,,Arb!$AJ$5,),R418),INDEX(OFFSET(Arb!$B$2,,,Arb!$AJ$5,),R418),INDEX(OFFSET(Arb!$A$2,,,Arb!$AJ$5,),R418))+ROW()*0.001)</f>
        <v/>
      </c>
      <c r="Y418" s="436">
        <v>276</v>
      </c>
      <c r="AA418" s="52" t="str">
        <f ca="1">IF(Z418="","",INDEX(OFFSET(Arb!$H$2,,,Arb!$AJ$5,),Z418))</f>
        <v/>
      </c>
      <c r="AB418" s="3" t="str">
        <f t="shared" ca="1" si="118"/>
        <v/>
      </c>
      <c r="AC418" s="165" t="str">
        <f ca="1">IF(Z418="","",INDEX(OFFSET(Arb!$X$2,,,Arb!$AJ$5,),Z418)/AA418)</f>
        <v/>
      </c>
      <c r="AD418" s="165" t="str">
        <f ca="1">IF(Z418="","",(INDEX(OFFSET(Arb!$U$2,,,Arb!$AJ$5,),Z418)+INDEX(OFFSET(Arb!$V$2,,,Arb!$AJ$5,),Z418))/AA418)</f>
        <v/>
      </c>
      <c r="AE418" s="51" t="str">
        <f t="shared" ca="1" si="128"/>
        <v/>
      </c>
      <c r="AF418" s="91" t="str">
        <f ca="1">IF(Z418="","",DATE(INDEX(OFFSET(Arb!$C$2,,,Arb!$AJ$5,),Z418),INDEX(OFFSET(Arb!$B$2,,,Arb!$AJ$5,),Z418),INDEX(OFFSET(Arb!$A$2,,,Arb!$AJ$5,),Z418))+ROW()*0.001)</f>
        <v/>
      </c>
      <c r="AG418" s="442">
        <v>276</v>
      </c>
      <c r="AI418" s="52" t="str">
        <f ca="1">IF(AH418="","",INDEX(OFFSET(Arb!$H$2,,,Arb!$AJ$5,),AH418))</f>
        <v/>
      </c>
      <c r="AJ418" s="3" t="str">
        <f t="shared" ca="1" si="119"/>
        <v/>
      </c>
      <c r="AK418" s="165" t="str">
        <f ca="1">IF(AH418="","",INDEX(OFFSET(Arb!$X$2,,,Arb!$AJ$5,),AH418)/AI418)</f>
        <v/>
      </c>
      <c r="AL418" s="165" t="str">
        <f ca="1">IF(AH418="","",(INDEX(OFFSET(Arb!$U$2,,,Arb!$AJ$5,),AH418)+INDEX(OFFSET(Arb!$V$2,,,Arb!$AJ$5,),AH418))/AI418)</f>
        <v/>
      </c>
      <c r="AM418" s="51" t="str">
        <f t="shared" ca="1" si="129"/>
        <v/>
      </c>
      <c r="AN418" s="88" t="str">
        <f ca="1">IF(AH418="","",DATE(INDEX(OFFSET(Arb!$C$2,,,Arb!$AJ$5,),AH418),INDEX(OFFSET(Arb!$B$2,,,Arb!$AJ$5,),AH418),INDEX(OFFSET(Arb!$A$2,,,Arb!$AJ$5,),AH418))+ROW()*0.001)</f>
        <v/>
      </c>
      <c r="AO418" s="436">
        <v>276</v>
      </c>
      <c r="AQ418" s="52" t="str">
        <f ca="1">IF(AP418="","",INDEX(OFFSET(Arb!$H$2,,,Arb!$AJ$5,),AP418))</f>
        <v/>
      </c>
      <c r="AR418" s="3" t="str">
        <f t="shared" ca="1" si="120"/>
        <v/>
      </c>
      <c r="AS418" s="165" t="str">
        <f ca="1">IF(AP418="","",INDEX(OFFSET(Arb!$X$2,,,Arb!$AJ$5,),AP418)/AQ418)</f>
        <v/>
      </c>
      <c r="AT418" s="165" t="str">
        <f ca="1">IF(AP418="","",(INDEX(OFFSET(Arb!$U$2,,,Arb!$AJ$5,),AP418)+INDEX(OFFSET(Arb!$V$2,,,Arb!$AJ$5,),AP418))/AQ418)</f>
        <v/>
      </c>
      <c r="AU418" s="51" t="str">
        <f t="shared" ca="1" si="130"/>
        <v/>
      </c>
      <c r="AV418" s="91" t="str">
        <f ca="1">IF(AP418="","",DATE(INDEX(OFFSET(Arb!$C$2,,,Arb!$AJ$5,),AP418),INDEX(OFFSET(Arb!$B$2,,,Arb!$AJ$5,),AP418),INDEX(OFFSET(Arb!$A$2,,,Arb!$AJ$5,),AP418))+ROW()*0.001)</f>
        <v/>
      </c>
      <c r="AW418" s="442">
        <v>276</v>
      </c>
      <c r="AY418" s="52" t="str">
        <f ca="1">IF(AX418="","",INDEX(OFFSET(Arb!$H$2,,,Arb!$AJ$5,),AX418))</f>
        <v/>
      </c>
      <c r="AZ418" s="3" t="str">
        <f t="shared" ca="1" si="121"/>
        <v/>
      </c>
      <c r="BA418" s="165" t="str">
        <f ca="1">IF(AX418="","",INDEX(OFFSET(Arb!$X$2,,,Arb!$AJ$5,),AX418)/AY418)</f>
        <v/>
      </c>
      <c r="BB418" s="165" t="str">
        <f ca="1">IF(AX418="","",(INDEX(OFFSET(Arb!$U$2,,,Arb!$AJ$5,),AX418)+INDEX(OFFSET(Arb!$V$2,,,Arb!$AJ$5,),AX418))/AY418)</f>
        <v/>
      </c>
      <c r="BC418" s="51" t="str">
        <f t="shared" ca="1" si="131"/>
        <v/>
      </c>
      <c r="BD418" s="88" t="str">
        <f ca="1">IF(AX418="","",DATE(INDEX(OFFSET(Arb!$C$2,,,Arb!$AJ$5,),AX418),INDEX(OFFSET(Arb!$B$2,,,Arb!$AJ$5,),AX418),INDEX(OFFSET(Arb!$A$2,,,Arb!$AJ$5,),AX418))+ROW()*0.001)</f>
        <v/>
      </c>
      <c r="BE418" s="436">
        <v>276</v>
      </c>
      <c r="BG418" s="52" t="str">
        <f ca="1">IF(BF418="","",INDEX(OFFSET(Arb!$H$2,,,Arb!$AJ$5,),BF418))</f>
        <v/>
      </c>
      <c r="BH418" s="3" t="str">
        <f t="shared" ca="1" si="122"/>
        <v/>
      </c>
      <c r="BI418" s="165" t="str">
        <f ca="1">IF(BF418="","",INDEX(OFFSET(Arb!$X$2,,,Arb!$AJ$5,),BF418)/BG418)</f>
        <v/>
      </c>
      <c r="BJ418" s="165" t="str">
        <f ca="1">IF(BF418="","",(INDEX(OFFSET(Arb!$U$2,,,Arb!$AJ$5,),BF418)+INDEX(OFFSET(Arb!$V$2,,,Arb!$AJ$5,),BF418))/BG418)</f>
        <v/>
      </c>
      <c r="BK418" s="51" t="str">
        <f t="shared" ca="1" si="132"/>
        <v/>
      </c>
      <c r="BL418" s="91" t="str">
        <f ca="1">IF(BF418="","",DATE(INDEX(OFFSET(Arb!$C$2,,,Arb!$AJ$5,),BF418),INDEX(OFFSET(Arb!$B$2,,,Arb!$AJ$5,),BF418),INDEX(OFFSET(Arb!$A$2,,,Arb!$AJ$5,),BF418))+ROW()*0.001)</f>
        <v/>
      </c>
      <c r="BM418" s="442">
        <v>276</v>
      </c>
      <c r="BO418" s="52" t="str">
        <f ca="1">IF(BN418="","",INDEX(OFFSET(Arb!$H$2,,,Arb!$AJ$5,),BN418))</f>
        <v/>
      </c>
      <c r="BP418" s="3" t="str">
        <f t="shared" ca="1" si="123"/>
        <v/>
      </c>
      <c r="BQ418" s="165" t="str">
        <f ca="1">IF(BN418="","",INDEX(OFFSET(Arb!$X$2,,,Arb!$AJ$5,),BN418)/BO418)</f>
        <v/>
      </c>
      <c r="BR418" s="165" t="str">
        <f ca="1">IF(BN418="","",(INDEX(OFFSET(Arb!$U$2,,,Arb!$AJ$5,),BN418)+INDEX(OFFSET(Arb!$V$2,,,Arb!$AJ$5,),BN418))/BO418)</f>
        <v/>
      </c>
      <c r="BS418" s="51" t="str">
        <f t="shared" ca="1" si="133"/>
        <v/>
      </c>
      <c r="BT418" s="88" t="str">
        <f ca="1">IF(BN418="","",DATE(INDEX(OFFSET(Arb!$C$2,,,Arb!$AJ$5,),BN418),INDEX(OFFSET(Arb!$B$2,,,Arb!$AJ$5,),BN418),INDEX(OFFSET(Arb!$A$2,,,Arb!$AJ$5,),BN418))+ROW()*0.001)</f>
        <v/>
      </c>
      <c r="BU418" s="436">
        <v>276</v>
      </c>
      <c r="BW418" s="52" t="str">
        <f ca="1">IF(BV418="","",INDEX(OFFSET(Arb!$H$2,,,Arb!$AJ$5,),BV418))</f>
        <v/>
      </c>
      <c r="BX418" s="3" t="str">
        <f t="shared" ca="1" si="124"/>
        <v/>
      </c>
      <c r="BY418" s="165" t="str">
        <f ca="1">IF(BV418="","",INDEX(OFFSET(Arb!$X$2,,,Arb!$AJ$5,),BV418)/BW418)</f>
        <v/>
      </c>
      <c r="BZ418" s="165" t="str">
        <f ca="1">IF(BV418="","",(INDEX(OFFSET(Arb!$U$2,,,Arb!$AJ$5,),BV418)+INDEX(OFFSET(Arb!$V$2,,,Arb!$AJ$5,),BV418))/BW418)</f>
        <v/>
      </c>
      <c r="CA418" s="51" t="str">
        <f t="shared" ca="1" si="134"/>
        <v/>
      </c>
      <c r="CB418" s="91" t="str">
        <f ca="1">IF(BV418="","",DATE(INDEX(OFFSET(Arb!$C$2,,,Arb!$AJ$5,),BV418),INDEX(OFFSET(Arb!$B$2,,,Arb!$AJ$5,),BV418),INDEX(OFFSET(Arb!$A$2,,,Arb!$AJ$5,),BV418))+ROW()*0.001)</f>
        <v/>
      </c>
    </row>
    <row r="419" spans="1:80" x14ac:dyDescent="0.25">
      <c r="A419" s="433">
        <v>277</v>
      </c>
      <c r="C419" s="52" t="str">
        <f ca="1">IF(B419="","",INDEX(OFFSET(Arb!$H$2,,,Arb!$AJ$5,),B419))</f>
        <v/>
      </c>
      <c r="D419" s="3" t="str">
        <f t="shared" ca="1" si="115"/>
        <v/>
      </c>
      <c r="E419" s="165" t="str">
        <f ca="1">IF(B419="","",INDEX(OFFSET(Arb!$X$2,,,Arb!$AJ$5,),B419)/C419)</f>
        <v/>
      </c>
      <c r="F419" s="165" t="str">
        <f ca="1">IF(B419="","",(INDEX(OFFSET(Arb!$U$2,,,Arb!$AJ$5,),B419)+INDEX(OFFSET(Arb!$V$2,,,Arb!$AJ$5,),B419))/C419)</f>
        <v/>
      </c>
      <c r="G419" s="51" t="str">
        <f t="shared" ca="1" si="125"/>
        <v/>
      </c>
      <c r="H419" s="355" t="str">
        <f ca="1">IF(B419="","",DATE(INDEX(OFFSET(Arb!$C$2,,,Arb!$AJ$5,),B419),INDEX(OFFSET(Arb!$B$2,,,Arb!$AJ$5,),B419),INDEX(OFFSET(Arb!$A$2,,,Arb!$AJ$5,),B419))+ROW()*0.001)</f>
        <v/>
      </c>
      <c r="I419" s="436">
        <v>277</v>
      </c>
      <c r="K419" s="52" t="str">
        <f ca="1">IF(J419="","",INDEX(OFFSET(Arb!$H$2,,,Arb!$AJ$5,),J419))</f>
        <v/>
      </c>
      <c r="L419" s="3" t="str">
        <f t="shared" ca="1" si="116"/>
        <v/>
      </c>
      <c r="M419" s="165" t="str">
        <f ca="1">IF(J419="","",INDEX(OFFSET(Arb!$X$2,,,Arb!$AJ$5,),J419)/K419)</f>
        <v/>
      </c>
      <c r="N419" s="165" t="str">
        <f ca="1">IF(J419="","",(INDEX(OFFSET(Arb!$U$2,,,Arb!$AJ$5,),J419)+INDEX(OFFSET(Arb!$V$2,,,Arb!$AJ$5,),J419))/K419)</f>
        <v/>
      </c>
      <c r="O419" s="51" t="str">
        <f t="shared" ca="1" si="126"/>
        <v/>
      </c>
      <c r="P419" s="91" t="str">
        <f ca="1">IF(J419="","",DATE(INDEX(OFFSET(Arb!$C$2,,,Arb!$AJ$5,),J419),INDEX(OFFSET(Arb!$B$2,,,Arb!$AJ$5,),J419),INDEX(OFFSET(Arb!$A$2,,,Arb!$AJ$5,),J419))+ROW()*0.001)</f>
        <v/>
      </c>
      <c r="Q419" s="442">
        <v>277</v>
      </c>
      <c r="S419" s="52" t="str">
        <f ca="1">IF(R419="","",INDEX(OFFSET(Arb!$H$2,,,Arb!$AJ$5,),R419))</f>
        <v/>
      </c>
      <c r="T419" s="3" t="str">
        <f t="shared" ca="1" si="117"/>
        <v/>
      </c>
      <c r="U419" s="165" t="str">
        <f ca="1">IF(R419="","",INDEX(OFFSET(Arb!$X$2,,,Arb!$AJ$5,),R419)/S419)</f>
        <v/>
      </c>
      <c r="V419" s="165" t="str">
        <f ca="1">IF(R419="","",(INDEX(OFFSET(Arb!$U$2,,,Arb!$AJ$5,),R419)+INDEX(OFFSET(Arb!$V$2,,,Arb!$AJ$5,),R419))/S419)</f>
        <v/>
      </c>
      <c r="W419" s="51" t="str">
        <f t="shared" ca="1" si="127"/>
        <v/>
      </c>
      <c r="X419" s="88" t="str">
        <f ca="1">IF(R419="","",DATE(INDEX(OFFSET(Arb!$C$2,,,Arb!$AJ$5,),R419),INDEX(OFFSET(Arb!$B$2,,,Arb!$AJ$5,),R419),INDEX(OFFSET(Arb!$A$2,,,Arb!$AJ$5,),R419))+ROW()*0.001)</f>
        <v/>
      </c>
      <c r="Y419" s="436">
        <v>277</v>
      </c>
      <c r="AA419" s="52" t="str">
        <f ca="1">IF(Z419="","",INDEX(OFFSET(Arb!$H$2,,,Arb!$AJ$5,),Z419))</f>
        <v/>
      </c>
      <c r="AB419" s="3" t="str">
        <f t="shared" ca="1" si="118"/>
        <v/>
      </c>
      <c r="AC419" s="165" t="str">
        <f ca="1">IF(Z419="","",INDEX(OFFSET(Arb!$X$2,,,Arb!$AJ$5,),Z419)/AA419)</f>
        <v/>
      </c>
      <c r="AD419" s="165" t="str">
        <f ca="1">IF(Z419="","",(INDEX(OFFSET(Arb!$U$2,,,Arb!$AJ$5,),Z419)+INDEX(OFFSET(Arb!$V$2,,,Arb!$AJ$5,),Z419))/AA419)</f>
        <v/>
      </c>
      <c r="AE419" s="51" t="str">
        <f t="shared" ca="1" si="128"/>
        <v/>
      </c>
      <c r="AF419" s="91" t="str">
        <f ca="1">IF(Z419="","",DATE(INDEX(OFFSET(Arb!$C$2,,,Arb!$AJ$5,),Z419),INDEX(OFFSET(Arb!$B$2,,,Arb!$AJ$5,),Z419),INDEX(OFFSET(Arb!$A$2,,,Arb!$AJ$5,),Z419))+ROW()*0.001)</f>
        <v/>
      </c>
      <c r="AG419" s="442">
        <v>277</v>
      </c>
      <c r="AI419" s="52" t="str">
        <f ca="1">IF(AH419="","",INDEX(OFFSET(Arb!$H$2,,,Arb!$AJ$5,),AH419))</f>
        <v/>
      </c>
      <c r="AJ419" s="3" t="str">
        <f t="shared" ca="1" si="119"/>
        <v/>
      </c>
      <c r="AK419" s="165" t="str">
        <f ca="1">IF(AH419="","",INDEX(OFFSET(Arb!$X$2,,,Arb!$AJ$5,),AH419)/AI419)</f>
        <v/>
      </c>
      <c r="AL419" s="165" t="str">
        <f ca="1">IF(AH419="","",(INDEX(OFFSET(Arb!$U$2,,,Arb!$AJ$5,),AH419)+INDEX(OFFSET(Arb!$V$2,,,Arb!$AJ$5,),AH419))/AI419)</f>
        <v/>
      </c>
      <c r="AM419" s="51" t="str">
        <f t="shared" ca="1" si="129"/>
        <v/>
      </c>
      <c r="AN419" s="88" t="str">
        <f ca="1">IF(AH419="","",DATE(INDEX(OFFSET(Arb!$C$2,,,Arb!$AJ$5,),AH419),INDEX(OFFSET(Arb!$B$2,,,Arb!$AJ$5,),AH419),INDEX(OFFSET(Arb!$A$2,,,Arb!$AJ$5,),AH419))+ROW()*0.001)</f>
        <v/>
      </c>
      <c r="AO419" s="436">
        <v>277</v>
      </c>
      <c r="AQ419" s="52" t="str">
        <f ca="1">IF(AP419="","",INDEX(OFFSET(Arb!$H$2,,,Arb!$AJ$5,),AP419))</f>
        <v/>
      </c>
      <c r="AR419" s="3" t="str">
        <f t="shared" ca="1" si="120"/>
        <v/>
      </c>
      <c r="AS419" s="165" t="str">
        <f ca="1">IF(AP419="","",INDEX(OFFSET(Arb!$X$2,,,Arb!$AJ$5,),AP419)/AQ419)</f>
        <v/>
      </c>
      <c r="AT419" s="165" t="str">
        <f ca="1">IF(AP419="","",(INDEX(OFFSET(Arb!$U$2,,,Arb!$AJ$5,),AP419)+INDEX(OFFSET(Arb!$V$2,,,Arb!$AJ$5,),AP419))/AQ419)</f>
        <v/>
      </c>
      <c r="AU419" s="51" t="str">
        <f t="shared" ca="1" si="130"/>
        <v/>
      </c>
      <c r="AV419" s="91" t="str">
        <f ca="1">IF(AP419="","",DATE(INDEX(OFFSET(Arb!$C$2,,,Arb!$AJ$5,),AP419),INDEX(OFFSET(Arb!$B$2,,,Arb!$AJ$5,),AP419),INDEX(OFFSET(Arb!$A$2,,,Arb!$AJ$5,),AP419))+ROW()*0.001)</f>
        <v/>
      </c>
      <c r="AW419" s="442">
        <v>277</v>
      </c>
      <c r="AY419" s="52" t="str">
        <f ca="1">IF(AX419="","",INDEX(OFFSET(Arb!$H$2,,,Arb!$AJ$5,),AX419))</f>
        <v/>
      </c>
      <c r="AZ419" s="3" t="str">
        <f t="shared" ca="1" si="121"/>
        <v/>
      </c>
      <c r="BA419" s="165" t="str">
        <f ca="1">IF(AX419="","",INDEX(OFFSET(Arb!$X$2,,,Arb!$AJ$5,),AX419)/AY419)</f>
        <v/>
      </c>
      <c r="BB419" s="165" t="str">
        <f ca="1">IF(AX419="","",(INDEX(OFFSET(Arb!$U$2,,,Arb!$AJ$5,),AX419)+INDEX(OFFSET(Arb!$V$2,,,Arb!$AJ$5,),AX419))/AY419)</f>
        <v/>
      </c>
      <c r="BC419" s="51" t="str">
        <f t="shared" ca="1" si="131"/>
        <v/>
      </c>
      <c r="BD419" s="88" t="str">
        <f ca="1">IF(AX419="","",DATE(INDEX(OFFSET(Arb!$C$2,,,Arb!$AJ$5,),AX419),INDEX(OFFSET(Arb!$B$2,,,Arb!$AJ$5,),AX419),INDEX(OFFSET(Arb!$A$2,,,Arb!$AJ$5,),AX419))+ROW()*0.001)</f>
        <v/>
      </c>
      <c r="BE419" s="436">
        <v>277</v>
      </c>
      <c r="BG419" s="52" t="str">
        <f ca="1">IF(BF419="","",INDEX(OFFSET(Arb!$H$2,,,Arb!$AJ$5,),BF419))</f>
        <v/>
      </c>
      <c r="BH419" s="3" t="str">
        <f t="shared" ca="1" si="122"/>
        <v/>
      </c>
      <c r="BI419" s="165" t="str">
        <f ca="1">IF(BF419="","",INDEX(OFFSET(Arb!$X$2,,,Arb!$AJ$5,),BF419)/BG419)</f>
        <v/>
      </c>
      <c r="BJ419" s="165" t="str">
        <f ca="1">IF(BF419="","",(INDEX(OFFSET(Arb!$U$2,,,Arb!$AJ$5,),BF419)+INDEX(OFFSET(Arb!$V$2,,,Arb!$AJ$5,),BF419))/BG419)</f>
        <v/>
      </c>
      <c r="BK419" s="51" t="str">
        <f t="shared" ca="1" si="132"/>
        <v/>
      </c>
      <c r="BL419" s="91" t="str">
        <f ca="1">IF(BF419="","",DATE(INDEX(OFFSET(Arb!$C$2,,,Arb!$AJ$5,),BF419),INDEX(OFFSET(Arb!$B$2,,,Arb!$AJ$5,),BF419),INDEX(OFFSET(Arb!$A$2,,,Arb!$AJ$5,),BF419))+ROW()*0.001)</f>
        <v/>
      </c>
      <c r="BM419" s="442">
        <v>277</v>
      </c>
      <c r="BO419" s="52" t="str">
        <f ca="1">IF(BN419="","",INDEX(OFFSET(Arb!$H$2,,,Arb!$AJ$5,),BN419))</f>
        <v/>
      </c>
      <c r="BP419" s="3" t="str">
        <f t="shared" ca="1" si="123"/>
        <v/>
      </c>
      <c r="BQ419" s="165" t="str">
        <f ca="1">IF(BN419="","",INDEX(OFFSET(Arb!$X$2,,,Arb!$AJ$5,),BN419)/BO419)</f>
        <v/>
      </c>
      <c r="BR419" s="165" t="str">
        <f ca="1">IF(BN419="","",(INDEX(OFFSET(Arb!$U$2,,,Arb!$AJ$5,),BN419)+INDEX(OFFSET(Arb!$V$2,,,Arb!$AJ$5,),BN419))/BO419)</f>
        <v/>
      </c>
      <c r="BS419" s="51" t="str">
        <f t="shared" ca="1" si="133"/>
        <v/>
      </c>
      <c r="BT419" s="88" t="str">
        <f ca="1">IF(BN419="","",DATE(INDEX(OFFSET(Arb!$C$2,,,Arb!$AJ$5,),BN419),INDEX(OFFSET(Arb!$B$2,,,Arb!$AJ$5,),BN419),INDEX(OFFSET(Arb!$A$2,,,Arb!$AJ$5,),BN419))+ROW()*0.001)</f>
        <v/>
      </c>
      <c r="BU419" s="436">
        <v>277</v>
      </c>
      <c r="BW419" s="52" t="str">
        <f ca="1">IF(BV419="","",INDEX(OFFSET(Arb!$H$2,,,Arb!$AJ$5,),BV419))</f>
        <v/>
      </c>
      <c r="BX419" s="3" t="str">
        <f t="shared" ca="1" si="124"/>
        <v/>
      </c>
      <c r="BY419" s="165" t="str">
        <f ca="1">IF(BV419="","",INDEX(OFFSET(Arb!$X$2,,,Arb!$AJ$5,),BV419)/BW419)</f>
        <v/>
      </c>
      <c r="BZ419" s="165" t="str">
        <f ca="1">IF(BV419="","",(INDEX(OFFSET(Arb!$U$2,,,Arb!$AJ$5,),BV419)+INDEX(OFFSET(Arb!$V$2,,,Arb!$AJ$5,),BV419))/BW419)</f>
        <v/>
      </c>
      <c r="CA419" s="51" t="str">
        <f t="shared" ca="1" si="134"/>
        <v/>
      </c>
      <c r="CB419" s="91" t="str">
        <f ca="1">IF(BV419="","",DATE(INDEX(OFFSET(Arb!$C$2,,,Arb!$AJ$5,),BV419),INDEX(OFFSET(Arb!$B$2,,,Arb!$AJ$5,),BV419),INDEX(OFFSET(Arb!$A$2,,,Arb!$AJ$5,),BV419))+ROW()*0.001)</f>
        <v/>
      </c>
    </row>
    <row r="420" spans="1:80" x14ac:dyDescent="0.25">
      <c r="A420" s="433">
        <v>278</v>
      </c>
      <c r="C420" s="52" t="str">
        <f ca="1">IF(B420="","",INDEX(OFFSET(Arb!$H$2,,,Arb!$AJ$5,),B420))</f>
        <v/>
      </c>
      <c r="D420" s="3" t="str">
        <f t="shared" ca="1" si="115"/>
        <v/>
      </c>
      <c r="E420" s="165" t="str">
        <f ca="1">IF(B420="","",INDEX(OFFSET(Arb!$X$2,,,Arb!$AJ$5,),B420)/C420)</f>
        <v/>
      </c>
      <c r="F420" s="165" t="str">
        <f ca="1">IF(B420="","",(INDEX(OFFSET(Arb!$U$2,,,Arb!$AJ$5,),B420)+INDEX(OFFSET(Arb!$V$2,,,Arb!$AJ$5,),B420))/C420)</f>
        <v/>
      </c>
      <c r="G420" s="51" t="str">
        <f t="shared" ca="1" si="125"/>
        <v/>
      </c>
      <c r="H420" s="355" t="str">
        <f ca="1">IF(B420="","",DATE(INDEX(OFFSET(Arb!$C$2,,,Arb!$AJ$5,),B420),INDEX(OFFSET(Arb!$B$2,,,Arb!$AJ$5,),B420),INDEX(OFFSET(Arb!$A$2,,,Arb!$AJ$5,),B420))+ROW()*0.001)</f>
        <v/>
      </c>
      <c r="I420" s="436">
        <v>278</v>
      </c>
      <c r="K420" s="52" t="str">
        <f ca="1">IF(J420="","",INDEX(OFFSET(Arb!$H$2,,,Arb!$AJ$5,),J420))</f>
        <v/>
      </c>
      <c r="L420" s="3" t="str">
        <f t="shared" ca="1" si="116"/>
        <v/>
      </c>
      <c r="M420" s="165" t="str">
        <f ca="1">IF(J420="","",INDEX(OFFSET(Arb!$X$2,,,Arb!$AJ$5,),J420)/K420)</f>
        <v/>
      </c>
      <c r="N420" s="165" t="str">
        <f ca="1">IF(J420="","",(INDEX(OFFSET(Arb!$U$2,,,Arb!$AJ$5,),J420)+INDEX(OFFSET(Arb!$V$2,,,Arb!$AJ$5,),J420))/K420)</f>
        <v/>
      </c>
      <c r="O420" s="51" t="str">
        <f t="shared" ca="1" si="126"/>
        <v/>
      </c>
      <c r="P420" s="91" t="str">
        <f ca="1">IF(J420="","",DATE(INDEX(OFFSET(Arb!$C$2,,,Arb!$AJ$5,),J420),INDEX(OFFSET(Arb!$B$2,,,Arb!$AJ$5,),J420),INDEX(OFFSET(Arb!$A$2,,,Arb!$AJ$5,),J420))+ROW()*0.001)</f>
        <v/>
      </c>
      <c r="Q420" s="442">
        <v>278</v>
      </c>
      <c r="S420" s="52" t="str">
        <f ca="1">IF(R420="","",INDEX(OFFSET(Arb!$H$2,,,Arb!$AJ$5,),R420))</f>
        <v/>
      </c>
      <c r="T420" s="3" t="str">
        <f t="shared" ca="1" si="117"/>
        <v/>
      </c>
      <c r="U420" s="165" t="str">
        <f ca="1">IF(R420="","",INDEX(OFFSET(Arb!$X$2,,,Arb!$AJ$5,),R420)/S420)</f>
        <v/>
      </c>
      <c r="V420" s="165" t="str">
        <f ca="1">IF(R420="","",(INDEX(OFFSET(Arb!$U$2,,,Arb!$AJ$5,),R420)+INDEX(OFFSET(Arb!$V$2,,,Arb!$AJ$5,),R420))/S420)</f>
        <v/>
      </c>
      <c r="W420" s="51" t="str">
        <f t="shared" ca="1" si="127"/>
        <v/>
      </c>
      <c r="X420" s="88" t="str">
        <f ca="1">IF(R420="","",DATE(INDEX(OFFSET(Arb!$C$2,,,Arb!$AJ$5,),R420),INDEX(OFFSET(Arb!$B$2,,,Arb!$AJ$5,),R420),INDEX(OFFSET(Arb!$A$2,,,Arb!$AJ$5,),R420))+ROW()*0.001)</f>
        <v/>
      </c>
      <c r="Y420" s="436">
        <v>278</v>
      </c>
      <c r="AA420" s="52" t="str">
        <f ca="1">IF(Z420="","",INDEX(OFFSET(Arb!$H$2,,,Arb!$AJ$5,),Z420))</f>
        <v/>
      </c>
      <c r="AB420" s="3" t="str">
        <f t="shared" ca="1" si="118"/>
        <v/>
      </c>
      <c r="AC420" s="165" t="str">
        <f ca="1">IF(Z420="","",INDEX(OFFSET(Arb!$X$2,,,Arb!$AJ$5,),Z420)/AA420)</f>
        <v/>
      </c>
      <c r="AD420" s="165" t="str">
        <f ca="1">IF(Z420="","",(INDEX(OFFSET(Arb!$U$2,,,Arb!$AJ$5,),Z420)+INDEX(OFFSET(Arb!$V$2,,,Arb!$AJ$5,),Z420))/AA420)</f>
        <v/>
      </c>
      <c r="AE420" s="51" t="str">
        <f t="shared" ca="1" si="128"/>
        <v/>
      </c>
      <c r="AF420" s="91" t="str">
        <f ca="1">IF(Z420="","",DATE(INDEX(OFFSET(Arb!$C$2,,,Arb!$AJ$5,),Z420),INDEX(OFFSET(Arb!$B$2,,,Arb!$AJ$5,),Z420),INDEX(OFFSET(Arb!$A$2,,,Arb!$AJ$5,),Z420))+ROW()*0.001)</f>
        <v/>
      </c>
      <c r="AG420" s="442">
        <v>278</v>
      </c>
      <c r="AI420" s="52" t="str">
        <f ca="1">IF(AH420="","",INDEX(OFFSET(Arb!$H$2,,,Arb!$AJ$5,),AH420))</f>
        <v/>
      </c>
      <c r="AJ420" s="3" t="str">
        <f t="shared" ca="1" si="119"/>
        <v/>
      </c>
      <c r="AK420" s="165" t="str">
        <f ca="1">IF(AH420="","",INDEX(OFFSET(Arb!$X$2,,,Arb!$AJ$5,),AH420)/AI420)</f>
        <v/>
      </c>
      <c r="AL420" s="165" t="str">
        <f ca="1">IF(AH420="","",(INDEX(OFFSET(Arb!$U$2,,,Arb!$AJ$5,),AH420)+INDEX(OFFSET(Arb!$V$2,,,Arb!$AJ$5,),AH420))/AI420)</f>
        <v/>
      </c>
      <c r="AM420" s="51" t="str">
        <f t="shared" ca="1" si="129"/>
        <v/>
      </c>
      <c r="AN420" s="88" t="str">
        <f ca="1">IF(AH420="","",DATE(INDEX(OFFSET(Arb!$C$2,,,Arb!$AJ$5,),AH420),INDEX(OFFSET(Arb!$B$2,,,Arb!$AJ$5,),AH420),INDEX(OFFSET(Arb!$A$2,,,Arb!$AJ$5,),AH420))+ROW()*0.001)</f>
        <v/>
      </c>
      <c r="AO420" s="436">
        <v>278</v>
      </c>
      <c r="AQ420" s="52" t="str">
        <f ca="1">IF(AP420="","",INDEX(OFFSET(Arb!$H$2,,,Arb!$AJ$5,),AP420))</f>
        <v/>
      </c>
      <c r="AR420" s="3" t="str">
        <f t="shared" ca="1" si="120"/>
        <v/>
      </c>
      <c r="AS420" s="165" t="str">
        <f ca="1">IF(AP420="","",INDEX(OFFSET(Arb!$X$2,,,Arb!$AJ$5,),AP420)/AQ420)</f>
        <v/>
      </c>
      <c r="AT420" s="165" t="str">
        <f ca="1">IF(AP420="","",(INDEX(OFFSET(Arb!$U$2,,,Arb!$AJ$5,),AP420)+INDEX(OFFSET(Arb!$V$2,,,Arb!$AJ$5,),AP420))/AQ420)</f>
        <v/>
      </c>
      <c r="AU420" s="51" t="str">
        <f t="shared" ca="1" si="130"/>
        <v/>
      </c>
      <c r="AV420" s="91" t="str">
        <f ca="1">IF(AP420="","",DATE(INDEX(OFFSET(Arb!$C$2,,,Arb!$AJ$5,),AP420),INDEX(OFFSET(Arb!$B$2,,,Arb!$AJ$5,),AP420),INDEX(OFFSET(Arb!$A$2,,,Arb!$AJ$5,),AP420))+ROW()*0.001)</f>
        <v/>
      </c>
      <c r="AW420" s="442">
        <v>278</v>
      </c>
      <c r="AY420" s="52" t="str">
        <f ca="1">IF(AX420="","",INDEX(OFFSET(Arb!$H$2,,,Arb!$AJ$5,),AX420))</f>
        <v/>
      </c>
      <c r="AZ420" s="3" t="str">
        <f t="shared" ca="1" si="121"/>
        <v/>
      </c>
      <c r="BA420" s="165" t="str">
        <f ca="1">IF(AX420="","",INDEX(OFFSET(Arb!$X$2,,,Arb!$AJ$5,),AX420)/AY420)</f>
        <v/>
      </c>
      <c r="BB420" s="165" t="str">
        <f ca="1">IF(AX420="","",(INDEX(OFFSET(Arb!$U$2,,,Arb!$AJ$5,),AX420)+INDEX(OFFSET(Arb!$V$2,,,Arb!$AJ$5,),AX420))/AY420)</f>
        <v/>
      </c>
      <c r="BC420" s="51" t="str">
        <f t="shared" ca="1" si="131"/>
        <v/>
      </c>
      <c r="BD420" s="88" t="str">
        <f ca="1">IF(AX420="","",DATE(INDEX(OFFSET(Arb!$C$2,,,Arb!$AJ$5,),AX420),INDEX(OFFSET(Arb!$B$2,,,Arb!$AJ$5,),AX420),INDEX(OFFSET(Arb!$A$2,,,Arb!$AJ$5,),AX420))+ROW()*0.001)</f>
        <v/>
      </c>
      <c r="BE420" s="436">
        <v>278</v>
      </c>
      <c r="BG420" s="52" t="str">
        <f ca="1">IF(BF420="","",INDEX(OFFSET(Arb!$H$2,,,Arb!$AJ$5,),BF420))</f>
        <v/>
      </c>
      <c r="BH420" s="3" t="str">
        <f t="shared" ca="1" si="122"/>
        <v/>
      </c>
      <c r="BI420" s="165" t="str">
        <f ca="1">IF(BF420="","",INDEX(OFFSET(Arb!$X$2,,,Arb!$AJ$5,),BF420)/BG420)</f>
        <v/>
      </c>
      <c r="BJ420" s="165" t="str">
        <f ca="1">IF(BF420="","",(INDEX(OFFSET(Arb!$U$2,,,Arb!$AJ$5,),BF420)+INDEX(OFFSET(Arb!$V$2,,,Arb!$AJ$5,),BF420))/BG420)</f>
        <v/>
      </c>
      <c r="BK420" s="51" t="str">
        <f t="shared" ca="1" si="132"/>
        <v/>
      </c>
      <c r="BL420" s="91" t="str">
        <f ca="1">IF(BF420="","",DATE(INDEX(OFFSET(Arb!$C$2,,,Arb!$AJ$5,),BF420),INDEX(OFFSET(Arb!$B$2,,,Arb!$AJ$5,),BF420),INDEX(OFFSET(Arb!$A$2,,,Arb!$AJ$5,),BF420))+ROW()*0.001)</f>
        <v/>
      </c>
      <c r="BM420" s="442">
        <v>278</v>
      </c>
      <c r="BO420" s="52" t="str">
        <f ca="1">IF(BN420="","",INDEX(OFFSET(Arb!$H$2,,,Arb!$AJ$5,),BN420))</f>
        <v/>
      </c>
      <c r="BP420" s="3" t="str">
        <f t="shared" ca="1" si="123"/>
        <v/>
      </c>
      <c r="BQ420" s="165" t="str">
        <f ca="1">IF(BN420="","",INDEX(OFFSET(Arb!$X$2,,,Arb!$AJ$5,),BN420)/BO420)</f>
        <v/>
      </c>
      <c r="BR420" s="165" t="str">
        <f ca="1">IF(BN420="","",(INDEX(OFFSET(Arb!$U$2,,,Arb!$AJ$5,),BN420)+INDEX(OFFSET(Arb!$V$2,,,Arb!$AJ$5,),BN420))/BO420)</f>
        <v/>
      </c>
      <c r="BS420" s="51" t="str">
        <f t="shared" ca="1" si="133"/>
        <v/>
      </c>
      <c r="BT420" s="88" t="str">
        <f ca="1">IF(BN420="","",DATE(INDEX(OFFSET(Arb!$C$2,,,Arb!$AJ$5,),BN420),INDEX(OFFSET(Arb!$B$2,,,Arb!$AJ$5,),BN420),INDEX(OFFSET(Arb!$A$2,,,Arb!$AJ$5,),BN420))+ROW()*0.001)</f>
        <v/>
      </c>
      <c r="BU420" s="436">
        <v>278</v>
      </c>
      <c r="BW420" s="52" t="str">
        <f ca="1">IF(BV420="","",INDEX(OFFSET(Arb!$H$2,,,Arb!$AJ$5,),BV420))</f>
        <v/>
      </c>
      <c r="BX420" s="3" t="str">
        <f t="shared" ca="1" si="124"/>
        <v/>
      </c>
      <c r="BY420" s="165" t="str">
        <f ca="1">IF(BV420="","",INDEX(OFFSET(Arb!$X$2,,,Arb!$AJ$5,),BV420)/BW420)</f>
        <v/>
      </c>
      <c r="BZ420" s="165" t="str">
        <f ca="1">IF(BV420="","",(INDEX(OFFSET(Arb!$U$2,,,Arb!$AJ$5,),BV420)+INDEX(OFFSET(Arb!$V$2,,,Arb!$AJ$5,),BV420))/BW420)</f>
        <v/>
      </c>
      <c r="CA420" s="51" t="str">
        <f t="shared" ca="1" si="134"/>
        <v/>
      </c>
      <c r="CB420" s="91" t="str">
        <f ca="1">IF(BV420="","",DATE(INDEX(OFFSET(Arb!$C$2,,,Arb!$AJ$5,),BV420),INDEX(OFFSET(Arb!$B$2,,,Arb!$AJ$5,),BV420),INDEX(OFFSET(Arb!$A$2,,,Arb!$AJ$5,),BV420))+ROW()*0.001)</f>
        <v/>
      </c>
    </row>
    <row r="421" spans="1:80" x14ac:dyDescent="0.25">
      <c r="A421" s="433">
        <v>279</v>
      </c>
      <c r="C421" s="52" t="str">
        <f ca="1">IF(B421="","",INDEX(OFFSET(Arb!$H$2,,,Arb!$AJ$5,),B421))</f>
        <v/>
      </c>
      <c r="D421" s="3" t="str">
        <f t="shared" ref="D421:D429" ca="1" si="135">IFERROR(A421/C421,"")</f>
        <v/>
      </c>
      <c r="E421" s="165" t="str">
        <f ca="1">IF(B421="","",INDEX(OFFSET(Arb!$X$2,,,Arb!$AJ$5,),B421)/C421)</f>
        <v/>
      </c>
      <c r="F421" s="165" t="str">
        <f ca="1">IF(B421="","",(INDEX(OFFSET(Arb!$U$2,,,Arb!$AJ$5,),B421)+INDEX(OFFSET(Arb!$V$2,,,Arb!$AJ$5,),B421))/C421)</f>
        <v/>
      </c>
      <c r="G421" s="51" t="str">
        <f t="shared" ca="1" si="125"/>
        <v/>
      </c>
      <c r="H421" s="355" t="str">
        <f ca="1">IF(B421="","",DATE(INDEX(OFFSET(Arb!$C$2,,,Arb!$AJ$5,),B421),INDEX(OFFSET(Arb!$B$2,,,Arb!$AJ$5,),B421),INDEX(OFFSET(Arb!$A$2,,,Arb!$AJ$5,),B421))+ROW()*0.001)</f>
        <v/>
      </c>
      <c r="I421" s="436">
        <v>279</v>
      </c>
      <c r="K421" s="52" t="str">
        <f ca="1">IF(J421="","",INDEX(OFFSET(Arb!$H$2,,,Arb!$AJ$5,),J421))</f>
        <v/>
      </c>
      <c r="L421" s="3" t="str">
        <f t="shared" ref="L421:L429" ca="1" si="136">IFERROR(I421/K421,"")</f>
        <v/>
      </c>
      <c r="M421" s="165" t="str">
        <f ca="1">IF(J421="","",INDEX(OFFSET(Arb!$X$2,,,Arb!$AJ$5,),J421)/K421)</f>
        <v/>
      </c>
      <c r="N421" s="165" t="str">
        <f ca="1">IF(J421="","",(INDEX(OFFSET(Arb!$U$2,,,Arb!$AJ$5,),J421)+INDEX(OFFSET(Arb!$V$2,,,Arb!$AJ$5,),J421))/K421)</f>
        <v/>
      </c>
      <c r="O421" s="51" t="str">
        <f t="shared" ca="1" si="126"/>
        <v/>
      </c>
      <c r="P421" s="91" t="str">
        <f ca="1">IF(J421="","",DATE(INDEX(OFFSET(Arb!$C$2,,,Arb!$AJ$5,),J421),INDEX(OFFSET(Arb!$B$2,,,Arb!$AJ$5,),J421),INDEX(OFFSET(Arb!$A$2,,,Arb!$AJ$5,),J421))+ROW()*0.001)</f>
        <v/>
      </c>
      <c r="Q421" s="442">
        <v>279</v>
      </c>
      <c r="S421" s="52" t="str">
        <f ca="1">IF(R421="","",INDEX(OFFSET(Arb!$H$2,,,Arb!$AJ$5,),R421))</f>
        <v/>
      </c>
      <c r="T421" s="3" t="str">
        <f t="shared" ref="T421:T429" ca="1" si="137">IFERROR(Q421/S421,"")</f>
        <v/>
      </c>
      <c r="U421" s="165" t="str">
        <f ca="1">IF(R421="","",INDEX(OFFSET(Arb!$X$2,,,Arb!$AJ$5,),R421)/S421)</f>
        <v/>
      </c>
      <c r="V421" s="165" t="str">
        <f ca="1">IF(R421="","",(INDEX(OFFSET(Arb!$U$2,,,Arb!$AJ$5,),R421)+INDEX(OFFSET(Arb!$V$2,,,Arb!$AJ$5,),R421))/S421)</f>
        <v/>
      </c>
      <c r="W421" s="51" t="str">
        <f t="shared" ca="1" si="127"/>
        <v/>
      </c>
      <c r="X421" s="88" t="str">
        <f ca="1">IF(R421="","",DATE(INDEX(OFFSET(Arb!$C$2,,,Arb!$AJ$5,),R421),INDEX(OFFSET(Arb!$B$2,,,Arb!$AJ$5,),R421),INDEX(OFFSET(Arb!$A$2,,,Arb!$AJ$5,),R421))+ROW()*0.001)</f>
        <v/>
      </c>
      <c r="Y421" s="436">
        <v>279</v>
      </c>
      <c r="AA421" s="52" t="str">
        <f ca="1">IF(Z421="","",INDEX(OFFSET(Arb!$H$2,,,Arb!$AJ$5,),Z421))</f>
        <v/>
      </c>
      <c r="AB421" s="3" t="str">
        <f t="shared" ref="AB421:AB429" ca="1" si="138">IFERROR(Y421/AA421,"")</f>
        <v/>
      </c>
      <c r="AC421" s="165" t="str">
        <f ca="1">IF(Z421="","",INDEX(OFFSET(Arb!$X$2,,,Arb!$AJ$5,),Z421)/AA421)</f>
        <v/>
      </c>
      <c r="AD421" s="165" t="str">
        <f ca="1">IF(Z421="","",(INDEX(OFFSET(Arb!$U$2,,,Arb!$AJ$5,),Z421)+INDEX(OFFSET(Arb!$V$2,,,Arb!$AJ$5,),Z421))/AA421)</f>
        <v/>
      </c>
      <c r="AE421" s="51" t="str">
        <f t="shared" ca="1" si="128"/>
        <v/>
      </c>
      <c r="AF421" s="91" t="str">
        <f ca="1">IF(Z421="","",DATE(INDEX(OFFSET(Arb!$C$2,,,Arb!$AJ$5,),Z421),INDEX(OFFSET(Arb!$B$2,,,Arb!$AJ$5,),Z421),INDEX(OFFSET(Arb!$A$2,,,Arb!$AJ$5,),Z421))+ROW()*0.001)</f>
        <v/>
      </c>
      <c r="AG421" s="442">
        <v>279</v>
      </c>
      <c r="AI421" s="52" t="str">
        <f ca="1">IF(AH421="","",INDEX(OFFSET(Arb!$H$2,,,Arb!$AJ$5,),AH421))</f>
        <v/>
      </c>
      <c r="AJ421" s="3" t="str">
        <f t="shared" ref="AJ421:AJ429" ca="1" si="139">IFERROR(AG421/AI421,"")</f>
        <v/>
      </c>
      <c r="AK421" s="165" t="str">
        <f ca="1">IF(AH421="","",INDEX(OFFSET(Arb!$X$2,,,Arb!$AJ$5,),AH421)/AI421)</f>
        <v/>
      </c>
      <c r="AL421" s="165" t="str">
        <f ca="1">IF(AH421="","",(INDEX(OFFSET(Arb!$U$2,,,Arb!$AJ$5,),AH421)+INDEX(OFFSET(Arb!$V$2,,,Arb!$AJ$5,),AH421))/AI421)</f>
        <v/>
      </c>
      <c r="AM421" s="51" t="str">
        <f t="shared" ca="1" si="129"/>
        <v/>
      </c>
      <c r="AN421" s="88" t="str">
        <f ca="1">IF(AH421="","",DATE(INDEX(OFFSET(Arb!$C$2,,,Arb!$AJ$5,),AH421),INDEX(OFFSET(Arb!$B$2,,,Arb!$AJ$5,),AH421),INDEX(OFFSET(Arb!$A$2,,,Arb!$AJ$5,),AH421))+ROW()*0.001)</f>
        <v/>
      </c>
      <c r="AO421" s="436">
        <v>279</v>
      </c>
      <c r="AQ421" s="52" t="str">
        <f ca="1">IF(AP421="","",INDEX(OFFSET(Arb!$H$2,,,Arb!$AJ$5,),AP421))</f>
        <v/>
      </c>
      <c r="AR421" s="3" t="str">
        <f t="shared" ref="AR421:AR429" ca="1" si="140">IFERROR(AO421/AQ421,"")</f>
        <v/>
      </c>
      <c r="AS421" s="165" t="str">
        <f ca="1">IF(AP421="","",INDEX(OFFSET(Arb!$X$2,,,Arb!$AJ$5,),AP421)/AQ421)</f>
        <v/>
      </c>
      <c r="AT421" s="165" t="str">
        <f ca="1">IF(AP421="","",(INDEX(OFFSET(Arb!$U$2,,,Arb!$AJ$5,),AP421)+INDEX(OFFSET(Arb!$V$2,,,Arb!$AJ$5,),AP421))/AQ421)</f>
        <v/>
      </c>
      <c r="AU421" s="51" t="str">
        <f t="shared" ca="1" si="130"/>
        <v/>
      </c>
      <c r="AV421" s="91" t="str">
        <f ca="1">IF(AP421="","",DATE(INDEX(OFFSET(Arb!$C$2,,,Arb!$AJ$5,),AP421),INDEX(OFFSET(Arb!$B$2,,,Arb!$AJ$5,),AP421),INDEX(OFFSET(Arb!$A$2,,,Arb!$AJ$5,),AP421))+ROW()*0.001)</f>
        <v/>
      </c>
      <c r="AW421" s="442">
        <v>279</v>
      </c>
      <c r="AY421" s="52" t="str">
        <f ca="1">IF(AX421="","",INDEX(OFFSET(Arb!$H$2,,,Arb!$AJ$5,),AX421))</f>
        <v/>
      </c>
      <c r="AZ421" s="3" t="str">
        <f t="shared" ref="AZ421:AZ429" ca="1" si="141">IFERROR(AW421/AY421,"")</f>
        <v/>
      </c>
      <c r="BA421" s="165" t="str">
        <f ca="1">IF(AX421="","",INDEX(OFFSET(Arb!$X$2,,,Arb!$AJ$5,),AX421)/AY421)</f>
        <v/>
      </c>
      <c r="BB421" s="165" t="str">
        <f ca="1">IF(AX421="","",(INDEX(OFFSET(Arb!$U$2,,,Arb!$AJ$5,),AX421)+INDEX(OFFSET(Arb!$V$2,,,Arb!$AJ$5,),AX421))/AY421)</f>
        <v/>
      </c>
      <c r="BC421" s="51" t="str">
        <f t="shared" ca="1" si="131"/>
        <v/>
      </c>
      <c r="BD421" s="88" t="str">
        <f ca="1">IF(AX421="","",DATE(INDEX(OFFSET(Arb!$C$2,,,Arb!$AJ$5,),AX421),INDEX(OFFSET(Arb!$B$2,,,Arb!$AJ$5,),AX421),INDEX(OFFSET(Arb!$A$2,,,Arb!$AJ$5,),AX421))+ROW()*0.001)</f>
        <v/>
      </c>
      <c r="BE421" s="436">
        <v>279</v>
      </c>
      <c r="BG421" s="52" t="str">
        <f ca="1">IF(BF421="","",INDEX(OFFSET(Arb!$H$2,,,Arb!$AJ$5,),BF421))</f>
        <v/>
      </c>
      <c r="BH421" s="3" t="str">
        <f t="shared" ref="BH421:BH429" ca="1" si="142">IFERROR(BE421/BG421,"")</f>
        <v/>
      </c>
      <c r="BI421" s="165" t="str">
        <f ca="1">IF(BF421="","",INDEX(OFFSET(Arb!$X$2,,,Arb!$AJ$5,),BF421)/BG421)</f>
        <v/>
      </c>
      <c r="BJ421" s="165" t="str">
        <f ca="1">IF(BF421="","",(INDEX(OFFSET(Arb!$U$2,,,Arb!$AJ$5,),BF421)+INDEX(OFFSET(Arb!$V$2,,,Arb!$AJ$5,),BF421))/BG421)</f>
        <v/>
      </c>
      <c r="BK421" s="51" t="str">
        <f t="shared" ca="1" si="132"/>
        <v/>
      </c>
      <c r="BL421" s="91" t="str">
        <f ca="1">IF(BF421="","",DATE(INDEX(OFFSET(Arb!$C$2,,,Arb!$AJ$5,),BF421),INDEX(OFFSET(Arb!$B$2,,,Arb!$AJ$5,),BF421),INDEX(OFFSET(Arb!$A$2,,,Arb!$AJ$5,),BF421))+ROW()*0.001)</f>
        <v/>
      </c>
      <c r="BM421" s="442">
        <v>279</v>
      </c>
      <c r="BO421" s="52" t="str">
        <f ca="1">IF(BN421="","",INDEX(OFFSET(Arb!$H$2,,,Arb!$AJ$5,),BN421))</f>
        <v/>
      </c>
      <c r="BP421" s="3" t="str">
        <f t="shared" ref="BP421:BP429" ca="1" si="143">IFERROR(BM421/BO421,"")</f>
        <v/>
      </c>
      <c r="BQ421" s="165" t="str">
        <f ca="1">IF(BN421="","",INDEX(OFFSET(Arb!$X$2,,,Arb!$AJ$5,),BN421)/BO421)</f>
        <v/>
      </c>
      <c r="BR421" s="165" t="str">
        <f ca="1">IF(BN421="","",(INDEX(OFFSET(Arb!$U$2,,,Arb!$AJ$5,),BN421)+INDEX(OFFSET(Arb!$V$2,,,Arb!$AJ$5,),BN421))/BO421)</f>
        <v/>
      </c>
      <c r="BS421" s="51" t="str">
        <f t="shared" ca="1" si="133"/>
        <v/>
      </c>
      <c r="BT421" s="88" t="str">
        <f ca="1">IF(BN421="","",DATE(INDEX(OFFSET(Arb!$C$2,,,Arb!$AJ$5,),BN421),INDEX(OFFSET(Arb!$B$2,,,Arb!$AJ$5,),BN421),INDEX(OFFSET(Arb!$A$2,,,Arb!$AJ$5,),BN421))+ROW()*0.001)</f>
        <v/>
      </c>
      <c r="BU421" s="436">
        <v>279</v>
      </c>
      <c r="BW421" s="52" t="str">
        <f ca="1">IF(BV421="","",INDEX(OFFSET(Arb!$H$2,,,Arb!$AJ$5,),BV421))</f>
        <v/>
      </c>
      <c r="BX421" s="3" t="str">
        <f t="shared" ref="BX421:BX429" ca="1" si="144">IFERROR(BU421/BW421,"")</f>
        <v/>
      </c>
      <c r="BY421" s="165" t="str">
        <f ca="1">IF(BV421="","",INDEX(OFFSET(Arb!$X$2,,,Arb!$AJ$5,),BV421)/BW421)</f>
        <v/>
      </c>
      <c r="BZ421" s="165" t="str">
        <f ca="1">IF(BV421="","",(INDEX(OFFSET(Arb!$U$2,,,Arb!$AJ$5,),BV421)+INDEX(OFFSET(Arb!$V$2,,,Arb!$AJ$5,),BV421))/BW421)</f>
        <v/>
      </c>
      <c r="CA421" s="51" t="str">
        <f t="shared" ca="1" si="134"/>
        <v/>
      </c>
      <c r="CB421" s="91" t="str">
        <f ca="1">IF(BV421="","",DATE(INDEX(OFFSET(Arb!$C$2,,,Arb!$AJ$5,),BV421),INDEX(OFFSET(Arb!$B$2,,,Arb!$AJ$5,),BV421),INDEX(OFFSET(Arb!$A$2,,,Arb!$AJ$5,),BV421))+ROW()*0.001)</f>
        <v/>
      </c>
    </row>
    <row r="422" spans="1:80" x14ac:dyDescent="0.25">
      <c r="A422" s="433">
        <v>280</v>
      </c>
      <c r="C422" s="52" t="str">
        <f ca="1">IF(B422="","",INDEX(OFFSET(Arb!$H$2,,,Arb!$AJ$5,),B422))</f>
        <v/>
      </c>
      <c r="D422" s="3" t="str">
        <f t="shared" ca="1" si="135"/>
        <v/>
      </c>
      <c r="E422" s="165" t="str">
        <f ca="1">IF(B422="","",INDEX(OFFSET(Arb!$X$2,,,Arb!$AJ$5,),B422)/C422)</f>
        <v/>
      </c>
      <c r="F422" s="165" t="str">
        <f ca="1">IF(B422="","",(INDEX(OFFSET(Arb!$U$2,,,Arb!$AJ$5,),B422)+INDEX(OFFSET(Arb!$V$2,,,Arb!$AJ$5,),B422))/C422)</f>
        <v/>
      </c>
      <c r="G422" s="51" t="str">
        <f t="shared" ca="1" si="125"/>
        <v/>
      </c>
      <c r="H422" s="355" t="str">
        <f ca="1">IF(B422="","",DATE(INDEX(OFFSET(Arb!$C$2,,,Arb!$AJ$5,),B422),INDEX(OFFSET(Arb!$B$2,,,Arb!$AJ$5,),B422),INDEX(OFFSET(Arb!$A$2,,,Arb!$AJ$5,),B422))+ROW()*0.001)</f>
        <v/>
      </c>
      <c r="I422" s="436">
        <v>280</v>
      </c>
      <c r="K422" s="52" t="str">
        <f ca="1">IF(J422="","",INDEX(OFFSET(Arb!$H$2,,,Arb!$AJ$5,),J422))</f>
        <v/>
      </c>
      <c r="L422" s="3" t="str">
        <f t="shared" ca="1" si="136"/>
        <v/>
      </c>
      <c r="M422" s="165" t="str">
        <f ca="1">IF(J422="","",INDEX(OFFSET(Arb!$X$2,,,Arb!$AJ$5,),J422)/K422)</f>
        <v/>
      </c>
      <c r="N422" s="165" t="str">
        <f ca="1">IF(J422="","",(INDEX(OFFSET(Arb!$U$2,,,Arb!$AJ$5,),J422)+INDEX(OFFSET(Arb!$V$2,,,Arb!$AJ$5,),J422))/K422)</f>
        <v/>
      </c>
      <c r="O422" s="51" t="str">
        <f t="shared" ca="1" si="126"/>
        <v/>
      </c>
      <c r="P422" s="91" t="str">
        <f ca="1">IF(J422="","",DATE(INDEX(OFFSET(Arb!$C$2,,,Arb!$AJ$5,),J422),INDEX(OFFSET(Arb!$B$2,,,Arb!$AJ$5,),J422),INDEX(OFFSET(Arb!$A$2,,,Arb!$AJ$5,),J422))+ROW()*0.001)</f>
        <v/>
      </c>
      <c r="Q422" s="442">
        <v>280</v>
      </c>
      <c r="S422" s="52" t="str">
        <f ca="1">IF(R422="","",INDEX(OFFSET(Arb!$H$2,,,Arb!$AJ$5,),R422))</f>
        <v/>
      </c>
      <c r="T422" s="3" t="str">
        <f t="shared" ca="1" si="137"/>
        <v/>
      </c>
      <c r="U422" s="165" t="str">
        <f ca="1">IF(R422="","",INDEX(OFFSET(Arb!$X$2,,,Arb!$AJ$5,),R422)/S422)</f>
        <v/>
      </c>
      <c r="V422" s="165" t="str">
        <f ca="1">IF(R422="","",(INDEX(OFFSET(Arb!$U$2,,,Arb!$AJ$5,),R422)+INDEX(OFFSET(Arb!$V$2,,,Arb!$AJ$5,),R422))/S422)</f>
        <v/>
      </c>
      <c r="W422" s="51" t="str">
        <f t="shared" ca="1" si="127"/>
        <v/>
      </c>
      <c r="X422" s="88" t="str">
        <f ca="1">IF(R422="","",DATE(INDEX(OFFSET(Arb!$C$2,,,Arb!$AJ$5,),R422),INDEX(OFFSET(Arb!$B$2,,,Arb!$AJ$5,),R422),INDEX(OFFSET(Arb!$A$2,,,Arb!$AJ$5,),R422))+ROW()*0.001)</f>
        <v/>
      </c>
      <c r="Y422" s="436">
        <v>280</v>
      </c>
      <c r="AA422" s="52" t="str">
        <f ca="1">IF(Z422="","",INDEX(OFFSET(Arb!$H$2,,,Arb!$AJ$5,),Z422))</f>
        <v/>
      </c>
      <c r="AB422" s="3" t="str">
        <f t="shared" ca="1" si="138"/>
        <v/>
      </c>
      <c r="AC422" s="165" t="str">
        <f ca="1">IF(Z422="","",INDEX(OFFSET(Arb!$X$2,,,Arb!$AJ$5,),Z422)/AA422)</f>
        <v/>
      </c>
      <c r="AD422" s="165" t="str">
        <f ca="1">IF(Z422="","",(INDEX(OFFSET(Arb!$U$2,,,Arb!$AJ$5,),Z422)+INDEX(OFFSET(Arb!$V$2,,,Arb!$AJ$5,),Z422))/AA422)</f>
        <v/>
      </c>
      <c r="AE422" s="51" t="str">
        <f t="shared" ca="1" si="128"/>
        <v/>
      </c>
      <c r="AF422" s="91" t="str">
        <f ca="1">IF(Z422="","",DATE(INDEX(OFFSET(Arb!$C$2,,,Arb!$AJ$5,),Z422),INDEX(OFFSET(Arb!$B$2,,,Arb!$AJ$5,),Z422),INDEX(OFFSET(Arb!$A$2,,,Arb!$AJ$5,),Z422))+ROW()*0.001)</f>
        <v/>
      </c>
      <c r="AG422" s="442">
        <v>280</v>
      </c>
      <c r="AI422" s="52" t="str">
        <f ca="1">IF(AH422="","",INDEX(OFFSET(Arb!$H$2,,,Arb!$AJ$5,),AH422))</f>
        <v/>
      </c>
      <c r="AJ422" s="3" t="str">
        <f t="shared" ca="1" si="139"/>
        <v/>
      </c>
      <c r="AK422" s="165" t="str">
        <f ca="1">IF(AH422="","",INDEX(OFFSET(Arb!$X$2,,,Arb!$AJ$5,),AH422)/AI422)</f>
        <v/>
      </c>
      <c r="AL422" s="165" t="str">
        <f ca="1">IF(AH422="","",(INDEX(OFFSET(Arb!$U$2,,,Arb!$AJ$5,),AH422)+INDEX(OFFSET(Arb!$V$2,,,Arb!$AJ$5,),AH422))/AI422)</f>
        <v/>
      </c>
      <c r="AM422" s="51" t="str">
        <f t="shared" ca="1" si="129"/>
        <v/>
      </c>
      <c r="AN422" s="88" t="str">
        <f ca="1">IF(AH422="","",DATE(INDEX(OFFSET(Arb!$C$2,,,Arb!$AJ$5,),AH422),INDEX(OFFSET(Arb!$B$2,,,Arb!$AJ$5,),AH422),INDEX(OFFSET(Arb!$A$2,,,Arb!$AJ$5,),AH422))+ROW()*0.001)</f>
        <v/>
      </c>
      <c r="AO422" s="436">
        <v>280</v>
      </c>
      <c r="AQ422" s="52" t="str">
        <f ca="1">IF(AP422="","",INDEX(OFFSET(Arb!$H$2,,,Arb!$AJ$5,),AP422))</f>
        <v/>
      </c>
      <c r="AR422" s="3" t="str">
        <f t="shared" ca="1" si="140"/>
        <v/>
      </c>
      <c r="AS422" s="165" t="str">
        <f ca="1">IF(AP422="","",INDEX(OFFSET(Arb!$X$2,,,Arb!$AJ$5,),AP422)/AQ422)</f>
        <v/>
      </c>
      <c r="AT422" s="165" t="str">
        <f ca="1">IF(AP422="","",(INDEX(OFFSET(Arb!$U$2,,,Arb!$AJ$5,),AP422)+INDEX(OFFSET(Arb!$V$2,,,Arb!$AJ$5,),AP422))/AQ422)</f>
        <v/>
      </c>
      <c r="AU422" s="51" t="str">
        <f t="shared" ca="1" si="130"/>
        <v/>
      </c>
      <c r="AV422" s="91" t="str">
        <f ca="1">IF(AP422="","",DATE(INDEX(OFFSET(Arb!$C$2,,,Arb!$AJ$5,),AP422),INDEX(OFFSET(Arb!$B$2,,,Arb!$AJ$5,),AP422),INDEX(OFFSET(Arb!$A$2,,,Arb!$AJ$5,),AP422))+ROW()*0.001)</f>
        <v/>
      </c>
      <c r="AW422" s="442">
        <v>280</v>
      </c>
      <c r="AY422" s="52" t="str">
        <f ca="1">IF(AX422="","",INDEX(OFFSET(Arb!$H$2,,,Arb!$AJ$5,),AX422))</f>
        <v/>
      </c>
      <c r="AZ422" s="3" t="str">
        <f t="shared" ca="1" si="141"/>
        <v/>
      </c>
      <c r="BA422" s="165" t="str">
        <f ca="1">IF(AX422="","",INDEX(OFFSET(Arb!$X$2,,,Arb!$AJ$5,),AX422)/AY422)</f>
        <v/>
      </c>
      <c r="BB422" s="165" t="str">
        <f ca="1">IF(AX422="","",(INDEX(OFFSET(Arb!$U$2,,,Arb!$AJ$5,),AX422)+INDEX(OFFSET(Arb!$V$2,,,Arb!$AJ$5,),AX422))/AY422)</f>
        <v/>
      </c>
      <c r="BC422" s="51" t="str">
        <f t="shared" ca="1" si="131"/>
        <v/>
      </c>
      <c r="BD422" s="88" t="str">
        <f ca="1">IF(AX422="","",DATE(INDEX(OFFSET(Arb!$C$2,,,Arb!$AJ$5,),AX422),INDEX(OFFSET(Arb!$B$2,,,Arb!$AJ$5,),AX422),INDEX(OFFSET(Arb!$A$2,,,Arb!$AJ$5,),AX422))+ROW()*0.001)</f>
        <v/>
      </c>
      <c r="BE422" s="436">
        <v>280</v>
      </c>
      <c r="BG422" s="52" t="str">
        <f ca="1">IF(BF422="","",INDEX(OFFSET(Arb!$H$2,,,Arb!$AJ$5,),BF422))</f>
        <v/>
      </c>
      <c r="BH422" s="3" t="str">
        <f t="shared" ca="1" si="142"/>
        <v/>
      </c>
      <c r="BI422" s="165" t="str">
        <f ca="1">IF(BF422="","",INDEX(OFFSET(Arb!$X$2,,,Arb!$AJ$5,),BF422)/BG422)</f>
        <v/>
      </c>
      <c r="BJ422" s="165" t="str">
        <f ca="1">IF(BF422="","",(INDEX(OFFSET(Arb!$U$2,,,Arb!$AJ$5,),BF422)+INDEX(OFFSET(Arb!$V$2,,,Arb!$AJ$5,),BF422))/BG422)</f>
        <v/>
      </c>
      <c r="BK422" s="51" t="str">
        <f t="shared" ca="1" si="132"/>
        <v/>
      </c>
      <c r="BL422" s="91" t="str">
        <f ca="1">IF(BF422="","",DATE(INDEX(OFFSET(Arb!$C$2,,,Arb!$AJ$5,),BF422),INDEX(OFFSET(Arb!$B$2,,,Arb!$AJ$5,),BF422),INDEX(OFFSET(Arb!$A$2,,,Arb!$AJ$5,),BF422))+ROW()*0.001)</f>
        <v/>
      </c>
      <c r="BM422" s="442">
        <v>280</v>
      </c>
      <c r="BO422" s="52" t="str">
        <f ca="1">IF(BN422="","",INDEX(OFFSET(Arb!$H$2,,,Arb!$AJ$5,),BN422))</f>
        <v/>
      </c>
      <c r="BP422" s="3" t="str">
        <f t="shared" ca="1" si="143"/>
        <v/>
      </c>
      <c r="BQ422" s="165" t="str">
        <f ca="1">IF(BN422="","",INDEX(OFFSET(Arb!$X$2,,,Arb!$AJ$5,),BN422)/BO422)</f>
        <v/>
      </c>
      <c r="BR422" s="165" t="str">
        <f ca="1">IF(BN422="","",(INDEX(OFFSET(Arb!$U$2,,,Arb!$AJ$5,),BN422)+INDEX(OFFSET(Arb!$V$2,,,Arb!$AJ$5,),BN422))/BO422)</f>
        <v/>
      </c>
      <c r="BS422" s="51" t="str">
        <f t="shared" ca="1" si="133"/>
        <v/>
      </c>
      <c r="BT422" s="88" t="str">
        <f ca="1">IF(BN422="","",DATE(INDEX(OFFSET(Arb!$C$2,,,Arb!$AJ$5,),BN422),INDEX(OFFSET(Arb!$B$2,,,Arb!$AJ$5,),BN422),INDEX(OFFSET(Arb!$A$2,,,Arb!$AJ$5,),BN422))+ROW()*0.001)</f>
        <v/>
      </c>
      <c r="BU422" s="436">
        <v>280</v>
      </c>
      <c r="BW422" s="52" t="str">
        <f ca="1">IF(BV422="","",INDEX(OFFSET(Arb!$H$2,,,Arb!$AJ$5,),BV422))</f>
        <v/>
      </c>
      <c r="BX422" s="3" t="str">
        <f t="shared" ca="1" si="144"/>
        <v/>
      </c>
      <c r="BY422" s="165" t="str">
        <f ca="1">IF(BV422="","",INDEX(OFFSET(Arb!$X$2,,,Arb!$AJ$5,),BV422)/BW422)</f>
        <v/>
      </c>
      <c r="BZ422" s="165" t="str">
        <f ca="1">IF(BV422="","",(INDEX(OFFSET(Arb!$U$2,,,Arb!$AJ$5,),BV422)+INDEX(OFFSET(Arb!$V$2,,,Arb!$AJ$5,),BV422))/BW422)</f>
        <v/>
      </c>
      <c r="CA422" s="51" t="str">
        <f t="shared" ca="1" si="134"/>
        <v/>
      </c>
      <c r="CB422" s="91" t="str">
        <f ca="1">IF(BV422="","",DATE(INDEX(OFFSET(Arb!$C$2,,,Arb!$AJ$5,),BV422),INDEX(OFFSET(Arb!$B$2,,,Arb!$AJ$5,),BV422),INDEX(OFFSET(Arb!$A$2,,,Arb!$AJ$5,),BV422))+ROW()*0.001)</f>
        <v/>
      </c>
    </row>
    <row r="423" spans="1:80" x14ac:dyDescent="0.25">
      <c r="A423" s="433">
        <v>281</v>
      </c>
      <c r="C423" s="52" t="str">
        <f ca="1">IF(B423="","",INDEX(OFFSET(Arb!$H$2,,,Arb!$AJ$5,),B423))</f>
        <v/>
      </c>
      <c r="D423" s="3" t="str">
        <f t="shared" ca="1" si="135"/>
        <v/>
      </c>
      <c r="E423" s="165" t="str">
        <f ca="1">IF(B423="","",INDEX(OFFSET(Arb!$X$2,,,Arb!$AJ$5,),B423)/C423)</f>
        <v/>
      </c>
      <c r="F423" s="165" t="str">
        <f ca="1">IF(B423="","",(INDEX(OFFSET(Arb!$U$2,,,Arb!$AJ$5,),B423)+INDEX(OFFSET(Arb!$V$2,,,Arb!$AJ$5,),B423))/C423)</f>
        <v/>
      </c>
      <c r="G423" s="51" t="str">
        <f t="shared" ca="1" si="125"/>
        <v/>
      </c>
      <c r="H423" s="355" t="str">
        <f ca="1">IF(B423="","",DATE(INDEX(OFFSET(Arb!$C$2,,,Arb!$AJ$5,),B423),INDEX(OFFSET(Arb!$B$2,,,Arb!$AJ$5,),B423),INDEX(OFFSET(Arb!$A$2,,,Arb!$AJ$5,),B423))+ROW()*0.001)</f>
        <v/>
      </c>
      <c r="I423" s="436">
        <v>281</v>
      </c>
      <c r="K423" s="52" t="str">
        <f ca="1">IF(J423="","",INDEX(OFFSET(Arb!$H$2,,,Arb!$AJ$5,),J423))</f>
        <v/>
      </c>
      <c r="L423" s="3" t="str">
        <f t="shared" ca="1" si="136"/>
        <v/>
      </c>
      <c r="M423" s="165" t="str">
        <f ca="1">IF(J423="","",INDEX(OFFSET(Arb!$X$2,,,Arb!$AJ$5,),J423)/K423)</f>
        <v/>
      </c>
      <c r="N423" s="165" t="str">
        <f ca="1">IF(J423="","",(INDEX(OFFSET(Arb!$U$2,,,Arb!$AJ$5,),J423)+INDEX(OFFSET(Arb!$V$2,,,Arb!$AJ$5,),J423))/K423)</f>
        <v/>
      </c>
      <c r="O423" s="51" t="str">
        <f t="shared" ca="1" si="126"/>
        <v/>
      </c>
      <c r="P423" s="91" t="str">
        <f ca="1">IF(J423="","",DATE(INDEX(OFFSET(Arb!$C$2,,,Arb!$AJ$5,),J423),INDEX(OFFSET(Arb!$B$2,,,Arb!$AJ$5,),J423),INDEX(OFFSET(Arb!$A$2,,,Arb!$AJ$5,),J423))+ROW()*0.001)</f>
        <v/>
      </c>
      <c r="Q423" s="442">
        <v>281</v>
      </c>
      <c r="S423" s="52" t="str">
        <f ca="1">IF(R423="","",INDEX(OFFSET(Arb!$H$2,,,Arb!$AJ$5,),R423))</f>
        <v/>
      </c>
      <c r="T423" s="3" t="str">
        <f t="shared" ca="1" si="137"/>
        <v/>
      </c>
      <c r="U423" s="165" t="str">
        <f ca="1">IF(R423="","",INDEX(OFFSET(Arb!$X$2,,,Arb!$AJ$5,),R423)/S423)</f>
        <v/>
      </c>
      <c r="V423" s="165" t="str">
        <f ca="1">IF(R423="","",(INDEX(OFFSET(Arb!$U$2,,,Arb!$AJ$5,),R423)+INDEX(OFFSET(Arb!$V$2,,,Arb!$AJ$5,),R423))/S423)</f>
        <v/>
      </c>
      <c r="W423" s="51" t="str">
        <f t="shared" ca="1" si="127"/>
        <v/>
      </c>
      <c r="X423" s="88" t="str">
        <f ca="1">IF(R423="","",DATE(INDEX(OFFSET(Arb!$C$2,,,Arb!$AJ$5,),R423),INDEX(OFFSET(Arb!$B$2,,,Arb!$AJ$5,),R423),INDEX(OFFSET(Arb!$A$2,,,Arb!$AJ$5,),R423))+ROW()*0.001)</f>
        <v/>
      </c>
      <c r="Y423" s="436">
        <v>281</v>
      </c>
      <c r="AA423" s="52" t="str">
        <f ca="1">IF(Z423="","",INDEX(OFFSET(Arb!$H$2,,,Arb!$AJ$5,),Z423))</f>
        <v/>
      </c>
      <c r="AB423" s="3" t="str">
        <f t="shared" ca="1" si="138"/>
        <v/>
      </c>
      <c r="AC423" s="165" t="str">
        <f ca="1">IF(Z423="","",INDEX(OFFSET(Arb!$X$2,,,Arb!$AJ$5,),Z423)/AA423)</f>
        <v/>
      </c>
      <c r="AD423" s="165" t="str">
        <f ca="1">IF(Z423="","",(INDEX(OFFSET(Arb!$U$2,,,Arb!$AJ$5,),Z423)+INDEX(OFFSET(Arb!$V$2,,,Arb!$AJ$5,),Z423))/AA423)</f>
        <v/>
      </c>
      <c r="AE423" s="51" t="str">
        <f t="shared" ca="1" si="128"/>
        <v/>
      </c>
      <c r="AF423" s="91" t="str">
        <f ca="1">IF(Z423="","",DATE(INDEX(OFFSET(Arb!$C$2,,,Arb!$AJ$5,),Z423),INDEX(OFFSET(Arb!$B$2,,,Arb!$AJ$5,),Z423),INDEX(OFFSET(Arb!$A$2,,,Arb!$AJ$5,),Z423))+ROW()*0.001)</f>
        <v/>
      </c>
      <c r="AG423" s="442">
        <v>281</v>
      </c>
      <c r="AI423" s="52" t="str">
        <f ca="1">IF(AH423="","",INDEX(OFFSET(Arb!$H$2,,,Arb!$AJ$5,),AH423))</f>
        <v/>
      </c>
      <c r="AJ423" s="3" t="str">
        <f t="shared" ca="1" si="139"/>
        <v/>
      </c>
      <c r="AK423" s="165" t="str">
        <f ca="1">IF(AH423="","",INDEX(OFFSET(Arb!$X$2,,,Arb!$AJ$5,),AH423)/AI423)</f>
        <v/>
      </c>
      <c r="AL423" s="165" t="str">
        <f ca="1">IF(AH423="","",(INDEX(OFFSET(Arb!$U$2,,,Arb!$AJ$5,),AH423)+INDEX(OFFSET(Arb!$V$2,,,Arb!$AJ$5,),AH423))/AI423)</f>
        <v/>
      </c>
      <c r="AM423" s="51" t="str">
        <f t="shared" ca="1" si="129"/>
        <v/>
      </c>
      <c r="AN423" s="88" t="str">
        <f ca="1">IF(AH423="","",DATE(INDEX(OFFSET(Arb!$C$2,,,Arb!$AJ$5,),AH423),INDEX(OFFSET(Arb!$B$2,,,Arb!$AJ$5,),AH423),INDEX(OFFSET(Arb!$A$2,,,Arb!$AJ$5,),AH423))+ROW()*0.001)</f>
        <v/>
      </c>
      <c r="AO423" s="436">
        <v>281</v>
      </c>
      <c r="AQ423" s="52" t="str">
        <f ca="1">IF(AP423="","",INDEX(OFFSET(Arb!$H$2,,,Arb!$AJ$5,),AP423))</f>
        <v/>
      </c>
      <c r="AR423" s="3" t="str">
        <f t="shared" ca="1" si="140"/>
        <v/>
      </c>
      <c r="AS423" s="165" t="str">
        <f ca="1">IF(AP423="","",INDEX(OFFSET(Arb!$X$2,,,Arb!$AJ$5,),AP423)/AQ423)</f>
        <v/>
      </c>
      <c r="AT423" s="165" t="str">
        <f ca="1">IF(AP423="","",(INDEX(OFFSET(Arb!$U$2,,,Arb!$AJ$5,),AP423)+INDEX(OFFSET(Arb!$V$2,,,Arb!$AJ$5,),AP423))/AQ423)</f>
        <v/>
      </c>
      <c r="AU423" s="51" t="str">
        <f t="shared" ca="1" si="130"/>
        <v/>
      </c>
      <c r="AV423" s="91" t="str">
        <f ca="1">IF(AP423="","",DATE(INDEX(OFFSET(Arb!$C$2,,,Arb!$AJ$5,),AP423),INDEX(OFFSET(Arb!$B$2,,,Arb!$AJ$5,),AP423),INDEX(OFFSET(Arb!$A$2,,,Arb!$AJ$5,),AP423))+ROW()*0.001)</f>
        <v/>
      </c>
      <c r="AW423" s="442">
        <v>281</v>
      </c>
      <c r="AY423" s="52" t="str">
        <f ca="1">IF(AX423="","",INDEX(OFFSET(Arb!$H$2,,,Arb!$AJ$5,),AX423))</f>
        <v/>
      </c>
      <c r="AZ423" s="3" t="str">
        <f t="shared" ca="1" si="141"/>
        <v/>
      </c>
      <c r="BA423" s="165" t="str">
        <f ca="1">IF(AX423="","",INDEX(OFFSET(Arb!$X$2,,,Arb!$AJ$5,),AX423)/AY423)</f>
        <v/>
      </c>
      <c r="BB423" s="165" t="str">
        <f ca="1">IF(AX423="","",(INDEX(OFFSET(Arb!$U$2,,,Arb!$AJ$5,),AX423)+INDEX(OFFSET(Arb!$V$2,,,Arb!$AJ$5,),AX423))/AY423)</f>
        <v/>
      </c>
      <c r="BC423" s="51" t="str">
        <f t="shared" ca="1" si="131"/>
        <v/>
      </c>
      <c r="BD423" s="88" t="str">
        <f ca="1">IF(AX423="","",DATE(INDEX(OFFSET(Arb!$C$2,,,Arb!$AJ$5,),AX423),INDEX(OFFSET(Arb!$B$2,,,Arb!$AJ$5,),AX423),INDEX(OFFSET(Arb!$A$2,,,Arb!$AJ$5,),AX423))+ROW()*0.001)</f>
        <v/>
      </c>
      <c r="BE423" s="436">
        <v>281</v>
      </c>
      <c r="BG423" s="52" t="str">
        <f ca="1">IF(BF423="","",INDEX(OFFSET(Arb!$H$2,,,Arb!$AJ$5,),BF423))</f>
        <v/>
      </c>
      <c r="BH423" s="3" t="str">
        <f t="shared" ca="1" si="142"/>
        <v/>
      </c>
      <c r="BI423" s="165" t="str">
        <f ca="1">IF(BF423="","",INDEX(OFFSET(Arb!$X$2,,,Arb!$AJ$5,),BF423)/BG423)</f>
        <v/>
      </c>
      <c r="BJ423" s="165" t="str">
        <f ca="1">IF(BF423="","",(INDEX(OFFSET(Arb!$U$2,,,Arb!$AJ$5,),BF423)+INDEX(OFFSET(Arb!$V$2,,,Arb!$AJ$5,),BF423))/BG423)</f>
        <v/>
      </c>
      <c r="BK423" s="51" t="str">
        <f t="shared" ca="1" si="132"/>
        <v/>
      </c>
      <c r="BL423" s="91" t="str">
        <f ca="1">IF(BF423="","",DATE(INDEX(OFFSET(Arb!$C$2,,,Arb!$AJ$5,),BF423),INDEX(OFFSET(Arb!$B$2,,,Arb!$AJ$5,),BF423),INDEX(OFFSET(Arb!$A$2,,,Arb!$AJ$5,),BF423))+ROW()*0.001)</f>
        <v/>
      </c>
      <c r="BM423" s="442">
        <v>281</v>
      </c>
      <c r="BO423" s="52" t="str">
        <f ca="1">IF(BN423="","",INDEX(OFFSET(Arb!$H$2,,,Arb!$AJ$5,),BN423))</f>
        <v/>
      </c>
      <c r="BP423" s="3" t="str">
        <f t="shared" ca="1" si="143"/>
        <v/>
      </c>
      <c r="BQ423" s="165" t="str">
        <f ca="1">IF(BN423="","",INDEX(OFFSET(Arb!$X$2,,,Arb!$AJ$5,),BN423)/BO423)</f>
        <v/>
      </c>
      <c r="BR423" s="165" t="str">
        <f ca="1">IF(BN423="","",(INDEX(OFFSET(Arb!$U$2,,,Arb!$AJ$5,),BN423)+INDEX(OFFSET(Arb!$V$2,,,Arb!$AJ$5,),BN423))/BO423)</f>
        <v/>
      </c>
      <c r="BS423" s="51" t="str">
        <f t="shared" ca="1" si="133"/>
        <v/>
      </c>
      <c r="BT423" s="88" t="str">
        <f ca="1">IF(BN423="","",DATE(INDEX(OFFSET(Arb!$C$2,,,Arb!$AJ$5,),BN423),INDEX(OFFSET(Arb!$B$2,,,Arb!$AJ$5,),BN423),INDEX(OFFSET(Arb!$A$2,,,Arb!$AJ$5,),BN423))+ROW()*0.001)</f>
        <v/>
      </c>
      <c r="BU423" s="436">
        <v>281</v>
      </c>
      <c r="BW423" s="52" t="str">
        <f ca="1">IF(BV423="","",INDEX(OFFSET(Arb!$H$2,,,Arb!$AJ$5,),BV423))</f>
        <v/>
      </c>
      <c r="BX423" s="3" t="str">
        <f t="shared" ca="1" si="144"/>
        <v/>
      </c>
      <c r="BY423" s="165" t="str">
        <f ca="1">IF(BV423="","",INDEX(OFFSET(Arb!$X$2,,,Arb!$AJ$5,),BV423)/BW423)</f>
        <v/>
      </c>
      <c r="BZ423" s="165" t="str">
        <f ca="1">IF(BV423="","",(INDEX(OFFSET(Arb!$U$2,,,Arb!$AJ$5,),BV423)+INDEX(OFFSET(Arb!$V$2,,,Arb!$AJ$5,),BV423))/BW423)</f>
        <v/>
      </c>
      <c r="CA423" s="51" t="str">
        <f t="shared" ca="1" si="134"/>
        <v/>
      </c>
      <c r="CB423" s="91" t="str">
        <f ca="1">IF(BV423="","",DATE(INDEX(OFFSET(Arb!$C$2,,,Arb!$AJ$5,),BV423),INDEX(OFFSET(Arb!$B$2,,,Arb!$AJ$5,),BV423),INDEX(OFFSET(Arb!$A$2,,,Arb!$AJ$5,),BV423))+ROW()*0.001)</f>
        <v/>
      </c>
    </row>
    <row r="424" spans="1:80" x14ac:dyDescent="0.25">
      <c r="A424" s="433">
        <v>282</v>
      </c>
      <c r="C424" s="52" t="str">
        <f ca="1">IF(B424="","",INDEX(OFFSET(Arb!$H$2,,,Arb!$AJ$5,),B424))</f>
        <v/>
      </c>
      <c r="D424" s="3" t="str">
        <f t="shared" ca="1" si="135"/>
        <v/>
      </c>
      <c r="E424" s="165" t="str">
        <f ca="1">IF(B424="","",INDEX(OFFSET(Arb!$X$2,,,Arb!$AJ$5,),B424)/C424)</f>
        <v/>
      </c>
      <c r="F424" s="165" t="str">
        <f ca="1">IF(B424="","",(INDEX(OFFSET(Arb!$U$2,,,Arb!$AJ$5,),B424)+INDEX(OFFSET(Arb!$V$2,,,Arb!$AJ$5,),B424))/C424)</f>
        <v/>
      </c>
      <c r="G424" s="51" t="str">
        <f t="shared" ca="1" si="125"/>
        <v/>
      </c>
      <c r="H424" s="355" t="str">
        <f ca="1">IF(B424="","",DATE(INDEX(OFFSET(Arb!$C$2,,,Arb!$AJ$5,),B424),INDEX(OFFSET(Arb!$B$2,,,Arb!$AJ$5,),B424),INDEX(OFFSET(Arb!$A$2,,,Arb!$AJ$5,),B424))+ROW()*0.001)</f>
        <v/>
      </c>
      <c r="I424" s="436">
        <v>282</v>
      </c>
      <c r="K424" s="52" t="str">
        <f ca="1">IF(J424="","",INDEX(OFFSET(Arb!$H$2,,,Arb!$AJ$5,),J424))</f>
        <v/>
      </c>
      <c r="L424" s="3" t="str">
        <f t="shared" ca="1" si="136"/>
        <v/>
      </c>
      <c r="M424" s="165" t="str">
        <f ca="1">IF(J424="","",INDEX(OFFSET(Arb!$X$2,,,Arb!$AJ$5,),J424)/K424)</f>
        <v/>
      </c>
      <c r="N424" s="165" t="str">
        <f ca="1">IF(J424="","",(INDEX(OFFSET(Arb!$U$2,,,Arb!$AJ$5,),J424)+INDEX(OFFSET(Arb!$V$2,,,Arb!$AJ$5,),J424))/K424)</f>
        <v/>
      </c>
      <c r="O424" s="51" t="str">
        <f t="shared" ca="1" si="126"/>
        <v/>
      </c>
      <c r="P424" s="91" t="str">
        <f ca="1">IF(J424="","",DATE(INDEX(OFFSET(Arb!$C$2,,,Arb!$AJ$5,),J424),INDEX(OFFSET(Arb!$B$2,,,Arb!$AJ$5,),J424),INDEX(OFFSET(Arb!$A$2,,,Arb!$AJ$5,),J424))+ROW()*0.001)</f>
        <v/>
      </c>
      <c r="Q424" s="442">
        <v>282</v>
      </c>
      <c r="S424" s="52" t="str">
        <f ca="1">IF(R424="","",INDEX(OFFSET(Arb!$H$2,,,Arb!$AJ$5,),R424))</f>
        <v/>
      </c>
      <c r="T424" s="3" t="str">
        <f t="shared" ca="1" si="137"/>
        <v/>
      </c>
      <c r="U424" s="165" t="str">
        <f ca="1">IF(R424="","",INDEX(OFFSET(Arb!$X$2,,,Arb!$AJ$5,),R424)/S424)</f>
        <v/>
      </c>
      <c r="V424" s="165" t="str">
        <f ca="1">IF(R424="","",(INDEX(OFFSET(Arb!$U$2,,,Arb!$AJ$5,),R424)+INDEX(OFFSET(Arb!$V$2,,,Arb!$AJ$5,),R424))/S424)</f>
        <v/>
      </c>
      <c r="W424" s="51" t="str">
        <f t="shared" ca="1" si="127"/>
        <v/>
      </c>
      <c r="X424" s="88" t="str">
        <f ca="1">IF(R424="","",DATE(INDEX(OFFSET(Arb!$C$2,,,Arb!$AJ$5,),R424),INDEX(OFFSET(Arb!$B$2,,,Arb!$AJ$5,),R424),INDEX(OFFSET(Arb!$A$2,,,Arb!$AJ$5,),R424))+ROW()*0.001)</f>
        <v/>
      </c>
      <c r="Y424" s="436">
        <v>282</v>
      </c>
      <c r="AA424" s="52" t="str">
        <f ca="1">IF(Z424="","",INDEX(OFFSET(Arb!$H$2,,,Arb!$AJ$5,),Z424))</f>
        <v/>
      </c>
      <c r="AB424" s="3" t="str">
        <f t="shared" ca="1" si="138"/>
        <v/>
      </c>
      <c r="AC424" s="165" t="str">
        <f ca="1">IF(Z424="","",INDEX(OFFSET(Arb!$X$2,,,Arb!$AJ$5,),Z424)/AA424)</f>
        <v/>
      </c>
      <c r="AD424" s="165" t="str">
        <f ca="1">IF(Z424="","",(INDEX(OFFSET(Arb!$U$2,,,Arb!$AJ$5,),Z424)+INDEX(OFFSET(Arb!$V$2,,,Arb!$AJ$5,),Z424))/AA424)</f>
        <v/>
      </c>
      <c r="AE424" s="51" t="str">
        <f t="shared" ca="1" si="128"/>
        <v/>
      </c>
      <c r="AF424" s="91" t="str">
        <f ca="1">IF(Z424="","",DATE(INDEX(OFFSET(Arb!$C$2,,,Arb!$AJ$5,),Z424),INDEX(OFFSET(Arb!$B$2,,,Arb!$AJ$5,),Z424),INDEX(OFFSET(Arb!$A$2,,,Arb!$AJ$5,),Z424))+ROW()*0.001)</f>
        <v/>
      </c>
      <c r="AG424" s="442">
        <v>282</v>
      </c>
      <c r="AI424" s="52" t="str">
        <f ca="1">IF(AH424="","",INDEX(OFFSET(Arb!$H$2,,,Arb!$AJ$5,),AH424))</f>
        <v/>
      </c>
      <c r="AJ424" s="3" t="str">
        <f t="shared" ca="1" si="139"/>
        <v/>
      </c>
      <c r="AK424" s="165" t="str">
        <f ca="1">IF(AH424="","",INDEX(OFFSET(Arb!$X$2,,,Arb!$AJ$5,),AH424)/AI424)</f>
        <v/>
      </c>
      <c r="AL424" s="165" t="str">
        <f ca="1">IF(AH424="","",(INDEX(OFFSET(Arb!$U$2,,,Arb!$AJ$5,),AH424)+INDEX(OFFSET(Arb!$V$2,,,Arb!$AJ$5,),AH424))/AI424)</f>
        <v/>
      </c>
      <c r="AM424" s="51" t="str">
        <f t="shared" ca="1" si="129"/>
        <v/>
      </c>
      <c r="AN424" s="88" t="str">
        <f ca="1">IF(AH424="","",DATE(INDEX(OFFSET(Arb!$C$2,,,Arb!$AJ$5,),AH424),INDEX(OFFSET(Arb!$B$2,,,Arb!$AJ$5,),AH424),INDEX(OFFSET(Arb!$A$2,,,Arb!$AJ$5,),AH424))+ROW()*0.001)</f>
        <v/>
      </c>
      <c r="AO424" s="436">
        <v>282</v>
      </c>
      <c r="AQ424" s="52" t="str">
        <f ca="1">IF(AP424="","",INDEX(OFFSET(Arb!$H$2,,,Arb!$AJ$5,),AP424))</f>
        <v/>
      </c>
      <c r="AR424" s="3" t="str">
        <f t="shared" ca="1" si="140"/>
        <v/>
      </c>
      <c r="AS424" s="165" t="str">
        <f ca="1">IF(AP424="","",INDEX(OFFSET(Arb!$X$2,,,Arb!$AJ$5,),AP424)/AQ424)</f>
        <v/>
      </c>
      <c r="AT424" s="165" t="str">
        <f ca="1">IF(AP424="","",(INDEX(OFFSET(Arb!$U$2,,,Arb!$AJ$5,),AP424)+INDEX(OFFSET(Arb!$V$2,,,Arb!$AJ$5,),AP424))/AQ424)</f>
        <v/>
      </c>
      <c r="AU424" s="51" t="str">
        <f t="shared" ca="1" si="130"/>
        <v/>
      </c>
      <c r="AV424" s="91" t="str">
        <f ca="1">IF(AP424="","",DATE(INDEX(OFFSET(Arb!$C$2,,,Arb!$AJ$5,),AP424),INDEX(OFFSET(Arb!$B$2,,,Arb!$AJ$5,),AP424),INDEX(OFFSET(Arb!$A$2,,,Arb!$AJ$5,),AP424))+ROW()*0.001)</f>
        <v/>
      </c>
      <c r="AW424" s="442">
        <v>282</v>
      </c>
      <c r="AY424" s="52" t="str">
        <f ca="1">IF(AX424="","",INDEX(OFFSET(Arb!$H$2,,,Arb!$AJ$5,),AX424))</f>
        <v/>
      </c>
      <c r="AZ424" s="3" t="str">
        <f t="shared" ca="1" si="141"/>
        <v/>
      </c>
      <c r="BA424" s="165" t="str">
        <f ca="1">IF(AX424="","",INDEX(OFFSET(Arb!$X$2,,,Arb!$AJ$5,),AX424)/AY424)</f>
        <v/>
      </c>
      <c r="BB424" s="165" t="str">
        <f ca="1">IF(AX424="","",(INDEX(OFFSET(Arb!$U$2,,,Arb!$AJ$5,),AX424)+INDEX(OFFSET(Arb!$V$2,,,Arb!$AJ$5,),AX424))/AY424)</f>
        <v/>
      </c>
      <c r="BC424" s="51" t="str">
        <f t="shared" ca="1" si="131"/>
        <v/>
      </c>
      <c r="BD424" s="88" t="str">
        <f ca="1">IF(AX424="","",DATE(INDEX(OFFSET(Arb!$C$2,,,Arb!$AJ$5,),AX424),INDEX(OFFSET(Arb!$B$2,,,Arb!$AJ$5,),AX424),INDEX(OFFSET(Arb!$A$2,,,Arb!$AJ$5,),AX424))+ROW()*0.001)</f>
        <v/>
      </c>
      <c r="BE424" s="436">
        <v>282</v>
      </c>
      <c r="BG424" s="52" t="str">
        <f ca="1">IF(BF424="","",INDEX(OFFSET(Arb!$H$2,,,Arb!$AJ$5,),BF424))</f>
        <v/>
      </c>
      <c r="BH424" s="3" t="str">
        <f t="shared" ca="1" si="142"/>
        <v/>
      </c>
      <c r="BI424" s="165" t="str">
        <f ca="1">IF(BF424="","",INDEX(OFFSET(Arb!$X$2,,,Arb!$AJ$5,),BF424)/BG424)</f>
        <v/>
      </c>
      <c r="BJ424" s="165" t="str">
        <f ca="1">IF(BF424="","",(INDEX(OFFSET(Arb!$U$2,,,Arb!$AJ$5,),BF424)+INDEX(OFFSET(Arb!$V$2,,,Arb!$AJ$5,),BF424))/BG424)</f>
        <v/>
      </c>
      <c r="BK424" s="51" t="str">
        <f t="shared" ca="1" si="132"/>
        <v/>
      </c>
      <c r="BL424" s="91" t="str">
        <f ca="1">IF(BF424="","",DATE(INDEX(OFFSET(Arb!$C$2,,,Arb!$AJ$5,),BF424),INDEX(OFFSET(Arb!$B$2,,,Arb!$AJ$5,),BF424),INDEX(OFFSET(Arb!$A$2,,,Arb!$AJ$5,),BF424))+ROW()*0.001)</f>
        <v/>
      </c>
      <c r="BM424" s="442">
        <v>282</v>
      </c>
      <c r="BO424" s="52" t="str">
        <f ca="1">IF(BN424="","",INDEX(OFFSET(Arb!$H$2,,,Arb!$AJ$5,),BN424))</f>
        <v/>
      </c>
      <c r="BP424" s="3" t="str">
        <f t="shared" ca="1" si="143"/>
        <v/>
      </c>
      <c r="BQ424" s="165" t="str">
        <f ca="1">IF(BN424="","",INDEX(OFFSET(Arb!$X$2,,,Arb!$AJ$5,),BN424)/BO424)</f>
        <v/>
      </c>
      <c r="BR424" s="165" t="str">
        <f ca="1">IF(BN424="","",(INDEX(OFFSET(Arb!$U$2,,,Arb!$AJ$5,),BN424)+INDEX(OFFSET(Arb!$V$2,,,Arb!$AJ$5,),BN424))/BO424)</f>
        <v/>
      </c>
      <c r="BS424" s="51" t="str">
        <f t="shared" ca="1" si="133"/>
        <v/>
      </c>
      <c r="BT424" s="88" t="str">
        <f ca="1">IF(BN424="","",DATE(INDEX(OFFSET(Arb!$C$2,,,Arb!$AJ$5,),BN424),INDEX(OFFSET(Arb!$B$2,,,Arb!$AJ$5,),BN424),INDEX(OFFSET(Arb!$A$2,,,Arb!$AJ$5,),BN424))+ROW()*0.001)</f>
        <v/>
      </c>
      <c r="BU424" s="436">
        <v>282</v>
      </c>
      <c r="BW424" s="52" t="str">
        <f ca="1">IF(BV424="","",INDEX(OFFSET(Arb!$H$2,,,Arb!$AJ$5,),BV424))</f>
        <v/>
      </c>
      <c r="BX424" s="3" t="str">
        <f t="shared" ca="1" si="144"/>
        <v/>
      </c>
      <c r="BY424" s="165" t="str">
        <f ca="1">IF(BV424="","",INDEX(OFFSET(Arb!$X$2,,,Arb!$AJ$5,),BV424)/BW424)</f>
        <v/>
      </c>
      <c r="BZ424" s="165" t="str">
        <f ca="1">IF(BV424="","",(INDEX(OFFSET(Arb!$U$2,,,Arb!$AJ$5,),BV424)+INDEX(OFFSET(Arb!$V$2,,,Arb!$AJ$5,),BV424))/BW424)</f>
        <v/>
      </c>
      <c r="CA424" s="51" t="str">
        <f t="shared" ca="1" si="134"/>
        <v/>
      </c>
      <c r="CB424" s="91" t="str">
        <f ca="1">IF(BV424="","",DATE(INDEX(OFFSET(Arb!$C$2,,,Arb!$AJ$5,),BV424),INDEX(OFFSET(Arb!$B$2,,,Arb!$AJ$5,),BV424),INDEX(OFFSET(Arb!$A$2,,,Arb!$AJ$5,),BV424))+ROW()*0.001)</f>
        <v/>
      </c>
    </row>
    <row r="425" spans="1:80" x14ac:dyDescent="0.25">
      <c r="A425" s="433">
        <v>283</v>
      </c>
      <c r="C425" s="52" t="str">
        <f ca="1">IF(B425="","",INDEX(OFFSET(Arb!$H$2,,,Arb!$AJ$5,),B425))</f>
        <v/>
      </c>
      <c r="D425" s="3" t="str">
        <f t="shared" ca="1" si="135"/>
        <v/>
      </c>
      <c r="E425" s="165" t="str">
        <f ca="1">IF(B425="","",INDEX(OFFSET(Arb!$X$2,,,Arb!$AJ$5,),B425)/C425)</f>
        <v/>
      </c>
      <c r="F425" s="165" t="str">
        <f ca="1">IF(B425="","",(INDEX(OFFSET(Arb!$U$2,,,Arb!$AJ$5,),B425)+INDEX(OFFSET(Arb!$V$2,,,Arb!$AJ$5,),B425))/C425)</f>
        <v/>
      </c>
      <c r="G425" s="51" t="str">
        <f t="shared" ca="1" si="125"/>
        <v/>
      </c>
      <c r="H425" s="355" t="str">
        <f ca="1">IF(B425="","",DATE(INDEX(OFFSET(Arb!$C$2,,,Arb!$AJ$5,),B425),INDEX(OFFSET(Arb!$B$2,,,Arb!$AJ$5,),B425),INDEX(OFFSET(Arb!$A$2,,,Arb!$AJ$5,),B425))+ROW()*0.001)</f>
        <v/>
      </c>
      <c r="I425" s="436">
        <v>283</v>
      </c>
      <c r="K425" s="52" t="str">
        <f ca="1">IF(J425="","",INDEX(OFFSET(Arb!$H$2,,,Arb!$AJ$5,),J425))</f>
        <v/>
      </c>
      <c r="L425" s="3" t="str">
        <f t="shared" ca="1" si="136"/>
        <v/>
      </c>
      <c r="M425" s="165" t="str">
        <f ca="1">IF(J425="","",INDEX(OFFSET(Arb!$X$2,,,Arb!$AJ$5,),J425)/K425)</f>
        <v/>
      </c>
      <c r="N425" s="165" t="str">
        <f ca="1">IF(J425="","",(INDEX(OFFSET(Arb!$U$2,,,Arb!$AJ$5,),J425)+INDEX(OFFSET(Arb!$V$2,,,Arb!$AJ$5,),J425))/K425)</f>
        <v/>
      </c>
      <c r="O425" s="51" t="str">
        <f t="shared" ca="1" si="126"/>
        <v/>
      </c>
      <c r="P425" s="91" t="str">
        <f ca="1">IF(J425="","",DATE(INDEX(OFFSET(Arb!$C$2,,,Arb!$AJ$5,),J425),INDEX(OFFSET(Arb!$B$2,,,Arb!$AJ$5,),J425),INDEX(OFFSET(Arb!$A$2,,,Arb!$AJ$5,),J425))+ROW()*0.001)</f>
        <v/>
      </c>
      <c r="Q425" s="442">
        <v>283</v>
      </c>
      <c r="S425" s="52" t="str">
        <f ca="1">IF(R425="","",INDEX(OFFSET(Arb!$H$2,,,Arb!$AJ$5,),R425))</f>
        <v/>
      </c>
      <c r="T425" s="3" t="str">
        <f t="shared" ca="1" si="137"/>
        <v/>
      </c>
      <c r="U425" s="165" t="str">
        <f ca="1">IF(R425="","",INDEX(OFFSET(Arb!$X$2,,,Arb!$AJ$5,),R425)/S425)</f>
        <v/>
      </c>
      <c r="V425" s="165" t="str">
        <f ca="1">IF(R425="","",(INDEX(OFFSET(Arb!$U$2,,,Arb!$AJ$5,),R425)+INDEX(OFFSET(Arb!$V$2,,,Arb!$AJ$5,),R425))/S425)</f>
        <v/>
      </c>
      <c r="W425" s="51" t="str">
        <f t="shared" ca="1" si="127"/>
        <v/>
      </c>
      <c r="X425" s="88" t="str">
        <f ca="1">IF(R425="","",DATE(INDEX(OFFSET(Arb!$C$2,,,Arb!$AJ$5,),R425),INDEX(OFFSET(Arb!$B$2,,,Arb!$AJ$5,),R425),INDEX(OFFSET(Arb!$A$2,,,Arb!$AJ$5,),R425))+ROW()*0.001)</f>
        <v/>
      </c>
      <c r="Y425" s="436">
        <v>283</v>
      </c>
      <c r="AA425" s="52" t="str">
        <f ca="1">IF(Z425="","",INDEX(OFFSET(Arb!$H$2,,,Arb!$AJ$5,),Z425))</f>
        <v/>
      </c>
      <c r="AB425" s="3" t="str">
        <f t="shared" ca="1" si="138"/>
        <v/>
      </c>
      <c r="AC425" s="165" t="str">
        <f ca="1">IF(Z425="","",INDEX(OFFSET(Arb!$X$2,,,Arb!$AJ$5,),Z425)/AA425)</f>
        <v/>
      </c>
      <c r="AD425" s="165" t="str">
        <f ca="1">IF(Z425="","",(INDEX(OFFSET(Arb!$U$2,,,Arb!$AJ$5,),Z425)+INDEX(OFFSET(Arb!$V$2,,,Arb!$AJ$5,),Z425))/AA425)</f>
        <v/>
      </c>
      <c r="AE425" s="51" t="str">
        <f t="shared" ca="1" si="128"/>
        <v/>
      </c>
      <c r="AF425" s="91" t="str">
        <f ca="1">IF(Z425="","",DATE(INDEX(OFFSET(Arb!$C$2,,,Arb!$AJ$5,),Z425),INDEX(OFFSET(Arb!$B$2,,,Arb!$AJ$5,),Z425),INDEX(OFFSET(Arb!$A$2,,,Arb!$AJ$5,),Z425))+ROW()*0.001)</f>
        <v/>
      </c>
      <c r="AG425" s="442">
        <v>283</v>
      </c>
      <c r="AI425" s="52" t="str">
        <f ca="1">IF(AH425="","",INDEX(OFFSET(Arb!$H$2,,,Arb!$AJ$5,),AH425))</f>
        <v/>
      </c>
      <c r="AJ425" s="3" t="str">
        <f t="shared" ca="1" si="139"/>
        <v/>
      </c>
      <c r="AK425" s="165" t="str">
        <f ca="1">IF(AH425="","",INDEX(OFFSET(Arb!$X$2,,,Arb!$AJ$5,),AH425)/AI425)</f>
        <v/>
      </c>
      <c r="AL425" s="165" t="str">
        <f ca="1">IF(AH425="","",(INDEX(OFFSET(Arb!$U$2,,,Arb!$AJ$5,),AH425)+INDEX(OFFSET(Arb!$V$2,,,Arb!$AJ$5,),AH425))/AI425)</f>
        <v/>
      </c>
      <c r="AM425" s="51" t="str">
        <f t="shared" ca="1" si="129"/>
        <v/>
      </c>
      <c r="AN425" s="88" t="str">
        <f ca="1">IF(AH425="","",DATE(INDEX(OFFSET(Arb!$C$2,,,Arb!$AJ$5,),AH425),INDEX(OFFSET(Arb!$B$2,,,Arb!$AJ$5,),AH425),INDEX(OFFSET(Arb!$A$2,,,Arb!$AJ$5,),AH425))+ROW()*0.001)</f>
        <v/>
      </c>
      <c r="AO425" s="436">
        <v>283</v>
      </c>
      <c r="AQ425" s="52" t="str">
        <f ca="1">IF(AP425="","",INDEX(OFFSET(Arb!$H$2,,,Arb!$AJ$5,),AP425))</f>
        <v/>
      </c>
      <c r="AR425" s="3" t="str">
        <f t="shared" ca="1" si="140"/>
        <v/>
      </c>
      <c r="AS425" s="165" t="str">
        <f ca="1">IF(AP425="","",INDEX(OFFSET(Arb!$X$2,,,Arb!$AJ$5,),AP425)/AQ425)</f>
        <v/>
      </c>
      <c r="AT425" s="165" t="str">
        <f ca="1">IF(AP425="","",(INDEX(OFFSET(Arb!$U$2,,,Arb!$AJ$5,),AP425)+INDEX(OFFSET(Arb!$V$2,,,Arb!$AJ$5,),AP425))/AQ425)</f>
        <v/>
      </c>
      <c r="AU425" s="51" t="str">
        <f t="shared" ca="1" si="130"/>
        <v/>
      </c>
      <c r="AV425" s="91" t="str">
        <f ca="1">IF(AP425="","",DATE(INDEX(OFFSET(Arb!$C$2,,,Arb!$AJ$5,),AP425),INDEX(OFFSET(Arb!$B$2,,,Arb!$AJ$5,),AP425),INDEX(OFFSET(Arb!$A$2,,,Arb!$AJ$5,),AP425))+ROW()*0.001)</f>
        <v/>
      </c>
      <c r="AW425" s="442">
        <v>283</v>
      </c>
      <c r="AY425" s="52" t="str">
        <f ca="1">IF(AX425="","",INDEX(OFFSET(Arb!$H$2,,,Arb!$AJ$5,),AX425))</f>
        <v/>
      </c>
      <c r="AZ425" s="3" t="str">
        <f t="shared" ca="1" si="141"/>
        <v/>
      </c>
      <c r="BA425" s="165" t="str">
        <f ca="1">IF(AX425="","",INDEX(OFFSET(Arb!$X$2,,,Arb!$AJ$5,),AX425)/AY425)</f>
        <v/>
      </c>
      <c r="BB425" s="165" t="str">
        <f ca="1">IF(AX425="","",(INDEX(OFFSET(Arb!$U$2,,,Arb!$AJ$5,),AX425)+INDEX(OFFSET(Arb!$V$2,,,Arb!$AJ$5,),AX425))/AY425)</f>
        <v/>
      </c>
      <c r="BC425" s="51" t="str">
        <f t="shared" ca="1" si="131"/>
        <v/>
      </c>
      <c r="BD425" s="88" t="str">
        <f ca="1">IF(AX425="","",DATE(INDEX(OFFSET(Arb!$C$2,,,Arb!$AJ$5,),AX425),INDEX(OFFSET(Arb!$B$2,,,Arb!$AJ$5,),AX425),INDEX(OFFSET(Arb!$A$2,,,Arb!$AJ$5,),AX425))+ROW()*0.001)</f>
        <v/>
      </c>
      <c r="BE425" s="436">
        <v>283</v>
      </c>
      <c r="BG425" s="52" t="str">
        <f ca="1">IF(BF425="","",INDEX(OFFSET(Arb!$H$2,,,Arb!$AJ$5,),BF425))</f>
        <v/>
      </c>
      <c r="BH425" s="3" t="str">
        <f t="shared" ca="1" si="142"/>
        <v/>
      </c>
      <c r="BI425" s="165" t="str">
        <f ca="1">IF(BF425="","",INDEX(OFFSET(Arb!$X$2,,,Arb!$AJ$5,),BF425)/BG425)</f>
        <v/>
      </c>
      <c r="BJ425" s="165" t="str">
        <f ca="1">IF(BF425="","",(INDEX(OFFSET(Arb!$U$2,,,Arb!$AJ$5,),BF425)+INDEX(OFFSET(Arb!$V$2,,,Arb!$AJ$5,),BF425))/BG425)</f>
        <v/>
      </c>
      <c r="BK425" s="51" t="str">
        <f t="shared" ca="1" si="132"/>
        <v/>
      </c>
      <c r="BL425" s="91" t="str">
        <f ca="1">IF(BF425="","",DATE(INDEX(OFFSET(Arb!$C$2,,,Arb!$AJ$5,),BF425),INDEX(OFFSET(Arb!$B$2,,,Arb!$AJ$5,),BF425),INDEX(OFFSET(Arb!$A$2,,,Arb!$AJ$5,),BF425))+ROW()*0.001)</f>
        <v/>
      </c>
      <c r="BM425" s="442">
        <v>283</v>
      </c>
      <c r="BO425" s="52" t="str">
        <f ca="1">IF(BN425="","",INDEX(OFFSET(Arb!$H$2,,,Arb!$AJ$5,),BN425))</f>
        <v/>
      </c>
      <c r="BP425" s="3" t="str">
        <f t="shared" ca="1" si="143"/>
        <v/>
      </c>
      <c r="BQ425" s="165" t="str">
        <f ca="1">IF(BN425="","",INDEX(OFFSET(Arb!$X$2,,,Arb!$AJ$5,),BN425)/BO425)</f>
        <v/>
      </c>
      <c r="BR425" s="165" t="str">
        <f ca="1">IF(BN425="","",(INDEX(OFFSET(Arb!$U$2,,,Arb!$AJ$5,),BN425)+INDEX(OFFSET(Arb!$V$2,,,Arb!$AJ$5,),BN425))/BO425)</f>
        <v/>
      </c>
      <c r="BS425" s="51" t="str">
        <f t="shared" ca="1" si="133"/>
        <v/>
      </c>
      <c r="BT425" s="88" t="str">
        <f ca="1">IF(BN425="","",DATE(INDEX(OFFSET(Arb!$C$2,,,Arb!$AJ$5,),BN425),INDEX(OFFSET(Arb!$B$2,,,Arb!$AJ$5,),BN425),INDEX(OFFSET(Arb!$A$2,,,Arb!$AJ$5,),BN425))+ROW()*0.001)</f>
        <v/>
      </c>
      <c r="BU425" s="436">
        <v>283</v>
      </c>
      <c r="BW425" s="52" t="str">
        <f ca="1">IF(BV425="","",INDEX(OFFSET(Arb!$H$2,,,Arb!$AJ$5,),BV425))</f>
        <v/>
      </c>
      <c r="BX425" s="3" t="str">
        <f t="shared" ca="1" si="144"/>
        <v/>
      </c>
      <c r="BY425" s="165" t="str">
        <f ca="1">IF(BV425="","",INDEX(OFFSET(Arb!$X$2,,,Arb!$AJ$5,),BV425)/BW425)</f>
        <v/>
      </c>
      <c r="BZ425" s="165" t="str">
        <f ca="1">IF(BV425="","",(INDEX(OFFSET(Arb!$U$2,,,Arb!$AJ$5,),BV425)+INDEX(OFFSET(Arb!$V$2,,,Arb!$AJ$5,),BV425))/BW425)</f>
        <v/>
      </c>
      <c r="CA425" s="51" t="str">
        <f t="shared" ca="1" si="134"/>
        <v/>
      </c>
      <c r="CB425" s="91" t="str">
        <f ca="1">IF(BV425="","",DATE(INDEX(OFFSET(Arb!$C$2,,,Arb!$AJ$5,),BV425),INDEX(OFFSET(Arb!$B$2,,,Arb!$AJ$5,),BV425),INDEX(OFFSET(Arb!$A$2,,,Arb!$AJ$5,),BV425))+ROW()*0.001)</f>
        <v/>
      </c>
    </row>
    <row r="426" spans="1:80" x14ac:dyDescent="0.25">
      <c r="A426" s="433">
        <v>284</v>
      </c>
      <c r="C426" s="52" t="str">
        <f ca="1">IF(B426="","",INDEX(OFFSET(Arb!$H$2,,,Arb!$AJ$5,),B426))</f>
        <v/>
      </c>
      <c r="D426" s="3" t="str">
        <f t="shared" ca="1" si="135"/>
        <v/>
      </c>
      <c r="E426" s="165" t="str">
        <f ca="1">IF(B426="","",INDEX(OFFSET(Arb!$X$2,,,Arb!$AJ$5,),B426)/C426)</f>
        <v/>
      </c>
      <c r="F426" s="165" t="str">
        <f ca="1">IF(B426="","",(INDEX(OFFSET(Arb!$U$2,,,Arb!$AJ$5,),B426)+INDEX(OFFSET(Arb!$V$2,,,Arb!$AJ$5,),B426))/C426)</f>
        <v/>
      </c>
      <c r="G426" s="51" t="str">
        <f t="shared" ca="1" si="125"/>
        <v/>
      </c>
      <c r="H426" s="355" t="str">
        <f ca="1">IF(B426="","",DATE(INDEX(OFFSET(Arb!$C$2,,,Arb!$AJ$5,),B426),INDEX(OFFSET(Arb!$B$2,,,Arb!$AJ$5,),B426),INDEX(OFFSET(Arb!$A$2,,,Arb!$AJ$5,),B426))+ROW()*0.001)</f>
        <v/>
      </c>
      <c r="I426" s="436">
        <v>284</v>
      </c>
      <c r="K426" s="52" t="str">
        <f ca="1">IF(J426="","",INDEX(OFFSET(Arb!$H$2,,,Arb!$AJ$5,),J426))</f>
        <v/>
      </c>
      <c r="L426" s="3" t="str">
        <f t="shared" ca="1" si="136"/>
        <v/>
      </c>
      <c r="M426" s="165" t="str">
        <f ca="1">IF(J426="","",INDEX(OFFSET(Arb!$X$2,,,Arb!$AJ$5,),J426)/K426)</f>
        <v/>
      </c>
      <c r="N426" s="165" t="str">
        <f ca="1">IF(J426="","",(INDEX(OFFSET(Arb!$U$2,,,Arb!$AJ$5,),J426)+INDEX(OFFSET(Arb!$V$2,,,Arb!$AJ$5,),J426))/K426)</f>
        <v/>
      </c>
      <c r="O426" s="51" t="str">
        <f t="shared" ca="1" si="126"/>
        <v/>
      </c>
      <c r="P426" s="91" t="str">
        <f ca="1">IF(J426="","",DATE(INDEX(OFFSET(Arb!$C$2,,,Arb!$AJ$5,),J426),INDEX(OFFSET(Arb!$B$2,,,Arb!$AJ$5,),J426),INDEX(OFFSET(Arb!$A$2,,,Arb!$AJ$5,),J426))+ROW()*0.001)</f>
        <v/>
      </c>
      <c r="Q426" s="442">
        <v>284</v>
      </c>
      <c r="S426" s="52" t="str">
        <f ca="1">IF(R426="","",INDEX(OFFSET(Arb!$H$2,,,Arb!$AJ$5,),R426))</f>
        <v/>
      </c>
      <c r="T426" s="3" t="str">
        <f t="shared" ca="1" si="137"/>
        <v/>
      </c>
      <c r="U426" s="165" t="str">
        <f ca="1">IF(R426="","",INDEX(OFFSET(Arb!$X$2,,,Arb!$AJ$5,),R426)/S426)</f>
        <v/>
      </c>
      <c r="V426" s="165" t="str">
        <f ca="1">IF(R426="","",(INDEX(OFFSET(Arb!$U$2,,,Arb!$AJ$5,),R426)+INDEX(OFFSET(Arb!$V$2,,,Arb!$AJ$5,),R426))/S426)</f>
        <v/>
      </c>
      <c r="W426" s="51" t="str">
        <f t="shared" ca="1" si="127"/>
        <v/>
      </c>
      <c r="X426" s="88" t="str">
        <f ca="1">IF(R426="","",DATE(INDEX(OFFSET(Arb!$C$2,,,Arb!$AJ$5,),R426),INDEX(OFFSET(Arb!$B$2,,,Arb!$AJ$5,),R426),INDEX(OFFSET(Arb!$A$2,,,Arb!$AJ$5,),R426))+ROW()*0.001)</f>
        <v/>
      </c>
      <c r="Y426" s="436">
        <v>284</v>
      </c>
      <c r="AA426" s="52" t="str">
        <f ca="1">IF(Z426="","",INDEX(OFFSET(Arb!$H$2,,,Arb!$AJ$5,),Z426))</f>
        <v/>
      </c>
      <c r="AB426" s="3" t="str">
        <f t="shared" ca="1" si="138"/>
        <v/>
      </c>
      <c r="AC426" s="165" t="str">
        <f ca="1">IF(Z426="","",INDEX(OFFSET(Arb!$X$2,,,Arb!$AJ$5,),Z426)/AA426)</f>
        <v/>
      </c>
      <c r="AD426" s="165" t="str">
        <f ca="1">IF(Z426="","",(INDEX(OFFSET(Arb!$U$2,,,Arb!$AJ$5,),Z426)+INDEX(OFFSET(Arb!$V$2,,,Arb!$AJ$5,),Z426))/AA426)</f>
        <v/>
      </c>
      <c r="AE426" s="51" t="str">
        <f t="shared" ca="1" si="128"/>
        <v/>
      </c>
      <c r="AF426" s="91" t="str">
        <f ca="1">IF(Z426="","",DATE(INDEX(OFFSET(Arb!$C$2,,,Arb!$AJ$5,),Z426),INDEX(OFFSET(Arb!$B$2,,,Arb!$AJ$5,),Z426),INDEX(OFFSET(Arb!$A$2,,,Arb!$AJ$5,),Z426))+ROW()*0.001)</f>
        <v/>
      </c>
      <c r="AG426" s="442">
        <v>284</v>
      </c>
      <c r="AI426" s="52" t="str">
        <f ca="1">IF(AH426="","",INDEX(OFFSET(Arb!$H$2,,,Arb!$AJ$5,),AH426))</f>
        <v/>
      </c>
      <c r="AJ426" s="3" t="str">
        <f t="shared" ca="1" si="139"/>
        <v/>
      </c>
      <c r="AK426" s="165" t="str">
        <f ca="1">IF(AH426="","",INDEX(OFFSET(Arb!$X$2,,,Arb!$AJ$5,),AH426)/AI426)</f>
        <v/>
      </c>
      <c r="AL426" s="165" t="str">
        <f ca="1">IF(AH426="","",(INDEX(OFFSET(Arb!$U$2,,,Arb!$AJ$5,),AH426)+INDEX(OFFSET(Arb!$V$2,,,Arb!$AJ$5,),AH426))/AI426)</f>
        <v/>
      </c>
      <c r="AM426" s="51" t="str">
        <f t="shared" ca="1" si="129"/>
        <v/>
      </c>
      <c r="AN426" s="88" t="str">
        <f ca="1">IF(AH426="","",DATE(INDEX(OFFSET(Arb!$C$2,,,Arb!$AJ$5,),AH426),INDEX(OFFSET(Arb!$B$2,,,Arb!$AJ$5,),AH426),INDEX(OFFSET(Arb!$A$2,,,Arb!$AJ$5,),AH426))+ROW()*0.001)</f>
        <v/>
      </c>
      <c r="AO426" s="436">
        <v>284</v>
      </c>
      <c r="AQ426" s="52" t="str">
        <f ca="1">IF(AP426="","",INDEX(OFFSET(Arb!$H$2,,,Arb!$AJ$5,),AP426))</f>
        <v/>
      </c>
      <c r="AR426" s="3" t="str">
        <f t="shared" ca="1" si="140"/>
        <v/>
      </c>
      <c r="AS426" s="165" t="str">
        <f ca="1">IF(AP426="","",INDEX(OFFSET(Arb!$X$2,,,Arb!$AJ$5,),AP426)/AQ426)</f>
        <v/>
      </c>
      <c r="AT426" s="165" t="str">
        <f ca="1">IF(AP426="","",(INDEX(OFFSET(Arb!$U$2,,,Arb!$AJ$5,),AP426)+INDEX(OFFSET(Arb!$V$2,,,Arb!$AJ$5,),AP426))/AQ426)</f>
        <v/>
      </c>
      <c r="AU426" s="51" t="str">
        <f t="shared" ca="1" si="130"/>
        <v/>
      </c>
      <c r="AV426" s="91" t="str">
        <f ca="1">IF(AP426="","",DATE(INDEX(OFFSET(Arb!$C$2,,,Arb!$AJ$5,),AP426),INDEX(OFFSET(Arb!$B$2,,,Arb!$AJ$5,),AP426),INDEX(OFFSET(Arb!$A$2,,,Arb!$AJ$5,),AP426))+ROW()*0.001)</f>
        <v/>
      </c>
      <c r="AW426" s="442">
        <v>284</v>
      </c>
      <c r="AY426" s="52" t="str">
        <f ca="1">IF(AX426="","",INDEX(OFFSET(Arb!$H$2,,,Arb!$AJ$5,),AX426))</f>
        <v/>
      </c>
      <c r="AZ426" s="3" t="str">
        <f t="shared" ca="1" si="141"/>
        <v/>
      </c>
      <c r="BA426" s="165" t="str">
        <f ca="1">IF(AX426="","",INDEX(OFFSET(Arb!$X$2,,,Arb!$AJ$5,),AX426)/AY426)</f>
        <v/>
      </c>
      <c r="BB426" s="165" t="str">
        <f ca="1">IF(AX426="","",(INDEX(OFFSET(Arb!$U$2,,,Arb!$AJ$5,),AX426)+INDEX(OFFSET(Arb!$V$2,,,Arb!$AJ$5,),AX426))/AY426)</f>
        <v/>
      </c>
      <c r="BC426" s="51" t="str">
        <f t="shared" ca="1" si="131"/>
        <v/>
      </c>
      <c r="BD426" s="88" t="str">
        <f ca="1">IF(AX426="","",DATE(INDEX(OFFSET(Arb!$C$2,,,Arb!$AJ$5,),AX426),INDEX(OFFSET(Arb!$B$2,,,Arb!$AJ$5,),AX426),INDEX(OFFSET(Arb!$A$2,,,Arb!$AJ$5,),AX426))+ROW()*0.001)</f>
        <v/>
      </c>
      <c r="BE426" s="436">
        <v>284</v>
      </c>
      <c r="BG426" s="52" t="str">
        <f ca="1">IF(BF426="","",INDEX(OFFSET(Arb!$H$2,,,Arb!$AJ$5,),BF426))</f>
        <v/>
      </c>
      <c r="BH426" s="3" t="str">
        <f t="shared" ca="1" si="142"/>
        <v/>
      </c>
      <c r="BI426" s="165" t="str">
        <f ca="1">IF(BF426="","",INDEX(OFFSET(Arb!$X$2,,,Arb!$AJ$5,),BF426)/BG426)</f>
        <v/>
      </c>
      <c r="BJ426" s="165" t="str">
        <f ca="1">IF(BF426="","",(INDEX(OFFSET(Arb!$U$2,,,Arb!$AJ$5,),BF426)+INDEX(OFFSET(Arb!$V$2,,,Arb!$AJ$5,),BF426))/BG426)</f>
        <v/>
      </c>
      <c r="BK426" s="51" t="str">
        <f t="shared" ca="1" si="132"/>
        <v/>
      </c>
      <c r="BL426" s="91" t="str">
        <f ca="1">IF(BF426="","",DATE(INDEX(OFFSET(Arb!$C$2,,,Arb!$AJ$5,),BF426),INDEX(OFFSET(Arb!$B$2,,,Arb!$AJ$5,),BF426),INDEX(OFFSET(Arb!$A$2,,,Arb!$AJ$5,),BF426))+ROW()*0.001)</f>
        <v/>
      </c>
      <c r="BM426" s="442">
        <v>284</v>
      </c>
      <c r="BO426" s="52" t="str">
        <f ca="1">IF(BN426="","",INDEX(OFFSET(Arb!$H$2,,,Arb!$AJ$5,),BN426))</f>
        <v/>
      </c>
      <c r="BP426" s="3" t="str">
        <f t="shared" ca="1" si="143"/>
        <v/>
      </c>
      <c r="BQ426" s="165" t="str">
        <f ca="1">IF(BN426="","",INDEX(OFFSET(Arb!$X$2,,,Arb!$AJ$5,),BN426)/BO426)</f>
        <v/>
      </c>
      <c r="BR426" s="165" t="str">
        <f ca="1">IF(BN426="","",(INDEX(OFFSET(Arb!$U$2,,,Arb!$AJ$5,),BN426)+INDEX(OFFSET(Arb!$V$2,,,Arb!$AJ$5,),BN426))/BO426)</f>
        <v/>
      </c>
      <c r="BS426" s="51" t="str">
        <f t="shared" ca="1" si="133"/>
        <v/>
      </c>
      <c r="BT426" s="88" t="str">
        <f ca="1">IF(BN426="","",DATE(INDEX(OFFSET(Arb!$C$2,,,Arb!$AJ$5,),BN426),INDEX(OFFSET(Arb!$B$2,,,Arb!$AJ$5,),BN426),INDEX(OFFSET(Arb!$A$2,,,Arb!$AJ$5,),BN426))+ROW()*0.001)</f>
        <v/>
      </c>
      <c r="BU426" s="436">
        <v>284</v>
      </c>
      <c r="BW426" s="52" t="str">
        <f ca="1">IF(BV426="","",INDEX(OFFSET(Arb!$H$2,,,Arb!$AJ$5,),BV426))</f>
        <v/>
      </c>
      <c r="BX426" s="3" t="str">
        <f t="shared" ca="1" si="144"/>
        <v/>
      </c>
      <c r="BY426" s="165" t="str">
        <f ca="1">IF(BV426="","",INDEX(OFFSET(Arb!$X$2,,,Arb!$AJ$5,),BV426)/BW426)</f>
        <v/>
      </c>
      <c r="BZ426" s="165" t="str">
        <f ca="1">IF(BV426="","",(INDEX(OFFSET(Arb!$U$2,,,Arb!$AJ$5,),BV426)+INDEX(OFFSET(Arb!$V$2,,,Arb!$AJ$5,),BV426))/BW426)</f>
        <v/>
      </c>
      <c r="CA426" s="51" t="str">
        <f t="shared" ca="1" si="134"/>
        <v/>
      </c>
      <c r="CB426" s="91" t="str">
        <f ca="1">IF(BV426="","",DATE(INDEX(OFFSET(Arb!$C$2,,,Arb!$AJ$5,),BV426),INDEX(OFFSET(Arb!$B$2,,,Arb!$AJ$5,),BV426),INDEX(OFFSET(Arb!$A$2,,,Arb!$AJ$5,),BV426))+ROW()*0.001)</f>
        <v/>
      </c>
    </row>
    <row r="427" spans="1:80" x14ac:dyDescent="0.25">
      <c r="A427" s="433">
        <v>285</v>
      </c>
      <c r="C427" s="52" t="str">
        <f ca="1">IF(B427="","",INDEX(OFFSET(Arb!$H$2,,,Arb!$AJ$5,),B427))</f>
        <v/>
      </c>
      <c r="D427" s="3" t="str">
        <f t="shared" ca="1" si="135"/>
        <v/>
      </c>
      <c r="E427" s="165" t="str">
        <f ca="1">IF(B427="","",INDEX(OFFSET(Arb!$X$2,,,Arb!$AJ$5,),B427)/C427)</f>
        <v/>
      </c>
      <c r="F427" s="165" t="str">
        <f ca="1">IF(B427="","",(INDEX(OFFSET(Arb!$U$2,,,Arb!$AJ$5,),B427)+INDEX(OFFSET(Arb!$V$2,,,Arb!$AJ$5,),B427))/C427)</f>
        <v/>
      </c>
      <c r="G427" s="51" t="str">
        <f t="shared" ca="1" si="125"/>
        <v/>
      </c>
      <c r="H427" s="355" t="str">
        <f ca="1">IF(B427="","",DATE(INDEX(OFFSET(Arb!$C$2,,,Arb!$AJ$5,),B427),INDEX(OFFSET(Arb!$B$2,,,Arb!$AJ$5,),B427),INDEX(OFFSET(Arb!$A$2,,,Arb!$AJ$5,),B427))+ROW()*0.001)</f>
        <v/>
      </c>
      <c r="I427" s="436">
        <v>285</v>
      </c>
      <c r="K427" s="52" t="str">
        <f ca="1">IF(J427="","",INDEX(OFFSET(Arb!$H$2,,,Arb!$AJ$5,),J427))</f>
        <v/>
      </c>
      <c r="L427" s="3" t="str">
        <f t="shared" ca="1" si="136"/>
        <v/>
      </c>
      <c r="M427" s="165" t="str">
        <f ca="1">IF(J427="","",INDEX(OFFSET(Arb!$X$2,,,Arb!$AJ$5,),J427)/K427)</f>
        <v/>
      </c>
      <c r="N427" s="165" t="str">
        <f ca="1">IF(J427="","",(INDEX(OFFSET(Arb!$U$2,,,Arb!$AJ$5,),J427)+INDEX(OFFSET(Arb!$V$2,,,Arb!$AJ$5,),J427))/K427)</f>
        <v/>
      </c>
      <c r="O427" s="51" t="str">
        <f t="shared" ca="1" si="126"/>
        <v/>
      </c>
      <c r="P427" s="91" t="str">
        <f ca="1">IF(J427="","",DATE(INDEX(OFFSET(Arb!$C$2,,,Arb!$AJ$5,),J427),INDEX(OFFSET(Arb!$B$2,,,Arb!$AJ$5,),J427),INDEX(OFFSET(Arb!$A$2,,,Arb!$AJ$5,),J427))+ROW()*0.001)</f>
        <v/>
      </c>
      <c r="Q427" s="442">
        <v>285</v>
      </c>
      <c r="S427" s="52" t="str">
        <f ca="1">IF(R427="","",INDEX(OFFSET(Arb!$H$2,,,Arb!$AJ$5,),R427))</f>
        <v/>
      </c>
      <c r="T427" s="3" t="str">
        <f t="shared" ca="1" si="137"/>
        <v/>
      </c>
      <c r="U427" s="165" t="str">
        <f ca="1">IF(R427="","",INDEX(OFFSET(Arb!$X$2,,,Arb!$AJ$5,),R427)/S427)</f>
        <v/>
      </c>
      <c r="V427" s="165" t="str">
        <f ca="1">IF(R427="","",(INDEX(OFFSET(Arb!$U$2,,,Arb!$AJ$5,),R427)+INDEX(OFFSET(Arb!$V$2,,,Arb!$AJ$5,),R427))/S427)</f>
        <v/>
      </c>
      <c r="W427" s="51" t="str">
        <f t="shared" ca="1" si="127"/>
        <v/>
      </c>
      <c r="X427" s="88" t="str">
        <f ca="1">IF(R427="","",DATE(INDEX(OFFSET(Arb!$C$2,,,Arb!$AJ$5,),R427),INDEX(OFFSET(Arb!$B$2,,,Arb!$AJ$5,),R427),INDEX(OFFSET(Arb!$A$2,,,Arb!$AJ$5,),R427))+ROW()*0.001)</f>
        <v/>
      </c>
      <c r="Y427" s="436">
        <v>285</v>
      </c>
      <c r="AA427" s="52" t="str">
        <f ca="1">IF(Z427="","",INDEX(OFFSET(Arb!$H$2,,,Arb!$AJ$5,),Z427))</f>
        <v/>
      </c>
      <c r="AB427" s="3" t="str">
        <f t="shared" ca="1" si="138"/>
        <v/>
      </c>
      <c r="AC427" s="165" t="str">
        <f ca="1">IF(Z427="","",INDEX(OFFSET(Arb!$X$2,,,Arb!$AJ$5,),Z427)/AA427)</f>
        <v/>
      </c>
      <c r="AD427" s="165" t="str">
        <f ca="1">IF(Z427="","",(INDEX(OFFSET(Arb!$U$2,,,Arb!$AJ$5,),Z427)+INDEX(OFFSET(Arb!$V$2,,,Arb!$AJ$5,),Z427))/AA427)</f>
        <v/>
      </c>
      <c r="AE427" s="51" t="str">
        <f t="shared" ca="1" si="128"/>
        <v/>
      </c>
      <c r="AF427" s="91" t="str">
        <f ca="1">IF(Z427="","",DATE(INDEX(OFFSET(Arb!$C$2,,,Arb!$AJ$5,),Z427),INDEX(OFFSET(Arb!$B$2,,,Arb!$AJ$5,),Z427),INDEX(OFFSET(Arb!$A$2,,,Arb!$AJ$5,),Z427))+ROW()*0.001)</f>
        <v/>
      </c>
      <c r="AG427" s="442">
        <v>285</v>
      </c>
      <c r="AI427" s="52" t="str">
        <f ca="1">IF(AH427="","",INDEX(OFFSET(Arb!$H$2,,,Arb!$AJ$5,),AH427))</f>
        <v/>
      </c>
      <c r="AJ427" s="3" t="str">
        <f t="shared" ca="1" si="139"/>
        <v/>
      </c>
      <c r="AK427" s="165" t="str">
        <f ca="1">IF(AH427="","",INDEX(OFFSET(Arb!$X$2,,,Arb!$AJ$5,),AH427)/AI427)</f>
        <v/>
      </c>
      <c r="AL427" s="165" t="str">
        <f ca="1">IF(AH427="","",(INDEX(OFFSET(Arb!$U$2,,,Arb!$AJ$5,),AH427)+INDEX(OFFSET(Arb!$V$2,,,Arb!$AJ$5,),AH427))/AI427)</f>
        <v/>
      </c>
      <c r="AM427" s="51" t="str">
        <f t="shared" ca="1" si="129"/>
        <v/>
      </c>
      <c r="AN427" s="88" t="str">
        <f ca="1">IF(AH427="","",DATE(INDEX(OFFSET(Arb!$C$2,,,Arb!$AJ$5,),AH427),INDEX(OFFSET(Arb!$B$2,,,Arb!$AJ$5,),AH427),INDEX(OFFSET(Arb!$A$2,,,Arb!$AJ$5,),AH427))+ROW()*0.001)</f>
        <v/>
      </c>
      <c r="AO427" s="436">
        <v>285</v>
      </c>
      <c r="AQ427" s="52" t="str">
        <f ca="1">IF(AP427="","",INDEX(OFFSET(Arb!$H$2,,,Arb!$AJ$5,),AP427))</f>
        <v/>
      </c>
      <c r="AR427" s="3" t="str">
        <f t="shared" ca="1" si="140"/>
        <v/>
      </c>
      <c r="AS427" s="165" t="str">
        <f ca="1">IF(AP427="","",INDEX(OFFSET(Arb!$X$2,,,Arb!$AJ$5,),AP427)/AQ427)</f>
        <v/>
      </c>
      <c r="AT427" s="165" t="str">
        <f ca="1">IF(AP427="","",(INDEX(OFFSET(Arb!$U$2,,,Arb!$AJ$5,),AP427)+INDEX(OFFSET(Arb!$V$2,,,Arb!$AJ$5,),AP427))/AQ427)</f>
        <v/>
      </c>
      <c r="AU427" s="51" t="str">
        <f t="shared" ca="1" si="130"/>
        <v/>
      </c>
      <c r="AV427" s="91" t="str">
        <f ca="1">IF(AP427="","",DATE(INDEX(OFFSET(Arb!$C$2,,,Arb!$AJ$5,),AP427),INDEX(OFFSET(Arb!$B$2,,,Arb!$AJ$5,),AP427),INDEX(OFFSET(Arb!$A$2,,,Arb!$AJ$5,),AP427))+ROW()*0.001)</f>
        <v/>
      </c>
      <c r="AW427" s="442">
        <v>285</v>
      </c>
      <c r="AY427" s="52" t="str">
        <f ca="1">IF(AX427="","",INDEX(OFFSET(Arb!$H$2,,,Arb!$AJ$5,),AX427))</f>
        <v/>
      </c>
      <c r="AZ427" s="3" t="str">
        <f t="shared" ca="1" si="141"/>
        <v/>
      </c>
      <c r="BA427" s="165" t="str">
        <f ca="1">IF(AX427="","",INDEX(OFFSET(Arb!$X$2,,,Arb!$AJ$5,),AX427)/AY427)</f>
        <v/>
      </c>
      <c r="BB427" s="165" t="str">
        <f ca="1">IF(AX427="","",(INDEX(OFFSET(Arb!$U$2,,,Arb!$AJ$5,),AX427)+INDEX(OFFSET(Arb!$V$2,,,Arb!$AJ$5,),AX427))/AY427)</f>
        <v/>
      </c>
      <c r="BC427" s="51" t="str">
        <f t="shared" ca="1" si="131"/>
        <v/>
      </c>
      <c r="BD427" s="88" t="str">
        <f ca="1">IF(AX427="","",DATE(INDEX(OFFSET(Arb!$C$2,,,Arb!$AJ$5,),AX427),INDEX(OFFSET(Arb!$B$2,,,Arb!$AJ$5,),AX427),INDEX(OFFSET(Arb!$A$2,,,Arb!$AJ$5,),AX427))+ROW()*0.001)</f>
        <v/>
      </c>
      <c r="BE427" s="436">
        <v>285</v>
      </c>
      <c r="BG427" s="52" t="str">
        <f ca="1">IF(BF427="","",INDEX(OFFSET(Arb!$H$2,,,Arb!$AJ$5,),BF427))</f>
        <v/>
      </c>
      <c r="BH427" s="3" t="str">
        <f t="shared" ca="1" si="142"/>
        <v/>
      </c>
      <c r="BI427" s="165" t="str">
        <f ca="1">IF(BF427="","",INDEX(OFFSET(Arb!$X$2,,,Arb!$AJ$5,),BF427)/BG427)</f>
        <v/>
      </c>
      <c r="BJ427" s="165" t="str">
        <f ca="1">IF(BF427="","",(INDEX(OFFSET(Arb!$U$2,,,Arb!$AJ$5,),BF427)+INDEX(OFFSET(Arb!$V$2,,,Arb!$AJ$5,),BF427))/BG427)</f>
        <v/>
      </c>
      <c r="BK427" s="51" t="str">
        <f t="shared" ca="1" si="132"/>
        <v/>
      </c>
      <c r="BL427" s="91" t="str">
        <f ca="1">IF(BF427="","",DATE(INDEX(OFFSET(Arb!$C$2,,,Arb!$AJ$5,),BF427),INDEX(OFFSET(Arb!$B$2,,,Arb!$AJ$5,),BF427),INDEX(OFFSET(Arb!$A$2,,,Arb!$AJ$5,),BF427))+ROW()*0.001)</f>
        <v/>
      </c>
      <c r="BM427" s="442">
        <v>285</v>
      </c>
      <c r="BO427" s="52" t="str">
        <f ca="1">IF(BN427="","",INDEX(OFFSET(Arb!$H$2,,,Arb!$AJ$5,),BN427))</f>
        <v/>
      </c>
      <c r="BP427" s="3" t="str">
        <f t="shared" ca="1" si="143"/>
        <v/>
      </c>
      <c r="BQ427" s="165" t="str">
        <f ca="1">IF(BN427="","",INDEX(OFFSET(Arb!$X$2,,,Arb!$AJ$5,),BN427)/BO427)</f>
        <v/>
      </c>
      <c r="BR427" s="165" t="str">
        <f ca="1">IF(BN427="","",(INDEX(OFFSET(Arb!$U$2,,,Arb!$AJ$5,),BN427)+INDEX(OFFSET(Arb!$V$2,,,Arb!$AJ$5,),BN427))/BO427)</f>
        <v/>
      </c>
      <c r="BS427" s="51" t="str">
        <f t="shared" ca="1" si="133"/>
        <v/>
      </c>
      <c r="BT427" s="88" t="str">
        <f ca="1">IF(BN427="","",DATE(INDEX(OFFSET(Arb!$C$2,,,Arb!$AJ$5,),BN427),INDEX(OFFSET(Arb!$B$2,,,Arb!$AJ$5,),BN427),INDEX(OFFSET(Arb!$A$2,,,Arb!$AJ$5,),BN427))+ROW()*0.001)</f>
        <v/>
      </c>
      <c r="BU427" s="436">
        <v>285</v>
      </c>
      <c r="BW427" s="52" t="str">
        <f ca="1">IF(BV427="","",INDEX(OFFSET(Arb!$H$2,,,Arb!$AJ$5,),BV427))</f>
        <v/>
      </c>
      <c r="BX427" s="3" t="str">
        <f t="shared" ca="1" si="144"/>
        <v/>
      </c>
      <c r="BY427" s="165" t="str">
        <f ca="1">IF(BV427="","",INDEX(OFFSET(Arb!$X$2,,,Arb!$AJ$5,),BV427)/BW427)</f>
        <v/>
      </c>
      <c r="BZ427" s="165" t="str">
        <f ca="1">IF(BV427="","",(INDEX(OFFSET(Arb!$U$2,,,Arb!$AJ$5,),BV427)+INDEX(OFFSET(Arb!$V$2,,,Arb!$AJ$5,),BV427))/BW427)</f>
        <v/>
      </c>
      <c r="CA427" s="51" t="str">
        <f t="shared" ca="1" si="134"/>
        <v/>
      </c>
      <c r="CB427" s="91" t="str">
        <f ca="1">IF(BV427="","",DATE(INDEX(OFFSET(Arb!$C$2,,,Arb!$AJ$5,),BV427),INDEX(OFFSET(Arb!$B$2,,,Arb!$AJ$5,),BV427),INDEX(OFFSET(Arb!$A$2,,,Arb!$AJ$5,),BV427))+ROW()*0.001)</f>
        <v/>
      </c>
    </row>
    <row r="428" spans="1:80" x14ac:dyDescent="0.25">
      <c r="A428" s="433">
        <v>286</v>
      </c>
      <c r="C428" s="52" t="str">
        <f ca="1">IF(B428="","",INDEX(OFFSET(Arb!$H$2,,,Arb!$AJ$5,),B428))</f>
        <v/>
      </c>
      <c r="D428" s="3" t="str">
        <f t="shared" ca="1" si="135"/>
        <v/>
      </c>
      <c r="E428" s="165" t="str">
        <f ca="1">IF(B428="","",INDEX(OFFSET(Arb!$X$2,,,Arb!$AJ$5,),B428)/C428)</f>
        <v/>
      </c>
      <c r="F428" s="165" t="str">
        <f ca="1">IF(B428="","",(INDEX(OFFSET(Arb!$U$2,,,Arb!$AJ$5,),B428)+INDEX(OFFSET(Arb!$V$2,,,Arb!$AJ$5,),B428))/C428)</f>
        <v/>
      </c>
      <c r="G428" s="51" t="str">
        <f t="shared" ca="1" si="125"/>
        <v/>
      </c>
      <c r="H428" s="355" t="str">
        <f ca="1">IF(B428="","",DATE(INDEX(OFFSET(Arb!$C$2,,,Arb!$AJ$5,),B428),INDEX(OFFSET(Arb!$B$2,,,Arb!$AJ$5,),B428),INDEX(OFFSET(Arb!$A$2,,,Arb!$AJ$5,),B428))+ROW()*0.001)</f>
        <v/>
      </c>
      <c r="I428" s="436">
        <v>286</v>
      </c>
      <c r="K428" s="52" t="str">
        <f ca="1">IF(J428="","",INDEX(OFFSET(Arb!$H$2,,,Arb!$AJ$5,),J428))</f>
        <v/>
      </c>
      <c r="L428" s="3" t="str">
        <f t="shared" ca="1" si="136"/>
        <v/>
      </c>
      <c r="M428" s="165" t="str">
        <f ca="1">IF(J428="","",INDEX(OFFSET(Arb!$X$2,,,Arb!$AJ$5,),J428)/K428)</f>
        <v/>
      </c>
      <c r="N428" s="165" t="str">
        <f ca="1">IF(J428="","",(INDEX(OFFSET(Arb!$U$2,,,Arb!$AJ$5,),J428)+INDEX(OFFSET(Arb!$V$2,,,Arb!$AJ$5,),J428))/K428)</f>
        <v/>
      </c>
      <c r="O428" s="51" t="str">
        <f t="shared" ca="1" si="126"/>
        <v/>
      </c>
      <c r="P428" s="91" t="str">
        <f ca="1">IF(J428="","",DATE(INDEX(OFFSET(Arb!$C$2,,,Arb!$AJ$5,),J428),INDEX(OFFSET(Arb!$B$2,,,Arb!$AJ$5,),J428),INDEX(OFFSET(Arb!$A$2,,,Arb!$AJ$5,),J428))+ROW()*0.001)</f>
        <v/>
      </c>
      <c r="Q428" s="442">
        <v>286</v>
      </c>
      <c r="S428" s="52" t="str">
        <f ca="1">IF(R428="","",INDEX(OFFSET(Arb!$H$2,,,Arb!$AJ$5,),R428))</f>
        <v/>
      </c>
      <c r="T428" s="3" t="str">
        <f t="shared" ca="1" si="137"/>
        <v/>
      </c>
      <c r="U428" s="165" t="str">
        <f ca="1">IF(R428="","",INDEX(OFFSET(Arb!$X$2,,,Arb!$AJ$5,),R428)/S428)</f>
        <v/>
      </c>
      <c r="V428" s="165" t="str">
        <f ca="1">IF(R428="","",(INDEX(OFFSET(Arb!$U$2,,,Arb!$AJ$5,),R428)+INDEX(OFFSET(Arb!$V$2,,,Arb!$AJ$5,),R428))/S428)</f>
        <v/>
      </c>
      <c r="W428" s="51" t="str">
        <f t="shared" ca="1" si="127"/>
        <v/>
      </c>
      <c r="X428" s="88" t="str">
        <f ca="1">IF(R428="","",DATE(INDEX(OFFSET(Arb!$C$2,,,Arb!$AJ$5,),R428),INDEX(OFFSET(Arb!$B$2,,,Arb!$AJ$5,),R428),INDEX(OFFSET(Arb!$A$2,,,Arb!$AJ$5,),R428))+ROW()*0.001)</f>
        <v/>
      </c>
      <c r="Y428" s="436">
        <v>286</v>
      </c>
      <c r="AA428" s="52" t="str">
        <f ca="1">IF(Z428="","",INDEX(OFFSET(Arb!$H$2,,,Arb!$AJ$5,),Z428))</f>
        <v/>
      </c>
      <c r="AB428" s="3" t="str">
        <f t="shared" ca="1" si="138"/>
        <v/>
      </c>
      <c r="AC428" s="165" t="str">
        <f ca="1">IF(Z428="","",INDEX(OFFSET(Arb!$X$2,,,Arb!$AJ$5,),Z428)/AA428)</f>
        <v/>
      </c>
      <c r="AD428" s="165" t="str">
        <f ca="1">IF(Z428="","",(INDEX(OFFSET(Arb!$U$2,,,Arb!$AJ$5,),Z428)+INDEX(OFFSET(Arb!$V$2,,,Arb!$AJ$5,),Z428))/AA428)</f>
        <v/>
      </c>
      <c r="AE428" s="51" t="str">
        <f t="shared" ca="1" si="128"/>
        <v/>
      </c>
      <c r="AF428" s="91" t="str">
        <f ca="1">IF(Z428="","",DATE(INDEX(OFFSET(Arb!$C$2,,,Arb!$AJ$5,),Z428),INDEX(OFFSET(Arb!$B$2,,,Arb!$AJ$5,),Z428),INDEX(OFFSET(Arb!$A$2,,,Arb!$AJ$5,),Z428))+ROW()*0.001)</f>
        <v/>
      </c>
      <c r="AG428" s="442">
        <v>286</v>
      </c>
      <c r="AI428" s="52" t="str">
        <f ca="1">IF(AH428="","",INDEX(OFFSET(Arb!$H$2,,,Arb!$AJ$5,),AH428))</f>
        <v/>
      </c>
      <c r="AJ428" s="3" t="str">
        <f t="shared" ca="1" si="139"/>
        <v/>
      </c>
      <c r="AK428" s="165" t="str">
        <f ca="1">IF(AH428="","",INDEX(OFFSET(Arb!$X$2,,,Arb!$AJ$5,),AH428)/AI428)</f>
        <v/>
      </c>
      <c r="AL428" s="165" t="str">
        <f ca="1">IF(AH428="","",(INDEX(OFFSET(Arb!$U$2,,,Arb!$AJ$5,),AH428)+INDEX(OFFSET(Arb!$V$2,,,Arb!$AJ$5,),AH428))/AI428)</f>
        <v/>
      </c>
      <c r="AM428" s="51" t="str">
        <f t="shared" ca="1" si="129"/>
        <v/>
      </c>
      <c r="AN428" s="88" t="str">
        <f ca="1">IF(AH428="","",DATE(INDEX(OFFSET(Arb!$C$2,,,Arb!$AJ$5,),AH428),INDEX(OFFSET(Arb!$B$2,,,Arb!$AJ$5,),AH428),INDEX(OFFSET(Arb!$A$2,,,Arb!$AJ$5,),AH428))+ROW()*0.001)</f>
        <v/>
      </c>
      <c r="AO428" s="436">
        <v>286</v>
      </c>
      <c r="AQ428" s="52" t="str">
        <f ca="1">IF(AP428="","",INDEX(OFFSET(Arb!$H$2,,,Arb!$AJ$5,),AP428))</f>
        <v/>
      </c>
      <c r="AR428" s="3" t="str">
        <f t="shared" ca="1" si="140"/>
        <v/>
      </c>
      <c r="AS428" s="165" t="str">
        <f ca="1">IF(AP428="","",INDEX(OFFSET(Arb!$X$2,,,Arb!$AJ$5,),AP428)/AQ428)</f>
        <v/>
      </c>
      <c r="AT428" s="165" t="str">
        <f ca="1">IF(AP428="","",(INDEX(OFFSET(Arb!$U$2,,,Arb!$AJ$5,),AP428)+INDEX(OFFSET(Arb!$V$2,,,Arb!$AJ$5,),AP428))/AQ428)</f>
        <v/>
      </c>
      <c r="AU428" s="51" t="str">
        <f t="shared" ca="1" si="130"/>
        <v/>
      </c>
      <c r="AV428" s="91" t="str">
        <f ca="1">IF(AP428="","",DATE(INDEX(OFFSET(Arb!$C$2,,,Arb!$AJ$5,),AP428),INDEX(OFFSET(Arb!$B$2,,,Arb!$AJ$5,),AP428),INDEX(OFFSET(Arb!$A$2,,,Arb!$AJ$5,),AP428))+ROW()*0.001)</f>
        <v/>
      </c>
      <c r="AW428" s="442">
        <v>286</v>
      </c>
      <c r="AY428" s="52" t="str">
        <f ca="1">IF(AX428="","",INDEX(OFFSET(Arb!$H$2,,,Arb!$AJ$5,),AX428))</f>
        <v/>
      </c>
      <c r="AZ428" s="3" t="str">
        <f t="shared" ca="1" si="141"/>
        <v/>
      </c>
      <c r="BA428" s="165" t="str">
        <f ca="1">IF(AX428="","",INDEX(OFFSET(Arb!$X$2,,,Arb!$AJ$5,),AX428)/AY428)</f>
        <v/>
      </c>
      <c r="BB428" s="165" t="str">
        <f ca="1">IF(AX428="","",(INDEX(OFFSET(Arb!$U$2,,,Arb!$AJ$5,),AX428)+INDEX(OFFSET(Arb!$V$2,,,Arb!$AJ$5,),AX428))/AY428)</f>
        <v/>
      </c>
      <c r="BC428" s="51" t="str">
        <f t="shared" ca="1" si="131"/>
        <v/>
      </c>
      <c r="BD428" s="88" t="str">
        <f ca="1">IF(AX428="","",DATE(INDEX(OFFSET(Arb!$C$2,,,Arb!$AJ$5,),AX428),INDEX(OFFSET(Arb!$B$2,,,Arb!$AJ$5,),AX428),INDEX(OFFSET(Arb!$A$2,,,Arb!$AJ$5,),AX428))+ROW()*0.001)</f>
        <v/>
      </c>
      <c r="BE428" s="436">
        <v>286</v>
      </c>
      <c r="BG428" s="52" t="str">
        <f ca="1">IF(BF428="","",INDEX(OFFSET(Arb!$H$2,,,Arb!$AJ$5,),BF428))</f>
        <v/>
      </c>
      <c r="BH428" s="3" t="str">
        <f t="shared" ca="1" si="142"/>
        <v/>
      </c>
      <c r="BI428" s="165" t="str">
        <f ca="1">IF(BF428="","",INDEX(OFFSET(Arb!$X$2,,,Arb!$AJ$5,),BF428)/BG428)</f>
        <v/>
      </c>
      <c r="BJ428" s="165" t="str">
        <f ca="1">IF(BF428="","",(INDEX(OFFSET(Arb!$U$2,,,Arb!$AJ$5,),BF428)+INDEX(OFFSET(Arb!$V$2,,,Arb!$AJ$5,),BF428))/BG428)</f>
        <v/>
      </c>
      <c r="BK428" s="51" t="str">
        <f t="shared" ca="1" si="132"/>
        <v/>
      </c>
      <c r="BL428" s="91" t="str">
        <f ca="1">IF(BF428="","",DATE(INDEX(OFFSET(Arb!$C$2,,,Arb!$AJ$5,),BF428),INDEX(OFFSET(Arb!$B$2,,,Arb!$AJ$5,),BF428),INDEX(OFFSET(Arb!$A$2,,,Arb!$AJ$5,),BF428))+ROW()*0.001)</f>
        <v/>
      </c>
      <c r="BM428" s="442">
        <v>286</v>
      </c>
      <c r="BO428" s="52" t="str">
        <f ca="1">IF(BN428="","",INDEX(OFFSET(Arb!$H$2,,,Arb!$AJ$5,),BN428))</f>
        <v/>
      </c>
      <c r="BP428" s="3" t="str">
        <f t="shared" ca="1" si="143"/>
        <v/>
      </c>
      <c r="BQ428" s="165" t="str">
        <f ca="1">IF(BN428="","",INDEX(OFFSET(Arb!$X$2,,,Arb!$AJ$5,),BN428)/BO428)</f>
        <v/>
      </c>
      <c r="BR428" s="165" t="str">
        <f ca="1">IF(BN428="","",(INDEX(OFFSET(Arb!$U$2,,,Arb!$AJ$5,),BN428)+INDEX(OFFSET(Arb!$V$2,,,Arb!$AJ$5,),BN428))/BO428)</f>
        <v/>
      </c>
      <c r="BS428" s="51" t="str">
        <f t="shared" ca="1" si="133"/>
        <v/>
      </c>
      <c r="BT428" s="88" t="str">
        <f ca="1">IF(BN428="","",DATE(INDEX(OFFSET(Arb!$C$2,,,Arb!$AJ$5,),BN428),INDEX(OFFSET(Arb!$B$2,,,Arb!$AJ$5,),BN428),INDEX(OFFSET(Arb!$A$2,,,Arb!$AJ$5,),BN428))+ROW()*0.001)</f>
        <v/>
      </c>
      <c r="BU428" s="436">
        <v>286</v>
      </c>
      <c r="BW428" s="52" t="str">
        <f ca="1">IF(BV428="","",INDEX(OFFSET(Arb!$H$2,,,Arb!$AJ$5,),BV428))</f>
        <v/>
      </c>
      <c r="BX428" s="3" t="str">
        <f t="shared" ca="1" si="144"/>
        <v/>
      </c>
      <c r="BY428" s="165" t="str">
        <f ca="1">IF(BV428="","",INDEX(OFFSET(Arb!$X$2,,,Arb!$AJ$5,),BV428)/BW428)</f>
        <v/>
      </c>
      <c r="BZ428" s="165" t="str">
        <f ca="1">IF(BV428="","",(INDEX(OFFSET(Arb!$U$2,,,Arb!$AJ$5,),BV428)+INDEX(OFFSET(Arb!$V$2,,,Arb!$AJ$5,),BV428))/BW428)</f>
        <v/>
      </c>
      <c r="CA428" s="51" t="str">
        <f t="shared" ca="1" si="134"/>
        <v/>
      </c>
      <c r="CB428" s="91" t="str">
        <f ca="1">IF(BV428="","",DATE(INDEX(OFFSET(Arb!$C$2,,,Arb!$AJ$5,),BV428),INDEX(OFFSET(Arb!$B$2,,,Arb!$AJ$5,),BV428),INDEX(OFFSET(Arb!$A$2,,,Arb!$AJ$5,),BV428))+ROW()*0.001)</f>
        <v/>
      </c>
    </row>
    <row r="429" spans="1:80" x14ac:dyDescent="0.25">
      <c r="A429" s="433">
        <v>287</v>
      </c>
      <c r="C429" s="52" t="str">
        <f ca="1">IF(B429="","",INDEX(OFFSET(Arb!$H$2,,,Arb!$AJ$5,),B429))</f>
        <v/>
      </c>
      <c r="D429" s="3" t="str">
        <f t="shared" ca="1" si="135"/>
        <v/>
      </c>
      <c r="E429" s="165" t="str">
        <f ca="1">IF(B429="","",INDEX(OFFSET(Arb!$X$2,,,Arb!$AJ$5,),B429)/C429)</f>
        <v/>
      </c>
      <c r="F429" s="165" t="str">
        <f ca="1">IF(B429="","",(INDEX(OFFSET(Arb!$U$2,,,Arb!$AJ$5,),B429)+INDEX(OFFSET(Arb!$V$2,,,Arb!$AJ$5,),B429))/C429)</f>
        <v/>
      </c>
      <c r="G429" s="51" t="str">
        <f t="shared" ca="1" si="125"/>
        <v/>
      </c>
      <c r="H429" s="355" t="str">
        <f ca="1">IF(B429="","",DATE(INDEX(OFFSET(Arb!$C$2,,,Arb!$AJ$5,),B429),INDEX(OFFSET(Arb!$B$2,,,Arb!$AJ$5,),B429),INDEX(OFFSET(Arb!$A$2,,,Arb!$AJ$5,),B429))+ROW()*0.001)</f>
        <v/>
      </c>
      <c r="I429" s="436">
        <v>287</v>
      </c>
      <c r="K429" s="52" t="str">
        <f ca="1">IF(J429="","",INDEX(OFFSET(Arb!$H$2,,,Arb!$AJ$5,),J429))</f>
        <v/>
      </c>
      <c r="L429" s="3" t="str">
        <f t="shared" ca="1" si="136"/>
        <v/>
      </c>
      <c r="M429" s="165" t="str">
        <f ca="1">IF(J429="","",INDEX(OFFSET(Arb!$X$2,,,Arb!$AJ$5,),J429)/K429)</f>
        <v/>
      </c>
      <c r="N429" s="165" t="str">
        <f ca="1">IF(J429="","",(INDEX(OFFSET(Arb!$U$2,,,Arb!$AJ$5,),J429)+INDEX(OFFSET(Arb!$V$2,,,Arb!$AJ$5,),J429))/K429)</f>
        <v/>
      </c>
      <c r="O429" s="51" t="str">
        <f t="shared" ca="1" si="126"/>
        <v/>
      </c>
      <c r="P429" s="91" t="str">
        <f ca="1">IF(J429="","",DATE(INDEX(OFFSET(Arb!$C$2,,,Arb!$AJ$5,),J429),INDEX(OFFSET(Arb!$B$2,,,Arb!$AJ$5,),J429),INDEX(OFFSET(Arb!$A$2,,,Arb!$AJ$5,),J429))+ROW()*0.001)</f>
        <v/>
      </c>
      <c r="Q429" s="442">
        <v>287</v>
      </c>
      <c r="S429" s="52" t="str">
        <f ca="1">IF(R429="","",INDEX(OFFSET(Arb!$H$2,,,Arb!$AJ$5,),R429))</f>
        <v/>
      </c>
      <c r="T429" s="3" t="str">
        <f t="shared" ca="1" si="137"/>
        <v/>
      </c>
      <c r="U429" s="165" t="str">
        <f ca="1">IF(R429="","",INDEX(OFFSET(Arb!$X$2,,,Arb!$AJ$5,),R429)/S429)</f>
        <v/>
      </c>
      <c r="V429" s="165" t="str">
        <f ca="1">IF(R429="","",(INDEX(OFFSET(Arb!$U$2,,,Arb!$AJ$5,),R429)+INDEX(OFFSET(Arb!$V$2,,,Arb!$AJ$5,),R429))/S429)</f>
        <v/>
      </c>
      <c r="W429" s="51" t="str">
        <f t="shared" ca="1" si="127"/>
        <v/>
      </c>
      <c r="X429" s="88" t="str">
        <f ca="1">IF(R429="","",DATE(INDEX(OFFSET(Arb!$C$2,,,Arb!$AJ$5,),R429),INDEX(OFFSET(Arb!$B$2,,,Arb!$AJ$5,),R429),INDEX(OFFSET(Arb!$A$2,,,Arb!$AJ$5,),R429))+ROW()*0.001)</f>
        <v/>
      </c>
      <c r="Y429" s="436">
        <v>287</v>
      </c>
      <c r="AA429" s="52" t="str">
        <f ca="1">IF(Z429="","",INDEX(OFFSET(Arb!$H$2,,,Arb!$AJ$5,),Z429))</f>
        <v/>
      </c>
      <c r="AB429" s="3" t="str">
        <f t="shared" ca="1" si="138"/>
        <v/>
      </c>
      <c r="AC429" s="165" t="str">
        <f ca="1">IF(Z429="","",INDEX(OFFSET(Arb!$X$2,,,Arb!$AJ$5,),Z429)/AA429)</f>
        <v/>
      </c>
      <c r="AD429" s="165" t="str">
        <f ca="1">IF(Z429="","",(INDEX(OFFSET(Arb!$U$2,,,Arb!$AJ$5,),Z429)+INDEX(OFFSET(Arb!$V$2,,,Arb!$AJ$5,),Z429))/AA429)</f>
        <v/>
      </c>
      <c r="AE429" s="51" t="str">
        <f t="shared" ca="1" si="128"/>
        <v/>
      </c>
      <c r="AF429" s="91" t="str">
        <f ca="1">IF(Z429="","",DATE(INDEX(OFFSET(Arb!$C$2,,,Arb!$AJ$5,),Z429),INDEX(OFFSET(Arb!$B$2,,,Arb!$AJ$5,),Z429),INDEX(OFFSET(Arb!$A$2,,,Arb!$AJ$5,),Z429))+ROW()*0.001)</f>
        <v/>
      </c>
      <c r="AG429" s="442">
        <v>287</v>
      </c>
      <c r="AI429" s="52" t="str">
        <f ca="1">IF(AH429="","",INDEX(OFFSET(Arb!$H$2,,,Arb!$AJ$5,),AH429))</f>
        <v/>
      </c>
      <c r="AJ429" s="3" t="str">
        <f t="shared" ca="1" si="139"/>
        <v/>
      </c>
      <c r="AK429" s="165" t="str">
        <f ca="1">IF(AH429="","",INDEX(OFFSET(Arb!$X$2,,,Arb!$AJ$5,),AH429)/AI429)</f>
        <v/>
      </c>
      <c r="AL429" s="165" t="str">
        <f ca="1">IF(AH429="","",(INDEX(OFFSET(Arb!$U$2,,,Arb!$AJ$5,),AH429)+INDEX(OFFSET(Arb!$V$2,,,Arb!$AJ$5,),AH429))/AI429)</f>
        <v/>
      </c>
      <c r="AM429" s="51" t="str">
        <f t="shared" ca="1" si="129"/>
        <v/>
      </c>
      <c r="AN429" s="88" t="str">
        <f ca="1">IF(AH429="","",DATE(INDEX(OFFSET(Arb!$C$2,,,Arb!$AJ$5,),AH429),INDEX(OFFSET(Arb!$B$2,,,Arb!$AJ$5,),AH429),INDEX(OFFSET(Arb!$A$2,,,Arb!$AJ$5,),AH429))+ROW()*0.001)</f>
        <v/>
      </c>
      <c r="AO429" s="436">
        <v>287</v>
      </c>
      <c r="AQ429" s="52" t="str">
        <f ca="1">IF(AP429="","",INDEX(OFFSET(Arb!$H$2,,,Arb!$AJ$5,),AP429))</f>
        <v/>
      </c>
      <c r="AR429" s="3" t="str">
        <f t="shared" ca="1" si="140"/>
        <v/>
      </c>
      <c r="AS429" s="165" t="str">
        <f ca="1">IF(AP429="","",INDEX(OFFSET(Arb!$X$2,,,Arb!$AJ$5,),AP429)/AQ429)</f>
        <v/>
      </c>
      <c r="AT429" s="165" t="str">
        <f ca="1">IF(AP429="","",(INDEX(OFFSET(Arb!$U$2,,,Arb!$AJ$5,),AP429)+INDEX(OFFSET(Arb!$V$2,,,Arb!$AJ$5,),AP429))/AQ429)</f>
        <v/>
      </c>
      <c r="AU429" s="51" t="str">
        <f t="shared" ca="1" si="130"/>
        <v/>
      </c>
      <c r="AV429" s="91" t="str">
        <f ca="1">IF(AP429="","",DATE(INDEX(OFFSET(Arb!$C$2,,,Arb!$AJ$5,),AP429),INDEX(OFFSET(Arb!$B$2,,,Arb!$AJ$5,),AP429),INDEX(OFFSET(Arb!$A$2,,,Arb!$AJ$5,),AP429))+ROW()*0.001)</f>
        <v/>
      </c>
      <c r="AW429" s="442">
        <v>287</v>
      </c>
      <c r="AY429" s="52" t="str">
        <f ca="1">IF(AX429="","",INDEX(OFFSET(Arb!$H$2,,,Arb!$AJ$5,),AX429))</f>
        <v/>
      </c>
      <c r="AZ429" s="3" t="str">
        <f t="shared" ca="1" si="141"/>
        <v/>
      </c>
      <c r="BA429" s="165" t="str">
        <f ca="1">IF(AX429="","",INDEX(OFFSET(Arb!$X$2,,,Arb!$AJ$5,),AX429)/AY429)</f>
        <v/>
      </c>
      <c r="BB429" s="165" t="str">
        <f ca="1">IF(AX429="","",(INDEX(OFFSET(Arb!$U$2,,,Arb!$AJ$5,),AX429)+INDEX(OFFSET(Arb!$V$2,,,Arb!$AJ$5,),AX429))/AY429)</f>
        <v/>
      </c>
      <c r="BC429" s="51" t="str">
        <f t="shared" ca="1" si="131"/>
        <v/>
      </c>
      <c r="BD429" s="88" t="str">
        <f ca="1">IF(AX429="","",DATE(INDEX(OFFSET(Arb!$C$2,,,Arb!$AJ$5,),AX429),INDEX(OFFSET(Arb!$B$2,,,Arb!$AJ$5,),AX429),INDEX(OFFSET(Arb!$A$2,,,Arb!$AJ$5,),AX429))+ROW()*0.001)</f>
        <v/>
      </c>
      <c r="BE429" s="436">
        <v>287</v>
      </c>
      <c r="BG429" s="52" t="str">
        <f ca="1">IF(BF429="","",INDEX(OFFSET(Arb!$H$2,,,Arb!$AJ$5,),BF429))</f>
        <v/>
      </c>
      <c r="BH429" s="3" t="str">
        <f t="shared" ca="1" si="142"/>
        <v/>
      </c>
      <c r="BI429" s="165" t="str">
        <f ca="1">IF(BF429="","",INDEX(OFFSET(Arb!$X$2,,,Arb!$AJ$5,),BF429)/BG429)</f>
        <v/>
      </c>
      <c r="BJ429" s="165" t="str">
        <f ca="1">IF(BF429="","",(INDEX(OFFSET(Arb!$U$2,,,Arb!$AJ$5,),BF429)+INDEX(OFFSET(Arb!$V$2,,,Arb!$AJ$5,),BF429))/BG429)</f>
        <v/>
      </c>
      <c r="BK429" s="51" t="str">
        <f t="shared" ca="1" si="132"/>
        <v/>
      </c>
      <c r="BL429" s="91" t="str">
        <f ca="1">IF(BF429="","",DATE(INDEX(OFFSET(Arb!$C$2,,,Arb!$AJ$5,),BF429),INDEX(OFFSET(Arb!$B$2,,,Arb!$AJ$5,),BF429),INDEX(OFFSET(Arb!$A$2,,,Arb!$AJ$5,),BF429))+ROW()*0.001)</f>
        <v/>
      </c>
      <c r="BM429" s="442">
        <v>287</v>
      </c>
      <c r="BO429" s="52" t="str">
        <f ca="1">IF(BN429="","",INDEX(OFFSET(Arb!$H$2,,,Arb!$AJ$5,),BN429))</f>
        <v/>
      </c>
      <c r="BP429" s="3" t="str">
        <f t="shared" ca="1" si="143"/>
        <v/>
      </c>
      <c r="BQ429" s="165" t="str">
        <f ca="1">IF(BN429="","",INDEX(OFFSET(Arb!$X$2,,,Arb!$AJ$5,),BN429)/BO429)</f>
        <v/>
      </c>
      <c r="BR429" s="165" t="str">
        <f ca="1">IF(BN429="","",(INDEX(OFFSET(Arb!$U$2,,,Arb!$AJ$5,),BN429)+INDEX(OFFSET(Arb!$V$2,,,Arb!$AJ$5,),BN429))/BO429)</f>
        <v/>
      </c>
      <c r="BS429" s="51" t="str">
        <f t="shared" ca="1" si="133"/>
        <v/>
      </c>
      <c r="BT429" s="88" t="str">
        <f ca="1">IF(BN429="","",DATE(INDEX(OFFSET(Arb!$C$2,,,Arb!$AJ$5,),BN429),INDEX(OFFSET(Arb!$B$2,,,Arb!$AJ$5,),BN429),INDEX(OFFSET(Arb!$A$2,,,Arb!$AJ$5,),BN429))+ROW()*0.001)</f>
        <v/>
      </c>
      <c r="BU429" s="436">
        <v>287</v>
      </c>
      <c r="BW429" s="52" t="str">
        <f ca="1">IF(BV429="","",INDEX(OFFSET(Arb!$H$2,,,Arb!$AJ$5,),BV429))</f>
        <v/>
      </c>
      <c r="BX429" s="3" t="str">
        <f t="shared" ca="1" si="144"/>
        <v/>
      </c>
      <c r="BY429" s="165" t="str">
        <f ca="1">IF(BV429="","",INDEX(OFFSET(Arb!$X$2,,,Arb!$AJ$5,),BV429)/BW429)</f>
        <v/>
      </c>
      <c r="BZ429" s="165" t="str">
        <f ca="1">IF(BV429="","",(INDEX(OFFSET(Arb!$U$2,,,Arb!$AJ$5,),BV429)+INDEX(OFFSET(Arb!$V$2,,,Arb!$AJ$5,),BV429))/BW429)</f>
        <v/>
      </c>
      <c r="CA429" s="51" t="str">
        <f t="shared" ca="1" si="134"/>
        <v/>
      </c>
      <c r="CB429" s="91" t="str">
        <f ca="1">IF(BV429="","",DATE(INDEX(OFFSET(Arb!$C$2,,,Arb!$AJ$5,),BV429),INDEX(OFFSET(Arb!$B$2,,,Arb!$AJ$5,),BV429),INDEX(OFFSET(Arb!$A$2,,,Arb!$AJ$5,),BV429))+ROW()*0.001)</f>
        <v/>
      </c>
    </row>
    <row r="430" spans="1:80" ht="13.8" thickBot="1" x14ac:dyDescent="0.3">
      <c r="A430" s="433">
        <v>288</v>
      </c>
      <c r="C430" s="52" t="str">
        <f ca="1">IF(B430="","",INDEX(OFFSET(Arb!$H$2,,,Arb!$AJ$5,),B430))</f>
        <v/>
      </c>
      <c r="D430" s="3" t="str">
        <f t="shared" ref="D430" ca="1" si="145">IFERROR(A430/C430,"")</f>
        <v/>
      </c>
      <c r="E430" s="165" t="str">
        <f ca="1">IF(B430="","",INDEX(OFFSET(Arb!$X$2,,,Arb!$AJ$5,),B430)/C430)</f>
        <v/>
      </c>
      <c r="F430" s="165" t="str">
        <f ca="1">IF(B430="","",(INDEX(OFFSET(Arb!$U$2,,,Arb!$AJ$5,),B430)+INDEX(OFFSET(Arb!$V$2,,,Arb!$AJ$5,),B430))/C430)</f>
        <v/>
      </c>
      <c r="G430" s="51" t="str">
        <f t="shared" ca="1" si="125"/>
        <v/>
      </c>
      <c r="H430" s="355" t="str">
        <f ca="1">IF(B430="","",DATE(INDEX(OFFSET(Arb!$C$2,,,Arb!$AJ$5,),B430),INDEX(OFFSET(Arb!$B$2,,,Arb!$AJ$5,),B430),INDEX(OFFSET(Arb!$A$2,,,Arb!$AJ$5,),B430))+ROW()*0.001)</f>
        <v/>
      </c>
      <c r="I430" s="437">
        <v>288</v>
      </c>
      <c r="J430" s="167"/>
      <c r="K430" s="247" t="str">
        <f ca="1">IF(J430="","",INDEX(OFFSET(Arb!$H$2,,,Arb!$AJ$5,),J430))</f>
        <v/>
      </c>
      <c r="L430" s="170" t="str">
        <f t="shared" ref="L430" ca="1" si="146">IFERROR(I430/K430,"")</f>
        <v/>
      </c>
      <c r="M430" s="172" t="str">
        <f ca="1">IF(J430="","",INDEX(OFFSET(Arb!$X$2,,,Arb!$AJ$5,),J430)/K430)</f>
        <v/>
      </c>
      <c r="N430" s="172" t="str">
        <f ca="1">IF(J430="","",(INDEX(OFFSET(Arb!$U$2,,,Arb!$AJ$5,),J430)+INDEX(OFFSET(Arb!$V$2,,,Arb!$AJ$5,),J430))/K430)</f>
        <v/>
      </c>
      <c r="O430" s="248" t="str">
        <f t="shared" ca="1" si="126"/>
        <v/>
      </c>
      <c r="P430" s="250" t="str">
        <f ca="1">IF(J430="","",DATE(INDEX(OFFSET(Arb!$C$2,,,Arb!$AJ$5,),J430),INDEX(OFFSET(Arb!$B$2,,,Arb!$AJ$5,),J430),INDEX(OFFSET(Arb!$A$2,,,Arb!$AJ$5,),J430))+ROW()*0.001)</f>
        <v/>
      </c>
      <c r="Q430" s="442">
        <v>288</v>
      </c>
      <c r="S430" s="52" t="str">
        <f ca="1">IF(R430="","",INDEX(OFFSET(Arb!$H$2,,,Arb!$AJ$5,),R430))</f>
        <v/>
      </c>
      <c r="T430" s="3" t="str">
        <f t="shared" ref="T430" ca="1" si="147">IFERROR(Q430/S430,"")</f>
        <v/>
      </c>
      <c r="U430" s="165" t="str">
        <f ca="1">IF(R430="","",INDEX(OFFSET(Arb!$X$2,,,Arb!$AJ$5,),R430)/S430)</f>
        <v/>
      </c>
      <c r="V430" s="165" t="str">
        <f ca="1">IF(R430="","",(INDEX(OFFSET(Arb!$U$2,,,Arb!$AJ$5,),R430)+INDEX(OFFSET(Arb!$V$2,,,Arb!$AJ$5,),R430))/S430)</f>
        <v/>
      </c>
      <c r="W430" s="51" t="str">
        <f t="shared" ca="1" si="127"/>
        <v/>
      </c>
      <c r="X430" s="88" t="str">
        <f ca="1">IF(R430="","",DATE(INDEX(OFFSET(Arb!$C$2,,,Arb!$AJ$5,),R430),INDEX(OFFSET(Arb!$B$2,,,Arb!$AJ$5,),R430),INDEX(OFFSET(Arb!$A$2,,,Arb!$AJ$5,),R430))+ROW()*0.001)</f>
        <v/>
      </c>
      <c r="Y430" s="437">
        <v>288</v>
      </c>
      <c r="Z430" s="167"/>
      <c r="AA430" s="247" t="str">
        <f ca="1">IF(Z430="","",INDEX(OFFSET(Arb!$H$2,,,Arb!$AJ$5,),Z430))</f>
        <v/>
      </c>
      <c r="AB430" s="170" t="str">
        <f t="shared" ref="AB430" ca="1" si="148">IFERROR(Y430/AA430,"")</f>
        <v/>
      </c>
      <c r="AC430" s="172" t="str">
        <f ca="1">IF(Z430="","",INDEX(OFFSET(Arb!$X$2,,,Arb!$AJ$5,),Z430)/AA430)</f>
        <v/>
      </c>
      <c r="AD430" s="172" t="str">
        <f ca="1">IF(Z430="","",(INDEX(OFFSET(Arb!$U$2,,,Arb!$AJ$5,),Z430)+INDEX(OFFSET(Arb!$V$2,,,Arb!$AJ$5,),Z430))/AA430)</f>
        <v/>
      </c>
      <c r="AE430" s="248" t="str">
        <f t="shared" ca="1" si="128"/>
        <v/>
      </c>
      <c r="AF430" s="250" t="str">
        <f ca="1">IF(Z430="","",DATE(INDEX(OFFSET(Arb!$C$2,,,Arb!$AJ$5,),Z430),INDEX(OFFSET(Arb!$B$2,,,Arb!$AJ$5,),Z430),INDEX(OFFSET(Arb!$A$2,,,Arb!$AJ$5,),Z430))+ROW()*0.001)</f>
        <v/>
      </c>
      <c r="AG430" s="442">
        <v>288</v>
      </c>
      <c r="AI430" s="52" t="str">
        <f ca="1">IF(AH430="","",INDEX(OFFSET(Arb!$H$2,,,Arb!$AJ$5,),AH430))</f>
        <v/>
      </c>
      <c r="AJ430" s="3" t="str">
        <f t="shared" ref="AJ430" ca="1" si="149">IFERROR(AG430/AI430,"")</f>
        <v/>
      </c>
      <c r="AK430" s="165" t="str">
        <f ca="1">IF(AH430="","",INDEX(OFFSET(Arb!$X$2,,,Arb!$AJ$5,),AH430)/AI430)</f>
        <v/>
      </c>
      <c r="AL430" s="165" t="str">
        <f ca="1">IF(AH430="","",(INDEX(OFFSET(Arb!$U$2,,,Arb!$AJ$5,),AH430)+INDEX(OFFSET(Arb!$V$2,,,Arb!$AJ$5,),AH430))/AI430)</f>
        <v/>
      </c>
      <c r="AM430" s="51" t="str">
        <f t="shared" ca="1" si="129"/>
        <v/>
      </c>
      <c r="AN430" s="88" t="str">
        <f ca="1">IF(AH430="","",DATE(INDEX(OFFSET(Arb!$C$2,,,Arb!$AJ$5,),AH430),INDEX(OFFSET(Arb!$B$2,,,Arb!$AJ$5,),AH430),INDEX(OFFSET(Arb!$A$2,,,Arb!$AJ$5,),AH430))+ROW()*0.001)</f>
        <v/>
      </c>
      <c r="AO430" s="437">
        <v>288</v>
      </c>
      <c r="AP430" s="167"/>
      <c r="AQ430" s="247" t="str">
        <f ca="1">IF(AP430="","",INDEX(OFFSET(Arb!$H$2,,,Arb!$AJ$5,),AP430))</f>
        <v/>
      </c>
      <c r="AR430" s="170" t="str">
        <f t="shared" ref="AR430" ca="1" si="150">IFERROR(AO430/AQ430,"")</f>
        <v/>
      </c>
      <c r="AS430" s="172" t="str">
        <f ca="1">IF(AP430="","",INDEX(OFFSET(Arb!$X$2,,,Arb!$AJ$5,),AP430)/AQ430)</f>
        <v/>
      </c>
      <c r="AT430" s="172" t="str">
        <f ca="1">IF(AP430="","",(INDEX(OFFSET(Arb!$U$2,,,Arb!$AJ$5,),AP430)+INDEX(OFFSET(Arb!$V$2,,,Arb!$AJ$5,),AP430))/AQ430)</f>
        <v/>
      </c>
      <c r="AU430" s="248" t="str">
        <f t="shared" ca="1" si="130"/>
        <v/>
      </c>
      <c r="AV430" s="250" t="str">
        <f ca="1">IF(AP430="","",DATE(INDEX(OFFSET(Arb!$C$2,,,Arb!$AJ$5,),AP430),INDEX(OFFSET(Arb!$B$2,,,Arb!$AJ$5,),AP430),INDEX(OFFSET(Arb!$A$2,,,Arb!$AJ$5,),AP430))+ROW()*0.001)</f>
        <v/>
      </c>
      <c r="AW430" s="442">
        <v>288</v>
      </c>
      <c r="AY430" s="52" t="str">
        <f ca="1">IF(AX430="","",INDEX(OFFSET(Arb!$H$2,,,Arb!$AJ$5,),AX430))</f>
        <v/>
      </c>
      <c r="AZ430" s="3" t="str">
        <f t="shared" ref="AZ430" ca="1" si="151">IFERROR(AW430/AY430,"")</f>
        <v/>
      </c>
      <c r="BA430" s="165" t="str">
        <f ca="1">IF(AX430="","",INDEX(OFFSET(Arb!$X$2,,,Arb!$AJ$5,),AX430)/AY430)</f>
        <v/>
      </c>
      <c r="BB430" s="165" t="str">
        <f ca="1">IF(AX430="","",(INDEX(OFFSET(Arb!$U$2,,,Arb!$AJ$5,),AX430)+INDEX(OFFSET(Arb!$V$2,,,Arb!$AJ$5,),AX430))/AY430)</f>
        <v/>
      </c>
      <c r="BC430" s="51" t="str">
        <f t="shared" ca="1" si="131"/>
        <v/>
      </c>
      <c r="BD430" s="88" t="str">
        <f ca="1">IF(AX430="","",DATE(INDEX(OFFSET(Arb!$C$2,,,Arb!$AJ$5,),AX430),INDEX(OFFSET(Arb!$B$2,,,Arb!$AJ$5,),AX430),INDEX(OFFSET(Arb!$A$2,,,Arb!$AJ$5,),AX430))+ROW()*0.001)</f>
        <v/>
      </c>
      <c r="BE430" s="437">
        <v>288</v>
      </c>
      <c r="BF430" s="167"/>
      <c r="BG430" s="247" t="str">
        <f ca="1">IF(BF430="","",INDEX(OFFSET(Arb!$H$2,,,Arb!$AJ$5,),BF430))</f>
        <v/>
      </c>
      <c r="BH430" s="170" t="str">
        <f t="shared" ref="BH430" ca="1" si="152">IFERROR(BE430/BG430,"")</f>
        <v/>
      </c>
      <c r="BI430" s="172" t="str">
        <f ca="1">IF(BF430="","",INDEX(OFFSET(Arb!$X$2,,,Arb!$AJ$5,),BF430)/BG430)</f>
        <v/>
      </c>
      <c r="BJ430" s="172" t="str">
        <f ca="1">IF(BF430="","",(INDEX(OFFSET(Arb!$U$2,,,Arb!$AJ$5,),BF430)+INDEX(OFFSET(Arb!$V$2,,,Arb!$AJ$5,),BF430))/BG430)</f>
        <v/>
      </c>
      <c r="BK430" s="248" t="str">
        <f t="shared" ca="1" si="132"/>
        <v/>
      </c>
      <c r="BL430" s="250" t="str">
        <f ca="1">IF(BF430="","",DATE(INDEX(OFFSET(Arb!$C$2,,,Arb!$AJ$5,),BF430),INDEX(OFFSET(Arb!$B$2,,,Arb!$AJ$5,),BF430),INDEX(OFFSET(Arb!$A$2,,,Arb!$AJ$5,),BF430))+ROW()*0.001)</f>
        <v/>
      </c>
      <c r="BM430" s="442">
        <v>288</v>
      </c>
      <c r="BO430" s="52" t="str">
        <f ca="1">IF(BN430="","",INDEX(OFFSET(Arb!$H$2,,,Arb!$AJ$5,),BN430))</f>
        <v/>
      </c>
      <c r="BP430" s="3" t="str">
        <f t="shared" ref="BP430" ca="1" si="153">IFERROR(BM430/BO430,"")</f>
        <v/>
      </c>
      <c r="BQ430" s="165" t="str">
        <f ca="1">IF(BN430="","",INDEX(OFFSET(Arb!$X$2,,,Arb!$AJ$5,),BN430)/BO430)</f>
        <v/>
      </c>
      <c r="BR430" s="165" t="str">
        <f ca="1">IF(BN430="","",(INDEX(OFFSET(Arb!$U$2,,,Arb!$AJ$5,),BN430)+INDEX(OFFSET(Arb!$V$2,,,Arb!$AJ$5,),BN430))/BO430)</f>
        <v/>
      </c>
      <c r="BS430" s="51" t="str">
        <f t="shared" ca="1" si="133"/>
        <v/>
      </c>
      <c r="BT430" s="88" t="str">
        <f ca="1">IF(BN430="","",DATE(INDEX(OFFSET(Arb!$C$2,,,Arb!$AJ$5,),BN430),INDEX(OFFSET(Arb!$B$2,,,Arb!$AJ$5,),BN430),INDEX(OFFSET(Arb!$A$2,,,Arb!$AJ$5,),BN430))+ROW()*0.001)</f>
        <v/>
      </c>
      <c r="BU430" s="437">
        <v>288</v>
      </c>
      <c r="BV430" s="167"/>
      <c r="BW430" s="247" t="str">
        <f ca="1">IF(BV430="","",INDEX(OFFSET(Arb!$H$2,,,Arb!$AJ$5,),BV430))</f>
        <v/>
      </c>
      <c r="BX430" s="170" t="str">
        <f t="shared" ref="BX430" ca="1" si="154">IFERROR(BU430/BW430,"")</f>
        <v/>
      </c>
      <c r="BY430" s="172" t="str">
        <f ca="1">IF(BV430="","",INDEX(OFFSET(Arb!$X$2,,,Arb!$AJ$5,),BV430)/BW430)</f>
        <v/>
      </c>
      <c r="BZ430" s="172" t="str">
        <f ca="1">IF(BV430="","",(INDEX(OFFSET(Arb!$U$2,,,Arb!$AJ$5,),BV430)+INDEX(OFFSET(Arb!$V$2,,,Arb!$AJ$5,),BV430))/BW430)</f>
        <v/>
      </c>
      <c r="CA430" s="248" t="str">
        <f t="shared" ca="1" si="134"/>
        <v/>
      </c>
      <c r="CB430" s="250" t="str">
        <f ca="1">IF(BV430="","",DATE(INDEX(OFFSET(Arb!$C$2,,,Arb!$AJ$5,),BV430),INDEX(OFFSET(Arb!$B$2,,,Arb!$AJ$5,),BV430),INDEX(OFFSET(Arb!$A$2,,,Arb!$AJ$5,),BV430))+ROW()*0.001)</f>
        <v/>
      </c>
    </row>
    <row r="431" spans="1:80" x14ac:dyDescent="0.25">
      <c r="I431" s="441"/>
      <c r="J431" s="69"/>
      <c r="K431" s="251"/>
      <c r="L431" s="69"/>
      <c r="M431" s="179"/>
      <c r="N431" s="179"/>
      <c r="O431" s="252"/>
      <c r="P431" s="255"/>
      <c r="Y431" s="438"/>
      <c r="Z431" s="69"/>
      <c r="AA431" s="251"/>
      <c r="AB431" s="69"/>
      <c r="AC431" s="179"/>
      <c r="AD431" s="179"/>
      <c r="AE431" s="252"/>
      <c r="AF431" s="255"/>
      <c r="AO431" s="438"/>
      <c r="AP431" s="69"/>
      <c r="AQ431" s="251"/>
      <c r="AR431" s="69"/>
      <c r="AS431" s="179"/>
      <c r="AT431" s="179"/>
      <c r="AU431" s="252"/>
      <c r="AV431" s="255"/>
      <c r="BE431" s="438"/>
      <c r="BF431" s="69"/>
      <c r="BG431" s="251"/>
      <c r="BH431" s="69"/>
      <c r="BI431" s="179"/>
      <c r="BJ431" s="179"/>
      <c r="BK431" s="252"/>
      <c r="BL431" s="255"/>
      <c r="BU431" s="438"/>
      <c r="BV431" s="69"/>
      <c r="BW431" s="251"/>
      <c r="BX431" s="69"/>
      <c r="BY431" s="179"/>
      <c r="BZ431" s="179"/>
      <c r="CA431" s="252"/>
      <c r="CB431" s="255"/>
    </row>
  </sheetData>
  <phoneticPr fontId="1" type="noConversion"/>
  <conditionalFormatting sqref="H1:H1048576">
    <cfRule type="expression" dxfId="13" priority="1">
      <formula>YEAR(NOW())-YEAR(H1)=0</formula>
    </cfRule>
    <cfRule type="expression" dxfId="12" priority="2">
      <formula>YEAR(NOW())-YEAR(H1)=1</formula>
    </cfRule>
    <cfRule type="expression" dxfId="11" priority="3">
      <formula>YEAR(NOW())-YEAR(H1)=2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00B050"/>
  </sheetPr>
  <dimension ref="A1:BZ431"/>
  <sheetViews>
    <sheetView zoomScaleNormal="100" workbookViewId="0">
      <pane ySplit="1" topLeftCell="A5" activePane="bottomLeft" state="frozen"/>
      <selection pane="bottomLeft"/>
    </sheetView>
  </sheetViews>
  <sheetFormatPr defaultColWidth="9" defaultRowHeight="13.2" x14ac:dyDescent="0.25"/>
  <cols>
    <col min="1" max="1" width="4.5546875" style="433" bestFit="1" customWidth="1"/>
    <col min="2" max="11" width="4.77734375" style="11" customWidth="1"/>
    <col min="12" max="12" width="7.21875" style="15" bestFit="1" customWidth="1"/>
    <col min="13" max="13" width="7.77734375" style="261" bestFit="1" customWidth="1"/>
    <col min="14" max="14" width="7.77734375" style="282" bestFit="1" customWidth="1"/>
    <col min="15" max="15" width="9.109375" style="11" bestFit="1" customWidth="1"/>
    <col min="16" max="22" width="6.77734375" style="11" customWidth="1"/>
    <col min="23" max="23" width="6.77734375" style="92" customWidth="1"/>
    <col min="24" max="25" width="6.77734375" style="11" customWidth="1"/>
    <col min="26" max="26" width="6.77734375" style="317" customWidth="1"/>
    <col min="27" max="36" width="5" style="11" customWidth="1"/>
    <col min="37" max="37" width="6.6640625" style="257" hidden="1" customWidth="1"/>
    <col min="38" max="38" width="7.21875" style="11" hidden="1" customWidth="1"/>
    <col min="39" max="39" width="2.6640625" style="4" hidden="1" customWidth="1"/>
    <col min="40" max="40" width="4.5546875" style="433" bestFit="1" customWidth="1"/>
    <col min="41" max="50" width="5.33203125" style="11" customWidth="1"/>
    <col min="51" max="51" width="7.21875" style="15" bestFit="1" customWidth="1"/>
    <col min="52" max="52" width="7.21875" style="258" bestFit="1" customWidth="1"/>
    <col min="53" max="53" width="7.77734375" style="261" bestFit="1" customWidth="1"/>
    <col min="54" max="55" width="9.109375" style="56" bestFit="1" customWidth="1"/>
    <col min="56" max="56" width="7.77734375" style="13" bestFit="1" customWidth="1"/>
    <col min="57" max="57" width="8.6640625" style="260" bestFit="1" customWidth="1"/>
    <col min="58" max="67" width="4.77734375" style="11" customWidth="1"/>
    <col min="68" max="68" width="4.5546875" style="433" bestFit="1" customWidth="1"/>
    <col min="69" max="78" width="5.5546875" style="11" bestFit="1" customWidth="1"/>
    <col min="79" max="16384" width="9" style="19"/>
  </cols>
  <sheetData>
    <row r="1" spans="1:78" x14ac:dyDescent="0.25">
      <c r="A1" s="433" t="s">
        <v>288</v>
      </c>
      <c r="B1" s="4" t="s">
        <v>76</v>
      </c>
      <c r="C1" s="4" t="s">
        <v>77</v>
      </c>
      <c r="D1" s="4" t="s">
        <v>78</v>
      </c>
      <c r="E1" s="4" t="s">
        <v>79</v>
      </c>
      <c r="F1" s="4" t="s">
        <v>96</v>
      </c>
      <c r="G1" s="4" t="s">
        <v>71</v>
      </c>
      <c r="H1" s="4" t="s">
        <v>97</v>
      </c>
      <c r="I1" s="4" t="s">
        <v>98</v>
      </c>
      <c r="J1" s="4" t="s">
        <v>99</v>
      </c>
      <c r="K1" s="4" t="s">
        <v>100</v>
      </c>
      <c r="L1" s="15" t="str">
        <f>IF(Arb!$AJ$28=1,"Rarity","稀有度")</f>
        <v>稀有度</v>
      </c>
      <c r="M1" s="15" t="str">
        <f>IF(Arb!$AJ$28=1,"Rate","概率")</f>
        <v>概率</v>
      </c>
      <c r="N1" s="15" t="str">
        <f>IF(Arb!$AJ$28=1,"Vase","收藏")</f>
        <v>收藏</v>
      </c>
      <c r="O1" s="15" t="str">
        <f>IF(Arb!$AJ$28=1,"Range","分段")</f>
        <v>分段</v>
      </c>
      <c r="P1" s="15" t="str">
        <f>B1</f>
        <v>1st</v>
      </c>
      <c r="Q1" s="15" t="str">
        <f>C1</f>
        <v>2nd</v>
      </c>
      <c r="R1" s="15" t="str">
        <f>D1</f>
        <v>3rd</v>
      </c>
      <c r="S1" s="15" t="str">
        <f>E1</f>
        <v>4th</v>
      </c>
      <c r="T1" s="15" t="str">
        <f>F1</f>
        <v>5th</v>
      </c>
      <c r="U1" s="15" t="str">
        <f t="shared" ref="U1:Y1" si="0">G1</f>
        <v>6th</v>
      </c>
      <c r="V1" s="15" t="str">
        <f t="shared" si="0"/>
        <v>7th</v>
      </c>
      <c r="W1" s="256" t="str">
        <f t="shared" si="0"/>
        <v>8th</v>
      </c>
      <c r="X1" s="15" t="str">
        <f t="shared" si="0"/>
        <v>9th</v>
      </c>
      <c r="Y1" s="15" t="str">
        <f t="shared" si="0"/>
        <v>10th</v>
      </c>
      <c r="Z1" s="15" t="str">
        <f>IF(Arb!$AJ$28=1,"Sum","求和")</f>
        <v>求和</v>
      </c>
      <c r="AA1" s="4" t="s">
        <v>86</v>
      </c>
      <c r="AB1" s="4" t="s">
        <v>87</v>
      </c>
      <c r="AC1" s="4" t="s">
        <v>88</v>
      </c>
      <c r="AD1" s="4" t="s">
        <v>89</v>
      </c>
      <c r="AE1" s="4" t="s">
        <v>90</v>
      </c>
      <c r="AF1" s="4" t="s">
        <v>91</v>
      </c>
      <c r="AG1" s="4" t="s">
        <v>92</v>
      </c>
      <c r="AH1" s="4" t="s">
        <v>93</v>
      </c>
      <c r="AI1" s="4" t="s">
        <v>94</v>
      </c>
      <c r="AJ1" s="4" t="s">
        <v>95</v>
      </c>
      <c r="AK1" s="257" t="s">
        <v>272</v>
      </c>
      <c r="AL1" s="4" t="str">
        <f>IF(Arb!$AJ$28=1,"CutLine","分隔线")</f>
        <v>分隔线</v>
      </c>
      <c r="AM1" s="4" t="s">
        <v>373</v>
      </c>
      <c r="AN1" s="433" t="s">
        <v>419</v>
      </c>
      <c r="AO1" s="4" t="str">
        <f t="shared" ref="AO1:AS1" si="1">B1</f>
        <v>1st</v>
      </c>
      <c r="AP1" s="4" t="str">
        <f t="shared" si="1"/>
        <v>2nd</v>
      </c>
      <c r="AQ1" s="4" t="str">
        <f t="shared" si="1"/>
        <v>3rd</v>
      </c>
      <c r="AR1" s="4" t="str">
        <f t="shared" si="1"/>
        <v>4th</v>
      </c>
      <c r="AS1" s="4" t="str">
        <f t="shared" si="1"/>
        <v>5th</v>
      </c>
      <c r="AT1" s="4" t="s">
        <v>71</v>
      </c>
      <c r="AU1" s="4" t="s">
        <v>72</v>
      </c>
      <c r="AV1" s="4" t="s">
        <v>73</v>
      </c>
      <c r="AW1" s="4" t="s">
        <v>74</v>
      </c>
      <c r="AX1" s="4" t="s">
        <v>75</v>
      </c>
      <c r="AY1" s="15" t="str">
        <f>IF(Arb!$AJ$28=1,"Rarity","稀有度")</f>
        <v>稀有度</v>
      </c>
      <c r="AZ1" s="258" t="str">
        <f>IF(Arb!$AJ$28=1,"Rarity","稀有度")</f>
        <v>稀有度</v>
      </c>
      <c r="BA1" s="15" t="str">
        <f>IF(Arb!$AJ$28=1,"Rate","概率")</f>
        <v>概率</v>
      </c>
      <c r="BB1" s="259" t="str">
        <f>IF(Arb!$AJ$28=1,"Group","分组比例")</f>
        <v>分组比例</v>
      </c>
      <c r="BC1" s="259" t="str">
        <f>IF(Arb!$AJ$28=1,"RateG","相对比例")</f>
        <v>相对比例</v>
      </c>
      <c r="BD1" s="9" t="str">
        <f>IF(Arb!$AJ$28=1,"PBdate","PB保持")</f>
        <v>PB保持</v>
      </c>
      <c r="BE1" s="260" t="s">
        <v>418</v>
      </c>
      <c r="BF1" s="4" t="str">
        <f t="shared" ref="BF1:BO1" si="2">B1</f>
        <v>1st</v>
      </c>
      <c r="BG1" s="4" t="str">
        <f t="shared" si="2"/>
        <v>2nd</v>
      </c>
      <c r="BH1" s="4" t="str">
        <f t="shared" si="2"/>
        <v>3rd</v>
      </c>
      <c r="BI1" s="4" t="str">
        <f t="shared" si="2"/>
        <v>4th</v>
      </c>
      <c r="BJ1" s="4" t="str">
        <f t="shared" si="2"/>
        <v>5th</v>
      </c>
      <c r="BK1" s="4" t="str">
        <f t="shared" si="2"/>
        <v>6th</v>
      </c>
      <c r="BL1" s="4" t="str">
        <f t="shared" si="2"/>
        <v>7th</v>
      </c>
      <c r="BM1" s="4" t="str">
        <f t="shared" si="2"/>
        <v>8th</v>
      </c>
      <c r="BN1" s="4" t="str">
        <f t="shared" si="2"/>
        <v>9th</v>
      </c>
      <c r="BO1" s="4" t="str">
        <f t="shared" si="2"/>
        <v>10th</v>
      </c>
      <c r="BP1" s="433" t="s">
        <v>419</v>
      </c>
      <c r="BQ1" s="4" t="str">
        <f t="shared" ref="BQ1:BX1" si="3">BF1</f>
        <v>1st</v>
      </c>
      <c r="BR1" s="4" t="str">
        <f t="shared" si="3"/>
        <v>2nd</v>
      </c>
      <c r="BS1" s="4" t="str">
        <f t="shared" si="3"/>
        <v>3rd</v>
      </c>
      <c r="BT1" s="4" t="str">
        <f t="shared" si="3"/>
        <v>4th</v>
      </c>
      <c r="BU1" s="4" t="str">
        <f t="shared" si="3"/>
        <v>5th</v>
      </c>
      <c r="BV1" s="4" t="str">
        <f t="shared" si="3"/>
        <v>6th</v>
      </c>
      <c r="BW1" s="4" t="str">
        <f t="shared" si="3"/>
        <v>7th</v>
      </c>
      <c r="BX1" s="4" t="str">
        <f t="shared" si="3"/>
        <v>8th</v>
      </c>
      <c r="BY1" s="4" t="str">
        <f t="shared" ref="BY1" si="4">BN1</f>
        <v>9th</v>
      </c>
      <c r="BZ1" s="4" t="str">
        <f t="shared" ref="BZ1" si="5">BO1</f>
        <v>10th</v>
      </c>
    </row>
    <row r="2" spans="1:78" x14ac:dyDescent="0.25">
      <c r="A2" s="433">
        <v>2</v>
      </c>
      <c r="B2" s="11" t="str">
        <f ca="1">BV!D2</f>
        <v/>
      </c>
      <c r="C2" s="11" t="str">
        <f ca="1">BV!L2</f>
        <v/>
      </c>
      <c r="D2" s="11" t="str">
        <f ca="1">BV!T2</f>
        <v/>
      </c>
      <c r="E2" s="11" t="str">
        <f ca="1">BV!AB2</f>
        <v/>
      </c>
      <c r="F2" s="11" t="str">
        <f ca="1">BV!AJ2</f>
        <v/>
      </c>
      <c r="G2" s="11" t="str">
        <f ca="1">BV!AR2</f>
        <v/>
      </c>
      <c r="H2" s="11" t="str">
        <f ca="1">BV!AZ2</f>
        <v/>
      </c>
      <c r="I2" s="11" t="str">
        <f ca="1">BV!BH2</f>
        <v/>
      </c>
      <c r="J2" s="11" t="str">
        <f ca="1">BV!BP2</f>
        <v/>
      </c>
      <c r="K2" s="11" t="str">
        <f ca="1">BV!BX2</f>
        <v/>
      </c>
      <c r="L2" s="64" t="s">
        <v>66</v>
      </c>
      <c r="M2" s="261">
        <v>4.9274309052372543E-5</v>
      </c>
      <c r="N2" s="262" t="str">
        <f ca="1">IF(B2&lt;&gt;"",(1/M2)^0.5,"")</f>
        <v/>
      </c>
      <c r="O2" s="263" t="s">
        <v>11</v>
      </c>
      <c r="P2" s="679">
        <f ca="1">SUM(B2:B9)</f>
        <v>18.904534177515785</v>
      </c>
      <c r="Q2" s="679">
        <f ca="1">SUM(C2:C9)</f>
        <v>16.937050724974362</v>
      </c>
      <c r="R2" s="680">
        <f ca="1">SUM(D2:D9)</f>
        <v>14.833582783581186</v>
      </c>
      <c r="S2" s="680">
        <f ca="1">SUM(E2:E9)</f>
        <v>12.472519390264498</v>
      </c>
      <c r="T2" s="680">
        <f ca="1">SUM(F2:F9)</f>
        <v>12.170448127194334</v>
      </c>
      <c r="U2" s="680">
        <f t="shared" ref="U2:Y2" ca="1" si="6">SUM(G2:G9)</f>
        <v>11.794555925142461</v>
      </c>
      <c r="V2" s="680">
        <f t="shared" ca="1" si="6"/>
        <v>10.151486524757031</v>
      </c>
      <c r="W2" s="681">
        <f t="shared" ca="1" si="6"/>
        <v>9.6862101554012856</v>
      </c>
      <c r="X2" s="682">
        <f t="shared" ca="1" si="6"/>
        <v>8.1864152850785299</v>
      </c>
      <c r="Y2" s="682">
        <f t="shared" ca="1" si="6"/>
        <v>7.5627763541352628</v>
      </c>
      <c r="Z2" s="265">
        <f ca="1">SUM(P2:Y2)</f>
        <v>122.69957944804473</v>
      </c>
      <c r="AC2" s="11">
        <v>2</v>
      </c>
      <c r="AD2" s="301">
        <v>3</v>
      </c>
      <c r="AE2" s="301">
        <v>4</v>
      </c>
      <c r="AF2" s="298">
        <v>5</v>
      </c>
      <c r="AG2" s="299">
        <v>6</v>
      </c>
      <c r="AH2" s="556">
        <v>7</v>
      </c>
      <c r="AI2" s="552">
        <v>8</v>
      </c>
      <c r="AJ2" s="555">
        <v>9</v>
      </c>
      <c r="AK2" s="266">
        <v>7.8861038972439408</v>
      </c>
      <c r="AL2" s="267">
        <v>8</v>
      </c>
      <c r="AM2" s="257"/>
      <c r="AN2" s="433">
        <v>2</v>
      </c>
      <c r="AO2" s="11" t="str">
        <f ca="1">BV!C2</f>
        <v/>
      </c>
      <c r="AP2" s="11" t="str">
        <f ca="1">BV!K2</f>
        <v/>
      </c>
      <c r="AQ2" s="11" t="str">
        <f ca="1">BV!S2</f>
        <v/>
      </c>
      <c r="AR2" s="11" t="str">
        <f ca="1">BV!AA2</f>
        <v/>
      </c>
      <c r="AS2" s="11" t="str">
        <f ca="1">BV!AI2</f>
        <v/>
      </c>
      <c r="AT2" s="11" t="str">
        <f ca="1">BV!AQ2</f>
        <v/>
      </c>
      <c r="AU2" s="11" t="str">
        <f ca="1">BV!AY2</f>
        <v/>
      </c>
      <c r="AV2" s="11" t="str">
        <f ca="1">BV!BG2</f>
        <v/>
      </c>
      <c r="AW2" s="11" t="str">
        <f ca="1">BV!BO2</f>
        <v/>
      </c>
      <c r="AX2" s="11" t="str">
        <f ca="1">BV!BW2</f>
        <v/>
      </c>
      <c r="AY2" s="64" t="s">
        <v>66</v>
      </c>
      <c r="AZ2" s="38">
        <f t="shared" ref="AZ2:AZ49" si="7">0-LOG10(M2)</f>
        <v>4.3073794568881087</v>
      </c>
      <c r="BA2" s="261">
        <v>4.9274309052372543E-5</v>
      </c>
      <c r="BB2" s="268">
        <v>6.1418979555567577E-2</v>
      </c>
      <c r="BC2" s="268">
        <f>BA2/BB2</f>
        <v>8.0226518592339379E-4</v>
      </c>
      <c r="BD2" s="269" t="str">
        <f ca="1">IF(BV!H2="","",INT(NOW()-BV!H2))</f>
        <v/>
      </c>
      <c r="BE2" s="270">
        <f>1/M2^0.5</f>
        <v>142.45894652636511</v>
      </c>
      <c r="BP2" s="433">
        <v>2</v>
      </c>
      <c r="BQ2" s="11" t="str">
        <f ca="1">IFERROR(YEAR(OFFSET(BV!$H2,,(COLUMN()-69)*8)),"")</f>
        <v/>
      </c>
      <c r="BR2" s="11" t="str">
        <f ca="1">IFERROR(YEAR(OFFSET(BV!$H2,,(COLUMN()-69)*8)),"")</f>
        <v/>
      </c>
      <c r="BS2" s="11" t="str">
        <f ca="1">IFERROR(YEAR(OFFSET(BV!$H2,,(COLUMN()-69)*8)),"")</f>
        <v/>
      </c>
      <c r="BT2" s="11" t="str">
        <f ca="1">IFERROR(YEAR(OFFSET(BV!$H2,,(COLUMN()-69)*8)),"")</f>
        <v/>
      </c>
      <c r="BU2" s="11" t="str">
        <f ca="1">IFERROR(YEAR(OFFSET(BV!$H2,,(COLUMN()-69)*8)),"")</f>
        <v/>
      </c>
      <c r="BV2" s="11" t="str">
        <f ca="1">IFERROR(YEAR(OFFSET(BV!$H2,,(COLUMN()-69)*8)),"")</f>
        <v/>
      </c>
      <c r="BW2" s="11" t="str">
        <f ca="1">IFERROR(YEAR(OFFSET(BV!$H2,,(COLUMN()-69)*8)),"")</f>
        <v/>
      </c>
      <c r="BX2" s="11" t="str">
        <f ca="1">IFERROR(YEAR(OFFSET(BV!$H2,,(COLUMN()-69)*8)),"")</f>
        <v/>
      </c>
      <c r="BY2" s="11" t="str">
        <f ca="1">IFERROR(YEAR(OFFSET(BV!$H2,,(COLUMN()-69)*8)),"")</f>
        <v/>
      </c>
      <c r="BZ2" s="11" t="str">
        <f ca="1">IFERROR(YEAR(OFFSET(BV!$H2,,(COLUMN()-69)*8)),"")</f>
        <v/>
      </c>
    </row>
    <row r="3" spans="1:78" x14ac:dyDescent="0.25">
      <c r="A3" s="433">
        <v>3</v>
      </c>
      <c r="B3" s="301">
        <f ca="1">BV!D3</f>
        <v>1.6129032258064515</v>
      </c>
      <c r="C3" s="659">
        <f ca="1">BV!L3</f>
        <v>0.38809831824062091</v>
      </c>
      <c r="D3" s="11" t="str">
        <f ca="1">BV!T3</f>
        <v/>
      </c>
      <c r="E3" s="11" t="str">
        <f ca="1">BV!AB3</f>
        <v/>
      </c>
      <c r="F3" s="11" t="str">
        <f ca="1">BV!AJ3</f>
        <v/>
      </c>
      <c r="G3" s="11" t="str">
        <f ca="1">BV!AR3</f>
        <v/>
      </c>
      <c r="H3" s="11" t="str">
        <f ca="1">BV!AZ3</f>
        <v/>
      </c>
      <c r="I3" s="11" t="str">
        <f ca="1">BV!BH3</f>
        <v/>
      </c>
      <c r="J3" s="11" t="str">
        <f ca="1">BV!BP3</f>
        <v/>
      </c>
      <c r="K3" s="11" t="str">
        <f ca="1">BV!BX3</f>
        <v/>
      </c>
      <c r="L3" s="271" t="s">
        <v>67</v>
      </c>
      <c r="M3" s="261">
        <v>2.5018317625352909E-4</v>
      </c>
      <c r="N3" s="272">
        <f t="shared" ref="N3:N51" ca="1" si="8">IF(B3&lt;&gt;"",(1/M3)^0.5,"")</f>
        <v>63.222395761294962</v>
      </c>
      <c r="O3" s="31" t="s">
        <v>12</v>
      </c>
      <c r="P3" s="560">
        <f ca="1">SUM(B10:B19)</f>
        <v>40.330293331094339</v>
      </c>
      <c r="Q3" s="683">
        <f ca="1">SUM(C10:C19)</f>
        <v>37.997347831479487</v>
      </c>
      <c r="R3" s="274">
        <f ca="1">SUM(D10:D19)</f>
        <v>36.776646199579211</v>
      </c>
      <c r="S3" s="274">
        <f ca="1">SUM(E10:E19)</f>
        <v>36.133323020502381</v>
      </c>
      <c r="T3" s="274">
        <f ca="1">SUM(F10:F19)</f>
        <v>35.465040920616545</v>
      </c>
      <c r="U3" s="684">
        <f t="shared" ref="U3:Y3" ca="1" si="9">SUM(G10:G19)</f>
        <v>34.826427905689044</v>
      </c>
      <c r="V3" s="684">
        <f t="shared" ca="1" si="9"/>
        <v>34.40632552829706</v>
      </c>
      <c r="W3" s="685">
        <f t="shared" ca="1" si="9"/>
        <v>34.10359657390724</v>
      </c>
      <c r="X3" s="684">
        <f t="shared" ca="1" si="9"/>
        <v>33.830068896500158</v>
      </c>
      <c r="Y3" s="684">
        <f t="shared" ca="1" si="9"/>
        <v>33.439605814242277</v>
      </c>
      <c r="Z3" s="265">
        <f t="shared" ref="Z3:Z28" ca="1" si="10">SUM(P3:Y3)</f>
        <v>357.30867602190779</v>
      </c>
      <c r="AA3" s="556">
        <v>10</v>
      </c>
      <c r="AB3" s="553">
        <v>11</v>
      </c>
      <c r="AC3" s="555">
        <v>12</v>
      </c>
      <c r="AD3" s="553">
        <v>13</v>
      </c>
      <c r="AE3" s="293">
        <v>14</v>
      </c>
      <c r="AF3" s="551">
        <v>15</v>
      </c>
      <c r="AG3" s="293">
        <v>16</v>
      </c>
      <c r="AH3" s="293">
        <v>17</v>
      </c>
      <c r="AI3" s="291">
        <v>18</v>
      </c>
      <c r="AJ3" s="555">
        <v>19</v>
      </c>
      <c r="AK3" s="266">
        <v>14.912618314507874</v>
      </c>
      <c r="AL3" s="273">
        <v>7.75</v>
      </c>
      <c r="AM3" s="257"/>
      <c r="AN3" s="433">
        <v>3</v>
      </c>
      <c r="AO3" s="554">
        <f ca="1">BV!C3</f>
        <v>1.86</v>
      </c>
      <c r="AP3" s="300">
        <f ca="1">BV!K3</f>
        <v>7.73</v>
      </c>
      <c r="AQ3" s="11" t="str">
        <f ca="1">BV!S3</f>
        <v/>
      </c>
      <c r="AR3" s="11" t="str">
        <f ca="1">BV!AA3</f>
        <v/>
      </c>
      <c r="AS3" s="11" t="str">
        <f ca="1">BV!AI3</f>
        <v/>
      </c>
      <c r="AT3" s="11" t="str">
        <f ca="1">BV!AQ3</f>
        <v/>
      </c>
      <c r="AU3" s="11" t="str">
        <f ca="1">BV!AY3</f>
        <v/>
      </c>
      <c r="AV3" s="11" t="str">
        <f ca="1">BV!BG3</f>
        <v/>
      </c>
      <c r="AW3" s="11" t="str">
        <f ca="1">BV!BO3</f>
        <v/>
      </c>
      <c r="AX3" s="11" t="str">
        <f ca="1">BV!BW3</f>
        <v/>
      </c>
      <c r="AY3" s="271" t="s">
        <v>67</v>
      </c>
      <c r="AZ3" s="274">
        <f t="shared" si="7"/>
        <v>3.6017418981034934</v>
      </c>
      <c r="BA3" s="261">
        <v>2.5018317625352909E-4</v>
      </c>
      <c r="BB3" s="268">
        <v>6.1418979555567577E-2</v>
      </c>
      <c r="BC3" s="268">
        <f t="shared" ref="BC3:BC51" si="11">BA3/BB3</f>
        <v>4.0733854268480791E-3</v>
      </c>
      <c r="BD3" s="269">
        <f ca="1">IF(BV!H3="","",INT(NOW()-BV!H3))</f>
        <v>399</v>
      </c>
      <c r="BE3" s="275">
        <f t="shared" ref="BE3:BE66" si="12">1/M3^0.5</f>
        <v>63.222395761294969</v>
      </c>
      <c r="BP3" s="433">
        <v>3</v>
      </c>
      <c r="BQ3" s="11">
        <f ca="1">IFERROR(YEAR(OFFSET(BV!$H3,,(COLUMN()-69)*8)),"")</f>
        <v>2019</v>
      </c>
      <c r="BR3" s="11">
        <f ca="1">IFERROR(YEAR(OFFSET(BV!$H3,,(COLUMN()-69)*8)),"")</f>
        <v>2020</v>
      </c>
      <c r="BS3" s="11" t="str">
        <f ca="1">IFERROR(YEAR(OFFSET(BV!$H3,,(COLUMN()-69)*8)),"")</f>
        <v/>
      </c>
      <c r="BT3" s="11" t="str">
        <f ca="1">IFERROR(YEAR(OFFSET(BV!$H3,,(COLUMN()-69)*8)),"")</f>
        <v/>
      </c>
      <c r="BU3" s="11" t="str">
        <f ca="1">IFERROR(YEAR(OFFSET(BV!$H3,,(COLUMN()-69)*8)),"")</f>
        <v/>
      </c>
      <c r="BV3" s="11" t="str">
        <f ca="1">IFERROR(YEAR(OFFSET(BV!$H3,,(COLUMN()-69)*8)),"")</f>
        <v/>
      </c>
      <c r="BW3" s="11" t="str">
        <f ca="1">IFERROR(YEAR(OFFSET(BV!$H3,,(COLUMN()-69)*8)),"")</f>
        <v/>
      </c>
      <c r="BX3" s="11" t="str">
        <f ca="1">IFERROR(YEAR(OFFSET(BV!$H3,,(COLUMN()-69)*8)),"")</f>
        <v/>
      </c>
      <c r="BY3" s="11" t="str">
        <f ca="1">IFERROR(YEAR(OFFSET(BV!$H3,,(COLUMN()-69)*8)),"")</f>
        <v/>
      </c>
      <c r="BZ3" s="11" t="str">
        <f ca="1">IFERROR(YEAR(OFFSET(BV!$H3,,(COLUMN()-69)*8)),"")</f>
        <v/>
      </c>
    </row>
    <row r="4" spans="1:78" x14ac:dyDescent="0.25">
      <c r="A4" s="433">
        <v>4</v>
      </c>
      <c r="B4" s="301">
        <f ca="1">BV!D4</f>
        <v>1.7699115044247788</v>
      </c>
      <c r="C4" s="301">
        <f ca="1">BV!L4</f>
        <v>1.6666666666666667</v>
      </c>
      <c r="D4" s="302">
        <f ca="1">BV!T4</f>
        <v>1.3029315960912053</v>
      </c>
      <c r="E4" s="11" t="str">
        <f ca="1">BV!AB4</f>
        <v/>
      </c>
      <c r="F4" s="11" t="str">
        <f ca="1">BV!AJ4</f>
        <v/>
      </c>
      <c r="G4" s="11" t="str">
        <f ca="1">BV!AR4</f>
        <v/>
      </c>
      <c r="H4" s="11" t="str">
        <f ca="1">BV!AZ4</f>
        <v/>
      </c>
      <c r="I4" s="11" t="str">
        <f ca="1">BV!BH4</f>
        <v/>
      </c>
      <c r="J4" s="11" t="str">
        <f ca="1">BV!BP4</f>
        <v/>
      </c>
      <c r="K4" s="11" t="str">
        <f ca="1">BV!BX4</f>
        <v/>
      </c>
      <c r="L4" s="271" t="s">
        <v>67</v>
      </c>
      <c r="M4" s="261">
        <v>8.7497836604970736E-4</v>
      </c>
      <c r="N4" s="272">
        <f t="shared" ca="1" si="8"/>
        <v>33.806588117465033</v>
      </c>
      <c r="O4" s="31" t="s">
        <v>13</v>
      </c>
      <c r="P4" s="686">
        <f ca="1">SUM(B20:B29)</f>
        <v>43.424787460335899</v>
      </c>
      <c r="Q4" s="560">
        <f ca="1">SUM(C20:C29)</f>
        <v>40.46837617079408</v>
      </c>
      <c r="R4" s="683">
        <f ca="1">SUM(D20:D29)</f>
        <v>38.60914266770029</v>
      </c>
      <c r="S4" s="683">
        <f ca="1">SUM(E20:E29)</f>
        <v>37.993049123598489</v>
      </c>
      <c r="T4" s="274">
        <f ca="1">SUM(F20:F29)</f>
        <v>37.160238873737178</v>
      </c>
      <c r="U4" s="274">
        <f t="shared" ref="U4:Y4" ca="1" si="13">SUM(G20:G29)</f>
        <v>36.772732111982165</v>
      </c>
      <c r="V4" s="274">
        <f t="shared" ca="1" si="13"/>
        <v>35.991740148324141</v>
      </c>
      <c r="W4" s="687">
        <f t="shared" ca="1" si="13"/>
        <v>35.730453061403914</v>
      </c>
      <c r="X4" s="684">
        <f t="shared" ca="1" si="13"/>
        <v>34.987374837440392</v>
      </c>
      <c r="Y4" s="684">
        <f t="shared" ca="1" si="13"/>
        <v>34.460373156965886</v>
      </c>
      <c r="Z4" s="265">
        <f t="shared" ca="1" si="10"/>
        <v>375.59826761228243</v>
      </c>
      <c r="AA4" s="293">
        <v>20</v>
      </c>
      <c r="AB4" s="551">
        <v>21</v>
      </c>
      <c r="AC4" s="555">
        <v>22</v>
      </c>
      <c r="AD4" s="293">
        <v>23</v>
      </c>
      <c r="AE4" s="557">
        <v>24</v>
      </c>
      <c r="AF4" s="551">
        <v>25</v>
      </c>
      <c r="AG4" s="293">
        <v>26</v>
      </c>
      <c r="AH4" s="293">
        <v>27</v>
      </c>
      <c r="AI4" s="293">
        <v>28</v>
      </c>
      <c r="AJ4" s="291">
        <v>29</v>
      </c>
      <c r="AK4" s="266">
        <v>22.959677016306021</v>
      </c>
      <c r="AL4" s="276">
        <v>7.5</v>
      </c>
      <c r="AM4" s="257"/>
      <c r="AN4" s="433">
        <v>4</v>
      </c>
      <c r="AO4" s="291">
        <f ca="1">BV!C4</f>
        <v>2.2599999999999998</v>
      </c>
      <c r="AP4" s="291">
        <f ca="1">BV!K4</f>
        <v>2.4</v>
      </c>
      <c r="AQ4" s="293">
        <f ca="1">BV!S4</f>
        <v>3.07</v>
      </c>
      <c r="AR4" s="11" t="str">
        <f ca="1">BV!AA4</f>
        <v/>
      </c>
      <c r="AS4" s="11" t="str">
        <f ca="1">BV!AI4</f>
        <v/>
      </c>
      <c r="AT4" s="11" t="str">
        <f ca="1">BV!AQ4</f>
        <v/>
      </c>
      <c r="AU4" s="11" t="str">
        <f ca="1">BV!AY4</f>
        <v/>
      </c>
      <c r="AV4" s="11" t="str">
        <f ca="1">BV!BG4</f>
        <v/>
      </c>
      <c r="AW4" s="11" t="str">
        <f ca="1">BV!BO4</f>
        <v/>
      </c>
      <c r="AX4" s="11" t="str">
        <f ca="1">BV!BW4</f>
        <v/>
      </c>
      <c r="AY4" s="271" t="s">
        <v>67</v>
      </c>
      <c r="AZ4" s="274">
        <f t="shared" si="7"/>
        <v>3.0580026848306985</v>
      </c>
      <c r="BA4" s="261">
        <v>8.7497836604970736E-4</v>
      </c>
      <c r="BB4" s="268">
        <v>6.1418979555567577E-2</v>
      </c>
      <c r="BC4" s="268">
        <f t="shared" si="11"/>
        <v>1.4246058341918371E-2</v>
      </c>
      <c r="BD4" s="269">
        <f ca="1">IF(BV!H4="","",INT(NOW()-BV!H4))</f>
        <v>383</v>
      </c>
      <c r="BE4" s="275">
        <f t="shared" si="12"/>
        <v>33.806588117465033</v>
      </c>
      <c r="BP4" s="433">
        <v>4</v>
      </c>
      <c r="BQ4" s="11">
        <f ca="1">IFERROR(YEAR(OFFSET(BV!$H4,,(COLUMN()-69)*8)),"")</f>
        <v>2019</v>
      </c>
      <c r="BR4" s="11">
        <f ca="1">IFERROR(YEAR(OFFSET(BV!$H4,,(COLUMN()-69)*8)),"")</f>
        <v>2019</v>
      </c>
      <c r="BS4" s="11">
        <f ca="1">IFERROR(YEAR(OFFSET(BV!$H4,,(COLUMN()-69)*8)),"")</f>
        <v>2020</v>
      </c>
      <c r="BT4" s="11" t="str">
        <f ca="1">IFERROR(YEAR(OFFSET(BV!$H4,,(COLUMN()-69)*8)),"")</f>
        <v/>
      </c>
      <c r="BU4" s="11" t="str">
        <f ca="1">IFERROR(YEAR(OFFSET(BV!$H4,,(COLUMN()-69)*8)),"")</f>
        <v/>
      </c>
      <c r="BV4" s="11" t="str">
        <f ca="1">IFERROR(YEAR(OFFSET(BV!$H4,,(COLUMN()-69)*8)),"")</f>
        <v/>
      </c>
      <c r="BW4" s="11" t="str">
        <f ca="1">IFERROR(YEAR(OFFSET(BV!$H4,,(COLUMN()-69)*8)),"")</f>
        <v/>
      </c>
      <c r="BX4" s="11" t="str">
        <f ca="1">IFERROR(YEAR(OFFSET(BV!$H4,,(COLUMN()-69)*8)),"")</f>
        <v/>
      </c>
      <c r="BY4" s="11" t="str">
        <f ca="1">IFERROR(YEAR(OFFSET(BV!$H4,,(COLUMN()-69)*8)),"")</f>
        <v/>
      </c>
      <c r="BZ4" s="11" t="str">
        <f ca="1">IFERROR(YEAR(OFFSET(BV!$H4,,(COLUMN()-69)*8)),"")</f>
        <v/>
      </c>
    </row>
    <row r="5" spans="1:78" x14ac:dyDescent="0.25">
      <c r="A5" s="433">
        <v>5</v>
      </c>
      <c r="B5" s="298">
        <f ca="1">BV!D5</f>
        <v>2.6455026455026456</v>
      </c>
      <c r="C5" s="299">
        <f ca="1">BV!L5</f>
        <v>2.2831050228310503</v>
      </c>
      <c r="D5" s="301">
        <f ca="1">BV!T5</f>
        <v>1.9841269841269842</v>
      </c>
      <c r="E5" s="301">
        <f ca="1">BV!AB5</f>
        <v>1.9305019305019306</v>
      </c>
      <c r="F5" s="301">
        <f ca="1">BV!AJ5</f>
        <v>1.9083969465648853</v>
      </c>
      <c r="G5" s="301">
        <f ca="1">BV!AR5</f>
        <v>1.5873015873015874</v>
      </c>
      <c r="H5" s="659">
        <f ca="1">BV!AZ5</f>
        <v>0.24727992087042533</v>
      </c>
      <c r="I5" s="11" t="str">
        <f ca="1">BV!BH5</f>
        <v/>
      </c>
      <c r="J5" s="11" t="str">
        <f ca="1">BV!BP5</f>
        <v/>
      </c>
      <c r="K5" s="11" t="str">
        <f ca="1">BV!BX5</f>
        <v/>
      </c>
      <c r="L5" s="62" t="s">
        <v>64</v>
      </c>
      <c r="M5" s="261">
        <v>2.3633109816468159E-3</v>
      </c>
      <c r="N5" s="277">
        <f t="shared" ca="1" si="8"/>
        <v>20.570249695772553</v>
      </c>
      <c r="O5" s="31" t="s">
        <v>14</v>
      </c>
      <c r="P5" s="683">
        <f ca="1">SUM(B30:B54)</f>
        <v>39.40011034695069</v>
      </c>
      <c r="Q5" s="688">
        <f ca="1">SUM(C30:C54)</f>
        <v>29.670009118667448</v>
      </c>
      <c r="R5" s="679">
        <f ca="1">SUM(D30:D54)</f>
        <v>17.931385858875029</v>
      </c>
      <c r="S5" s="680">
        <f ca="1">SUM(E30:E54)</f>
        <v>12.864299747907713</v>
      </c>
      <c r="T5" s="682">
        <f ca="1">SUM(F30:F54)</f>
        <v>7.8910633106597574</v>
      </c>
      <c r="U5" s="682">
        <f t="shared" ref="U5:Y5" ca="1" si="14">SUM(G30:G54)</f>
        <v>6.5520647728426749</v>
      </c>
      <c r="V5" s="682">
        <f t="shared" ca="1" si="14"/>
        <v>6.216402137812322</v>
      </c>
      <c r="W5" s="689">
        <f t="shared" ca="1" si="14"/>
        <v>3.1813361611876991</v>
      </c>
      <c r="X5" s="690">
        <f t="shared" ca="1" si="14"/>
        <v>3.1545741324921135</v>
      </c>
      <c r="Y5" s="690">
        <f t="shared" ca="1" si="14"/>
        <v>3.0333670374115265</v>
      </c>
      <c r="Z5" s="265">
        <f t="shared" ca="1" si="10"/>
        <v>129.89461262480697</v>
      </c>
      <c r="AA5" s="551">
        <v>30</v>
      </c>
      <c r="AB5" s="553">
        <v>31</v>
      </c>
      <c r="AC5" s="551">
        <v>32</v>
      </c>
      <c r="AD5" s="553">
        <v>33</v>
      </c>
      <c r="AE5" s="555">
        <v>34</v>
      </c>
      <c r="AF5" s="555">
        <v>35</v>
      </c>
      <c r="AG5" s="555">
        <v>36</v>
      </c>
      <c r="AH5" s="551">
        <v>37</v>
      </c>
      <c r="AI5" s="555">
        <v>38</v>
      </c>
      <c r="AJ5" s="11">
        <v>39</v>
      </c>
      <c r="AK5" s="266">
        <v>32.388339337051484</v>
      </c>
      <c r="AL5" s="278">
        <v>7.25</v>
      </c>
      <c r="AM5" s="257"/>
      <c r="AN5" s="433">
        <v>5</v>
      </c>
      <c r="AO5" s="554">
        <f ca="1">BV!C5</f>
        <v>1.89</v>
      </c>
      <c r="AP5" s="291">
        <f ca="1">BV!K5</f>
        <v>2.19</v>
      </c>
      <c r="AQ5" s="557">
        <f ca="1">BV!S5</f>
        <v>2.52</v>
      </c>
      <c r="AR5" s="557">
        <f ca="1">BV!AA5</f>
        <v>2.59</v>
      </c>
      <c r="AS5" s="557">
        <f ca="1">BV!AI5</f>
        <v>2.62</v>
      </c>
      <c r="AT5" s="293">
        <f ca="1">BV!AQ5</f>
        <v>3.15</v>
      </c>
      <c r="AU5" s="11">
        <f ca="1">BV!AY5</f>
        <v>20.22</v>
      </c>
      <c r="AV5" s="11" t="str">
        <f ca="1">BV!BG5</f>
        <v/>
      </c>
      <c r="AW5" s="11" t="str">
        <f ca="1">BV!BO5</f>
        <v/>
      </c>
      <c r="AX5" s="11" t="str">
        <f ca="1">BV!BW5</f>
        <v/>
      </c>
      <c r="AY5" s="62" t="s">
        <v>3</v>
      </c>
      <c r="AZ5" s="37">
        <f t="shared" si="7"/>
        <v>2.6264791269808923</v>
      </c>
      <c r="BA5" s="261">
        <v>2.3633109816468159E-3</v>
      </c>
      <c r="BB5" s="268">
        <v>6.1418979555567577E-2</v>
      </c>
      <c r="BC5" s="268">
        <f t="shared" si="11"/>
        <v>3.8478512647847858E-2</v>
      </c>
      <c r="BD5" s="269">
        <f ca="1">IF(BV!H5="","",INT(NOW()-BV!H5))</f>
        <v>80</v>
      </c>
      <c r="BE5" s="279">
        <f t="shared" si="12"/>
        <v>20.570249695772553</v>
      </c>
      <c r="BP5" s="433">
        <v>5</v>
      </c>
      <c r="BQ5" s="11">
        <f ca="1">IFERROR(YEAR(OFFSET(BV!$H5,,(COLUMN()-69)*8)),"")</f>
        <v>2020</v>
      </c>
      <c r="BR5" s="11">
        <f ca="1">IFERROR(YEAR(OFFSET(BV!$H5,,(COLUMN()-69)*8)),"")</f>
        <v>2019</v>
      </c>
      <c r="BS5" s="11">
        <f ca="1">IFERROR(YEAR(OFFSET(BV!$H5,,(COLUMN()-69)*8)),"")</f>
        <v>2019</v>
      </c>
      <c r="BT5" s="11">
        <f ca="1">IFERROR(YEAR(OFFSET(BV!$H5,,(COLUMN()-69)*8)),"")</f>
        <v>2019</v>
      </c>
      <c r="BU5" s="11">
        <f ca="1">IFERROR(YEAR(OFFSET(BV!$H5,,(COLUMN()-69)*8)),"")</f>
        <v>2020</v>
      </c>
      <c r="BV5" s="11">
        <f ca="1">IFERROR(YEAR(OFFSET(BV!$H5,,(COLUMN()-69)*8)),"")</f>
        <v>2019</v>
      </c>
      <c r="BW5" s="11">
        <f ca="1">IFERROR(YEAR(OFFSET(BV!$H5,,(COLUMN()-69)*8)),"")</f>
        <v>2020</v>
      </c>
      <c r="BX5" s="11" t="str">
        <f ca="1">IFERROR(YEAR(OFFSET(BV!$H5,,(COLUMN()-69)*8)),"")</f>
        <v/>
      </c>
      <c r="BY5" s="11" t="str">
        <f ca="1">IFERROR(YEAR(OFFSET(BV!$H5,,(COLUMN()-69)*8)),"")</f>
        <v/>
      </c>
      <c r="BZ5" s="11" t="str">
        <f ca="1">IFERROR(YEAR(OFFSET(BV!$H5,,(COLUMN()-69)*8)),"")</f>
        <v/>
      </c>
    </row>
    <row r="6" spans="1:78" x14ac:dyDescent="0.25">
      <c r="A6" s="433">
        <v>6</v>
      </c>
      <c r="B6" s="299">
        <f ca="1">BV!D6</f>
        <v>2.4896265560165975</v>
      </c>
      <c r="C6" s="299">
        <f ca="1">BV!L6</f>
        <v>2.4193548387096775</v>
      </c>
      <c r="D6" s="299">
        <f ca="1">BV!T6</f>
        <v>2.4193548387096775</v>
      </c>
      <c r="E6" s="300">
        <f ca="1">BV!AB6</f>
        <v>2.0477815699658701</v>
      </c>
      <c r="F6" s="300">
        <f ca="1">BV!AJ6</f>
        <v>2.0066889632107023</v>
      </c>
      <c r="G6" s="301">
        <f ca="1">BV!AR6</f>
        <v>1.9801980198019804</v>
      </c>
      <c r="H6" s="301">
        <f ca="1">BV!AZ6</f>
        <v>1.941747572815534</v>
      </c>
      <c r="I6" s="301">
        <f ca="1">BV!BH6</f>
        <v>1.8518518518518516</v>
      </c>
      <c r="J6" s="659">
        <f ca="1">BV!BP6</f>
        <v>0.4594180704441041</v>
      </c>
      <c r="K6" s="11" t="str">
        <f ca="1">BV!BX6</f>
        <v/>
      </c>
      <c r="L6" s="62" t="s">
        <v>64</v>
      </c>
      <c r="M6" s="261">
        <v>5.2574312426613996E-3</v>
      </c>
      <c r="N6" s="277">
        <f t="shared" ca="1" si="8"/>
        <v>13.791553840039706</v>
      </c>
      <c r="O6" s="36" t="s">
        <v>15</v>
      </c>
      <c r="P6" s="680">
        <f ca="1">SUM(B55:B64)</f>
        <v>13.040423962204031</v>
      </c>
      <c r="Q6" s="682">
        <f ca="1">SUM(C55:C64)</f>
        <v>9.2217095922165022</v>
      </c>
      <c r="R6" s="690">
        <f ca="1">SUM(D55:D64)</f>
        <v>1.884760366182014</v>
      </c>
      <c r="S6" s="34">
        <f ca="1">SUM(E55:E64)</f>
        <v>0</v>
      </c>
      <c r="T6" s="34">
        <f ca="1">SUM(F55:F64)</f>
        <v>0</v>
      </c>
      <c r="U6" s="34">
        <f t="shared" ref="U6:Y6" ca="1" si="15">SUM(G55:G64)</f>
        <v>0</v>
      </c>
      <c r="V6" s="34">
        <f t="shared" ca="1" si="15"/>
        <v>0</v>
      </c>
      <c r="W6" s="264">
        <f t="shared" ca="1" si="15"/>
        <v>0</v>
      </c>
      <c r="X6" s="34">
        <f t="shared" ca="1" si="15"/>
        <v>0</v>
      </c>
      <c r="Y6" s="34">
        <f t="shared" ca="1" si="15"/>
        <v>0</v>
      </c>
      <c r="Z6" s="265">
        <f t="shared" ca="1" si="10"/>
        <v>24.146893920602547</v>
      </c>
      <c r="AA6" s="551">
        <v>40</v>
      </c>
      <c r="AB6" s="11">
        <v>41</v>
      </c>
      <c r="AC6" s="11">
        <v>42</v>
      </c>
      <c r="AD6" s="11">
        <v>43</v>
      </c>
      <c r="AE6" s="11">
        <v>44</v>
      </c>
      <c r="AF6" s="11">
        <v>45</v>
      </c>
      <c r="AG6" s="11">
        <v>46</v>
      </c>
      <c r="AH6" s="11">
        <v>47</v>
      </c>
      <c r="AI6" s="11">
        <v>48</v>
      </c>
      <c r="AJ6" s="11">
        <v>49</v>
      </c>
      <c r="AK6" s="280">
        <v>36.759416804987843</v>
      </c>
      <c r="AL6" s="281">
        <v>7</v>
      </c>
      <c r="AM6" s="257"/>
      <c r="AN6" s="433">
        <v>6</v>
      </c>
      <c r="AO6" s="291">
        <f ca="1">BV!C6</f>
        <v>2.41</v>
      </c>
      <c r="AP6" s="291">
        <f ca="1">BV!K6</f>
        <v>2.48</v>
      </c>
      <c r="AQ6" s="291">
        <f ca="1">BV!S6</f>
        <v>2.48</v>
      </c>
      <c r="AR6" s="557">
        <f ca="1">BV!AA6</f>
        <v>2.93</v>
      </c>
      <c r="AS6" s="557">
        <f ca="1">BV!AI6</f>
        <v>2.99</v>
      </c>
      <c r="AT6" s="293">
        <f ca="1">BV!AQ6</f>
        <v>3.03</v>
      </c>
      <c r="AU6" s="293">
        <f ca="1">BV!AY6</f>
        <v>3.09</v>
      </c>
      <c r="AV6" s="293">
        <f ca="1">BV!BG6</f>
        <v>3.24</v>
      </c>
      <c r="AW6" s="11">
        <f ca="1">BV!BO6</f>
        <v>13.06</v>
      </c>
      <c r="AX6" s="11" t="str">
        <f ca="1">BV!BW6</f>
        <v/>
      </c>
      <c r="AY6" s="62" t="s">
        <v>3</v>
      </c>
      <c r="AZ6" s="37">
        <f t="shared" si="7"/>
        <v>2.2792263983616614</v>
      </c>
      <c r="BA6" s="261">
        <v>5.2574312426613996E-3</v>
      </c>
      <c r="BB6" s="268">
        <v>6.1418979555567577E-2</v>
      </c>
      <c r="BC6" s="268">
        <f t="shared" si="11"/>
        <v>8.5599456075378874E-2</v>
      </c>
      <c r="BD6" s="269">
        <f ca="1">IF(BV!H6="","",INT(NOW()-BV!H6))</f>
        <v>274</v>
      </c>
      <c r="BE6" s="279">
        <f t="shared" si="12"/>
        <v>13.791553840039708</v>
      </c>
      <c r="BP6" s="433">
        <v>6</v>
      </c>
      <c r="BQ6" s="11">
        <f ca="1">IFERROR(YEAR(OFFSET(BV!$H6,,(COLUMN()-69)*8)),"")</f>
        <v>2020</v>
      </c>
      <c r="BR6" s="11">
        <f ca="1">IFERROR(YEAR(OFFSET(BV!$H6,,(COLUMN()-69)*8)),"")</f>
        <v>2020</v>
      </c>
      <c r="BS6" s="11">
        <f ca="1">IFERROR(YEAR(OFFSET(BV!$H6,,(COLUMN()-69)*8)),"")</f>
        <v>2020</v>
      </c>
      <c r="BT6" s="11">
        <f ca="1">IFERROR(YEAR(OFFSET(BV!$H6,,(COLUMN()-69)*8)),"")</f>
        <v>2019</v>
      </c>
      <c r="BU6" s="11">
        <f ca="1">IFERROR(YEAR(OFFSET(BV!$H6,,(COLUMN()-69)*8)),"")</f>
        <v>2020</v>
      </c>
      <c r="BV6" s="11">
        <f ca="1">IFERROR(YEAR(OFFSET(BV!$H6,,(COLUMN()-69)*8)),"")</f>
        <v>2020</v>
      </c>
      <c r="BW6" s="11">
        <f ca="1">IFERROR(YEAR(OFFSET(BV!$H6,,(COLUMN()-69)*8)),"")</f>
        <v>2019</v>
      </c>
      <c r="BX6" s="11">
        <f ca="1">IFERROR(YEAR(OFFSET(BV!$H6,,(COLUMN()-69)*8)),"")</f>
        <v>2020</v>
      </c>
      <c r="BY6" s="11">
        <f ca="1">IFERROR(YEAR(OFFSET(BV!$H6,,(COLUMN()-69)*8)),"")</f>
        <v>2020</v>
      </c>
      <c r="BZ6" s="11" t="str">
        <f ca="1">IFERROR(YEAR(OFFSET(BV!$H6,,(COLUMN()-69)*8)),"")</f>
        <v/>
      </c>
    </row>
    <row r="7" spans="1:78" x14ac:dyDescent="0.25">
      <c r="A7" s="433">
        <v>7</v>
      </c>
      <c r="B7" s="556">
        <f ca="1">BV!D7</f>
        <v>3.4146341463414638</v>
      </c>
      <c r="C7" s="556">
        <f ca="1">BV!L7</f>
        <v>3.381642512077295</v>
      </c>
      <c r="D7" s="552">
        <f ca="1">BV!T7</f>
        <v>3.1818181818181817</v>
      </c>
      <c r="E7" s="298">
        <f ca="1">BV!AB7</f>
        <v>2.5925925925925926</v>
      </c>
      <c r="F7" s="299">
        <f ca="1">BV!AJ7</f>
        <v>2.4647887323943665</v>
      </c>
      <c r="G7" s="299">
        <f ca="1">BV!AR7</f>
        <v>2.4561403508771931</v>
      </c>
      <c r="H7" s="299">
        <f ca="1">BV!AZ7</f>
        <v>2.397260273972603</v>
      </c>
      <c r="I7" s="299">
        <f ca="1">BV!BH7</f>
        <v>2.397260273972603</v>
      </c>
      <c r="J7" s="299">
        <f ca="1">BV!BP7</f>
        <v>2.3333333333333335</v>
      </c>
      <c r="K7" s="299">
        <f ca="1">BV!BX7</f>
        <v>2.258064516129032</v>
      </c>
      <c r="L7" s="15" t="s">
        <v>102</v>
      </c>
      <c r="M7" s="261">
        <v>1.0033075113947279E-2</v>
      </c>
      <c r="N7" s="282">
        <f t="shared" ca="1" si="8"/>
        <v>9.9835033538994864</v>
      </c>
      <c r="O7" s="36" t="s">
        <v>16</v>
      </c>
      <c r="P7" s="691">
        <f ca="1">SUM(B65:B74)</f>
        <v>23.832384890605894</v>
      </c>
      <c r="Q7" s="692">
        <f ca="1">SUM(C65:C74)</f>
        <v>20.298376991470416</v>
      </c>
      <c r="R7" s="679">
        <f ca="1">SUM(D65:D74)</f>
        <v>17.353443879501938</v>
      </c>
      <c r="S7" s="679">
        <f ca="1">SUM(E65:E74)</f>
        <v>16.929597435387208</v>
      </c>
      <c r="T7" s="680">
        <f ca="1">SUM(F65:F74)</f>
        <v>10.495885175170715</v>
      </c>
      <c r="U7" s="680">
        <f t="shared" ref="U7:Y7" ca="1" si="16">SUM(G65:G74)</f>
        <v>10.136757719468166</v>
      </c>
      <c r="V7" s="682">
        <f t="shared" ca="1" si="16"/>
        <v>7.8973089100431295</v>
      </c>
      <c r="W7" s="689">
        <f t="shared" ca="1" si="16"/>
        <v>4.1620733501921618</v>
      </c>
      <c r="X7" s="690">
        <f t="shared" ca="1" si="16"/>
        <v>2.188782489740082</v>
      </c>
      <c r="Y7" s="690">
        <f t="shared" ca="1" si="16"/>
        <v>2.0600858369098711</v>
      </c>
      <c r="Z7" s="265">
        <f t="shared" ca="1" si="10"/>
        <v>115.35469667848959</v>
      </c>
      <c r="AB7" s="11">
        <v>51</v>
      </c>
      <c r="AE7" s="11">
        <v>54</v>
      </c>
      <c r="AK7" s="280">
        <v>45.87602460166098</v>
      </c>
      <c r="AL7" s="283">
        <v>6.75</v>
      </c>
      <c r="AM7" s="257"/>
      <c r="AN7" s="433">
        <v>7</v>
      </c>
      <c r="AO7" s="291">
        <f ca="1">BV!C7</f>
        <v>2.0499999999999998</v>
      </c>
      <c r="AP7" s="291">
        <f ca="1">BV!K7</f>
        <v>2.0699999999999998</v>
      </c>
      <c r="AQ7" s="291">
        <f ca="1">BV!S7</f>
        <v>2.2000000000000002</v>
      </c>
      <c r="AR7" s="557">
        <f ca="1">BV!AA7</f>
        <v>2.7</v>
      </c>
      <c r="AS7" s="557">
        <f ca="1">BV!AI7</f>
        <v>2.84</v>
      </c>
      <c r="AT7" s="557">
        <f ca="1">BV!AQ7</f>
        <v>2.85</v>
      </c>
      <c r="AU7" s="557">
        <f ca="1">BV!AY7</f>
        <v>2.92</v>
      </c>
      <c r="AV7" s="557">
        <f ca="1">BV!BG7</f>
        <v>2.92</v>
      </c>
      <c r="AW7" s="293">
        <f ca="1">BV!BO7</f>
        <v>3</v>
      </c>
      <c r="AX7" s="293">
        <f ca="1">BV!BW7</f>
        <v>3.1</v>
      </c>
      <c r="AY7" s="15" t="s">
        <v>65</v>
      </c>
      <c r="AZ7" s="258">
        <f t="shared" si="7"/>
        <v>1.998565936338202</v>
      </c>
      <c r="BA7" s="261">
        <v>1.0033075113947279E-2</v>
      </c>
      <c r="BB7" s="268">
        <v>6.1418979555567577E-2</v>
      </c>
      <c r="BC7" s="268">
        <f t="shared" si="11"/>
        <v>0.16335463706084627</v>
      </c>
      <c r="BD7" s="269">
        <f ca="1">IF(BV!H7="","",INT(NOW()-BV!H7))</f>
        <v>380</v>
      </c>
      <c r="BE7" s="260">
        <f t="shared" si="12"/>
        <v>9.9835033538994864</v>
      </c>
      <c r="BP7" s="433">
        <v>7</v>
      </c>
      <c r="BQ7" s="11">
        <f ca="1">IFERROR(YEAR(OFFSET(BV!$H7,,(COLUMN()-69)*8)),"")</f>
        <v>2019</v>
      </c>
      <c r="BR7" s="11">
        <f ca="1">IFERROR(YEAR(OFFSET(BV!$H7,,(COLUMN()-69)*8)),"")</f>
        <v>2019</v>
      </c>
      <c r="BS7" s="11">
        <f ca="1">IFERROR(YEAR(OFFSET(BV!$H7,,(COLUMN()-69)*8)),"")</f>
        <v>2019</v>
      </c>
      <c r="BT7" s="11">
        <f ca="1">IFERROR(YEAR(OFFSET(BV!$H7,,(COLUMN()-69)*8)),"")</f>
        <v>2020</v>
      </c>
      <c r="BU7" s="11">
        <f ca="1">IFERROR(YEAR(OFFSET(BV!$H7,,(COLUMN()-69)*8)),"")</f>
        <v>2020</v>
      </c>
      <c r="BV7" s="11">
        <f ca="1">IFERROR(YEAR(OFFSET(BV!$H7,,(COLUMN()-69)*8)),"")</f>
        <v>2020</v>
      </c>
      <c r="BW7" s="11">
        <f ca="1">IFERROR(YEAR(OFFSET(BV!$H7,,(COLUMN()-69)*8)),"")</f>
        <v>2020</v>
      </c>
      <c r="BX7" s="11">
        <f ca="1">IFERROR(YEAR(OFFSET(BV!$H7,,(COLUMN()-69)*8)),"")</f>
        <v>2020</v>
      </c>
      <c r="BY7" s="11">
        <f ca="1">IFERROR(YEAR(OFFSET(BV!$H7,,(COLUMN()-69)*8)),"")</f>
        <v>2019</v>
      </c>
      <c r="BZ7" s="11">
        <f ca="1">IFERROR(YEAR(OFFSET(BV!$H7,,(COLUMN()-69)*8)),"")</f>
        <v>2019</v>
      </c>
    </row>
    <row r="8" spans="1:78" x14ac:dyDescent="0.25">
      <c r="A8" s="433">
        <v>8</v>
      </c>
      <c r="B8" s="552">
        <f ca="1">BV!D8</f>
        <v>3.0418250950570345</v>
      </c>
      <c r="C8" s="297">
        <f ca="1">BV!L8</f>
        <v>2.9520295202952029</v>
      </c>
      <c r="D8" s="297">
        <f ca="1">BV!T8</f>
        <v>2.7874564459930311</v>
      </c>
      <c r="E8" s="297">
        <f ca="1">BV!AB8</f>
        <v>2.7874564459930311</v>
      </c>
      <c r="F8" s="298">
        <f ca="1">BV!AJ8</f>
        <v>2.7397260273972601</v>
      </c>
      <c r="G8" s="298">
        <f ca="1">BV!AR8</f>
        <v>2.7303754266211602</v>
      </c>
      <c r="H8" s="298">
        <f ca="1">BV!AZ8</f>
        <v>2.6143790849673203</v>
      </c>
      <c r="I8" s="298">
        <f ca="1">BV!BH8</f>
        <v>2.5889967637540456</v>
      </c>
      <c r="J8" s="298">
        <f ca="1">BV!BP8</f>
        <v>2.572347266881029</v>
      </c>
      <c r="K8" s="299">
        <f ca="1">BV!BX8</f>
        <v>2.4922118380062304</v>
      </c>
      <c r="L8" s="15" t="s">
        <v>102</v>
      </c>
      <c r="M8" s="261">
        <v>1.6901763028598318E-2</v>
      </c>
      <c r="N8" s="282">
        <f t="shared" ca="1" si="8"/>
        <v>7.6919064882409334</v>
      </c>
      <c r="O8" s="36" t="s">
        <v>17</v>
      </c>
      <c r="P8" s="693">
        <f ca="1">SUM(B75:B84)</f>
        <v>26.771902266996705</v>
      </c>
      <c r="Q8" s="693">
        <f ca="1">SUM(C75:C84)</f>
        <v>26.086609499588267</v>
      </c>
      <c r="R8" s="693">
        <f ca="1">SUM(D75:D84)</f>
        <v>25.432794691917898</v>
      </c>
      <c r="S8" s="691">
        <f ca="1">SUM(E75:E84)</f>
        <v>24.797769945012952</v>
      </c>
      <c r="T8" s="691">
        <f ca="1">SUM(F75:F84)</f>
        <v>24.121062956019269</v>
      </c>
      <c r="U8" s="691">
        <f t="shared" ref="U8:Y8" ca="1" si="17">SUM(G75:G84)</f>
        <v>23.869088744468979</v>
      </c>
      <c r="V8" s="691">
        <f t="shared" ca="1" si="17"/>
        <v>23.496568819140972</v>
      </c>
      <c r="W8" s="694">
        <f t="shared" ca="1" si="17"/>
        <v>23.042186020071853</v>
      </c>
      <c r="X8" s="692">
        <f t="shared" ca="1" si="17"/>
        <v>22.334459169479484</v>
      </c>
      <c r="Y8" s="692">
        <f t="shared" ca="1" si="17"/>
        <v>20.093844020305973</v>
      </c>
      <c r="Z8" s="265">
        <f t="shared" ca="1" si="10"/>
        <v>240.04628613300235</v>
      </c>
      <c r="AA8" s="300">
        <v>30</v>
      </c>
      <c r="AB8" s="11">
        <v>31</v>
      </c>
      <c r="AC8" s="11">
        <v>32</v>
      </c>
      <c r="AD8" s="11">
        <v>33</v>
      </c>
      <c r="AE8" s="11">
        <v>34</v>
      </c>
      <c r="AF8" s="300">
        <v>35</v>
      </c>
      <c r="AG8" s="301">
        <v>36</v>
      </c>
      <c r="AH8" s="298">
        <v>37</v>
      </c>
      <c r="AI8" s="301">
        <v>38</v>
      </c>
      <c r="AJ8" s="300">
        <v>39</v>
      </c>
      <c r="AK8" s="280">
        <v>55.083001356444584</v>
      </c>
      <c r="AL8" s="284">
        <v>6.5</v>
      </c>
      <c r="AM8" s="257"/>
      <c r="AN8" s="433">
        <v>8</v>
      </c>
      <c r="AO8" s="557">
        <f ca="1">BV!C8</f>
        <v>2.63</v>
      </c>
      <c r="AP8" s="557">
        <f ca="1">BV!K8</f>
        <v>2.71</v>
      </c>
      <c r="AQ8" s="557">
        <f ca="1">BV!S8</f>
        <v>2.87</v>
      </c>
      <c r="AR8" s="557">
        <f ca="1">BV!AA8</f>
        <v>2.87</v>
      </c>
      <c r="AS8" s="557">
        <f ca="1">BV!AI8</f>
        <v>2.92</v>
      </c>
      <c r="AT8" s="557">
        <f ca="1">BV!AQ8</f>
        <v>2.93</v>
      </c>
      <c r="AU8" s="293">
        <f ca="1">BV!AY8</f>
        <v>3.06</v>
      </c>
      <c r="AV8" s="293">
        <f ca="1">BV!BG8</f>
        <v>3.09</v>
      </c>
      <c r="AW8" s="293">
        <f ca="1">BV!BO8</f>
        <v>3.11</v>
      </c>
      <c r="AX8" s="293">
        <f ca="1">BV!BW8</f>
        <v>3.21</v>
      </c>
      <c r="AY8" s="15" t="s">
        <v>65</v>
      </c>
      <c r="AZ8" s="258">
        <f t="shared" si="7"/>
        <v>1.7720679916196718</v>
      </c>
      <c r="BA8" s="261">
        <v>1.6901763028598318E-2</v>
      </c>
      <c r="BB8" s="268">
        <v>6.1418979555567577E-2</v>
      </c>
      <c r="BC8" s="268">
        <f t="shared" si="11"/>
        <v>0.2751879492446922</v>
      </c>
      <c r="BD8" s="269">
        <f ca="1">IF(BV!H8="","",INT(NOW()-BV!H8))</f>
        <v>362</v>
      </c>
      <c r="BE8" s="260">
        <f t="shared" si="12"/>
        <v>7.6919064882409325</v>
      </c>
      <c r="BP8" s="433">
        <v>8</v>
      </c>
      <c r="BQ8" s="11">
        <f ca="1">IFERROR(YEAR(OFFSET(BV!$H8,,(COLUMN()-69)*8)),"")</f>
        <v>2019</v>
      </c>
      <c r="BR8" s="11">
        <f ca="1">IFERROR(YEAR(OFFSET(BV!$H8,,(COLUMN()-69)*8)),"")</f>
        <v>2020</v>
      </c>
      <c r="BS8" s="11">
        <f ca="1">IFERROR(YEAR(OFFSET(BV!$H8,,(COLUMN()-69)*8)),"")</f>
        <v>2019</v>
      </c>
      <c r="BT8" s="11">
        <f ca="1">IFERROR(YEAR(OFFSET(BV!$H8,,(COLUMN()-69)*8)),"")</f>
        <v>2019</v>
      </c>
      <c r="BU8" s="11">
        <f ca="1">IFERROR(YEAR(OFFSET(BV!$H8,,(COLUMN()-69)*8)),"")</f>
        <v>2020</v>
      </c>
      <c r="BV8" s="11">
        <f ca="1">IFERROR(YEAR(OFFSET(BV!$H8,,(COLUMN()-69)*8)),"")</f>
        <v>2020</v>
      </c>
      <c r="BW8" s="11">
        <f ca="1">IFERROR(YEAR(OFFSET(BV!$H8,,(COLUMN()-69)*8)),"")</f>
        <v>2020</v>
      </c>
      <c r="BX8" s="11">
        <f ca="1">IFERROR(YEAR(OFFSET(BV!$H8,,(COLUMN()-69)*8)),"")</f>
        <v>2020</v>
      </c>
      <c r="BY8" s="11">
        <f ca="1">IFERROR(YEAR(OFFSET(BV!$H8,,(COLUMN()-69)*8)),"")</f>
        <v>2020</v>
      </c>
      <c r="BZ8" s="11">
        <f ca="1">IFERROR(YEAR(OFFSET(BV!$H8,,(COLUMN()-69)*8)),"")</f>
        <v>2020</v>
      </c>
    </row>
    <row r="9" spans="1:78" x14ac:dyDescent="0.25">
      <c r="A9" s="433">
        <v>9</v>
      </c>
      <c r="B9" s="555">
        <f ca="1">BV!D9</f>
        <v>3.9301310043668121</v>
      </c>
      <c r="C9" s="555">
        <f ca="1">BV!L9</f>
        <v>3.8461538461538463</v>
      </c>
      <c r="D9" s="552">
        <f ca="1">BV!T9</f>
        <v>3.1578947368421053</v>
      </c>
      <c r="E9" s="552">
        <f ca="1">BV!AB9</f>
        <v>3.1141868512110724</v>
      </c>
      <c r="F9" s="552">
        <f ca="1">BV!AJ9</f>
        <v>3.0508474576271185</v>
      </c>
      <c r="G9" s="552">
        <f ca="1">BV!AR9</f>
        <v>3.0405405405405408</v>
      </c>
      <c r="H9" s="297">
        <f ca="1">BV!AZ9</f>
        <v>2.9508196721311477</v>
      </c>
      <c r="I9" s="297">
        <f ca="1">BV!BH9</f>
        <v>2.8481012658227849</v>
      </c>
      <c r="J9" s="297">
        <f ca="1">BV!BP9</f>
        <v>2.8213166144200628</v>
      </c>
      <c r="K9" s="297">
        <f ca="1">BV!BX9</f>
        <v>2.8125</v>
      </c>
      <c r="L9" s="15" t="s">
        <v>102</v>
      </c>
      <c r="M9" s="261">
        <v>2.5688963337358154E-2</v>
      </c>
      <c r="N9" s="282">
        <f t="shared" ca="1" si="8"/>
        <v>6.2391684402579672</v>
      </c>
      <c r="O9" s="36" t="s">
        <v>18</v>
      </c>
      <c r="P9" s="688">
        <f ca="1">SUM(B85:B94)</f>
        <v>28.388634055873801</v>
      </c>
      <c r="Q9" s="693">
        <f ca="1">SUM(C85:C94)</f>
        <v>27.477730150047517</v>
      </c>
      <c r="R9" s="693">
        <f ca="1">SUM(D85:D94)</f>
        <v>26.788707714610787</v>
      </c>
      <c r="S9" s="693">
        <f ca="1">SUM(E85:E94)</f>
        <v>26.191563946377013</v>
      </c>
      <c r="T9" s="693">
        <f ca="1">SUM(F85:F94)</f>
        <v>25.835809338221104</v>
      </c>
      <c r="U9" s="693">
        <f t="shared" ref="U9:Y9" ca="1" si="18">SUM(G85:G94)</f>
        <v>25.31915616768207</v>
      </c>
      <c r="V9" s="691">
        <f t="shared" ca="1" si="18"/>
        <v>24.839776891230585</v>
      </c>
      <c r="W9" s="694">
        <f t="shared" ca="1" si="18"/>
        <v>24.416395445332988</v>
      </c>
      <c r="X9" s="692">
        <f t="shared" ca="1" si="18"/>
        <v>21.99988694944556</v>
      </c>
      <c r="Y9" s="692">
        <f t="shared" ca="1" si="18"/>
        <v>21.784124843078182</v>
      </c>
      <c r="Z9" s="265">
        <f t="shared" ca="1" si="10"/>
        <v>253.04178550189962</v>
      </c>
      <c r="AA9" s="300">
        <v>40</v>
      </c>
      <c r="AB9" s="299">
        <v>41</v>
      </c>
      <c r="AC9" s="299">
        <v>42</v>
      </c>
      <c r="AD9" s="299">
        <v>43</v>
      </c>
      <c r="AE9" s="300">
        <v>44</v>
      </c>
      <c r="AF9" s="298">
        <v>45</v>
      </c>
      <c r="AG9" s="300">
        <v>46</v>
      </c>
      <c r="AH9" s="299">
        <v>47</v>
      </c>
      <c r="AI9" s="298">
        <v>48</v>
      </c>
      <c r="AJ9" s="299">
        <v>49</v>
      </c>
      <c r="AK9" s="280">
        <v>64.432513376523914</v>
      </c>
      <c r="AL9" s="285">
        <v>6.25</v>
      </c>
      <c r="AM9" s="257"/>
      <c r="AN9" s="433">
        <v>9</v>
      </c>
      <c r="AO9" s="291">
        <f ca="1">BV!C9</f>
        <v>2.29</v>
      </c>
      <c r="AP9" s="291">
        <f ca="1">BV!K9</f>
        <v>2.34</v>
      </c>
      <c r="AQ9" s="557">
        <f ca="1">BV!S9</f>
        <v>2.85</v>
      </c>
      <c r="AR9" s="557">
        <f ca="1">BV!AA9</f>
        <v>2.89</v>
      </c>
      <c r="AS9" s="557">
        <f ca="1">BV!AI9</f>
        <v>2.95</v>
      </c>
      <c r="AT9" s="557">
        <f ca="1">BV!AQ9</f>
        <v>2.96</v>
      </c>
      <c r="AU9" s="293">
        <f ca="1">BV!AY9</f>
        <v>3.05</v>
      </c>
      <c r="AV9" s="293">
        <f ca="1">BV!BG9</f>
        <v>3.16</v>
      </c>
      <c r="AW9" s="293">
        <f ca="1">BV!BO9</f>
        <v>3.19</v>
      </c>
      <c r="AX9" s="293">
        <f ca="1">BV!BW9</f>
        <v>3.2</v>
      </c>
      <c r="AY9" s="15" t="s">
        <v>65</v>
      </c>
      <c r="AZ9" s="258">
        <f t="shared" si="7"/>
        <v>1.5902534210722659</v>
      </c>
      <c r="BA9" s="261">
        <v>2.5688963337358154E-2</v>
      </c>
      <c r="BB9" s="268">
        <v>6.1418979555567577E-2</v>
      </c>
      <c r="BC9" s="268">
        <f t="shared" si="11"/>
        <v>0.41825773601654492</v>
      </c>
      <c r="BD9" s="269">
        <f ca="1">IF(BV!H9="","",INT(NOW()-BV!H9))</f>
        <v>12</v>
      </c>
      <c r="BE9" s="260">
        <f t="shared" si="12"/>
        <v>6.2391684402579672</v>
      </c>
      <c r="BP9" s="433">
        <v>9</v>
      </c>
      <c r="BQ9" s="11">
        <f ca="1">IFERROR(YEAR(OFFSET(BV!$H9,,(COLUMN()-69)*8)),"")</f>
        <v>2020</v>
      </c>
      <c r="BR9" s="11">
        <f ca="1">IFERROR(YEAR(OFFSET(BV!$H9,,(COLUMN()-69)*8)),"")</f>
        <v>2019</v>
      </c>
      <c r="BS9" s="11">
        <f ca="1">IFERROR(YEAR(OFFSET(BV!$H9,,(COLUMN()-69)*8)),"")</f>
        <v>2020</v>
      </c>
      <c r="BT9" s="11">
        <f ca="1">IFERROR(YEAR(OFFSET(BV!$H9,,(COLUMN()-69)*8)),"")</f>
        <v>2020</v>
      </c>
      <c r="BU9" s="11">
        <f ca="1">IFERROR(YEAR(OFFSET(BV!$H9,,(COLUMN()-69)*8)),"")</f>
        <v>2019</v>
      </c>
      <c r="BV9" s="11">
        <f ca="1">IFERROR(YEAR(OFFSET(BV!$H9,,(COLUMN()-69)*8)),"")</f>
        <v>2020</v>
      </c>
      <c r="BW9" s="11">
        <f ca="1">IFERROR(YEAR(OFFSET(BV!$H9,,(COLUMN()-69)*8)),"")</f>
        <v>2019</v>
      </c>
      <c r="BX9" s="11">
        <f ca="1">IFERROR(YEAR(OFFSET(BV!$H9,,(COLUMN()-69)*8)),"")</f>
        <v>2019</v>
      </c>
      <c r="BY9" s="11">
        <f ca="1">IFERROR(YEAR(OFFSET(BV!$H9,,(COLUMN()-69)*8)),"")</f>
        <v>2020</v>
      </c>
      <c r="BZ9" s="11">
        <f ca="1">IFERROR(YEAR(OFFSET(BV!$H9,,(COLUMN()-69)*8)),"")</f>
        <v>2019</v>
      </c>
    </row>
    <row r="10" spans="1:78" x14ac:dyDescent="0.25">
      <c r="A10" s="433">
        <v>10</v>
      </c>
      <c r="B10" s="556">
        <f ca="1">BV!D10</f>
        <v>3.3333333333333335</v>
      </c>
      <c r="C10" s="552">
        <f ca="1">BV!L10</f>
        <v>3.1645569620253164</v>
      </c>
      <c r="D10" s="552">
        <f ca="1">BV!T10</f>
        <v>3.134796238244514</v>
      </c>
      <c r="E10" s="552">
        <f ca="1">BV!AB10</f>
        <v>3.1152647975077881</v>
      </c>
      <c r="F10" s="552">
        <f ca="1">BV!AJ10</f>
        <v>3.1152647975077881</v>
      </c>
      <c r="G10" s="552">
        <f ca="1">BV!AR10</f>
        <v>3.0303030303030303</v>
      </c>
      <c r="H10" s="552">
        <f ca="1">BV!AZ10</f>
        <v>3.0211480362537766</v>
      </c>
      <c r="I10" s="552">
        <f ca="1">BV!BH10</f>
        <v>3.0211480362537766</v>
      </c>
      <c r="J10" s="552">
        <f ca="1">BV!BP10</f>
        <v>3.0030030030030028</v>
      </c>
      <c r="K10" s="297">
        <f ca="1">BV!BX10</f>
        <v>2.9069767441860463</v>
      </c>
      <c r="L10" s="15" t="s">
        <v>102</v>
      </c>
      <c r="M10" s="261">
        <v>3.581915649305209E-2</v>
      </c>
      <c r="N10" s="282">
        <f t="shared" ca="1" si="8"/>
        <v>5.2837507537801569</v>
      </c>
      <c r="O10" s="36" t="s">
        <v>19</v>
      </c>
      <c r="P10" s="688">
        <f ca="1">SUM(B95:B104)</f>
        <v>29.936375129340799</v>
      </c>
      <c r="Q10" s="688">
        <f ca="1">SUM(C95:C104)</f>
        <v>28.305748592749151</v>
      </c>
      <c r="R10" s="688">
        <f ca="1">SUM(D95:D104)</f>
        <v>27.594006774891245</v>
      </c>
      <c r="S10" s="693">
        <f ca="1">SUM(E95:E104)</f>
        <v>26.932088040092129</v>
      </c>
      <c r="T10" s="691">
        <f ca="1">SUM(F95:F104)</f>
        <v>24.173117966713804</v>
      </c>
      <c r="U10" s="691">
        <f t="shared" ref="U10:Y10" ca="1" si="19">SUM(G95:G104)</f>
        <v>23.564345725372249</v>
      </c>
      <c r="V10" s="691">
        <f t="shared" ca="1" si="19"/>
        <v>23.013792698561666</v>
      </c>
      <c r="W10" s="695">
        <f t="shared" ca="1" si="19"/>
        <v>20.519042856643097</v>
      </c>
      <c r="X10" s="692">
        <f t="shared" ca="1" si="19"/>
        <v>20.278439243537473</v>
      </c>
      <c r="Y10" s="679">
        <f t="shared" ca="1" si="19"/>
        <v>17.273456882221268</v>
      </c>
      <c r="Z10" s="265">
        <f t="shared" ca="1" si="10"/>
        <v>241.59041391012286</v>
      </c>
      <c r="AA10" s="299">
        <v>50</v>
      </c>
      <c r="AB10" s="299">
        <v>51</v>
      </c>
      <c r="AC10" s="297">
        <v>52</v>
      </c>
      <c r="AD10" s="298">
        <v>53</v>
      </c>
      <c r="AE10" s="298">
        <v>54</v>
      </c>
      <c r="AF10" s="297">
        <v>55</v>
      </c>
      <c r="AG10" s="298">
        <v>56</v>
      </c>
      <c r="AH10" s="298">
        <v>57</v>
      </c>
      <c r="AI10" s="297">
        <v>58</v>
      </c>
      <c r="AJ10" s="297">
        <v>59</v>
      </c>
      <c r="AK10" s="280">
        <v>73.916123109293409</v>
      </c>
      <c r="AL10" s="286">
        <v>6</v>
      </c>
      <c r="AM10" s="257"/>
      <c r="AN10" s="433">
        <v>10</v>
      </c>
      <c r="AO10" s="293">
        <f ca="1">BV!C10</f>
        <v>3</v>
      </c>
      <c r="AP10" s="293">
        <f ca="1">BV!K10</f>
        <v>3.16</v>
      </c>
      <c r="AQ10" s="293">
        <f ca="1">BV!S10</f>
        <v>3.19</v>
      </c>
      <c r="AR10" s="293">
        <f ca="1">BV!AA10</f>
        <v>3.21</v>
      </c>
      <c r="AS10" s="293">
        <f ca="1">BV!AI10</f>
        <v>3.21</v>
      </c>
      <c r="AT10" s="293">
        <f ca="1">BV!AQ10</f>
        <v>3.3</v>
      </c>
      <c r="AU10" s="293">
        <f ca="1">BV!AY10</f>
        <v>3.31</v>
      </c>
      <c r="AV10" s="293">
        <f ca="1">BV!BG10</f>
        <v>3.31</v>
      </c>
      <c r="AW10" s="293">
        <f ca="1">BV!BO10</f>
        <v>3.33</v>
      </c>
      <c r="AX10" s="293">
        <f ca="1">BV!BW10</f>
        <v>3.44</v>
      </c>
      <c r="AY10" s="15" t="s">
        <v>65</v>
      </c>
      <c r="AZ10" s="258">
        <f t="shared" si="7"/>
        <v>1.4458846455871062</v>
      </c>
      <c r="BA10" s="261">
        <v>3.581915649305209E-2</v>
      </c>
      <c r="BB10" s="287">
        <v>0.6270466409878247</v>
      </c>
      <c r="BC10" s="287">
        <f t="shared" si="11"/>
        <v>5.7123592013225671E-2</v>
      </c>
      <c r="BD10" s="13">
        <f ca="1">IF(BV!H10="","",INT(NOW()-BV!H10))</f>
        <v>274</v>
      </c>
      <c r="BE10" s="260">
        <f t="shared" si="12"/>
        <v>5.2837507537801569</v>
      </c>
      <c r="BF10" s="297">
        <f ca="1">BV!G10</f>
        <v>73.071130407524649</v>
      </c>
      <c r="BG10" s="298">
        <f ca="1">BV!O10</f>
        <v>66.893499814555213</v>
      </c>
      <c r="BH10" s="298">
        <f ca="1">BV!W10</f>
        <v>65.827566085094503</v>
      </c>
      <c r="BI10" s="298">
        <f ca="1">BV!AE10</f>
        <v>65.131848475538135</v>
      </c>
      <c r="BJ10" s="298">
        <f ca="1">BV!AM10</f>
        <v>65.131848475538135</v>
      </c>
      <c r="BK10" s="299">
        <f ca="1">BV!AU10</f>
        <v>62.141003336159329</v>
      </c>
      <c r="BL10" s="299">
        <f ca="1">BV!BC10</f>
        <v>61.822187722036354</v>
      </c>
      <c r="BM10" s="299">
        <f ca="1">BV!BK10</f>
        <v>61.822187722036354</v>
      </c>
      <c r="BN10" s="299">
        <f ca="1">BV!BS10</f>
        <v>61.192297871927828</v>
      </c>
      <c r="BO10" s="299">
        <f ca="1">BV!CA10</f>
        <v>57.903205472413866</v>
      </c>
      <c r="BP10" s="433">
        <v>10</v>
      </c>
      <c r="BQ10" s="11">
        <f ca="1">IFERROR(YEAR(OFFSET(BV!$H10,,(COLUMN()-69)*8)),"")</f>
        <v>2020</v>
      </c>
      <c r="BR10" s="11">
        <f ca="1">IFERROR(YEAR(OFFSET(BV!$H10,,(COLUMN()-69)*8)),"")</f>
        <v>2020</v>
      </c>
      <c r="BS10" s="11">
        <f ca="1">IFERROR(YEAR(OFFSET(BV!$H10,,(COLUMN()-69)*8)),"")</f>
        <v>2019</v>
      </c>
      <c r="BT10" s="11">
        <f ca="1">IFERROR(YEAR(OFFSET(BV!$H10,,(COLUMN()-69)*8)),"")</f>
        <v>2020</v>
      </c>
      <c r="BU10" s="11">
        <f ca="1">IFERROR(YEAR(OFFSET(BV!$H10,,(COLUMN()-69)*8)),"")</f>
        <v>2019</v>
      </c>
      <c r="BV10" s="11">
        <f ca="1">IFERROR(YEAR(OFFSET(BV!$H10,,(COLUMN()-69)*8)),"")</f>
        <v>2019</v>
      </c>
      <c r="BW10" s="11">
        <f ca="1">IFERROR(YEAR(OFFSET(BV!$H10,,(COLUMN()-69)*8)),"")</f>
        <v>2020</v>
      </c>
      <c r="BX10" s="11">
        <f ca="1">IFERROR(YEAR(OFFSET(BV!$H10,,(COLUMN()-69)*8)),"")</f>
        <v>2019</v>
      </c>
      <c r="BY10" s="11">
        <f ca="1">IFERROR(YEAR(OFFSET(BV!$H10,,(COLUMN()-69)*8)),"")</f>
        <v>2019</v>
      </c>
      <c r="BZ10" s="11">
        <f ca="1">IFERROR(YEAR(OFFSET(BV!$H10,,(COLUMN()-69)*8)),"")</f>
        <v>2020</v>
      </c>
    </row>
    <row r="11" spans="1:78" x14ac:dyDescent="0.25">
      <c r="A11" s="433">
        <v>11</v>
      </c>
      <c r="B11" s="553">
        <f ca="1">BV!D11</f>
        <v>3.5143769968051117</v>
      </c>
      <c r="C11" s="553">
        <f ca="1">BV!L11</f>
        <v>3.5031847133757958</v>
      </c>
      <c r="D11" s="556">
        <f ca="1">BV!T11</f>
        <v>3.3742331288343559</v>
      </c>
      <c r="E11" s="556">
        <f ca="1">BV!AB11</f>
        <v>3.3333333333333335</v>
      </c>
      <c r="F11" s="556">
        <f ca="1">BV!AJ11</f>
        <v>3.2640949554896141</v>
      </c>
      <c r="G11" s="552">
        <f ca="1">BV!AR11</f>
        <v>3.1976744186046511</v>
      </c>
      <c r="H11" s="552">
        <f ca="1">BV!AZ11</f>
        <v>3.1428571428571428</v>
      </c>
      <c r="I11" s="552">
        <f ca="1">BV!BH11</f>
        <v>3.1428571428571428</v>
      </c>
      <c r="J11" s="552">
        <f ca="1">BV!BP11</f>
        <v>3.125</v>
      </c>
      <c r="K11" s="552">
        <f ca="1">BV!BX11</f>
        <v>3.125</v>
      </c>
      <c r="L11" s="15" t="s">
        <v>102</v>
      </c>
      <c r="M11" s="261">
        <v>4.6326216305133706E-2</v>
      </c>
      <c r="N11" s="282">
        <f t="shared" ca="1" si="8"/>
        <v>4.6460789421267314</v>
      </c>
      <c r="O11" s="36" t="s">
        <v>20</v>
      </c>
      <c r="P11" s="688">
        <f ca="1">SUM(B105:B114)</f>
        <v>29.778090915738439</v>
      </c>
      <c r="Q11" s="693">
        <f ca="1">SUM(C105:C114)</f>
        <v>25.520904519675319</v>
      </c>
      <c r="R11" s="692">
        <f ca="1">SUM(D105:D114)</f>
        <v>21.57709796984663</v>
      </c>
      <c r="S11" s="679">
        <f ca="1">SUM(E105:E114)</f>
        <v>16.114534903406856</v>
      </c>
      <c r="T11" s="680">
        <f ca="1">SUM(F105:F114)</f>
        <v>10.466475832723084</v>
      </c>
      <c r="U11" s="682">
        <f t="shared" ref="U11:Y11" ca="1" si="20">SUM(G105:G114)</f>
        <v>5.3818481140462566</v>
      </c>
      <c r="V11" s="690">
        <f t="shared" ca="1" si="20"/>
        <v>2.4539877300613497</v>
      </c>
      <c r="W11" s="689">
        <f t="shared" ca="1" si="20"/>
        <v>2.4427480916030535</v>
      </c>
      <c r="X11" s="34">
        <f t="shared" ca="1" si="20"/>
        <v>0</v>
      </c>
      <c r="Y11" s="34">
        <f t="shared" ca="1" si="20"/>
        <v>0</v>
      </c>
      <c r="Z11" s="265">
        <f t="shared" ca="1" si="10"/>
        <v>113.735688077101</v>
      </c>
      <c r="AA11" s="298">
        <v>60</v>
      </c>
      <c r="AB11" s="298">
        <v>61</v>
      </c>
      <c r="AC11" s="297">
        <v>62</v>
      </c>
      <c r="AD11" s="298">
        <v>63</v>
      </c>
      <c r="AE11" s="297">
        <v>64</v>
      </c>
      <c r="AF11" s="297">
        <v>65</v>
      </c>
      <c r="AG11" s="297">
        <v>66</v>
      </c>
      <c r="AH11" s="297">
        <v>67</v>
      </c>
      <c r="AI11" s="297">
        <v>68</v>
      </c>
      <c r="AJ11" s="552">
        <v>69</v>
      </c>
      <c r="AK11" s="280">
        <v>83.506380187718364</v>
      </c>
      <c r="AL11" s="288">
        <v>5.75</v>
      </c>
      <c r="AM11" s="257"/>
      <c r="AN11" s="433">
        <v>11</v>
      </c>
      <c r="AO11" s="293">
        <f ca="1">BV!C11</f>
        <v>3.13</v>
      </c>
      <c r="AP11" s="293">
        <f ca="1">BV!K11</f>
        <v>3.14</v>
      </c>
      <c r="AQ11" s="293">
        <f ca="1">BV!S11</f>
        <v>3.26</v>
      </c>
      <c r="AR11" s="293">
        <f ca="1">BV!AA11</f>
        <v>3.3</v>
      </c>
      <c r="AS11" s="293">
        <f ca="1">BV!AI11</f>
        <v>3.37</v>
      </c>
      <c r="AT11" s="293">
        <f ca="1">BV!AQ11</f>
        <v>3.44</v>
      </c>
      <c r="AU11" s="551">
        <f ca="1">BV!AY11</f>
        <v>3.5</v>
      </c>
      <c r="AV11" s="551">
        <f ca="1">BV!BG11</f>
        <v>3.5</v>
      </c>
      <c r="AW11" s="551">
        <f ca="1">BV!BO11</f>
        <v>3.52</v>
      </c>
      <c r="AX11" s="551">
        <f ca="1">BV!BW11</f>
        <v>3.52</v>
      </c>
      <c r="AY11" s="15" t="s">
        <v>65</v>
      </c>
      <c r="AZ11" s="258">
        <f t="shared" si="7"/>
        <v>1.334173169360962</v>
      </c>
      <c r="BA11" s="261">
        <v>4.6326216305133706E-2</v>
      </c>
      <c r="BB11" s="287">
        <v>0.6270466409878247</v>
      </c>
      <c r="BC11" s="287">
        <f t="shared" si="11"/>
        <v>7.3880016695653139E-2</v>
      </c>
      <c r="BD11" s="13">
        <f ca="1">IF(BV!H11="","",INT(NOW()-BV!H11))</f>
        <v>228</v>
      </c>
      <c r="BE11" s="260">
        <f t="shared" si="12"/>
        <v>4.6460789421267314</v>
      </c>
      <c r="BF11" s="297">
        <f ca="1">BV!G11</f>
        <v>74.785821785016196</v>
      </c>
      <c r="BG11" s="297">
        <f ca="1">BV!O11</f>
        <v>74.381381849126385</v>
      </c>
      <c r="BH11" s="297">
        <f ca="1">BV!W11</f>
        <v>69.787031283851448</v>
      </c>
      <c r="BI11" s="298">
        <f ca="1">BV!AE11</f>
        <v>68.355103669775261</v>
      </c>
      <c r="BJ11" s="298">
        <f ca="1">BV!AM11</f>
        <v>65.958962016296894</v>
      </c>
      <c r="BK11" s="298">
        <f ca="1">BV!AU11</f>
        <v>63.693526019655259</v>
      </c>
      <c r="BL11" s="299">
        <f ca="1">BV!BC11</f>
        <v>61.848471157596379</v>
      </c>
      <c r="BM11" s="299">
        <f ca="1">BV!BK11</f>
        <v>61.848471157596379</v>
      </c>
      <c r="BN11" s="299">
        <f ca="1">BV!BS11</f>
        <v>61.252259839727614</v>
      </c>
      <c r="BO11" s="299">
        <f ca="1">BV!CA11</f>
        <v>61.252259839727614</v>
      </c>
      <c r="BP11" s="433">
        <v>11</v>
      </c>
      <c r="BQ11" s="11">
        <f ca="1">IFERROR(YEAR(OFFSET(BV!$H11,,(COLUMN()-69)*8)),"")</f>
        <v>2020</v>
      </c>
      <c r="BR11" s="11">
        <f ca="1">IFERROR(YEAR(OFFSET(BV!$H11,,(COLUMN()-69)*8)),"")</f>
        <v>2019</v>
      </c>
      <c r="BS11" s="11">
        <f ca="1">IFERROR(YEAR(OFFSET(BV!$H11,,(COLUMN()-69)*8)),"")</f>
        <v>2020</v>
      </c>
      <c r="BT11" s="11">
        <f ca="1">IFERROR(YEAR(OFFSET(BV!$H11,,(COLUMN()-69)*8)),"")</f>
        <v>2020</v>
      </c>
      <c r="BU11" s="11">
        <f ca="1">IFERROR(YEAR(OFFSET(BV!$H11,,(COLUMN()-69)*8)),"")</f>
        <v>2020</v>
      </c>
      <c r="BV11" s="11">
        <f ca="1">IFERROR(YEAR(OFFSET(BV!$H11,,(COLUMN()-69)*8)),"")</f>
        <v>2019</v>
      </c>
      <c r="BW11" s="11">
        <f ca="1">IFERROR(YEAR(OFFSET(BV!$H11,,(COLUMN()-69)*8)),"")</f>
        <v>2019</v>
      </c>
      <c r="BX11" s="11">
        <f ca="1">IFERROR(YEAR(OFFSET(BV!$H11,,(COLUMN()-69)*8)),"")</f>
        <v>2019</v>
      </c>
      <c r="BY11" s="11">
        <f ca="1">IFERROR(YEAR(OFFSET(BV!$H11,,(COLUMN()-69)*8)),"")</f>
        <v>2019</v>
      </c>
      <c r="BZ11" s="11">
        <f ca="1">IFERROR(YEAR(OFFSET(BV!$H11,,(COLUMN()-69)*8)),"")</f>
        <v>2019</v>
      </c>
    </row>
    <row r="12" spans="1:78" x14ac:dyDescent="0.25">
      <c r="A12" s="433">
        <v>12</v>
      </c>
      <c r="B12" s="555">
        <f ca="1">BV!D12</f>
        <v>3.8338658146964857</v>
      </c>
      <c r="C12" s="555">
        <f ca="1">BV!L12</f>
        <v>3.761755485893417</v>
      </c>
      <c r="D12" s="553">
        <f ca="1">BV!T12</f>
        <v>3.6809815950920246</v>
      </c>
      <c r="E12" s="553">
        <f ca="1">BV!AB12</f>
        <v>3.5820895522388061</v>
      </c>
      <c r="F12" s="553">
        <f ca="1">BV!AJ12</f>
        <v>3.5294117647058822</v>
      </c>
      <c r="G12" s="556">
        <f ca="1">BV!AR12</f>
        <v>3.4782608695652173</v>
      </c>
      <c r="H12" s="556">
        <f ca="1">BV!AZ12</f>
        <v>3.4285714285714284</v>
      </c>
      <c r="I12" s="556">
        <f ca="1">BV!BH12</f>
        <v>3.3613445378151261</v>
      </c>
      <c r="J12" s="556">
        <f ca="1">BV!BP12</f>
        <v>3.2608695652173911</v>
      </c>
      <c r="K12" s="552">
        <f ca="1">BV!BX12</f>
        <v>3.1746031746031749</v>
      </c>
      <c r="L12" s="15" t="s">
        <v>102</v>
      </c>
      <c r="M12" s="261">
        <v>5.628372001185955E-2</v>
      </c>
      <c r="N12" s="282">
        <f t="shared" ca="1" si="8"/>
        <v>4.2151069943298811</v>
      </c>
      <c r="O12" s="36" t="s">
        <v>21</v>
      </c>
      <c r="P12" s="679">
        <f ca="1">SUM(B115:B124)</f>
        <v>19.977952524159889</v>
      </c>
      <c r="Q12" s="682">
        <f ca="1">SUM(C115:C124)</f>
        <v>8.7910332130561635</v>
      </c>
      <c r="R12" s="34">
        <f ca="1">SUM(D115:D124)</f>
        <v>0</v>
      </c>
      <c r="S12" s="34">
        <f ca="1">SUM(E115:E124)</f>
        <v>0</v>
      </c>
      <c r="T12" s="34">
        <f ca="1">SUM(F115:F124)</f>
        <v>0</v>
      </c>
      <c r="U12" s="34">
        <f t="shared" ref="U12:Y12" ca="1" si="21">SUM(G115:G124)</f>
        <v>0</v>
      </c>
      <c r="V12" s="34">
        <f t="shared" ca="1" si="21"/>
        <v>0</v>
      </c>
      <c r="W12" s="264">
        <f t="shared" ca="1" si="21"/>
        <v>0</v>
      </c>
      <c r="X12" s="34">
        <f t="shared" ca="1" si="21"/>
        <v>0</v>
      </c>
      <c r="Y12" s="34">
        <f t="shared" ca="1" si="21"/>
        <v>0</v>
      </c>
      <c r="Z12" s="265">
        <f t="shared" ca="1" si="10"/>
        <v>28.768985737216052</v>
      </c>
      <c r="AA12" s="297">
        <v>70</v>
      </c>
      <c r="AB12" s="552">
        <v>71</v>
      </c>
      <c r="AC12" s="297">
        <v>72</v>
      </c>
      <c r="AD12" s="297">
        <v>73</v>
      </c>
      <c r="AE12" s="552">
        <v>74</v>
      </c>
      <c r="AF12" s="552">
        <v>75</v>
      </c>
      <c r="AG12" s="297">
        <v>76</v>
      </c>
      <c r="AH12" s="552">
        <v>77</v>
      </c>
      <c r="AI12" s="552">
        <v>78</v>
      </c>
      <c r="AJ12" s="298">
        <v>79</v>
      </c>
      <c r="AK12" s="280">
        <v>93.176491459446012</v>
      </c>
      <c r="AL12" s="289">
        <v>5.5</v>
      </c>
      <c r="AM12" s="257"/>
      <c r="AN12" s="433">
        <v>12</v>
      </c>
      <c r="AO12" s="293">
        <f ca="1">BV!C12</f>
        <v>3.13</v>
      </c>
      <c r="AP12" s="293">
        <f ca="1">BV!K12</f>
        <v>3.19</v>
      </c>
      <c r="AQ12" s="293">
        <f ca="1">BV!S12</f>
        <v>3.26</v>
      </c>
      <c r="AR12" s="293">
        <f ca="1">BV!AA12</f>
        <v>3.35</v>
      </c>
      <c r="AS12" s="293">
        <f ca="1">BV!AI12</f>
        <v>3.4</v>
      </c>
      <c r="AT12" s="293">
        <f ca="1">BV!AQ12</f>
        <v>3.45</v>
      </c>
      <c r="AU12" s="551">
        <f ca="1">BV!AY12</f>
        <v>3.5</v>
      </c>
      <c r="AV12" s="551">
        <f ca="1">BV!BG12</f>
        <v>3.57</v>
      </c>
      <c r="AW12" s="551">
        <f ca="1">BV!BO12</f>
        <v>3.68</v>
      </c>
      <c r="AX12" s="551">
        <f ca="1">BV!BW12</f>
        <v>3.78</v>
      </c>
      <c r="AY12" s="15" t="s">
        <v>65</v>
      </c>
      <c r="AZ12" s="258">
        <f t="shared" si="7"/>
        <v>1.2496172060625939</v>
      </c>
      <c r="BA12" s="261">
        <v>5.628372001185955E-2</v>
      </c>
      <c r="BB12" s="287">
        <v>0.6270466409878247</v>
      </c>
      <c r="BC12" s="287">
        <f t="shared" si="11"/>
        <v>8.9760021556279102E-2</v>
      </c>
      <c r="BD12" s="13">
        <f ca="1">IF(BV!H12="","",INT(NOW()-BV!H12))</f>
        <v>284</v>
      </c>
      <c r="BE12" s="260">
        <f t="shared" si="12"/>
        <v>4.2151069943298811</v>
      </c>
      <c r="BF12" s="556">
        <f ca="1">BV!G12</f>
        <v>81.584532856381315</v>
      </c>
      <c r="BG12" s="552">
        <f ca="1">BV!O12</f>
        <v>78.993079302113401</v>
      </c>
      <c r="BH12" s="552">
        <f ca="1">BV!W12</f>
        <v>76.131306855110651</v>
      </c>
      <c r="BI12" s="297">
        <f ca="1">BV!AE12</f>
        <v>72.687048263972642</v>
      </c>
      <c r="BJ12" s="297">
        <f ca="1">BV!AM12</f>
        <v>70.879238990966229</v>
      </c>
      <c r="BK12" s="297">
        <f ca="1">BV!AU12</f>
        <v>69.141809842443564</v>
      </c>
      <c r="BL12" s="298">
        <f ca="1">BV!BC12</f>
        <v>67.471059444650592</v>
      </c>
      <c r="BM12" s="298">
        <f ca="1">BV!BK12</f>
        <v>65.237489144362726</v>
      </c>
      <c r="BN12" s="299">
        <f ca="1">BV!BS12</f>
        <v>61.957218625813169</v>
      </c>
      <c r="BO12" s="299">
        <f ca="1">BV!CA12</f>
        <v>59.196652047543338</v>
      </c>
      <c r="BP12" s="433">
        <v>12</v>
      </c>
      <c r="BQ12" s="11">
        <f ca="1">IFERROR(YEAR(OFFSET(BV!$H12,,(COLUMN()-69)*8)),"")</f>
        <v>2020</v>
      </c>
      <c r="BR12" s="11">
        <f ca="1">IFERROR(YEAR(OFFSET(BV!$H12,,(COLUMN()-69)*8)),"")</f>
        <v>2020</v>
      </c>
      <c r="BS12" s="11">
        <f ca="1">IFERROR(YEAR(OFFSET(BV!$H12,,(COLUMN()-69)*8)),"")</f>
        <v>2020</v>
      </c>
      <c r="BT12" s="11">
        <f ca="1">IFERROR(YEAR(OFFSET(BV!$H12,,(COLUMN()-69)*8)),"")</f>
        <v>2020</v>
      </c>
      <c r="BU12" s="11">
        <f ca="1">IFERROR(YEAR(OFFSET(BV!$H12,,(COLUMN()-69)*8)),"")</f>
        <v>2020</v>
      </c>
      <c r="BV12" s="11">
        <f ca="1">IFERROR(YEAR(OFFSET(BV!$H12,,(COLUMN()-69)*8)),"")</f>
        <v>2019</v>
      </c>
      <c r="BW12" s="11">
        <f ca="1">IFERROR(YEAR(OFFSET(BV!$H12,,(COLUMN()-69)*8)),"")</f>
        <v>2020</v>
      </c>
      <c r="BX12" s="11">
        <f ca="1">IFERROR(YEAR(OFFSET(BV!$H12,,(COLUMN()-69)*8)),"")</f>
        <v>2019</v>
      </c>
      <c r="BY12" s="11">
        <f ca="1">IFERROR(YEAR(OFFSET(BV!$H12,,(COLUMN()-69)*8)),"")</f>
        <v>2020</v>
      </c>
      <c r="BZ12" s="11">
        <f ca="1">IFERROR(YEAR(OFFSET(BV!$H12,,(COLUMN()-69)*8)),"")</f>
        <v>2019</v>
      </c>
    </row>
    <row r="13" spans="1:78" x14ac:dyDescent="0.25">
      <c r="A13" s="433">
        <v>13</v>
      </c>
      <c r="B13" s="553">
        <f ca="1">BV!D13</f>
        <v>3.6111111111111112</v>
      </c>
      <c r="C13" s="556">
        <f ca="1">BV!L13</f>
        <v>3.4120734908136483</v>
      </c>
      <c r="D13" s="556">
        <f ca="1">BV!T13</f>
        <v>3.3942558746736293</v>
      </c>
      <c r="E13" s="556">
        <f ca="1">BV!AB13</f>
        <v>3.385416666666667</v>
      </c>
      <c r="F13" s="552">
        <f ca="1">BV!AJ13</f>
        <v>3.201970443349754</v>
      </c>
      <c r="G13" s="552">
        <f ca="1">BV!AR13</f>
        <v>3.201970443349754</v>
      </c>
      <c r="H13" s="552">
        <f ca="1">BV!AZ13</f>
        <v>3.1784841075794623</v>
      </c>
      <c r="I13" s="552">
        <f ca="1">BV!BH13</f>
        <v>3.1784841075794623</v>
      </c>
      <c r="J13" s="552">
        <f ca="1">BV!BP13</f>
        <v>3.16301703163017</v>
      </c>
      <c r="K13" s="552">
        <f ca="1">BV!BX13</f>
        <v>3.080568720379147</v>
      </c>
      <c r="L13" s="15" t="s">
        <v>102</v>
      </c>
      <c r="M13" s="261">
        <v>6.4603584784854937E-2</v>
      </c>
      <c r="N13" s="282">
        <f t="shared" ca="1" si="8"/>
        <v>3.9343382161389941</v>
      </c>
      <c r="O13" s="36" t="s">
        <v>22</v>
      </c>
      <c r="P13" s="34">
        <f ca="1">SUM(B125:B167)</f>
        <v>0</v>
      </c>
      <c r="Q13" s="34">
        <f t="shared" ref="Q13:Y13" ca="1" si="22">SUM(C125:C167)</f>
        <v>0</v>
      </c>
      <c r="R13" s="34">
        <f t="shared" ca="1" si="22"/>
        <v>0</v>
      </c>
      <c r="S13" s="34">
        <f t="shared" ca="1" si="22"/>
        <v>0</v>
      </c>
      <c r="T13" s="34">
        <f t="shared" ca="1" si="22"/>
        <v>0</v>
      </c>
      <c r="U13" s="34">
        <f t="shared" ca="1" si="22"/>
        <v>0</v>
      </c>
      <c r="V13" s="34">
        <f t="shared" ca="1" si="22"/>
        <v>0</v>
      </c>
      <c r="W13" s="34">
        <f t="shared" ca="1" si="22"/>
        <v>0</v>
      </c>
      <c r="X13" s="34">
        <f t="shared" ca="1" si="22"/>
        <v>0</v>
      </c>
      <c r="Y13" s="34">
        <f t="shared" ca="1" si="22"/>
        <v>0</v>
      </c>
      <c r="Z13" s="265">
        <f t="shared" ca="1" si="10"/>
        <v>0</v>
      </c>
      <c r="AA13" s="297">
        <v>80</v>
      </c>
      <c r="AB13" s="297">
        <v>81</v>
      </c>
      <c r="AC13" s="297">
        <v>82</v>
      </c>
      <c r="AD13" s="552">
        <v>83</v>
      </c>
      <c r="AE13" s="556">
        <v>84</v>
      </c>
      <c r="AF13" s="552">
        <v>85</v>
      </c>
      <c r="AG13" s="552">
        <v>86</v>
      </c>
      <c r="AH13" s="298">
        <v>87</v>
      </c>
      <c r="AI13" s="297">
        <v>88</v>
      </c>
      <c r="AJ13" s="552">
        <v>89</v>
      </c>
      <c r="AK13" s="280">
        <f>SUMPRODUCT(A125:A167,M125:M167)/SUM(M125:M167)</f>
        <v>104.02628116576885</v>
      </c>
      <c r="AL13" s="290">
        <v>5.25</v>
      </c>
      <c r="AM13" s="257"/>
      <c r="AN13" s="433">
        <v>13</v>
      </c>
      <c r="AO13" s="551">
        <f ca="1">BV!C13</f>
        <v>3.6</v>
      </c>
      <c r="AP13" s="551">
        <f ca="1">BV!K13</f>
        <v>3.81</v>
      </c>
      <c r="AQ13" s="551">
        <f ca="1">BV!S13</f>
        <v>3.83</v>
      </c>
      <c r="AR13" s="551">
        <f ca="1">BV!AA13</f>
        <v>3.84</v>
      </c>
      <c r="AS13" s="555">
        <f ca="1">BV!AI13</f>
        <v>4.0599999999999996</v>
      </c>
      <c r="AT13" s="555">
        <f ca="1">BV!AQ13</f>
        <v>4.0599999999999996</v>
      </c>
      <c r="AU13" s="555">
        <f ca="1">BV!AY13</f>
        <v>4.09</v>
      </c>
      <c r="AV13" s="555">
        <f ca="1">BV!BG13</f>
        <v>4.09</v>
      </c>
      <c r="AW13" s="555">
        <f ca="1">BV!BO13</f>
        <v>4.1100000000000003</v>
      </c>
      <c r="AX13" s="555">
        <f ca="1">BV!BW13</f>
        <v>4.22</v>
      </c>
      <c r="AY13" s="15" t="s">
        <v>65</v>
      </c>
      <c r="AZ13" s="258">
        <f t="shared" si="7"/>
        <v>1.1897433827930513</v>
      </c>
      <c r="BA13" s="261">
        <v>6.4603584784854937E-2</v>
      </c>
      <c r="BB13" s="287">
        <v>0.6270466409878247</v>
      </c>
      <c r="BC13" s="287">
        <f t="shared" si="11"/>
        <v>0.10302835636449784</v>
      </c>
      <c r="BD13" s="13">
        <f ca="1">IF(BV!H13="","",INT(NOW()-BV!H13))</f>
        <v>87</v>
      </c>
      <c r="BE13" s="260">
        <f t="shared" si="12"/>
        <v>3.9343382161389946</v>
      </c>
      <c r="BF13" s="297">
        <f ca="1">BV!G13</f>
        <v>69.675654978273329</v>
      </c>
      <c r="BG13" s="298">
        <f ca="1">BV!O13</f>
        <v>63.273644861433475</v>
      </c>
      <c r="BH13" s="298">
        <f ca="1">BV!W13</f>
        <v>62.712973847981438</v>
      </c>
      <c r="BI13" s="299">
        <f ca="1">BV!AE13</f>
        <v>62.435591405876387</v>
      </c>
      <c r="BJ13" s="299">
        <f ca="1">BV!AM13</f>
        <v>56.793816532904899</v>
      </c>
      <c r="BK13" s="299">
        <f ca="1">BV!AU13</f>
        <v>56.793816532904899</v>
      </c>
      <c r="BL13" s="300">
        <f ca="1">BV!BC13</f>
        <v>56.087448999198301</v>
      </c>
      <c r="BM13" s="300">
        <f ca="1">BV!BK13</f>
        <v>56.087448999198301</v>
      </c>
      <c r="BN13" s="300">
        <f ca="1">BV!BS13</f>
        <v>55.624255861328095</v>
      </c>
      <c r="BO13" s="300">
        <f ca="1">BV!CA13</f>
        <v>53.181936190911209</v>
      </c>
      <c r="BP13" s="433">
        <v>13</v>
      </c>
      <c r="BQ13" s="11">
        <f ca="1">IFERROR(YEAR(OFFSET(BV!$H13,,(COLUMN()-69)*8)),"")</f>
        <v>2020</v>
      </c>
      <c r="BR13" s="11">
        <f ca="1">IFERROR(YEAR(OFFSET(BV!$H13,,(COLUMN()-69)*8)),"")</f>
        <v>2019</v>
      </c>
      <c r="BS13" s="11">
        <f ca="1">IFERROR(YEAR(OFFSET(BV!$H13,,(COLUMN()-69)*8)),"")</f>
        <v>2020</v>
      </c>
      <c r="BT13" s="11">
        <f ca="1">IFERROR(YEAR(OFFSET(BV!$H13,,(COLUMN()-69)*8)),"")</f>
        <v>2019</v>
      </c>
      <c r="BU13" s="11">
        <f ca="1">IFERROR(YEAR(OFFSET(BV!$H13,,(COLUMN()-69)*8)),"")</f>
        <v>2020</v>
      </c>
      <c r="BV13" s="11">
        <f ca="1">IFERROR(YEAR(OFFSET(BV!$H13,,(COLUMN()-69)*8)),"")</f>
        <v>2019</v>
      </c>
      <c r="BW13" s="11">
        <f ca="1">IFERROR(YEAR(OFFSET(BV!$H13,,(COLUMN()-69)*8)),"")</f>
        <v>2020</v>
      </c>
      <c r="BX13" s="11">
        <f ca="1">IFERROR(YEAR(OFFSET(BV!$H13,,(COLUMN()-69)*8)),"")</f>
        <v>2020</v>
      </c>
      <c r="BY13" s="11">
        <f ca="1">IFERROR(YEAR(OFFSET(BV!$H13,,(COLUMN()-69)*8)),"")</f>
        <v>2019</v>
      </c>
      <c r="BZ13" s="11">
        <f ca="1">IFERROR(YEAR(OFFSET(BV!$H13,,(COLUMN()-69)*8)),"")</f>
        <v>2020</v>
      </c>
    </row>
    <row r="14" spans="1:78" x14ac:dyDescent="0.25">
      <c r="A14" s="433">
        <v>14</v>
      </c>
      <c r="B14" s="293">
        <f ca="1">BV!D14</f>
        <v>4.3343653250773997</v>
      </c>
      <c r="C14" s="551">
        <f ca="1">BV!L14</f>
        <v>4.1420118343195265</v>
      </c>
      <c r="D14" s="553">
        <f ca="1">BV!T14</f>
        <v>3.7333333333333334</v>
      </c>
      <c r="E14" s="553">
        <f ca="1">BV!AB14</f>
        <v>3.6842105263157898</v>
      </c>
      <c r="F14" s="553">
        <f ca="1">BV!AJ14</f>
        <v>3.6363636363636362</v>
      </c>
      <c r="G14" s="556">
        <f ca="1">BV!AR14</f>
        <v>3.491271820448878</v>
      </c>
      <c r="H14" s="556">
        <f ca="1">BV!AZ14</f>
        <v>3.4739454094292803</v>
      </c>
      <c r="I14" s="556">
        <f ca="1">BV!BH14</f>
        <v>3.4063260340632602</v>
      </c>
      <c r="J14" s="556">
        <f ca="1">BV!BP14</f>
        <v>3.3898305084745766</v>
      </c>
      <c r="K14" s="556">
        <f ca="1">BV!BX14</f>
        <v>3.3573141486810552</v>
      </c>
      <c r="L14" s="15" t="s">
        <v>102</v>
      </c>
      <c r="M14" s="261">
        <v>7.0769796396159171E-2</v>
      </c>
      <c r="N14" s="282">
        <f t="shared" ca="1" si="8"/>
        <v>3.7590320356765159</v>
      </c>
      <c r="O14" s="24" t="s">
        <v>35</v>
      </c>
      <c r="P14" s="682">
        <f ca="1">SUM(B242:B271)</f>
        <v>7.5242192342743923</v>
      </c>
      <c r="Q14" s="682">
        <f ca="1">SUM(C242:C271)</f>
        <v>5.2730202857828932</v>
      </c>
      <c r="R14" s="690">
        <f ca="1">SUM(D242:D271)</f>
        <v>1.7391304347826089</v>
      </c>
      <c r="S14" s="34">
        <f ca="1">SUM(E242:E271)</f>
        <v>0</v>
      </c>
      <c r="T14" s="34">
        <f ca="1">SUM(F242:F271)</f>
        <v>0</v>
      </c>
      <c r="U14" s="34">
        <f t="shared" ref="U14:Y14" ca="1" si="23">SUM(G242:G271)</f>
        <v>0</v>
      </c>
      <c r="V14" s="34">
        <f t="shared" ca="1" si="23"/>
        <v>0</v>
      </c>
      <c r="W14" s="264">
        <f t="shared" ca="1" si="23"/>
        <v>0</v>
      </c>
      <c r="X14" s="34">
        <f t="shared" ca="1" si="23"/>
        <v>0</v>
      </c>
      <c r="Y14" s="34">
        <f t="shared" ca="1" si="23"/>
        <v>0</v>
      </c>
      <c r="Z14" s="265">
        <f t="shared" ca="1" si="10"/>
        <v>14.536369954839895</v>
      </c>
      <c r="AA14" s="298">
        <v>90</v>
      </c>
      <c r="AB14" s="298">
        <v>91</v>
      </c>
      <c r="AC14" s="298">
        <v>92</v>
      </c>
      <c r="AD14" s="552">
        <v>93</v>
      </c>
      <c r="AE14" s="11">
        <v>94</v>
      </c>
      <c r="AF14" s="298">
        <v>95</v>
      </c>
      <c r="AG14" s="11">
        <v>96</v>
      </c>
      <c r="AH14" s="556">
        <v>97</v>
      </c>
      <c r="AI14" s="11">
        <v>98</v>
      </c>
      <c r="AJ14" s="552">
        <v>99</v>
      </c>
      <c r="AK14" s="18">
        <v>123.96889701744365</v>
      </c>
      <c r="AL14" s="22">
        <v>5</v>
      </c>
      <c r="AM14" s="257"/>
      <c r="AN14" s="433">
        <v>14</v>
      </c>
      <c r="AO14" s="293">
        <f ca="1">BV!C14</f>
        <v>3.23</v>
      </c>
      <c r="AP14" s="293">
        <f ca="1">BV!K14</f>
        <v>3.38</v>
      </c>
      <c r="AQ14" s="551">
        <f ca="1">BV!S14</f>
        <v>3.75</v>
      </c>
      <c r="AR14" s="551">
        <f ca="1">BV!AA14</f>
        <v>3.8</v>
      </c>
      <c r="AS14" s="551">
        <f ca="1">BV!AI14</f>
        <v>3.85</v>
      </c>
      <c r="AT14" s="555">
        <f ca="1">BV!AQ14</f>
        <v>4.01</v>
      </c>
      <c r="AU14" s="555">
        <f ca="1">BV!AY14</f>
        <v>4.03</v>
      </c>
      <c r="AV14" s="555">
        <f ca="1">BV!BG14</f>
        <v>4.1100000000000003</v>
      </c>
      <c r="AW14" s="555">
        <f ca="1">BV!BO14</f>
        <v>4.13</v>
      </c>
      <c r="AX14" s="555">
        <f ca="1">BV!BW14</f>
        <v>4.17</v>
      </c>
      <c r="AY14" s="15" t="s">
        <v>65</v>
      </c>
      <c r="AZ14" s="258">
        <f t="shared" si="7"/>
        <v>1.1501520538528707</v>
      </c>
      <c r="BA14" s="261">
        <v>7.0769796396159171E-2</v>
      </c>
      <c r="BB14" s="287">
        <v>0.6270466409878247</v>
      </c>
      <c r="BC14" s="287">
        <f t="shared" si="11"/>
        <v>0.11286209313659859</v>
      </c>
      <c r="BD14" s="13">
        <f ca="1">IF(BV!H14="","",INT(NOW()-BV!H14))</f>
        <v>13</v>
      </c>
      <c r="BE14" s="260">
        <f t="shared" si="12"/>
        <v>3.7590320356765159</v>
      </c>
      <c r="BF14" s="553">
        <f ca="1">BV!G14</f>
        <v>90.226831533127083</v>
      </c>
      <c r="BG14" s="556">
        <f ca="1">BV!O14</f>
        <v>83.525984670035939</v>
      </c>
      <c r="BH14" s="297">
        <f ca="1">BV!W14</f>
        <v>70.004642079405428</v>
      </c>
      <c r="BI14" s="298">
        <f ca="1">BV!AE14</f>
        <v>68.445969649945908</v>
      </c>
      <c r="BJ14" s="298">
        <f ca="1">BV!AM14</f>
        <v>66.941702663845675</v>
      </c>
      <c r="BK14" s="299">
        <f ca="1">BV!AU14</f>
        <v>62.464685996442995</v>
      </c>
      <c r="BL14" s="299">
        <f ca="1">BV!BC14</f>
        <v>61.938604480635632</v>
      </c>
      <c r="BM14" s="299">
        <f ca="1">BV!BK14</f>
        <v>59.903044773737953</v>
      </c>
      <c r="BN14" s="299">
        <f ca="1">BV!BS14</f>
        <v>59.410732471531681</v>
      </c>
      <c r="BO14" s="299">
        <f ca="1">BV!CA14</f>
        <v>58.445180087011934</v>
      </c>
      <c r="BP14" s="433">
        <v>14</v>
      </c>
      <c r="BQ14" s="11">
        <f ca="1">IFERROR(YEAR(OFFSET(BV!$H14,,(COLUMN()-69)*8)),"")</f>
        <v>2020</v>
      </c>
      <c r="BR14" s="11">
        <f ca="1">IFERROR(YEAR(OFFSET(BV!$H14,,(COLUMN()-69)*8)),"")</f>
        <v>2020</v>
      </c>
      <c r="BS14" s="11">
        <f ca="1">IFERROR(YEAR(OFFSET(BV!$H14,,(COLUMN()-69)*8)),"")</f>
        <v>2019</v>
      </c>
      <c r="BT14" s="11">
        <f ca="1">IFERROR(YEAR(OFFSET(BV!$H14,,(COLUMN()-69)*8)),"")</f>
        <v>2019</v>
      </c>
      <c r="BU14" s="11">
        <f ca="1">IFERROR(YEAR(OFFSET(BV!$H14,,(COLUMN()-69)*8)),"")</f>
        <v>2020</v>
      </c>
      <c r="BV14" s="11">
        <f ca="1">IFERROR(YEAR(OFFSET(BV!$H14,,(COLUMN()-69)*8)),"")</f>
        <v>2019</v>
      </c>
      <c r="BW14" s="11">
        <f ca="1">IFERROR(YEAR(OFFSET(BV!$H14,,(COLUMN()-69)*8)),"")</f>
        <v>2019</v>
      </c>
      <c r="BX14" s="11">
        <f ca="1">IFERROR(YEAR(OFFSET(BV!$H14,,(COLUMN()-69)*8)),"")</f>
        <v>2020</v>
      </c>
      <c r="BY14" s="11">
        <f ca="1">IFERROR(YEAR(OFFSET(BV!$H14,,(COLUMN()-69)*8)),"")</f>
        <v>2020</v>
      </c>
      <c r="BZ14" s="11">
        <f ca="1">IFERROR(YEAR(OFFSET(BV!$H14,,(COLUMN()-69)*8)),"")</f>
        <v>2020</v>
      </c>
    </row>
    <row r="15" spans="1:78" x14ac:dyDescent="0.25">
      <c r="A15" s="433">
        <v>15</v>
      </c>
      <c r="B15" s="551">
        <f ca="1">BV!D15</f>
        <v>4.1551246537396125</v>
      </c>
      <c r="C15" s="551">
        <f ca="1">BV!L15</f>
        <v>4.032258064516129</v>
      </c>
      <c r="D15" s="555">
        <f ca="1">BV!T15</f>
        <v>3.7974683544303796</v>
      </c>
      <c r="E15" s="553">
        <f ca="1">BV!AB15</f>
        <v>3.7220843672456572</v>
      </c>
      <c r="F15" s="553">
        <f ca="1">BV!AJ15</f>
        <v>3.6674816625916873</v>
      </c>
      <c r="G15" s="553">
        <f ca="1">BV!AR15</f>
        <v>3.6407766990291259</v>
      </c>
      <c r="H15" s="553">
        <f ca="1">BV!AZ15</f>
        <v>3.5714285714285712</v>
      </c>
      <c r="I15" s="553">
        <f ca="1">BV!BH15</f>
        <v>3.5545023696682465</v>
      </c>
      <c r="J15" s="553">
        <f ca="1">BV!BP15</f>
        <v>3.5377358490566038</v>
      </c>
      <c r="K15" s="556">
        <f ca="1">BV!BX15</f>
        <v>3.4883720930232558</v>
      </c>
      <c r="L15" s="15" t="s">
        <v>102</v>
      </c>
      <c r="M15" s="261">
        <v>7.4033921110225609E-2</v>
      </c>
      <c r="N15" s="282">
        <f t="shared" ca="1" si="8"/>
        <v>3.6752308562290663</v>
      </c>
      <c r="O15" s="24" t="s">
        <v>23</v>
      </c>
      <c r="P15" s="692">
        <f ca="1">SUM(B272:B281)</f>
        <v>20.855467694183403</v>
      </c>
      <c r="Q15" s="679">
        <f ca="1">SUM(C272:C281)</f>
        <v>18.090379805553798</v>
      </c>
      <c r="R15" s="680">
        <f ca="1">SUM(D272:D281)</f>
        <v>13.691922306449964</v>
      </c>
      <c r="S15" s="682">
        <f ca="1">SUM(E272:E281)</f>
        <v>9.9456098004994491</v>
      </c>
      <c r="T15" s="682">
        <f ca="1">SUM(F272:F281)</f>
        <v>5.8096266192934518</v>
      </c>
      <c r="U15" s="682">
        <f t="shared" ref="U15:Y15" ca="1" si="24">SUM(G272:G281)</f>
        <v>5.5617844341505434</v>
      </c>
      <c r="V15" s="690">
        <f t="shared" ca="1" si="24"/>
        <v>3.4551328722242447</v>
      </c>
      <c r="W15" s="689">
        <f t="shared" ca="1" si="24"/>
        <v>1.5962333486449243</v>
      </c>
      <c r="X15" s="34">
        <f t="shared" ca="1" si="24"/>
        <v>0</v>
      </c>
      <c r="Y15" s="34">
        <f t="shared" ca="1" si="24"/>
        <v>0</v>
      </c>
      <c r="Z15" s="265">
        <f t="shared" ca="1" si="10"/>
        <v>79.006156880999768</v>
      </c>
      <c r="AA15" s="11">
        <v>100</v>
      </c>
      <c r="AB15" s="11">
        <v>101</v>
      </c>
      <c r="AC15" s="11">
        <v>102</v>
      </c>
      <c r="AD15" s="11">
        <v>103</v>
      </c>
      <c r="AE15" s="11">
        <v>104</v>
      </c>
      <c r="AF15" s="11">
        <v>105</v>
      </c>
      <c r="AG15" s="11">
        <v>106</v>
      </c>
      <c r="AH15" s="11">
        <v>107</v>
      </c>
      <c r="AI15" s="11">
        <v>108</v>
      </c>
      <c r="AJ15" s="11">
        <v>109</v>
      </c>
      <c r="AK15" s="18">
        <v>135.4374540109481</v>
      </c>
      <c r="AL15" s="291">
        <v>4.75</v>
      </c>
      <c r="AM15" s="257"/>
      <c r="AN15" s="433">
        <v>15</v>
      </c>
      <c r="AO15" s="551">
        <f ca="1">BV!C15</f>
        <v>3.61</v>
      </c>
      <c r="AP15" s="551">
        <f ca="1">BV!K15</f>
        <v>3.72</v>
      </c>
      <c r="AQ15" s="551">
        <f ca="1">BV!S15</f>
        <v>3.95</v>
      </c>
      <c r="AR15" s="555">
        <f ca="1">BV!AA15</f>
        <v>4.03</v>
      </c>
      <c r="AS15" s="555">
        <f ca="1">BV!AI15</f>
        <v>4.09</v>
      </c>
      <c r="AT15" s="555">
        <f ca="1">BV!AQ15</f>
        <v>4.12</v>
      </c>
      <c r="AU15" s="555">
        <f ca="1">BV!AY15</f>
        <v>4.2</v>
      </c>
      <c r="AV15" s="555">
        <f ca="1">BV!BG15</f>
        <v>4.22</v>
      </c>
      <c r="AW15" s="555">
        <f ca="1">BV!BO15</f>
        <v>4.24</v>
      </c>
      <c r="AX15" s="555">
        <f ca="1">BV!BW15</f>
        <v>4.3</v>
      </c>
      <c r="AY15" s="15" t="s">
        <v>65</v>
      </c>
      <c r="AZ15" s="258">
        <f t="shared" si="7"/>
        <v>1.1305692481669438</v>
      </c>
      <c r="BA15" s="261">
        <v>7.4033921110225609E-2</v>
      </c>
      <c r="BB15" s="287">
        <v>0.6270466409878247</v>
      </c>
      <c r="BC15" s="287">
        <f t="shared" si="11"/>
        <v>0.11806764644109323</v>
      </c>
      <c r="BD15" s="13">
        <f ca="1">IF(BV!H15="","",INT(NOW()-BV!H15))</f>
        <v>87</v>
      </c>
      <c r="BE15" s="260">
        <f t="shared" si="12"/>
        <v>3.6752308562290659</v>
      </c>
      <c r="BF15" s="552">
        <f ca="1">BV!G15</f>
        <v>80.016762321254035</v>
      </c>
      <c r="BG15" s="552">
        <f ca="1">BV!O15</f>
        <v>76.036167758340412</v>
      </c>
      <c r="BH15" s="298">
        <f ca="1">BV!W15</f>
        <v>68.663850735577483</v>
      </c>
      <c r="BI15" s="298">
        <f ca="1">BV!AE15</f>
        <v>66.362790514966761</v>
      </c>
      <c r="BJ15" s="298">
        <f ca="1">BV!AM15</f>
        <v>64.716287306767271</v>
      </c>
      <c r="BK15" s="298">
        <f ca="1">BV!AU15</f>
        <v>63.917230761470428</v>
      </c>
      <c r="BL15" s="299">
        <f ca="1">BV!BC15</f>
        <v>61.861354407284843</v>
      </c>
      <c r="BM15" s="299">
        <f ca="1">BV!BK15</f>
        <v>61.363772527974476</v>
      </c>
      <c r="BN15" s="299">
        <f ca="1">BV!BS15</f>
        <v>60.872517300901031</v>
      </c>
      <c r="BO15" s="299">
        <f ca="1">BV!CA15</f>
        <v>59.435626311843862</v>
      </c>
      <c r="BP15" s="433">
        <v>15</v>
      </c>
      <c r="BQ15" s="11">
        <f ca="1">IFERROR(YEAR(OFFSET(BV!$H15,,(COLUMN()-69)*8)),"")</f>
        <v>2020</v>
      </c>
      <c r="BR15" s="11">
        <f ca="1">IFERROR(YEAR(OFFSET(BV!$H15,,(COLUMN()-69)*8)),"")</f>
        <v>2020</v>
      </c>
      <c r="BS15" s="11">
        <f ca="1">IFERROR(YEAR(OFFSET(BV!$H15,,(COLUMN()-69)*8)),"")</f>
        <v>2020</v>
      </c>
      <c r="BT15" s="11">
        <f ca="1">IFERROR(YEAR(OFFSET(BV!$H15,,(COLUMN()-69)*8)),"")</f>
        <v>2020</v>
      </c>
      <c r="BU15" s="11">
        <f ca="1">IFERROR(YEAR(OFFSET(BV!$H15,,(COLUMN()-69)*8)),"")</f>
        <v>2019</v>
      </c>
      <c r="BV15" s="11">
        <f ca="1">IFERROR(YEAR(OFFSET(BV!$H15,,(COLUMN()-69)*8)),"")</f>
        <v>2019</v>
      </c>
      <c r="BW15" s="11">
        <f ca="1">IFERROR(YEAR(OFFSET(BV!$H15,,(COLUMN()-69)*8)),"")</f>
        <v>2020</v>
      </c>
      <c r="BX15" s="11">
        <f ca="1">IFERROR(YEAR(OFFSET(BV!$H15,,(COLUMN()-69)*8)),"")</f>
        <v>2019</v>
      </c>
      <c r="BY15" s="11">
        <f ca="1">IFERROR(YEAR(OFFSET(BV!$H15,,(COLUMN()-69)*8)),"")</f>
        <v>2019</v>
      </c>
      <c r="BZ15" s="11">
        <f ca="1">IFERROR(YEAR(OFFSET(BV!$H15,,(COLUMN()-69)*8)),"")</f>
        <v>2020</v>
      </c>
    </row>
    <row r="16" spans="1:78" x14ac:dyDescent="0.25">
      <c r="A16" s="433">
        <v>16</v>
      </c>
      <c r="B16" s="293">
        <f ca="1">BV!D16</f>
        <v>4.301075268817204</v>
      </c>
      <c r="C16" s="551">
        <f ca="1">BV!L16</f>
        <v>4.0712468193384224</v>
      </c>
      <c r="D16" s="551">
        <f ca="1">BV!T16</f>
        <v>4.0506329113924044</v>
      </c>
      <c r="E16" s="555">
        <f ca="1">BV!AB16</f>
        <v>3.9702233250620345</v>
      </c>
      <c r="F16" s="555">
        <f ca="1">BV!AJ16</f>
        <v>3.8461538461538458</v>
      </c>
      <c r="G16" s="553">
        <f ca="1">BV!AR16</f>
        <v>3.6529680365296806</v>
      </c>
      <c r="H16" s="553">
        <f ca="1">BV!AZ16</f>
        <v>3.5476718403547673</v>
      </c>
      <c r="I16" s="553">
        <f ca="1">BV!BH16</f>
        <v>3.5476718403547673</v>
      </c>
      <c r="J16" s="553">
        <f ca="1">BV!BP16</f>
        <v>3.5398230088495577</v>
      </c>
      <c r="K16" s="553">
        <f ca="1">BV!BX16</f>
        <v>3.5320088300220749</v>
      </c>
      <c r="L16" s="15" t="s">
        <v>102</v>
      </c>
      <c r="M16" s="261">
        <v>7.4745824123117949E-2</v>
      </c>
      <c r="N16" s="282">
        <f t="shared" ca="1" si="8"/>
        <v>3.6576869487852135</v>
      </c>
      <c r="O16" s="24" t="s">
        <v>24</v>
      </c>
      <c r="P16" s="691">
        <f ca="1">SUM(B282:B291)</f>
        <v>23.415470334701709</v>
      </c>
      <c r="Q16" s="692">
        <f ca="1">SUM(C282:C291)</f>
        <v>22.106948915086448</v>
      </c>
      <c r="R16" s="679">
        <f ca="1">SUM(D282:D291)</f>
        <v>19.75231296103842</v>
      </c>
      <c r="S16" s="679">
        <f ca="1">SUM(E282:E291)</f>
        <v>19.35063266545319</v>
      </c>
      <c r="T16" s="679">
        <f ca="1">SUM(F282:F291)</f>
        <v>18.776971139009607</v>
      </c>
      <c r="U16" s="679">
        <f t="shared" ref="U16:Y16" ca="1" si="25">SUM(G282:G291)</f>
        <v>18.336061916670605</v>
      </c>
      <c r="V16" s="679">
        <f t="shared" ca="1" si="25"/>
        <v>17.631903448470052</v>
      </c>
      <c r="W16" s="696">
        <f t="shared" ca="1" si="25"/>
        <v>13.644764911308613</v>
      </c>
      <c r="X16" s="682">
        <f t="shared" ca="1" si="25"/>
        <v>7.8139611546276244</v>
      </c>
      <c r="Y16" s="682">
        <f t="shared" ca="1" si="25"/>
        <v>7.4075379714801199</v>
      </c>
      <c r="Z16" s="265">
        <f t="shared" ca="1" si="10"/>
        <v>168.23656541784638</v>
      </c>
      <c r="AA16" s="11">
        <v>110</v>
      </c>
      <c r="AB16" s="11">
        <v>111</v>
      </c>
      <c r="AC16" s="11">
        <v>112</v>
      </c>
      <c r="AD16" s="11">
        <v>113</v>
      </c>
      <c r="AE16" s="11">
        <v>114</v>
      </c>
      <c r="AF16" s="11">
        <v>115</v>
      </c>
      <c r="AG16" s="11">
        <v>116</v>
      </c>
      <c r="AH16" s="11">
        <v>117</v>
      </c>
      <c r="AI16" s="11">
        <v>118</v>
      </c>
      <c r="AJ16" s="11">
        <v>119</v>
      </c>
      <c r="AK16" s="18">
        <v>145.16312708141277</v>
      </c>
      <c r="AL16" s="292">
        <v>4.5</v>
      </c>
      <c r="AM16" s="257"/>
      <c r="AN16" s="433">
        <v>16</v>
      </c>
      <c r="AO16" s="551">
        <f ca="1">BV!C16</f>
        <v>3.72</v>
      </c>
      <c r="AP16" s="551">
        <f ca="1">BV!K16</f>
        <v>3.93</v>
      </c>
      <c r="AQ16" s="551">
        <f ca="1">BV!S16</f>
        <v>3.95</v>
      </c>
      <c r="AR16" s="555">
        <f ca="1">BV!AA16</f>
        <v>4.03</v>
      </c>
      <c r="AS16" s="555">
        <f ca="1">BV!AI16</f>
        <v>4.16</v>
      </c>
      <c r="AT16" s="555">
        <f ca="1">BV!AQ16</f>
        <v>4.38</v>
      </c>
      <c r="AU16" s="553">
        <f ca="1">BV!AY16</f>
        <v>4.51</v>
      </c>
      <c r="AV16" s="553">
        <f ca="1">BV!BG16</f>
        <v>4.51</v>
      </c>
      <c r="AW16" s="553">
        <f ca="1">BV!BO16</f>
        <v>4.5199999999999996</v>
      </c>
      <c r="AX16" s="553">
        <f ca="1">BV!BW16</f>
        <v>4.53</v>
      </c>
      <c r="AY16" s="15" t="s">
        <v>65</v>
      </c>
      <c r="AZ16" s="258">
        <f t="shared" si="7"/>
        <v>1.1264130653573221</v>
      </c>
      <c r="BA16" s="261">
        <v>7.4745824123117949E-2</v>
      </c>
      <c r="BB16" s="287">
        <v>0.6270466409878247</v>
      </c>
      <c r="BC16" s="287">
        <f t="shared" si="11"/>
        <v>0.11920297349072201</v>
      </c>
      <c r="BD16" s="13">
        <f ca="1">IF(BV!H16="","",INT(NOW()-BV!H16))</f>
        <v>243</v>
      </c>
      <c r="BE16" s="260">
        <f t="shared" si="12"/>
        <v>3.6576869487852135</v>
      </c>
      <c r="BF16" s="552">
        <f ca="1">BV!G16</f>
        <v>81.105245608896439</v>
      </c>
      <c r="BG16" s="297">
        <f ca="1">BV!O16</f>
        <v>73.876209797313479</v>
      </c>
      <c r="BH16" s="297">
        <f ca="1">BV!W16</f>
        <v>73.241440784615975</v>
      </c>
      <c r="BI16" s="297">
        <f ca="1">BV!AE16</f>
        <v>70.786976549297862</v>
      </c>
      <c r="BJ16" s="298">
        <f ca="1">BV!AM16</f>
        <v>67.067679383881</v>
      </c>
      <c r="BK16" s="299">
        <f ca="1">BV!AU16</f>
        <v>61.44208626536502</v>
      </c>
      <c r="BL16" s="299">
        <f ca="1">BV!BC16</f>
        <v>58.46175120764368</v>
      </c>
      <c r="BM16" s="299">
        <f ca="1">BV!BK16</f>
        <v>58.46175120764368</v>
      </c>
      <c r="BN16" s="299">
        <f ca="1">BV!BS16</f>
        <v>58.242043237243173</v>
      </c>
      <c r="BO16" s="299">
        <f ca="1">BV!CA16</f>
        <v>58.023643772181273</v>
      </c>
      <c r="BP16" s="433">
        <v>16</v>
      </c>
      <c r="BQ16" s="11">
        <f ca="1">IFERROR(YEAR(OFFSET(BV!$H16,,(COLUMN()-69)*8)),"")</f>
        <v>2020</v>
      </c>
      <c r="BR16" s="11">
        <f ca="1">IFERROR(YEAR(OFFSET(BV!$H16,,(COLUMN()-69)*8)),"")</f>
        <v>2020</v>
      </c>
      <c r="BS16" s="11">
        <f ca="1">IFERROR(YEAR(OFFSET(BV!$H16,,(COLUMN()-69)*8)),"")</f>
        <v>2020</v>
      </c>
      <c r="BT16" s="11">
        <f ca="1">IFERROR(YEAR(OFFSET(BV!$H16,,(COLUMN()-69)*8)),"")</f>
        <v>2019</v>
      </c>
      <c r="BU16" s="11">
        <f ca="1">IFERROR(YEAR(OFFSET(BV!$H16,,(COLUMN()-69)*8)),"")</f>
        <v>2019</v>
      </c>
      <c r="BV16" s="11">
        <f ca="1">IFERROR(YEAR(OFFSET(BV!$H16,,(COLUMN()-69)*8)),"")</f>
        <v>2019</v>
      </c>
      <c r="BW16" s="11">
        <f ca="1">IFERROR(YEAR(OFFSET(BV!$H16,,(COLUMN()-69)*8)),"")</f>
        <v>2020</v>
      </c>
      <c r="BX16" s="11">
        <f ca="1">IFERROR(YEAR(OFFSET(BV!$H16,,(COLUMN()-69)*8)),"")</f>
        <v>2019</v>
      </c>
      <c r="BY16" s="11">
        <f ca="1">IFERROR(YEAR(OFFSET(BV!$H16,,(COLUMN()-69)*8)),"")</f>
        <v>2019</v>
      </c>
      <c r="BZ16" s="11">
        <f ca="1">IFERROR(YEAR(OFFSET(BV!$H16,,(COLUMN()-69)*8)),"")</f>
        <v>2020</v>
      </c>
    </row>
    <row r="17" spans="1:78" x14ac:dyDescent="0.25">
      <c r="A17" s="433">
        <v>17</v>
      </c>
      <c r="B17" s="293">
        <f ca="1">BV!D17</f>
        <v>4.4270833333333339</v>
      </c>
      <c r="C17" s="555">
        <f ca="1">BV!L17</f>
        <v>3.9351851851851851</v>
      </c>
      <c r="D17" s="555">
        <f ca="1">BV!T17</f>
        <v>3.8461538461538463</v>
      </c>
      <c r="E17" s="553">
        <f ca="1">BV!AB17</f>
        <v>3.6956521739130439</v>
      </c>
      <c r="F17" s="553">
        <f ca="1">BV!AJ17</f>
        <v>3.6717062634989204</v>
      </c>
      <c r="G17" s="553">
        <f ca="1">BV!AR17</f>
        <v>3.6559139784946235</v>
      </c>
      <c r="H17" s="553">
        <f ca="1">BV!AZ17</f>
        <v>3.6093418259023355</v>
      </c>
      <c r="I17" s="553">
        <f ca="1">BV!BH17</f>
        <v>3.5714285714285716</v>
      </c>
      <c r="J17" s="553">
        <f ca="1">BV!BP17</f>
        <v>3.5564853556485354</v>
      </c>
      <c r="K17" s="553">
        <f ca="1">BV!BX17</f>
        <v>3.5490605427974948</v>
      </c>
      <c r="L17" s="15" t="s">
        <v>102</v>
      </c>
      <c r="M17" s="261">
        <v>7.2697275854191765E-2</v>
      </c>
      <c r="N17" s="282">
        <f t="shared" ca="1" si="8"/>
        <v>3.7088641959423114</v>
      </c>
      <c r="O17" s="24" t="s">
        <v>25</v>
      </c>
      <c r="P17" s="691">
        <f ca="1">SUM(B292:B301)</f>
        <v>24.558676436588254</v>
      </c>
      <c r="Q17" s="691">
        <f ca="1">SUM(C292:C301)</f>
        <v>23.414341621349536</v>
      </c>
      <c r="R17" s="691">
        <f ca="1">SUM(D292:D301)</f>
        <v>23.064007824250204</v>
      </c>
      <c r="S17" s="691">
        <f ca="1">SUM(E292:E301)</f>
        <v>22.633882311773899</v>
      </c>
      <c r="T17" s="692">
        <f ca="1">SUM(F292:F301)</f>
        <v>22.212750320702241</v>
      </c>
      <c r="U17" s="692">
        <f t="shared" ref="U17:Y17" ca="1" si="26">SUM(G292:G301)</f>
        <v>21.910286380519036</v>
      </c>
      <c r="V17" s="692">
        <f t="shared" ca="1" si="26"/>
        <v>21.736265651614183</v>
      </c>
      <c r="W17" s="695">
        <f t="shared" ca="1" si="26"/>
        <v>21.282919180438018</v>
      </c>
      <c r="X17" s="692">
        <f t="shared" ca="1" si="26"/>
        <v>20.925298811657534</v>
      </c>
      <c r="Y17" s="692">
        <f t="shared" ca="1" si="26"/>
        <v>20.721490747687341</v>
      </c>
      <c r="Z17" s="265">
        <f t="shared" ca="1" si="10"/>
        <v>222.45991928658029</v>
      </c>
      <c r="AA17" s="11">
        <v>120</v>
      </c>
      <c r="AB17" s="11">
        <v>121</v>
      </c>
      <c r="AC17" s="11">
        <v>122</v>
      </c>
      <c r="AD17" s="11">
        <v>123</v>
      </c>
      <c r="AE17" s="11">
        <v>124</v>
      </c>
      <c r="AF17" s="11">
        <v>125</v>
      </c>
      <c r="AG17" s="11">
        <v>126</v>
      </c>
      <c r="AH17" s="11">
        <v>127</v>
      </c>
      <c r="AI17" s="11">
        <v>128</v>
      </c>
      <c r="AJ17" s="11">
        <v>129</v>
      </c>
      <c r="AK17" s="18">
        <v>154.9074619909309</v>
      </c>
      <c r="AL17" s="293">
        <v>4.25</v>
      </c>
      <c r="AM17" s="257"/>
      <c r="AN17" s="433">
        <v>17</v>
      </c>
      <c r="AO17" s="551">
        <f ca="1">BV!C17</f>
        <v>3.84</v>
      </c>
      <c r="AP17" s="555">
        <f ca="1">BV!K17</f>
        <v>4.32</v>
      </c>
      <c r="AQ17" s="555">
        <f ca="1">BV!S17</f>
        <v>4.42</v>
      </c>
      <c r="AR17" s="553">
        <f ca="1">BV!AA17</f>
        <v>4.5999999999999996</v>
      </c>
      <c r="AS17" s="553">
        <f ca="1">BV!AI17</f>
        <v>4.63</v>
      </c>
      <c r="AT17" s="553">
        <f ca="1">BV!AQ17</f>
        <v>4.6500000000000004</v>
      </c>
      <c r="AU17" s="553">
        <f ca="1">BV!AY17</f>
        <v>4.71</v>
      </c>
      <c r="AV17" s="553">
        <f ca="1">BV!BG17</f>
        <v>4.76</v>
      </c>
      <c r="AW17" s="553">
        <f ca="1">BV!BO17</f>
        <v>4.78</v>
      </c>
      <c r="AX17" s="553">
        <f ca="1">BV!BW17</f>
        <v>4.79</v>
      </c>
      <c r="AY17" s="15" t="s">
        <v>65</v>
      </c>
      <c r="AZ17" s="258">
        <f t="shared" si="7"/>
        <v>1.1384818629189351</v>
      </c>
      <c r="BA17" s="261">
        <v>7.2697275854191765E-2</v>
      </c>
      <c r="BB17" s="287">
        <v>0.6270466409878247</v>
      </c>
      <c r="BC17" s="287">
        <f t="shared" si="11"/>
        <v>0.11593599439376204</v>
      </c>
      <c r="BD17" s="13">
        <f ca="1">IF(BV!H17="","",INT(NOW()-BV!H17))</f>
        <v>339</v>
      </c>
      <c r="BE17" s="260">
        <f t="shared" si="12"/>
        <v>3.708864195942311</v>
      </c>
      <c r="BF17" s="556">
        <f ca="1">BV!G17</f>
        <v>81.646542607684495</v>
      </c>
      <c r="BG17" s="298">
        <f ca="1">BV!O17</f>
        <v>66.831084814974389</v>
      </c>
      <c r="BH17" s="298">
        <f ca="1">BV!W17</f>
        <v>64.281058922725933</v>
      </c>
      <c r="BI17" s="299">
        <f ca="1">BV!AE17</f>
        <v>60.063767032370393</v>
      </c>
      <c r="BJ17" s="299">
        <f ca="1">BV!AM17</f>
        <v>59.403658888124291</v>
      </c>
      <c r="BK17" s="299">
        <f ca="1">BV!AU17</f>
        <v>58.969963695154483</v>
      </c>
      <c r="BL17" s="299">
        <f ca="1">BV!BC17</f>
        <v>57.69860832275031</v>
      </c>
      <c r="BM17" s="299">
        <f ca="1">BV!BK17</f>
        <v>56.672068010265328</v>
      </c>
      <c r="BN17" s="299">
        <f ca="1">BV!BS17</f>
        <v>56.269551821400533</v>
      </c>
      <c r="BO17" s="300">
        <f ca="1">BV!CA17</f>
        <v>56.069993727291632</v>
      </c>
      <c r="BP17" s="433">
        <v>17</v>
      </c>
      <c r="BQ17" s="11">
        <f ca="1">IFERROR(YEAR(OFFSET(BV!$H17,,(COLUMN()-69)*8)),"")</f>
        <v>2020</v>
      </c>
      <c r="BR17" s="11">
        <f ca="1">IFERROR(YEAR(OFFSET(BV!$H17,,(COLUMN()-69)*8)),"")</f>
        <v>2019</v>
      </c>
      <c r="BS17" s="11">
        <f ca="1">IFERROR(YEAR(OFFSET(BV!$H17,,(COLUMN()-69)*8)),"")</f>
        <v>2020</v>
      </c>
      <c r="BT17" s="11">
        <f ca="1">IFERROR(YEAR(OFFSET(BV!$H17,,(COLUMN()-69)*8)),"")</f>
        <v>2020</v>
      </c>
      <c r="BU17" s="11">
        <f ca="1">IFERROR(YEAR(OFFSET(BV!$H17,,(COLUMN()-69)*8)),"")</f>
        <v>2020</v>
      </c>
      <c r="BV17" s="11">
        <f ca="1">IFERROR(YEAR(OFFSET(BV!$H17,,(COLUMN()-69)*8)),"")</f>
        <v>2020</v>
      </c>
      <c r="BW17" s="11">
        <f ca="1">IFERROR(YEAR(OFFSET(BV!$H17,,(COLUMN()-69)*8)),"")</f>
        <v>2020</v>
      </c>
      <c r="BX17" s="11">
        <f ca="1">IFERROR(YEAR(OFFSET(BV!$H17,,(COLUMN()-69)*8)),"")</f>
        <v>2019</v>
      </c>
      <c r="BY17" s="11">
        <f ca="1">IFERROR(YEAR(OFFSET(BV!$H17,,(COLUMN()-69)*8)),"")</f>
        <v>2019</v>
      </c>
      <c r="BZ17" s="11">
        <f ca="1">IFERROR(YEAR(OFFSET(BV!$H17,,(COLUMN()-69)*8)),"")</f>
        <v>2020</v>
      </c>
    </row>
    <row r="18" spans="1:78" x14ac:dyDescent="0.25">
      <c r="A18" s="433">
        <v>18</v>
      </c>
      <c r="B18" s="291">
        <f ca="1">BV!D18</f>
        <v>4.8780487804878048</v>
      </c>
      <c r="C18" s="551">
        <f ca="1">BV!L18</f>
        <v>4.0816326530612246</v>
      </c>
      <c r="D18" s="555">
        <f ca="1">BV!T18</f>
        <v>3.8793103448275863</v>
      </c>
      <c r="E18" s="555">
        <f ca="1">BV!AB18</f>
        <v>3.8297872340425529</v>
      </c>
      <c r="F18" s="555">
        <f ca="1">BV!AJ18</f>
        <v>3.8216560509554141</v>
      </c>
      <c r="G18" s="555">
        <f ca="1">BV!AR18</f>
        <v>3.7735849056603779</v>
      </c>
      <c r="H18" s="555">
        <f ca="1">BV!AZ18</f>
        <v>3.757828810020877</v>
      </c>
      <c r="I18" s="553">
        <f ca="1">BV!BH18</f>
        <v>3.6659877800407332</v>
      </c>
      <c r="J18" s="553">
        <f ca="1">BV!BP18</f>
        <v>3.6144578313253009</v>
      </c>
      <c r="K18" s="553">
        <f ca="1">BV!BX18</f>
        <v>3.5928143712574854</v>
      </c>
      <c r="L18" s="15" t="s">
        <v>102</v>
      </c>
      <c r="M18" s="261">
        <v>6.8772578152871147E-2</v>
      </c>
      <c r="N18" s="282">
        <f t="shared" ca="1" si="8"/>
        <v>3.8132242588532135</v>
      </c>
      <c r="O18" s="24" t="s">
        <v>26</v>
      </c>
      <c r="P18" s="693">
        <f ca="1">SUM(B302:B311)</f>
        <v>25.031658117729627</v>
      </c>
      <c r="Q18" s="691">
        <f ca="1">SUM(C302:C311)</f>
        <v>24.204321938449517</v>
      </c>
      <c r="R18" s="691">
        <f ca="1">SUM(D302:D311)</f>
        <v>23.823878201723069</v>
      </c>
      <c r="S18" s="691">
        <f ca="1">SUM(E302:E311)</f>
        <v>23.365824313383822</v>
      </c>
      <c r="T18" s="691">
        <f ca="1">SUM(F302:F311)</f>
        <v>23.095860906415382</v>
      </c>
      <c r="U18" s="691">
        <f t="shared" ref="U18:Y18" ca="1" si="27">SUM(G302:G311)</f>
        <v>22.873580032652875</v>
      </c>
      <c r="V18" s="691">
        <f t="shared" ca="1" si="27"/>
        <v>22.601413652388104</v>
      </c>
      <c r="W18" s="695">
        <f t="shared" ca="1" si="27"/>
        <v>22.321896644617098</v>
      </c>
      <c r="X18" s="692">
        <f t="shared" ca="1" si="27"/>
        <v>22.145272607827035</v>
      </c>
      <c r="Y18" s="692">
        <f t="shared" ca="1" si="27"/>
        <v>21.660325785693388</v>
      </c>
      <c r="Z18" s="265">
        <f t="shared" ca="1" si="10"/>
        <v>231.12403220087992</v>
      </c>
      <c r="AA18" s="11">
        <v>130</v>
      </c>
      <c r="AB18" s="11">
        <v>131</v>
      </c>
      <c r="AC18" s="11">
        <v>132</v>
      </c>
      <c r="AD18" s="11">
        <v>133</v>
      </c>
      <c r="AE18" s="11">
        <v>134</v>
      </c>
      <c r="AK18" s="18">
        <v>164.67000847135645</v>
      </c>
      <c r="AL18" s="24">
        <v>4</v>
      </c>
      <c r="AM18" s="257"/>
      <c r="AN18" s="433">
        <v>18</v>
      </c>
      <c r="AO18" s="551">
        <f ca="1">BV!C18</f>
        <v>3.69</v>
      </c>
      <c r="AP18" s="555">
        <f ca="1">BV!K18</f>
        <v>4.41</v>
      </c>
      <c r="AQ18" s="553">
        <f ca="1">BV!S18</f>
        <v>4.6399999999999997</v>
      </c>
      <c r="AR18" s="553">
        <f ca="1">BV!AA18</f>
        <v>4.7</v>
      </c>
      <c r="AS18" s="553">
        <f ca="1">BV!AI18</f>
        <v>4.71</v>
      </c>
      <c r="AT18" s="553">
        <f ca="1">BV!AQ18</f>
        <v>4.7699999999999996</v>
      </c>
      <c r="AU18" s="553">
        <f ca="1">BV!AY18</f>
        <v>4.79</v>
      </c>
      <c r="AV18" s="553">
        <f ca="1">BV!BG18</f>
        <v>4.91</v>
      </c>
      <c r="AW18" s="553">
        <f ca="1">BV!BO18</f>
        <v>4.9800000000000004</v>
      </c>
      <c r="AX18" s="556">
        <f ca="1">BV!BW18</f>
        <v>5.01</v>
      </c>
      <c r="AY18" s="15" t="s">
        <v>65</v>
      </c>
      <c r="AZ18" s="258">
        <f t="shared" si="7"/>
        <v>1.1625846944804599</v>
      </c>
      <c r="BA18" s="261">
        <v>6.8772578152871147E-2</v>
      </c>
      <c r="BB18" s="287">
        <v>0.6270466409878247</v>
      </c>
      <c r="BC18" s="287">
        <f t="shared" si="11"/>
        <v>0.10967697401987438</v>
      </c>
      <c r="BD18" s="13">
        <f ca="1">IF(BV!H18="","",INT(NOW()-BV!H18))</f>
        <v>87</v>
      </c>
      <c r="BE18" s="260">
        <f t="shared" si="12"/>
        <v>3.813224258853213</v>
      </c>
      <c r="BF18" s="553">
        <f ca="1">BV!G18</f>
        <v>92.508074521445138</v>
      </c>
      <c r="BG18" s="298">
        <f ca="1">BV!O18</f>
        <v>68.324877536258754</v>
      </c>
      <c r="BH18" s="298">
        <f ca="1">BV!W18</f>
        <v>62.667720400159737</v>
      </c>
      <c r="BI18" s="299">
        <f ca="1">BV!AE18</f>
        <v>61.313782019685327</v>
      </c>
      <c r="BJ18" s="299">
        <f ca="1">BV!AM18</f>
        <v>61.092644106441497</v>
      </c>
      <c r="BK18" s="299">
        <f ca="1">BV!AU18</f>
        <v>59.792019160227682</v>
      </c>
      <c r="BL18" s="299">
        <f ca="1">BV!BC18</f>
        <v>59.368228652426438</v>
      </c>
      <c r="BM18" s="299">
        <f ca="1">BV!BK18</f>
        <v>56.922757113843872</v>
      </c>
      <c r="BN18" s="300">
        <f ca="1">BV!BS18</f>
        <v>55.569255893092688</v>
      </c>
      <c r="BO18" s="300">
        <f ca="1">BV!CA18</f>
        <v>55.004767090929541</v>
      </c>
      <c r="BP18" s="433">
        <v>18</v>
      </c>
      <c r="BQ18" s="11">
        <f ca="1">IFERROR(YEAR(OFFSET(BV!$H18,,(COLUMN()-69)*8)),"")</f>
        <v>2020</v>
      </c>
      <c r="BR18" s="11">
        <f ca="1">IFERROR(YEAR(OFFSET(BV!$H18,,(COLUMN()-69)*8)),"")</f>
        <v>2019</v>
      </c>
      <c r="BS18" s="11">
        <f ca="1">IFERROR(YEAR(OFFSET(BV!$H18,,(COLUMN()-69)*8)),"")</f>
        <v>2020</v>
      </c>
      <c r="BT18" s="11">
        <f ca="1">IFERROR(YEAR(OFFSET(BV!$H18,,(COLUMN()-69)*8)),"")</f>
        <v>2019</v>
      </c>
      <c r="BU18" s="11">
        <f ca="1">IFERROR(YEAR(OFFSET(BV!$H18,,(COLUMN()-69)*8)),"")</f>
        <v>2020</v>
      </c>
      <c r="BV18" s="11">
        <f ca="1">IFERROR(YEAR(OFFSET(BV!$H18,,(COLUMN()-69)*8)),"")</f>
        <v>2019</v>
      </c>
      <c r="BW18" s="11">
        <f ca="1">IFERROR(YEAR(OFFSET(BV!$H18,,(COLUMN()-69)*8)),"")</f>
        <v>2019</v>
      </c>
      <c r="BX18" s="11">
        <f ca="1">IFERROR(YEAR(OFFSET(BV!$H18,,(COLUMN()-69)*8)),"")</f>
        <v>2019</v>
      </c>
      <c r="BY18" s="11">
        <f ca="1">IFERROR(YEAR(OFFSET(BV!$H18,,(COLUMN()-69)*8)),"")</f>
        <v>2020</v>
      </c>
      <c r="BZ18" s="11">
        <f ca="1">IFERROR(YEAR(OFFSET(BV!$H18,,(COLUMN()-69)*8)),"")</f>
        <v>2019</v>
      </c>
    </row>
    <row r="19" spans="1:78" x14ac:dyDescent="0.25">
      <c r="A19" s="433">
        <v>19</v>
      </c>
      <c r="B19" s="555">
        <f ca="1">BV!D19</f>
        <v>3.9419087136929458</v>
      </c>
      <c r="C19" s="555">
        <f ca="1">BV!L19</f>
        <v>3.8934426229508197</v>
      </c>
      <c r="D19" s="555">
        <f ca="1">BV!T19</f>
        <v>3.8854805725971371</v>
      </c>
      <c r="E19" s="555">
        <f ca="1">BV!AB19</f>
        <v>3.8152610441767063</v>
      </c>
      <c r="F19" s="553">
        <f ca="1">BV!AJ19</f>
        <v>3.7109375</v>
      </c>
      <c r="G19" s="553">
        <f ca="1">BV!AR19</f>
        <v>3.7037037037037037</v>
      </c>
      <c r="H19" s="553">
        <f ca="1">BV!AZ19</f>
        <v>3.6750483558994196</v>
      </c>
      <c r="I19" s="553">
        <f ca="1">BV!BH19</f>
        <v>3.6538461538461537</v>
      </c>
      <c r="J19" s="553">
        <f ca="1">BV!BP19</f>
        <v>3.6398467432950192</v>
      </c>
      <c r="K19" s="553">
        <f ca="1">BV!BX19</f>
        <v>3.6328871892925427</v>
      </c>
      <c r="L19" s="15" t="s">
        <v>102</v>
      </c>
      <c r="M19" s="261">
        <v>6.2994567756358782E-2</v>
      </c>
      <c r="N19" s="282">
        <f t="shared" ca="1" si="8"/>
        <v>3.9842671420386626</v>
      </c>
      <c r="O19" s="24" t="s">
        <v>27</v>
      </c>
      <c r="P19" s="693">
        <f ca="1">SUM(B312:B321)</f>
        <v>25.880362881712763</v>
      </c>
      <c r="Q19" s="693">
        <f ca="1">SUM(C312:C321)</f>
        <v>25.115212162759192</v>
      </c>
      <c r="R19" s="691">
        <f ca="1">SUM(D312:D321)</f>
        <v>24.773415006830529</v>
      </c>
      <c r="S19" s="691">
        <f ca="1">SUM(E312:E321)</f>
        <v>24.416050346969588</v>
      </c>
      <c r="T19" s="691">
        <f ca="1">SUM(F312:F321)</f>
        <v>23.998887157791767</v>
      </c>
      <c r="U19" s="691">
        <f t="shared" ref="U19:Y19" ca="1" si="28">SUM(G312:G321)</f>
        <v>23.654082543791016</v>
      </c>
      <c r="V19" s="691">
        <f t="shared" ca="1" si="28"/>
        <v>23.412384783717417</v>
      </c>
      <c r="W19" s="694">
        <f t="shared" ca="1" si="28"/>
        <v>23.227833081200775</v>
      </c>
      <c r="X19" s="691">
        <f t="shared" ca="1" si="28"/>
        <v>23.038703921841833</v>
      </c>
      <c r="Y19" s="691">
        <f t="shared" ca="1" si="28"/>
        <v>22.852004893846996</v>
      </c>
      <c r="Z19" s="265">
        <f t="shared" ca="1" si="10"/>
        <v>240.36893678046187</v>
      </c>
      <c r="AA19" s="11">
        <v>100</v>
      </c>
      <c r="AB19" s="11">
        <v>101</v>
      </c>
      <c r="AC19" s="11">
        <v>102</v>
      </c>
      <c r="AD19" s="11">
        <v>103</v>
      </c>
      <c r="AE19" s="11">
        <v>104</v>
      </c>
      <c r="AF19" s="11">
        <v>105</v>
      </c>
      <c r="AG19" s="11">
        <v>106</v>
      </c>
      <c r="AH19" s="11">
        <v>107</v>
      </c>
      <c r="AI19" s="11">
        <v>108</v>
      </c>
      <c r="AJ19" s="11">
        <v>109</v>
      </c>
      <c r="AK19" s="18">
        <v>174.44981498055648</v>
      </c>
      <c r="AL19" s="294">
        <v>3.75</v>
      </c>
      <c r="AM19" s="257"/>
      <c r="AN19" s="433">
        <v>19</v>
      </c>
      <c r="AO19" s="553">
        <f ca="1">BV!C19</f>
        <v>4.82</v>
      </c>
      <c r="AP19" s="553">
        <f ca="1">BV!K19</f>
        <v>4.88</v>
      </c>
      <c r="AQ19" s="553">
        <f ca="1">BV!S19</f>
        <v>4.8899999999999997</v>
      </c>
      <c r="AR19" s="553">
        <f ca="1">BV!AA19</f>
        <v>4.9800000000000004</v>
      </c>
      <c r="AS19" s="556">
        <f ca="1">BV!AI19</f>
        <v>5.12</v>
      </c>
      <c r="AT19" s="556">
        <f ca="1">BV!AQ19</f>
        <v>5.13</v>
      </c>
      <c r="AU19" s="556">
        <f ca="1">BV!AY19</f>
        <v>5.17</v>
      </c>
      <c r="AV19" s="556">
        <f ca="1">BV!BG19</f>
        <v>5.2</v>
      </c>
      <c r="AW19" s="556">
        <f ca="1">BV!BO19</f>
        <v>5.22</v>
      </c>
      <c r="AX19" s="556">
        <f ca="1">BV!BW19</f>
        <v>5.23</v>
      </c>
      <c r="AY19" s="15" t="s">
        <v>65</v>
      </c>
      <c r="AZ19" s="258">
        <f t="shared" si="7"/>
        <v>1.2006968996758722</v>
      </c>
      <c r="BA19" s="261">
        <v>6.2994567756358782E-2</v>
      </c>
      <c r="BB19" s="287">
        <v>0.6270466409878247</v>
      </c>
      <c r="BC19" s="287">
        <f t="shared" si="11"/>
        <v>0.100462331888294</v>
      </c>
      <c r="BD19" s="13">
        <f ca="1">IF(BV!H19="","",INT(NOW()-BV!H19))</f>
        <v>12</v>
      </c>
      <c r="BE19" s="260">
        <f t="shared" si="12"/>
        <v>3.9842671420386631</v>
      </c>
      <c r="BF19" s="299">
        <f ca="1">BV!G19</f>
        <v>62.004840531454711</v>
      </c>
      <c r="BG19" s="299">
        <f ca="1">BV!O19</f>
        <v>60.714421662957847</v>
      </c>
      <c r="BH19" s="299">
        <f ca="1">BV!W19</f>
        <v>60.503500136805542</v>
      </c>
      <c r="BI19" s="299">
        <f ca="1">BV!AE19</f>
        <v>58.656436776042284</v>
      </c>
      <c r="BJ19" s="300">
        <f ca="1">BV!AM19</f>
        <v>55.955995455824599</v>
      </c>
      <c r="BK19" s="300">
        <f ca="1">BV!AU19</f>
        <v>55.770692766960792</v>
      </c>
      <c r="BL19" s="300">
        <f ca="1">BV!BC19</f>
        <v>55.039139658988525</v>
      </c>
      <c r="BM19" s="300">
        <f ca="1">BV!BK19</f>
        <v>54.500423337154565</v>
      </c>
      <c r="BN19" s="300">
        <f ca="1">BV!BS19</f>
        <v>54.145915951137262</v>
      </c>
      <c r="BO19" s="300">
        <f ca="1">BV!CA19</f>
        <v>53.970033646561376</v>
      </c>
      <c r="BP19" s="433">
        <v>19</v>
      </c>
      <c r="BQ19" s="11">
        <f ca="1">IFERROR(YEAR(OFFSET(BV!$H19,,(COLUMN()-69)*8)),"")</f>
        <v>2020</v>
      </c>
      <c r="BR19" s="11">
        <f ca="1">IFERROR(YEAR(OFFSET(BV!$H19,,(COLUMN()-69)*8)),"")</f>
        <v>2020</v>
      </c>
      <c r="BS19" s="11">
        <f ca="1">IFERROR(YEAR(OFFSET(BV!$H19,,(COLUMN()-69)*8)),"")</f>
        <v>2020</v>
      </c>
      <c r="BT19" s="11">
        <f ca="1">IFERROR(YEAR(OFFSET(BV!$H19,,(COLUMN()-69)*8)),"")</f>
        <v>2020</v>
      </c>
      <c r="BU19" s="11">
        <f ca="1">IFERROR(YEAR(OFFSET(BV!$H19,,(COLUMN()-69)*8)),"")</f>
        <v>2019</v>
      </c>
      <c r="BV19" s="11">
        <f ca="1">IFERROR(YEAR(OFFSET(BV!$H19,,(COLUMN()-69)*8)),"")</f>
        <v>2019</v>
      </c>
      <c r="BW19" s="11">
        <f ca="1">IFERROR(YEAR(OFFSET(BV!$H19,,(COLUMN()-69)*8)),"")</f>
        <v>2019</v>
      </c>
      <c r="BX19" s="11">
        <f ca="1">IFERROR(YEAR(OFFSET(BV!$H19,,(COLUMN()-69)*8)),"")</f>
        <v>2020</v>
      </c>
      <c r="BY19" s="11">
        <f ca="1">IFERROR(YEAR(OFFSET(BV!$H19,,(COLUMN()-69)*8)),"")</f>
        <v>2020</v>
      </c>
      <c r="BZ19" s="11">
        <f ca="1">IFERROR(YEAR(OFFSET(BV!$H19,,(COLUMN()-69)*8)),"")</f>
        <v>2020</v>
      </c>
    </row>
    <row r="20" spans="1:78" x14ac:dyDescent="0.25">
      <c r="A20" s="433">
        <v>20</v>
      </c>
      <c r="B20" s="293">
        <f ca="1">BV!D20</f>
        <v>4.4642857142857135</v>
      </c>
      <c r="C20" s="293">
        <f ca="1">BV!L20</f>
        <v>4.434589800443459</v>
      </c>
      <c r="D20" s="555">
        <f ca="1">BV!T20</f>
        <v>3.944773175542406</v>
      </c>
      <c r="E20" s="555">
        <f ca="1">BV!AB20</f>
        <v>3.9215686274509807</v>
      </c>
      <c r="F20" s="555">
        <f ca="1">BV!AJ20</f>
        <v>3.8095238095238093</v>
      </c>
      <c r="G20" s="555">
        <f ca="1">BV!AR20</f>
        <v>3.7807183364839321</v>
      </c>
      <c r="H20" s="555">
        <f ca="1">BV!AZ20</f>
        <v>3.75234521575985</v>
      </c>
      <c r="I20" s="553">
        <f ca="1">BV!BH20</f>
        <v>3.7453183520599254</v>
      </c>
      <c r="J20" s="553">
        <f ca="1">BV!BP20</f>
        <v>3.6697247706422016</v>
      </c>
      <c r="K20" s="553">
        <f ca="1">BV!BX20</f>
        <v>3.6697247706422016</v>
      </c>
      <c r="L20" s="15" t="s">
        <v>102</v>
      </c>
      <c r="M20" s="261">
        <v>5.6376876878023258E-2</v>
      </c>
      <c r="N20" s="282">
        <f t="shared" ca="1" si="8"/>
        <v>4.2116230437818958</v>
      </c>
      <c r="O20" s="24" t="s">
        <v>28</v>
      </c>
      <c r="P20" s="693">
        <f ca="1">SUM(B322:B331)</f>
        <v>26.473646607201609</v>
      </c>
      <c r="Q20" s="693">
        <f ca="1">SUM(C322:C331)</f>
        <v>25.849567743722464</v>
      </c>
      <c r="R20" s="693">
        <f ca="1">SUM(D322:D331)</f>
        <v>25.415947500070562</v>
      </c>
      <c r="S20" s="691">
        <f ca="1">SUM(E322:E331)</f>
        <v>24.817494052945214</v>
      </c>
      <c r="T20" s="691">
        <f ca="1">SUM(F322:F331)</f>
        <v>24.435359142133454</v>
      </c>
      <c r="U20" s="691">
        <f t="shared" ref="U20:Y20" ca="1" si="29">SUM(G322:G331)</f>
        <v>24.127817739266739</v>
      </c>
      <c r="V20" s="691">
        <f t="shared" ca="1" si="29"/>
        <v>23.805709622415982</v>
      </c>
      <c r="W20" s="694">
        <f t="shared" ca="1" si="29"/>
        <v>23.68422592107116</v>
      </c>
      <c r="X20" s="691">
        <f t="shared" ca="1" si="29"/>
        <v>23.095200793156533</v>
      </c>
      <c r="Y20" s="692">
        <f t="shared" ca="1" si="29"/>
        <v>20.571177649318823</v>
      </c>
      <c r="Z20" s="265">
        <f t="shared" ca="1" si="10"/>
        <v>242.27614677130251</v>
      </c>
      <c r="AA20" s="11">
        <v>110</v>
      </c>
      <c r="AB20" s="11">
        <v>111</v>
      </c>
      <c r="AC20" s="11">
        <v>112</v>
      </c>
      <c r="AD20" s="11">
        <v>113</v>
      </c>
      <c r="AE20" s="11">
        <v>114</v>
      </c>
      <c r="AF20" s="11">
        <v>115</v>
      </c>
      <c r="AG20" s="11">
        <v>116</v>
      </c>
      <c r="AH20" s="11">
        <v>117</v>
      </c>
      <c r="AI20" s="11">
        <v>118</v>
      </c>
      <c r="AJ20" s="11">
        <v>119</v>
      </c>
      <c r="AK20" s="18">
        <v>184.24556580969775</v>
      </c>
      <c r="AL20" s="295">
        <v>3.5</v>
      </c>
      <c r="AM20" s="257"/>
      <c r="AN20" s="433">
        <v>20</v>
      </c>
      <c r="AO20" s="555">
        <f ca="1">BV!C20</f>
        <v>4.4800000000000004</v>
      </c>
      <c r="AP20" s="553">
        <f ca="1">BV!K20</f>
        <v>4.51</v>
      </c>
      <c r="AQ20" s="556">
        <f ca="1">BV!S20</f>
        <v>5.07</v>
      </c>
      <c r="AR20" s="556">
        <f ca="1">BV!AA20</f>
        <v>5.0999999999999996</v>
      </c>
      <c r="AS20" s="556">
        <f ca="1">BV!AI20</f>
        <v>5.25</v>
      </c>
      <c r="AT20" s="556">
        <f ca="1">BV!AQ20</f>
        <v>5.29</v>
      </c>
      <c r="AU20" s="556">
        <f ca="1">BV!AY20</f>
        <v>5.33</v>
      </c>
      <c r="AV20" s="556">
        <f ca="1">BV!BG20</f>
        <v>5.34</v>
      </c>
      <c r="AW20" s="556">
        <f ca="1">BV!BO20</f>
        <v>5.45</v>
      </c>
      <c r="AX20" s="556">
        <f ca="1">BV!BW20</f>
        <v>5.45</v>
      </c>
      <c r="AY20" s="15" t="s">
        <v>65</v>
      </c>
      <c r="AZ20" s="258">
        <f t="shared" si="7"/>
        <v>1.2488989865028921</v>
      </c>
      <c r="BA20" s="261">
        <v>5.6376876878023258E-2</v>
      </c>
      <c r="BB20" s="268">
        <v>0.28871927092274591</v>
      </c>
      <c r="BC20" s="268">
        <f t="shared" si="11"/>
        <v>0.19526537559423357</v>
      </c>
      <c r="BD20" s="269">
        <f ca="1">IF(BV!H20="","",INT(NOW()-BV!H20))</f>
        <v>279</v>
      </c>
      <c r="BE20" s="260">
        <f t="shared" si="12"/>
        <v>4.2116230437818958</v>
      </c>
      <c r="BF20" s="297">
        <f ca="1">BV!G20</f>
        <v>73.911042985133079</v>
      </c>
      <c r="BG20" s="297">
        <f ca="1">BV!O20</f>
        <v>73.077189009554601</v>
      </c>
      <c r="BH20" s="299">
        <f ca="1">BV!W20</f>
        <v>59.89194591626751</v>
      </c>
      <c r="BI20" s="299">
        <f ca="1">BV!AE20</f>
        <v>59.294260253305019</v>
      </c>
      <c r="BJ20" s="299">
        <f ca="1">BV!AM20</f>
        <v>56.443136456180341</v>
      </c>
      <c r="BK20" s="300">
        <f ca="1">BV!AU20</f>
        <v>55.719513025396722</v>
      </c>
      <c r="BL20" s="300">
        <f ca="1">BV!BC20</f>
        <v>55.010513542189663</v>
      </c>
      <c r="BM20" s="300">
        <f ca="1">BV!BK20</f>
        <v>54.835501244342652</v>
      </c>
      <c r="BN20" s="300">
        <f ca="1">BV!BS20</f>
        <v>52.967307967485844</v>
      </c>
      <c r="BO20" s="300">
        <f ca="1">BV!CA20</f>
        <v>52.967307967485844</v>
      </c>
      <c r="BP20" s="433">
        <v>20</v>
      </c>
      <c r="BQ20" s="11">
        <f ca="1">IFERROR(YEAR(OFFSET(BV!$H20,,(COLUMN()-69)*8)),"")</f>
        <v>2020</v>
      </c>
      <c r="BR20" s="11">
        <f ca="1">IFERROR(YEAR(OFFSET(BV!$H20,,(COLUMN()-69)*8)),"")</f>
        <v>2020</v>
      </c>
      <c r="BS20" s="11">
        <f ca="1">IFERROR(YEAR(OFFSET(BV!$H20,,(COLUMN()-69)*8)),"")</f>
        <v>2020</v>
      </c>
      <c r="BT20" s="11">
        <f ca="1">IFERROR(YEAR(OFFSET(BV!$H20,,(COLUMN()-69)*8)),"")</f>
        <v>2020</v>
      </c>
      <c r="BU20" s="11">
        <f ca="1">IFERROR(YEAR(OFFSET(BV!$H20,,(COLUMN()-69)*8)),"")</f>
        <v>2020</v>
      </c>
      <c r="BV20" s="11">
        <f ca="1">IFERROR(YEAR(OFFSET(BV!$H20,,(COLUMN()-69)*8)),"")</f>
        <v>2019</v>
      </c>
      <c r="BW20" s="11">
        <f ca="1">IFERROR(YEAR(OFFSET(BV!$H20,,(COLUMN()-69)*8)),"")</f>
        <v>2020</v>
      </c>
      <c r="BX20" s="11">
        <f ca="1">IFERROR(YEAR(OFFSET(BV!$H20,,(COLUMN()-69)*8)),"")</f>
        <v>2020</v>
      </c>
      <c r="BY20" s="11">
        <f ca="1">IFERROR(YEAR(OFFSET(BV!$H20,,(COLUMN()-69)*8)),"")</f>
        <v>2020</v>
      </c>
      <c r="BZ20" s="11">
        <f ca="1">IFERROR(YEAR(OFFSET(BV!$H20,,(COLUMN()-69)*8)),"")</f>
        <v>2019</v>
      </c>
    </row>
    <row r="21" spans="1:78" x14ac:dyDescent="0.25">
      <c r="A21" s="433">
        <v>21</v>
      </c>
      <c r="B21" s="551">
        <f ca="1">BV!D21</f>
        <v>4.2084168336673349</v>
      </c>
      <c r="C21" s="555">
        <f ca="1">BV!L21</f>
        <v>3.9622641509433962</v>
      </c>
      <c r="D21" s="555">
        <f ca="1">BV!T21</f>
        <v>3.8888888888888888</v>
      </c>
      <c r="E21" s="555">
        <f ca="1">BV!AB21</f>
        <v>3.7906137184115525</v>
      </c>
      <c r="F21" s="555">
        <f ca="1">BV!AJ21</f>
        <v>3.7906137184115525</v>
      </c>
      <c r="G21" s="555">
        <f ca="1">BV!AR21</f>
        <v>3.7634408602150535</v>
      </c>
      <c r="H21" s="555">
        <f ca="1">BV!AZ21</f>
        <v>3.7567084078711988</v>
      </c>
      <c r="I21" s="553">
        <f ca="1">BV!BH21</f>
        <v>3.7433155080213902</v>
      </c>
      <c r="J21" s="553">
        <f ca="1">BV!BP21</f>
        <v>3.7037037037037037</v>
      </c>
      <c r="K21" s="553">
        <f ca="1">BV!BX21</f>
        <v>3.664921465968586</v>
      </c>
      <c r="L21" s="15" t="s">
        <v>102</v>
      </c>
      <c r="M21" s="261">
        <v>4.9375620984113355E-2</v>
      </c>
      <c r="N21" s="282">
        <f t="shared" ca="1" si="8"/>
        <v>4.5003233037497692</v>
      </c>
      <c r="O21" s="24" t="s">
        <v>29</v>
      </c>
      <c r="P21" s="693">
        <f ca="1">SUM(B332:B341)</f>
        <v>26.89318431337685</v>
      </c>
      <c r="Q21" s="693">
        <f ca="1">SUM(C332:C341)</f>
        <v>25.800854147020456</v>
      </c>
      <c r="R21" s="691">
        <f ca="1">SUM(D332:D341)</f>
        <v>24.931826929035651</v>
      </c>
      <c r="S21" s="691">
        <f ca="1">SUM(E332:E341)</f>
        <v>24.502660971518591</v>
      </c>
      <c r="T21" s="691">
        <f ca="1">SUM(F332:F341)</f>
        <v>23.679079762032458</v>
      </c>
      <c r="U21" s="691">
        <f t="shared" ref="U21:Y21" ca="1" si="30">SUM(G332:G341)</f>
        <v>23.010975098575056</v>
      </c>
      <c r="V21" s="679">
        <f t="shared" ca="1" si="30"/>
        <v>18.657564423795304</v>
      </c>
      <c r="W21" s="697">
        <f t="shared" ca="1" si="30"/>
        <v>17.90400224188204</v>
      </c>
      <c r="X21" s="680">
        <f t="shared" ca="1" si="30"/>
        <v>11.370849653427154</v>
      </c>
      <c r="Y21" s="682">
        <f t="shared" ca="1" si="30"/>
        <v>9.046302877517773</v>
      </c>
      <c r="Z21" s="265">
        <f t="shared" ca="1" si="10"/>
        <v>205.79730041818132</v>
      </c>
      <c r="AA21" s="11">
        <v>120</v>
      </c>
      <c r="AB21" s="11">
        <v>121</v>
      </c>
      <c r="AC21" s="11">
        <v>122</v>
      </c>
      <c r="AD21" s="11">
        <v>123</v>
      </c>
      <c r="AE21" s="11">
        <v>124</v>
      </c>
      <c r="AF21" s="300">
        <v>125</v>
      </c>
      <c r="AG21" s="301">
        <v>126</v>
      </c>
      <c r="AH21" s="301">
        <v>127</v>
      </c>
      <c r="AI21" s="301">
        <v>128</v>
      </c>
      <c r="AJ21" s="11">
        <v>129</v>
      </c>
      <c r="AK21" s="18">
        <v>194.05579055511691</v>
      </c>
      <c r="AL21" s="296">
        <v>3.25</v>
      </c>
      <c r="AM21" s="257"/>
      <c r="AN21" s="433">
        <v>21</v>
      </c>
      <c r="AO21" s="553">
        <f ca="1">BV!C21</f>
        <v>4.99</v>
      </c>
      <c r="AP21" s="556">
        <f ca="1">BV!K21</f>
        <v>5.3</v>
      </c>
      <c r="AQ21" s="556">
        <f ca="1">BV!S21</f>
        <v>5.4</v>
      </c>
      <c r="AR21" s="552">
        <f ca="1">BV!AA21</f>
        <v>5.54</v>
      </c>
      <c r="AS21" s="552">
        <f ca="1">BV!AI21</f>
        <v>5.54</v>
      </c>
      <c r="AT21" s="552">
        <f ca="1">BV!AQ21</f>
        <v>5.58</v>
      </c>
      <c r="AU21" s="552">
        <f ca="1">BV!AY21</f>
        <v>5.59</v>
      </c>
      <c r="AV21" s="552">
        <f ca="1">BV!BG21</f>
        <v>5.61</v>
      </c>
      <c r="AW21" s="552">
        <f ca="1">BV!BO21</f>
        <v>5.67</v>
      </c>
      <c r="AX21" s="552">
        <f ca="1">BV!BW21</f>
        <v>5.73</v>
      </c>
      <c r="AY21" s="15" t="s">
        <v>65</v>
      </c>
      <c r="AZ21" s="258">
        <f t="shared" si="7"/>
        <v>1.3064874293244126</v>
      </c>
      <c r="BA21" s="261">
        <v>4.9375620984113355E-2</v>
      </c>
      <c r="BB21" s="268">
        <v>0.28871927092274591</v>
      </c>
      <c r="BC21" s="268">
        <f t="shared" si="11"/>
        <v>0.17101602129400306</v>
      </c>
      <c r="BD21" s="269">
        <f ca="1">IF(BV!H21="","",INT(NOW()-BV!H21))</f>
        <v>403</v>
      </c>
      <c r="BE21" s="260">
        <f t="shared" si="12"/>
        <v>4.5003233037497692</v>
      </c>
      <c r="BF21" s="298">
        <f ca="1">BV!G21</f>
        <v>64.610087041414843</v>
      </c>
      <c r="BG21" s="299">
        <f ca="1">BV!O21</f>
        <v>58.317953511270304</v>
      </c>
      <c r="BH21" s="299">
        <f ca="1">BV!W21</f>
        <v>56.493939690219001</v>
      </c>
      <c r="BI21" s="300">
        <f ca="1">BV!AE21</f>
        <v>54.088464632506991</v>
      </c>
      <c r="BJ21" s="300">
        <f ca="1">BV!AM21</f>
        <v>54.088464632506991</v>
      </c>
      <c r="BK21" s="300">
        <f ca="1">BV!AU21</f>
        <v>53.430977003764944</v>
      </c>
      <c r="BL21" s="300">
        <f ca="1">BV!BC21</f>
        <v>53.268587417438567</v>
      </c>
      <c r="BM21" s="300">
        <f ca="1">BV!BK21</f>
        <v>52.94615046803915</v>
      </c>
      <c r="BN21" s="300">
        <f ca="1">BV!BS21</f>
        <v>51.997211450487995</v>
      </c>
      <c r="BO21" s="300">
        <f ca="1">BV!CA21</f>
        <v>51.075002472529874</v>
      </c>
      <c r="BP21" s="433">
        <v>21</v>
      </c>
      <c r="BQ21" s="11">
        <f ca="1">IFERROR(YEAR(OFFSET(BV!$H21,,(COLUMN()-69)*8)),"")</f>
        <v>2019</v>
      </c>
      <c r="BR21" s="11">
        <f ca="1">IFERROR(YEAR(OFFSET(BV!$H21,,(COLUMN()-69)*8)),"")</f>
        <v>2020</v>
      </c>
      <c r="BS21" s="11">
        <f ca="1">IFERROR(YEAR(OFFSET(BV!$H21,,(COLUMN()-69)*8)),"")</f>
        <v>2020</v>
      </c>
      <c r="BT21" s="11">
        <f ca="1">IFERROR(YEAR(OFFSET(BV!$H21,,(COLUMN()-69)*8)),"")</f>
        <v>2020</v>
      </c>
      <c r="BU21" s="11">
        <f ca="1">IFERROR(YEAR(OFFSET(BV!$H21,,(COLUMN()-69)*8)),"")</f>
        <v>2019</v>
      </c>
      <c r="BV21" s="11">
        <f ca="1">IFERROR(YEAR(OFFSET(BV!$H21,,(COLUMN()-69)*8)),"")</f>
        <v>2020</v>
      </c>
      <c r="BW21" s="11">
        <f ca="1">IFERROR(YEAR(OFFSET(BV!$H21,,(COLUMN()-69)*8)),"")</f>
        <v>2019</v>
      </c>
      <c r="BX21" s="11">
        <f ca="1">IFERROR(YEAR(OFFSET(BV!$H21,,(COLUMN()-69)*8)),"")</f>
        <v>2019</v>
      </c>
      <c r="BY21" s="11">
        <f ca="1">IFERROR(YEAR(OFFSET(BV!$H21,,(COLUMN()-69)*8)),"")</f>
        <v>2020</v>
      </c>
      <c r="BZ21" s="11">
        <f ca="1">IFERROR(YEAR(OFFSET(BV!$H21,,(COLUMN()-69)*8)),"")</f>
        <v>2020</v>
      </c>
    </row>
    <row r="22" spans="1:78" x14ac:dyDescent="0.25">
      <c r="A22" s="433">
        <v>22</v>
      </c>
      <c r="B22" s="555">
        <f ca="1">BV!D22</f>
        <v>3.8062283737024218</v>
      </c>
      <c r="C22" s="553">
        <f ca="1">BV!L22</f>
        <v>3.6850921273031827</v>
      </c>
      <c r="D22" s="553">
        <f ca="1">BV!T22</f>
        <v>3.672787979966611</v>
      </c>
      <c r="E22" s="553">
        <f ca="1">BV!AB22</f>
        <v>3.6544850498338874</v>
      </c>
      <c r="F22" s="553">
        <f ca="1">BV!AJ22</f>
        <v>3.5483870967741935</v>
      </c>
      <c r="G22" s="556">
        <f ca="1">BV!AR22</f>
        <v>3.4920634920634921</v>
      </c>
      <c r="H22" s="556">
        <f ca="1">BV!AZ22</f>
        <v>3.4482758620689657</v>
      </c>
      <c r="I22" s="556">
        <f ca="1">BV!BH22</f>
        <v>3.4161490683229814</v>
      </c>
      <c r="J22" s="556">
        <f ca="1">BV!BP22</f>
        <v>3.3742331288343559</v>
      </c>
      <c r="K22" s="556">
        <f ca="1">BV!BX22</f>
        <v>3.3232628398791539</v>
      </c>
      <c r="L22" s="15" t="s">
        <v>102</v>
      </c>
      <c r="M22" s="261">
        <v>4.2121164575204234E-2</v>
      </c>
      <c r="N22" s="282">
        <f t="shared" ca="1" si="8"/>
        <v>4.8724771926494537</v>
      </c>
      <c r="O22" s="24" t="s">
        <v>30</v>
      </c>
      <c r="P22" s="693">
        <f ca="1">SUM(B342:B351)</f>
        <v>26.21621551775484</v>
      </c>
      <c r="Q22" s="691">
        <f ca="1">SUM(C342:C351)</f>
        <v>24.74053765541025</v>
      </c>
      <c r="R22" s="679">
        <f ca="1">SUM(D342:D351)</f>
        <v>19.592086542066856</v>
      </c>
      <c r="S22" s="679">
        <f ca="1">SUM(E342:E351)</f>
        <v>16.285962257175363</v>
      </c>
      <c r="T22" s="680">
        <f ca="1">SUM(F342:F351)</f>
        <v>13.814705943743229</v>
      </c>
      <c r="U22" s="682">
        <f t="shared" ref="U22:Y22" ca="1" si="31">SUM(G342:G351)</f>
        <v>6.9144147050342815</v>
      </c>
      <c r="V22" s="690">
        <f t="shared" ca="1" si="31"/>
        <v>4.3944558840490995</v>
      </c>
      <c r="W22" s="689">
        <f t="shared" ca="1" si="31"/>
        <v>2.327196943383119</v>
      </c>
      <c r="X22" s="690">
        <f t="shared" ca="1" si="31"/>
        <v>2.3228937940598637</v>
      </c>
      <c r="Y22" s="690">
        <f t="shared" ca="1" si="31"/>
        <v>2.2423025435073627</v>
      </c>
      <c r="Z22" s="265">
        <f t="shared" ca="1" si="10"/>
        <v>118.85077178618427</v>
      </c>
      <c r="AA22" s="300">
        <v>130</v>
      </c>
      <c r="AB22" s="300">
        <v>131</v>
      </c>
      <c r="AC22" s="301">
        <v>132</v>
      </c>
      <c r="AD22" s="301">
        <v>133</v>
      </c>
      <c r="AE22" s="301">
        <v>134</v>
      </c>
      <c r="AF22" s="300">
        <v>135</v>
      </c>
      <c r="AG22" s="300">
        <v>136</v>
      </c>
      <c r="AH22" s="300">
        <v>137</v>
      </c>
      <c r="AI22" s="300">
        <v>138</v>
      </c>
      <c r="AJ22" s="300">
        <v>139</v>
      </c>
      <c r="AK22" s="18">
        <v>203.87906786292635</v>
      </c>
      <c r="AL22" s="36">
        <v>3</v>
      </c>
      <c r="AM22" s="257"/>
      <c r="AN22" s="433">
        <v>22</v>
      </c>
      <c r="AO22" s="552">
        <f ca="1">BV!C22</f>
        <v>5.78</v>
      </c>
      <c r="AP22" s="552">
        <f ca="1">BV!K22</f>
        <v>5.97</v>
      </c>
      <c r="AQ22" s="552">
        <f ca="1">BV!S22</f>
        <v>5.99</v>
      </c>
      <c r="AR22" s="297">
        <f ca="1">BV!AA22</f>
        <v>6.02</v>
      </c>
      <c r="AS22" s="297">
        <f ca="1">BV!AI22</f>
        <v>6.2</v>
      </c>
      <c r="AT22" s="297">
        <f ca="1">BV!AQ22</f>
        <v>6.3</v>
      </c>
      <c r="AU22" s="297">
        <f ca="1">BV!AY22</f>
        <v>6.38</v>
      </c>
      <c r="AV22" s="297">
        <f ca="1">BV!BG22</f>
        <v>6.44</v>
      </c>
      <c r="AW22" s="298">
        <f ca="1">BV!BO22</f>
        <v>6.52</v>
      </c>
      <c r="AX22" s="298">
        <f ca="1">BV!BW22</f>
        <v>6.62</v>
      </c>
      <c r="AY22" s="15" t="s">
        <v>65</v>
      </c>
      <c r="AZ22" s="258">
        <f t="shared" si="7"/>
        <v>1.3754996298513873</v>
      </c>
      <c r="BA22" s="261">
        <v>4.2121164575204234E-2</v>
      </c>
      <c r="BB22" s="268">
        <v>0.28871927092274591</v>
      </c>
      <c r="BC22" s="268">
        <f t="shared" si="11"/>
        <v>0.14588968876440123</v>
      </c>
      <c r="BD22" s="269">
        <f ca="1">IF(BV!H22="","",INT(NOW()-BV!H22))</f>
        <v>87</v>
      </c>
      <c r="BE22" s="260">
        <f t="shared" si="12"/>
        <v>4.8724771926494537</v>
      </c>
      <c r="BF22" s="300">
        <f ca="1">BV!G22</f>
        <v>52.722660119350728</v>
      </c>
      <c r="BG22" s="301">
        <f ca="1">BV!O22</f>
        <v>49.902037340752052</v>
      </c>
      <c r="BH22" s="301">
        <f ca="1">BV!W22</f>
        <v>49.619118166331759</v>
      </c>
      <c r="BI22" s="301">
        <f ca="1">BV!AE22</f>
        <v>49.199490420535021</v>
      </c>
      <c r="BJ22" s="301">
        <f ca="1">BV!AM22</f>
        <v>46.796003805054674</v>
      </c>
      <c r="BK22" s="301">
        <f ca="1">BV!AU22</f>
        <v>45.540280963191329</v>
      </c>
      <c r="BL22" s="301">
        <f ca="1">BV!BC22</f>
        <v>44.573782126366581</v>
      </c>
      <c r="BM22" s="301">
        <f ca="1">BV!BK22</f>
        <v>43.870104130302074</v>
      </c>
      <c r="BN22" s="301">
        <f ca="1">BV!BS22</f>
        <v>42.958956844520287</v>
      </c>
      <c r="BO22" s="301">
        <f ca="1">BV!CA22</f>
        <v>41.861622569110139</v>
      </c>
      <c r="BP22" s="433">
        <v>22</v>
      </c>
      <c r="BQ22" s="11">
        <f ca="1">IFERROR(YEAR(OFFSET(BV!$H22,,(COLUMN()-69)*8)),"")</f>
        <v>2020</v>
      </c>
      <c r="BR22" s="11">
        <f ca="1">IFERROR(YEAR(OFFSET(BV!$H22,,(COLUMN()-69)*8)),"")</f>
        <v>2020</v>
      </c>
      <c r="BS22" s="11">
        <f ca="1">IFERROR(YEAR(OFFSET(BV!$H22,,(COLUMN()-69)*8)),"")</f>
        <v>2020</v>
      </c>
      <c r="BT22" s="11">
        <f ca="1">IFERROR(YEAR(OFFSET(BV!$H22,,(COLUMN()-69)*8)),"")</f>
        <v>2020</v>
      </c>
      <c r="BU22" s="11">
        <f ca="1">IFERROR(YEAR(OFFSET(BV!$H22,,(COLUMN()-69)*8)),"")</f>
        <v>2020</v>
      </c>
      <c r="BV22" s="11">
        <f ca="1">IFERROR(YEAR(OFFSET(BV!$H22,,(COLUMN()-69)*8)),"")</f>
        <v>2020</v>
      </c>
      <c r="BW22" s="11">
        <f ca="1">IFERROR(YEAR(OFFSET(BV!$H22,,(COLUMN()-69)*8)),"")</f>
        <v>2020</v>
      </c>
      <c r="BX22" s="11">
        <f ca="1">IFERROR(YEAR(OFFSET(BV!$H22,,(COLUMN()-69)*8)),"")</f>
        <v>2020</v>
      </c>
      <c r="BY22" s="11">
        <f ca="1">IFERROR(YEAR(OFFSET(BV!$H22,,(COLUMN()-69)*8)),"")</f>
        <v>2019</v>
      </c>
      <c r="BZ22" s="11">
        <f ca="1">IFERROR(YEAR(OFFSET(BV!$H22,,(COLUMN()-69)*8)),"")</f>
        <v>2019</v>
      </c>
    </row>
    <row r="23" spans="1:78" x14ac:dyDescent="0.25">
      <c r="A23" s="433">
        <v>23</v>
      </c>
      <c r="B23" s="293">
        <f ca="1">BV!D23</f>
        <v>4.3809523809523814</v>
      </c>
      <c r="C23" s="293">
        <f ca="1">BV!L23</f>
        <v>4.3560606060606055</v>
      </c>
      <c r="D23" s="555">
        <f ca="1">BV!T23</f>
        <v>3.9249146757679179</v>
      </c>
      <c r="E23" s="553">
        <f ca="1">BV!AB23</f>
        <v>3.7037037037037037</v>
      </c>
      <c r="F23" s="553">
        <f ca="1">BV!AJ23</f>
        <v>3.6918138041733544</v>
      </c>
      <c r="G23" s="553">
        <f ca="1">BV!AR23</f>
        <v>3.6106750392464679</v>
      </c>
      <c r="H23" s="553">
        <f ca="1">BV!AZ23</f>
        <v>3.5881435257410295</v>
      </c>
      <c r="I23" s="553">
        <f ca="1">BV!BH23</f>
        <v>3.5493827160493825</v>
      </c>
      <c r="J23" s="556">
        <f ca="1">BV!BP23</f>
        <v>3.463855421686747</v>
      </c>
      <c r="K23" s="556">
        <f ca="1">BV!BX23</f>
        <v>3.4586466165413534</v>
      </c>
      <c r="L23" s="15" t="s">
        <v>102</v>
      </c>
      <c r="M23" s="261">
        <v>3.5116955815993736E-2</v>
      </c>
      <c r="N23" s="282">
        <f t="shared" ca="1" si="8"/>
        <v>5.3363163707987491</v>
      </c>
      <c r="O23" s="24" t="s">
        <v>31</v>
      </c>
      <c r="P23" s="693">
        <f ca="1">SUM(B352:B361)</f>
        <v>25.017334533508837</v>
      </c>
      <c r="Q23" s="680">
        <f ca="1">SUM(C352:C361)</f>
        <v>10.225200661265408</v>
      </c>
      <c r="R23" s="682">
        <f ca="1">SUM(D352:D361)</f>
        <v>9.7280281723618209</v>
      </c>
      <c r="S23" s="690">
        <f ca="1">SUM(E352:E361)</f>
        <v>2.4555364314400459</v>
      </c>
      <c r="T23" s="690">
        <f ca="1">SUM(F352:F361)</f>
        <v>2.324066029539531</v>
      </c>
      <c r="U23" s="34">
        <f t="shared" ref="U23:Y23" ca="1" si="32">SUM(G352:G361)</f>
        <v>0</v>
      </c>
      <c r="V23" s="34">
        <f t="shared" ca="1" si="32"/>
        <v>0</v>
      </c>
      <c r="W23" s="264">
        <f t="shared" ca="1" si="32"/>
        <v>0</v>
      </c>
      <c r="X23" s="34">
        <f t="shared" ca="1" si="32"/>
        <v>0</v>
      </c>
      <c r="Y23" s="34">
        <f t="shared" ca="1" si="32"/>
        <v>0</v>
      </c>
      <c r="Z23" s="265">
        <f t="shared" ca="1" si="10"/>
        <v>49.750165828115641</v>
      </c>
      <c r="AA23" s="299">
        <v>140</v>
      </c>
      <c r="AB23" s="299">
        <v>141</v>
      </c>
      <c r="AC23" s="299">
        <v>142</v>
      </c>
      <c r="AD23" s="299">
        <v>143</v>
      </c>
      <c r="AE23" s="299">
        <v>144</v>
      </c>
      <c r="AF23" s="299">
        <v>145</v>
      </c>
      <c r="AG23" s="299">
        <v>146</v>
      </c>
      <c r="AH23" s="299">
        <v>147</v>
      </c>
      <c r="AI23" s="299">
        <v>148</v>
      </c>
      <c r="AJ23" s="300">
        <v>149</v>
      </c>
      <c r="AK23" s="18">
        <v>213.71382887809881</v>
      </c>
      <c r="AL23" s="297">
        <v>2.75</v>
      </c>
      <c r="AM23" s="257"/>
      <c r="AN23" s="433">
        <v>23</v>
      </c>
      <c r="AO23" s="556">
        <f ca="1">BV!C23</f>
        <v>5.25</v>
      </c>
      <c r="AP23" s="556">
        <f ca="1">BV!K23</f>
        <v>5.28</v>
      </c>
      <c r="AQ23" s="552">
        <f ca="1">BV!S23</f>
        <v>5.86</v>
      </c>
      <c r="AR23" s="297">
        <f ca="1">BV!AA23</f>
        <v>6.21</v>
      </c>
      <c r="AS23" s="297">
        <f ca="1">BV!AI23</f>
        <v>6.23</v>
      </c>
      <c r="AT23" s="297">
        <f ca="1">BV!AQ23</f>
        <v>6.37</v>
      </c>
      <c r="AU23" s="297">
        <f ca="1">BV!AY23</f>
        <v>6.41</v>
      </c>
      <c r="AV23" s="297">
        <f ca="1">BV!BG23</f>
        <v>6.48</v>
      </c>
      <c r="AW23" s="298">
        <f ca="1">BV!BO23</f>
        <v>6.64</v>
      </c>
      <c r="AX23" s="298">
        <f ca="1">BV!BW23</f>
        <v>6.65</v>
      </c>
      <c r="AY23" s="15" t="s">
        <v>65</v>
      </c>
      <c r="AZ23" s="258">
        <f t="shared" si="7"/>
        <v>1.4544831388256563</v>
      </c>
      <c r="BA23" s="261">
        <v>3.5116955815993736E-2</v>
      </c>
      <c r="BB23" s="268">
        <v>0.28871927092274591</v>
      </c>
      <c r="BC23" s="268">
        <f t="shared" si="11"/>
        <v>0.12163010700241814</v>
      </c>
      <c r="BD23" s="269">
        <f ca="1">IF(BV!H23="","",INT(NOW()-BV!H23))</f>
        <v>379</v>
      </c>
      <c r="BE23" s="260">
        <f t="shared" si="12"/>
        <v>5.3363163707987491</v>
      </c>
      <c r="BF23" s="298">
        <f ca="1">BV!G23</f>
        <v>64.909606924607402</v>
      </c>
      <c r="BG23" s="298">
        <f ca="1">BV!O23</f>
        <v>64.283886651130416</v>
      </c>
      <c r="BH23" s="300">
        <f ca="1">BV!W23</f>
        <v>53.846049700871994</v>
      </c>
      <c r="BI23" s="301">
        <f ca="1">BV!AE23</f>
        <v>48.789242424991691</v>
      </c>
      <c r="BJ23" s="301">
        <f ca="1">BV!AM23</f>
        <v>48.523276167403317</v>
      </c>
      <c r="BK23" s="301">
        <f ca="1">BV!AU23</f>
        <v>46.724295295123952</v>
      </c>
      <c r="BL23" s="301">
        <f ca="1">BV!BC23</f>
        <v>46.229707409821977</v>
      </c>
      <c r="BM23" s="301">
        <f ca="1">BV!BK23</f>
        <v>45.383949256682769</v>
      </c>
      <c r="BN23" s="301">
        <f ca="1">BV!BS23</f>
        <v>43.540564970777574</v>
      </c>
      <c r="BO23" s="301">
        <f ca="1">BV!CA23</f>
        <v>43.429316854624787</v>
      </c>
      <c r="BP23" s="433">
        <v>23</v>
      </c>
      <c r="BQ23" s="11">
        <f ca="1">IFERROR(YEAR(OFFSET(BV!$H23,,(COLUMN()-69)*8)),"")</f>
        <v>2019</v>
      </c>
      <c r="BR23" s="11">
        <f ca="1">IFERROR(YEAR(OFFSET(BV!$H23,,(COLUMN()-69)*8)),"")</f>
        <v>2020</v>
      </c>
      <c r="BS23" s="11">
        <f ca="1">IFERROR(YEAR(OFFSET(BV!$H23,,(COLUMN()-69)*8)),"")</f>
        <v>2020</v>
      </c>
      <c r="BT23" s="11">
        <f ca="1">IFERROR(YEAR(OFFSET(BV!$H23,,(COLUMN()-69)*8)),"")</f>
        <v>2020</v>
      </c>
      <c r="BU23" s="11">
        <f ca="1">IFERROR(YEAR(OFFSET(BV!$H23,,(COLUMN()-69)*8)),"")</f>
        <v>2020</v>
      </c>
      <c r="BV23" s="11">
        <f ca="1">IFERROR(YEAR(OFFSET(BV!$H23,,(COLUMN()-69)*8)),"")</f>
        <v>2019</v>
      </c>
      <c r="BW23" s="11">
        <f ca="1">IFERROR(YEAR(OFFSET(BV!$H23,,(COLUMN()-69)*8)),"")</f>
        <v>2019</v>
      </c>
      <c r="BX23" s="11">
        <f ca="1">IFERROR(YEAR(OFFSET(BV!$H23,,(COLUMN()-69)*8)),"")</f>
        <v>2020</v>
      </c>
      <c r="BY23" s="11">
        <f ca="1">IFERROR(YEAR(OFFSET(BV!$H23,,(COLUMN()-69)*8)),"")</f>
        <v>2020</v>
      </c>
      <c r="BZ23" s="11">
        <f ca="1">IFERROR(YEAR(OFFSET(BV!$H23,,(COLUMN()-69)*8)),"")</f>
        <v>2020</v>
      </c>
    </row>
    <row r="24" spans="1:78" x14ac:dyDescent="0.25">
      <c r="A24" s="433">
        <v>24</v>
      </c>
      <c r="B24" s="557">
        <f ca="1">BV!D24</f>
        <v>4.545454545454545</v>
      </c>
      <c r="C24" s="555">
        <f ca="1">BV!L24</f>
        <v>3.9933444259567388</v>
      </c>
      <c r="D24" s="555">
        <f ca="1">BV!T24</f>
        <v>3.9151712887438825</v>
      </c>
      <c r="E24" s="555">
        <f ca="1">BV!AB24</f>
        <v>3.9024390243902438</v>
      </c>
      <c r="F24" s="555">
        <f ca="1">BV!AJ24</f>
        <v>3.883495145631068</v>
      </c>
      <c r="G24" s="555">
        <f ca="1">BV!AR24</f>
        <v>3.8772213247172855</v>
      </c>
      <c r="H24" s="553">
        <f ca="1">BV!AZ24</f>
        <v>3.7151702786377707</v>
      </c>
      <c r="I24" s="553">
        <f ca="1">BV!BH24</f>
        <v>3.7094281298299845</v>
      </c>
      <c r="J24" s="553">
        <f ca="1">BV!BP24</f>
        <v>3.6923076923076925</v>
      </c>
      <c r="K24" s="553">
        <f ca="1">BV!BX24</f>
        <v>3.6866359447004609</v>
      </c>
      <c r="L24" s="15" t="s">
        <v>102</v>
      </c>
      <c r="M24" s="261">
        <v>2.9261797878814222E-2</v>
      </c>
      <c r="N24" s="282">
        <f t="shared" ca="1" si="8"/>
        <v>5.845874625000679</v>
      </c>
      <c r="O24" s="24" t="s">
        <v>32</v>
      </c>
      <c r="P24" s="679">
        <f ca="1">SUM(B362:B430)</f>
        <v>18.443458904034358</v>
      </c>
      <c r="Q24" s="690">
        <f t="shared" ref="Q24:Y24" ca="1" si="33">SUM(C362:C430)</f>
        <v>2.3037716615698267</v>
      </c>
      <c r="R24" s="34">
        <f t="shared" ca="1" si="33"/>
        <v>0</v>
      </c>
      <c r="S24" s="34">
        <f t="shared" ca="1" si="33"/>
        <v>0</v>
      </c>
      <c r="T24" s="34">
        <f t="shared" ca="1" si="33"/>
        <v>0</v>
      </c>
      <c r="U24" s="34">
        <f t="shared" ca="1" si="33"/>
        <v>0</v>
      </c>
      <c r="V24" s="34">
        <f t="shared" ca="1" si="33"/>
        <v>0</v>
      </c>
      <c r="W24" s="34">
        <f t="shared" ca="1" si="33"/>
        <v>0</v>
      </c>
      <c r="X24" s="34">
        <f t="shared" ca="1" si="33"/>
        <v>0</v>
      </c>
      <c r="Y24" s="34">
        <f t="shared" ca="1" si="33"/>
        <v>0</v>
      </c>
      <c r="Z24" s="265">
        <f t="shared" ca="1" si="10"/>
        <v>20.747230565604184</v>
      </c>
      <c r="AA24" s="298">
        <v>150</v>
      </c>
      <c r="AB24" s="299">
        <v>151</v>
      </c>
      <c r="AC24" s="298">
        <v>152</v>
      </c>
      <c r="AD24" s="299">
        <v>153</v>
      </c>
      <c r="AE24" s="298">
        <v>154</v>
      </c>
      <c r="AF24" s="299">
        <v>155</v>
      </c>
      <c r="AG24" s="299">
        <v>156</v>
      </c>
      <c r="AH24" s="299">
        <v>157</v>
      </c>
      <c r="AI24" s="298">
        <v>158</v>
      </c>
      <c r="AJ24" s="299">
        <v>159</v>
      </c>
      <c r="AK24" s="18">
        <f>SUMPRODUCT(A362:A430,M362:M430)/SUM(M362:M430)</f>
        <v>226.9587400257335</v>
      </c>
      <c r="AL24" s="298">
        <v>2.5</v>
      </c>
      <c r="AM24" s="257"/>
      <c r="AN24" s="433">
        <v>24</v>
      </c>
      <c r="AO24" s="556">
        <f ca="1">BV!C24</f>
        <v>5.28</v>
      </c>
      <c r="AP24" s="297">
        <f ca="1">BV!K24</f>
        <v>6.01</v>
      </c>
      <c r="AQ24" s="297">
        <f ca="1">BV!S24</f>
        <v>6.13</v>
      </c>
      <c r="AR24" s="297">
        <f ca="1">BV!AA24</f>
        <v>6.15</v>
      </c>
      <c r="AS24" s="297">
        <f ca="1">BV!AI24</f>
        <v>6.18</v>
      </c>
      <c r="AT24" s="297">
        <f ca="1">BV!AQ24</f>
        <v>6.19</v>
      </c>
      <c r="AU24" s="297">
        <f ca="1">BV!AY24</f>
        <v>6.46</v>
      </c>
      <c r="AV24" s="297">
        <f ca="1">BV!BG24</f>
        <v>6.47</v>
      </c>
      <c r="AW24" s="298">
        <f ca="1">BV!BO24</f>
        <v>6.5</v>
      </c>
      <c r="AX24" s="298">
        <f ca="1">BV!BW24</f>
        <v>6.51</v>
      </c>
      <c r="AY24" s="15" t="s">
        <v>65</v>
      </c>
      <c r="AZ24" s="258">
        <f t="shared" si="7"/>
        <v>1.5336989938340588</v>
      </c>
      <c r="BA24" s="261">
        <v>2.9261797878814222E-2</v>
      </c>
      <c r="BB24" s="268">
        <v>0.28871927092274591</v>
      </c>
      <c r="BC24" s="268">
        <f t="shared" si="11"/>
        <v>0.10135034556333426</v>
      </c>
      <c r="BD24" s="269">
        <f ca="1">IF(BV!H24="","",INT(NOW()-BV!H24))</f>
        <v>126</v>
      </c>
      <c r="BE24" s="260">
        <f t="shared" si="12"/>
        <v>5.845874625000679</v>
      </c>
      <c r="BF24" s="298">
        <f ca="1">BV!G24</f>
        <v>67.078838244657831</v>
      </c>
      <c r="BG24" s="300">
        <f ca="1">BV!O24</f>
        <v>53.824077888374703</v>
      </c>
      <c r="BH24" s="300">
        <f ca="1">BV!W24</f>
        <v>52.045165508258556</v>
      </c>
      <c r="BI24" s="300">
        <f ca="1">BV!AE24</f>
        <v>51.757763741428974</v>
      </c>
      <c r="BJ24" s="300">
        <f ca="1">BV!AM24</f>
        <v>51.33136261927487</v>
      </c>
      <c r="BK24" s="300">
        <f ca="1">BV!AU24</f>
        <v>51.190467680106195</v>
      </c>
      <c r="BL24" s="301">
        <f ca="1">BV!BC24</f>
        <v>47.606682675352431</v>
      </c>
      <c r="BM24" s="301">
        <f ca="1">BV!BK24</f>
        <v>47.481663242138666</v>
      </c>
      <c r="BN24" s="301">
        <f ca="1">BV!BS24</f>
        <v>47.109716894654966</v>
      </c>
      <c r="BO24" s="301">
        <f ca="1">BV!CA24</f>
        <v>46.986762278932275</v>
      </c>
      <c r="BP24" s="433">
        <v>24</v>
      </c>
      <c r="BQ24" s="11">
        <f ca="1">IFERROR(YEAR(OFFSET(BV!$H24,,(COLUMN()-69)*8)),"")</f>
        <v>2020</v>
      </c>
      <c r="BR24" s="11">
        <f ca="1">IFERROR(YEAR(OFFSET(BV!$H24,,(COLUMN()-69)*8)),"")</f>
        <v>2020</v>
      </c>
      <c r="BS24" s="11">
        <f ca="1">IFERROR(YEAR(OFFSET(BV!$H24,,(COLUMN()-69)*8)),"")</f>
        <v>2020</v>
      </c>
      <c r="BT24" s="11">
        <f ca="1">IFERROR(YEAR(OFFSET(BV!$H24,,(COLUMN()-69)*8)),"")</f>
        <v>2020</v>
      </c>
      <c r="BU24" s="11">
        <f ca="1">IFERROR(YEAR(OFFSET(BV!$H24,,(COLUMN()-69)*8)),"")</f>
        <v>2020</v>
      </c>
      <c r="BV24" s="11">
        <f ca="1">IFERROR(YEAR(OFFSET(BV!$H24,,(COLUMN()-69)*8)),"")</f>
        <v>2020</v>
      </c>
      <c r="BW24" s="11">
        <f ca="1">IFERROR(YEAR(OFFSET(BV!$H24,,(COLUMN()-69)*8)),"")</f>
        <v>2019</v>
      </c>
      <c r="BX24" s="11">
        <f ca="1">IFERROR(YEAR(OFFSET(BV!$H24,,(COLUMN()-69)*8)),"")</f>
        <v>2020</v>
      </c>
      <c r="BY24" s="11">
        <f ca="1">IFERROR(YEAR(OFFSET(BV!$H24,,(COLUMN()-69)*8)),"")</f>
        <v>2020</v>
      </c>
      <c r="BZ24" s="11">
        <f ca="1">IFERROR(YEAR(OFFSET(BV!$H24,,(COLUMN()-69)*8)),"")</f>
        <v>2019</v>
      </c>
    </row>
    <row r="25" spans="1:78" x14ac:dyDescent="0.25">
      <c r="A25" s="433">
        <v>25</v>
      </c>
      <c r="B25" s="551">
        <f ca="1">BV!D25</f>
        <v>4.2372881355932197</v>
      </c>
      <c r="C25" s="555">
        <f ca="1">BV!L25</f>
        <v>3.9184952978056429</v>
      </c>
      <c r="D25" s="555">
        <f ca="1">BV!T25</f>
        <v>3.8051750380517504</v>
      </c>
      <c r="E25" s="555">
        <f ca="1">BV!AB25</f>
        <v>3.7993920972644375</v>
      </c>
      <c r="F25" s="553">
        <f ca="1">BV!AJ25</f>
        <v>3.6710719530102791</v>
      </c>
      <c r="G25" s="553">
        <f ca="1">BV!AR25</f>
        <v>3.6390101892285296</v>
      </c>
      <c r="H25" s="553">
        <f ca="1">BV!AZ25</f>
        <v>3.6231884057971011</v>
      </c>
      <c r="I25" s="553">
        <f ca="1">BV!BH25</f>
        <v>3.6023054755043225</v>
      </c>
      <c r="J25" s="553">
        <f ca="1">BV!BP25</f>
        <v>3.5612535612535616</v>
      </c>
      <c r="K25" s="553">
        <f ca="1">BV!BX25</f>
        <v>3.5211267605633805</v>
      </c>
      <c r="L25" s="15" t="s">
        <v>102</v>
      </c>
      <c r="M25" s="261">
        <v>2.3342564560308778E-2</v>
      </c>
      <c r="N25" s="282">
        <f t="shared" ca="1" si="8"/>
        <v>6.5452421076356631</v>
      </c>
      <c r="O25" s="15" t="str">
        <f>IF(Arb!$AJ$28=1,"Beg","初级")</f>
        <v>初级</v>
      </c>
      <c r="P25" s="698">
        <f ca="1">SUM(P3:P5)</f>
        <v>123.15519113838093</v>
      </c>
      <c r="Q25" s="699">
        <f ca="1">SUM(Q3:Q5)</f>
        <v>108.13573312094101</v>
      </c>
      <c r="R25" s="518">
        <f ca="1">SUM(R3:R5)</f>
        <v>93.317174726154533</v>
      </c>
      <c r="S25" s="700">
        <f ca="1">SUM(S3:S5)</f>
        <v>86.990671892008578</v>
      </c>
      <c r="T25" s="701">
        <f ca="1">SUM(T3:T5)</f>
        <v>80.51634310501349</v>
      </c>
      <c r="U25" s="701">
        <f t="shared" ref="U25:Y25" ca="1" si="34">SUM(U3:U5)</f>
        <v>78.151224790513879</v>
      </c>
      <c r="V25" s="702">
        <f t="shared" ca="1" si="34"/>
        <v>76.614467814433524</v>
      </c>
      <c r="W25" s="703">
        <f t="shared" ca="1" si="34"/>
        <v>73.015385796498848</v>
      </c>
      <c r="X25" s="702">
        <f t="shared" ca="1" si="34"/>
        <v>71.972017866432665</v>
      </c>
      <c r="Y25" s="702">
        <f t="shared" ca="1" si="34"/>
        <v>70.933346008619679</v>
      </c>
      <c r="Z25" s="265">
        <f t="shared" ca="1" si="10"/>
        <v>862.80155625899715</v>
      </c>
      <c r="AA25" s="298">
        <v>160</v>
      </c>
      <c r="AB25" s="298">
        <v>161</v>
      </c>
      <c r="AC25" s="299">
        <v>162</v>
      </c>
      <c r="AD25" s="298">
        <v>163</v>
      </c>
      <c r="AE25" s="299">
        <v>164</v>
      </c>
      <c r="AF25" s="298">
        <v>165</v>
      </c>
      <c r="AG25" s="298">
        <v>166</v>
      </c>
      <c r="AH25" s="299">
        <v>167</v>
      </c>
      <c r="AI25" s="299">
        <v>168</v>
      </c>
      <c r="AJ25" s="298">
        <v>169</v>
      </c>
      <c r="AK25" s="266">
        <f>SUMPRODUCT(A2:A54,M2:M54)</f>
        <v>17.202943471314985</v>
      </c>
      <c r="AL25" s="299">
        <v>2.25</v>
      </c>
      <c r="AM25" s="257"/>
      <c r="AN25" s="433">
        <v>25</v>
      </c>
      <c r="AO25" s="552">
        <f ca="1">BV!C25</f>
        <v>5.9</v>
      </c>
      <c r="AP25" s="297">
        <f ca="1">BV!K25</f>
        <v>6.38</v>
      </c>
      <c r="AQ25" s="298">
        <f ca="1">BV!S25</f>
        <v>6.57</v>
      </c>
      <c r="AR25" s="298">
        <f ca="1">BV!AA25</f>
        <v>6.58</v>
      </c>
      <c r="AS25" s="298">
        <f ca="1">BV!AI25</f>
        <v>6.81</v>
      </c>
      <c r="AT25" s="298">
        <f ca="1">BV!AQ25</f>
        <v>6.87</v>
      </c>
      <c r="AU25" s="298">
        <f ca="1">BV!AY25</f>
        <v>6.9</v>
      </c>
      <c r="AV25" s="298">
        <f ca="1">BV!BG25</f>
        <v>6.94</v>
      </c>
      <c r="AW25" s="299">
        <f ca="1">BV!BO25</f>
        <v>7.02</v>
      </c>
      <c r="AX25" s="299">
        <f ca="1">BV!BW25</f>
        <v>7.1</v>
      </c>
      <c r="AY25" s="15" t="s">
        <v>65</v>
      </c>
      <c r="AZ25" s="258">
        <f t="shared" si="7"/>
        <v>1.6318514313581185</v>
      </c>
      <c r="BA25" s="261">
        <v>2.3342564560308778E-2</v>
      </c>
      <c r="BB25" s="268">
        <v>0.28871927092274591</v>
      </c>
      <c r="BC25" s="268">
        <f t="shared" si="11"/>
        <v>8.0848654423745295E-2</v>
      </c>
      <c r="BD25" s="269">
        <f ca="1">IF(BV!H25="","",INT(NOW()-BV!H25))</f>
        <v>369</v>
      </c>
      <c r="BE25" s="260">
        <f t="shared" si="12"/>
        <v>6.5452421076356631</v>
      </c>
      <c r="BF25" s="299">
        <f ca="1">BV!G25</f>
        <v>57.855353010036239</v>
      </c>
      <c r="BG25" s="300">
        <f ca="1">BV!O25</f>
        <v>50.652025143598379</v>
      </c>
      <c r="BH25" s="301">
        <f ca="1">BV!W25</f>
        <v>48.187105438795655</v>
      </c>
      <c r="BI25" s="301">
        <f ca="1">BV!AE25</f>
        <v>48.06267610874373</v>
      </c>
      <c r="BJ25" s="301">
        <f ca="1">BV!AM25</f>
        <v>45.335861968040156</v>
      </c>
      <c r="BK25" s="301">
        <f ca="1">BV!AU25</f>
        <v>44.66481244051338</v>
      </c>
      <c r="BL25" s="301">
        <f ca="1">BV!BC25</f>
        <v>44.335183810458815</v>
      </c>
      <c r="BM25" s="301">
        <f ca="1">BV!BK25</f>
        <v>43.90165250307529</v>
      </c>
      <c r="BN25" s="301">
        <f ca="1">BV!BS25</f>
        <v>43.054532411517449</v>
      </c>
      <c r="BO25" s="301">
        <f ca="1">BV!CA25</f>
        <v>42.233081917114461</v>
      </c>
      <c r="BP25" s="433">
        <v>25</v>
      </c>
      <c r="BQ25" s="11">
        <f ca="1">IFERROR(YEAR(OFFSET(BV!$H25,,(COLUMN()-69)*8)),"")</f>
        <v>2019</v>
      </c>
      <c r="BR25" s="11">
        <f ca="1">IFERROR(YEAR(OFFSET(BV!$H25,,(COLUMN()-69)*8)),"")</f>
        <v>2020</v>
      </c>
      <c r="BS25" s="11">
        <f ca="1">IFERROR(YEAR(OFFSET(BV!$H25,,(COLUMN()-69)*8)),"")</f>
        <v>2020</v>
      </c>
      <c r="BT25" s="11">
        <f ca="1">IFERROR(YEAR(OFFSET(BV!$H25,,(COLUMN()-69)*8)),"")</f>
        <v>2019</v>
      </c>
      <c r="BU25" s="11">
        <f ca="1">IFERROR(YEAR(OFFSET(BV!$H25,,(COLUMN()-69)*8)),"")</f>
        <v>2020</v>
      </c>
      <c r="BV25" s="11">
        <f ca="1">IFERROR(YEAR(OFFSET(BV!$H25,,(COLUMN()-69)*8)),"")</f>
        <v>2020</v>
      </c>
      <c r="BW25" s="11">
        <f ca="1">IFERROR(YEAR(OFFSET(BV!$H25,,(COLUMN()-69)*8)),"")</f>
        <v>2019</v>
      </c>
      <c r="BX25" s="11">
        <f ca="1">IFERROR(YEAR(OFFSET(BV!$H25,,(COLUMN()-69)*8)),"")</f>
        <v>2020</v>
      </c>
      <c r="BY25" s="11">
        <f ca="1">IFERROR(YEAR(OFFSET(BV!$H25,,(COLUMN()-69)*8)),"")</f>
        <v>2020</v>
      </c>
      <c r="BZ25" s="11">
        <f ca="1">IFERROR(YEAR(OFFSET(BV!$H25,,(COLUMN()-69)*8)),"")</f>
        <v>2020</v>
      </c>
    </row>
    <row r="26" spans="1:78" x14ac:dyDescent="0.25">
      <c r="A26" s="433">
        <v>26</v>
      </c>
      <c r="B26" s="293">
        <f ca="1">BV!D26</f>
        <v>4.2553191489361701</v>
      </c>
      <c r="C26" s="551">
        <f ca="1">BV!L26</f>
        <v>4.2483660130718954</v>
      </c>
      <c r="D26" s="551">
        <f ca="1">BV!T26</f>
        <v>4.037267080745341</v>
      </c>
      <c r="E26" s="555">
        <f ca="1">BV!AB26</f>
        <v>3.8805970149253732</v>
      </c>
      <c r="F26" s="555">
        <f ca="1">BV!AJ26</f>
        <v>3.7572254335260116</v>
      </c>
      <c r="G26" s="553">
        <f ca="1">BV!AR26</f>
        <v>3.7463976945244957</v>
      </c>
      <c r="H26" s="553">
        <f ca="1">BV!AZ26</f>
        <v>3.6775106082036775</v>
      </c>
      <c r="I26" s="553">
        <f ca="1">BV!BH26</f>
        <v>3.6111111111111112</v>
      </c>
      <c r="J26" s="553">
        <f ca="1">BV!BP26</f>
        <v>3.5616438356164384</v>
      </c>
      <c r="K26" s="556">
        <f ca="1">BV!BX26</f>
        <v>3.4666666666666668</v>
      </c>
      <c r="L26" s="15" t="s">
        <v>102</v>
      </c>
      <c r="M26" s="261">
        <v>1.8608294076440685E-2</v>
      </c>
      <c r="N26" s="282">
        <f t="shared" ca="1" si="8"/>
        <v>7.3307214825804765</v>
      </c>
      <c r="O26" s="15" t="str">
        <f>IF(Arb!$AJ$28=1,"Int","中级")</f>
        <v>中级</v>
      </c>
      <c r="P26" s="700">
        <f t="shared" ref="P26:T26" ca="1" si="35">SUM(P6:P13)</f>
        <v>171.72576374491956</v>
      </c>
      <c r="Q26" s="702">
        <f t="shared" ca="1" si="35"/>
        <v>145.70211255880332</v>
      </c>
      <c r="R26" s="704">
        <f t="shared" ca="1" si="35"/>
        <v>120.63081139695052</v>
      </c>
      <c r="S26" s="704">
        <f t="shared" ca="1" si="35"/>
        <v>110.96555427027616</v>
      </c>
      <c r="T26" s="704">
        <f t="shared" ca="1" si="35"/>
        <v>95.092351268847978</v>
      </c>
      <c r="U26" s="705">
        <f t="shared" ref="U26:Y26" ca="1" si="36">SUM(U6:U13)</f>
        <v>88.271196471037712</v>
      </c>
      <c r="V26" s="705">
        <f t="shared" ca="1" si="36"/>
        <v>81.701435049037713</v>
      </c>
      <c r="W26" s="706">
        <f t="shared" ca="1" si="36"/>
        <v>74.582445763843154</v>
      </c>
      <c r="X26" s="705">
        <f t="shared" ca="1" si="36"/>
        <v>66.801567852202595</v>
      </c>
      <c r="Y26" s="707">
        <f t="shared" ca="1" si="36"/>
        <v>61.211511582515293</v>
      </c>
      <c r="Z26" s="265">
        <f t="shared" ca="1" si="10"/>
        <v>1016.6847499584341</v>
      </c>
      <c r="AA26" s="298">
        <v>170</v>
      </c>
      <c r="AB26" s="298">
        <v>171</v>
      </c>
      <c r="AC26" s="299">
        <v>172</v>
      </c>
      <c r="AD26" s="298">
        <v>173</v>
      </c>
      <c r="AE26" s="298">
        <v>174</v>
      </c>
      <c r="AF26" s="298">
        <v>175</v>
      </c>
      <c r="AG26" s="298">
        <v>176</v>
      </c>
      <c r="AH26" s="299">
        <v>177</v>
      </c>
      <c r="AI26" s="298">
        <v>178</v>
      </c>
      <c r="AJ26" s="299">
        <v>179</v>
      </c>
      <c r="AK26" s="280">
        <f>SUMPRODUCT(A55:A167,M55:M167)</f>
        <v>64.916955640568986</v>
      </c>
      <c r="AL26" s="300">
        <v>2</v>
      </c>
      <c r="AM26" s="257"/>
      <c r="AN26" s="433">
        <v>26</v>
      </c>
      <c r="AO26" s="297">
        <f ca="1">BV!C26</f>
        <v>6.11</v>
      </c>
      <c r="AP26" s="297">
        <f ca="1">BV!K26</f>
        <v>6.12</v>
      </c>
      <c r="AQ26" s="297">
        <f ca="1">BV!S26</f>
        <v>6.44</v>
      </c>
      <c r="AR26" s="298">
        <f ca="1">BV!AA26</f>
        <v>6.7</v>
      </c>
      <c r="AS26" s="298">
        <f ca="1">BV!AI26</f>
        <v>6.92</v>
      </c>
      <c r="AT26" s="298">
        <f ca="1">BV!AQ26</f>
        <v>6.94</v>
      </c>
      <c r="AU26" s="299">
        <f ca="1">BV!AY26</f>
        <v>7.07</v>
      </c>
      <c r="AV26" s="299">
        <f ca="1">BV!BG26</f>
        <v>7.2</v>
      </c>
      <c r="AW26" s="299">
        <f ca="1">BV!BO26</f>
        <v>7.3</v>
      </c>
      <c r="AX26" s="300">
        <f ca="1">BV!BW26</f>
        <v>7.5</v>
      </c>
      <c r="AY26" s="15" t="s">
        <v>65</v>
      </c>
      <c r="AZ26" s="258">
        <f t="shared" si="7"/>
        <v>1.7302934391823581</v>
      </c>
      <c r="BA26" s="261">
        <v>1.8608294076440685E-2</v>
      </c>
      <c r="BB26" s="268">
        <v>0.28871927092274591</v>
      </c>
      <c r="BC26" s="268">
        <f t="shared" si="11"/>
        <v>6.4451167450543342E-2</v>
      </c>
      <c r="BD26" s="269">
        <f ca="1">IF(BV!H26="","",INT(NOW()-BV!H26))</f>
        <v>371</v>
      </c>
      <c r="BE26" s="260">
        <f t="shared" si="12"/>
        <v>7.3307214825804765</v>
      </c>
      <c r="BF26" s="299">
        <f ca="1">BV!G26</f>
        <v>56.696369416857031</v>
      </c>
      <c r="BG26" s="299">
        <f ca="1">BV!O26</f>
        <v>56.538969584296865</v>
      </c>
      <c r="BH26" s="300">
        <f ca="1">BV!W26</f>
        <v>51.846486699447901</v>
      </c>
      <c r="BI26" s="301">
        <f ca="1">BV!AE26</f>
        <v>48.47280392105786</v>
      </c>
      <c r="BJ26" s="301">
        <f ca="1">BV!AM26</f>
        <v>45.882275292202188</v>
      </c>
      <c r="BK26" s="301">
        <f ca="1">BV!AU26</f>
        <v>45.657718603198298</v>
      </c>
      <c r="BL26" s="301">
        <f ca="1">BV!BC26</f>
        <v>44.239713263277196</v>
      </c>
      <c r="BM26" s="301">
        <f ca="1">BV!BK26</f>
        <v>42.890396686324571</v>
      </c>
      <c r="BN26" s="301">
        <f ca="1">BV!BS26</f>
        <v>41.896374669528228</v>
      </c>
      <c r="BO26" s="301">
        <f ca="1">BV!CA26</f>
        <v>40.014846859125576</v>
      </c>
      <c r="BP26" s="433">
        <v>26</v>
      </c>
      <c r="BQ26" s="11">
        <f ca="1">IFERROR(YEAR(OFFSET(BV!$H26,,(COLUMN()-69)*8)),"")</f>
        <v>2019</v>
      </c>
      <c r="BR26" s="11">
        <f ca="1">IFERROR(YEAR(OFFSET(BV!$H26,,(COLUMN()-69)*8)),"")</f>
        <v>2019</v>
      </c>
      <c r="BS26" s="11">
        <f ca="1">IFERROR(YEAR(OFFSET(BV!$H26,,(COLUMN()-69)*8)),"")</f>
        <v>2019</v>
      </c>
      <c r="BT26" s="11">
        <f ca="1">IFERROR(YEAR(OFFSET(BV!$H26,,(COLUMN()-69)*8)),"")</f>
        <v>2019</v>
      </c>
      <c r="BU26" s="11">
        <f ca="1">IFERROR(YEAR(OFFSET(BV!$H26,,(COLUMN()-69)*8)),"")</f>
        <v>2019</v>
      </c>
      <c r="BV26" s="11">
        <f ca="1">IFERROR(YEAR(OFFSET(BV!$H26,,(COLUMN()-69)*8)),"")</f>
        <v>2020</v>
      </c>
      <c r="BW26" s="11">
        <f ca="1">IFERROR(YEAR(OFFSET(BV!$H26,,(COLUMN()-69)*8)),"")</f>
        <v>2019</v>
      </c>
      <c r="BX26" s="11">
        <f ca="1">IFERROR(YEAR(OFFSET(BV!$H26,,(COLUMN()-69)*8)),"")</f>
        <v>2020</v>
      </c>
      <c r="BY26" s="11">
        <f ca="1">IFERROR(YEAR(OFFSET(BV!$H26,,(COLUMN()-69)*8)),"")</f>
        <v>2020</v>
      </c>
      <c r="BZ26" s="11">
        <f ca="1">IFERROR(YEAR(OFFSET(BV!$H26,,(COLUMN()-69)*8)),"")</f>
        <v>2020</v>
      </c>
    </row>
    <row r="27" spans="1:78" x14ac:dyDescent="0.25">
      <c r="A27" s="433">
        <v>27</v>
      </c>
      <c r="B27" s="293">
        <f ca="1">BV!D27</f>
        <v>4.4701986754966887</v>
      </c>
      <c r="C27" s="551">
        <f ca="1">BV!L27</f>
        <v>4.1990668740279942</v>
      </c>
      <c r="D27" s="555">
        <f ca="1">BV!T27</f>
        <v>3.8904899135446684</v>
      </c>
      <c r="E27" s="555">
        <f ca="1">BV!AB27</f>
        <v>3.8406827880512089</v>
      </c>
      <c r="F27" s="555">
        <f ca="1">BV!AJ27</f>
        <v>3.7868162692847127</v>
      </c>
      <c r="G27" s="553">
        <f ca="1">BV!AR27</f>
        <v>3.7447988904299585</v>
      </c>
      <c r="H27" s="553">
        <f ca="1">BV!AZ27</f>
        <v>3.6635006784260513</v>
      </c>
      <c r="I27" s="553">
        <f ca="1">BV!BH27</f>
        <v>3.5904255319148937</v>
      </c>
      <c r="J27" s="553">
        <f ca="1">BV!BP27</f>
        <v>3.5526315789473686</v>
      </c>
      <c r="K27" s="553">
        <f ca="1">BV!BX27</f>
        <v>3.524804177545692</v>
      </c>
      <c r="L27" s="15" t="s">
        <v>102</v>
      </c>
      <c r="M27" s="261">
        <v>1.4631453294842837E-2</v>
      </c>
      <c r="N27" s="282">
        <f t="shared" ca="1" si="8"/>
        <v>8.2671585614078236</v>
      </c>
      <c r="O27" s="15" t="str">
        <f>IF(Arb!$AJ$28=1,"Exp","高级")</f>
        <v>高级</v>
      </c>
      <c r="P27" s="701">
        <f t="shared" ref="P27:T27" ca="1" si="37">SUM(P14:P24)</f>
        <v>250.3096945750666</v>
      </c>
      <c r="Q27" s="708">
        <f t="shared" ca="1" si="37"/>
        <v>207.1241565979698</v>
      </c>
      <c r="R27" s="704">
        <f t="shared" ca="1" si="37"/>
        <v>186.5125558786097</v>
      </c>
      <c r="S27" s="704">
        <f t="shared" ca="1" si="37"/>
        <v>167.77365315115915</v>
      </c>
      <c r="T27" s="704">
        <f t="shared" ca="1" si="37"/>
        <v>158.14730702066112</v>
      </c>
      <c r="U27" s="704">
        <f t="shared" ref="U27:Y27" ca="1" si="38">SUM(U14:U24)</f>
        <v>146.38900285066015</v>
      </c>
      <c r="V27" s="705">
        <f t="shared" ca="1" si="38"/>
        <v>135.69483033867436</v>
      </c>
      <c r="W27" s="706">
        <f t="shared" ca="1" si="38"/>
        <v>125.98907227254574</v>
      </c>
      <c r="X27" s="705">
        <f t="shared" ca="1" si="38"/>
        <v>110.71218073659759</v>
      </c>
      <c r="Y27" s="705">
        <f t="shared" ca="1" si="38"/>
        <v>104.50114246905181</v>
      </c>
      <c r="Z27" s="265">
        <f t="shared" ca="1" si="10"/>
        <v>1593.1535958909956</v>
      </c>
      <c r="AA27" s="297">
        <v>180</v>
      </c>
      <c r="AB27" s="298">
        <v>181</v>
      </c>
      <c r="AC27" s="299">
        <v>182</v>
      </c>
      <c r="AD27" s="298">
        <v>183</v>
      </c>
      <c r="AE27" s="298">
        <v>184</v>
      </c>
      <c r="AF27" s="298">
        <v>185</v>
      </c>
      <c r="AG27" s="298">
        <v>186</v>
      </c>
      <c r="AH27" s="298">
        <v>187</v>
      </c>
      <c r="AI27" s="298">
        <v>188</v>
      </c>
      <c r="AJ27" s="298">
        <v>189</v>
      </c>
      <c r="AK27" s="18">
        <f>SUMPRODUCT(A242:A430,M242:M430)</f>
        <v>173.57305017769511</v>
      </c>
      <c r="AL27" s="301">
        <v>1.5</v>
      </c>
      <c r="AM27" s="257"/>
      <c r="AN27" s="433">
        <v>27</v>
      </c>
      <c r="AO27" s="297">
        <f ca="1">BV!C27</f>
        <v>6.04</v>
      </c>
      <c r="AP27" s="297">
        <f ca="1">BV!K27</f>
        <v>6.43</v>
      </c>
      <c r="AQ27" s="298">
        <f ca="1">BV!S27</f>
        <v>6.94</v>
      </c>
      <c r="AR27" s="299">
        <f ca="1">BV!AA27</f>
        <v>7.03</v>
      </c>
      <c r="AS27" s="299">
        <f ca="1">BV!AI27</f>
        <v>7.13</v>
      </c>
      <c r="AT27" s="299">
        <f ca="1">BV!AQ27</f>
        <v>7.21</v>
      </c>
      <c r="AU27" s="299">
        <f ca="1">BV!AY27</f>
        <v>7.37</v>
      </c>
      <c r="AV27" s="300">
        <f ca="1">BV!BG27</f>
        <v>7.52</v>
      </c>
      <c r="AW27" s="300">
        <f ca="1">BV!BO27</f>
        <v>7.6</v>
      </c>
      <c r="AX27" s="300">
        <f ca="1">BV!BW27</f>
        <v>7.66</v>
      </c>
      <c r="AY27" s="15" t="s">
        <v>65</v>
      </c>
      <c r="AZ27" s="258">
        <f t="shared" si="7"/>
        <v>1.8347125346686504</v>
      </c>
      <c r="BA27" s="261">
        <v>1.4631453294842837E-2</v>
      </c>
      <c r="BB27" s="268">
        <v>0.28871927092274591</v>
      </c>
      <c r="BC27" s="268">
        <f t="shared" si="11"/>
        <v>5.0677092831665708E-2</v>
      </c>
      <c r="BD27" s="269">
        <f ca="1">IF(BV!H27="","",INT(NOW()-BV!H27))</f>
        <v>274</v>
      </c>
      <c r="BE27" s="260">
        <f t="shared" si="12"/>
        <v>8.2671585614078236</v>
      </c>
      <c r="BF27" s="299">
        <f ca="1">BV!G27</f>
        <v>60.041692704862264</v>
      </c>
      <c r="BG27" s="300">
        <f ca="1">BV!O27</f>
        <v>53.983006608632145</v>
      </c>
      <c r="BH27" s="301">
        <f ca="1">BV!W27</f>
        <v>47.413784703321312</v>
      </c>
      <c r="BI27" s="301">
        <f ca="1">BV!AE27</f>
        <v>46.386507009400475</v>
      </c>
      <c r="BJ27" s="301">
        <f ca="1">BV!AM27</f>
        <v>45.285954132315617</v>
      </c>
      <c r="BK27" s="301">
        <f ca="1">BV!AU27</f>
        <v>44.435060219889507</v>
      </c>
      <c r="BL27" s="301">
        <f ca="1">BV!BC27</f>
        <v>42.807611222872396</v>
      </c>
      <c r="BM27" s="301">
        <f ca="1">BV!BK27</f>
        <v>41.36617777976727</v>
      </c>
      <c r="BN27" s="301">
        <f ca="1">BV!BS27</f>
        <v>40.628670983279974</v>
      </c>
      <c r="BO27" s="301">
        <f ca="1">BV!CA27</f>
        <v>40.089146917770783</v>
      </c>
      <c r="BP27" s="433">
        <v>27</v>
      </c>
      <c r="BQ27" s="11">
        <f ca="1">IFERROR(YEAR(OFFSET(BV!$H27,,(COLUMN()-69)*8)),"")</f>
        <v>2020</v>
      </c>
      <c r="BR27" s="11">
        <f ca="1">IFERROR(YEAR(OFFSET(BV!$H27,,(COLUMN()-69)*8)),"")</f>
        <v>2020</v>
      </c>
      <c r="BS27" s="11">
        <f ca="1">IFERROR(YEAR(OFFSET(BV!$H27,,(COLUMN()-69)*8)),"")</f>
        <v>2019</v>
      </c>
      <c r="BT27" s="11">
        <f ca="1">IFERROR(YEAR(OFFSET(BV!$H27,,(COLUMN()-69)*8)),"")</f>
        <v>2020</v>
      </c>
      <c r="BU27" s="11">
        <f ca="1">IFERROR(YEAR(OFFSET(BV!$H27,,(COLUMN()-69)*8)),"")</f>
        <v>2020</v>
      </c>
      <c r="BV27" s="11">
        <f ca="1">IFERROR(YEAR(OFFSET(BV!$H27,,(COLUMN()-69)*8)),"")</f>
        <v>2020</v>
      </c>
      <c r="BW27" s="11">
        <f ca="1">IFERROR(YEAR(OFFSET(BV!$H27,,(COLUMN()-69)*8)),"")</f>
        <v>2019</v>
      </c>
      <c r="BX27" s="11">
        <f ca="1">IFERROR(YEAR(OFFSET(BV!$H27,,(COLUMN()-69)*8)),"")</f>
        <v>2019</v>
      </c>
      <c r="BY27" s="11">
        <f ca="1">IFERROR(YEAR(OFFSET(BV!$H27,,(COLUMN()-69)*8)),"")</f>
        <v>2019</v>
      </c>
      <c r="BZ27" s="11">
        <f ca="1">IFERROR(YEAR(OFFSET(BV!$H27,,(COLUMN()-69)*8)),"")</f>
        <v>2019</v>
      </c>
    </row>
    <row r="28" spans="1:78" x14ac:dyDescent="0.25">
      <c r="A28" s="433">
        <v>28</v>
      </c>
      <c r="B28" s="293">
        <f ca="1">BV!D28</f>
        <v>4.2553191489361701</v>
      </c>
      <c r="C28" s="555">
        <f ca="1">BV!L28</f>
        <v>3.8147138964577656</v>
      </c>
      <c r="D28" s="555">
        <f ca="1">BV!T28</f>
        <v>3.7634408602150535</v>
      </c>
      <c r="E28" s="553">
        <f ca="1">BV!AB28</f>
        <v>3.7333333333333334</v>
      </c>
      <c r="F28" s="553">
        <f ca="1">BV!AJ28</f>
        <v>3.5175879396984926</v>
      </c>
      <c r="G28" s="556">
        <f ca="1">BV!AR28</f>
        <v>3.4567901234567904</v>
      </c>
      <c r="H28" s="556">
        <f ca="1">BV!AZ28</f>
        <v>3.2979976442873968</v>
      </c>
      <c r="I28" s="556">
        <f ca="1">BV!BH28</f>
        <v>3.2941176470588234</v>
      </c>
      <c r="J28" s="556">
        <f ca="1">BV!BP28</f>
        <v>3.286384976525822</v>
      </c>
      <c r="K28" s="552">
        <f ca="1">BV!BX28</f>
        <v>3.1111111111111112</v>
      </c>
      <c r="L28" s="15" t="s">
        <v>102</v>
      </c>
      <c r="M28" s="261">
        <v>1.1243864838208334E-2</v>
      </c>
      <c r="N28" s="282">
        <f t="shared" ca="1" si="8"/>
        <v>9.4306622615627678</v>
      </c>
      <c r="O28" s="15" t="s">
        <v>420</v>
      </c>
      <c r="P28" s="297">
        <f t="shared" ref="P28:T28" ca="1" si="39">SUM(P25:P27)</f>
        <v>545.19064945836703</v>
      </c>
      <c r="Q28" s="299">
        <f t="shared" ca="1" si="39"/>
        <v>460.96200227771413</v>
      </c>
      <c r="R28" s="300">
        <f t="shared" ca="1" si="39"/>
        <v>400.46054200171477</v>
      </c>
      <c r="S28" s="301">
        <f t="shared" ca="1" si="39"/>
        <v>365.72987931344392</v>
      </c>
      <c r="T28" s="301">
        <f t="shared" ca="1" si="39"/>
        <v>333.75600139452257</v>
      </c>
      <c r="U28" s="301">
        <f t="shared" ref="U28:Y28" ca="1" si="40">SUM(U25:U27)</f>
        <v>312.81142411221174</v>
      </c>
      <c r="V28" s="301">
        <f t="shared" ca="1" si="40"/>
        <v>294.01073320214562</v>
      </c>
      <c r="W28" s="709">
        <f t="shared" ca="1" si="40"/>
        <v>273.58690383288774</v>
      </c>
      <c r="X28" s="302">
        <f t="shared" ca="1" si="40"/>
        <v>249.48576645523286</v>
      </c>
      <c r="Y28" s="302">
        <f t="shared" ca="1" si="40"/>
        <v>236.64600006018679</v>
      </c>
      <c r="Z28" s="265">
        <f t="shared" ca="1" si="10"/>
        <v>3472.6399021084271</v>
      </c>
      <c r="AA28" s="298">
        <v>190</v>
      </c>
      <c r="AB28" s="297">
        <v>191</v>
      </c>
      <c r="AC28" s="299">
        <v>192</v>
      </c>
      <c r="AD28" s="298">
        <v>193</v>
      </c>
      <c r="AE28" s="297">
        <v>194</v>
      </c>
      <c r="AF28" s="298">
        <v>195</v>
      </c>
      <c r="AG28" s="298">
        <v>196</v>
      </c>
      <c r="AH28" s="297">
        <v>197</v>
      </c>
      <c r="AI28" s="298">
        <v>198</v>
      </c>
      <c r="AJ28" s="298">
        <v>199</v>
      </c>
      <c r="AL28" s="302">
        <v>1</v>
      </c>
      <c r="AM28" s="257"/>
      <c r="AN28" s="433">
        <v>28</v>
      </c>
      <c r="AO28" s="298">
        <f ca="1">BV!C28</f>
        <v>6.58</v>
      </c>
      <c r="AP28" s="299">
        <f ca="1">BV!K28</f>
        <v>7.34</v>
      </c>
      <c r="AQ28" s="299">
        <f ca="1">BV!S28</f>
        <v>7.44</v>
      </c>
      <c r="AR28" s="300">
        <f ca="1">BV!AA28</f>
        <v>7.5</v>
      </c>
      <c r="AS28" s="300">
        <f ca="1">BV!AI28</f>
        <v>7.96</v>
      </c>
      <c r="AT28" s="301">
        <f ca="1">BV!AQ28</f>
        <v>8.1</v>
      </c>
      <c r="AU28" s="301">
        <f ca="1">BV!AY28</f>
        <v>8.49</v>
      </c>
      <c r="AV28" s="301">
        <f ca="1">BV!BG28</f>
        <v>8.5</v>
      </c>
      <c r="AW28" s="301">
        <f ca="1">BV!BO28</f>
        <v>8.52</v>
      </c>
      <c r="AX28" s="302">
        <f ca="1">BV!BW28</f>
        <v>9</v>
      </c>
      <c r="AY28" s="15" t="s">
        <v>65</v>
      </c>
      <c r="AZ28" s="258">
        <f t="shared" si="7"/>
        <v>1.9490843836598564</v>
      </c>
      <c r="BA28" s="261">
        <v>1.1243864838208334E-2</v>
      </c>
      <c r="BB28" s="268">
        <v>0.28871927092274591</v>
      </c>
      <c r="BC28" s="268">
        <f t="shared" si="11"/>
        <v>3.8943936101919957E-2</v>
      </c>
      <c r="BD28" s="269">
        <f ca="1">IF(BV!H28="","",INT(NOW()-BV!H28))</f>
        <v>240</v>
      </c>
      <c r="BE28" s="260">
        <f t="shared" si="12"/>
        <v>9.4306622615627678</v>
      </c>
      <c r="BF28" s="300">
        <f ca="1">BV!G28</f>
        <v>53.83019724179298</v>
      </c>
      <c r="BG28" s="301">
        <f ca="1">BV!O28</f>
        <v>44.70197264183588</v>
      </c>
      <c r="BH28" s="301">
        <f ca="1">BV!W28</f>
        <v>43.685368135657555</v>
      </c>
      <c r="BI28" s="301">
        <f ca="1">BV!AE28</f>
        <v>43.092912002135236</v>
      </c>
      <c r="BJ28" s="301">
        <f ca="1">BV!AM28</f>
        <v>38.945544052713039</v>
      </c>
      <c r="BK28" s="301">
        <f ca="1">BV!AU28</f>
        <v>37.808152688019703</v>
      </c>
      <c r="BL28" s="302">
        <f ca="1">BV!BC28</f>
        <v>34.903334297354988</v>
      </c>
      <c r="BM28" s="302">
        <f ca="1">BV!BK28</f>
        <v>34.833556376065573</v>
      </c>
      <c r="BN28" s="302">
        <f ca="1">BV!BS28</f>
        <v>34.694663460790061</v>
      </c>
      <c r="BO28" s="302">
        <f ca="1">BV!CA28</f>
        <v>31.608051496424292</v>
      </c>
      <c r="BP28" s="433">
        <v>28</v>
      </c>
      <c r="BQ28" s="11">
        <f ca="1">IFERROR(YEAR(OFFSET(BV!$H28,,(COLUMN()-69)*8)),"")</f>
        <v>2020</v>
      </c>
      <c r="BR28" s="11">
        <f ca="1">IFERROR(YEAR(OFFSET(BV!$H28,,(COLUMN()-69)*8)),"")</f>
        <v>2020</v>
      </c>
      <c r="BS28" s="11">
        <f ca="1">IFERROR(YEAR(OFFSET(BV!$H28,,(COLUMN()-69)*8)),"")</f>
        <v>2020</v>
      </c>
      <c r="BT28" s="11">
        <f ca="1">IFERROR(YEAR(OFFSET(BV!$H28,,(COLUMN()-69)*8)),"")</f>
        <v>2020</v>
      </c>
      <c r="BU28" s="11">
        <f ca="1">IFERROR(YEAR(OFFSET(BV!$H28,,(COLUMN()-69)*8)),"")</f>
        <v>2019</v>
      </c>
      <c r="BV28" s="11">
        <f ca="1">IFERROR(YEAR(OFFSET(BV!$H28,,(COLUMN()-69)*8)),"")</f>
        <v>2019</v>
      </c>
      <c r="BW28" s="11">
        <f ca="1">IFERROR(YEAR(OFFSET(BV!$H28,,(COLUMN()-69)*8)),"")</f>
        <v>2019</v>
      </c>
      <c r="BX28" s="11">
        <f ca="1">IFERROR(YEAR(OFFSET(BV!$H28,,(COLUMN()-69)*8)),"")</f>
        <v>2020</v>
      </c>
      <c r="BY28" s="11">
        <f ca="1">IFERROR(YEAR(OFFSET(BV!$H28,,(COLUMN()-69)*8)),"")</f>
        <v>2019</v>
      </c>
      <c r="BZ28" s="11">
        <f ca="1">IFERROR(YEAR(OFFSET(BV!$H28,,(COLUMN()-69)*8)),"")</f>
        <v>2020</v>
      </c>
    </row>
    <row r="29" spans="1:78" x14ac:dyDescent="0.25">
      <c r="A29" s="433">
        <v>29</v>
      </c>
      <c r="B29" s="291">
        <f ca="1">BV!D29</f>
        <v>4.8013245033112586</v>
      </c>
      <c r="C29" s="555">
        <f ca="1">BV!L29</f>
        <v>3.8563829787234045</v>
      </c>
      <c r="D29" s="555">
        <f ca="1">BV!T29</f>
        <v>3.7662337662337659</v>
      </c>
      <c r="E29" s="555">
        <f ca="1">BV!AB29</f>
        <v>3.7662337662337659</v>
      </c>
      <c r="F29" s="553">
        <f ca="1">BV!AJ29</f>
        <v>3.7037037037037037</v>
      </c>
      <c r="G29" s="553">
        <f ca="1">BV!AR29</f>
        <v>3.6616161616161618</v>
      </c>
      <c r="H29" s="556">
        <f ca="1">BV!AZ29</f>
        <v>3.4688995215311009</v>
      </c>
      <c r="I29" s="556">
        <f ca="1">BV!BH29</f>
        <v>3.4688995215311009</v>
      </c>
      <c r="J29" s="552">
        <f ca="1">BV!BP29</f>
        <v>3.1216361679224978</v>
      </c>
      <c r="K29" s="552">
        <f ca="1">BV!BX29</f>
        <v>3.03347280334728</v>
      </c>
      <c r="L29" s="62" t="s">
        <v>64</v>
      </c>
      <c r="M29" s="261">
        <v>8.6406780207965127E-3</v>
      </c>
      <c r="N29" s="277">
        <f t="shared" ca="1" si="8"/>
        <v>10.757864971346836</v>
      </c>
      <c r="O29" s="4" t="str">
        <f t="shared" ref="O29:Y29" si="41">O1</f>
        <v>分段</v>
      </c>
      <c r="P29" s="303" t="str">
        <f t="shared" si="41"/>
        <v>1st</v>
      </c>
      <c r="Q29" s="303" t="str">
        <f t="shared" si="41"/>
        <v>2nd</v>
      </c>
      <c r="R29" s="303" t="str">
        <f t="shared" si="41"/>
        <v>3rd</v>
      </c>
      <c r="S29" s="303" t="str">
        <f t="shared" si="41"/>
        <v>4th</v>
      </c>
      <c r="T29" s="303" t="str">
        <f t="shared" si="41"/>
        <v>5th</v>
      </c>
      <c r="U29" s="303" t="str">
        <f t="shared" si="41"/>
        <v>6th</v>
      </c>
      <c r="V29" s="303" t="str">
        <f t="shared" si="41"/>
        <v>7th</v>
      </c>
      <c r="W29" s="304" t="str">
        <f t="shared" si="41"/>
        <v>8th</v>
      </c>
      <c r="X29" s="303" t="str">
        <f t="shared" si="41"/>
        <v>9th</v>
      </c>
      <c r="Y29" s="303" t="str">
        <f t="shared" si="41"/>
        <v>10th</v>
      </c>
      <c r="Z29" s="15" t="str">
        <f>IF(Arb!$AJ$28=1,"Sum","求和")</f>
        <v>求和</v>
      </c>
      <c r="AA29" s="299">
        <v>200</v>
      </c>
      <c r="AB29" s="297">
        <v>201</v>
      </c>
      <c r="AC29" s="297">
        <v>202</v>
      </c>
      <c r="AD29" s="298">
        <v>203</v>
      </c>
      <c r="AE29" s="298">
        <v>204</v>
      </c>
      <c r="AF29" s="298">
        <v>205</v>
      </c>
      <c r="AG29" s="298">
        <v>206</v>
      </c>
      <c r="AH29" s="298">
        <v>207</v>
      </c>
      <c r="AI29" s="297">
        <v>208</v>
      </c>
      <c r="AJ29" s="298">
        <v>209</v>
      </c>
      <c r="AL29" s="305">
        <v>0.5</v>
      </c>
      <c r="AM29" s="257"/>
      <c r="AN29" s="433">
        <v>29</v>
      </c>
      <c r="AO29" s="297">
        <f ca="1">BV!C29</f>
        <v>6.04</v>
      </c>
      <c r="AP29" s="300">
        <f ca="1">BV!K29</f>
        <v>7.52</v>
      </c>
      <c r="AQ29" s="300">
        <f ca="1">BV!S29</f>
        <v>7.7</v>
      </c>
      <c r="AR29" s="300">
        <f ca="1">BV!AA29</f>
        <v>7.7</v>
      </c>
      <c r="AS29" s="300">
        <f ca="1">BV!AI29</f>
        <v>7.83</v>
      </c>
      <c r="AT29" s="300">
        <f ca="1">BV!AQ29</f>
        <v>7.92</v>
      </c>
      <c r="AU29" s="301">
        <f ca="1">BV!AY29</f>
        <v>8.36</v>
      </c>
      <c r="AV29" s="301">
        <f ca="1">BV!BG29</f>
        <v>8.36</v>
      </c>
      <c r="AW29" s="302">
        <f ca="1">BV!BO29</f>
        <v>9.2899999999999991</v>
      </c>
      <c r="AX29" s="302">
        <f ca="1">BV!BW29</f>
        <v>9.56</v>
      </c>
      <c r="AY29" s="62" t="s">
        <v>3</v>
      </c>
      <c r="AZ29" s="37">
        <f t="shared" si="7"/>
        <v>2.0634521777598454</v>
      </c>
      <c r="BA29" s="261">
        <v>8.6406780207965127E-3</v>
      </c>
      <c r="BB29" s="268">
        <v>0.28871927092274591</v>
      </c>
      <c r="BC29" s="268">
        <f t="shared" si="11"/>
        <v>2.9927610973735603E-2</v>
      </c>
      <c r="BD29" s="269">
        <f ca="1">IF(BV!H29="","",INT(NOW()-BV!H29))</f>
        <v>87</v>
      </c>
      <c r="BE29" s="279">
        <f t="shared" si="12"/>
        <v>10.757864971346837</v>
      </c>
      <c r="BF29" s="298">
        <f ca="1">BV!G29</f>
        <v>64.489225497815028</v>
      </c>
      <c r="BG29" s="301">
        <f ca="1">BV!O29</f>
        <v>44.430339096787066</v>
      </c>
      <c r="BH29" s="301">
        <f ca="1">BV!W29</f>
        <v>42.679146328166304</v>
      </c>
      <c r="BI29" s="301">
        <f ca="1">BV!AE29</f>
        <v>42.679146328166304</v>
      </c>
      <c r="BJ29" s="301">
        <f ca="1">BV!AM29</f>
        <v>41.481548611946621</v>
      </c>
      <c r="BK29" s="301">
        <f ca="1">BV!AU29</f>
        <v>40.683391328938946</v>
      </c>
      <c r="BL29" s="302">
        <f ca="1">BV!BC29</f>
        <v>37.110711868477942</v>
      </c>
      <c r="BM29" s="302">
        <f ca="1">BV!BK29</f>
        <v>37.110711868477942</v>
      </c>
      <c r="BN29" s="302">
        <f ca="1">BV!BS29</f>
        <v>31.018675041868001</v>
      </c>
      <c r="BO29" s="302">
        <f ca="1">BV!CA29</f>
        <v>29.544152744468324</v>
      </c>
      <c r="BP29" s="433">
        <v>29</v>
      </c>
      <c r="BQ29" s="11">
        <f ca="1">IFERROR(YEAR(OFFSET(BV!$H29,,(COLUMN()-69)*8)),"")</f>
        <v>2020</v>
      </c>
      <c r="BR29" s="11">
        <f ca="1">IFERROR(YEAR(OFFSET(BV!$H29,,(COLUMN()-69)*8)),"")</f>
        <v>2019</v>
      </c>
      <c r="BS29" s="11">
        <f ca="1">IFERROR(YEAR(OFFSET(BV!$H29,,(COLUMN()-69)*8)),"")</f>
        <v>2020</v>
      </c>
      <c r="BT29" s="11">
        <f ca="1">IFERROR(YEAR(OFFSET(BV!$H29,,(COLUMN()-69)*8)),"")</f>
        <v>2020</v>
      </c>
      <c r="BU29" s="11">
        <f ca="1">IFERROR(YEAR(OFFSET(BV!$H29,,(COLUMN()-69)*8)),"")</f>
        <v>2019</v>
      </c>
      <c r="BV29" s="11">
        <f ca="1">IFERROR(YEAR(OFFSET(BV!$H29,,(COLUMN()-69)*8)),"")</f>
        <v>2020</v>
      </c>
      <c r="BW29" s="11">
        <f ca="1">IFERROR(YEAR(OFFSET(BV!$H29,,(COLUMN()-69)*8)),"")</f>
        <v>2019</v>
      </c>
      <c r="BX29" s="11">
        <f ca="1">IFERROR(YEAR(OFFSET(BV!$H29,,(COLUMN()-69)*8)),"")</f>
        <v>2019</v>
      </c>
      <c r="BY29" s="11">
        <f ca="1">IFERROR(YEAR(OFFSET(BV!$H29,,(COLUMN()-69)*8)),"")</f>
        <v>2019</v>
      </c>
      <c r="BZ29" s="11">
        <f ca="1">IFERROR(YEAR(OFFSET(BV!$H29,,(COLUMN()-69)*8)),"")</f>
        <v>2020</v>
      </c>
    </row>
    <row r="30" spans="1:78" x14ac:dyDescent="0.25">
      <c r="A30" s="433">
        <v>30</v>
      </c>
      <c r="B30" s="551">
        <f ca="1">BV!D30</f>
        <v>4.1782729805013927</v>
      </c>
      <c r="C30" s="555">
        <f ca="1">BV!L30</f>
        <v>3.8412291933418694</v>
      </c>
      <c r="D30" s="553">
        <f ca="1">BV!T30</f>
        <v>3.6855036855036851</v>
      </c>
      <c r="E30" s="553">
        <f ca="1">BV!AB30</f>
        <v>3.5087719298245612</v>
      </c>
      <c r="F30" s="556">
        <f ca="1">BV!AJ30</f>
        <v>3.3557046979865772</v>
      </c>
      <c r="G30" s="556">
        <f ca="1">BV!AR30</f>
        <v>3.2751091703056767</v>
      </c>
      <c r="H30" s="552">
        <f ca="1">BV!AZ30</f>
        <v>3.215434083601286</v>
      </c>
      <c r="I30" s="552">
        <f ca="1">BV!BH30</f>
        <v>3.1813361611876991</v>
      </c>
      <c r="J30" s="552">
        <f ca="1">BV!BP30</f>
        <v>3.1545741324921135</v>
      </c>
      <c r="K30" s="552">
        <f ca="1">BV!BX30</f>
        <v>3.0333670374115265</v>
      </c>
      <c r="L30" s="62" t="s">
        <v>64</v>
      </c>
      <c r="M30" s="261">
        <v>6.2810182985533602E-3</v>
      </c>
      <c r="N30" s="277">
        <f t="shared" ca="1" si="8"/>
        <v>12.617838681783971</v>
      </c>
      <c r="O30" s="263" t="s">
        <v>11</v>
      </c>
      <c r="P30" s="661">
        <f t="shared" ref="P30:Y30" ca="1" si="42">SUMPRODUCT(B$2:B$9,$M$2:$M$9)/SUM($M2:$M9)</f>
        <v>3.3853675527535732</v>
      </c>
      <c r="Q30" s="661">
        <f t="shared" ca="1" si="42"/>
        <v>3.2937237834412025</v>
      </c>
      <c r="R30" s="662">
        <f t="shared" ca="1" si="42"/>
        <v>2.9096564335103681</v>
      </c>
      <c r="S30" s="663">
        <f t="shared" ca="1" si="42"/>
        <v>2.7426910184111351</v>
      </c>
      <c r="T30" s="663">
        <f t="shared" ca="1" si="42"/>
        <v>2.6778185661514682</v>
      </c>
      <c r="U30" s="663">
        <f t="shared" ca="1" si="42"/>
        <v>2.6548988102805557</v>
      </c>
      <c r="V30" s="663">
        <f t="shared" ca="1" si="42"/>
        <v>2.5209798560256771</v>
      </c>
      <c r="W30" s="664">
        <f t="shared" ca="1" si="42"/>
        <v>2.4538221906533955</v>
      </c>
      <c r="X30" s="665">
        <f t="shared" ca="1" si="42"/>
        <v>2.3084032256012348</v>
      </c>
      <c r="Y30" s="666">
        <f t="shared" ca="1" si="42"/>
        <v>2.2310418568230452</v>
      </c>
      <c r="Z30" s="2">
        <f t="shared" ref="Z30:Z51" ca="1" si="43">SUM(P30:Y30)</f>
        <v>27.178403293651652</v>
      </c>
      <c r="AA30" s="298">
        <v>210</v>
      </c>
      <c r="AB30" s="298">
        <v>211</v>
      </c>
      <c r="AC30" s="300">
        <v>212</v>
      </c>
      <c r="AD30" s="298">
        <v>213</v>
      </c>
      <c r="AE30" s="297">
        <v>214</v>
      </c>
      <c r="AF30" s="299">
        <v>215</v>
      </c>
      <c r="AG30" s="298">
        <v>216</v>
      </c>
      <c r="AH30" s="299">
        <v>217</v>
      </c>
      <c r="AI30" s="298">
        <v>218</v>
      </c>
      <c r="AJ30" s="299">
        <v>219</v>
      </c>
      <c r="AL30" s="307">
        <v>1E-3</v>
      </c>
      <c r="AM30" s="257"/>
      <c r="AN30" s="433">
        <v>30</v>
      </c>
      <c r="AO30" s="299">
        <f ca="1">BV!C30</f>
        <v>7.18</v>
      </c>
      <c r="AP30" s="300">
        <f ca="1">BV!K30</f>
        <v>7.81</v>
      </c>
      <c r="AQ30" s="301">
        <f ca="1">BV!S30</f>
        <v>8.14</v>
      </c>
      <c r="AR30" s="301">
        <f ca="1">BV!AA30</f>
        <v>8.5500000000000007</v>
      </c>
      <c r="AS30" s="301">
        <f ca="1">BV!AI30</f>
        <v>8.94</v>
      </c>
      <c r="AT30" s="302">
        <f ca="1">BV!AQ30</f>
        <v>9.16</v>
      </c>
      <c r="AU30" s="302">
        <f ca="1">BV!AY30</f>
        <v>9.33</v>
      </c>
      <c r="AV30" s="302">
        <f ca="1">BV!BG30</f>
        <v>9.43</v>
      </c>
      <c r="AW30" s="302">
        <f ca="1">BV!BO30</f>
        <v>9.51</v>
      </c>
      <c r="AX30" s="302">
        <f ca="1">BV!BW30</f>
        <v>9.89</v>
      </c>
      <c r="AY30" s="62" t="s">
        <v>3</v>
      </c>
      <c r="AZ30" s="37">
        <f t="shared" si="7"/>
        <v>2.2019699413596308</v>
      </c>
      <c r="BA30" s="261">
        <v>6.2810182985533602E-3</v>
      </c>
      <c r="BB30" s="56">
        <v>2.2810017468745503E-2</v>
      </c>
      <c r="BC30" s="56">
        <f t="shared" si="11"/>
        <v>0.27536227480578085</v>
      </c>
      <c r="BD30" s="13">
        <f ca="1">IF(BV!H30="","",INT(NOW()-BV!H30))</f>
        <v>362</v>
      </c>
      <c r="BE30" s="279">
        <f t="shared" si="12"/>
        <v>12.617838681783971</v>
      </c>
      <c r="BF30" s="301">
        <f ca="1">BV!G30</f>
        <v>49.723496306178752</v>
      </c>
      <c r="BG30" s="301">
        <f ca="1">BV!O30</f>
        <v>43.098926807418522</v>
      </c>
      <c r="BH30" s="301">
        <f ca="1">BV!W30</f>
        <v>40.170915118845244</v>
      </c>
      <c r="BI30" s="302">
        <f ca="1">BV!AE30</f>
        <v>36.951393295504886</v>
      </c>
      <c r="BJ30" s="302">
        <f ca="1">BV!AM30</f>
        <v>34.25306444910332</v>
      </c>
      <c r="BK30" s="302">
        <f ca="1">BV!AU30</f>
        <v>32.866307060654954</v>
      </c>
      <c r="BL30" s="302">
        <f ca="1">BV!BC30</f>
        <v>31.854766008629351</v>
      </c>
      <c r="BM30" s="302">
        <f ca="1">BV!BK30</f>
        <v>31.282635617230014</v>
      </c>
      <c r="BN30" s="302">
        <f ca="1">BV!BS30</f>
        <v>30.836589174991023</v>
      </c>
      <c r="BO30" s="302">
        <f ca="1">BV!CA30</f>
        <v>28.849581526703592</v>
      </c>
      <c r="BP30" s="433">
        <v>30</v>
      </c>
      <c r="BQ30" s="11">
        <f ca="1">IFERROR(YEAR(OFFSET(BV!$H30,,(COLUMN()-69)*8)),"")</f>
        <v>2019</v>
      </c>
      <c r="BR30" s="11">
        <f ca="1">IFERROR(YEAR(OFFSET(BV!$H30,,(COLUMN()-69)*8)),"")</f>
        <v>2019</v>
      </c>
      <c r="BS30" s="11">
        <f ca="1">IFERROR(YEAR(OFFSET(BV!$H30,,(COLUMN()-69)*8)),"")</f>
        <v>2019</v>
      </c>
      <c r="BT30" s="11">
        <f ca="1">IFERROR(YEAR(OFFSET(BV!$H30,,(COLUMN()-69)*8)),"")</f>
        <v>2019</v>
      </c>
      <c r="BU30" s="11">
        <f ca="1">IFERROR(YEAR(OFFSET(BV!$H30,,(COLUMN()-69)*8)),"")</f>
        <v>2019</v>
      </c>
      <c r="BV30" s="11">
        <f ca="1">IFERROR(YEAR(OFFSET(BV!$H30,,(COLUMN()-69)*8)),"")</f>
        <v>2020</v>
      </c>
      <c r="BW30" s="11">
        <f ca="1">IFERROR(YEAR(OFFSET(BV!$H30,,(COLUMN()-69)*8)),"")</f>
        <v>2020</v>
      </c>
      <c r="BX30" s="11">
        <f ca="1">IFERROR(YEAR(OFFSET(BV!$H30,,(COLUMN()-69)*8)),"")</f>
        <v>2020</v>
      </c>
      <c r="BY30" s="11">
        <f ca="1">IFERROR(YEAR(OFFSET(BV!$H30,,(COLUMN()-69)*8)),"")</f>
        <v>2019</v>
      </c>
      <c r="BZ30" s="11">
        <f ca="1">IFERROR(YEAR(OFFSET(BV!$H30,,(COLUMN()-69)*8)),"")</f>
        <v>2019</v>
      </c>
    </row>
    <row r="31" spans="1:78" x14ac:dyDescent="0.25">
      <c r="A31" s="433">
        <v>31</v>
      </c>
      <c r="B31" s="553">
        <f ca="1">BV!D31</f>
        <v>3.6046511627906979</v>
      </c>
      <c r="C31" s="553">
        <f ca="1">BV!L31</f>
        <v>3.5509736540664374</v>
      </c>
      <c r="D31" s="553">
        <f ca="1">BV!T31</f>
        <v>3.5067873303167421</v>
      </c>
      <c r="E31" s="556">
        <f ca="1">BV!AB31</f>
        <v>3.4482758620689653</v>
      </c>
      <c r="F31" s="556">
        <f ca="1">BV!AJ31</f>
        <v>3.3842794759825328</v>
      </c>
      <c r="G31" s="556">
        <f ca="1">BV!AR31</f>
        <v>3.2769556025369977</v>
      </c>
      <c r="H31" s="552">
        <f ca="1">BV!AZ31</f>
        <v>3.000968054211036</v>
      </c>
      <c r="I31" s="11" t="str">
        <f ca="1">BV!BH31</f>
        <v/>
      </c>
      <c r="J31" s="11" t="str">
        <f ca="1">BV!BP31</f>
        <v/>
      </c>
      <c r="K31" s="11" t="str">
        <f ca="1">BV!BX31</f>
        <v/>
      </c>
      <c r="L31" s="62" t="s">
        <v>64</v>
      </c>
      <c r="M31" s="261">
        <v>4.6960284091419674E-3</v>
      </c>
      <c r="N31" s="277">
        <f t="shared" ca="1" si="8"/>
        <v>14.592665995272739</v>
      </c>
      <c r="O31" s="31" t="s">
        <v>12</v>
      </c>
      <c r="P31" s="16">
        <f t="shared" ref="P31:Y31" ca="1" si="44">SUMPRODUCT(B$10:B$19,$M$10:$M$19)/SUM($M10:$M19)</f>
        <v>4.1029824973160069</v>
      </c>
      <c r="Q31" s="667">
        <f t="shared" ca="1" si="44"/>
        <v>3.8526769055797692</v>
      </c>
      <c r="R31" s="320">
        <f t="shared" ca="1" si="44"/>
        <v>3.7227493948790862</v>
      </c>
      <c r="S31" s="320">
        <f t="shared" ca="1" si="44"/>
        <v>3.6548606721937178</v>
      </c>
      <c r="T31" s="320">
        <f t="shared" ca="1" si="44"/>
        <v>3.5853318706747781</v>
      </c>
      <c r="U31" s="320">
        <f t="shared" ca="1" si="44"/>
        <v>3.5205934962794543</v>
      </c>
      <c r="V31" s="661">
        <f t="shared" ca="1" si="44"/>
        <v>3.4764396073390409</v>
      </c>
      <c r="W31" s="668">
        <f t="shared" ca="1" si="44"/>
        <v>3.4441768393535188</v>
      </c>
      <c r="X31" s="661">
        <f t="shared" ca="1" si="44"/>
        <v>3.4176414346623187</v>
      </c>
      <c r="Y31" s="661">
        <f t="shared" ca="1" si="44"/>
        <v>3.3815549171906913</v>
      </c>
      <c r="Z31" s="2">
        <f t="shared" ca="1" si="43"/>
        <v>36.159007635468384</v>
      </c>
      <c r="AA31" s="298">
        <v>220</v>
      </c>
      <c r="AB31" s="298">
        <v>221</v>
      </c>
      <c r="AC31" s="11">
        <v>222</v>
      </c>
      <c r="AD31" s="11">
        <v>223</v>
      </c>
      <c r="AE31" s="11">
        <v>224</v>
      </c>
      <c r="AF31" s="299">
        <v>225</v>
      </c>
      <c r="AG31" s="298">
        <v>226</v>
      </c>
      <c r="AH31" s="11">
        <v>227</v>
      </c>
      <c r="AI31" s="298">
        <v>228</v>
      </c>
      <c r="AJ31" s="11">
        <v>229</v>
      </c>
      <c r="AL31" s="257"/>
      <c r="AM31" s="257"/>
      <c r="AN31" s="433">
        <v>31</v>
      </c>
      <c r="AO31" s="301">
        <f ca="1">BV!C31</f>
        <v>8.6</v>
      </c>
      <c r="AP31" s="301">
        <f ca="1">BV!K31</f>
        <v>8.73</v>
      </c>
      <c r="AQ31" s="301">
        <f ca="1">BV!S31</f>
        <v>8.84</v>
      </c>
      <c r="AR31" s="301">
        <f ca="1">BV!AA31</f>
        <v>8.99</v>
      </c>
      <c r="AS31" s="302">
        <f ca="1">BV!AI31</f>
        <v>9.16</v>
      </c>
      <c r="AT31" s="302">
        <f ca="1">BV!AQ31</f>
        <v>9.4600000000000009</v>
      </c>
      <c r="AU31" s="660">
        <f ca="1">BV!AY31</f>
        <v>10.33</v>
      </c>
      <c r="AV31" s="11" t="str">
        <f ca="1">BV!BG31</f>
        <v/>
      </c>
      <c r="AW31" s="11" t="str">
        <f ca="1">BV!BO31</f>
        <v/>
      </c>
      <c r="AX31" s="11" t="str">
        <f ca="1">BV!BW31</f>
        <v/>
      </c>
      <c r="AY31" s="62" t="s">
        <v>3</v>
      </c>
      <c r="AZ31" s="37">
        <f t="shared" si="7"/>
        <v>2.3282692844401116</v>
      </c>
      <c r="BA31" s="261">
        <v>4.6960284091419674E-3</v>
      </c>
      <c r="BB31" s="56">
        <v>2.2810017468745503E-2</v>
      </c>
      <c r="BC31" s="56">
        <f t="shared" si="11"/>
        <v>0.20587570419779419</v>
      </c>
      <c r="BD31" s="13">
        <f ca="1">IF(BV!H31="","",INT(NOW()-BV!H31))</f>
        <v>367</v>
      </c>
      <c r="BE31" s="279">
        <f t="shared" si="12"/>
        <v>14.592665995272739</v>
      </c>
      <c r="BF31" s="301">
        <f ca="1">BV!G31</f>
        <v>37.806483631866065</v>
      </c>
      <c r="BG31" s="302">
        <f ca="1">BV!O31</f>
        <v>36.854407918923357</v>
      </c>
      <c r="BH31" s="302">
        <f ca="1">BV!W31</f>
        <v>36.078195056983709</v>
      </c>
      <c r="BI31" s="302">
        <f ca="1">BV!AE31</f>
        <v>35.060828694804599</v>
      </c>
      <c r="BJ31" s="302">
        <f ca="1">BV!AM31</f>
        <v>33.961850629343445</v>
      </c>
      <c r="BK31" s="302">
        <f ca="1">BV!AU31</f>
        <v>32.151313554255793</v>
      </c>
      <c r="BL31" s="302">
        <f ca="1">BV!BC31</f>
        <v>27.684909373631296</v>
      </c>
      <c r="BM31" s="11" t="str">
        <f ca="1">BV!BK31</f>
        <v/>
      </c>
      <c r="BN31" s="11" t="str">
        <f ca="1">BV!BS31</f>
        <v/>
      </c>
      <c r="BO31" s="11" t="str">
        <f ca="1">BV!CA31</f>
        <v/>
      </c>
      <c r="BP31" s="433">
        <v>31</v>
      </c>
      <c r="BQ31" s="11">
        <f ca="1">IFERROR(YEAR(OFFSET(BV!$H31,,(COLUMN()-69)*8)),"")</f>
        <v>2019</v>
      </c>
      <c r="BR31" s="11">
        <f ca="1">IFERROR(YEAR(OFFSET(BV!$H31,,(COLUMN()-69)*8)),"")</f>
        <v>2019</v>
      </c>
      <c r="BS31" s="11">
        <f ca="1">IFERROR(YEAR(OFFSET(BV!$H31,,(COLUMN()-69)*8)),"")</f>
        <v>2020</v>
      </c>
      <c r="BT31" s="11">
        <f ca="1">IFERROR(YEAR(OFFSET(BV!$H31,,(COLUMN()-69)*8)),"")</f>
        <v>2020</v>
      </c>
      <c r="BU31" s="11">
        <f ca="1">IFERROR(YEAR(OFFSET(BV!$H31,,(COLUMN()-69)*8)),"")</f>
        <v>2019</v>
      </c>
      <c r="BV31" s="11">
        <f ca="1">IFERROR(YEAR(OFFSET(BV!$H31,,(COLUMN()-69)*8)),"")</f>
        <v>2019</v>
      </c>
      <c r="BW31" s="11">
        <f ca="1">IFERROR(YEAR(OFFSET(BV!$H31,,(COLUMN()-69)*8)),"")</f>
        <v>2020</v>
      </c>
      <c r="BX31" s="11" t="str">
        <f ca="1">IFERROR(YEAR(OFFSET(BV!$H31,,(COLUMN()-69)*8)),"")</f>
        <v/>
      </c>
      <c r="BY31" s="11" t="str">
        <f ca="1">IFERROR(YEAR(OFFSET(BV!$H31,,(COLUMN()-69)*8)),"")</f>
        <v/>
      </c>
      <c r="BZ31" s="11" t="str">
        <f ca="1">IFERROR(YEAR(OFFSET(BV!$H31,,(COLUMN()-69)*8)),"")</f>
        <v/>
      </c>
    </row>
    <row r="32" spans="1:78" x14ac:dyDescent="0.25">
      <c r="A32" s="433">
        <v>32</v>
      </c>
      <c r="B32" s="551">
        <f ca="1">BV!D32</f>
        <v>4.066073697585769</v>
      </c>
      <c r="C32" s="555">
        <f ca="1">BV!L32</f>
        <v>3.755868544600939</v>
      </c>
      <c r="D32" s="553">
        <f ca="1">BV!T32</f>
        <v>3.5595105672969964</v>
      </c>
      <c r="E32" s="556">
        <f ca="1">BV!AB32</f>
        <v>3.3648790746582544</v>
      </c>
      <c r="F32" s="302">
        <f ca="1">BV!AJ32</f>
        <v>1.1510791366906474</v>
      </c>
      <c r="G32" s="11" t="str">
        <f ca="1">BV!AR32</f>
        <v/>
      </c>
      <c r="H32" s="11" t="str">
        <f ca="1">BV!AZ32</f>
        <v/>
      </c>
      <c r="I32" s="11" t="str">
        <f ca="1">BV!BH32</f>
        <v/>
      </c>
      <c r="J32" s="11" t="str">
        <f ca="1">BV!BP32</f>
        <v/>
      </c>
      <c r="K32" s="11" t="str">
        <f ca="1">BV!BX32</f>
        <v/>
      </c>
      <c r="L32" s="62" t="s">
        <v>64</v>
      </c>
      <c r="M32" s="261">
        <v>3.6482161857545031E-3</v>
      </c>
      <c r="N32" s="277">
        <f t="shared" ca="1" si="8"/>
        <v>16.556163899475518</v>
      </c>
      <c r="O32" s="31" t="s">
        <v>13</v>
      </c>
      <c r="P32" s="669">
        <f t="shared" ref="P32:Y32" ca="1" si="45">SUMPRODUCT(B$20:B$29,$M$20:$M$29)/SUM($M20:$M29)</f>
        <v>4.2930427515674738</v>
      </c>
      <c r="Q32" s="16">
        <f t="shared" ca="1" si="45"/>
        <v>4.0830904191271253</v>
      </c>
      <c r="R32" s="667">
        <f t="shared" ca="1" si="45"/>
        <v>3.8696397273483076</v>
      </c>
      <c r="S32" s="667">
        <f t="shared" ca="1" si="45"/>
        <v>3.8031738139745577</v>
      </c>
      <c r="T32" s="320">
        <f t="shared" ca="1" si="45"/>
        <v>3.7311215025260975</v>
      </c>
      <c r="U32" s="320">
        <f t="shared" ca="1" si="45"/>
        <v>3.6930813778330354</v>
      </c>
      <c r="V32" s="320">
        <f t="shared" ca="1" si="45"/>
        <v>3.6390465960470877</v>
      </c>
      <c r="W32" s="670">
        <f t="shared" ca="1" si="45"/>
        <v>3.6155784540168097</v>
      </c>
      <c r="X32" s="320">
        <f t="shared" ca="1" si="45"/>
        <v>3.5566740256604796</v>
      </c>
      <c r="Y32" s="320">
        <f t="shared" ca="1" si="45"/>
        <v>3.5211570488087278</v>
      </c>
      <c r="Z32" s="2">
        <f t="shared" ca="1" si="43"/>
        <v>37.805605716909696</v>
      </c>
      <c r="AA32" s="11">
        <v>230</v>
      </c>
      <c r="AB32" s="11">
        <v>231</v>
      </c>
      <c r="AC32" s="11">
        <v>232</v>
      </c>
      <c r="AD32" s="11">
        <v>233</v>
      </c>
      <c r="AE32" s="11">
        <v>234</v>
      </c>
      <c r="AF32" s="11">
        <v>235</v>
      </c>
      <c r="AG32" s="297">
        <v>236</v>
      </c>
      <c r="AH32" s="11">
        <v>237</v>
      </c>
      <c r="AI32" s="11">
        <v>238</v>
      </c>
      <c r="AJ32" s="11">
        <v>239</v>
      </c>
      <c r="AL32" s="257"/>
      <c r="AM32" s="257"/>
      <c r="AN32" s="433">
        <v>32</v>
      </c>
      <c r="AO32" s="300">
        <f ca="1">BV!C32</f>
        <v>7.87</v>
      </c>
      <c r="AP32" s="301">
        <f ca="1">BV!K32</f>
        <v>8.52</v>
      </c>
      <c r="AQ32" s="301">
        <f ca="1">BV!S32</f>
        <v>8.99</v>
      </c>
      <c r="AR32" s="302">
        <f ca="1">BV!AA32</f>
        <v>9.51</v>
      </c>
      <c r="AS32" s="11">
        <f ca="1">BV!AI32</f>
        <v>27.8</v>
      </c>
      <c r="AT32" s="11" t="str">
        <f ca="1">BV!AQ32</f>
        <v/>
      </c>
      <c r="AU32" s="11" t="str">
        <f ca="1">BV!AY32</f>
        <v/>
      </c>
      <c r="AV32" s="11" t="str">
        <f ca="1">BV!BG32</f>
        <v/>
      </c>
      <c r="AW32" s="11" t="str">
        <f ca="1">BV!BO32</f>
        <v/>
      </c>
      <c r="AX32" s="11" t="str">
        <f ca="1">BV!BW32</f>
        <v/>
      </c>
      <c r="AY32" s="62" t="s">
        <v>3</v>
      </c>
      <c r="AZ32" s="37">
        <f t="shared" si="7"/>
        <v>2.4379194341872674</v>
      </c>
      <c r="BA32" s="261">
        <v>3.6482161857545031E-3</v>
      </c>
      <c r="BB32" s="56">
        <v>2.2810017468745503E-2</v>
      </c>
      <c r="BC32" s="56">
        <f t="shared" si="11"/>
        <v>0.15993921051368429</v>
      </c>
      <c r="BD32" s="13">
        <f ca="1">IF(BV!H32="","",INT(NOW()-BV!H32))</f>
        <v>394</v>
      </c>
      <c r="BE32" s="279">
        <f t="shared" si="12"/>
        <v>16.556163899475518</v>
      </c>
      <c r="BF32" s="301">
        <f ca="1">BV!G32</f>
        <v>45.377952089628856</v>
      </c>
      <c r="BG32" s="301">
        <f ca="1">BV!O32</f>
        <v>39.651043955188648</v>
      </c>
      <c r="BH32" s="302">
        <f ca="1">BV!W32</f>
        <v>36.19182316883056</v>
      </c>
      <c r="BI32" s="302">
        <f ca="1">BV!AE32</f>
        <v>32.892361786657091</v>
      </c>
      <c r="BJ32" s="659">
        <f ca="1">BV!AM32</f>
        <v>5.3103822593495957</v>
      </c>
      <c r="BK32" s="11" t="str">
        <f ca="1">BV!AU32</f>
        <v/>
      </c>
      <c r="BL32" s="11" t="str">
        <f ca="1">BV!BC32</f>
        <v/>
      </c>
      <c r="BM32" s="11" t="str">
        <f ca="1">BV!BK32</f>
        <v/>
      </c>
      <c r="BN32" s="11" t="str">
        <f ca="1">BV!BS32</f>
        <v/>
      </c>
      <c r="BO32" s="11" t="str">
        <f ca="1">BV!CA32</f>
        <v/>
      </c>
      <c r="BP32" s="433">
        <v>32</v>
      </c>
      <c r="BQ32" s="11">
        <f ca="1">IFERROR(YEAR(OFFSET(BV!$H32,,(COLUMN()-69)*8)),"")</f>
        <v>2019</v>
      </c>
      <c r="BR32" s="11">
        <f ca="1">IFERROR(YEAR(OFFSET(BV!$H32,,(COLUMN()-69)*8)),"")</f>
        <v>2019</v>
      </c>
      <c r="BS32" s="11">
        <f ca="1">IFERROR(YEAR(OFFSET(BV!$H32,,(COLUMN()-69)*8)),"")</f>
        <v>2019</v>
      </c>
      <c r="BT32" s="11">
        <f ca="1">IFERROR(YEAR(OFFSET(BV!$H32,,(COLUMN()-69)*8)),"")</f>
        <v>2020</v>
      </c>
      <c r="BU32" s="11">
        <f ca="1">IFERROR(YEAR(OFFSET(BV!$H32,,(COLUMN()-69)*8)),"")</f>
        <v>2019</v>
      </c>
      <c r="BV32" s="11" t="str">
        <f ca="1">IFERROR(YEAR(OFFSET(BV!$H32,,(COLUMN()-69)*8)),"")</f>
        <v/>
      </c>
      <c r="BW32" s="11" t="str">
        <f ca="1">IFERROR(YEAR(OFFSET(BV!$H32,,(COLUMN()-69)*8)),"")</f>
        <v/>
      </c>
      <c r="BX32" s="11" t="str">
        <f ca="1">IFERROR(YEAR(OFFSET(BV!$H32,,(COLUMN()-69)*8)),"")</f>
        <v/>
      </c>
      <c r="BY32" s="11" t="str">
        <f ca="1">IFERROR(YEAR(OFFSET(BV!$H32,,(COLUMN()-69)*8)),"")</f>
        <v/>
      </c>
      <c r="BZ32" s="11" t="str">
        <f ca="1">IFERROR(YEAR(OFFSET(BV!$H32,,(COLUMN()-69)*8)),"")</f>
        <v/>
      </c>
    </row>
    <row r="33" spans="1:78" x14ac:dyDescent="0.25">
      <c r="A33" s="433">
        <v>33</v>
      </c>
      <c r="B33" s="553">
        <f ca="1">BV!D33</f>
        <v>3.6105032822757108</v>
      </c>
      <c r="C33" s="553">
        <f ca="1">BV!L33</f>
        <v>3.5908596300326443</v>
      </c>
      <c r="D33" s="556">
        <f ca="1">BV!T33</f>
        <v>3.3604887983706719</v>
      </c>
      <c r="E33" s="298">
        <f ca="1">BV!AB33</f>
        <v>2.5423728813559321</v>
      </c>
      <c r="F33" s="11" t="str">
        <f ca="1">BV!AJ33</f>
        <v/>
      </c>
      <c r="G33" s="11" t="str">
        <f ca="1">BV!AR33</f>
        <v/>
      </c>
      <c r="H33" s="11" t="str">
        <f ca="1">BV!AZ33</f>
        <v/>
      </c>
      <c r="I33" s="11" t="str">
        <f ca="1">BV!BH33</f>
        <v/>
      </c>
      <c r="J33" s="11" t="str">
        <f ca="1">BV!BP33</f>
        <v/>
      </c>
      <c r="K33" s="11" t="str">
        <f ca="1">BV!BX33</f>
        <v/>
      </c>
      <c r="L33" s="62" t="s">
        <v>64</v>
      </c>
      <c r="M33" s="261">
        <v>2.4082309234877896E-3</v>
      </c>
      <c r="N33" s="277">
        <f t="shared" ca="1" si="8"/>
        <v>20.377501586410755</v>
      </c>
      <c r="O33" s="31" t="s">
        <v>14</v>
      </c>
      <c r="P33" s="667">
        <f t="shared" ref="P33:Y33" ca="1" si="46">SUMPRODUCT(B$30:B$54,$M$30:$M$54)/SUM($M30:$M54)</f>
        <v>3.8108976127068095</v>
      </c>
      <c r="Q33" s="661">
        <f t="shared" ca="1" si="46"/>
        <v>3.3417500867232968</v>
      </c>
      <c r="R33" s="663">
        <f t="shared" ca="1" si="46"/>
        <v>2.7368181219966874</v>
      </c>
      <c r="S33" s="665">
        <f t="shared" ca="1" si="46"/>
        <v>2.4826938199543758</v>
      </c>
      <c r="T33" s="671">
        <f t="shared" ca="1" si="46"/>
        <v>1.8048780878951509</v>
      </c>
      <c r="U33" s="671">
        <f t="shared" ca="1" si="46"/>
        <v>1.5764870536698559</v>
      </c>
      <c r="V33" s="671">
        <f t="shared" ca="1" si="46"/>
        <v>1.5032356551842725</v>
      </c>
      <c r="W33" s="672">
        <f t="shared" ca="1" si="46"/>
        <v>0.876019962266535</v>
      </c>
      <c r="X33" s="673">
        <f t="shared" ca="1" si="46"/>
        <v>0.868650709166501</v>
      </c>
      <c r="Y33" s="673">
        <f t="shared" ca="1" si="46"/>
        <v>0.83527484774250993</v>
      </c>
      <c r="Z33" s="2">
        <f t="shared" ca="1" si="43"/>
        <v>19.836705957305998</v>
      </c>
      <c r="AA33" s="11">
        <v>240</v>
      </c>
      <c r="AB33" s="11">
        <v>241</v>
      </c>
      <c r="AC33" s="298">
        <v>242</v>
      </c>
      <c r="AD33" s="11">
        <v>243</v>
      </c>
      <c r="AE33" s="11">
        <v>244</v>
      </c>
      <c r="AF33" s="11">
        <v>245</v>
      </c>
      <c r="AG33" s="11">
        <v>246</v>
      </c>
      <c r="AH33" s="11">
        <v>247</v>
      </c>
      <c r="AI33" s="11">
        <v>248</v>
      </c>
      <c r="AJ33" s="11">
        <v>249</v>
      </c>
      <c r="AL33" s="257"/>
      <c r="AM33" s="257"/>
      <c r="AN33" s="433">
        <v>33</v>
      </c>
      <c r="AO33" s="302">
        <f ca="1">BV!C33</f>
        <v>9.14</v>
      </c>
      <c r="AP33" s="302">
        <f ca="1">BV!K33</f>
        <v>9.19</v>
      </c>
      <c r="AQ33" s="302">
        <f ca="1">BV!S33</f>
        <v>9.82</v>
      </c>
      <c r="AR33" s="11">
        <f ca="1">BV!AA33</f>
        <v>12.98</v>
      </c>
      <c r="AS33" s="11" t="str">
        <f ca="1">BV!AI33</f>
        <v/>
      </c>
      <c r="AT33" s="11" t="str">
        <f ca="1">BV!AQ33</f>
        <v/>
      </c>
      <c r="AU33" s="11" t="str">
        <f ca="1">BV!AY33</f>
        <v/>
      </c>
      <c r="AV33" s="11" t="str">
        <f ca="1">BV!BG33</f>
        <v/>
      </c>
      <c r="AW33" s="11" t="str">
        <f ca="1">BV!BO33</f>
        <v/>
      </c>
      <c r="AX33" s="11" t="str">
        <f ca="1">BV!BW33</f>
        <v/>
      </c>
      <c r="AY33" s="62" t="s">
        <v>3</v>
      </c>
      <c r="AZ33" s="37">
        <f t="shared" si="7"/>
        <v>2.6183018712397836</v>
      </c>
      <c r="BA33" s="261">
        <v>2.4082309234877896E-3</v>
      </c>
      <c r="BB33" s="56">
        <v>2.2810017468745503E-2</v>
      </c>
      <c r="BC33" s="56">
        <f t="shared" si="11"/>
        <v>0.10557777637775026</v>
      </c>
      <c r="BD33" s="13">
        <f ca="1">IF(BV!H33="","",INT(NOW()-BV!H33))</f>
        <v>382</v>
      </c>
      <c r="BE33" s="279">
        <f t="shared" si="12"/>
        <v>20.377501586410752</v>
      </c>
      <c r="BF33" s="302">
        <f ca="1">BV!G33</f>
        <v>36.287526506169897</v>
      </c>
      <c r="BG33" s="302">
        <f ca="1">BV!O33</f>
        <v>35.952535970081556</v>
      </c>
      <c r="BH33" s="302">
        <f ca="1">BV!W33</f>
        <v>32.120061605911808</v>
      </c>
      <c r="BI33" s="660">
        <f ca="1">BV!AE33</f>
        <v>19.989361477832329</v>
      </c>
      <c r="BJ33" s="11" t="str">
        <f ca="1">BV!AM33</f>
        <v/>
      </c>
      <c r="BK33" s="11" t="str">
        <f ca="1">BV!AU33</f>
        <v/>
      </c>
      <c r="BL33" s="11" t="str">
        <f ca="1">BV!BC33</f>
        <v/>
      </c>
      <c r="BM33" s="11" t="str">
        <f ca="1">BV!BK33</f>
        <v/>
      </c>
      <c r="BN33" s="11" t="str">
        <f ca="1">BV!BS33</f>
        <v/>
      </c>
      <c r="BO33" s="11" t="str">
        <f ca="1">BV!CA33</f>
        <v/>
      </c>
      <c r="BP33" s="433">
        <v>33</v>
      </c>
      <c r="BQ33" s="11">
        <f ca="1">IFERROR(YEAR(OFFSET(BV!$H33,,(COLUMN()-69)*8)),"")</f>
        <v>2019</v>
      </c>
      <c r="BR33" s="11">
        <f ca="1">IFERROR(YEAR(OFFSET(BV!$H33,,(COLUMN()-69)*8)),"")</f>
        <v>2020</v>
      </c>
      <c r="BS33" s="11">
        <f ca="1">IFERROR(YEAR(OFFSET(BV!$H33,,(COLUMN()-69)*8)),"")</f>
        <v>2019</v>
      </c>
      <c r="BT33" s="11">
        <f ca="1">IFERROR(YEAR(OFFSET(BV!$H33,,(COLUMN()-69)*8)),"")</f>
        <v>2019</v>
      </c>
      <c r="BU33" s="11" t="str">
        <f ca="1">IFERROR(YEAR(OFFSET(BV!$H33,,(COLUMN()-69)*8)),"")</f>
        <v/>
      </c>
      <c r="BV33" s="11" t="str">
        <f ca="1">IFERROR(YEAR(OFFSET(BV!$H33,,(COLUMN()-69)*8)),"")</f>
        <v/>
      </c>
      <c r="BW33" s="11" t="str">
        <f ca="1">IFERROR(YEAR(OFFSET(BV!$H33,,(COLUMN()-69)*8)),"")</f>
        <v/>
      </c>
      <c r="BX33" s="11" t="str">
        <f ca="1">IFERROR(YEAR(OFFSET(BV!$H33,,(COLUMN()-69)*8)),"")</f>
        <v/>
      </c>
      <c r="BY33" s="11" t="str">
        <f ca="1">IFERROR(YEAR(OFFSET(BV!$H33,,(COLUMN()-69)*8)),"")</f>
        <v/>
      </c>
      <c r="BZ33" s="11" t="str">
        <f ca="1">IFERROR(YEAR(OFFSET(BV!$H33,,(COLUMN()-69)*8)),"")</f>
        <v/>
      </c>
    </row>
    <row r="34" spans="1:78" x14ac:dyDescent="0.25">
      <c r="A34" s="433">
        <v>34</v>
      </c>
      <c r="B34" s="555">
        <f ca="1">BV!D34</f>
        <v>3.8768529076396807</v>
      </c>
      <c r="C34" s="556">
        <f ca="1">BV!L34</f>
        <v>3.4871794871794872</v>
      </c>
      <c r="D34" s="11" t="str">
        <f ca="1">BV!T34</f>
        <v/>
      </c>
      <c r="E34" s="11" t="str">
        <f ca="1">BV!AB34</f>
        <v/>
      </c>
      <c r="F34" s="11" t="str">
        <f ca="1">BV!AJ34</f>
        <v/>
      </c>
      <c r="G34" s="11" t="str">
        <f ca="1">BV!AR34</f>
        <v/>
      </c>
      <c r="H34" s="11" t="str">
        <f ca="1">BV!AZ34</f>
        <v/>
      </c>
      <c r="I34" s="11" t="str">
        <f ca="1">BV!BH34</f>
        <v/>
      </c>
      <c r="J34" s="11" t="str">
        <f ca="1">BV!BP34</f>
        <v/>
      </c>
      <c r="K34" s="11" t="str">
        <f ca="1">BV!BX34</f>
        <v/>
      </c>
      <c r="L34" s="62" t="s">
        <v>64</v>
      </c>
      <c r="M34" s="261">
        <v>1.7209408034064182E-3</v>
      </c>
      <c r="N34" s="277">
        <f t="shared" ca="1" si="8"/>
        <v>24.105549398445056</v>
      </c>
      <c r="O34" s="36" t="s">
        <v>15</v>
      </c>
      <c r="P34" s="671">
        <f t="shared" ref="P34:Y34" ca="1" si="47">SUMPRODUCT(B$55:B$64,$M$55:$M$64)/SUM($M55:$M64)</f>
        <v>1.82912038946955</v>
      </c>
      <c r="Q34" s="671">
        <f t="shared" ca="1" si="47"/>
        <v>1.5314650678463566</v>
      </c>
      <c r="R34" s="674">
        <f t="shared" ca="1" si="47"/>
        <v>0.15917494426618087</v>
      </c>
      <c r="S34" s="20">
        <f t="shared" ca="1" si="47"/>
        <v>0</v>
      </c>
      <c r="T34" s="20">
        <f t="shared" ca="1" si="47"/>
        <v>0</v>
      </c>
      <c r="U34" s="20">
        <f t="shared" ca="1" si="47"/>
        <v>0</v>
      </c>
      <c r="V34" s="20">
        <f t="shared" ca="1" si="47"/>
        <v>0</v>
      </c>
      <c r="W34" s="306">
        <f t="shared" ca="1" si="47"/>
        <v>0</v>
      </c>
      <c r="X34" s="20">
        <f t="shared" ca="1" si="47"/>
        <v>0</v>
      </c>
      <c r="Y34" s="20">
        <f t="shared" ca="1" si="47"/>
        <v>0</v>
      </c>
      <c r="Z34" s="2">
        <f t="shared" ca="1" si="43"/>
        <v>3.5197604015820874</v>
      </c>
      <c r="AA34" s="11">
        <v>250</v>
      </c>
      <c r="AB34" s="11">
        <v>251</v>
      </c>
      <c r="AC34" s="11">
        <v>252</v>
      </c>
      <c r="AD34" s="11">
        <v>253</v>
      </c>
      <c r="AE34" s="11">
        <v>254</v>
      </c>
      <c r="AF34" s="11">
        <v>255</v>
      </c>
      <c r="AG34" s="11">
        <v>256</v>
      </c>
      <c r="AH34" s="11">
        <v>257</v>
      </c>
      <c r="AI34" s="11">
        <v>258</v>
      </c>
      <c r="AJ34" s="11">
        <v>259</v>
      </c>
      <c r="AL34" s="257"/>
      <c r="AM34" s="257"/>
      <c r="AN34" s="433">
        <v>34</v>
      </c>
      <c r="AO34" s="301">
        <f ca="1">BV!C34</f>
        <v>8.77</v>
      </c>
      <c r="AP34" s="302">
        <f ca="1">BV!K34</f>
        <v>9.75</v>
      </c>
      <c r="AQ34" s="11" t="str">
        <f ca="1">BV!S34</f>
        <v/>
      </c>
      <c r="AR34" s="11" t="str">
        <f ca="1">BV!AA34</f>
        <v/>
      </c>
      <c r="AS34" s="11" t="str">
        <f ca="1">BV!AI34</f>
        <v/>
      </c>
      <c r="AT34" s="11" t="str">
        <f ca="1">BV!AQ34</f>
        <v/>
      </c>
      <c r="AU34" s="11" t="str">
        <f ca="1">BV!AY34</f>
        <v/>
      </c>
      <c r="AV34" s="11" t="str">
        <f ca="1">BV!BG34</f>
        <v/>
      </c>
      <c r="AW34" s="11" t="str">
        <f ca="1">BV!BO34</f>
        <v/>
      </c>
      <c r="AX34" s="11" t="str">
        <f ca="1">BV!BW34</f>
        <v/>
      </c>
      <c r="AY34" s="62" t="s">
        <v>3</v>
      </c>
      <c r="AZ34" s="37">
        <f t="shared" si="7"/>
        <v>2.7642340681942859</v>
      </c>
      <c r="BA34" s="261">
        <v>1.7209408034064182E-3</v>
      </c>
      <c r="BB34" s="56">
        <v>2.2810017468745503E-2</v>
      </c>
      <c r="BC34" s="56">
        <f t="shared" si="11"/>
        <v>7.5446711330426089E-2</v>
      </c>
      <c r="BD34" s="13">
        <f ca="1">IF(BV!H34="","",INT(NOW()-BV!H34))</f>
        <v>12</v>
      </c>
      <c r="BE34" s="279">
        <f t="shared" si="12"/>
        <v>24.105549398445056</v>
      </c>
      <c r="BF34" s="301">
        <f ca="1">BV!G34</f>
        <v>40.108051808615073</v>
      </c>
      <c r="BG34" s="302">
        <f ca="1">BV!O34</f>
        <v>33.498320181063569</v>
      </c>
      <c r="BH34" s="11" t="str">
        <f ca="1">BV!W34</f>
        <v/>
      </c>
      <c r="BI34" s="11" t="str">
        <f ca="1">BV!AE34</f>
        <v/>
      </c>
      <c r="BJ34" s="11" t="str">
        <f ca="1">BV!AM34</f>
        <v/>
      </c>
      <c r="BK34" s="11" t="str">
        <f ca="1">BV!AU34</f>
        <v/>
      </c>
      <c r="BL34" s="11" t="str">
        <f ca="1">BV!BC34</f>
        <v/>
      </c>
      <c r="BM34" s="11" t="str">
        <f ca="1">BV!BK34</f>
        <v/>
      </c>
      <c r="BN34" s="11" t="str">
        <f ca="1">BV!BS34</f>
        <v/>
      </c>
      <c r="BO34" s="11" t="str">
        <f ca="1">BV!CA34</f>
        <v/>
      </c>
      <c r="BP34" s="433">
        <v>34</v>
      </c>
      <c r="BQ34" s="11">
        <f ca="1">IFERROR(YEAR(OFFSET(BV!$H34,,(COLUMN()-69)*8)),"")</f>
        <v>2020</v>
      </c>
      <c r="BR34" s="11">
        <f ca="1">IFERROR(YEAR(OFFSET(BV!$H34,,(COLUMN()-69)*8)),"")</f>
        <v>2020</v>
      </c>
      <c r="BS34" s="11" t="str">
        <f ca="1">IFERROR(YEAR(OFFSET(BV!$H34,,(COLUMN()-69)*8)),"")</f>
        <v/>
      </c>
      <c r="BT34" s="11" t="str">
        <f ca="1">IFERROR(YEAR(OFFSET(BV!$H34,,(COLUMN()-69)*8)),"")</f>
        <v/>
      </c>
      <c r="BU34" s="11" t="str">
        <f ca="1">IFERROR(YEAR(OFFSET(BV!$H34,,(COLUMN()-69)*8)),"")</f>
        <v/>
      </c>
      <c r="BV34" s="11" t="str">
        <f ca="1">IFERROR(YEAR(OFFSET(BV!$H34,,(COLUMN()-69)*8)),"")</f>
        <v/>
      </c>
      <c r="BW34" s="11" t="str">
        <f ca="1">IFERROR(YEAR(OFFSET(BV!$H34,,(COLUMN()-69)*8)),"")</f>
        <v/>
      </c>
      <c r="BX34" s="11" t="str">
        <f ca="1">IFERROR(YEAR(OFFSET(BV!$H34,,(COLUMN()-69)*8)),"")</f>
        <v/>
      </c>
      <c r="BY34" s="11" t="str">
        <f ca="1">IFERROR(YEAR(OFFSET(BV!$H34,,(COLUMN()-69)*8)),"")</f>
        <v/>
      </c>
      <c r="BZ34" s="11" t="str">
        <f ca="1">IFERROR(YEAR(OFFSET(BV!$H34,,(COLUMN()-69)*8)),"")</f>
        <v/>
      </c>
    </row>
    <row r="35" spans="1:78" x14ac:dyDescent="0.25">
      <c r="A35" s="433">
        <v>35</v>
      </c>
      <c r="B35" s="555">
        <f ca="1">BV!D35</f>
        <v>3.9018952062430321</v>
      </c>
      <c r="C35" s="11" t="str">
        <f ca="1">BV!L35</f>
        <v/>
      </c>
      <c r="D35" s="11" t="str">
        <f ca="1">BV!T35</f>
        <v/>
      </c>
      <c r="E35" s="11" t="str">
        <f ca="1">BV!AB35</f>
        <v/>
      </c>
      <c r="F35" s="11" t="str">
        <f ca="1">BV!AJ35</f>
        <v/>
      </c>
      <c r="G35" s="11" t="str">
        <f ca="1">BV!AR35</f>
        <v/>
      </c>
      <c r="H35" s="11" t="str">
        <f ca="1">BV!AZ35</f>
        <v/>
      </c>
      <c r="I35" s="11" t="str">
        <f ca="1">BV!BH35</f>
        <v/>
      </c>
      <c r="J35" s="11" t="str">
        <f ca="1">BV!BP35</f>
        <v/>
      </c>
      <c r="K35" s="11" t="str">
        <f ca="1">BV!BX35</f>
        <v/>
      </c>
      <c r="L35" s="62" t="s">
        <v>64</v>
      </c>
      <c r="M35" s="261">
        <v>1.3690471166925761E-3</v>
      </c>
      <c r="N35" s="277">
        <f t="shared" ca="1" si="8"/>
        <v>27.026561946218347</v>
      </c>
      <c r="O35" s="36" t="s">
        <v>16</v>
      </c>
      <c r="P35" s="665">
        <f t="shared" ref="P35:Y35" ca="1" si="48">SUMPRODUCT(B$65:B$74,$M$65:$M$74)/SUM($M65:$M74)</f>
        <v>2.4145682051788597</v>
      </c>
      <c r="Q35" s="666">
        <f t="shared" ca="1" si="48"/>
        <v>2.1598994531033155</v>
      </c>
      <c r="R35" s="671">
        <f t="shared" ca="1" si="48"/>
        <v>1.9745058440173224</v>
      </c>
      <c r="S35" s="671">
        <f t="shared" ca="1" si="48"/>
        <v>1.9286847113482584</v>
      </c>
      <c r="T35" s="675">
        <f t="shared" ca="1" si="48"/>
        <v>1.2915338863212833</v>
      </c>
      <c r="U35" s="675">
        <f t="shared" ca="1" si="48"/>
        <v>1.2489720257134374</v>
      </c>
      <c r="V35" s="675">
        <f t="shared" ca="1" si="48"/>
        <v>1.0479937541057727</v>
      </c>
      <c r="W35" s="672">
        <f t="shared" ca="1" si="48"/>
        <v>0.63317292392950453</v>
      </c>
      <c r="X35" s="674">
        <f t="shared" ca="1" si="48"/>
        <v>0.35486907452755095</v>
      </c>
      <c r="Y35" s="674">
        <f t="shared" ca="1" si="48"/>
        <v>0.33400338216262632</v>
      </c>
      <c r="Z35" s="2">
        <f t="shared" ca="1" si="43"/>
        <v>13.388203260407931</v>
      </c>
      <c r="AA35" s="11">
        <v>260</v>
      </c>
      <c r="AB35" s="11">
        <v>261</v>
      </c>
      <c r="AC35" s="11">
        <v>262</v>
      </c>
      <c r="AD35" s="11">
        <v>263</v>
      </c>
      <c r="AE35" s="11">
        <v>264</v>
      </c>
      <c r="AF35" s="11">
        <v>265</v>
      </c>
      <c r="AG35" s="11">
        <v>266</v>
      </c>
      <c r="AH35" s="11">
        <v>267</v>
      </c>
      <c r="AI35" s="11">
        <v>268</v>
      </c>
      <c r="AJ35" s="11">
        <v>269</v>
      </c>
      <c r="AL35" s="257"/>
      <c r="AM35" s="257"/>
      <c r="AN35" s="433">
        <v>35</v>
      </c>
      <c r="AO35" s="301">
        <f ca="1">BV!C35</f>
        <v>8.9700000000000006</v>
      </c>
      <c r="AP35" s="11" t="str">
        <f ca="1">BV!K35</f>
        <v/>
      </c>
      <c r="AQ35" s="11" t="str">
        <f ca="1">BV!S35</f>
        <v/>
      </c>
      <c r="AR35" s="11" t="str">
        <f ca="1">BV!AA35</f>
        <v/>
      </c>
      <c r="AS35" s="11" t="str">
        <f ca="1">BV!AI35</f>
        <v/>
      </c>
      <c r="AT35" s="11" t="str">
        <f ca="1">BV!AQ35</f>
        <v/>
      </c>
      <c r="AU35" s="11" t="str">
        <f ca="1">BV!AY35</f>
        <v/>
      </c>
      <c r="AV35" s="11" t="str">
        <f ca="1">BV!BG35</f>
        <v/>
      </c>
      <c r="AW35" s="11" t="str">
        <f ca="1">BV!BO35</f>
        <v/>
      </c>
      <c r="AX35" s="11" t="str">
        <f ca="1">BV!BW35</f>
        <v/>
      </c>
      <c r="AY35" s="62" t="s">
        <v>3</v>
      </c>
      <c r="AZ35" s="37">
        <f t="shared" si="7"/>
        <v>2.8635816050672727</v>
      </c>
      <c r="BA35" s="261">
        <v>1.3690471166925761E-3</v>
      </c>
      <c r="BB35" s="56">
        <v>2.2810017468745503E-2</v>
      </c>
      <c r="BC35" s="56">
        <f t="shared" si="11"/>
        <v>6.0019555818773801E-2</v>
      </c>
      <c r="BD35" s="13">
        <f ca="1">IF(BV!H35="","",INT(NOW()-BV!H35))</f>
        <v>381</v>
      </c>
      <c r="BE35" s="279">
        <f t="shared" si="12"/>
        <v>27.026561946218347</v>
      </c>
      <c r="BF35" s="301">
        <f ca="1">BV!G35</f>
        <v>39.734966400194516</v>
      </c>
      <c r="BG35" s="11" t="str">
        <f ca="1">BV!O35</f>
        <v/>
      </c>
      <c r="BH35" s="11" t="str">
        <f ca="1">BV!W35</f>
        <v/>
      </c>
      <c r="BI35" s="11" t="str">
        <f ca="1">BV!AE35</f>
        <v/>
      </c>
      <c r="BJ35" s="11" t="str">
        <f ca="1">BV!AM35</f>
        <v/>
      </c>
      <c r="BK35" s="11" t="str">
        <f ca="1">BV!AU35</f>
        <v/>
      </c>
      <c r="BL35" s="11" t="str">
        <f ca="1">BV!BC35</f>
        <v/>
      </c>
      <c r="BM35" s="11" t="str">
        <f ca="1">BV!BK35</f>
        <v/>
      </c>
      <c r="BN35" s="11" t="str">
        <f ca="1">BV!BS35</f>
        <v/>
      </c>
      <c r="BO35" s="11" t="str">
        <f ca="1">BV!CA35</f>
        <v/>
      </c>
      <c r="BP35" s="433">
        <v>35</v>
      </c>
      <c r="BQ35" s="11">
        <f ca="1">IFERROR(YEAR(OFFSET(BV!$H35,,(COLUMN()-69)*8)),"")</f>
        <v>2019</v>
      </c>
      <c r="BR35" s="11" t="str">
        <f ca="1">IFERROR(YEAR(OFFSET(BV!$H35,,(COLUMN()-69)*8)),"")</f>
        <v/>
      </c>
      <c r="BS35" s="11" t="str">
        <f ca="1">IFERROR(YEAR(OFFSET(BV!$H35,,(COLUMN()-69)*8)),"")</f>
        <v/>
      </c>
      <c r="BT35" s="11" t="str">
        <f ca="1">IFERROR(YEAR(OFFSET(BV!$H35,,(COLUMN()-69)*8)),"")</f>
        <v/>
      </c>
      <c r="BU35" s="11" t="str">
        <f ca="1">IFERROR(YEAR(OFFSET(BV!$H35,,(COLUMN()-69)*8)),"")</f>
        <v/>
      </c>
      <c r="BV35" s="11" t="str">
        <f ca="1">IFERROR(YEAR(OFFSET(BV!$H35,,(COLUMN()-69)*8)),"")</f>
        <v/>
      </c>
      <c r="BW35" s="11" t="str">
        <f ca="1">IFERROR(YEAR(OFFSET(BV!$H35,,(COLUMN()-69)*8)),"")</f>
        <v/>
      </c>
      <c r="BX35" s="11" t="str">
        <f ca="1">IFERROR(YEAR(OFFSET(BV!$H35,,(COLUMN()-69)*8)),"")</f>
        <v/>
      </c>
      <c r="BY35" s="11" t="str">
        <f ca="1">IFERROR(YEAR(OFFSET(BV!$H35,,(COLUMN()-69)*8)),"")</f>
        <v/>
      </c>
      <c r="BZ35" s="11" t="str">
        <f ca="1">IFERROR(YEAR(OFFSET(BV!$H35,,(COLUMN()-69)*8)),"")</f>
        <v/>
      </c>
    </row>
    <row r="36" spans="1:78" x14ac:dyDescent="0.25">
      <c r="A36" s="433">
        <v>36</v>
      </c>
      <c r="B36" s="555">
        <f ca="1">BV!D36</f>
        <v>3.9473684210526319</v>
      </c>
      <c r="C36" s="553">
        <f ca="1">BV!L36</f>
        <v>3.7267080745341614</v>
      </c>
      <c r="D36" s="11" t="str">
        <f ca="1">BV!T36</f>
        <v/>
      </c>
      <c r="E36" s="11" t="str">
        <f ca="1">BV!AB36</f>
        <v/>
      </c>
      <c r="F36" s="11" t="str">
        <f ca="1">BV!AJ36</f>
        <v/>
      </c>
      <c r="G36" s="11" t="str">
        <f ca="1">BV!AR36</f>
        <v/>
      </c>
      <c r="H36" s="11" t="str">
        <f ca="1">BV!AZ36</f>
        <v/>
      </c>
      <c r="I36" s="11" t="str">
        <f ca="1">BV!BH36</f>
        <v/>
      </c>
      <c r="J36" s="11" t="str">
        <f ca="1">BV!BP36</f>
        <v/>
      </c>
      <c r="K36" s="11" t="str">
        <f ca="1">BV!BX36</f>
        <v/>
      </c>
      <c r="L36" s="271" t="s">
        <v>67</v>
      </c>
      <c r="M36" s="261">
        <v>8.6622829098455462E-4</v>
      </c>
      <c r="N36" s="272">
        <f t="shared" ca="1" si="8"/>
        <v>33.976905177966152</v>
      </c>
      <c r="O36" s="36" t="s">
        <v>17</v>
      </c>
      <c r="P36" s="663">
        <f t="shared" ref="P36:Y36" ca="1" si="49">SUMPRODUCT(B$75:B$84,$M$75:$M$84)/SUM($M75:$M84)</f>
        <v>2.6950742364276299</v>
      </c>
      <c r="Q36" s="663">
        <f t="shared" ca="1" si="49"/>
        <v>2.6301255663334624</v>
      </c>
      <c r="R36" s="663">
        <f t="shared" ca="1" si="49"/>
        <v>2.5617082221140923</v>
      </c>
      <c r="S36" s="665">
        <f t="shared" ca="1" si="49"/>
        <v>2.4963743263541009</v>
      </c>
      <c r="T36" s="665">
        <f t="shared" ca="1" si="49"/>
        <v>2.4285481712582082</v>
      </c>
      <c r="U36" s="665">
        <f t="shared" ca="1" si="49"/>
        <v>2.4038061994740851</v>
      </c>
      <c r="V36" s="665">
        <f t="shared" ca="1" si="49"/>
        <v>2.3707325287873502</v>
      </c>
      <c r="W36" s="664">
        <f t="shared" ca="1" si="49"/>
        <v>2.3223440492598355</v>
      </c>
      <c r="X36" s="665">
        <f t="shared" ca="1" si="49"/>
        <v>2.2576685734087238</v>
      </c>
      <c r="Y36" s="666">
        <f t="shared" ca="1" si="49"/>
        <v>2.0982063319012294</v>
      </c>
      <c r="Z36" s="2">
        <f t="shared" ca="1" si="43"/>
        <v>24.264588205318724</v>
      </c>
      <c r="AA36" s="11">
        <v>270</v>
      </c>
      <c r="AB36" s="11">
        <v>271</v>
      </c>
      <c r="AC36" s="11">
        <v>272</v>
      </c>
      <c r="AD36" s="11">
        <v>273</v>
      </c>
      <c r="AE36" s="11">
        <v>274</v>
      </c>
      <c r="AF36" s="11">
        <v>275</v>
      </c>
      <c r="AG36" s="11">
        <v>276</v>
      </c>
      <c r="AH36" s="11">
        <v>277</v>
      </c>
      <c r="AI36" s="11">
        <v>278</v>
      </c>
      <c r="AL36" s="257"/>
      <c r="AM36" s="257"/>
      <c r="AN36" s="433">
        <v>36</v>
      </c>
      <c r="AO36" s="302">
        <f ca="1">BV!C36</f>
        <v>9.1199999999999992</v>
      </c>
      <c r="AP36" s="302">
        <f ca="1">BV!K36</f>
        <v>9.66</v>
      </c>
      <c r="AQ36" s="11" t="str">
        <f ca="1">BV!S36</f>
        <v/>
      </c>
      <c r="AR36" s="11" t="str">
        <f ca="1">BV!AA36</f>
        <v/>
      </c>
      <c r="AS36" s="11" t="str">
        <f ca="1">BV!AI36</f>
        <v/>
      </c>
      <c r="AT36" s="11" t="str">
        <f ca="1">BV!AQ36</f>
        <v/>
      </c>
      <c r="AU36" s="11" t="str">
        <f ca="1">BV!AY36</f>
        <v/>
      </c>
      <c r="AV36" s="11" t="str">
        <f ca="1">BV!BG36</f>
        <v/>
      </c>
      <c r="AW36" s="11" t="str">
        <f ca="1">BV!BO36</f>
        <v/>
      </c>
      <c r="AX36" s="11" t="str">
        <f ca="1">BV!BW36</f>
        <v/>
      </c>
      <c r="AY36" s="271" t="s">
        <v>67</v>
      </c>
      <c r="AZ36" s="274">
        <f t="shared" si="7"/>
        <v>3.0623676363325245</v>
      </c>
      <c r="BA36" s="261">
        <v>8.6622829098455462E-4</v>
      </c>
      <c r="BB36" s="56">
        <v>2.2810017468745503E-2</v>
      </c>
      <c r="BC36" s="56">
        <f t="shared" si="11"/>
        <v>3.7975783761299994E-2</v>
      </c>
      <c r="BD36" s="13">
        <f ca="1">IF(BV!H36="","",INT(NOW()-BV!H36))</f>
        <v>358</v>
      </c>
      <c r="BE36" s="275">
        <f t="shared" si="12"/>
        <v>33.976905177966152</v>
      </c>
      <c r="BF36" s="301">
        <f ca="1">BV!G36</f>
        <v>39.734086651563857</v>
      </c>
      <c r="BG36" s="302">
        <f ca="1">BV!O36</f>
        <v>36.032412841985291</v>
      </c>
      <c r="BH36" s="11" t="str">
        <f ca="1">BV!W36</f>
        <v/>
      </c>
      <c r="BI36" s="11" t="str">
        <f ca="1">BV!AE36</f>
        <v/>
      </c>
      <c r="BJ36" s="11" t="str">
        <f ca="1">BV!AM36</f>
        <v/>
      </c>
      <c r="BK36" s="11" t="str">
        <f ca="1">BV!AU36</f>
        <v/>
      </c>
      <c r="BL36" s="11" t="str">
        <f ca="1">BV!BC36</f>
        <v/>
      </c>
      <c r="BM36" s="11" t="str">
        <f ca="1">BV!BK36</f>
        <v/>
      </c>
      <c r="BN36" s="11" t="str">
        <f ca="1">BV!BS36</f>
        <v/>
      </c>
      <c r="BO36" s="11" t="str">
        <f ca="1">BV!CA36</f>
        <v/>
      </c>
      <c r="BP36" s="433">
        <v>36</v>
      </c>
      <c r="BQ36" s="11">
        <f ca="1">IFERROR(YEAR(OFFSET(BV!$H36,,(COLUMN()-69)*8)),"")</f>
        <v>2019</v>
      </c>
      <c r="BR36" s="11">
        <f ca="1">IFERROR(YEAR(OFFSET(BV!$H36,,(COLUMN()-69)*8)),"")</f>
        <v>2020</v>
      </c>
      <c r="BS36" s="11" t="str">
        <f ca="1">IFERROR(YEAR(OFFSET(BV!$H36,,(COLUMN()-69)*8)),"")</f>
        <v/>
      </c>
      <c r="BT36" s="11" t="str">
        <f ca="1">IFERROR(YEAR(OFFSET(BV!$H36,,(COLUMN()-69)*8)),"")</f>
        <v/>
      </c>
      <c r="BU36" s="11" t="str">
        <f ca="1">IFERROR(YEAR(OFFSET(BV!$H36,,(COLUMN()-69)*8)),"")</f>
        <v/>
      </c>
      <c r="BV36" s="11" t="str">
        <f ca="1">IFERROR(YEAR(OFFSET(BV!$H36,,(COLUMN()-69)*8)),"")</f>
        <v/>
      </c>
      <c r="BW36" s="11" t="str">
        <f ca="1">IFERROR(YEAR(OFFSET(BV!$H36,,(COLUMN()-69)*8)),"")</f>
        <v/>
      </c>
      <c r="BX36" s="11" t="str">
        <f ca="1">IFERROR(YEAR(OFFSET(BV!$H36,,(COLUMN()-69)*8)),"")</f>
        <v/>
      </c>
      <c r="BY36" s="11" t="str">
        <f ca="1">IFERROR(YEAR(OFFSET(BV!$H36,,(COLUMN()-69)*8)),"")</f>
        <v/>
      </c>
      <c r="BZ36" s="11" t="str">
        <f ca="1">IFERROR(YEAR(OFFSET(BV!$H36,,(COLUMN()-69)*8)),"")</f>
        <v/>
      </c>
    </row>
    <row r="37" spans="1:78" x14ac:dyDescent="0.25">
      <c r="A37" s="433">
        <v>37</v>
      </c>
      <c r="B37" s="551">
        <f ca="1">BV!D37</f>
        <v>4.1202672605790642</v>
      </c>
      <c r="C37" s="555">
        <f ca="1">BV!L37</f>
        <v>3.7793667007150158</v>
      </c>
      <c r="D37" s="11" t="str">
        <f ca="1">BV!T37</f>
        <v/>
      </c>
      <c r="E37" s="11" t="str">
        <f ca="1">BV!AB37</f>
        <v/>
      </c>
      <c r="F37" s="11" t="str">
        <f ca="1">BV!AJ37</f>
        <v/>
      </c>
      <c r="G37" s="11" t="str">
        <f ca="1">BV!AR37</f>
        <v/>
      </c>
      <c r="H37" s="11" t="str">
        <f ca="1">BV!AZ37</f>
        <v/>
      </c>
      <c r="I37" s="11" t="str">
        <f ca="1">BV!BH37</f>
        <v/>
      </c>
      <c r="J37" s="11" t="str">
        <f ca="1">BV!BP37</f>
        <v/>
      </c>
      <c r="K37" s="11" t="str">
        <f ca="1">BV!BX37</f>
        <v/>
      </c>
      <c r="L37" s="271" t="s">
        <v>67</v>
      </c>
      <c r="M37" s="261">
        <v>5.4467147937818281E-4</v>
      </c>
      <c r="N37" s="272">
        <f t="shared" ca="1" si="8"/>
        <v>42.848209873580679</v>
      </c>
      <c r="O37" s="36" t="s">
        <v>18</v>
      </c>
      <c r="P37" s="662">
        <f t="shared" ref="P37:Y37" ca="1" si="50">SUMPRODUCT(B$85:B$94,$M$85:$M$94)/SUM($M85:$M94)</f>
        <v>2.8367441464166405</v>
      </c>
      <c r="Q37" s="663">
        <f t="shared" ca="1" si="50"/>
        <v>2.7479725526977425</v>
      </c>
      <c r="R37" s="663">
        <f t="shared" ca="1" si="50"/>
        <v>2.6797076377862057</v>
      </c>
      <c r="S37" s="663">
        <f t="shared" ca="1" si="50"/>
        <v>2.6202379084080669</v>
      </c>
      <c r="T37" s="663">
        <f t="shared" ca="1" si="50"/>
        <v>2.5846023038643153</v>
      </c>
      <c r="U37" s="663">
        <f t="shared" ca="1" si="50"/>
        <v>2.5327217975477252</v>
      </c>
      <c r="V37" s="665">
        <f t="shared" ca="1" si="50"/>
        <v>2.4845576029965923</v>
      </c>
      <c r="W37" s="664">
        <f t="shared" ca="1" si="50"/>
        <v>2.4435345347822111</v>
      </c>
      <c r="X37" s="666">
        <f t="shared" ca="1" si="50"/>
        <v>2.2191027038635656</v>
      </c>
      <c r="Y37" s="666">
        <f t="shared" ca="1" si="50"/>
        <v>2.1973504009359757</v>
      </c>
      <c r="Z37" s="2">
        <f t="shared" ca="1" si="43"/>
        <v>25.346531589299037</v>
      </c>
      <c r="AA37" s="590" t="str">
        <f>IF(Arb!$AJ$28=1,"Equaled Time Record","实力对应的Time纪录")</f>
        <v>实力对应的Time纪录</v>
      </c>
      <c r="AB37" s="590"/>
      <c r="AC37" s="590"/>
      <c r="AD37" s="590"/>
      <c r="AE37" s="590" t="str">
        <f>IF(Arb!$AJ$28=1,"Time Record","Time纪录")</f>
        <v>Time纪录</v>
      </c>
      <c r="AF37" s="590"/>
      <c r="AG37" s="598" t="str">
        <f ca="1">IF(Arb!$AJ$28=1,"Total Games : ","总局数 : ")&amp;P334</f>
        <v>总局数 : 3449</v>
      </c>
      <c r="AH37" s="598"/>
      <c r="AI37" s="598"/>
      <c r="AJ37" s="598"/>
      <c r="AL37" s="257"/>
      <c r="AM37" s="257"/>
      <c r="AN37" s="433">
        <v>37</v>
      </c>
      <c r="AO37" s="301">
        <f ca="1">BV!C37</f>
        <v>8.98</v>
      </c>
      <c r="AP37" s="302">
        <f ca="1">BV!K37</f>
        <v>9.7899999999999991</v>
      </c>
      <c r="AQ37" s="11" t="str">
        <f ca="1">BV!S37</f>
        <v/>
      </c>
      <c r="AR37" s="11" t="str">
        <f ca="1">BV!AA37</f>
        <v/>
      </c>
      <c r="AS37" s="11" t="str">
        <f ca="1">BV!AI37</f>
        <v/>
      </c>
      <c r="AT37" s="11" t="str">
        <f ca="1">BV!AQ37</f>
        <v/>
      </c>
      <c r="AU37" s="11" t="str">
        <f ca="1">BV!AY37</f>
        <v/>
      </c>
      <c r="AV37" s="11" t="str">
        <f ca="1">BV!BG37</f>
        <v/>
      </c>
      <c r="AW37" s="11" t="str">
        <f ca="1">BV!BO37</f>
        <v/>
      </c>
      <c r="AX37" s="11" t="str">
        <f ca="1">BV!BW37</f>
        <v/>
      </c>
      <c r="AY37" s="271" t="s">
        <v>67</v>
      </c>
      <c r="AZ37" s="274">
        <f t="shared" si="7"/>
        <v>3.2638653650847953</v>
      </c>
      <c r="BA37" s="261">
        <v>5.4467147937818281E-4</v>
      </c>
      <c r="BB37" s="56">
        <v>2.2810017468745503E-2</v>
      </c>
      <c r="BC37" s="56">
        <f t="shared" si="11"/>
        <v>2.3878608603632012E-2</v>
      </c>
      <c r="BD37" s="13">
        <f ca="1">IF(BV!H37="","",INT(NOW()-BV!H37))</f>
        <v>240</v>
      </c>
      <c r="BE37" s="275">
        <f t="shared" si="12"/>
        <v>42.848209873580679</v>
      </c>
      <c r="BF37" s="301">
        <f ca="1">BV!G37</f>
        <v>41.926046403466763</v>
      </c>
      <c r="BG37" s="302">
        <f ca="1">BV!O37</f>
        <v>36.201211681907893</v>
      </c>
      <c r="BH37" s="11" t="str">
        <f ca="1">BV!W37</f>
        <v/>
      </c>
      <c r="BI37" s="11" t="str">
        <f ca="1">BV!AE37</f>
        <v/>
      </c>
      <c r="BJ37" s="11" t="str">
        <f ca="1">BV!AM37</f>
        <v/>
      </c>
      <c r="BK37" s="11" t="str">
        <f ca="1">BV!AU37</f>
        <v/>
      </c>
      <c r="BL37" s="11" t="str">
        <f ca="1">BV!BC37</f>
        <v/>
      </c>
      <c r="BM37" s="11" t="str">
        <f ca="1">BV!BK37</f>
        <v/>
      </c>
      <c r="BN37" s="11" t="str">
        <f ca="1">BV!BS37</f>
        <v/>
      </c>
      <c r="BO37" s="11" t="str">
        <f ca="1">BV!CA37</f>
        <v/>
      </c>
      <c r="BP37" s="433">
        <v>37</v>
      </c>
      <c r="BQ37" s="11">
        <f ca="1">IFERROR(YEAR(OFFSET(BV!$H37,,(COLUMN()-69)*8)),"")</f>
        <v>2020</v>
      </c>
      <c r="BR37" s="11">
        <f ca="1">IFERROR(YEAR(OFFSET(BV!$H37,,(COLUMN()-69)*8)),"")</f>
        <v>2019</v>
      </c>
      <c r="BS37" s="11" t="str">
        <f ca="1">IFERROR(YEAR(OFFSET(BV!$H37,,(COLUMN()-69)*8)),"")</f>
        <v/>
      </c>
      <c r="BT37" s="11" t="str">
        <f ca="1">IFERROR(YEAR(OFFSET(BV!$H37,,(COLUMN()-69)*8)),"")</f>
        <v/>
      </c>
      <c r="BU37" s="11" t="str">
        <f ca="1">IFERROR(YEAR(OFFSET(BV!$H37,,(COLUMN()-69)*8)),"")</f>
        <v/>
      </c>
      <c r="BV37" s="11" t="str">
        <f ca="1">IFERROR(YEAR(OFFSET(BV!$H37,,(COLUMN()-69)*8)),"")</f>
        <v/>
      </c>
      <c r="BW37" s="11" t="str">
        <f ca="1">IFERROR(YEAR(OFFSET(BV!$H37,,(COLUMN()-69)*8)),"")</f>
        <v/>
      </c>
      <c r="BX37" s="11" t="str">
        <f ca="1">IFERROR(YEAR(OFFSET(BV!$H37,,(COLUMN()-69)*8)),"")</f>
        <v/>
      </c>
      <c r="BY37" s="11" t="str">
        <f ca="1">IFERROR(YEAR(OFFSET(BV!$H37,,(COLUMN()-69)*8)),"")</f>
        <v/>
      </c>
      <c r="BZ37" s="11" t="str">
        <f ca="1">IFERROR(YEAR(OFFSET(BV!$H37,,(COLUMN()-69)*8)),"")</f>
        <v/>
      </c>
    </row>
    <row r="38" spans="1:78" x14ac:dyDescent="0.25">
      <c r="A38" s="433">
        <v>38</v>
      </c>
      <c r="B38" s="555">
        <f ca="1">BV!D38</f>
        <v>3.9832285115303985</v>
      </c>
      <c r="C38" s="555">
        <f ca="1">BV!L38</f>
        <v>3.937823834196891</v>
      </c>
      <c r="D38" s="555">
        <f ca="1">BV!T38</f>
        <v>3.8190954773869348</v>
      </c>
      <c r="E38" s="11" t="str">
        <f ca="1">BV!AB38</f>
        <v/>
      </c>
      <c r="F38" s="11" t="str">
        <f ca="1">BV!AJ38</f>
        <v/>
      </c>
      <c r="G38" s="11" t="str">
        <f ca="1">BV!AR38</f>
        <v/>
      </c>
      <c r="H38" s="11" t="str">
        <f ca="1">BV!AZ38</f>
        <v/>
      </c>
      <c r="I38" s="11" t="str">
        <f ca="1">BV!BH38</f>
        <v/>
      </c>
      <c r="J38" s="11" t="str">
        <f ca="1">BV!BP38</f>
        <v/>
      </c>
      <c r="K38" s="11" t="str">
        <f ca="1">BV!BX38</f>
        <v/>
      </c>
      <c r="L38" s="271" t="s">
        <v>67</v>
      </c>
      <c r="M38" s="261">
        <v>4.5337516658256068E-4</v>
      </c>
      <c r="N38" s="272">
        <f t="shared" ca="1" si="8"/>
        <v>46.964654950364931</v>
      </c>
      <c r="O38" s="36" t="s">
        <v>19</v>
      </c>
      <c r="P38" s="662">
        <f t="shared" ref="P38:Y38" ca="1" si="51">SUMPRODUCT(B$95:B$104,$M$95:$M$104)/SUM($M95:$M104)</f>
        <v>2.9922311686079612</v>
      </c>
      <c r="Q38" s="662">
        <f t="shared" ca="1" si="51"/>
        <v>2.8263966215107832</v>
      </c>
      <c r="R38" s="662">
        <f t="shared" ca="1" si="51"/>
        <v>2.7590030819874416</v>
      </c>
      <c r="S38" s="663">
        <f t="shared" ca="1" si="51"/>
        <v>2.7005539901326028</v>
      </c>
      <c r="T38" s="665">
        <f t="shared" ca="1" si="51"/>
        <v>2.4985068433795155</v>
      </c>
      <c r="U38" s="665">
        <f t="shared" ca="1" si="51"/>
        <v>2.4348443936161321</v>
      </c>
      <c r="V38" s="665">
        <f t="shared" ca="1" si="51"/>
        <v>2.3784482133442575</v>
      </c>
      <c r="W38" s="676">
        <f t="shared" ca="1" si="51"/>
        <v>2.1533518371650802</v>
      </c>
      <c r="X38" s="666">
        <f t="shared" ca="1" si="51"/>
        <v>2.1282414416724618</v>
      </c>
      <c r="Y38" s="671">
        <f t="shared" ca="1" si="51"/>
        <v>1.8930825247740277</v>
      </c>
      <c r="Z38" s="2">
        <f t="shared" ca="1" si="43"/>
        <v>24.76466011619026</v>
      </c>
      <c r="AA38" s="611" t="str">
        <f ca="1">ROUND(RTc(T91/0.95)/Arb!AP27,3)&amp;"/"&amp;ROUND(RTc(T95/0.9)/Arb!AP27,3)&amp;"/"&amp;MIN(10,ROUND(11/P53,3))</f>
        <v>2.7/2.747/2.678</v>
      </c>
      <c r="AB38" s="611"/>
      <c r="AC38" s="611"/>
      <c r="AD38" s="611"/>
      <c r="AE38" s="611">
        <f ca="1">P87</f>
        <v>3</v>
      </c>
      <c r="AF38" s="611"/>
      <c r="AG38" s="610" t="str">
        <f>IF(Arb!$AJ$28=1,"Total Time : ","总时间 : ")&amp;ROUND(SUM(Arb!H:H)/3600,2)&amp;IF(Arb!$AJ$28=1,"h","小时")</f>
        <v>总时间 : 29.3小时</v>
      </c>
      <c r="AH38" s="610"/>
      <c r="AI38" s="610"/>
      <c r="AJ38" s="610"/>
      <c r="AL38" s="257"/>
      <c r="AM38" s="257"/>
      <c r="AN38" s="433">
        <v>38</v>
      </c>
      <c r="AO38" s="302">
        <f ca="1">BV!C38</f>
        <v>9.5399999999999991</v>
      </c>
      <c r="AP38" s="302">
        <f ca="1">BV!K38</f>
        <v>9.65</v>
      </c>
      <c r="AQ38" s="302">
        <f ca="1">BV!S38</f>
        <v>9.9499999999999993</v>
      </c>
      <c r="AR38" s="11" t="str">
        <f ca="1">BV!AA38</f>
        <v/>
      </c>
      <c r="AS38" s="11" t="str">
        <f ca="1">BV!AI38</f>
        <v/>
      </c>
      <c r="AT38" s="11" t="str">
        <f ca="1">BV!AQ38</f>
        <v/>
      </c>
      <c r="AU38" s="11" t="str">
        <f ca="1">BV!AY38</f>
        <v/>
      </c>
      <c r="AV38" s="11" t="str">
        <f ca="1">BV!BG38</f>
        <v/>
      </c>
      <c r="AW38" s="11" t="str">
        <f ca="1">BV!BO38</f>
        <v/>
      </c>
      <c r="AX38" s="11" t="str">
        <f ca="1">BV!BW38</f>
        <v/>
      </c>
      <c r="AY38" s="271" t="s">
        <v>67</v>
      </c>
      <c r="AZ38" s="274">
        <f t="shared" si="7"/>
        <v>3.3435422718396901</v>
      </c>
      <c r="BA38" s="261">
        <v>4.5337516658256068E-4</v>
      </c>
      <c r="BB38" s="56">
        <v>2.2810017468745503E-2</v>
      </c>
      <c r="BC38" s="56">
        <f t="shared" si="11"/>
        <v>1.9876142892208633E-2</v>
      </c>
      <c r="BD38" s="13">
        <f ca="1">IF(BV!H38="","",INT(NOW()-BV!H38))</f>
        <v>243</v>
      </c>
      <c r="BE38" s="275">
        <f t="shared" si="12"/>
        <v>46.964654950364938</v>
      </c>
      <c r="BF38" s="301">
        <f ca="1">BV!G38</f>
        <v>38.851099907855648</v>
      </c>
      <c r="BG38" s="301">
        <f ca="1">BV!O38</f>
        <v>38.101241132384452</v>
      </c>
      <c r="BH38" s="302">
        <f ca="1">BV!W38</f>
        <v>36.16898473674032</v>
      </c>
      <c r="BI38" s="11" t="str">
        <f ca="1">BV!AE38</f>
        <v/>
      </c>
      <c r="BJ38" s="11" t="str">
        <f ca="1">BV!AM38</f>
        <v/>
      </c>
      <c r="BK38" s="11" t="str">
        <f ca="1">BV!AU38</f>
        <v/>
      </c>
      <c r="BL38" s="11" t="str">
        <f ca="1">BV!BC38</f>
        <v/>
      </c>
      <c r="BM38" s="11" t="str">
        <f ca="1">BV!BK38</f>
        <v/>
      </c>
      <c r="BN38" s="11" t="str">
        <f ca="1">BV!BS38</f>
        <v/>
      </c>
      <c r="BO38" s="11" t="str">
        <f ca="1">BV!CA38</f>
        <v/>
      </c>
      <c r="BP38" s="433">
        <v>38</v>
      </c>
      <c r="BQ38" s="11">
        <f ca="1">IFERROR(YEAR(OFFSET(BV!$H38,,(COLUMN()-69)*8)),"")</f>
        <v>2020</v>
      </c>
      <c r="BR38" s="11">
        <f ca="1">IFERROR(YEAR(OFFSET(BV!$H38,,(COLUMN()-69)*8)),"")</f>
        <v>2019</v>
      </c>
      <c r="BS38" s="11">
        <f ca="1">IFERROR(YEAR(OFFSET(BV!$H38,,(COLUMN()-69)*8)),"")</f>
        <v>2020</v>
      </c>
      <c r="BT38" s="11" t="str">
        <f ca="1">IFERROR(YEAR(OFFSET(BV!$H38,,(COLUMN()-69)*8)),"")</f>
        <v/>
      </c>
      <c r="BU38" s="11" t="str">
        <f ca="1">IFERROR(YEAR(OFFSET(BV!$H38,,(COLUMN()-69)*8)),"")</f>
        <v/>
      </c>
      <c r="BV38" s="11" t="str">
        <f ca="1">IFERROR(YEAR(OFFSET(BV!$H38,,(COLUMN()-69)*8)),"")</f>
        <v/>
      </c>
      <c r="BW38" s="11" t="str">
        <f ca="1">IFERROR(YEAR(OFFSET(BV!$H38,,(COLUMN()-69)*8)),"")</f>
        <v/>
      </c>
      <c r="BX38" s="11" t="str">
        <f ca="1">IFERROR(YEAR(OFFSET(BV!$H38,,(COLUMN()-69)*8)),"")</f>
        <v/>
      </c>
      <c r="BY38" s="11" t="str">
        <f ca="1">IFERROR(YEAR(OFFSET(BV!$H38,,(COLUMN()-69)*8)),"")</f>
        <v/>
      </c>
      <c r="BZ38" s="11" t="str">
        <f ca="1">IFERROR(YEAR(OFFSET(BV!$H38,,(COLUMN()-69)*8)),"")</f>
        <v/>
      </c>
    </row>
    <row r="39" spans="1:78" x14ac:dyDescent="0.25">
      <c r="A39" s="433">
        <v>39</v>
      </c>
      <c r="B39" s="11" t="str">
        <f ca="1">BV!D39</f>
        <v/>
      </c>
      <c r="C39" s="11" t="str">
        <f ca="1">BV!L39</f>
        <v/>
      </c>
      <c r="D39" s="11" t="str">
        <f ca="1">BV!T39</f>
        <v/>
      </c>
      <c r="E39" s="11" t="str">
        <f ca="1">BV!AB39</f>
        <v/>
      </c>
      <c r="F39" s="11" t="str">
        <f ca="1">BV!AJ39</f>
        <v/>
      </c>
      <c r="G39" s="11" t="str">
        <f ca="1">BV!AR39</f>
        <v/>
      </c>
      <c r="H39" s="11" t="str">
        <f ca="1">BV!AZ39</f>
        <v/>
      </c>
      <c r="I39" s="11" t="str">
        <f ca="1">BV!BH39</f>
        <v/>
      </c>
      <c r="J39" s="11" t="str">
        <f ca="1">BV!BP39</f>
        <v/>
      </c>
      <c r="K39" s="11" t="str">
        <f ca="1">BV!BX39</f>
        <v/>
      </c>
      <c r="L39" s="271" t="s">
        <v>67</v>
      </c>
      <c r="M39" s="261">
        <v>2.9918731212677085E-4</v>
      </c>
      <c r="N39" s="272" t="str">
        <f t="shared" ca="1" si="8"/>
        <v/>
      </c>
      <c r="O39" s="36" t="s">
        <v>20</v>
      </c>
      <c r="P39" s="662">
        <f t="shared" ref="P39:Y39" ca="1" si="52">SUMPRODUCT(B$105:B$114,$M$105:$M$114)/SUM($M105:$M114)</f>
        <v>2.9832897390049924</v>
      </c>
      <c r="Q39" s="663">
        <f t="shared" ca="1" si="52"/>
        <v>2.6406831304966354</v>
      </c>
      <c r="R39" s="665">
        <f t="shared" ca="1" si="52"/>
        <v>2.3517204685809374</v>
      </c>
      <c r="S39" s="671">
        <f t="shared" ca="1" si="52"/>
        <v>1.8683317845549869</v>
      </c>
      <c r="T39" s="675">
        <f t="shared" ca="1" si="52"/>
        <v>1.3118576222053719</v>
      </c>
      <c r="U39" s="673">
        <f t="shared" ca="1" si="52"/>
        <v>0.82046258260063232</v>
      </c>
      <c r="V39" s="674">
        <f t="shared" ca="1" si="52"/>
        <v>0.39339112405639759</v>
      </c>
      <c r="W39" s="677">
        <f t="shared" ca="1" si="52"/>
        <v>0.39158933264850565</v>
      </c>
      <c r="X39" s="20">
        <f t="shared" ca="1" si="52"/>
        <v>0</v>
      </c>
      <c r="Y39" s="20">
        <f t="shared" ca="1" si="52"/>
        <v>0</v>
      </c>
      <c r="Z39" s="2">
        <f t="shared" ca="1" si="43"/>
        <v>12.761325784148461</v>
      </c>
      <c r="AA39" s="612" t="str">
        <f ca="1">ROUND(RTc(T92/0.95)/Arb!AP30,2)&amp;"/"&amp;ROUND(RTc(T96/0.9)/Arb!AP30,2)&amp;"/"&amp;ROUND(45/P54,2)</f>
        <v>15.22/15.9/16.17</v>
      </c>
      <c r="AB39" s="612"/>
      <c r="AC39" s="612"/>
      <c r="AD39" s="612"/>
      <c r="AE39" s="612">
        <f ca="1">P88</f>
        <v>13.41</v>
      </c>
      <c r="AF39" s="612"/>
      <c r="AG39" s="607" t="str">
        <f>"BBBV : "&amp;ROUND(SUM(Arb!I:I)/10000,2)&amp;IF(Arb!$AJ$28=1," 10k","万")</f>
        <v>BBBV : 24.2万</v>
      </c>
      <c r="AH39" s="608"/>
      <c r="AI39" s="608"/>
      <c r="AJ39" s="609"/>
      <c r="AL39" s="257"/>
      <c r="AM39" s="257"/>
      <c r="AN39" s="433">
        <v>39</v>
      </c>
      <c r="AO39" s="11" t="str">
        <f ca="1">BV!C39</f>
        <v/>
      </c>
      <c r="AP39" s="11" t="str">
        <f ca="1">BV!K39</f>
        <v/>
      </c>
      <c r="AQ39" s="11" t="str">
        <f ca="1">BV!S39</f>
        <v/>
      </c>
      <c r="AR39" s="11" t="str">
        <f ca="1">BV!AA39</f>
        <v/>
      </c>
      <c r="AS39" s="11" t="str">
        <f ca="1">BV!AI39</f>
        <v/>
      </c>
      <c r="AT39" s="11" t="str">
        <f ca="1">BV!AQ39</f>
        <v/>
      </c>
      <c r="AU39" s="11" t="str">
        <f ca="1">BV!AY39</f>
        <v/>
      </c>
      <c r="AV39" s="11" t="str">
        <f ca="1">BV!BG39</f>
        <v/>
      </c>
      <c r="AW39" s="11" t="str">
        <f ca="1">BV!BO39</f>
        <v/>
      </c>
      <c r="AX39" s="11" t="str">
        <f ca="1">BV!BW39</f>
        <v/>
      </c>
      <c r="AY39" s="271" t="s">
        <v>67</v>
      </c>
      <c r="AZ39" s="274">
        <f t="shared" si="7"/>
        <v>3.5240568278870152</v>
      </c>
      <c r="BA39" s="261">
        <v>2.9918731212677085E-4</v>
      </c>
      <c r="BB39" s="56">
        <v>2.2810017468745503E-2</v>
      </c>
      <c r="BC39" s="56">
        <f t="shared" si="11"/>
        <v>1.3116487636921808E-2</v>
      </c>
      <c r="BD39" s="13" t="str">
        <f ca="1">IF(BV!H39="","",INT(NOW()-BV!H39))</f>
        <v/>
      </c>
      <c r="BE39" s="275">
        <f t="shared" si="12"/>
        <v>57.813387087911821</v>
      </c>
      <c r="BF39" s="11" t="str">
        <f ca="1">BV!G39</f>
        <v/>
      </c>
      <c r="BG39" s="11" t="str">
        <f ca="1">BV!O39</f>
        <v/>
      </c>
      <c r="BH39" s="11" t="str">
        <f ca="1">BV!W39</f>
        <v/>
      </c>
      <c r="BI39" s="11" t="str">
        <f ca="1">BV!AE39</f>
        <v/>
      </c>
      <c r="BJ39" s="11" t="str">
        <f ca="1">BV!AM39</f>
        <v/>
      </c>
      <c r="BK39" s="11" t="str">
        <f ca="1">BV!AU39</f>
        <v/>
      </c>
      <c r="BL39" s="11" t="str">
        <f ca="1">BV!BC39</f>
        <v/>
      </c>
      <c r="BM39" s="11" t="str">
        <f ca="1">BV!BK39</f>
        <v/>
      </c>
      <c r="BN39" s="11" t="str">
        <f ca="1">BV!BS39</f>
        <v/>
      </c>
      <c r="BO39" s="11" t="str">
        <f ca="1">BV!CA39</f>
        <v/>
      </c>
      <c r="BP39" s="433">
        <v>39</v>
      </c>
      <c r="BQ39" s="11" t="str">
        <f ca="1">IFERROR(YEAR(OFFSET(BV!$H39,,(COLUMN()-69)*8)),"")</f>
        <v/>
      </c>
      <c r="BR39" s="11" t="str">
        <f ca="1">IFERROR(YEAR(OFFSET(BV!$H39,,(COLUMN()-69)*8)),"")</f>
        <v/>
      </c>
      <c r="BS39" s="11" t="str">
        <f ca="1">IFERROR(YEAR(OFFSET(BV!$H39,,(COLUMN()-69)*8)),"")</f>
        <v/>
      </c>
      <c r="BT39" s="11" t="str">
        <f ca="1">IFERROR(YEAR(OFFSET(BV!$H39,,(COLUMN()-69)*8)),"")</f>
        <v/>
      </c>
      <c r="BU39" s="11" t="str">
        <f ca="1">IFERROR(YEAR(OFFSET(BV!$H39,,(COLUMN()-69)*8)),"")</f>
        <v/>
      </c>
      <c r="BV39" s="11" t="str">
        <f ca="1">IFERROR(YEAR(OFFSET(BV!$H39,,(COLUMN()-69)*8)),"")</f>
        <v/>
      </c>
      <c r="BW39" s="11" t="str">
        <f ca="1">IFERROR(YEAR(OFFSET(BV!$H39,,(COLUMN()-69)*8)),"")</f>
        <v/>
      </c>
      <c r="BX39" s="11" t="str">
        <f ca="1">IFERROR(YEAR(OFFSET(BV!$H39,,(COLUMN()-69)*8)),"")</f>
        <v/>
      </c>
      <c r="BY39" s="11" t="str">
        <f ca="1">IFERROR(YEAR(OFFSET(BV!$H39,,(COLUMN()-69)*8)),"")</f>
        <v/>
      </c>
      <c r="BZ39" s="11" t="str">
        <f ca="1">IFERROR(YEAR(OFFSET(BV!$H39,,(COLUMN()-69)*8)),"")</f>
        <v/>
      </c>
    </row>
    <row r="40" spans="1:78" x14ac:dyDescent="0.25">
      <c r="A40" s="433">
        <v>40</v>
      </c>
      <c r="B40" s="551">
        <f ca="1">BV!D40</f>
        <v>4.1109969167523124</v>
      </c>
      <c r="C40" s="11" t="str">
        <f ca="1">BV!L40</f>
        <v/>
      </c>
      <c r="D40" s="11" t="str">
        <f ca="1">BV!T40</f>
        <v/>
      </c>
      <c r="E40" s="11" t="str">
        <f ca="1">BV!AB40</f>
        <v/>
      </c>
      <c r="F40" s="11" t="str">
        <f ca="1">BV!AJ40</f>
        <v/>
      </c>
      <c r="G40" s="11" t="str">
        <f ca="1">BV!AR40</f>
        <v/>
      </c>
      <c r="H40" s="11" t="str">
        <f ca="1">BV!AZ40</f>
        <v/>
      </c>
      <c r="I40" s="11" t="str">
        <f ca="1">BV!BH40</f>
        <v/>
      </c>
      <c r="J40" s="11" t="str">
        <f ca="1">BV!BP40</f>
        <v/>
      </c>
      <c r="K40" s="11" t="str">
        <f ca="1">BV!BX40</f>
        <v/>
      </c>
      <c r="L40" s="271" t="s">
        <v>67</v>
      </c>
      <c r="M40" s="261">
        <v>1.808131690693277E-4</v>
      </c>
      <c r="N40" s="272">
        <f t="shared" ca="1" si="8"/>
        <v>74.367806320216403</v>
      </c>
      <c r="O40" s="36" t="s">
        <v>21</v>
      </c>
      <c r="P40" s="666">
        <f t="shared" ref="P40:Y40" ca="1" si="53">SUMPRODUCT(B$115:B$124,$M$115:$M$124)/SUM($M115:$M124)</f>
        <v>2.1680221380240097</v>
      </c>
      <c r="Q40" s="673">
        <f t="shared" ca="1" si="53"/>
        <v>0.96079413528089908</v>
      </c>
      <c r="R40" s="20">
        <f t="shared" ca="1" si="53"/>
        <v>0</v>
      </c>
      <c r="S40" s="20">
        <f t="shared" ca="1" si="53"/>
        <v>0</v>
      </c>
      <c r="T40" s="20">
        <f t="shared" ca="1" si="53"/>
        <v>0</v>
      </c>
      <c r="U40" s="20">
        <f t="shared" ca="1" si="53"/>
        <v>0</v>
      </c>
      <c r="V40" s="20">
        <f t="shared" ca="1" si="53"/>
        <v>0</v>
      </c>
      <c r="W40" s="306">
        <f t="shared" ca="1" si="53"/>
        <v>0</v>
      </c>
      <c r="X40" s="20">
        <f t="shared" ca="1" si="53"/>
        <v>0</v>
      </c>
      <c r="Y40" s="20">
        <f t="shared" ca="1" si="53"/>
        <v>0</v>
      </c>
      <c r="Z40" s="2">
        <f t="shared" ca="1" si="43"/>
        <v>3.128816273304909</v>
      </c>
      <c r="AA40" s="613" t="str">
        <f ca="1">ROUND(RTc(T93/0.95),2)&amp;"/"&amp;ROUND(RTc(T97/0.9),2)&amp;"/"&amp;ROUND(143/P55,2)</f>
        <v>56.88/56.23/56.92</v>
      </c>
      <c r="AB40" s="613"/>
      <c r="AC40" s="613"/>
      <c r="AD40" s="613"/>
      <c r="AE40" s="613">
        <f ca="1">P89</f>
        <v>57.36</v>
      </c>
      <c r="AF40" s="613"/>
      <c r="AG40" s="598" t="str">
        <f>IF(Arb!$AJ$28=1,"Total Clicks : ","总点击 : ")&amp;ROUND(SUM(Arb!U:V)/10000,2)&amp;IF(Arb!$AJ$28=1," 10k","万次")</f>
        <v>总点击 : 33.5万次</v>
      </c>
      <c r="AH40" s="598"/>
      <c r="AI40" s="598"/>
      <c r="AJ40" s="598"/>
      <c r="AL40" s="257"/>
      <c r="AM40" s="257"/>
      <c r="AN40" s="433">
        <v>40</v>
      </c>
      <c r="AO40" s="302">
        <f ca="1">BV!C40</f>
        <v>9.73</v>
      </c>
      <c r="AP40" s="11" t="str">
        <f ca="1">BV!K40</f>
        <v/>
      </c>
      <c r="AQ40" s="11" t="str">
        <f ca="1">BV!S40</f>
        <v/>
      </c>
      <c r="AR40" s="11" t="str">
        <f ca="1">BV!AA40</f>
        <v/>
      </c>
      <c r="AS40" s="11" t="str">
        <f ca="1">BV!AI40</f>
        <v/>
      </c>
      <c r="AT40" s="11" t="str">
        <f ca="1">BV!AQ40</f>
        <v/>
      </c>
      <c r="AU40" s="11" t="str">
        <f ca="1">BV!AY40</f>
        <v/>
      </c>
      <c r="AV40" s="11" t="str">
        <f ca="1">BV!BG40</f>
        <v/>
      </c>
      <c r="AW40" s="11" t="str">
        <f ca="1">BV!BO40</f>
        <v/>
      </c>
      <c r="AX40" s="11" t="str">
        <f ca="1">BV!BW40</f>
        <v/>
      </c>
      <c r="AY40" s="271" t="s">
        <v>67</v>
      </c>
      <c r="AZ40" s="274">
        <f t="shared" si="7"/>
        <v>3.7427699419698253</v>
      </c>
      <c r="BA40" s="261">
        <v>1.808131690693277E-4</v>
      </c>
      <c r="BB40" s="56">
        <v>2.2810017468745503E-2</v>
      </c>
      <c r="BC40" s="56">
        <f t="shared" si="11"/>
        <v>7.9269193597540904E-3</v>
      </c>
      <c r="BD40" s="13">
        <f ca="1">IF(BV!H40="","",INT(NOW()-BV!H40))</f>
        <v>375</v>
      </c>
      <c r="BE40" s="275">
        <f t="shared" si="12"/>
        <v>74.367806320216417</v>
      </c>
      <c r="BF40" s="301">
        <f ca="1">BV!G40</f>
        <v>39.54759899195507</v>
      </c>
      <c r="BG40" s="11" t="str">
        <f ca="1">BV!O40</f>
        <v/>
      </c>
      <c r="BH40" s="11" t="str">
        <f ca="1">BV!W40</f>
        <v/>
      </c>
      <c r="BI40" s="11" t="str">
        <f ca="1">BV!AE40</f>
        <v/>
      </c>
      <c r="BJ40" s="11" t="str">
        <f ca="1">BV!AM40</f>
        <v/>
      </c>
      <c r="BK40" s="11" t="str">
        <f ca="1">BV!AU40</f>
        <v/>
      </c>
      <c r="BL40" s="11" t="str">
        <f ca="1">BV!BC40</f>
        <v/>
      </c>
      <c r="BM40" s="11" t="str">
        <f ca="1">BV!BK40</f>
        <v/>
      </c>
      <c r="BN40" s="11" t="str">
        <f ca="1">BV!BS40</f>
        <v/>
      </c>
      <c r="BO40" s="11" t="str">
        <f ca="1">BV!CA40</f>
        <v/>
      </c>
      <c r="BP40" s="433">
        <v>40</v>
      </c>
      <c r="BQ40" s="11">
        <f ca="1">IFERROR(YEAR(OFFSET(BV!$H40,,(COLUMN()-69)*8)),"")</f>
        <v>2019</v>
      </c>
      <c r="BR40" s="11" t="str">
        <f ca="1">IFERROR(YEAR(OFFSET(BV!$H40,,(COLUMN()-69)*8)),"")</f>
        <v/>
      </c>
      <c r="BS40" s="11" t="str">
        <f ca="1">IFERROR(YEAR(OFFSET(BV!$H40,,(COLUMN()-69)*8)),"")</f>
        <v/>
      </c>
      <c r="BT40" s="11" t="str">
        <f ca="1">IFERROR(YEAR(OFFSET(BV!$H40,,(COLUMN()-69)*8)),"")</f>
        <v/>
      </c>
      <c r="BU40" s="11" t="str">
        <f ca="1">IFERROR(YEAR(OFFSET(BV!$H40,,(COLUMN()-69)*8)),"")</f>
        <v/>
      </c>
      <c r="BV40" s="11" t="str">
        <f ca="1">IFERROR(YEAR(OFFSET(BV!$H40,,(COLUMN()-69)*8)),"")</f>
        <v/>
      </c>
      <c r="BW40" s="11" t="str">
        <f ca="1">IFERROR(YEAR(OFFSET(BV!$H40,,(COLUMN()-69)*8)),"")</f>
        <v/>
      </c>
      <c r="BX40" s="11" t="str">
        <f ca="1">IFERROR(YEAR(OFFSET(BV!$H40,,(COLUMN()-69)*8)),"")</f>
        <v/>
      </c>
      <c r="BY40" s="11" t="str">
        <f ca="1">IFERROR(YEAR(OFFSET(BV!$H40,,(COLUMN()-69)*8)),"")</f>
        <v/>
      </c>
      <c r="BZ40" s="11" t="str">
        <f ca="1">IFERROR(YEAR(OFFSET(BV!$H40,,(COLUMN()-69)*8)),"")</f>
        <v/>
      </c>
    </row>
    <row r="41" spans="1:78" x14ac:dyDescent="0.25">
      <c r="A41" s="433">
        <v>41</v>
      </c>
      <c r="B41" s="11" t="str">
        <f ca="1">BV!D41</f>
        <v/>
      </c>
      <c r="C41" s="11" t="str">
        <f ca="1">BV!L41</f>
        <v/>
      </c>
      <c r="D41" s="11" t="str">
        <f ca="1">BV!T41</f>
        <v/>
      </c>
      <c r="E41" s="11" t="str">
        <f ca="1">BV!AB41</f>
        <v/>
      </c>
      <c r="F41" s="11" t="str">
        <f ca="1">BV!AJ41</f>
        <v/>
      </c>
      <c r="G41" s="11" t="str">
        <f ca="1">BV!AR41</f>
        <v/>
      </c>
      <c r="H41" s="11" t="str">
        <f ca="1">BV!AZ41</f>
        <v/>
      </c>
      <c r="I41" s="11" t="str">
        <f ca="1">BV!BH41</f>
        <v/>
      </c>
      <c r="J41" s="11" t="str">
        <f ca="1">BV!BP41</f>
        <v/>
      </c>
      <c r="K41" s="11" t="str">
        <f ca="1">BV!BX41</f>
        <v/>
      </c>
      <c r="L41" s="271" t="s">
        <v>67</v>
      </c>
      <c r="M41" s="261">
        <v>1.126286256003985E-4</v>
      </c>
      <c r="N41" s="272" t="str">
        <f t="shared" ca="1" si="8"/>
        <v/>
      </c>
      <c r="O41" s="36" t="s">
        <v>22</v>
      </c>
      <c r="P41" s="20">
        <f t="shared" ref="P41:Y41" ca="1" si="54">SUMPRODUCT(B$125:B$167,$M$125:$M$167)/SUM($M125:$M167)</f>
        <v>0</v>
      </c>
      <c r="Q41" s="20">
        <f t="shared" ca="1" si="54"/>
        <v>0</v>
      </c>
      <c r="R41" s="20">
        <f t="shared" ca="1" si="54"/>
        <v>0</v>
      </c>
      <c r="S41" s="20">
        <f t="shared" ca="1" si="54"/>
        <v>0</v>
      </c>
      <c r="T41" s="20">
        <f t="shared" ca="1" si="54"/>
        <v>0</v>
      </c>
      <c r="U41" s="20">
        <f t="shared" ca="1" si="54"/>
        <v>0</v>
      </c>
      <c r="V41" s="20">
        <f t="shared" ca="1" si="54"/>
        <v>0</v>
      </c>
      <c r="W41" s="20">
        <f t="shared" ca="1" si="54"/>
        <v>0</v>
      </c>
      <c r="X41" s="20">
        <f t="shared" ca="1" si="54"/>
        <v>0</v>
      </c>
      <c r="Y41" s="20">
        <f t="shared" ca="1" si="54"/>
        <v>0</v>
      </c>
      <c r="Z41" s="2">
        <f t="shared" ca="1" si="43"/>
        <v>0</v>
      </c>
      <c r="AA41" s="617" t="str">
        <f ca="1">"ColorASB "&amp;COUNTIF(P2:Y24,"&gt;0")&amp;"/230"</f>
        <v>ColorASB 181/230</v>
      </c>
      <c r="AB41" s="618"/>
      <c r="AC41" s="619"/>
      <c r="AD41" s="623" t="s">
        <v>632</v>
      </c>
      <c r="AE41" s="624"/>
      <c r="AF41" s="606"/>
      <c r="AG41" s="607" t="str">
        <f>IF(Arb!$AJ$28=1,"Total Path : ","总移动 : ")&amp;ROUND(SUM(Arb!AC:AC)/16/10000,2)&amp;IF(Arb!$AJ$28=1," 10k","万格")</f>
        <v>总移动 : 76.3万格</v>
      </c>
      <c r="AH41" s="608"/>
      <c r="AI41" s="608"/>
      <c r="AJ41" s="609"/>
      <c r="AL41" s="590" t="str">
        <f>IF(Arb!$AJ$28=1,"/10","阶")</f>
        <v>阶</v>
      </c>
      <c r="AM41" s="590"/>
      <c r="AN41" s="433">
        <v>41</v>
      </c>
      <c r="AO41" s="11" t="str">
        <f ca="1">BV!C41</f>
        <v/>
      </c>
      <c r="AP41" s="11" t="str">
        <f ca="1">BV!K41</f>
        <v/>
      </c>
      <c r="AQ41" s="11" t="str">
        <f ca="1">BV!S41</f>
        <v/>
      </c>
      <c r="AR41" s="11" t="str">
        <f ca="1">BV!AA41</f>
        <v/>
      </c>
      <c r="AS41" s="11" t="str">
        <f ca="1">BV!AI41</f>
        <v/>
      </c>
      <c r="AT41" s="11" t="str">
        <f ca="1">BV!AQ41</f>
        <v/>
      </c>
      <c r="AU41" s="11" t="str">
        <f ca="1">BV!AY41</f>
        <v/>
      </c>
      <c r="AV41" s="11" t="str">
        <f ca="1">BV!BG41</f>
        <v/>
      </c>
      <c r="AW41" s="11" t="str">
        <f ca="1">BV!BO41</f>
        <v/>
      </c>
      <c r="AX41" s="11" t="str">
        <f ca="1">BV!BW41</f>
        <v/>
      </c>
      <c r="AY41" s="271" t="s">
        <v>67</v>
      </c>
      <c r="AZ41" s="274">
        <f t="shared" si="7"/>
        <v>3.9483512155209564</v>
      </c>
      <c r="BA41" s="261">
        <v>1.126286256003985E-4</v>
      </c>
      <c r="BB41" s="56">
        <v>2.2810017468745503E-2</v>
      </c>
      <c r="BC41" s="56">
        <f t="shared" si="11"/>
        <v>4.9376825666496435E-3</v>
      </c>
      <c r="BD41" s="13" t="str">
        <f ca="1">IF(BV!H41="","",INT(NOW()-BV!H41))</f>
        <v/>
      </c>
      <c r="BE41" s="275">
        <f t="shared" si="12"/>
        <v>94.227052829745659</v>
      </c>
      <c r="BF41" s="11" t="str">
        <f ca="1">BV!G41</f>
        <v/>
      </c>
      <c r="BG41" s="11" t="str">
        <f ca="1">BV!O41</f>
        <v/>
      </c>
      <c r="BH41" s="11" t="str">
        <f ca="1">BV!W41</f>
        <v/>
      </c>
      <c r="BI41" s="11" t="str">
        <f ca="1">BV!AE41</f>
        <v/>
      </c>
      <c r="BJ41" s="11" t="str">
        <f ca="1">BV!AM41</f>
        <v/>
      </c>
      <c r="BK41" s="11" t="str">
        <f ca="1">BV!AU41</f>
        <v/>
      </c>
      <c r="BL41" s="11" t="str">
        <f ca="1">BV!BC41</f>
        <v/>
      </c>
      <c r="BM41" s="11" t="str">
        <f ca="1">BV!BK41</f>
        <v/>
      </c>
      <c r="BN41" s="11" t="str">
        <f ca="1">BV!BS41</f>
        <v/>
      </c>
      <c r="BO41" s="11" t="str">
        <f ca="1">BV!CA41</f>
        <v/>
      </c>
      <c r="BP41" s="433">
        <v>41</v>
      </c>
      <c r="BQ41" s="11" t="str">
        <f ca="1">IFERROR(YEAR(OFFSET(BV!$H41,,(COLUMN()-69)*8)),"")</f>
        <v/>
      </c>
      <c r="BR41" s="11" t="str">
        <f ca="1">IFERROR(YEAR(OFFSET(BV!$H41,,(COLUMN()-69)*8)),"")</f>
        <v/>
      </c>
      <c r="BS41" s="11" t="str">
        <f ca="1">IFERROR(YEAR(OFFSET(BV!$H41,,(COLUMN()-69)*8)),"")</f>
        <v/>
      </c>
      <c r="BT41" s="11" t="str">
        <f ca="1">IFERROR(YEAR(OFFSET(BV!$H41,,(COLUMN()-69)*8)),"")</f>
        <v/>
      </c>
      <c r="BU41" s="11" t="str">
        <f ca="1">IFERROR(YEAR(OFFSET(BV!$H41,,(COLUMN()-69)*8)),"")</f>
        <v/>
      </c>
      <c r="BV41" s="11" t="str">
        <f ca="1">IFERROR(YEAR(OFFSET(BV!$H41,,(COLUMN()-69)*8)),"")</f>
        <v/>
      </c>
      <c r="BW41" s="11" t="str">
        <f ca="1">IFERROR(YEAR(OFFSET(BV!$H41,,(COLUMN()-69)*8)),"")</f>
        <v/>
      </c>
      <c r="BX41" s="11" t="str">
        <f ca="1">IFERROR(YEAR(OFFSET(BV!$H41,,(COLUMN()-69)*8)),"")</f>
        <v/>
      </c>
      <c r="BY41" s="11" t="str">
        <f ca="1">IFERROR(YEAR(OFFSET(BV!$H41,,(COLUMN()-69)*8)),"")</f>
        <v/>
      </c>
      <c r="BZ41" s="11" t="str">
        <f ca="1">IFERROR(YEAR(OFFSET(BV!$H41,,(COLUMN()-69)*8)),"")</f>
        <v/>
      </c>
    </row>
    <row r="42" spans="1:78" x14ac:dyDescent="0.25">
      <c r="A42" s="433">
        <v>42</v>
      </c>
      <c r="B42" s="11" t="str">
        <f ca="1">BV!D42</f>
        <v/>
      </c>
      <c r="C42" s="11" t="str">
        <f ca="1">BV!L42</f>
        <v/>
      </c>
      <c r="D42" s="11" t="str">
        <f ca="1">BV!T42</f>
        <v/>
      </c>
      <c r="E42" s="11" t="str">
        <f ca="1">BV!AB42</f>
        <v/>
      </c>
      <c r="F42" s="11" t="str">
        <f ca="1">BV!AJ42</f>
        <v/>
      </c>
      <c r="G42" s="11" t="str">
        <f ca="1">BV!AR42</f>
        <v/>
      </c>
      <c r="H42" s="11" t="str">
        <f ca="1">BV!AZ42</f>
        <v/>
      </c>
      <c r="I42" s="11" t="str">
        <f ca="1">BV!BH42</f>
        <v/>
      </c>
      <c r="J42" s="11" t="str">
        <f ca="1">BV!BP42</f>
        <v/>
      </c>
      <c r="K42" s="11" t="str">
        <f ca="1">BV!BX42</f>
        <v/>
      </c>
      <c r="L42" s="64" t="s">
        <v>66</v>
      </c>
      <c r="M42" s="261">
        <v>6.5369154619369002E-5</v>
      </c>
      <c r="N42" s="262" t="str">
        <f t="shared" ca="1" si="8"/>
        <v/>
      </c>
      <c r="O42" s="24" t="s">
        <v>35</v>
      </c>
      <c r="P42" s="673">
        <f t="shared" ref="P42:Y42" ca="1" si="55">SUMPRODUCT(B$242:B$271,$M$242:$M$271)/SUM($M242:$M271)</f>
        <v>0.78767503582122733</v>
      </c>
      <c r="Q42" s="673">
        <f t="shared" ca="1" si="55"/>
        <v>0.54171879115962174</v>
      </c>
      <c r="R42" s="674">
        <f t="shared" ca="1" si="55"/>
        <v>0.2261260832439399</v>
      </c>
      <c r="S42" s="20">
        <f t="shared" ca="1" si="55"/>
        <v>0</v>
      </c>
      <c r="T42" s="20">
        <f t="shared" ca="1" si="55"/>
        <v>0</v>
      </c>
      <c r="U42" s="20">
        <f t="shared" ca="1" si="55"/>
        <v>0</v>
      </c>
      <c r="V42" s="20">
        <f t="shared" ca="1" si="55"/>
        <v>0</v>
      </c>
      <c r="W42" s="306">
        <f t="shared" ca="1" si="55"/>
        <v>0</v>
      </c>
      <c r="X42" s="20">
        <f t="shared" ca="1" si="55"/>
        <v>0</v>
      </c>
      <c r="Y42" s="20">
        <f t="shared" ca="1" si="55"/>
        <v>0</v>
      </c>
      <c r="Z42" s="2">
        <f t="shared" ca="1" si="43"/>
        <v>1.5555199102247892</v>
      </c>
      <c r="AA42" s="617" t="str">
        <f ca="1">"ColorTT "&amp;COUNTIF(P336:Y339,"&lt;10")+COUNTIF(P340:Y347,"&lt;30")+COUNTIF(P348:Y358,"&lt;89")&amp;"/230"</f>
        <v>ColorTT 122/230</v>
      </c>
      <c r="AB42" s="618"/>
      <c r="AC42" s="619"/>
      <c r="AD42" s="614" t="str">
        <f ca="1">"SumTime="&amp;P90</f>
        <v>SumTime=73.77</v>
      </c>
      <c r="AE42" s="615"/>
      <c r="AF42" s="616"/>
      <c r="AG42" s="607" t="str">
        <f ca="1">IF(Arb!$AJ$28=1,"Total Active : ","天数 : ")&amp;Arb!AK$35&amp;IF(Arb!$AJ$28=1,"Days","天")</f>
        <v>天数 : 254天</v>
      </c>
      <c r="AH42" s="608"/>
      <c r="AI42" s="608"/>
      <c r="AJ42" s="609"/>
      <c r="AL42" s="590" t="str">
        <f>IF(Arb!$AJ$28=1,"Calculation ","计算")</f>
        <v>计算</v>
      </c>
      <c r="AM42" s="590"/>
      <c r="AN42" s="433">
        <v>42</v>
      </c>
      <c r="AO42" s="11" t="str">
        <f ca="1">BV!C42</f>
        <v/>
      </c>
      <c r="AP42" s="11" t="str">
        <f ca="1">BV!K42</f>
        <v/>
      </c>
      <c r="AQ42" s="11" t="str">
        <f ca="1">BV!S42</f>
        <v/>
      </c>
      <c r="AR42" s="11" t="str">
        <f ca="1">BV!AA42</f>
        <v/>
      </c>
      <c r="AS42" s="11" t="str">
        <f ca="1">BV!AI42</f>
        <v/>
      </c>
      <c r="AT42" s="11" t="str">
        <f ca="1">BV!AQ42</f>
        <v/>
      </c>
      <c r="AU42" s="11" t="str">
        <f ca="1">BV!AY42</f>
        <v/>
      </c>
      <c r="AV42" s="11" t="str">
        <f ca="1">BV!BG42</f>
        <v/>
      </c>
      <c r="AW42" s="11" t="str">
        <f ca="1">BV!BO42</f>
        <v/>
      </c>
      <c r="AX42" s="11" t="str">
        <f ca="1">BV!BW42</f>
        <v/>
      </c>
      <c r="AY42" s="64" t="s">
        <v>66</v>
      </c>
      <c r="AZ42" s="38">
        <f t="shared" si="7"/>
        <v>4.1846271314715482</v>
      </c>
      <c r="BA42" s="261">
        <v>6.5369154619369002E-5</v>
      </c>
      <c r="BB42" s="56">
        <v>2.2810017468745503E-2</v>
      </c>
      <c r="BC42" s="56">
        <f t="shared" si="11"/>
        <v>2.8658090555580863E-3</v>
      </c>
      <c r="BD42" s="13" t="str">
        <f ca="1">IF(BV!H42="","",INT(NOW()-BV!H42))</f>
        <v/>
      </c>
      <c r="BE42" s="270">
        <f t="shared" si="12"/>
        <v>123.68401242897544</v>
      </c>
      <c r="BF42" s="11" t="str">
        <f ca="1">BV!G42</f>
        <v/>
      </c>
      <c r="BG42" s="11" t="str">
        <f ca="1">BV!O42</f>
        <v/>
      </c>
      <c r="BH42" s="11" t="str">
        <f ca="1">BV!W42</f>
        <v/>
      </c>
      <c r="BI42" s="11" t="str">
        <f ca="1">BV!AE42</f>
        <v/>
      </c>
      <c r="BJ42" s="11" t="str">
        <f ca="1">BV!AM42</f>
        <v/>
      </c>
      <c r="BK42" s="11" t="str">
        <f ca="1">BV!AU42</f>
        <v/>
      </c>
      <c r="BL42" s="11" t="str">
        <f ca="1">BV!BC42</f>
        <v/>
      </c>
      <c r="BM42" s="11" t="str">
        <f ca="1">BV!BK42</f>
        <v/>
      </c>
      <c r="BN42" s="11" t="str">
        <f ca="1">BV!BS42</f>
        <v/>
      </c>
      <c r="BO42" s="11" t="str">
        <f ca="1">BV!CA42</f>
        <v/>
      </c>
      <c r="BP42" s="433">
        <v>42</v>
      </c>
      <c r="BQ42" s="11" t="str">
        <f ca="1">IFERROR(YEAR(OFFSET(BV!$H42,,(COLUMN()-69)*8)),"")</f>
        <v/>
      </c>
      <c r="BR42" s="11" t="str">
        <f ca="1">IFERROR(YEAR(OFFSET(BV!$H42,,(COLUMN()-69)*8)),"")</f>
        <v/>
      </c>
      <c r="BS42" s="11" t="str">
        <f ca="1">IFERROR(YEAR(OFFSET(BV!$H42,,(COLUMN()-69)*8)),"")</f>
        <v/>
      </c>
      <c r="BT42" s="11" t="str">
        <f ca="1">IFERROR(YEAR(OFFSET(BV!$H42,,(COLUMN()-69)*8)),"")</f>
        <v/>
      </c>
      <c r="BU42" s="11" t="str">
        <f ca="1">IFERROR(YEAR(OFFSET(BV!$H42,,(COLUMN()-69)*8)),"")</f>
        <v/>
      </c>
      <c r="BV42" s="11" t="str">
        <f ca="1">IFERROR(YEAR(OFFSET(BV!$H42,,(COLUMN()-69)*8)),"")</f>
        <v/>
      </c>
      <c r="BW42" s="11" t="str">
        <f ca="1">IFERROR(YEAR(OFFSET(BV!$H42,,(COLUMN()-69)*8)),"")</f>
        <v/>
      </c>
      <c r="BX42" s="11" t="str">
        <f ca="1">IFERROR(YEAR(OFFSET(BV!$H42,,(COLUMN()-69)*8)),"")</f>
        <v/>
      </c>
      <c r="BY42" s="11" t="str">
        <f ca="1">IFERROR(YEAR(OFFSET(BV!$H42,,(COLUMN()-69)*8)),"")</f>
        <v/>
      </c>
      <c r="BZ42" s="11" t="str">
        <f ca="1">IFERROR(YEAR(OFFSET(BV!$H42,,(COLUMN()-69)*8)),"")</f>
        <v/>
      </c>
    </row>
    <row r="43" spans="1:78" x14ac:dyDescent="0.25">
      <c r="A43" s="433">
        <v>43</v>
      </c>
      <c r="B43" s="11" t="str">
        <f ca="1">BV!D43</f>
        <v/>
      </c>
      <c r="C43" s="11" t="str">
        <f ca="1">BV!L43</f>
        <v/>
      </c>
      <c r="D43" s="11" t="str">
        <f ca="1">BV!T43</f>
        <v/>
      </c>
      <c r="E43" s="11" t="str">
        <f ca="1">BV!AB43</f>
        <v/>
      </c>
      <c r="F43" s="11" t="str">
        <f ca="1">BV!AJ43</f>
        <v/>
      </c>
      <c r="G43" s="11" t="str">
        <f ca="1">BV!AR43</f>
        <v/>
      </c>
      <c r="H43" s="11" t="str">
        <f ca="1">BV!AZ43</f>
        <v/>
      </c>
      <c r="I43" s="11" t="str">
        <f ca="1">BV!BH43</f>
        <v/>
      </c>
      <c r="J43" s="11" t="str">
        <f ca="1">BV!BP43</f>
        <v/>
      </c>
      <c r="K43" s="11" t="str">
        <f ca="1">BV!BX43</f>
        <v/>
      </c>
      <c r="L43" s="64" t="s">
        <v>66</v>
      </c>
      <c r="M43" s="261">
        <v>8.0216637738625017E-5</v>
      </c>
      <c r="N43" s="262" t="str">
        <f t="shared" ca="1" si="8"/>
        <v/>
      </c>
      <c r="O43" s="24" t="s">
        <v>23</v>
      </c>
      <c r="P43" s="666">
        <f t="shared" ref="P43:Y43" ca="1" si="56">SUMPRODUCT(B$272:B$281,$M$272:$M$281)/SUM($M272:$M281)</f>
        <v>2.1081498906226113</v>
      </c>
      <c r="Q43" s="671">
        <f t="shared" ca="1" si="56"/>
        <v>1.8460221410036508</v>
      </c>
      <c r="R43" s="675">
        <f t="shared" ca="1" si="56"/>
        <v>1.4470909190655012</v>
      </c>
      <c r="S43" s="675">
        <f t="shared" ca="1" si="56"/>
        <v>1.1873412645074599</v>
      </c>
      <c r="T43" s="673">
        <f t="shared" ca="1" si="56"/>
        <v>0.7150779993720412</v>
      </c>
      <c r="U43" s="673">
        <f t="shared" ca="1" si="56"/>
        <v>0.67865949214397248</v>
      </c>
      <c r="V43" s="673">
        <f t="shared" ca="1" si="56"/>
        <v>0.51786128444427404</v>
      </c>
      <c r="W43" s="677">
        <f t="shared" ca="1" si="56"/>
        <v>0.25061131889593979</v>
      </c>
      <c r="X43" s="20">
        <f t="shared" ca="1" si="56"/>
        <v>0</v>
      </c>
      <c r="Y43" s="20">
        <f t="shared" ca="1" si="56"/>
        <v>0</v>
      </c>
      <c r="Z43" s="2">
        <f t="shared" ca="1" si="43"/>
        <v>8.7508143100554516</v>
      </c>
      <c r="AA43" s="617" t="str">
        <f ca="1">"BvNum "&amp;S119</f>
        <v>BvNum 201/352</v>
      </c>
      <c r="AB43" s="618"/>
      <c r="AC43" s="619"/>
      <c r="AD43" s="614" t="str">
        <f ca="1">"SumBvs="&amp;ROUND(Q90,3)</f>
        <v>SumBvs=11.186</v>
      </c>
      <c r="AE43" s="615"/>
      <c r="AF43" s="616"/>
      <c r="AG43" s="607" t="str">
        <f>IF(Arb!$AJ$28=1,"Days Cover : ","跨度 : ")&amp;DATE(Arb!AS30,Arb!AS31,Arb!AS32)-DATE(Arb!AS33,Arb!AS34,Arb!AS35)&amp;IF(Arb!$AJ$28=1,"Days","天")</f>
        <v>跨度 : 413天</v>
      </c>
      <c r="AH43" s="608"/>
      <c r="AI43" s="608"/>
      <c r="AJ43" s="609"/>
      <c r="AL43" s="590" t="str">
        <f>IF(Arb!$AJ$28=1,"Cost ","耗时")</f>
        <v>耗时</v>
      </c>
      <c r="AM43" s="590"/>
      <c r="AN43" s="433">
        <v>43</v>
      </c>
      <c r="AO43" s="11" t="str">
        <f ca="1">BV!C43</f>
        <v/>
      </c>
      <c r="AP43" s="11" t="str">
        <f ca="1">BV!K43</f>
        <v/>
      </c>
      <c r="AQ43" s="11" t="str">
        <f ca="1">BV!S43</f>
        <v/>
      </c>
      <c r="AR43" s="11" t="str">
        <f ca="1">BV!AA43</f>
        <v/>
      </c>
      <c r="AS43" s="11" t="str">
        <f ca="1">BV!AI43</f>
        <v/>
      </c>
      <c r="AT43" s="11" t="str">
        <f ca="1">BV!AQ43</f>
        <v/>
      </c>
      <c r="AU43" s="11" t="str">
        <f ca="1">BV!AY43</f>
        <v/>
      </c>
      <c r="AV43" s="11" t="str">
        <f ca="1">BV!BG43</f>
        <v/>
      </c>
      <c r="AW43" s="11" t="str">
        <f ca="1">BV!BO43</f>
        <v/>
      </c>
      <c r="AX43" s="11" t="str">
        <f ca="1">BV!BW43</f>
        <v/>
      </c>
      <c r="AY43" s="64" t="s">
        <v>66</v>
      </c>
      <c r="AZ43" s="38">
        <f t="shared" si="7"/>
        <v>4.0957355453232536</v>
      </c>
      <c r="BA43" s="261">
        <v>8.0216637738625017E-5</v>
      </c>
      <c r="BB43" s="56">
        <v>2.2810017468745503E-2</v>
      </c>
      <c r="BC43" s="56">
        <f t="shared" si="11"/>
        <v>3.5167284658391253E-3</v>
      </c>
      <c r="BD43" s="13" t="str">
        <f ca="1">IF(BV!H43="","",INT(NOW()-BV!H43))</f>
        <v/>
      </c>
      <c r="BE43" s="270">
        <f t="shared" si="12"/>
        <v>111.65232541095288</v>
      </c>
      <c r="BF43" s="11" t="str">
        <f ca="1">BV!G43</f>
        <v/>
      </c>
      <c r="BG43" s="11" t="str">
        <f ca="1">BV!O43</f>
        <v/>
      </c>
      <c r="BH43" s="11" t="str">
        <f ca="1">BV!W43</f>
        <v/>
      </c>
      <c r="BI43" s="11" t="str">
        <f ca="1">BV!AE43</f>
        <v/>
      </c>
      <c r="BJ43" s="11" t="str">
        <f ca="1">BV!AM43</f>
        <v/>
      </c>
      <c r="BK43" s="11" t="str">
        <f ca="1">BV!AU43</f>
        <v/>
      </c>
      <c r="BL43" s="11" t="str">
        <f ca="1">BV!BC43</f>
        <v/>
      </c>
      <c r="BM43" s="11" t="str">
        <f ca="1">BV!BK43</f>
        <v/>
      </c>
      <c r="BN43" s="11" t="str">
        <f ca="1">BV!BS43</f>
        <v/>
      </c>
      <c r="BO43" s="11" t="str">
        <f ca="1">BV!CA43</f>
        <v/>
      </c>
      <c r="BP43" s="433">
        <v>43</v>
      </c>
      <c r="BQ43" s="11" t="str">
        <f ca="1">IFERROR(YEAR(OFFSET(BV!$H43,,(COLUMN()-69)*8)),"")</f>
        <v/>
      </c>
      <c r="BR43" s="11" t="str">
        <f ca="1">IFERROR(YEAR(OFFSET(BV!$H43,,(COLUMN()-69)*8)),"")</f>
        <v/>
      </c>
      <c r="BS43" s="11" t="str">
        <f ca="1">IFERROR(YEAR(OFFSET(BV!$H43,,(COLUMN()-69)*8)),"")</f>
        <v/>
      </c>
      <c r="BT43" s="11" t="str">
        <f ca="1">IFERROR(YEAR(OFFSET(BV!$H43,,(COLUMN()-69)*8)),"")</f>
        <v/>
      </c>
      <c r="BU43" s="11" t="str">
        <f ca="1">IFERROR(YEAR(OFFSET(BV!$H43,,(COLUMN()-69)*8)),"")</f>
        <v/>
      </c>
      <c r="BV43" s="11" t="str">
        <f ca="1">IFERROR(YEAR(OFFSET(BV!$H43,,(COLUMN()-69)*8)),"")</f>
        <v/>
      </c>
      <c r="BW43" s="11" t="str">
        <f ca="1">IFERROR(YEAR(OFFSET(BV!$H43,,(COLUMN()-69)*8)),"")</f>
        <v/>
      </c>
      <c r="BX43" s="11" t="str">
        <f ca="1">IFERROR(YEAR(OFFSET(BV!$H43,,(COLUMN()-69)*8)),"")</f>
        <v/>
      </c>
      <c r="BY43" s="11" t="str">
        <f ca="1">IFERROR(YEAR(OFFSET(BV!$H43,,(COLUMN()-69)*8)),"")</f>
        <v/>
      </c>
      <c r="BZ43" s="11" t="str">
        <f ca="1">IFERROR(YEAR(OFFSET(BV!$H43,,(COLUMN()-69)*8)),"")</f>
        <v/>
      </c>
    </row>
    <row r="44" spans="1:78" x14ac:dyDescent="0.25">
      <c r="A44" s="433">
        <v>44</v>
      </c>
      <c r="B44" s="11" t="str">
        <f ca="1">BV!D44</f>
        <v/>
      </c>
      <c r="C44" s="11" t="str">
        <f ca="1">BV!L44</f>
        <v/>
      </c>
      <c r="D44" s="11" t="str">
        <f ca="1">BV!T44</f>
        <v/>
      </c>
      <c r="E44" s="11" t="str">
        <f ca="1">BV!AB44</f>
        <v/>
      </c>
      <c r="F44" s="11" t="str">
        <f ca="1">BV!AJ44</f>
        <v/>
      </c>
      <c r="G44" s="11" t="str">
        <f ca="1">BV!AR44</f>
        <v/>
      </c>
      <c r="H44" s="11" t="str">
        <f ca="1">BV!AZ44</f>
        <v/>
      </c>
      <c r="I44" s="11" t="str">
        <f ca="1">BV!BH44</f>
        <v/>
      </c>
      <c r="J44" s="11" t="str">
        <f ca="1">BV!BP44</f>
        <v/>
      </c>
      <c r="K44" s="11" t="str">
        <f ca="1">BV!BX44</f>
        <v/>
      </c>
      <c r="L44" s="64" t="s">
        <v>66</v>
      </c>
      <c r="M44" s="261">
        <v>3.1262134402786873E-5</v>
      </c>
      <c r="N44" s="262" t="str">
        <f t="shared" ca="1" si="8"/>
        <v/>
      </c>
      <c r="O44" s="24" t="s">
        <v>24</v>
      </c>
      <c r="P44" s="665">
        <f t="shared" ref="P44:Y44" ca="1" si="57">SUMPRODUCT(B$282:B$291,$M$282:$M$291)/SUM($M282:$M291)</f>
        <v>2.3383112030368585</v>
      </c>
      <c r="Q44" s="666">
        <f t="shared" ca="1" si="57"/>
        <v>2.2226733189921979</v>
      </c>
      <c r="R44" s="666">
        <f t="shared" ca="1" si="57"/>
        <v>2.0521316991639904</v>
      </c>
      <c r="S44" s="666">
        <f t="shared" ca="1" si="57"/>
        <v>2.0147617159845548</v>
      </c>
      <c r="T44" s="671">
        <f t="shared" ca="1" si="57"/>
        <v>1.9536596862450368</v>
      </c>
      <c r="U44" s="671">
        <f t="shared" ca="1" si="57"/>
        <v>1.9042429568471224</v>
      </c>
      <c r="V44" s="671">
        <f t="shared" ca="1" si="57"/>
        <v>1.8386006887845172</v>
      </c>
      <c r="W44" s="675">
        <f t="shared" ca="1" si="57"/>
        <v>1.3785372367558051</v>
      </c>
      <c r="X44" s="673">
        <f t="shared" ca="1" si="57"/>
        <v>0.86037993353299491</v>
      </c>
      <c r="Y44" s="673">
        <f t="shared" ca="1" si="57"/>
        <v>0.82414384543653396</v>
      </c>
      <c r="Z44" s="2">
        <f t="shared" ca="1" si="43"/>
        <v>17.387442284779613</v>
      </c>
      <c r="AA44" s="654" t="str">
        <f>IF(Arb!$AJ$28=1,"TT.1","第1典型时")</f>
        <v>第1典型时</v>
      </c>
      <c r="AB44" s="655"/>
      <c r="AC44" s="655"/>
      <c r="AD44" s="656"/>
      <c r="AE44" s="599" t="str">
        <f>IF(Arb!$AJ$28=1,"Value","原始值")</f>
        <v>原始值</v>
      </c>
      <c r="AF44" s="599"/>
      <c r="AG44" s="601" t="str">
        <f>IF(Arb!$AJ$28=1,"Index","项目")</f>
        <v>项目</v>
      </c>
      <c r="AH44" s="602"/>
      <c r="AI44" s="601" t="str">
        <f>IF(Arb!$AJ$28=1,"Value","分值")</f>
        <v>分值</v>
      </c>
      <c r="AJ44" s="602"/>
      <c r="AL44" s="590" t="str">
        <f>IF(Arb!$AJ$28=1,"Games/s","局每秒")</f>
        <v>局每秒</v>
      </c>
      <c r="AM44" s="590"/>
      <c r="AN44" s="433">
        <v>44</v>
      </c>
      <c r="AO44" s="11" t="str">
        <f ca="1">BV!C44</f>
        <v/>
      </c>
      <c r="AP44" s="11" t="str">
        <f ca="1">BV!K44</f>
        <v/>
      </c>
      <c r="AQ44" s="11" t="str">
        <f ca="1">BV!S44</f>
        <v/>
      </c>
      <c r="AR44" s="11" t="str">
        <f ca="1">BV!AA44</f>
        <v/>
      </c>
      <c r="AS44" s="11" t="str">
        <f ca="1">BV!AI44</f>
        <v/>
      </c>
      <c r="AT44" s="11" t="str">
        <f ca="1">BV!AQ44</f>
        <v/>
      </c>
      <c r="AU44" s="11" t="str">
        <f ca="1">BV!AY44</f>
        <v/>
      </c>
      <c r="AV44" s="11" t="str">
        <f ca="1">BV!BG44</f>
        <v/>
      </c>
      <c r="AW44" s="11" t="str">
        <f ca="1">BV!BO44</f>
        <v/>
      </c>
      <c r="AX44" s="11" t="str">
        <f ca="1">BV!BW44</f>
        <v/>
      </c>
      <c r="AY44" s="64" t="s">
        <v>66</v>
      </c>
      <c r="AZ44" s="38">
        <f t="shared" si="7"/>
        <v>4.5049813741188798</v>
      </c>
      <c r="BA44" s="261">
        <v>3.1262134402786873E-5</v>
      </c>
      <c r="BB44" s="56">
        <v>2.2810017468745503E-2</v>
      </c>
      <c r="BC44" s="56">
        <f t="shared" si="11"/>
        <v>1.3705440798378406E-3</v>
      </c>
      <c r="BD44" s="13" t="str">
        <f ca="1">IF(BV!H44="","",INT(NOW()-BV!H44))</f>
        <v/>
      </c>
      <c r="BE44" s="270">
        <f t="shared" si="12"/>
        <v>178.85071762382179</v>
      </c>
      <c r="BF44" s="11" t="str">
        <f ca="1">BV!G44</f>
        <v/>
      </c>
      <c r="BG44" s="11" t="str">
        <f ca="1">BV!O44</f>
        <v/>
      </c>
      <c r="BH44" s="11" t="str">
        <f ca="1">BV!W44</f>
        <v/>
      </c>
      <c r="BI44" s="11" t="str">
        <f ca="1">BV!AE44</f>
        <v/>
      </c>
      <c r="BJ44" s="11" t="str">
        <f ca="1">BV!AM44</f>
        <v/>
      </c>
      <c r="BK44" s="11" t="str">
        <f ca="1">BV!AU44</f>
        <v/>
      </c>
      <c r="BL44" s="11" t="str">
        <f ca="1">BV!BC44</f>
        <v/>
      </c>
      <c r="BM44" s="11" t="str">
        <f ca="1">BV!BK44</f>
        <v/>
      </c>
      <c r="BN44" s="11" t="str">
        <f ca="1">BV!BS44</f>
        <v/>
      </c>
      <c r="BO44" s="11" t="str">
        <f ca="1">BV!CA44</f>
        <v/>
      </c>
      <c r="BP44" s="433">
        <v>44</v>
      </c>
      <c r="BQ44" s="11" t="str">
        <f ca="1">IFERROR(YEAR(OFFSET(BV!$H44,,(COLUMN()-69)*8)),"")</f>
        <v/>
      </c>
      <c r="BR44" s="11" t="str">
        <f ca="1">IFERROR(YEAR(OFFSET(BV!$H44,,(COLUMN()-69)*8)),"")</f>
        <v/>
      </c>
      <c r="BS44" s="11" t="str">
        <f ca="1">IFERROR(YEAR(OFFSET(BV!$H44,,(COLUMN()-69)*8)),"")</f>
        <v/>
      </c>
      <c r="BT44" s="11" t="str">
        <f ca="1">IFERROR(YEAR(OFFSET(BV!$H44,,(COLUMN()-69)*8)),"")</f>
        <v/>
      </c>
      <c r="BU44" s="11" t="str">
        <f ca="1">IFERROR(YEAR(OFFSET(BV!$H44,,(COLUMN()-69)*8)),"")</f>
        <v/>
      </c>
      <c r="BV44" s="11" t="str">
        <f ca="1">IFERROR(YEAR(OFFSET(BV!$H44,,(COLUMN()-69)*8)),"")</f>
        <v/>
      </c>
      <c r="BW44" s="11" t="str">
        <f ca="1">IFERROR(YEAR(OFFSET(BV!$H44,,(COLUMN()-69)*8)),"")</f>
        <v/>
      </c>
      <c r="BX44" s="11" t="str">
        <f ca="1">IFERROR(YEAR(OFFSET(BV!$H44,,(COLUMN()-69)*8)),"")</f>
        <v/>
      </c>
      <c r="BY44" s="11" t="str">
        <f ca="1">IFERROR(YEAR(OFFSET(BV!$H44,,(COLUMN()-69)*8)),"")</f>
        <v/>
      </c>
      <c r="BZ44" s="11" t="str">
        <f ca="1">IFERROR(YEAR(OFFSET(BV!$H44,,(COLUMN()-69)*8)),"")</f>
        <v/>
      </c>
    </row>
    <row r="45" spans="1:78" x14ac:dyDescent="0.25">
      <c r="A45" s="433">
        <v>45</v>
      </c>
      <c r="B45" s="11" t="str">
        <f ca="1">BV!D45</f>
        <v/>
      </c>
      <c r="C45" s="11" t="str">
        <f ca="1">BV!L45</f>
        <v/>
      </c>
      <c r="D45" s="11" t="str">
        <f ca="1">BV!T45</f>
        <v/>
      </c>
      <c r="E45" s="11" t="str">
        <f ca="1">BV!AB45</f>
        <v/>
      </c>
      <c r="F45" s="11" t="str">
        <f ca="1">BV!AJ45</f>
        <v/>
      </c>
      <c r="G45" s="11" t="str">
        <f ca="1">BV!AR45</f>
        <v/>
      </c>
      <c r="H45" s="11" t="str">
        <f ca="1">BV!AZ45</f>
        <v/>
      </c>
      <c r="I45" s="11" t="str">
        <f ca="1">BV!BH45</f>
        <v/>
      </c>
      <c r="J45" s="11" t="str">
        <f ca="1">BV!BP45</f>
        <v/>
      </c>
      <c r="K45" s="11" t="str">
        <f ca="1">BV!BX45</f>
        <v/>
      </c>
      <c r="L45" s="308" t="s">
        <v>105</v>
      </c>
      <c r="M45" s="261">
        <v>6.3900406496011022E-6</v>
      </c>
      <c r="N45" s="309" t="str">
        <f t="shared" ca="1" si="8"/>
        <v/>
      </c>
      <c r="O45" s="24" t="s">
        <v>25</v>
      </c>
      <c r="P45" s="665">
        <f t="shared" ref="P45:Y45" ca="1" si="58">SUMPRODUCT(B$292:B$301,$M$292:$M$301)/SUM($M292:$M301)</f>
        <v>2.4544517090427385</v>
      </c>
      <c r="Q45" s="665">
        <f t="shared" ca="1" si="58"/>
        <v>2.3432842583459568</v>
      </c>
      <c r="R45" s="665">
        <f t="shared" ca="1" si="58"/>
        <v>2.3093119355620537</v>
      </c>
      <c r="S45" s="665">
        <f t="shared" ca="1" si="58"/>
        <v>2.2680549481240817</v>
      </c>
      <c r="T45" s="666">
        <f t="shared" ca="1" si="58"/>
        <v>2.2271758822059882</v>
      </c>
      <c r="U45" s="666">
        <f t="shared" ca="1" si="58"/>
        <v>2.1961902200504162</v>
      </c>
      <c r="V45" s="666">
        <f t="shared" ca="1" si="58"/>
        <v>2.1790270360811062</v>
      </c>
      <c r="W45" s="676">
        <f t="shared" ca="1" si="58"/>
        <v>2.1347621172704154</v>
      </c>
      <c r="X45" s="666">
        <f t="shared" ca="1" si="58"/>
        <v>2.1018544863997777</v>
      </c>
      <c r="Y45" s="666">
        <f t="shared" ca="1" si="58"/>
        <v>2.0824854582999732</v>
      </c>
      <c r="Z45" s="2">
        <f t="shared" ca="1" si="43"/>
        <v>22.296598051382507</v>
      </c>
      <c r="AA45" s="310">
        <f ca="1">INT(P362/60)</f>
        <v>21</v>
      </c>
      <c r="AB45" s="22" t="s">
        <v>409</v>
      </c>
      <c r="AC45" s="22">
        <f ca="1">P362-AA45*60</f>
        <v>51.690439385416539</v>
      </c>
      <c r="AD45" s="22" t="s">
        <v>410</v>
      </c>
      <c r="AE45" s="572">
        <f ca="1">Z56</f>
        <v>78.769931627189038</v>
      </c>
      <c r="AF45" s="573"/>
      <c r="AG45" s="569" t="str">
        <f>IF(Arb!$AJ$28=1,"Skill10","总战力10")</f>
        <v>总战力10</v>
      </c>
      <c r="AH45" s="571"/>
      <c r="AI45" s="603">
        <f ca="1">Z56*100</f>
        <v>7876.9931627189035</v>
      </c>
      <c r="AJ45" s="604"/>
      <c r="AL45" s="590" t="str">
        <f>IF(Arb!$AJ$28=1,"Finished ","完成")</f>
        <v>完成</v>
      </c>
      <c r="AM45" s="590"/>
      <c r="AN45" s="433">
        <v>45</v>
      </c>
      <c r="AO45" s="11" t="str">
        <f ca="1">BV!C45</f>
        <v/>
      </c>
      <c r="AP45" s="11" t="str">
        <f ca="1">BV!K45</f>
        <v/>
      </c>
      <c r="AQ45" s="11" t="str">
        <f ca="1">BV!S45</f>
        <v/>
      </c>
      <c r="AR45" s="11" t="str">
        <f ca="1">BV!AA45</f>
        <v/>
      </c>
      <c r="AS45" s="11" t="str">
        <f ca="1">BV!AI45</f>
        <v/>
      </c>
      <c r="AT45" s="11" t="str">
        <f ca="1">BV!AQ45</f>
        <v/>
      </c>
      <c r="AU45" s="11" t="str">
        <f ca="1">BV!AY45</f>
        <v/>
      </c>
      <c r="AV45" s="11" t="str">
        <f ca="1">BV!BG45</f>
        <v/>
      </c>
      <c r="AW45" s="11" t="str">
        <f ca="1">BV!BO45</f>
        <v/>
      </c>
      <c r="AX45" s="11" t="str">
        <f ca="1">BV!BW45</f>
        <v/>
      </c>
      <c r="AY45" s="308" t="s">
        <v>105</v>
      </c>
      <c r="AZ45" s="311">
        <f t="shared" si="7"/>
        <v>5.1944963791121319</v>
      </c>
      <c r="BA45" s="261">
        <v>6.3900406496011022E-6</v>
      </c>
      <c r="BB45" s="56">
        <v>2.2810017468745503E-2</v>
      </c>
      <c r="BC45" s="56">
        <f t="shared" si="11"/>
        <v>2.8014185689935554E-4</v>
      </c>
      <c r="BD45" s="13" t="str">
        <f ca="1">IF(BV!H45="","",INT(NOW()-BV!H45))</f>
        <v/>
      </c>
      <c r="BE45" s="312">
        <f t="shared" si="12"/>
        <v>395.59262779725123</v>
      </c>
      <c r="BF45" s="11" t="str">
        <f ca="1">BV!G45</f>
        <v/>
      </c>
      <c r="BG45" s="11" t="str">
        <f ca="1">BV!O45</f>
        <v/>
      </c>
      <c r="BH45" s="11" t="str">
        <f ca="1">BV!W45</f>
        <v/>
      </c>
      <c r="BI45" s="11" t="str">
        <f ca="1">BV!AE45</f>
        <v/>
      </c>
      <c r="BJ45" s="11" t="str">
        <f ca="1">BV!AM45</f>
        <v/>
      </c>
      <c r="BK45" s="11" t="str">
        <f ca="1">BV!AU45</f>
        <v/>
      </c>
      <c r="BL45" s="11" t="str">
        <f ca="1">BV!BC45</f>
        <v/>
      </c>
      <c r="BM45" s="11" t="str">
        <f ca="1">BV!BK45</f>
        <v/>
      </c>
      <c r="BN45" s="11" t="str">
        <f ca="1">BV!BS45</f>
        <v/>
      </c>
      <c r="BO45" s="11" t="str">
        <f ca="1">BV!CA45</f>
        <v/>
      </c>
      <c r="BP45" s="433">
        <v>45</v>
      </c>
      <c r="BQ45" s="11" t="str">
        <f ca="1">IFERROR(YEAR(OFFSET(BV!$H45,,(COLUMN()-69)*8)),"")</f>
        <v/>
      </c>
      <c r="BR45" s="11" t="str">
        <f ca="1">IFERROR(YEAR(OFFSET(BV!$H45,,(COLUMN()-69)*8)),"")</f>
        <v/>
      </c>
      <c r="BS45" s="11" t="str">
        <f ca="1">IFERROR(YEAR(OFFSET(BV!$H45,,(COLUMN()-69)*8)),"")</f>
        <v/>
      </c>
      <c r="BT45" s="11" t="str">
        <f ca="1">IFERROR(YEAR(OFFSET(BV!$H45,,(COLUMN()-69)*8)),"")</f>
        <v/>
      </c>
      <c r="BU45" s="11" t="str">
        <f ca="1">IFERROR(YEAR(OFFSET(BV!$H45,,(COLUMN()-69)*8)),"")</f>
        <v/>
      </c>
      <c r="BV45" s="11" t="str">
        <f ca="1">IFERROR(YEAR(OFFSET(BV!$H45,,(COLUMN()-69)*8)),"")</f>
        <v/>
      </c>
      <c r="BW45" s="11" t="str">
        <f ca="1">IFERROR(YEAR(OFFSET(BV!$H45,,(COLUMN()-69)*8)),"")</f>
        <v/>
      </c>
      <c r="BX45" s="11" t="str">
        <f ca="1">IFERROR(YEAR(OFFSET(BV!$H45,,(COLUMN()-69)*8)),"")</f>
        <v/>
      </c>
      <c r="BY45" s="11" t="str">
        <f ca="1">IFERROR(YEAR(OFFSET(BV!$H45,,(COLUMN()-69)*8)),"")</f>
        <v/>
      </c>
      <c r="BZ45" s="11" t="str">
        <f ca="1">IFERROR(YEAR(OFFSET(BV!$H45,,(COLUMN()-69)*8)),"")</f>
        <v/>
      </c>
    </row>
    <row r="46" spans="1:78" x14ac:dyDescent="0.25">
      <c r="A46" s="433">
        <v>46</v>
      </c>
      <c r="B46" s="11" t="str">
        <f ca="1">BV!D46</f>
        <v/>
      </c>
      <c r="C46" s="11" t="str">
        <f ca="1">BV!L46</f>
        <v/>
      </c>
      <c r="D46" s="11" t="str">
        <f ca="1">BV!T46</f>
        <v/>
      </c>
      <c r="E46" s="11" t="str">
        <f ca="1">BV!AB46</f>
        <v/>
      </c>
      <c r="F46" s="11" t="str">
        <f ca="1">BV!AJ46</f>
        <v/>
      </c>
      <c r="G46" s="11" t="str">
        <f ca="1">BV!AR46</f>
        <v/>
      </c>
      <c r="H46" s="11" t="str">
        <f ca="1">BV!AZ46</f>
        <v/>
      </c>
      <c r="I46" s="11" t="str">
        <f ca="1">BV!BH46</f>
        <v/>
      </c>
      <c r="J46" s="11" t="str">
        <f ca="1">BV!BP46</f>
        <v/>
      </c>
      <c r="K46" s="11" t="str">
        <f ca="1">BV!BX46</f>
        <v/>
      </c>
      <c r="L46" s="64" t="s">
        <v>66</v>
      </c>
      <c r="M46" s="261">
        <v>2.4332724465359909E-5</v>
      </c>
      <c r="N46" s="262" t="str">
        <f t="shared" ca="1" si="8"/>
        <v/>
      </c>
      <c r="O46" s="24" t="s">
        <v>26</v>
      </c>
      <c r="P46" s="663">
        <f t="shared" ref="P46:Y46" ca="1" si="59">SUMPRODUCT(B$302:B$311,$M$302:$M$311)/SUM($M302:$M311)</f>
        <v>2.5019230620317678</v>
      </c>
      <c r="Q46" s="665">
        <f t="shared" ca="1" si="59"/>
        <v>2.4202311134588799</v>
      </c>
      <c r="R46" s="665">
        <f t="shared" ca="1" si="59"/>
        <v>2.382892197335964</v>
      </c>
      <c r="S46" s="665">
        <f t="shared" ca="1" si="59"/>
        <v>2.3364799133785485</v>
      </c>
      <c r="T46" s="665">
        <f t="shared" ca="1" si="59"/>
        <v>2.3084085264461081</v>
      </c>
      <c r="U46" s="665">
        <f t="shared" ca="1" si="59"/>
        <v>2.2858760881233797</v>
      </c>
      <c r="V46" s="665">
        <f t="shared" ca="1" si="59"/>
        <v>2.2589008833221027</v>
      </c>
      <c r="W46" s="666">
        <f t="shared" ca="1" si="59"/>
        <v>2.2308325572909657</v>
      </c>
      <c r="X46" s="666">
        <f t="shared" ca="1" si="59"/>
        <v>2.2136445652505135</v>
      </c>
      <c r="Y46" s="666">
        <f t="shared" ca="1" si="59"/>
        <v>2.1657274651763254</v>
      </c>
      <c r="Z46" s="2">
        <f t="shared" ca="1" si="43"/>
        <v>23.104916371814554</v>
      </c>
      <c r="AA46" s="601" t="str">
        <f>IF(Arb!$AJ$28=1,"Style","技术风格局数统计")</f>
        <v>技术风格局数统计</v>
      </c>
      <c r="AB46" s="642"/>
      <c r="AC46" s="642"/>
      <c r="AD46" s="602"/>
      <c r="AE46" s="577">
        <f ca="1">U106</f>
        <v>1589.3289035830346</v>
      </c>
      <c r="AF46" s="578"/>
      <c r="AG46" s="601" t="s">
        <v>287</v>
      </c>
      <c r="AH46" s="602"/>
      <c r="AI46" s="603">
        <f ca="1">U106*5</f>
        <v>7946.6445179151733</v>
      </c>
      <c r="AJ46" s="604"/>
      <c r="AL46" s="590" t="str">
        <f>IF(Arb!$AJ$28=1,"s","秒")</f>
        <v>秒</v>
      </c>
      <c r="AM46" s="590"/>
      <c r="AN46" s="433">
        <v>46</v>
      </c>
      <c r="AO46" s="11" t="str">
        <f ca="1">BV!C46</f>
        <v/>
      </c>
      <c r="AP46" s="11" t="str">
        <f ca="1">BV!K46</f>
        <v/>
      </c>
      <c r="AQ46" s="11" t="str">
        <f ca="1">BV!S46</f>
        <v/>
      </c>
      <c r="AR46" s="11" t="str">
        <f ca="1">BV!AA46</f>
        <v/>
      </c>
      <c r="AS46" s="11" t="str">
        <f ca="1">BV!AI46</f>
        <v/>
      </c>
      <c r="AT46" s="11" t="str">
        <f ca="1">BV!AQ46</f>
        <v/>
      </c>
      <c r="AU46" s="11" t="str">
        <f ca="1">BV!AY46</f>
        <v/>
      </c>
      <c r="AV46" s="11" t="str">
        <f ca="1">BV!BG46</f>
        <v/>
      </c>
      <c r="AW46" s="11" t="str">
        <f ca="1">BV!BO46</f>
        <v/>
      </c>
      <c r="AX46" s="11" t="str">
        <f ca="1">BV!BW46</f>
        <v/>
      </c>
      <c r="AY46" s="64" t="s">
        <v>66</v>
      </c>
      <c r="AZ46" s="38">
        <f t="shared" si="7"/>
        <v>4.613809261639318</v>
      </c>
      <c r="BA46" s="261">
        <v>2.4332724465359909E-5</v>
      </c>
      <c r="BB46" s="56">
        <v>2.2810017468745503E-2</v>
      </c>
      <c r="BC46" s="56">
        <f t="shared" si="11"/>
        <v>1.0667560644660107E-3</v>
      </c>
      <c r="BD46" s="13" t="str">
        <f ca="1">IF(BV!H46="","",INT(NOW()-BV!H46))</f>
        <v/>
      </c>
      <c r="BE46" s="270">
        <f t="shared" si="12"/>
        <v>202.72374980965776</v>
      </c>
      <c r="BF46" s="11" t="str">
        <f ca="1">BV!G46</f>
        <v/>
      </c>
      <c r="BG46" s="11" t="str">
        <f ca="1">BV!O46</f>
        <v/>
      </c>
      <c r="BH46" s="11" t="str">
        <f ca="1">BV!W46</f>
        <v/>
      </c>
      <c r="BI46" s="11" t="str">
        <f ca="1">BV!AE46</f>
        <v/>
      </c>
      <c r="BJ46" s="11" t="str">
        <f ca="1">BV!AM46</f>
        <v/>
      </c>
      <c r="BK46" s="11" t="str">
        <f ca="1">BV!AU46</f>
        <v/>
      </c>
      <c r="BL46" s="11" t="str">
        <f ca="1">BV!BC46</f>
        <v/>
      </c>
      <c r="BM46" s="11" t="str">
        <f ca="1">BV!BK46</f>
        <v/>
      </c>
      <c r="BN46" s="11" t="str">
        <f ca="1">BV!BS46</f>
        <v/>
      </c>
      <c r="BO46" s="11" t="str">
        <f ca="1">BV!CA46</f>
        <v/>
      </c>
      <c r="BP46" s="433">
        <v>46</v>
      </c>
      <c r="BQ46" s="11" t="str">
        <f ca="1">IFERROR(YEAR(OFFSET(BV!$H46,,(COLUMN()-69)*8)),"")</f>
        <v/>
      </c>
      <c r="BR46" s="11" t="str">
        <f ca="1">IFERROR(YEAR(OFFSET(BV!$H46,,(COLUMN()-69)*8)),"")</f>
        <v/>
      </c>
      <c r="BS46" s="11" t="str">
        <f ca="1">IFERROR(YEAR(OFFSET(BV!$H46,,(COLUMN()-69)*8)),"")</f>
        <v/>
      </c>
      <c r="BT46" s="11" t="str">
        <f ca="1">IFERROR(YEAR(OFFSET(BV!$H46,,(COLUMN()-69)*8)),"")</f>
        <v/>
      </c>
      <c r="BU46" s="11" t="str">
        <f ca="1">IFERROR(YEAR(OFFSET(BV!$H46,,(COLUMN()-69)*8)),"")</f>
        <v/>
      </c>
      <c r="BV46" s="11" t="str">
        <f ca="1">IFERROR(YEAR(OFFSET(BV!$H46,,(COLUMN()-69)*8)),"")</f>
        <v/>
      </c>
      <c r="BW46" s="11" t="str">
        <f ca="1">IFERROR(YEAR(OFFSET(BV!$H46,,(COLUMN()-69)*8)),"")</f>
        <v/>
      </c>
      <c r="BX46" s="11" t="str">
        <f ca="1">IFERROR(YEAR(OFFSET(BV!$H46,,(COLUMN()-69)*8)),"")</f>
        <v/>
      </c>
      <c r="BY46" s="11" t="str">
        <f ca="1">IFERROR(YEAR(OFFSET(BV!$H46,,(COLUMN()-69)*8)),"")</f>
        <v/>
      </c>
      <c r="BZ46" s="11" t="str">
        <f ca="1">IFERROR(YEAR(OFFSET(BV!$H46,,(COLUMN()-69)*8)),"")</f>
        <v/>
      </c>
    </row>
    <row r="47" spans="1:78" x14ac:dyDescent="0.25">
      <c r="A47" s="433">
        <v>47</v>
      </c>
      <c r="B47" s="11" t="str">
        <f ca="1">BV!D47</f>
        <v/>
      </c>
      <c r="C47" s="11" t="str">
        <f ca="1">BV!L47</f>
        <v/>
      </c>
      <c r="D47" s="11" t="str">
        <f ca="1">BV!T47</f>
        <v/>
      </c>
      <c r="E47" s="11" t="str">
        <f ca="1">BV!AB47</f>
        <v/>
      </c>
      <c r="F47" s="11" t="str">
        <f ca="1">BV!AJ47</f>
        <v/>
      </c>
      <c r="G47" s="11" t="str">
        <f ca="1">BV!AR47</f>
        <v/>
      </c>
      <c r="H47" s="11" t="str">
        <f ca="1">BV!AZ47</f>
        <v/>
      </c>
      <c r="I47" s="11" t="str">
        <f ca="1">BV!BH47</f>
        <v/>
      </c>
      <c r="J47" s="11" t="str">
        <f ca="1">BV!BP47</f>
        <v/>
      </c>
      <c r="K47" s="11" t="str">
        <f ca="1">BV!BX47</f>
        <v/>
      </c>
      <c r="L47" s="64" t="s">
        <v>66</v>
      </c>
      <c r="M47" s="261">
        <v>1.1737362293126707E-5</v>
      </c>
      <c r="N47" s="262" t="str">
        <f t="shared" ca="1" si="8"/>
        <v/>
      </c>
      <c r="O47" s="24" t="s">
        <v>27</v>
      </c>
      <c r="P47" s="663">
        <f t="shared" ref="P47:Y47" ca="1" si="60">SUMPRODUCT(B$312:B$321,$M$312:$M$321)/SUM($M312:$M321)</f>
        <v>2.5888847807720108</v>
      </c>
      <c r="Q47" s="663">
        <f t="shared" ca="1" si="60"/>
        <v>2.5120112143089055</v>
      </c>
      <c r="R47" s="665">
        <f t="shared" ca="1" si="60"/>
        <v>2.4777379893428542</v>
      </c>
      <c r="S47" s="665">
        <f t="shared" ca="1" si="60"/>
        <v>2.4417232233785708</v>
      </c>
      <c r="T47" s="665">
        <f t="shared" ca="1" si="60"/>
        <v>2.3999561386482222</v>
      </c>
      <c r="U47" s="665">
        <f t="shared" ca="1" si="60"/>
        <v>2.3651112078811618</v>
      </c>
      <c r="V47" s="665">
        <f t="shared" ca="1" si="60"/>
        <v>2.3410089094436635</v>
      </c>
      <c r="W47" s="665">
        <f t="shared" ca="1" si="60"/>
        <v>2.322538416957709</v>
      </c>
      <c r="X47" s="665">
        <f t="shared" ca="1" si="60"/>
        <v>2.3036177119659937</v>
      </c>
      <c r="Y47" s="665">
        <f t="shared" ca="1" si="60"/>
        <v>2.2850393751922011</v>
      </c>
      <c r="Z47" s="2">
        <f t="shared" ca="1" si="43"/>
        <v>24.037628967891294</v>
      </c>
      <c r="AA47" s="657" t="str">
        <f ca="1">IF(Arb!$AJ$28=1,"Beg.FL : ","初级飞标 : ")&amp;COUNTIFS(OFFSET(Arb!$G$2,,,Arb!$AJ$5,),"BEG",OFFSET(Arb!$V$2,,,Arb!$AJ$5,),"&gt;0")</f>
        <v>初级飞标 : 387</v>
      </c>
      <c r="AB47" s="657"/>
      <c r="AC47" s="657"/>
      <c r="AD47" s="657"/>
      <c r="AE47" s="645">
        <f ca="1">Z28</f>
        <v>3472.6399021084271</v>
      </c>
      <c r="AF47" s="646"/>
      <c r="AG47" s="590" t="s">
        <v>412</v>
      </c>
      <c r="AH47" s="590"/>
      <c r="AI47" s="600">
        <f ca="1">Z28</f>
        <v>3472.6399021084271</v>
      </c>
      <c r="AJ47" s="600"/>
      <c r="AL47" s="590"/>
      <c r="AM47" s="590"/>
      <c r="AN47" s="433">
        <v>47</v>
      </c>
      <c r="AO47" s="11" t="str">
        <f ca="1">BV!C47</f>
        <v/>
      </c>
      <c r="AP47" s="11" t="str">
        <f ca="1">BV!K47</f>
        <v/>
      </c>
      <c r="AQ47" s="11" t="str">
        <f ca="1">BV!S47</f>
        <v/>
      </c>
      <c r="AR47" s="11" t="str">
        <f ca="1">BV!AA47</f>
        <v/>
      </c>
      <c r="AS47" s="11" t="str">
        <f ca="1">BV!AI47</f>
        <v/>
      </c>
      <c r="AT47" s="11" t="str">
        <f ca="1">BV!AQ47</f>
        <v/>
      </c>
      <c r="AU47" s="11" t="str">
        <f ca="1">BV!AY47</f>
        <v/>
      </c>
      <c r="AV47" s="11" t="str">
        <f ca="1">BV!BG47</f>
        <v/>
      </c>
      <c r="AW47" s="11" t="str">
        <f ca="1">BV!BO47</f>
        <v/>
      </c>
      <c r="AX47" s="11" t="str">
        <f ca="1">BV!BW47</f>
        <v/>
      </c>
      <c r="AY47" s="64" t="s">
        <v>66</v>
      </c>
      <c r="AZ47" s="38">
        <f t="shared" si="7"/>
        <v>4.9304294899919467</v>
      </c>
      <c r="BA47" s="261">
        <v>1.1737362293126707E-5</v>
      </c>
      <c r="BB47" s="56">
        <v>2.2810017468745503E-2</v>
      </c>
      <c r="BC47" s="56">
        <f t="shared" si="11"/>
        <v>5.1457050873412742E-4</v>
      </c>
      <c r="BD47" s="13" t="str">
        <f ca="1">IF(BV!H47="","",INT(NOW()-BV!H47))</f>
        <v/>
      </c>
      <c r="BE47" s="270">
        <f t="shared" si="12"/>
        <v>291.8869946842874</v>
      </c>
      <c r="BF47" s="11" t="str">
        <f ca="1">BV!G47</f>
        <v/>
      </c>
      <c r="BG47" s="11" t="str">
        <f ca="1">BV!O47</f>
        <v/>
      </c>
      <c r="BH47" s="11" t="str">
        <f ca="1">BV!W47</f>
        <v/>
      </c>
      <c r="BI47" s="11" t="str">
        <f ca="1">BV!AE47</f>
        <v/>
      </c>
      <c r="BJ47" s="11" t="str">
        <f ca="1">BV!AM47</f>
        <v/>
      </c>
      <c r="BK47" s="11" t="str">
        <f ca="1">BV!AU47</f>
        <v/>
      </c>
      <c r="BL47" s="11" t="str">
        <f ca="1">BV!BC47</f>
        <v/>
      </c>
      <c r="BM47" s="11" t="str">
        <f ca="1">BV!BK47</f>
        <v/>
      </c>
      <c r="BN47" s="11" t="str">
        <f ca="1">BV!BS47</f>
        <v/>
      </c>
      <c r="BO47" s="11" t="str">
        <f ca="1">BV!CA47</f>
        <v/>
      </c>
      <c r="BP47" s="433">
        <v>47</v>
      </c>
      <c r="BQ47" s="11" t="str">
        <f ca="1">IFERROR(YEAR(OFFSET(BV!$H47,,(COLUMN()-69)*8)),"")</f>
        <v/>
      </c>
      <c r="BR47" s="11" t="str">
        <f ca="1">IFERROR(YEAR(OFFSET(BV!$H47,,(COLUMN()-69)*8)),"")</f>
        <v/>
      </c>
      <c r="BS47" s="11" t="str">
        <f ca="1">IFERROR(YEAR(OFFSET(BV!$H47,,(COLUMN()-69)*8)),"")</f>
        <v/>
      </c>
      <c r="BT47" s="11" t="str">
        <f ca="1">IFERROR(YEAR(OFFSET(BV!$H47,,(COLUMN()-69)*8)),"")</f>
        <v/>
      </c>
      <c r="BU47" s="11" t="str">
        <f ca="1">IFERROR(YEAR(OFFSET(BV!$H47,,(COLUMN()-69)*8)),"")</f>
        <v/>
      </c>
      <c r="BV47" s="11" t="str">
        <f ca="1">IFERROR(YEAR(OFFSET(BV!$H47,,(COLUMN()-69)*8)),"")</f>
        <v/>
      </c>
      <c r="BW47" s="11" t="str">
        <f ca="1">IFERROR(YEAR(OFFSET(BV!$H47,,(COLUMN()-69)*8)),"")</f>
        <v/>
      </c>
      <c r="BX47" s="11" t="str">
        <f ca="1">IFERROR(YEAR(OFFSET(BV!$H47,,(COLUMN()-69)*8)),"")</f>
        <v/>
      </c>
      <c r="BY47" s="11" t="str">
        <f ca="1">IFERROR(YEAR(OFFSET(BV!$H47,,(COLUMN()-69)*8)),"")</f>
        <v/>
      </c>
      <c r="BZ47" s="11" t="str">
        <f ca="1">IFERROR(YEAR(OFFSET(BV!$H47,,(COLUMN()-69)*8)),"")</f>
        <v/>
      </c>
    </row>
    <row r="48" spans="1:78" x14ac:dyDescent="0.25">
      <c r="A48" s="433">
        <v>48</v>
      </c>
      <c r="B48" s="11" t="str">
        <f ca="1">BV!D48</f>
        <v/>
      </c>
      <c r="C48" s="11" t="str">
        <f ca="1">BV!L48</f>
        <v/>
      </c>
      <c r="D48" s="11" t="str">
        <f ca="1">BV!T48</f>
        <v/>
      </c>
      <c r="E48" s="11" t="str">
        <f ca="1">BV!AB48</f>
        <v/>
      </c>
      <c r="F48" s="11" t="str">
        <f ca="1">BV!AJ48</f>
        <v/>
      </c>
      <c r="G48" s="11" t="str">
        <f ca="1">BV!AR48</f>
        <v/>
      </c>
      <c r="H48" s="11" t="str">
        <f ca="1">BV!AZ48</f>
        <v/>
      </c>
      <c r="I48" s="11" t="str">
        <f ca="1">BV!BH48</f>
        <v/>
      </c>
      <c r="J48" s="11" t="str">
        <f ca="1">BV!BP48</f>
        <v/>
      </c>
      <c r="K48" s="11" t="str">
        <f ca="1">BV!BX48</f>
        <v/>
      </c>
      <c r="L48" s="27" t="s">
        <v>104</v>
      </c>
      <c r="M48" s="261">
        <v>1.7196439668651284E-7</v>
      </c>
      <c r="N48" s="313" t="str">
        <f t="shared" ca="1" si="8"/>
        <v/>
      </c>
      <c r="O48" s="24" t="s">
        <v>28</v>
      </c>
      <c r="P48" s="663">
        <f t="shared" ref="P48:Y48" ca="1" si="61">SUMPRODUCT(B$322:B$331,$M$322:$M$331)/SUM($M322:$M331)</f>
        <v>2.6481063952013697</v>
      </c>
      <c r="Q48" s="663">
        <f t="shared" ca="1" si="61"/>
        <v>2.5818841803600683</v>
      </c>
      <c r="R48" s="663">
        <f t="shared" ca="1" si="61"/>
        <v>2.5407419721917677</v>
      </c>
      <c r="S48" s="665">
        <f t="shared" ca="1" si="61"/>
        <v>2.4808677967792199</v>
      </c>
      <c r="T48" s="665">
        <f t="shared" ca="1" si="61"/>
        <v>2.4421121403899737</v>
      </c>
      <c r="U48" s="665">
        <f t="shared" ca="1" si="61"/>
        <v>2.4134150621655421</v>
      </c>
      <c r="V48" s="665">
        <f t="shared" ca="1" si="61"/>
        <v>2.3822604675689787</v>
      </c>
      <c r="W48" s="664">
        <f t="shared" ca="1" si="61"/>
        <v>2.3704173394462105</v>
      </c>
      <c r="X48" s="665">
        <f t="shared" ca="1" si="61"/>
        <v>2.3166802186066113</v>
      </c>
      <c r="Y48" s="666">
        <f t="shared" ca="1" si="61"/>
        <v>2.0894555937728434</v>
      </c>
      <c r="Z48" s="2">
        <f t="shared" ca="1" si="43"/>
        <v>24.265941166482584</v>
      </c>
      <c r="AA48" s="595" t="str">
        <f ca="1">IF(Arb!$AJ$28=1,"Int.FL : ","中级飞标 : ")&amp;COUNTIFS(OFFSET(Arb!$G$2,,,Arb!$AJ$5,),"INT",OFFSET(Arb!$V$2,,,Arb!$AJ$5,),"&gt;0")</f>
        <v>中级飞标 : 98</v>
      </c>
      <c r="AB48" s="644"/>
      <c r="AC48" s="644"/>
      <c r="AD48" s="596"/>
      <c r="AE48" s="623">
        <f ca="1">Z306</f>
        <v>1380</v>
      </c>
      <c r="AF48" s="606"/>
      <c r="AG48" s="590" t="s">
        <v>413</v>
      </c>
      <c r="AH48" s="590"/>
      <c r="AI48" s="600">
        <f ca="1">Z306*3</f>
        <v>4140</v>
      </c>
      <c r="AJ48" s="600"/>
      <c r="AL48" s="590"/>
      <c r="AM48" s="590"/>
      <c r="AN48" s="433">
        <v>48</v>
      </c>
      <c r="AO48" s="11" t="str">
        <f ca="1">BV!C48</f>
        <v/>
      </c>
      <c r="AP48" s="11" t="str">
        <f ca="1">BV!K48</f>
        <v/>
      </c>
      <c r="AQ48" s="11" t="str">
        <f ca="1">BV!S48</f>
        <v/>
      </c>
      <c r="AR48" s="11" t="str">
        <f ca="1">BV!AA48</f>
        <v/>
      </c>
      <c r="AS48" s="11" t="str">
        <f ca="1">BV!AI48</f>
        <v/>
      </c>
      <c r="AT48" s="11" t="str">
        <f ca="1">BV!AQ48</f>
        <v/>
      </c>
      <c r="AU48" s="11" t="str">
        <f ca="1">BV!AY48</f>
        <v/>
      </c>
      <c r="AV48" s="11" t="str">
        <f ca="1">BV!BG48</f>
        <v/>
      </c>
      <c r="AW48" s="11" t="str">
        <f ca="1">BV!BO48</f>
        <v/>
      </c>
      <c r="AX48" s="11" t="str">
        <f ca="1">BV!BW48</f>
        <v/>
      </c>
      <c r="AY48" s="27" t="s">
        <v>104</v>
      </c>
      <c r="AZ48" s="23">
        <f t="shared" si="7"/>
        <v>6.7645614596222492</v>
      </c>
      <c r="BA48" s="261">
        <v>1.7196439668651284E-7</v>
      </c>
      <c r="BB48" s="56">
        <v>2.2810017468745503E-2</v>
      </c>
      <c r="BC48" s="56">
        <f t="shared" si="11"/>
        <v>7.5389857514199647E-6</v>
      </c>
      <c r="BD48" s="13" t="str">
        <f ca="1">IF(BV!H48="","",INT(NOW()-BV!H48))</f>
        <v/>
      </c>
      <c r="BE48" s="314">
        <f t="shared" si="12"/>
        <v>2411.4637054500122</v>
      </c>
      <c r="BF48" s="11" t="str">
        <f ca="1">BV!G48</f>
        <v/>
      </c>
      <c r="BG48" s="11" t="str">
        <f ca="1">BV!O48</f>
        <v/>
      </c>
      <c r="BH48" s="11" t="str">
        <f ca="1">BV!W48</f>
        <v/>
      </c>
      <c r="BI48" s="11" t="str">
        <f ca="1">BV!AE48</f>
        <v/>
      </c>
      <c r="BJ48" s="11" t="str">
        <f ca="1">BV!AM48</f>
        <v/>
      </c>
      <c r="BK48" s="11" t="str">
        <f ca="1">BV!AU48</f>
        <v/>
      </c>
      <c r="BL48" s="11" t="str">
        <f ca="1">BV!BC48</f>
        <v/>
      </c>
      <c r="BM48" s="11" t="str">
        <f ca="1">BV!BK48</f>
        <v/>
      </c>
      <c r="BN48" s="11" t="str">
        <f ca="1">BV!BS48</f>
        <v/>
      </c>
      <c r="BO48" s="11" t="str">
        <f ca="1">BV!CA48</f>
        <v/>
      </c>
      <c r="BP48" s="433">
        <v>48</v>
      </c>
      <c r="BQ48" s="11" t="str">
        <f ca="1">IFERROR(YEAR(OFFSET(BV!$H48,,(COLUMN()-69)*8)),"")</f>
        <v/>
      </c>
      <c r="BR48" s="11" t="str">
        <f ca="1">IFERROR(YEAR(OFFSET(BV!$H48,,(COLUMN()-69)*8)),"")</f>
        <v/>
      </c>
      <c r="BS48" s="11" t="str">
        <f ca="1">IFERROR(YEAR(OFFSET(BV!$H48,,(COLUMN()-69)*8)),"")</f>
        <v/>
      </c>
      <c r="BT48" s="11" t="str">
        <f ca="1">IFERROR(YEAR(OFFSET(BV!$H48,,(COLUMN()-69)*8)),"")</f>
        <v/>
      </c>
      <c r="BU48" s="11" t="str">
        <f ca="1">IFERROR(YEAR(OFFSET(BV!$H48,,(COLUMN()-69)*8)),"")</f>
        <v/>
      </c>
      <c r="BV48" s="11" t="str">
        <f ca="1">IFERROR(YEAR(OFFSET(BV!$H48,,(COLUMN()-69)*8)),"")</f>
        <v/>
      </c>
      <c r="BW48" s="11" t="str">
        <f ca="1">IFERROR(YEAR(OFFSET(BV!$H48,,(COLUMN()-69)*8)),"")</f>
        <v/>
      </c>
      <c r="BX48" s="11" t="str">
        <f ca="1">IFERROR(YEAR(OFFSET(BV!$H48,,(COLUMN()-69)*8)),"")</f>
        <v/>
      </c>
      <c r="BY48" s="11" t="str">
        <f ca="1">IFERROR(YEAR(OFFSET(BV!$H48,,(COLUMN()-69)*8)),"")</f>
        <v/>
      </c>
      <c r="BZ48" s="11" t="str">
        <f ca="1">IFERROR(YEAR(OFFSET(BV!$H48,,(COLUMN()-69)*8)),"")</f>
        <v/>
      </c>
    </row>
    <row r="49" spans="1:78" x14ac:dyDescent="0.25">
      <c r="A49" s="433">
        <v>49</v>
      </c>
      <c r="B49" s="11" t="str">
        <f ca="1">BV!D49</f>
        <v/>
      </c>
      <c r="C49" s="11" t="str">
        <f ca="1">BV!L49</f>
        <v/>
      </c>
      <c r="D49" s="11" t="str">
        <f ca="1">BV!T49</f>
        <v/>
      </c>
      <c r="E49" s="11" t="str">
        <f ca="1">BV!AB49</f>
        <v/>
      </c>
      <c r="F49" s="11" t="str">
        <f ca="1">BV!AJ49</f>
        <v/>
      </c>
      <c r="G49" s="11" t="str">
        <f ca="1">BV!AR49</f>
        <v/>
      </c>
      <c r="H49" s="11" t="str">
        <f ca="1">BV!AZ49</f>
        <v/>
      </c>
      <c r="I49" s="11" t="str">
        <f ca="1">BV!BH49</f>
        <v/>
      </c>
      <c r="J49" s="11" t="str">
        <f ca="1">BV!BP49</f>
        <v/>
      </c>
      <c r="K49" s="11" t="str">
        <f ca="1">BV!BX49</f>
        <v/>
      </c>
      <c r="L49" s="308" t="s">
        <v>105</v>
      </c>
      <c r="M49" s="261">
        <v>7.9770142956810584E-6</v>
      </c>
      <c r="N49" s="309" t="str">
        <f t="shared" ca="1" si="8"/>
        <v/>
      </c>
      <c r="O49" s="24" t="s">
        <v>29</v>
      </c>
      <c r="P49" s="663">
        <f t="shared" ref="P49:Y49" ca="1" si="62">SUMPRODUCT(B$332:B$341,$M$332:$M$341)/SUM($M332:$M341)</f>
        <v>2.6855807227586141</v>
      </c>
      <c r="Q49" s="663">
        <f t="shared" ca="1" si="62"/>
        <v>2.5811659916345913</v>
      </c>
      <c r="R49" s="665">
        <f t="shared" ca="1" si="62"/>
        <v>2.4953337092417529</v>
      </c>
      <c r="S49" s="665">
        <f t="shared" ca="1" si="62"/>
        <v>2.4518555581180008</v>
      </c>
      <c r="T49" s="665">
        <f t="shared" ca="1" si="62"/>
        <v>2.3727040112115061</v>
      </c>
      <c r="U49" s="665">
        <f t="shared" ca="1" si="62"/>
        <v>2.3072402019713918</v>
      </c>
      <c r="V49" s="671">
        <f t="shared" ca="1" si="62"/>
        <v>1.8958588188561469</v>
      </c>
      <c r="W49" s="678">
        <f t="shared" ca="1" si="62"/>
        <v>1.8200275365145615</v>
      </c>
      <c r="X49" s="675">
        <f t="shared" ca="1" si="62"/>
        <v>1.2099385571219523</v>
      </c>
      <c r="Y49" s="675">
        <f t="shared" ca="1" si="62"/>
        <v>1.0175439908215353</v>
      </c>
      <c r="Z49" s="2">
        <f t="shared" ca="1" si="43"/>
        <v>20.837249098250055</v>
      </c>
      <c r="AA49" s="592" t="str">
        <f ca="1">IF(Arb!$AJ$28=1,"Exp.FL : ","高级飞标 : ")&amp;COUNTIFS(OFFSET(Arb!$G$2,,,Arb!$AJ$5,),"EXP",OFFSET(Arb!$V$2,,,Arb!$AJ$5,),"&gt;0")</f>
        <v>高级飞标 : 91</v>
      </c>
      <c r="AB49" s="641"/>
      <c r="AC49" s="641"/>
      <c r="AD49" s="593"/>
      <c r="AE49" s="605">
        <f ca="1">AG362</f>
        <v>2971.0869236207891</v>
      </c>
      <c r="AF49" s="606"/>
      <c r="AG49" s="585" t="str">
        <f>N1</f>
        <v>收藏</v>
      </c>
      <c r="AH49" s="585"/>
      <c r="AI49" s="600">
        <f ca="1">AG362*0.5</f>
        <v>1485.5434618103945</v>
      </c>
      <c r="AJ49" s="600"/>
      <c r="AL49" s="590">
        <f ca="1">MAX(OFFSET(Arb!$C$2,,,Arb!$AJ$5,))</f>
        <v>2020</v>
      </c>
      <c r="AM49" s="590"/>
      <c r="AN49" s="433">
        <v>49</v>
      </c>
      <c r="AO49" s="11" t="str">
        <f ca="1">BV!C49</f>
        <v/>
      </c>
      <c r="AP49" s="11" t="str">
        <f ca="1">BV!K49</f>
        <v/>
      </c>
      <c r="AQ49" s="11" t="str">
        <f ca="1">BV!S49</f>
        <v/>
      </c>
      <c r="AR49" s="11" t="str">
        <f ca="1">BV!AA49</f>
        <v/>
      </c>
      <c r="AS49" s="11" t="str">
        <f ca="1">BV!AI49</f>
        <v/>
      </c>
      <c r="AT49" s="11" t="str">
        <f ca="1">BV!AQ49</f>
        <v/>
      </c>
      <c r="AU49" s="11" t="str">
        <f ca="1">BV!AY49</f>
        <v/>
      </c>
      <c r="AV49" s="11" t="str">
        <f ca="1">BV!BG49</f>
        <v/>
      </c>
      <c r="AW49" s="11" t="str">
        <f ca="1">BV!BO49</f>
        <v/>
      </c>
      <c r="AX49" s="11" t="str">
        <f ca="1">BV!BW49</f>
        <v/>
      </c>
      <c r="AY49" s="308" t="s">
        <v>105</v>
      </c>
      <c r="AZ49" s="311">
        <f t="shared" si="7"/>
        <v>5.0981596296449174</v>
      </c>
      <c r="BA49" s="261">
        <v>7.9770142956810584E-6</v>
      </c>
      <c r="BB49" s="56">
        <v>2.2810017468745503E-2</v>
      </c>
      <c r="BC49" s="56">
        <f t="shared" si="11"/>
        <v>3.4971539616798791E-4</v>
      </c>
      <c r="BD49" s="13" t="str">
        <f ca="1">IF(BV!H49="","",INT(NOW()-BV!H49))</f>
        <v/>
      </c>
      <c r="BE49" s="312">
        <f t="shared" si="12"/>
        <v>354.06240484213652</v>
      </c>
      <c r="BF49" s="11" t="str">
        <f ca="1">BV!G49</f>
        <v/>
      </c>
      <c r="BG49" s="11" t="str">
        <f ca="1">BV!O49</f>
        <v/>
      </c>
      <c r="BH49" s="11" t="str">
        <f ca="1">BV!W49</f>
        <v/>
      </c>
      <c r="BI49" s="11" t="str">
        <f ca="1">BV!AE49</f>
        <v/>
      </c>
      <c r="BJ49" s="11" t="str">
        <f ca="1">BV!AM49</f>
        <v/>
      </c>
      <c r="BK49" s="11" t="str">
        <f ca="1">BV!AU49</f>
        <v/>
      </c>
      <c r="BL49" s="11" t="str">
        <f ca="1">BV!BC49</f>
        <v/>
      </c>
      <c r="BM49" s="11" t="str">
        <f ca="1">BV!BK49</f>
        <v/>
      </c>
      <c r="BN49" s="11" t="str">
        <f ca="1">BV!BS49</f>
        <v/>
      </c>
      <c r="BO49" s="11" t="str">
        <f ca="1">BV!CA49</f>
        <v/>
      </c>
      <c r="BP49" s="433">
        <v>49</v>
      </c>
      <c r="BQ49" s="11" t="str">
        <f ca="1">IFERROR(YEAR(OFFSET(BV!$H49,,(COLUMN()-69)*8)),"")</f>
        <v/>
      </c>
      <c r="BR49" s="11" t="str">
        <f ca="1">IFERROR(YEAR(OFFSET(BV!$H49,,(COLUMN()-69)*8)),"")</f>
        <v/>
      </c>
      <c r="BS49" s="11" t="str">
        <f ca="1">IFERROR(YEAR(OFFSET(BV!$H49,,(COLUMN()-69)*8)),"")</f>
        <v/>
      </c>
      <c r="BT49" s="11" t="str">
        <f ca="1">IFERROR(YEAR(OFFSET(BV!$H49,,(COLUMN()-69)*8)),"")</f>
        <v/>
      </c>
      <c r="BU49" s="11" t="str">
        <f ca="1">IFERROR(YEAR(OFFSET(BV!$H49,,(COLUMN()-69)*8)),"")</f>
        <v/>
      </c>
      <c r="BV49" s="11" t="str">
        <f ca="1">IFERROR(YEAR(OFFSET(BV!$H49,,(COLUMN()-69)*8)),"")</f>
        <v/>
      </c>
      <c r="BW49" s="11" t="str">
        <f ca="1">IFERROR(YEAR(OFFSET(BV!$H49,,(COLUMN()-69)*8)),"")</f>
        <v/>
      </c>
      <c r="BX49" s="11" t="str">
        <f ca="1">IFERROR(YEAR(OFFSET(BV!$H49,,(COLUMN()-69)*8)),"")</f>
        <v/>
      </c>
      <c r="BY49" s="11" t="str">
        <f ca="1">IFERROR(YEAR(OFFSET(BV!$H49,,(COLUMN()-69)*8)),"")</f>
        <v/>
      </c>
      <c r="BZ49" s="11" t="str">
        <f ca="1">IFERROR(YEAR(OFFSET(BV!$H49,,(COLUMN()-69)*8)),"")</f>
        <v/>
      </c>
    </row>
    <row r="50" spans="1:78" x14ac:dyDescent="0.25">
      <c r="A50" s="433">
        <v>50</v>
      </c>
      <c r="O50" s="24" t="s">
        <v>30</v>
      </c>
      <c r="P50" s="663">
        <f t="shared" ref="P50:Y50" ca="1" si="63">SUMPRODUCT(B$342:B$351,$M$342:$M$351)/SUM($M342:$M351)</f>
        <v>2.6229227724790118</v>
      </c>
      <c r="Q50" s="665">
        <f t="shared" ca="1" si="63"/>
        <v>2.4878007385679122</v>
      </c>
      <c r="R50" s="666">
        <f t="shared" ca="1" si="63"/>
        <v>2.0882809406581653</v>
      </c>
      <c r="S50" s="671">
        <f t="shared" ca="1" si="63"/>
        <v>1.7773571350885395</v>
      </c>
      <c r="T50" s="671">
        <f t="shared" ca="1" si="63"/>
        <v>1.5832182119441358</v>
      </c>
      <c r="U50" s="673">
        <f t="shared" ca="1" si="63"/>
        <v>0.84130379939047928</v>
      </c>
      <c r="V50" s="673">
        <f t="shared" ca="1" si="63"/>
        <v>0.50803108469390779</v>
      </c>
      <c r="W50" s="677">
        <f t="shared" ca="1" si="63"/>
        <v>0.29573570819678063</v>
      </c>
      <c r="X50" s="674">
        <f t="shared" ca="1" si="63"/>
        <v>0.29518887226344559</v>
      </c>
      <c r="Y50" s="674">
        <f t="shared" ca="1" si="63"/>
        <v>0.28494749126456875</v>
      </c>
      <c r="Z50" s="2">
        <f t="shared" ca="1" si="43"/>
        <v>12.784786754546946</v>
      </c>
      <c r="AA50" s="637" t="str">
        <f ca="1">IF(Arb!$AJ$28=1,"Beg.NF : ","初级盲扫 : ")&amp;COUNTIFS(OFFSET(Arb!$G$2,,,Arb!$AJ$5,),"BEG",OFFSET(Arb!$V$2,,,Arb!$AJ$5,),"")</f>
        <v>初级盲扫 : 1494</v>
      </c>
      <c r="AB50" s="643"/>
      <c r="AC50" s="643"/>
      <c r="AD50" s="638"/>
      <c r="AE50" s="645" t="str">
        <f ca="1">ROUND(Z362/3600,2)&amp;"h"</f>
        <v>7.14h</v>
      </c>
      <c r="AF50" s="606"/>
      <c r="AG50" s="590" t="str">
        <f>O362</f>
        <v>典型时</v>
      </c>
      <c r="AH50" s="590"/>
      <c r="AI50" s="600">
        <f ca="1">20000000/Z362</f>
        <v>778.42402954829208</v>
      </c>
      <c r="AJ50" s="600"/>
      <c r="AK50" s="315"/>
      <c r="AL50" s="590" t="str">
        <f>IF(Arb!$AJ$28=1,"Easy","简单")</f>
        <v>简单</v>
      </c>
      <c r="AM50" s="590"/>
      <c r="AN50" s="433">
        <v>50</v>
      </c>
      <c r="BP50" s="433">
        <v>50</v>
      </c>
    </row>
    <row r="51" spans="1:78" x14ac:dyDescent="0.25">
      <c r="A51" s="433">
        <v>51</v>
      </c>
      <c r="B51" s="11" t="str">
        <f ca="1">BV!D51</f>
        <v/>
      </c>
      <c r="C51" s="11" t="str">
        <f ca="1">BV!L51</f>
        <v/>
      </c>
      <c r="D51" s="11" t="str">
        <f ca="1">BV!T51</f>
        <v/>
      </c>
      <c r="E51" s="11" t="str">
        <f ca="1">BV!AB51</f>
        <v/>
      </c>
      <c r="F51" s="11" t="str">
        <f ca="1">BV!AJ51</f>
        <v/>
      </c>
      <c r="G51" s="11" t="str">
        <f ca="1">BV!AR51</f>
        <v/>
      </c>
      <c r="H51" s="11" t="str">
        <f ca="1">BV!AZ51</f>
        <v/>
      </c>
      <c r="I51" s="11" t="str">
        <f ca="1">BV!BH51</f>
        <v/>
      </c>
      <c r="J51" s="11" t="str">
        <f ca="1">BV!BP51</f>
        <v/>
      </c>
      <c r="K51" s="11" t="str">
        <f ca="1">BV!BX51</f>
        <v/>
      </c>
      <c r="L51" s="27" t="s">
        <v>104</v>
      </c>
      <c r="M51" s="261">
        <v>4.566351884986456E-7</v>
      </c>
      <c r="N51" s="313" t="str">
        <f t="shared" ca="1" si="8"/>
        <v/>
      </c>
      <c r="O51" s="24" t="s">
        <v>31</v>
      </c>
      <c r="P51" s="663">
        <f t="shared" ref="P51:Y51" ca="1" si="64">SUMPRODUCT(B$352:B$361,$M$352:$M$361)/SUM($M352:$M361)</f>
        <v>2.5181121294872133</v>
      </c>
      <c r="Q51" s="673">
        <f t="shared" ca="1" si="64"/>
        <v>0.93191766792856467</v>
      </c>
      <c r="R51" s="673">
        <f t="shared" ca="1" si="64"/>
        <v>0.88355011550190254</v>
      </c>
      <c r="S51" s="674">
        <f t="shared" ca="1" si="64"/>
        <v>0.25007374705555213</v>
      </c>
      <c r="T51" s="674">
        <f t="shared" ca="1" si="64"/>
        <v>0.23668469869560571</v>
      </c>
      <c r="U51" s="20">
        <f t="shared" ca="1" si="64"/>
        <v>0</v>
      </c>
      <c r="V51" s="20">
        <f t="shared" ca="1" si="64"/>
        <v>0</v>
      </c>
      <c r="W51" s="306">
        <f t="shared" ca="1" si="64"/>
        <v>0</v>
      </c>
      <c r="X51" s="20">
        <f t="shared" ca="1" si="64"/>
        <v>0</v>
      </c>
      <c r="Y51" s="20">
        <f t="shared" ca="1" si="64"/>
        <v>0</v>
      </c>
      <c r="Z51" s="2">
        <f t="shared" ca="1" si="43"/>
        <v>4.8203383586688382</v>
      </c>
      <c r="AA51" s="595" t="str">
        <f ca="1">IF(Arb!$AJ$28=1,"Int.NF : ","中级盲扫 : ")&amp;COUNTIFS(OFFSET(Arb!$G$2,,,Arb!$AJ$5,),"INT",OFFSET(Arb!$V$2,,,Arb!$AJ$5,),"")</f>
        <v>中级盲扫 : 433</v>
      </c>
      <c r="AB51" s="644"/>
      <c r="AC51" s="644"/>
      <c r="AD51" s="596"/>
      <c r="AE51" s="572">
        <f ca="1">X106</f>
        <v>1.4336904792890783</v>
      </c>
      <c r="AF51" s="606"/>
      <c r="AG51" s="590" t="s">
        <v>383</v>
      </c>
      <c r="AH51" s="590"/>
      <c r="AI51" s="600">
        <f ca="1">X106*300</f>
        <v>430.1071437867235</v>
      </c>
      <c r="AJ51" s="600"/>
      <c r="AL51" s="590" t="str">
        <f>IF(Arb!$AJ$28=1,"Normal","常规")</f>
        <v>常规</v>
      </c>
      <c r="AM51" s="590"/>
      <c r="AN51" s="433">
        <v>51</v>
      </c>
      <c r="AO51" s="11" t="str">
        <f ca="1">BV!C51</f>
        <v/>
      </c>
      <c r="AP51" s="11" t="str">
        <f ca="1">BV!K51</f>
        <v/>
      </c>
      <c r="AQ51" s="11" t="str">
        <f ca="1">BV!S51</f>
        <v/>
      </c>
      <c r="AR51" s="11" t="str">
        <f ca="1">BV!AA51</f>
        <v/>
      </c>
      <c r="AS51" s="11" t="str">
        <f ca="1">BV!AI51</f>
        <v/>
      </c>
      <c r="AT51" s="11" t="str">
        <f ca="1">BV!AQ51</f>
        <v/>
      </c>
      <c r="AU51" s="11" t="str">
        <f ca="1">BV!AY51</f>
        <v/>
      </c>
      <c r="AV51" s="11" t="str">
        <f ca="1">BV!BG51</f>
        <v/>
      </c>
      <c r="AW51" s="11" t="str">
        <f ca="1">BV!BO51</f>
        <v/>
      </c>
      <c r="AX51" s="11" t="str">
        <f ca="1">BV!BW51</f>
        <v/>
      </c>
      <c r="AY51" s="27" t="s">
        <v>104</v>
      </c>
      <c r="AZ51" s="23">
        <f>0-LOG10(M51)</f>
        <v>6.3404306246417805</v>
      </c>
      <c r="BA51" s="261">
        <v>4.566351884986456E-7</v>
      </c>
      <c r="BB51" s="56">
        <v>2.2810017468745503E-2</v>
      </c>
      <c r="BC51" s="56">
        <f t="shared" si="11"/>
        <v>2.0019063515594906E-5</v>
      </c>
      <c r="BD51" s="13" t="str">
        <f ca="1">IF(BV!H51="","",INT(NOW()-BV!H51))</f>
        <v/>
      </c>
      <c r="BE51" s="314">
        <f t="shared" si="12"/>
        <v>1479.8418748483593</v>
      </c>
      <c r="BF51" s="11" t="str">
        <f ca="1">BV!G51</f>
        <v/>
      </c>
      <c r="BG51" s="11" t="str">
        <f ca="1">BV!O51</f>
        <v/>
      </c>
      <c r="BH51" s="11" t="str">
        <f ca="1">BV!W51</f>
        <v/>
      </c>
      <c r="BI51" s="11" t="str">
        <f ca="1">BV!AE51</f>
        <v/>
      </c>
      <c r="BJ51" s="11" t="str">
        <f ca="1">BV!AM51</f>
        <v/>
      </c>
      <c r="BK51" s="11" t="str">
        <f ca="1">BV!AU51</f>
        <v/>
      </c>
      <c r="BL51" s="11" t="str">
        <f ca="1">BV!BC51</f>
        <v/>
      </c>
      <c r="BM51" s="11" t="str">
        <f ca="1">BV!BK51</f>
        <v/>
      </c>
      <c r="BN51" s="11" t="str">
        <f ca="1">BV!BS51</f>
        <v/>
      </c>
      <c r="BO51" s="11" t="str">
        <f ca="1">BV!CA51</f>
        <v/>
      </c>
      <c r="BP51" s="433">
        <v>51</v>
      </c>
      <c r="BQ51" s="11" t="str">
        <f ca="1">IFERROR(YEAR(OFFSET(BV!$H51,,(COLUMN()-69)*8)),"")</f>
        <v/>
      </c>
      <c r="BR51" s="11" t="str">
        <f ca="1">IFERROR(YEAR(OFFSET(BV!$H51,,(COLUMN()-69)*8)),"")</f>
        <v/>
      </c>
      <c r="BS51" s="11" t="str">
        <f ca="1">IFERROR(YEAR(OFFSET(BV!$H51,,(COLUMN()-69)*8)),"")</f>
        <v/>
      </c>
      <c r="BT51" s="11" t="str">
        <f ca="1">IFERROR(YEAR(OFFSET(BV!$H51,,(COLUMN()-69)*8)),"")</f>
        <v/>
      </c>
      <c r="BU51" s="11" t="str">
        <f ca="1">IFERROR(YEAR(OFFSET(BV!$H51,,(COLUMN()-69)*8)),"")</f>
        <v/>
      </c>
      <c r="BV51" s="11" t="str">
        <f ca="1">IFERROR(YEAR(OFFSET(BV!$H51,,(COLUMN()-69)*8)),"")</f>
        <v/>
      </c>
      <c r="BW51" s="11" t="str">
        <f ca="1">IFERROR(YEAR(OFFSET(BV!$H51,,(COLUMN()-69)*8)),"")</f>
        <v/>
      </c>
      <c r="BX51" s="11" t="str">
        <f ca="1">IFERROR(YEAR(OFFSET(BV!$H51,,(COLUMN()-69)*8)),"")</f>
        <v/>
      </c>
      <c r="BY51" s="11" t="str">
        <f ca="1">IFERROR(YEAR(OFFSET(BV!$H51,,(COLUMN()-69)*8)),"")</f>
        <v/>
      </c>
      <c r="BZ51" s="11" t="str">
        <f ca="1">IFERROR(YEAR(OFFSET(BV!$H51,,(COLUMN()-69)*8)),"")</f>
        <v/>
      </c>
    </row>
    <row r="52" spans="1:78" x14ac:dyDescent="0.25">
      <c r="A52" s="433">
        <v>52</v>
      </c>
      <c r="O52" s="24" t="s">
        <v>32</v>
      </c>
      <c r="P52" s="675">
        <f t="shared" ref="P52:Y52" ca="1" si="65">SUMPRODUCT(B$362:B$430,$M$362:$M$430)/SUM($M362:$M430)</f>
        <v>1.0833408758332428</v>
      </c>
      <c r="Q52" s="674">
        <f t="shared" ca="1" si="65"/>
        <v>0.13413501892067825</v>
      </c>
      <c r="R52" s="20">
        <f t="shared" ca="1" si="65"/>
        <v>0</v>
      </c>
      <c r="S52" s="20">
        <f t="shared" ca="1" si="65"/>
        <v>0</v>
      </c>
      <c r="T52" s="20">
        <f t="shared" ca="1" si="65"/>
        <v>0</v>
      </c>
      <c r="U52" s="20">
        <f t="shared" ca="1" si="65"/>
        <v>0</v>
      </c>
      <c r="V52" s="20">
        <f t="shared" ca="1" si="65"/>
        <v>0</v>
      </c>
      <c r="W52" s="20">
        <f t="shared" ca="1" si="65"/>
        <v>0</v>
      </c>
      <c r="X52" s="20">
        <f t="shared" ca="1" si="65"/>
        <v>0</v>
      </c>
      <c r="Y52" s="20">
        <f t="shared" ca="1" si="65"/>
        <v>0</v>
      </c>
      <c r="Z52" s="2">
        <f t="shared" ref="Z52" ca="1" si="66">SUM(P52:Y52)</f>
        <v>1.217475894753921</v>
      </c>
      <c r="AA52" s="592" t="str">
        <f ca="1">IF(Arb!$AJ$28=1,"Exp.NF : ","高级盲扫 : ")&amp;COUNTIFS(OFFSET(Arb!$G$2,,,Arb!$AJ$5,),"EXP",OFFSET(Arb!$V$2,,,Arb!$AJ$5,),"")</f>
        <v>高级盲扫 : 946</v>
      </c>
      <c r="AB52" s="641"/>
      <c r="AC52" s="641"/>
      <c r="AD52" s="593"/>
      <c r="AE52" s="601" t="s">
        <v>764</v>
      </c>
      <c r="AF52" s="642"/>
      <c r="AG52" s="642"/>
      <c r="AH52" s="602"/>
      <c r="AI52" s="653">
        <f ca="1">SUM(AI45:AJ51)</f>
        <v>26130.352217887918</v>
      </c>
      <c r="AJ52" s="653"/>
      <c r="AK52" s="315"/>
      <c r="AL52" s="590" t="str">
        <f>IF(Arb!$AJ$28=1,"Normal","常规")</f>
        <v>常规</v>
      </c>
      <c r="AM52" s="590"/>
      <c r="AN52" s="433">
        <v>52</v>
      </c>
      <c r="BP52" s="433">
        <v>52</v>
      </c>
    </row>
    <row r="53" spans="1:78" x14ac:dyDescent="0.25">
      <c r="A53" s="433">
        <v>53</v>
      </c>
      <c r="O53" s="15" t="str">
        <f>IF(Arb!$AJ$28=1,"Beg","初级战力")</f>
        <v>初级战力</v>
      </c>
      <c r="P53" s="16">
        <f t="shared" ref="P53:Y53" ca="1" si="67">SUMPRODUCT(B2:B54,$M2:$M54)</f>
        <v>4.1070980278746756</v>
      </c>
      <c r="Q53" s="667">
        <f t="shared" ca="1" si="67"/>
        <v>3.8731975329483963</v>
      </c>
      <c r="R53" s="320">
        <f t="shared" ca="1" si="67"/>
        <v>3.6927120622871081</v>
      </c>
      <c r="S53" s="320">
        <f t="shared" ca="1" si="67"/>
        <v>3.6149012515305259</v>
      </c>
      <c r="T53" s="320">
        <f t="shared" ca="1" si="67"/>
        <v>3.5310551707485494</v>
      </c>
      <c r="U53" s="661">
        <f t="shared" ca="1" si="67"/>
        <v>3.4728609619761213</v>
      </c>
      <c r="V53" s="661">
        <f t="shared" ca="1" si="67"/>
        <v>3.4196775002352267</v>
      </c>
      <c r="W53" s="668">
        <f t="shared" ca="1" si="67"/>
        <v>3.374239978895416</v>
      </c>
      <c r="X53" s="661">
        <f t="shared" ca="1" si="67"/>
        <v>3.3314946216739125</v>
      </c>
      <c r="Y53" s="661">
        <f t="shared" ca="1" si="67"/>
        <v>3.2930994961368683</v>
      </c>
      <c r="Z53" s="316">
        <f ca="1">SUM(P53:Y53)</f>
        <v>35.710336604306804</v>
      </c>
      <c r="AA53" s="658">
        <v>49.668139387155193</v>
      </c>
      <c r="AB53" s="658"/>
      <c r="AC53" s="572">
        <v>49.668139387155193</v>
      </c>
      <c r="AD53" s="573"/>
      <c r="AE53" s="577">
        <v>248.34069693577595</v>
      </c>
      <c r="AF53" s="578"/>
      <c r="AG53" s="574" t="str">
        <f ca="1">"ASB="&amp;ROUND(P28,2)</f>
        <v>ASB=545.19</v>
      </c>
      <c r="AH53" s="575"/>
      <c r="AI53" s="575"/>
      <c r="AJ53" s="576"/>
      <c r="AK53" s="315"/>
      <c r="AL53" s="590" t="str">
        <f>IF(Arb!$AJ$28=1,"Normal","常规")</f>
        <v>常规</v>
      </c>
      <c r="AM53" s="590"/>
      <c r="AN53" s="433">
        <v>53</v>
      </c>
      <c r="BP53" s="433">
        <v>53</v>
      </c>
    </row>
    <row r="54" spans="1:78" x14ac:dyDescent="0.25">
      <c r="A54" s="433">
        <v>54</v>
      </c>
      <c r="B54" s="11" t="str">
        <f ca="1">BV!D54</f>
        <v/>
      </c>
      <c r="C54" s="11" t="str">
        <f ca="1">BV!L54</f>
        <v/>
      </c>
      <c r="D54" s="11" t="str">
        <f ca="1">BV!T54</f>
        <v/>
      </c>
      <c r="E54" s="11" t="str">
        <f ca="1">BV!AB54</f>
        <v/>
      </c>
      <c r="F54" s="11" t="str">
        <f ca="1">BV!AJ54</f>
        <v/>
      </c>
      <c r="G54" s="11" t="str">
        <f ca="1">BV!AR54</f>
        <v/>
      </c>
      <c r="H54" s="11" t="str">
        <f ca="1">BV!AZ54</f>
        <v/>
      </c>
      <c r="I54" s="11" t="str">
        <f ca="1">BV!BH54</f>
        <v/>
      </c>
      <c r="J54" s="11" t="str">
        <f ca="1">BV!BP54</f>
        <v/>
      </c>
      <c r="K54" s="11" t="str">
        <f ca="1">BV!BX54</f>
        <v/>
      </c>
      <c r="L54" s="308" t="s">
        <v>105</v>
      </c>
      <c r="M54" s="261">
        <v>1.7180199173571093E-6</v>
      </c>
      <c r="N54" s="309" t="str">
        <f t="shared" ref="N54:N117" ca="1" si="68">IF(B54&lt;&gt;"",(1/M54)^0.5,"")</f>
        <v/>
      </c>
      <c r="O54" s="15" t="str">
        <f>IF(Arb!$AJ$28=1,"Int","中级战力")</f>
        <v>中级战力</v>
      </c>
      <c r="P54" s="662">
        <f t="shared" ref="P54:Y54" ca="1" si="69">SUMPRODUCT(B55:B167,$M55:$M167)</f>
        <v>2.783099341945737</v>
      </c>
      <c r="Q54" s="663">
        <f t="shared" ca="1" si="69"/>
        <v>2.62380125361293</v>
      </c>
      <c r="R54" s="665">
        <f t="shared" ca="1" si="69"/>
        <v>2.4989150479325097</v>
      </c>
      <c r="S54" s="665">
        <f t="shared" ca="1" si="69"/>
        <v>2.4034870872102885</v>
      </c>
      <c r="T54" s="666">
        <f t="shared" ca="1" si="69"/>
        <v>2.2317797197667404</v>
      </c>
      <c r="U54" s="666">
        <f t="shared" ca="1" si="69"/>
        <v>2.1486202340172493</v>
      </c>
      <c r="V54" s="666">
        <f t="shared" ca="1" si="69"/>
        <v>2.0593345658470201</v>
      </c>
      <c r="W54" s="671">
        <f t="shared" ca="1" si="69"/>
        <v>1.9506733115588346</v>
      </c>
      <c r="X54" s="671">
        <f t="shared" ca="1" si="69"/>
        <v>1.7990994935800679</v>
      </c>
      <c r="Y54" s="671">
        <f t="shared" ca="1" si="69"/>
        <v>1.6981291380415018</v>
      </c>
      <c r="Z54" s="316">
        <f t="shared" ref="Z54" ca="1" si="70">SUM(P54:Y54)</f>
        <v>22.196939193512879</v>
      </c>
      <c r="AA54" s="658">
        <v>53.99520878147807</v>
      </c>
      <c r="AB54" s="658"/>
      <c r="AC54" s="572">
        <v>53.777399277361518</v>
      </c>
      <c r="AD54" s="573"/>
      <c r="AE54" s="577">
        <v>647.78568253477283</v>
      </c>
      <c r="AF54" s="578"/>
      <c r="AG54" s="574" t="str">
        <f ca="1">"Area="&amp;ROUND((X91+X93)*(X92+X94)*0.5,2)</f>
        <v>Area=11.32</v>
      </c>
      <c r="AH54" s="575"/>
      <c r="AI54" s="575"/>
      <c r="AJ54" s="576"/>
      <c r="AL54" s="590" t="str">
        <f>IF(Arb!$AJ$28=1,"Normal","常规")</f>
        <v>常规</v>
      </c>
      <c r="AM54" s="590"/>
      <c r="AN54" s="433">
        <v>54</v>
      </c>
      <c r="AO54" s="11" t="str">
        <f ca="1">BV!C54</f>
        <v/>
      </c>
      <c r="AP54" s="11" t="str">
        <f ca="1">BV!K54</f>
        <v/>
      </c>
      <c r="AQ54" s="11" t="str">
        <f ca="1">BV!S54</f>
        <v/>
      </c>
      <c r="AR54" s="11" t="str">
        <f ca="1">BV!AA54</f>
        <v/>
      </c>
      <c r="AS54" s="11" t="str">
        <f ca="1">BV!AI54</f>
        <v/>
      </c>
      <c r="AT54" s="11" t="str">
        <f ca="1">BV!AQ54</f>
        <v/>
      </c>
      <c r="AU54" s="11" t="str">
        <f ca="1">BV!AY54</f>
        <v/>
      </c>
      <c r="AV54" s="11" t="str">
        <f ca="1">BV!BG54</f>
        <v/>
      </c>
      <c r="AW54" s="11" t="str">
        <f ca="1">BV!BO54</f>
        <v/>
      </c>
      <c r="AX54" s="11" t="str">
        <f ca="1">BV!BW54</f>
        <v/>
      </c>
      <c r="AY54" s="308" t="s">
        <v>105</v>
      </c>
      <c r="AZ54" s="311">
        <f t="shared" ref="AZ54:AZ85" si="71">0-LOG10(M54)</f>
        <v>5.7649718056106289</v>
      </c>
      <c r="BA54" s="261">
        <v>1.7180199173571093E-6</v>
      </c>
      <c r="BB54" s="56">
        <v>2.2810017468745503E-2</v>
      </c>
      <c r="BC54" s="56">
        <f t="shared" ref="BC54:BC117" si="72">BA54/BB54</f>
        <v>7.5318658554784367E-5</v>
      </c>
      <c r="BD54" s="13" t="str">
        <f ca="1">IF(BV!H54="","",INT(NOW()-BV!H54))</f>
        <v/>
      </c>
      <c r="BE54" s="312">
        <f t="shared" si="12"/>
        <v>762.93212599015988</v>
      </c>
      <c r="BF54" s="11" t="str">
        <f ca="1">BV!G54</f>
        <v/>
      </c>
      <c r="BG54" s="11" t="str">
        <f ca="1">BV!O54</f>
        <v/>
      </c>
      <c r="BH54" s="11" t="str">
        <f ca="1">BV!W54</f>
        <v/>
      </c>
      <c r="BI54" s="11" t="str">
        <f ca="1">BV!AE54</f>
        <v/>
      </c>
      <c r="BJ54" s="11" t="str">
        <f ca="1">BV!AM54</f>
        <v/>
      </c>
      <c r="BK54" s="11" t="str">
        <f ca="1">BV!AU54</f>
        <v/>
      </c>
      <c r="BL54" s="11" t="str">
        <f ca="1">BV!BC54</f>
        <v/>
      </c>
      <c r="BM54" s="11" t="str">
        <f ca="1">BV!BK54</f>
        <v/>
      </c>
      <c r="BN54" s="11" t="str">
        <f ca="1">BV!BS54</f>
        <v/>
      </c>
      <c r="BO54" s="11" t="str">
        <f ca="1">BV!CA54</f>
        <v/>
      </c>
      <c r="BP54" s="433">
        <v>54</v>
      </c>
      <c r="BQ54" s="11" t="str">
        <f ca="1">IFERROR(YEAR(OFFSET(BV!$H54,,(COLUMN()-69)*8)),"")</f>
        <v/>
      </c>
      <c r="BR54" s="11" t="str">
        <f ca="1">IFERROR(YEAR(OFFSET(BV!$H54,,(COLUMN()-69)*8)),"")</f>
        <v/>
      </c>
      <c r="BS54" s="11" t="str">
        <f ca="1">IFERROR(YEAR(OFFSET(BV!$H54,,(COLUMN()-69)*8)),"")</f>
        <v/>
      </c>
      <c r="BT54" s="11" t="str">
        <f ca="1">IFERROR(YEAR(OFFSET(BV!$H54,,(COLUMN()-69)*8)),"")</f>
        <v/>
      </c>
      <c r="BU54" s="11" t="str">
        <f ca="1">IFERROR(YEAR(OFFSET(BV!$H54,,(COLUMN()-69)*8)),"")</f>
        <v/>
      </c>
      <c r="BV54" s="11" t="str">
        <f ca="1">IFERROR(YEAR(OFFSET(BV!$H54,,(COLUMN()-69)*8)),"")</f>
        <v/>
      </c>
      <c r="BW54" s="11" t="str">
        <f ca="1">IFERROR(YEAR(OFFSET(BV!$H54,,(COLUMN()-69)*8)),"")</f>
        <v/>
      </c>
      <c r="BX54" s="11" t="str">
        <f ca="1">IFERROR(YEAR(OFFSET(BV!$H54,,(COLUMN()-69)*8)),"")</f>
        <v/>
      </c>
      <c r="BY54" s="11" t="str">
        <f ca="1">IFERROR(YEAR(OFFSET(BV!$H54,,(COLUMN()-69)*8)),"")</f>
        <v/>
      </c>
      <c r="BZ54" s="11" t="str">
        <f ca="1">IFERROR(YEAR(OFFSET(BV!$H54,,(COLUMN()-69)*8)),"")</f>
        <v/>
      </c>
    </row>
    <row r="55" spans="1:78" x14ac:dyDescent="0.25">
      <c r="A55" s="433">
        <v>30</v>
      </c>
      <c r="B55" s="300">
        <f ca="1">BV!D55</f>
        <v>2.2371364653243848</v>
      </c>
      <c r="C55" s="11" t="str">
        <f ca="1">BV!L55</f>
        <v/>
      </c>
      <c r="D55" s="11" t="str">
        <f ca="1">BV!T55</f>
        <v/>
      </c>
      <c r="E55" s="11" t="str">
        <f ca="1">BV!AB55</f>
        <v/>
      </c>
      <c r="F55" s="11" t="str">
        <f ca="1">BV!AJ55</f>
        <v/>
      </c>
      <c r="G55" s="11" t="str">
        <f ca="1">BV!AR55</f>
        <v/>
      </c>
      <c r="H55" s="11" t="str">
        <f ca="1">BV!AZ55</f>
        <v/>
      </c>
      <c r="I55" s="11" t="str">
        <f ca="1">BV!BH55</f>
        <v/>
      </c>
      <c r="J55" s="11" t="str">
        <f ca="1">BV!BP55</f>
        <v/>
      </c>
      <c r="K55" s="11" t="str">
        <f ca="1">BV!BX55</f>
        <v/>
      </c>
      <c r="L55" s="271" t="s">
        <v>67</v>
      </c>
      <c r="M55" s="261">
        <v>1.04400421E-4</v>
      </c>
      <c r="N55" s="272">
        <f t="shared" ca="1" si="68"/>
        <v>97.869839252638386</v>
      </c>
      <c r="O55" s="15" t="str">
        <f>IF(Arb!$AJ$28=1,"Exp","高级战力")</f>
        <v>高级战力</v>
      </c>
      <c r="P55" s="663">
        <f t="shared" ref="P55:Y55" ca="1" si="73">SUMPRODUCT(B242:B430,$M242:$M430)</f>
        <v>2.5122245920188329</v>
      </c>
      <c r="Q55" s="665">
        <f t="shared" ca="1" si="73"/>
        <v>2.3688815508688612</v>
      </c>
      <c r="R55" s="665">
        <f t="shared" ca="1" si="73"/>
        <v>2.282962225715949</v>
      </c>
      <c r="S55" s="666">
        <f t="shared" ca="1" si="73"/>
        <v>2.2016464331547234</v>
      </c>
      <c r="T55" s="666">
        <f t="shared" ca="1" si="73"/>
        <v>2.1388672710428938</v>
      </c>
      <c r="U55" s="666">
        <f t="shared" ca="1" si="73"/>
        <v>2.0582945522575344</v>
      </c>
      <c r="V55" s="671">
        <f t="shared" ca="1" si="73"/>
        <v>1.9673831547639229</v>
      </c>
      <c r="W55" s="671">
        <f t="shared" ca="1" si="73"/>
        <v>1.890504816478372</v>
      </c>
      <c r="X55" s="671">
        <f t="shared" ca="1" si="73"/>
        <v>1.759836408343918</v>
      </c>
      <c r="Y55" s="671">
        <f t="shared" ca="1" si="73"/>
        <v>1.6820548247243423</v>
      </c>
      <c r="Z55" s="2">
        <f ca="1">SUM(P55:Y55)</f>
        <v>20.862655829369348</v>
      </c>
      <c r="AA55" s="658">
        <v>57.934641141152717</v>
      </c>
      <c r="AB55" s="658"/>
      <c r="AC55" s="572">
        <v>57.570523199528225</v>
      </c>
      <c r="AD55" s="573"/>
      <c r="AE55" s="577">
        <v>926.60470503448391</v>
      </c>
      <c r="AF55" s="578"/>
      <c r="AG55" s="574" t="str">
        <f ca="1">"SumSkill="&amp;ROUND(P56,3)</f>
        <v>SumSkill=9.402</v>
      </c>
      <c r="AH55" s="575"/>
      <c r="AI55" s="575"/>
      <c r="AJ55" s="576"/>
      <c r="AL55" s="590" t="str">
        <f>IF(Arb!$AJ$28=1,"Hard","困难")</f>
        <v>困难</v>
      </c>
      <c r="AM55" s="590"/>
      <c r="AN55" s="433">
        <v>30</v>
      </c>
      <c r="AO55" s="551">
        <f ca="1">BV!C55</f>
        <v>13.41</v>
      </c>
      <c r="AP55" s="11" t="str">
        <f ca="1">BV!K55</f>
        <v/>
      </c>
      <c r="AQ55" s="11" t="str">
        <f ca="1">BV!S55</f>
        <v/>
      </c>
      <c r="AR55" s="11" t="str">
        <f ca="1">BV!AA55</f>
        <v/>
      </c>
      <c r="AS55" s="11" t="str">
        <f ca="1">BV!AI55</f>
        <v/>
      </c>
      <c r="AT55" s="11" t="str">
        <f ca="1">BV!AQ55</f>
        <v/>
      </c>
      <c r="AU55" s="11" t="str">
        <f ca="1">BV!AY55</f>
        <v/>
      </c>
      <c r="AV55" s="11" t="str">
        <f ca="1">BV!BG55</f>
        <v/>
      </c>
      <c r="AW55" s="11" t="str">
        <f ca="1">BV!BO55</f>
        <v/>
      </c>
      <c r="AX55" s="11" t="str">
        <f ca="1">BV!BW55</f>
        <v/>
      </c>
      <c r="AY55" s="271" t="s">
        <v>67</v>
      </c>
      <c r="AZ55" s="274">
        <f t="shared" si="71"/>
        <v>3.9812977500156701</v>
      </c>
      <c r="BA55" s="261">
        <v>1.04400421E-4</v>
      </c>
      <c r="BB55" s="268">
        <v>8.0520922540000001E-3</v>
      </c>
      <c r="BC55" s="268">
        <f t="shared" si="72"/>
        <v>1.2965626536151209E-2</v>
      </c>
      <c r="BD55" s="269">
        <f ca="1">IF(BV!H55="","",INT(NOW()-BV!H55))</f>
        <v>12</v>
      </c>
      <c r="BE55" s="275">
        <f t="shared" si="12"/>
        <v>97.869839252638386</v>
      </c>
      <c r="BF55" s="300">
        <f ca="1">BV!G55</f>
        <v>55.879300319657631</v>
      </c>
      <c r="BG55" s="11" t="str">
        <f ca="1">BV!O55</f>
        <v/>
      </c>
      <c r="BH55" s="11" t="str">
        <f ca="1">BV!W55</f>
        <v/>
      </c>
      <c r="BI55" s="11" t="str">
        <f ca="1">BV!AE55</f>
        <v/>
      </c>
      <c r="BJ55" s="11" t="str">
        <f ca="1">BV!AM55</f>
        <v/>
      </c>
      <c r="BK55" s="11" t="str">
        <f ca="1">BV!AU55</f>
        <v/>
      </c>
      <c r="BL55" s="11" t="str">
        <f ca="1">BV!BC55</f>
        <v/>
      </c>
      <c r="BM55" s="11" t="str">
        <f ca="1">BV!BK55</f>
        <v/>
      </c>
      <c r="BN55" s="11" t="str">
        <f ca="1">BV!BS55</f>
        <v/>
      </c>
      <c r="BO55" s="11" t="str">
        <f ca="1">BV!CA55</f>
        <v/>
      </c>
      <c r="BP55" s="433">
        <v>30</v>
      </c>
      <c r="BQ55" s="11">
        <f ca="1">IFERROR(YEAR(OFFSET(BV!$H55,,(COLUMN()-69)*8)),"")</f>
        <v>2020</v>
      </c>
      <c r="BR55" s="11" t="str">
        <f ca="1">IFERROR(YEAR(OFFSET(BV!$H55,,(COLUMN()-69)*8)),"")</f>
        <v/>
      </c>
      <c r="BS55" s="11" t="str">
        <f ca="1">IFERROR(YEAR(OFFSET(BV!$H55,,(COLUMN()-69)*8)),"")</f>
        <v/>
      </c>
      <c r="BT55" s="11" t="str">
        <f ca="1">IFERROR(YEAR(OFFSET(BV!$H55,,(COLUMN()-69)*8)),"")</f>
        <v/>
      </c>
      <c r="BU55" s="11" t="str">
        <f ca="1">IFERROR(YEAR(OFFSET(BV!$H55,,(COLUMN()-69)*8)),"")</f>
        <v/>
      </c>
      <c r="BV55" s="11" t="str">
        <f ca="1">IFERROR(YEAR(OFFSET(BV!$H55,,(COLUMN()-69)*8)),"")</f>
        <v/>
      </c>
      <c r="BW55" s="11" t="str">
        <f ca="1">IFERROR(YEAR(OFFSET(BV!$H55,,(COLUMN()-69)*8)),"")</f>
        <v/>
      </c>
      <c r="BX55" s="11" t="str">
        <f ca="1">IFERROR(YEAR(OFFSET(BV!$H55,,(COLUMN()-69)*8)),"")</f>
        <v/>
      </c>
      <c r="BY55" s="11" t="str">
        <f ca="1">IFERROR(YEAR(OFFSET(BV!$H55,,(COLUMN()-69)*8)),"")</f>
        <v/>
      </c>
      <c r="BZ55" s="11" t="str">
        <f ca="1">IFERROR(YEAR(OFFSET(BV!$H55,,(COLUMN()-69)*8)),"")</f>
        <v/>
      </c>
    </row>
    <row r="56" spans="1:78" x14ac:dyDescent="0.25">
      <c r="A56" s="433">
        <v>31</v>
      </c>
      <c r="B56" s="11" t="str">
        <f ca="1">BV!D56</f>
        <v/>
      </c>
      <c r="C56" s="11" t="str">
        <f ca="1">BV!L56</f>
        <v/>
      </c>
      <c r="D56" s="11" t="str">
        <f ca="1">BV!T56</f>
        <v/>
      </c>
      <c r="E56" s="11" t="str">
        <f ca="1">BV!AB56</f>
        <v/>
      </c>
      <c r="F56" s="11" t="str">
        <f ca="1">BV!AJ56</f>
        <v/>
      </c>
      <c r="G56" s="11" t="str">
        <f ca="1">BV!AR56</f>
        <v/>
      </c>
      <c r="H56" s="11" t="str">
        <f ca="1">BV!AZ56</f>
        <v/>
      </c>
      <c r="I56" s="11" t="str">
        <f ca="1">BV!BH56</f>
        <v/>
      </c>
      <c r="J56" s="11" t="str">
        <f ca="1">BV!BP56</f>
        <v/>
      </c>
      <c r="K56" s="11" t="str">
        <f ca="1">BV!BX56</f>
        <v/>
      </c>
      <c r="L56" s="271" t="s">
        <v>67</v>
      </c>
      <c r="M56" s="261">
        <v>1.5829093400000001E-4</v>
      </c>
      <c r="N56" s="272" t="str">
        <f t="shared" ca="1" si="68"/>
        <v/>
      </c>
      <c r="O56" s="15" t="str">
        <f>IF(Arb!$AJ$28=1,"Skill","总战力")</f>
        <v>总战力</v>
      </c>
      <c r="P56" s="322">
        <f t="shared" ref="P56:Y56" ca="1" si="74">P53+P54+P55</f>
        <v>9.4024219618392451</v>
      </c>
      <c r="Q56" s="662">
        <f t="shared" ca="1" si="74"/>
        <v>8.8658803374301876</v>
      </c>
      <c r="R56" s="662">
        <f t="shared" ca="1" si="74"/>
        <v>8.4745893359355673</v>
      </c>
      <c r="S56" s="663">
        <f t="shared" ca="1" si="74"/>
        <v>8.2200347718955378</v>
      </c>
      <c r="T56" s="663">
        <f t="shared" ca="1" si="74"/>
        <v>7.9017021615581839</v>
      </c>
      <c r="U56" s="663">
        <f t="shared" ca="1" si="74"/>
        <v>7.6797757482509041</v>
      </c>
      <c r="V56" s="665">
        <f t="shared" ca="1" si="74"/>
        <v>7.4463952208461688</v>
      </c>
      <c r="W56" s="664">
        <f t="shared" ca="1" si="74"/>
        <v>7.2154181069326224</v>
      </c>
      <c r="X56" s="665">
        <f t="shared" ca="1" si="74"/>
        <v>6.8904305235978986</v>
      </c>
      <c r="Y56" s="666">
        <f t="shared" ca="1" si="74"/>
        <v>6.6732834589027119</v>
      </c>
      <c r="Z56" s="2">
        <f ca="1">SUM(P56:Y56)</f>
        <v>78.769931627189038</v>
      </c>
      <c r="AA56" s="658">
        <v>55.249620017331999</v>
      </c>
      <c r="AB56" s="658"/>
      <c r="AC56" s="572">
        <v>54.993874528986836</v>
      </c>
      <c r="AD56" s="573"/>
      <c r="AE56" s="577">
        <v>1822.7310845050324</v>
      </c>
      <c r="AF56" s="578"/>
      <c r="AG56" s="574" t="str">
        <f ca="1">"PPP5="&amp;ROUND(X94,2)</f>
        <v>PPP5=2.32</v>
      </c>
      <c r="AH56" s="575"/>
      <c r="AI56" s="575"/>
      <c r="AJ56" s="576"/>
      <c r="AL56" s="590" t="str">
        <f>IF(Arb!$AJ$28=1,"Hard","困难")</f>
        <v>困难</v>
      </c>
      <c r="AM56" s="590"/>
      <c r="AN56" s="433">
        <v>31</v>
      </c>
      <c r="AO56" s="11" t="str">
        <f ca="1">BV!C56</f>
        <v/>
      </c>
      <c r="AP56" s="11" t="str">
        <f ca="1">BV!K56</f>
        <v/>
      </c>
      <c r="AQ56" s="11" t="str">
        <f ca="1">BV!S56</f>
        <v/>
      </c>
      <c r="AR56" s="11" t="str">
        <f ca="1">BV!AA56</f>
        <v/>
      </c>
      <c r="AS56" s="11" t="str">
        <f ca="1">BV!AI56</f>
        <v/>
      </c>
      <c r="AT56" s="11" t="str">
        <f ca="1">BV!AQ56</f>
        <v/>
      </c>
      <c r="AU56" s="11" t="str">
        <f ca="1">BV!AY56</f>
        <v/>
      </c>
      <c r="AV56" s="11" t="str">
        <f ca="1">BV!BG56</f>
        <v/>
      </c>
      <c r="AW56" s="11" t="str">
        <f ca="1">BV!BO56</f>
        <v/>
      </c>
      <c r="AX56" s="11" t="str">
        <f ca="1">BV!BW56</f>
        <v/>
      </c>
      <c r="AY56" s="271" t="s">
        <v>67</v>
      </c>
      <c r="AZ56" s="274">
        <f t="shared" si="71"/>
        <v>3.8005439583311009</v>
      </c>
      <c r="BA56" s="261">
        <v>1.5829093400000001E-4</v>
      </c>
      <c r="BB56" s="268">
        <v>8.0520922540000001E-3</v>
      </c>
      <c r="BC56" s="268">
        <f t="shared" si="72"/>
        <v>1.9658360710083343E-2</v>
      </c>
      <c r="BD56" s="269" t="str">
        <f ca="1">IF(BV!H56="","",INT(NOW()-BV!H56))</f>
        <v/>
      </c>
      <c r="BE56" s="275">
        <f t="shared" si="12"/>
        <v>79.482584268822038</v>
      </c>
      <c r="BF56" s="11" t="str">
        <f ca="1">BV!G56</f>
        <v/>
      </c>
      <c r="BG56" s="11" t="str">
        <f ca="1">BV!O56</f>
        <v/>
      </c>
      <c r="BH56" s="11" t="str">
        <f ca="1">BV!W56</f>
        <v/>
      </c>
      <c r="BI56" s="11" t="str">
        <f ca="1">BV!AE56</f>
        <v/>
      </c>
      <c r="BJ56" s="11" t="str">
        <f ca="1">BV!AM56</f>
        <v/>
      </c>
      <c r="BK56" s="11" t="str">
        <f ca="1">BV!AU56</f>
        <v/>
      </c>
      <c r="BL56" s="11" t="str">
        <f ca="1">BV!BC56</f>
        <v/>
      </c>
      <c r="BM56" s="11" t="str">
        <f ca="1">BV!BK56</f>
        <v/>
      </c>
      <c r="BN56" s="11" t="str">
        <f ca="1">BV!BS56</f>
        <v/>
      </c>
      <c r="BO56" s="11" t="str">
        <f ca="1">BV!CA56</f>
        <v/>
      </c>
      <c r="BP56" s="433">
        <v>31</v>
      </c>
      <c r="BQ56" s="11" t="str">
        <f ca="1">IFERROR(YEAR(OFFSET(BV!$H56,,(COLUMN()-69)*8)),"")</f>
        <v/>
      </c>
      <c r="BR56" s="11" t="str">
        <f ca="1">IFERROR(YEAR(OFFSET(BV!$H56,,(COLUMN()-69)*8)),"")</f>
        <v/>
      </c>
      <c r="BS56" s="11" t="str">
        <f ca="1">IFERROR(YEAR(OFFSET(BV!$H56,,(COLUMN()-69)*8)),"")</f>
        <v/>
      </c>
      <c r="BT56" s="11" t="str">
        <f ca="1">IFERROR(YEAR(OFFSET(BV!$H56,,(COLUMN()-69)*8)),"")</f>
        <v/>
      </c>
      <c r="BU56" s="11" t="str">
        <f ca="1">IFERROR(YEAR(OFFSET(BV!$H56,,(COLUMN()-69)*8)),"")</f>
        <v/>
      </c>
      <c r="BV56" s="11" t="str">
        <f ca="1">IFERROR(YEAR(OFFSET(BV!$H56,,(COLUMN()-69)*8)),"")</f>
        <v/>
      </c>
      <c r="BW56" s="11" t="str">
        <f ca="1">IFERROR(YEAR(OFFSET(BV!$H56,,(COLUMN()-69)*8)),"")</f>
        <v/>
      </c>
      <c r="BX56" s="11" t="str">
        <f ca="1">IFERROR(YEAR(OFFSET(BV!$H56,,(COLUMN()-69)*8)),"")</f>
        <v/>
      </c>
      <c r="BY56" s="11" t="str">
        <f ca="1">IFERROR(YEAR(OFFSET(BV!$H56,,(COLUMN()-69)*8)),"")</f>
        <v/>
      </c>
      <c r="BZ56" s="11" t="str">
        <f ca="1">IFERROR(YEAR(OFFSET(BV!$H56,,(COLUMN()-69)*8)),"")</f>
        <v/>
      </c>
    </row>
    <row r="57" spans="1:78" x14ac:dyDescent="0.25">
      <c r="A57" s="433">
        <v>32</v>
      </c>
      <c r="B57" s="11" t="str">
        <f ca="1">BV!D57</f>
        <v/>
      </c>
      <c r="C57" s="11" t="str">
        <f ca="1">BV!L57</f>
        <v/>
      </c>
      <c r="D57" s="11" t="str">
        <f ca="1">BV!T57</f>
        <v/>
      </c>
      <c r="E57" s="11" t="str">
        <f ca="1">BV!AB57</f>
        <v/>
      </c>
      <c r="F57" s="11" t="str">
        <f ca="1">BV!AJ57</f>
        <v/>
      </c>
      <c r="G57" s="11" t="str">
        <f ca="1">BV!AR57</f>
        <v/>
      </c>
      <c r="H57" s="11" t="str">
        <f ca="1">BV!AZ57</f>
        <v/>
      </c>
      <c r="I57" s="11" t="str">
        <f ca="1">BV!BH57</f>
        <v/>
      </c>
      <c r="J57" s="11" t="str">
        <f ca="1">BV!BP57</f>
        <v/>
      </c>
      <c r="K57" s="11" t="str">
        <f ca="1">BV!BX57</f>
        <v/>
      </c>
      <c r="L57" s="271" t="s">
        <v>67</v>
      </c>
      <c r="M57" s="261">
        <v>2.34839422E-4</v>
      </c>
      <c r="N57" s="272" t="str">
        <f t="shared" ca="1" si="68"/>
        <v/>
      </c>
      <c r="O57" s="4" t="str">
        <f t="shared" ref="O57:Y57" si="75">O1</f>
        <v>分段</v>
      </c>
      <c r="P57" s="15" t="str">
        <f t="shared" si="75"/>
        <v>1st</v>
      </c>
      <c r="Q57" s="15" t="str">
        <f t="shared" si="75"/>
        <v>2nd</v>
      </c>
      <c r="R57" s="15" t="str">
        <f t="shared" si="75"/>
        <v>3rd</v>
      </c>
      <c r="S57" s="15" t="str">
        <f t="shared" si="75"/>
        <v>4th</v>
      </c>
      <c r="T57" s="15" t="str">
        <f t="shared" si="75"/>
        <v>5th</v>
      </c>
      <c r="U57" s="15" t="str">
        <f t="shared" si="75"/>
        <v>6th</v>
      </c>
      <c r="V57" s="15" t="str">
        <f t="shared" si="75"/>
        <v>7th</v>
      </c>
      <c r="W57" s="256" t="str">
        <f t="shared" si="75"/>
        <v>8th</v>
      </c>
      <c r="X57" s="15" t="str">
        <f t="shared" si="75"/>
        <v>9th</v>
      </c>
      <c r="Y57" s="15" t="str">
        <f t="shared" si="75"/>
        <v>10th</v>
      </c>
      <c r="Z57" s="15" t="str">
        <f>IF(Arb!$AJ$28=1,"Sum","求和")</f>
        <v>求和</v>
      </c>
      <c r="AA57" s="504" t="s">
        <v>414</v>
      </c>
      <c r="AB57" s="65">
        <v>99</v>
      </c>
      <c r="AC57" s="501">
        <f ca="1">COUNTIF(BV!$C$242:$C$430,"&lt;"&amp;ASB!AB57)</f>
        <v>101</v>
      </c>
      <c r="AD57" s="592" t="s">
        <v>645</v>
      </c>
      <c r="AE57" s="593"/>
      <c r="AF57" s="502" t="s">
        <v>411</v>
      </c>
      <c r="AG57" s="18">
        <v>1.5</v>
      </c>
      <c r="AH57" s="501">
        <f ca="1">COUNTIF(BV!$D$242:$D$430,"&gt;="&amp;ASB!AG57)</f>
        <v>101</v>
      </c>
      <c r="AI57" s="592" t="s">
        <v>645</v>
      </c>
      <c r="AJ57" s="593"/>
      <c r="AL57" s="590" t="str">
        <f>IF(Arb!$AJ$28=1,"Hard","困难")</f>
        <v>困难</v>
      </c>
      <c r="AM57" s="590"/>
      <c r="AN57" s="433">
        <v>32</v>
      </c>
      <c r="AO57" s="11" t="str">
        <f ca="1">BV!C57</f>
        <v/>
      </c>
      <c r="AP57" s="11" t="str">
        <f ca="1">BV!K57</f>
        <v/>
      </c>
      <c r="AQ57" s="11" t="str">
        <f ca="1">BV!S57</f>
        <v/>
      </c>
      <c r="AR57" s="11" t="str">
        <f ca="1">BV!AA57</f>
        <v/>
      </c>
      <c r="AS57" s="11" t="str">
        <f ca="1">BV!AI57</f>
        <v/>
      </c>
      <c r="AT57" s="11" t="str">
        <f ca="1">BV!AQ57</f>
        <v/>
      </c>
      <c r="AU57" s="11" t="str">
        <f ca="1">BV!AY57</f>
        <v/>
      </c>
      <c r="AV57" s="11" t="str">
        <f ca="1">BV!BG57</f>
        <v/>
      </c>
      <c r="AW57" s="11" t="str">
        <f ca="1">BV!BO57</f>
        <v/>
      </c>
      <c r="AX57" s="11" t="str">
        <f ca="1">BV!BW57</f>
        <v/>
      </c>
      <c r="AY57" s="271" t="s">
        <v>67</v>
      </c>
      <c r="AZ57" s="274">
        <f t="shared" si="71"/>
        <v>3.6292289972030756</v>
      </c>
      <c r="BA57" s="261">
        <v>2.34839422E-4</v>
      </c>
      <c r="BB57" s="268">
        <v>8.0520922540000001E-3</v>
      </c>
      <c r="BC57" s="268">
        <f t="shared" si="72"/>
        <v>2.9165018804067962E-2</v>
      </c>
      <c r="BD57" s="269" t="str">
        <f ca="1">IF(BV!H57="","",INT(NOW()-BV!H57))</f>
        <v/>
      </c>
      <c r="BE57" s="275">
        <f t="shared" si="12"/>
        <v>65.255105869228487</v>
      </c>
      <c r="BF57" s="11" t="str">
        <f ca="1">BV!G57</f>
        <v/>
      </c>
      <c r="BG57" s="11" t="str">
        <f ca="1">BV!O57</f>
        <v/>
      </c>
      <c r="BH57" s="11" t="str">
        <f ca="1">BV!W57</f>
        <v/>
      </c>
      <c r="BI57" s="11" t="str">
        <f ca="1">BV!AE57</f>
        <v/>
      </c>
      <c r="BJ57" s="11" t="str">
        <f ca="1">BV!AM57</f>
        <v/>
      </c>
      <c r="BK57" s="11" t="str">
        <f ca="1">BV!AU57</f>
        <v/>
      </c>
      <c r="BL57" s="11" t="str">
        <f ca="1">BV!BC57</f>
        <v/>
      </c>
      <c r="BM57" s="11" t="str">
        <f ca="1">BV!BK57</f>
        <v/>
      </c>
      <c r="BN57" s="11" t="str">
        <f ca="1">BV!BS57</f>
        <v/>
      </c>
      <c r="BO57" s="11" t="str">
        <f ca="1">BV!CA57</f>
        <v/>
      </c>
      <c r="BP57" s="433">
        <v>32</v>
      </c>
      <c r="BQ57" s="11" t="str">
        <f ca="1">IFERROR(YEAR(OFFSET(BV!$H57,,(COLUMN()-69)*8)),"")</f>
        <v/>
      </c>
      <c r="BR57" s="11" t="str">
        <f ca="1">IFERROR(YEAR(OFFSET(BV!$H57,,(COLUMN()-69)*8)),"")</f>
        <v/>
      </c>
      <c r="BS57" s="11" t="str">
        <f ca="1">IFERROR(YEAR(OFFSET(BV!$H57,,(COLUMN()-69)*8)),"")</f>
        <v/>
      </c>
      <c r="BT57" s="11" t="str">
        <f ca="1">IFERROR(YEAR(OFFSET(BV!$H57,,(COLUMN()-69)*8)),"")</f>
        <v/>
      </c>
      <c r="BU57" s="11" t="str">
        <f ca="1">IFERROR(YEAR(OFFSET(BV!$H57,,(COLUMN()-69)*8)),"")</f>
        <v/>
      </c>
      <c r="BV57" s="11" t="str">
        <f ca="1">IFERROR(YEAR(OFFSET(BV!$H57,,(COLUMN()-69)*8)),"")</f>
        <v/>
      </c>
      <c r="BW57" s="11" t="str">
        <f ca="1">IFERROR(YEAR(OFFSET(BV!$H57,,(COLUMN()-69)*8)),"")</f>
        <v/>
      </c>
      <c r="BX57" s="11" t="str">
        <f ca="1">IFERROR(YEAR(OFFSET(BV!$H57,,(COLUMN()-69)*8)),"")</f>
        <v/>
      </c>
      <c r="BY57" s="11" t="str">
        <f ca="1">IFERROR(YEAR(OFFSET(BV!$H57,,(COLUMN()-69)*8)),"")</f>
        <v/>
      </c>
      <c r="BZ57" s="11" t="str">
        <f ca="1">IFERROR(YEAR(OFFSET(BV!$H57,,(COLUMN()-69)*8)),"")</f>
        <v/>
      </c>
    </row>
    <row r="58" spans="1:78" x14ac:dyDescent="0.25">
      <c r="A58" s="433">
        <v>33</v>
      </c>
      <c r="B58" s="11" t="str">
        <f ca="1">BV!D58</f>
        <v/>
      </c>
      <c r="C58" s="11" t="str">
        <f ca="1">BV!L58</f>
        <v/>
      </c>
      <c r="D58" s="11" t="str">
        <f ca="1">BV!T58</f>
        <v/>
      </c>
      <c r="E58" s="11" t="str">
        <f ca="1">BV!AB58</f>
        <v/>
      </c>
      <c r="F58" s="11" t="str">
        <f ca="1">BV!AJ58</f>
        <v/>
      </c>
      <c r="G58" s="11" t="str">
        <f ca="1">BV!AR58</f>
        <v/>
      </c>
      <c r="H58" s="11" t="str">
        <f ca="1">BV!AZ58</f>
        <v/>
      </c>
      <c r="I58" s="11" t="str">
        <f ca="1">BV!BH58</f>
        <v/>
      </c>
      <c r="J58" s="11" t="str">
        <f ca="1">BV!BP58</f>
        <v/>
      </c>
      <c r="K58" s="11" t="str">
        <f ca="1">BV!BX58</f>
        <v/>
      </c>
      <c r="L58" s="271" t="s">
        <v>67</v>
      </c>
      <c r="M58" s="261">
        <v>3.4133704299999998E-4</v>
      </c>
      <c r="N58" s="272" t="str">
        <f t="shared" ca="1" si="68"/>
        <v/>
      </c>
      <c r="O58" s="263" t="s">
        <v>11</v>
      </c>
      <c r="P58" s="34"/>
      <c r="Q58" s="34"/>
      <c r="R58" s="34"/>
      <c r="S58" s="34"/>
      <c r="T58" s="34"/>
      <c r="U58" s="34"/>
      <c r="V58" s="34"/>
      <c r="W58" s="264"/>
      <c r="X58" s="34"/>
      <c r="Y58" s="34"/>
      <c r="Z58" s="39"/>
      <c r="AA58" s="504" t="s">
        <v>414</v>
      </c>
      <c r="AB58" s="65">
        <v>94</v>
      </c>
      <c r="AC58" s="501">
        <f ca="1">COUNTIF(BV!$C$242:$C$430,"&lt;"&amp;ASB!AB58)</f>
        <v>98</v>
      </c>
      <c r="AD58" s="592" t="s">
        <v>645</v>
      </c>
      <c r="AE58" s="593"/>
      <c r="AF58" s="502" t="s">
        <v>411</v>
      </c>
      <c r="AG58" s="18">
        <v>2</v>
      </c>
      <c r="AH58" s="501">
        <f ca="1">COUNTIF(BV!$D$242:$D$430,"&gt;="&amp;ASB!AG58)</f>
        <v>95</v>
      </c>
      <c r="AI58" s="592" t="s">
        <v>645</v>
      </c>
      <c r="AJ58" s="593"/>
      <c r="AL58" s="590" t="str">
        <f>IF(Arb!$AJ$28=1,"Hard","困难")</f>
        <v>困难</v>
      </c>
      <c r="AM58" s="590"/>
      <c r="AN58" s="433">
        <v>33</v>
      </c>
      <c r="AO58" s="11" t="str">
        <f ca="1">BV!C58</f>
        <v/>
      </c>
      <c r="AP58" s="11" t="str">
        <f ca="1">BV!K58</f>
        <v/>
      </c>
      <c r="AQ58" s="11" t="str">
        <f ca="1">BV!S58</f>
        <v/>
      </c>
      <c r="AR58" s="11" t="str">
        <f ca="1">BV!AA58</f>
        <v/>
      </c>
      <c r="AS58" s="11" t="str">
        <f ca="1">BV!AI58</f>
        <v/>
      </c>
      <c r="AT58" s="11" t="str">
        <f ca="1">BV!AQ58</f>
        <v/>
      </c>
      <c r="AU58" s="11" t="str">
        <f ca="1">BV!AY58</f>
        <v/>
      </c>
      <c r="AV58" s="11" t="str">
        <f ca="1">BV!BG58</f>
        <v/>
      </c>
      <c r="AW58" s="11" t="str">
        <f ca="1">BV!BO58</f>
        <v/>
      </c>
      <c r="AX58" s="11" t="str">
        <f ca="1">BV!BW58</f>
        <v/>
      </c>
      <c r="AY58" s="271" t="s">
        <v>67</v>
      </c>
      <c r="AZ58" s="274">
        <f t="shared" si="71"/>
        <v>3.4668165781218185</v>
      </c>
      <c r="BA58" s="261">
        <v>3.4133704299999998E-4</v>
      </c>
      <c r="BB58" s="268">
        <v>8.0520922540000001E-3</v>
      </c>
      <c r="BC58" s="268">
        <f t="shared" si="72"/>
        <v>4.2391099385434339E-2</v>
      </c>
      <c r="BD58" s="269" t="str">
        <f ca="1">IF(BV!H58="","",INT(NOW()-BV!H58))</f>
        <v/>
      </c>
      <c r="BE58" s="275">
        <f t="shared" si="12"/>
        <v>54.126293610607036</v>
      </c>
      <c r="BF58" s="11" t="str">
        <f ca="1">BV!G58</f>
        <v/>
      </c>
      <c r="BG58" s="11" t="str">
        <f ca="1">BV!O58</f>
        <v/>
      </c>
      <c r="BH58" s="11" t="str">
        <f ca="1">BV!W58</f>
        <v/>
      </c>
      <c r="BI58" s="11" t="str">
        <f ca="1">BV!AE58</f>
        <v/>
      </c>
      <c r="BJ58" s="11" t="str">
        <f ca="1">BV!AM58</f>
        <v/>
      </c>
      <c r="BK58" s="11" t="str">
        <f ca="1">BV!AU58</f>
        <v/>
      </c>
      <c r="BL58" s="11" t="str">
        <f ca="1">BV!BC58</f>
        <v/>
      </c>
      <c r="BM58" s="11" t="str">
        <f ca="1">BV!BK58</f>
        <v/>
      </c>
      <c r="BN58" s="11" t="str">
        <f ca="1">BV!BS58</f>
        <v/>
      </c>
      <c r="BO58" s="11" t="str">
        <f ca="1">BV!CA58</f>
        <v/>
      </c>
      <c r="BP58" s="433">
        <v>33</v>
      </c>
      <c r="BQ58" s="11" t="str">
        <f ca="1">IFERROR(YEAR(OFFSET(BV!$H58,,(COLUMN()-69)*8)),"")</f>
        <v/>
      </c>
      <c r="BR58" s="11" t="str">
        <f ca="1">IFERROR(YEAR(OFFSET(BV!$H58,,(COLUMN()-69)*8)),"")</f>
        <v/>
      </c>
      <c r="BS58" s="11" t="str">
        <f ca="1">IFERROR(YEAR(OFFSET(BV!$H58,,(COLUMN()-69)*8)),"")</f>
        <v/>
      </c>
      <c r="BT58" s="11" t="str">
        <f ca="1">IFERROR(YEAR(OFFSET(BV!$H58,,(COLUMN()-69)*8)),"")</f>
        <v/>
      </c>
      <c r="BU58" s="11" t="str">
        <f ca="1">IFERROR(YEAR(OFFSET(BV!$H58,,(COLUMN()-69)*8)),"")</f>
        <v/>
      </c>
      <c r="BV58" s="11" t="str">
        <f ca="1">IFERROR(YEAR(OFFSET(BV!$H58,,(COLUMN()-69)*8)),"")</f>
        <v/>
      </c>
      <c r="BW58" s="11" t="str">
        <f ca="1">IFERROR(YEAR(OFFSET(BV!$H58,,(COLUMN()-69)*8)),"")</f>
        <v/>
      </c>
      <c r="BX58" s="11" t="str">
        <f ca="1">IFERROR(YEAR(OFFSET(BV!$H58,,(COLUMN()-69)*8)),"")</f>
        <v/>
      </c>
      <c r="BY58" s="11" t="str">
        <f ca="1">IFERROR(YEAR(OFFSET(BV!$H58,,(COLUMN()-69)*8)),"")</f>
        <v/>
      </c>
      <c r="BZ58" s="11" t="str">
        <f ca="1">IFERROR(YEAR(OFFSET(BV!$H58,,(COLUMN()-69)*8)),"")</f>
        <v/>
      </c>
    </row>
    <row r="59" spans="1:78" x14ac:dyDescent="0.25">
      <c r="A59" s="433">
        <v>34</v>
      </c>
      <c r="B59" s="11" t="str">
        <f ca="1">BV!D59</f>
        <v/>
      </c>
      <c r="C59" s="11" t="str">
        <f ca="1">BV!L59</f>
        <v/>
      </c>
      <c r="D59" s="11" t="str">
        <f ca="1">BV!T59</f>
        <v/>
      </c>
      <c r="E59" s="11" t="str">
        <f ca="1">BV!AB59</f>
        <v/>
      </c>
      <c r="F59" s="11" t="str">
        <f ca="1">BV!AJ59</f>
        <v/>
      </c>
      <c r="G59" s="11" t="str">
        <f ca="1">BV!AR59</f>
        <v/>
      </c>
      <c r="H59" s="11" t="str">
        <f ca="1">BV!AZ59</f>
        <v/>
      </c>
      <c r="I59" s="11" t="str">
        <f ca="1">BV!BH59</f>
        <v/>
      </c>
      <c r="J59" s="11" t="str">
        <f ca="1">BV!BP59</f>
        <v/>
      </c>
      <c r="K59" s="11" t="str">
        <f ca="1">BV!BX59</f>
        <v/>
      </c>
      <c r="L59" s="271" t="s">
        <v>67</v>
      </c>
      <c r="M59" s="261">
        <v>4.8633494300000002E-4</v>
      </c>
      <c r="N59" s="272" t="str">
        <f t="shared" ca="1" si="68"/>
        <v/>
      </c>
      <c r="O59" s="31" t="s">
        <v>12</v>
      </c>
      <c r="P59" s="518">
        <f t="shared" ref="P59:Y59" ca="1" si="76">IFERROR(47.299/(($AK3/P31)^1.7/$AK3),0)</f>
        <v>78.638216766491055</v>
      </c>
      <c r="Q59" s="700">
        <f t="shared" ca="1" si="76"/>
        <v>70.657884358848861</v>
      </c>
      <c r="R59" s="701">
        <f t="shared" ca="1" si="76"/>
        <v>66.654993470796583</v>
      </c>
      <c r="S59" s="701">
        <f t="shared" ca="1" si="76"/>
        <v>64.601801815926265</v>
      </c>
      <c r="T59" s="701">
        <f t="shared" ca="1" si="76"/>
        <v>62.526503305167004</v>
      </c>
      <c r="U59" s="702">
        <f t="shared" ca="1" si="76"/>
        <v>60.619343306001952</v>
      </c>
      <c r="V59" s="702">
        <f t="shared" ca="1" si="76"/>
        <v>59.332575290334646</v>
      </c>
      <c r="W59" s="703">
        <f t="shared" ca="1" si="76"/>
        <v>58.399547041846013</v>
      </c>
      <c r="X59" s="702">
        <f t="shared" ca="1" si="76"/>
        <v>57.636721742075856</v>
      </c>
      <c r="Y59" s="702">
        <f t="shared" ca="1" si="76"/>
        <v>56.605963053479137</v>
      </c>
      <c r="Z59" s="6">
        <f t="shared" ref="Z59:Z82" ca="1" si="77">SUM(P59:Y59)</f>
        <v>635.67355015096746</v>
      </c>
      <c r="AA59" s="504" t="s">
        <v>414</v>
      </c>
      <c r="AB59" s="65">
        <v>89</v>
      </c>
      <c r="AC59" s="501">
        <f ca="1">COUNTIF(BV!$C$242:$C$430,"&lt;"&amp;ASB!AB59)</f>
        <v>94</v>
      </c>
      <c r="AD59" s="592" t="s">
        <v>646</v>
      </c>
      <c r="AE59" s="593"/>
      <c r="AF59" s="502" t="s">
        <v>411</v>
      </c>
      <c r="AG59" s="18">
        <v>2.5</v>
      </c>
      <c r="AH59" s="501">
        <f ca="1">COUNTIF(BV!$D$242:$D$430,"&gt;="&amp;ASB!AG59)</f>
        <v>56</v>
      </c>
      <c r="AI59" s="592" t="s">
        <v>768</v>
      </c>
      <c r="AJ59" s="593"/>
      <c r="AK59" s="317"/>
      <c r="AL59" s="590" t="str">
        <f>IF(Arb!$AJ$28=1,"Crazy","疯狂")</f>
        <v>疯狂</v>
      </c>
      <c r="AM59" s="590"/>
      <c r="AN59" s="433">
        <v>34</v>
      </c>
      <c r="AO59" s="11" t="str">
        <f ca="1">BV!C59</f>
        <v/>
      </c>
      <c r="AP59" s="11" t="str">
        <f ca="1">BV!K59</f>
        <v/>
      </c>
      <c r="AQ59" s="11" t="str">
        <f ca="1">BV!S59</f>
        <v/>
      </c>
      <c r="AR59" s="11" t="str">
        <f ca="1">BV!AA59</f>
        <v/>
      </c>
      <c r="AS59" s="11" t="str">
        <f ca="1">BV!AI59</f>
        <v/>
      </c>
      <c r="AT59" s="11" t="str">
        <f ca="1">BV!AQ59</f>
        <v/>
      </c>
      <c r="AU59" s="11" t="str">
        <f ca="1">BV!AY59</f>
        <v/>
      </c>
      <c r="AV59" s="11" t="str">
        <f ca="1">BV!BG59</f>
        <v/>
      </c>
      <c r="AW59" s="11" t="str">
        <f ca="1">BV!BO59</f>
        <v/>
      </c>
      <c r="AX59" s="11" t="str">
        <f ca="1">BV!BW59</f>
        <v/>
      </c>
      <c r="AY59" s="271" t="s">
        <v>67</v>
      </c>
      <c r="AZ59" s="274">
        <f t="shared" si="71"/>
        <v>3.3130645254001778</v>
      </c>
      <c r="BA59" s="261">
        <v>4.8633494300000002E-4</v>
      </c>
      <c r="BB59" s="268">
        <v>8.0520922540000001E-3</v>
      </c>
      <c r="BC59" s="268">
        <f t="shared" si="72"/>
        <v>6.0398580599769665E-2</v>
      </c>
      <c r="BD59" s="269" t="str">
        <f ca="1">IF(BV!H59="","",INT(NOW()-BV!H59))</f>
        <v/>
      </c>
      <c r="BE59" s="275">
        <f t="shared" si="12"/>
        <v>45.345298246717164</v>
      </c>
      <c r="BF59" s="11" t="str">
        <f ca="1">BV!G59</f>
        <v/>
      </c>
      <c r="BG59" s="11" t="str">
        <f ca="1">BV!O59</f>
        <v/>
      </c>
      <c r="BH59" s="11" t="str">
        <f ca="1">BV!W59</f>
        <v/>
      </c>
      <c r="BI59" s="11" t="str">
        <f ca="1">BV!AE59</f>
        <v/>
      </c>
      <c r="BJ59" s="11" t="str">
        <f ca="1">BV!AM59</f>
        <v/>
      </c>
      <c r="BK59" s="11" t="str">
        <f ca="1">BV!AU59</f>
        <v/>
      </c>
      <c r="BL59" s="11" t="str">
        <f ca="1">BV!BC59</f>
        <v/>
      </c>
      <c r="BM59" s="11" t="str">
        <f ca="1">BV!BK59</f>
        <v/>
      </c>
      <c r="BN59" s="11" t="str">
        <f ca="1">BV!BS59</f>
        <v/>
      </c>
      <c r="BO59" s="11" t="str">
        <f ca="1">BV!CA59</f>
        <v/>
      </c>
      <c r="BP59" s="433">
        <v>34</v>
      </c>
      <c r="BQ59" s="11" t="str">
        <f ca="1">IFERROR(YEAR(OFFSET(BV!$H59,,(COLUMN()-69)*8)),"")</f>
        <v/>
      </c>
      <c r="BR59" s="11" t="str">
        <f ca="1">IFERROR(YEAR(OFFSET(BV!$H59,,(COLUMN()-69)*8)),"")</f>
        <v/>
      </c>
      <c r="BS59" s="11" t="str">
        <f ca="1">IFERROR(YEAR(OFFSET(BV!$H59,,(COLUMN()-69)*8)),"")</f>
        <v/>
      </c>
      <c r="BT59" s="11" t="str">
        <f ca="1">IFERROR(YEAR(OFFSET(BV!$H59,,(COLUMN()-69)*8)),"")</f>
        <v/>
      </c>
      <c r="BU59" s="11" t="str">
        <f ca="1">IFERROR(YEAR(OFFSET(BV!$H59,,(COLUMN()-69)*8)),"")</f>
        <v/>
      </c>
      <c r="BV59" s="11" t="str">
        <f ca="1">IFERROR(YEAR(OFFSET(BV!$H59,,(COLUMN()-69)*8)),"")</f>
        <v/>
      </c>
      <c r="BW59" s="11" t="str">
        <f ca="1">IFERROR(YEAR(OFFSET(BV!$H59,,(COLUMN()-69)*8)),"")</f>
        <v/>
      </c>
      <c r="BX59" s="11" t="str">
        <f ca="1">IFERROR(YEAR(OFFSET(BV!$H59,,(COLUMN()-69)*8)),"")</f>
        <v/>
      </c>
      <c r="BY59" s="11" t="str">
        <f ca="1">IFERROR(YEAR(OFFSET(BV!$H59,,(COLUMN()-69)*8)),"")</f>
        <v/>
      </c>
      <c r="BZ59" s="11" t="str">
        <f ca="1">IFERROR(YEAR(OFFSET(BV!$H59,,(COLUMN()-69)*8)),"")</f>
        <v/>
      </c>
    </row>
    <row r="60" spans="1:78" x14ac:dyDescent="0.25">
      <c r="A60" s="433">
        <v>35</v>
      </c>
      <c r="B60" s="300">
        <f ca="1">BV!D60</f>
        <v>2.1793275217932755</v>
      </c>
      <c r="C60" s="300">
        <f ca="1">BV!L60</f>
        <v>2.0870602265951104</v>
      </c>
      <c r="D60" s="301">
        <f ca="1">BV!T60</f>
        <v>1.884760366182014</v>
      </c>
      <c r="E60" s="11" t="str">
        <f ca="1">BV!AB60</f>
        <v/>
      </c>
      <c r="F60" s="11" t="str">
        <f ca="1">BV!AJ60</f>
        <v/>
      </c>
      <c r="G60" s="11" t="str">
        <f ca="1">BV!AR60</f>
        <v/>
      </c>
      <c r="H60" s="11" t="str">
        <f ca="1">BV!AZ60</f>
        <v/>
      </c>
      <c r="I60" s="11" t="str">
        <f ca="1">BV!BH60</f>
        <v/>
      </c>
      <c r="J60" s="11" t="str">
        <f ca="1">BV!BP60</f>
        <v/>
      </c>
      <c r="K60" s="11" t="str">
        <f ca="1">BV!BX60</f>
        <v/>
      </c>
      <c r="L60" s="271" t="s">
        <v>67</v>
      </c>
      <c r="M60" s="261">
        <v>6.8002880299999999E-4</v>
      </c>
      <c r="N60" s="272">
        <f t="shared" ca="1" si="68"/>
        <v>38.347437303000333</v>
      </c>
      <c r="O60" s="31" t="s">
        <v>13</v>
      </c>
      <c r="P60" s="701">
        <f t="shared" ref="P60:Y60" ca="1" si="78">IFERROR(47.299/(($AK4/P32)^1.7/$AK4),0)</f>
        <v>62.788018792403832</v>
      </c>
      <c r="Q60" s="702">
        <f t="shared" ca="1" si="78"/>
        <v>57.657686499096876</v>
      </c>
      <c r="R60" s="708">
        <f t="shared" ca="1" si="78"/>
        <v>52.627873616035288</v>
      </c>
      <c r="S60" s="708">
        <f t="shared" ca="1" si="78"/>
        <v>51.100413324477827</v>
      </c>
      <c r="T60" s="704">
        <f t="shared" ca="1" si="78"/>
        <v>49.465554650018483</v>
      </c>
      <c r="U60" s="704">
        <f t="shared" ca="1" si="78"/>
        <v>48.611274616549466</v>
      </c>
      <c r="V60" s="704">
        <f t="shared" ca="1" si="78"/>
        <v>47.408352684275371</v>
      </c>
      <c r="W60" s="716">
        <f t="shared" ca="1" si="78"/>
        <v>46.889776139215044</v>
      </c>
      <c r="X60" s="704">
        <f t="shared" ca="1" si="78"/>
        <v>45.598528144021458</v>
      </c>
      <c r="Y60" s="704">
        <f t="shared" ca="1" si="78"/>
        <v>44.827145992159863</v>
      </c>
      <c r="Z60" s="6">
        <f t="shared" ca="1" si="77"/>
        <v>506.97462445825346</v>
      </c>
      <c r="AA60" s="504" t="s">
        <v>414</v>
      </c>
      <c r="AB60" s="65">
        <v>84</v>
      </c>
      <c r="AC60" s="501">
        <f ca="1">COUNTIF(BV!$C$242:$C$430,"&lt;"&amp;ASB!AB60)</f>
        <v>92</v>
      </c>
      <c r="AD60" s="592" t="s">
        <v>646</v>
      </c>
      <c r="AE60" s="593"/>
      <c r="AF60" s="502" t="s">
        <v>411</v>
      </c>
      <c r="AG60" s="18">
        <v>3</v>
      </c>
      <c r="AH60" s="501">
        <f ca="1">COUNTIF(BV!$D$242:$D$430,"&gt;="&amp;ASB!AG60)</f>
        <v>0</v>
      </c>
      <c r="AI60" s="592" t="s">
        <v>651</v>
      </c>
      <c r="AJ60" s="593"/>
      <c r="AL60" s="590" t="str">
        <f>IF(Arb!$AJ$28=1,"Crazy","疯狂")</f>
        <v>疯狂</v>
      </c>
      <c r="AM60" s="590"/>
      <c r="AN60" s="433">
        <v>35</v>
      </c>
      <c r="AO60" s="556">
        <f ca="1">BV!C60</f>
        <v>16.059999999999999</v>
      </c>
      <c r="AP60" s="556">
        <f ca="1">BV!K60</f>
        <v>16.77</v>
      </c>
      <c r="AQ60" s="297">
        <f ca="1">BV!S60</f>
        <v>18.57</v>
      </c>
      <c r="AR60" s="11" t="str">
        <f ca="1">BV!AA60</f>
        <v/>
      </c>
      <c r="AS60" s="11" t="str">
        <f ca="1">BV!AI60</f>
        <v/>
      </c>
      <c r="AT60" s="11" t="str">
        <f ca="1">BV!AQ60</f>
        <v/>
      </c>
      <c r="AU60" s="11" t="str">
        <f ca="1">BV!AY60</f>
        <v/>
      </c>
      <c r="AV60" s="11" t="str">
        <f ca="1">BV!BG60</f>
        <v/>
      </c>
      <c r="AW60" s="11" t="str">
        <f ca="1">BV!BO60</f>
        <v/>
      </c>
      <c r="AX60" s="11" t="str">
        <f ca="1">BV!BW60</f>
        <v/>
      </c>
      <c r="AY60" s="271" t="s">
        <v>67</v>
      </c>
      <c r="AZ60" s="274">
        <f t="shared" si="71"/>
        <v>3.1674726921186962</v>
      </c>
      <c r="BA60" s="261">
        <v>6.8002880299999999E-4</v>
      </c>
      <c r="BB60" s="268">
        <v>8.0520922540000001E-3</v>
      </c>
      <c r="BC60" s="268">
        <f t="shared" si="72"/>
        <v>8.4453677572085106E-2</v>
      </c>
      <c r="BD60" s="269">
        <f ca="1">IF(BV!H60="","",INT(NOW()-BV!H60))</f>
        <v>228</v>
      </c>
      <c r="BE60" s="275">
        <f t="shared" si="12"/>
        <v>38.347437303000333</v>
      </c>
      <c r="BF60" s="301">
        <f ca="1">BV!G60</f>
        <v>47.97989043878956</v>
      </c>
      <c r="BG60" s="301">
        <f ca="1">BV!O60</f>
        <v>44.577988218491804</v>
      </c>
      <c r="BH60" s="302">
        <f ca="1">BV!W60</f>
        <v>37.484043670103688</v>
      </c>
      <c r="BI60" s="11" t="str">
        <f ca="1">BV!AE60</f>
        <v/>
      </c>
      <c r="BJ60" s="11" t="str">
        <f ca="1">BV!AM60</f>
        <v/>
      </c>
      <c r="BK60" s="11" t="str">
        <f ca="1">BV!AU60</f>
        <v/>
      </c>
      <c r="BL60" s="11" t="str">
        <f ca="1">BV!BC60</f>
        <v/>
      </c>
      <c r="BM60" s="11" t="str">
        <f ca="1">BV!BK60</f>
        <v/>
      </c>
      <c r="BN60" s="11" t="str">
        <f ca="1">BV!BS60</f>
        <v/>
      </c>
      <c r="BO60" s="11" t="str">
        <f ca="1">BV!CA60</f>
        <v/>
      </c>
      <c r="BP60" s="433">
        <v>35</v>
      </c>
      <c r="BQ60" s="11">
        <f ca="1">IFERROR(YEAR(OFFSET(BV!$H60,,(COLUMN()-69)*8)),"")</f>
        <v>2020</v>
      </c>
      <c r="BR60" s="11">
        <f ca="1">IFERROR(YEAR(OFFSET(BV!$H60,,(COLUMN()-69)*8)),"")</f>
        <v>2020</v>
      </c>
      <c r="BS60" s="11">
        <f ca="1">IFERROR(YEAR(OFFSET(BV!$H60,,(COLUMN()-69)*8)),"")</f>
        <v>2019</v>
      </c>
      <c r="BT60" s="11" t="str">
        <f ca="1">IFERROR(YEAR(OFFSET(BV!$H60,,(COLUMN()-69)*8)),"")</f>
        <v/>
      </c>
      <c r="BU60" s="11" t="str">
        <f ca="1">IFERROR(YEAR(OFFSET(BV!$H60,,(COLUMN()-69)*8)),"")</f>
        <v/>
      </c>
      <c r="BV60" s="11" t="str">
        <f ca="1">IFERROR(YEAR(OFFSET(BV!$H60,,(COLUMN()-69)*8)),"")</f>
        <v/>
      </c>
      <c r="BW60" s="11" t="str">
        <f ca="1">IFERROR(YEAR(OFFSET(BV!$H60,,(COLUMN()-69)*8)),"")</f>
        <v/>
      </c>
      <c r="BX60" s="11" t="str">
        <f ca="1">IFERROR(YEAR(OFFSET(BV!$H60,,(COLUMN()-69)*8)),"")</f>
        <v/>
      </c>
      <c r="BY60" s="11" t="str">
        <f ca="1">IFERROR(YEAR(OFFSET(BV!$H60,,(COLUMN()-69)*8)),"")</f>
        <v/>
      </c>
      <c r="BZ60" s="11" t="str">
        <f ca="1">IFERROR(YEAR(OFFSET(BV!$H60,,(COLUMN()-69)*8)),"")</f>
        <v/>
      </c>
    </row>
    <row r="61" spans="1:78" x14ac:dyDescent="0.25">
      <c r="A61" s="433">
        <v>36</v>
      </c>
      <c r="B61" s="301">
        <f ca="1">BV!D61</f>
        <v>1.9271948608137046</v>
      </c>
      <c r="C61" s="301">
        <f ca="1">BV!L61</f>
        <v>1.6651248843663273</v>
      </c>
      <c r="D61" s="11" t="str">
        <f ca="1">BV!T61</f>
        <v/>
      </c>
      <c r="E61" s="11" t="str">
        <f ca="1">BV!AB61</f>
        <v/>
      </c>
      <c r="F61" s="11" t="str">
        <f ca="1">BV!AJ61</f>
        <v/>
      </c>
      <c r="G61" s="11" t="str">
        <f ca="1">BV!AR61</f>
        <v/>
      </c>
      <c r="H61" s="11" t="str">
        <f ca="1">BV!AZ61</f>
        <v/>
      </c>
      <c r="I61" s="11" t="str">
        <f ca="1">BV!BH61</f>
        <v/>
      </c>
      <c r="J61" s="11" t="str">
        <f ca="1">BV!BP61</f>
        <v/>
      </c>
      <c r="K61" s="11" t="str">
        <f ca="1">BV!BX61</f>
        <v/>
      </c>
      <c r="L61" s="271" t="s">
        <v>67</v>
      </c>
      <c r="M61" s="261">
        <v>9.3367210699999998E-4</v>
      </c>
      <c r="N61" s="272">
        <f t="shared" ca="1" si="68"/>
        <v>32.726744631793764</v>
      </c>
      <c r="O61" s="31" t="s">
        <v>14</v>
      </c>
      <c r="P61" s="704">
        <f t="shared" ref="P61:Y61" ca="1" si="79">IFERROR(47.299/(($AK5/P33)^1.7/$AK5),0)</f>
        <v>40.301968539177196</v>
      </c>
      <c r="Q61" s="705">
        <f t="shared" ca="1" si="79"/>
        <v>32.235590339390484</v>
      </c>
      <c r="R61" s="707">
        <f t="shared" ca="1" si="79"/>
        <v>22.956092979117646</v>
      </c>
      <c r="S61" s="707">
        <f t="shared" ca="1" si="79"/>
        <v>19.451328113087278</v>
      </c>
      <c r="T61" s="717">
        <f t="shared" ca="1" si="79"/>
        <v>11.312048683016425</v>
      </c>
      <c r="U61" s="717">
        <f t="shared" ca="1" si="79"/>
        <v>8.9878036684378788</v>
      </c>
      <c r="V61" s="717">
        <f t="shared" ca="1" si="79"/>
        <v>8.2894534746837802</v>
      </c>
      <c r="W61" s="718">
        <f t="shared" ca="1" si="79"/>
        <v>3.3101958285864774</v>
      </c>
      <c r="X61" s="717">
        <f t="shared" ca="1" si="79"/>
        <v>3.2629970857912229</v>
      </c>
      <c r="Y61" s="717">
        <f t="shared" ca="1" si="79"/>
        <v>3.0527403635248991</v>
      </c>
      <c r="Z61" s="6">
        <f t="shared" ca="1" si="77"/>
        <v>153.16021907481328</v>
      </c>
      <c r="AA61" s="504" t="s">
        <v>414</v>
      </c>
      <c r="AB61" s="65">
        <v>79</v>
      </c>
      <c r="AC61" s="501">
        <f ca="1">COUNTIF(BV!$C$242:$C$430,"&lt;"&amp;ASB!AB61)</f>
        <v>81</v>
      </c>
      <c r="AD61" s="592" t="s">
        <v>647</v>
      </c>
      <c r="AE61" s="593"/>
      <c r="AF61" s="502" t="s">
        <v>411</v>
      </c>
      <c r="AG61" s="18">
        <v>3.5</v>
      </c>
      <c r="AH61" s="501">
        <f ca="1">COUNTIF(BV!$D$242:$D$430,"&gt;="&amp;ASB!AG61)</f>
        <v>0</v>
      </c>
      <c r="AI61" s="592" t="s">
        <v>651</v>
      </c>
      <c r="AJ61" s="593"/>
      <c r="AL61" s="590" t="str">
        <f>IF(Arb!$AJ$28=1,"Crazy","疯狂")</f>
        <v>疯狂</v>
      </c>
      <c r="AM61" s="590"/>
      <c r="AN61" s="433">
        <v>36</v>
      </c>
      <c r="AO61" s="297">
        <f ca="1">BV!C61</f>
        <v>18.68</v>
      </c>
      <c r="AP61" s="300">
        <f ca="1">BV!K61</f>
        <v>21.62</v>
      </c>
      <c r="AQ61" s="11" t="str">
        <f ca="1">BV!S61</f>
        <v/>
      </c>
      <c r="AR61" s="11" t="str">
        <f ca="1">BV!AA61</f>
        <v/>
      </c>
      <c r="AS61" s="11" t="str">
        <f ca="1">BV!AI61</f>
        <v/>
      </c>
      <c r="AT61" s="11" t="str">
        <f ca="1">BV!AQ61</f>
        <v/>
      </c>
      <c r="AU61" s="11" t="str">
        <f ca="1">BV!AY61</f>
        <v/>
      </c>
      <c r="AV61" s="11" t="str">
        <f ca="1">BV!BG61</f>
        <v/>
      </c>
      <c r="AW61" s="11" t="str">
        <f ca="1">BV!BO61</f>
        <v/>
      </c>
      <c r="AX61" s="11" t="str">
        <f ca="1">BV!BW61</f>
        <v/>
      </c>
      <c r="AY61" s="271" t="s">
        <v>67</v>
      </c>
      <c r="AZ61" s="274">
        <f t="shared" si="71"/>
        <v>3.0298056153357269</v>
      </c>
      <c r="BA61" s="261">
        <v>9.3367210699999998E-4</v>
      </c>
      <c r="BB61" s="268">
        <v>8.0520922540000001E-3</v>
      </c>
      <c r="BC61" s="268">
        <f t="shared" si="72"/>
        <v>0.11595397538275645</v>
      </c>
      <c r="BD61" s="269">
        <f ca="1">IF(BV!H61="","",INT(NOW()-BV!H61))</f>
        <v>326</v>
      </c>
      <c r="BE61" s="275">
        <f t="shared" si="12"/>
        <v>32.726744631793764</v>
      </c>
      <c r="BF61" s="301">
        <f ca="1">BV!G61</f>
        <v>38.169849338051158</v>
      </c>
      <c r="BG61" s="302">
        <f ca="1">BV!O61</f>
        <v>29.771893420126926</v>
      </c>
      <c r="BH61" s="11" t="str">
        <f ca="1">BV!W61</f>
        <v/>
      </c>
      <c r="BI61" s="11" t="str">
        <f ca="1">BV!AE61</f>
        <v/>
      </c>
      <c r="BJ61" s="11" t="str">
        <f ca="1">BV!AM61</f>
        <v/>
      </c>
      <c r="BK61" s="11" t="str">
        <f ca="1">BV!AU61</f>
        <v/>
      </c>
      <c r="BL61" s="11" t="str">
        <f ca="1">BV!BC61</f>
        <v/>
      </c>
      <c r="BM61" s="11" t="str">
        <f ca="1">BV!BK61</f>
        <v/>
      </c>
      <c r="BN61" s="11" t="str">
        <f ca="1">BV!BS61</f>
        <v/>
      </c>
      <c r="BO61" s="11" t="str">
        <f ca="1">BV!CA61</f>
        <v/>
      </c>
      <c r="BP61" s="433">
        <v>36</v>
      </c>
      <c r="BQ61" s="11">
        <f ca="1">IFERROR(YEAR(OFFSET(BV!$H61,,(COLUMN()-69)*8)),"")</f>
        <v>2020</v>
      </c>
      <c r="BR61" s="11">
        <f ca="1">IFERROR(YEAR(OFFSET(BV!$H61,,(COLUMN()-69)*8)),"")</f>
        <v>2019</v>
      </c>
      <c r="BS61" s="11" t="str">
        <f ca="1">IFERROR(YEAR(OFFSET(BV!$H61,,(COLUMN()-69)*8)),"")</f>
        <v/>
      </c>
      <c r="BT61" s="11" t="str">
        <f ca="1">IFERROR(YEAR(OFFSET(BV!$H61,,(COLUMN()-69)*8)),"")</f>
        <v/>
      </c>
      <c r="BU61" s="11" t="str">
        <f ca="1">IFERROR(YEAR(OFFSET(BV!$H61,,(COLUMN()-69)*8)),"")</f>
        <v/>
      </c>
      <c r="BV61" s="11" t="str">
        <f ca="1">IFERROR(YEAR(OFFSET(BV!$H61,,(COLUMN()-69)*8)),"")</f>
        <v/>
      </c>
      <c r="BW61" s="11" t="str">
        <f ca="1">IFERROR(YEAR(OFFSET(BV!$H61,,(COLUMN()-69)*8)),"")</f>
        <v/>
      </c>
      <c r="BX61" s="11" t="str">
        <f ca="1">IFERROR(YEAR(OFFSET(BV!$H61,,(COLUMN()-69)*8)),"")</f>
        <v/>
      </c>
      <c r="BY61" s="11" t="str">
        <f ca="1">IFERROR(YEAR(OFFSET(BV!$H61,,(COLUMN()-69)*8)),"")</f>
        <v/>
      </c>
      <c r="BZ61" s="11" t="str">
        <f ca="1">IFERROR(YEAR(OFFSET(BV!$H61,,(COLUMN()-69)*8)),"")</f>
        <v/>
      </c>
    </row>
    <row r="62" spans="1:78" x14ac:dyDescent="0.25">
      <c r="A62" s="433">
        <v>37</v>
      </c>
      <c r="B62" s="298">
        <f ca="1">BV!D62</f>
        <v>2.6203966005665724</v>
      </c>
      <c r="C62" s="301">
        <f ca="1">BV!L62</f>
        <v>1.8084066471163245</v>
      </c>
      <c r="D62" s="11" t="str">
        <f ca="1">BV!T62</f>
        <v/>
      </c>
      <c r="E62" s="11" t="str">
        <f ca="1">BV!AB62</f>
        <v/>
      </c>
      <c r="F62" s="11" t="str">
        <f ca="1">BV!AJ62</f>
        <v/>
      </c>
      <c r="G62" s="11" t="str">
        <f ca="1">BV!AR62</f>
        <v/>
      </c>
      <c r="H62" s="11" t="str">
        <f ca="1">BV!AZ62</f>
        <v/>
      </c>
      <c r="I62" s="11" t="str">
        <f ca="1">BV!BH62</f>
        <v/>
      </c>
      <c r="J62" s="11" t="str">
        <f ca="1">BV!BP62</f>
        <v/>
      </c>
      <c r="K62" s="11" t="str">
        <f ca="1">BV!BX62</f>
        <v/>
      </c>
      <c r="L62" s="62" t="s">
        <v>64</v>
      </c>
      <c r="M62" s="261">
        <v>1.2596808939999999E-3</v>
      </c>
      <c r="N62" s="277">
        <f t="shared" ca="1" si="68"/>
        <v>28.175376546918198</v>
      </c>
      <c r="O62" s="36" t="s">
        <v>15</v>
      </c>
      <c r="P62" s="705">
        <f t="shared" ref="P62:Y62" ca="1" si="80">IFERROR(153.73/(($AK6/P34)^1.7/$AK6),0)</f>
        <v>34.420128941470772</v>
      </c>
      <c r="Q62" s="705">
        <f t="shared" ca="1" si="80"/>
        <v>25.449699582145989</v>
      </c>
      <c r="R62" s="717">
        <f t="shared" ca="1" si="80"/>
        <v>0.54223506557000134</v>
      </c>
      <c r="S62" s="42">
        <f t="shared" ca="1" si="80"/>
        <v>0</v>
      </c>
      <c r="T62" s="42">
        <f t="shared" ca="1" si="80"/>
        <v>0</v>
      </c>
      <c r="U62" s="42">
        <f t="shared" ca="1" si="80"/>
        <v>0</v>
      </c>
      <c r="V62" s="42">
        <f t="shared" ca="1" si="80"/>
        <v>0</v>
      </c>
      <c r="W62" s="455">
        <f t="shared" ca="1" si="80"/>
        <v>0</v>
      </c>
      <c r="X62" s="42">
        <f t="shared" ca="1" si="80"/>
        <v>0</v>
      </c>
      <c r="Y62" s="42">
        <f t="shared" ca="1" si="80"/>
        <v>0</v>
      </c>
      <c r="Z62" s="6">
        <f t="shared" ca="1" si="77"/>
        <v>60.412063589186765</v>
      </c>
      <c r="AA62" s="504" t="s">
        <v>414</v>
      </c>
      <c r="AB62" s="65">
        <v>74</v>
      </c>
      <c r="AC62" s="501">
        <f ca="1">COUNTIF(BV!$C$242:$C$430,"&lt;"&amp;ASB!AB62)</f>
        <v>73</v>
      </c>
      <c r="AD62" s="592" t="s">
        <v>648</v>
      </c>
      <c r="AE62" s="593"/>
      <c r="AF62" s="502" t="s">
        <v>411</v>
      </c>
      <c r="AG62" s="18">
        <v>4</v>
      </c>
      <c r="AH62" s="501">
        <f ca="1">COUNTIF(BV!$D$242:$D$430,"&gt;="&amp;ASB!AG62)</f>
        <v>0</v>
      </c>
      <c r="AI62" s="592" t="s">
        <v>651</v>
      </c>
      <c r="AJ62" s="593"/>
      <c r="AL62" s="590" t="str">
        <f>IF(Arb!$AJ$28=1,"Crazy","疯狂")</f>
        <v>疯狂</v>
      </c>
      <c r="AM62" s="590"/>
      <c r="AN62" s="433">
        <v>37</v>
      </c>
      <c r="AO62" s="555">
        <f ca="1">BV!C62</f>
        <v>14.12</v>
      </c>
      <c r="AP62" s="299">
        <f ca="1">BV!K62</f>
        <v>20.46</v>
      </c>
      <c r="AQ62" s="11" t="str">
        <f ca="1">BV!S62</f>
        <v/>
      </c>
      <c r="AR62" s="11" t="str">
        <f ca="1">BV!AA62</f>
        <v/>
      </c>
      <c r="AS62" s="11" t="str">
        <f ca="1">BV!AI62</f>
        <v/>
      </c>
      <c r="AT62" s="11" t="str">
        <f ca="1">BV!AQ62</f>
        <v/>
      </c>
      <c r="AU62" s="11" t="str">
        <f ca="1">BV!AY62</f>
        <v/>
      </c>
      <c r="AV62" s="11" t="str">
        <f ca="1">BV!BG62</f>
        <v/>
      </c>
      <c r="AW62" s="11" t="str">
        <f ca="1">BV!BO62</f>
        <v/>
      </c>
      <c r="AX62" s="11" t="str">
        <f ca="1">BV!BW62</f>
        <v/>
      </c>
      <c r="AY62" s="62" t="s">
        <v>3</v>
      </c>
      <c r="AZ62" s="37">
        <f t="shared" si="71"/>
        <v>2.8997394576816116</v>
      </c>
      <c r="BA62" s="261">
        <v>1.2596808939999999E-3</v>
      </c>
      <c r="BB62" s="268">
        <v>8.0520922540000001E-3</v>
      </c>
      <c r="BC62" s="268">
        <f t="shared" si="72"/>
        <v>0.15644143835712193</v>
      </c>
      <c r="BD62" s="269">
        <f ca="1">IF(BV!H62="","",INT(NOW()-BV!H62))</f>
        <v>243</v>
      </c>
      <c r="BE62" s="279">
        <f t="shared" si="12"/>
        <v>28.175376546918198</v>
      </c>
      <c r="BF62" s="298">
        <f ca="1">BV!G62</f>
        <v>63.130810763502097</v>
      </c>
      <c r="BG62" s="302">
        <f ca="1">BV!O62</f>
        <v>33.606306293976161</v>
      </c>
      <c r="BH62" s="11" t="str">
        <f ca="1">BV!W62</f>
        <v/>
      </c>
      <c r="BI62" s="11" t="str">
        <f ca="1">BV!AE62</f>
        <v/>
      </c>
      <c r="BJ62" s="11" t="str">
        <f ca="1">BV!AM62</f>
        <v/>
      </c>
      <c r="BK62" s="11" t="str">
        <f ca="1">BV!AU62</f>
        <v/>
      </c>
      <c r="BL62" s="11" t="str">
        <f ca="1">BV!BC62</f>
        <v/>
      </c>
      <c r="BM62" s="11" t="str">
        <f ca="1">BV!BK62</f>
        <v/>
      </c>
      <c r="BN62" s="11" t="str">
        <f ca="1">BV!BS62</f>
        <v/>
      </c>
      <c r="BO62" s="11" t="str">
        <f ca="1">BV!CA62</f>
        <v/>
      </c>
      <c r="BP62" s="433">
        <v>37</v>
      </c>
      <c r="BQ62" s="11">
        <f ca="1">IFERROR(YEAR(OFFSET(BV!$H62,,(COLUMN()-69)*8)),"")</f>
        <v>2020</v>
      </c>
      <c r="BR62" s="11">
        <f ca="1">IFERROR(YEAR(OFFSET(BV!$H62,,(COLUMN()-69)*8)),"")</f>
        <v>2019</v>
      </c>
      <c r="BS62" s="11" t="str">
        <f ca="1">IFERROR(YEAR(OFFSET(BV!$H62,,(COLUMN()-69)*8)),"")</f>
        <v/>
      </c>
      <c r="BT62" s="11" t="str">
        <f ca="1">IFERROR(YEAR(OFFSET(BV!$H62,,(COLUMN()-69)*8)),"")</f>
        <v/>
      </c>
      <c r="BU62" s="11" t="str">
        <f ca="1">IFERROR(YEAR(OFFSET(BV!$H62,,(COLUMN()-69)*8)),"")</f>
        <v/>
      </c>
      <c r="BV62" s="11" t="str">
        <f ca="1">IFERROR(YEAR(OFFSET(BV!$H62,,(COLUMN()-69)*8)),"")</f>
        <v/>
      </c>
      <c r="BW62" s="11" t="str">
        <f ca="1">IFERROR(YEAR(OFFSET(BV!$H62,,(COLUMN()-69)*8)),"")</f>
        <v/>
      </c>
      <c r="BX62" s="11" t="str">
        <f ca="1">IFERROR(YEAR(OFFSET(BV!$H62,,(COLUMN()-69)*8)),"")</f>
        <v/>
      </c>
      <c r="BY62" s="11" t="str">
        <f ca="1">IFERROR(YEAR(OFFSET(BV!$H62,,(COLUMN()-69)*8)),"")</f>
        <v/>
      </c>
      <c r="BZ62" s="11" t="str">
        <f ca="1">IFERROR(YEAR(OFFSET(BV!$H62,,(COLUMN()-69)*8)),"")</f>
        <v/>
      </c>
    </row>
    <row r="63" spans="1:78" x14ac:dyDescent="0.25">
      <c r="A63" s="433">
        <v>38</v>
      </c>
      <c r="B63" s="301">
        <f ca="1">BV!D63</f>
        <v>1.9240506329113924</v>
      </c>
      <c r="C63" s="301">
        <f ca="1">BV!L63</f>
        <v>1.7806935332708529</v>
      </c>
      <c r="D63" s="11" t="str">
        <f ca="1">BV!T63</f>
        <v/>
      </c>
      <c r="E63" s="11" t="str">
        <f ca="1">BV!AB63</f>
        <v/>
      </c>
      <c r="F63" s="11" t="str">
        <f ca="1">BV!AJ63</f>
        <v/>
      </c>
      <c r="G63" s="11" t="str">
        <f ca="1">BV!AR63</f>
        <v/>
      </c>
      <c r="H63" s="11" t="str">
        <f ca="1">BV!AZ63</f>
        <v/>
      </c>
      <c r="I63" s="11" t="str">
        <f ca="1">BV!BH63</f>
        <v/>
      </c>
      <c r="J63" s="11" t="str">
        <f ca="1">BV!BP63</f>
        <v/>
      </c>
      <c r="K63" s="11" t="str">
        <f ca="1">BV!BX63</f>
        <v/>
      </c>
      <c r="L63" s="62" t="s">
        <v>64</v>
      </c>
      <c r="M63" s="261">
        <v>1.67138508E-3</v>
      </c>
      <c r="N63" s="277">
        <f t="shared" ca="1" si="68"/>
        <v>24.460297760327347</v>
      </c>
      <c r="O63" s="36" t="s">
        <v>16</v>
      </c>
      <c r="P63" s="704">
        <f t="shared" ref="P63:Y63" ca="1" si="81">IFERROR(153.73/(($AK7/P35)^1.7/$AK7),0)</f>
        <v>47.258038872812747</v>
      </c>
      <c r="Q63" s="704">
        <f t="shared" ca="1" si="81"/>
        <v>39.100795392273334</v>
      </c>
      <c r="R63" s="705">
        <f t="shared" ca="1" si="81"/>
        <v>33.568188340493982</v>
      </c>
      <c r="S63" s="705">
        <f t="shared" ca="1" si="81"/>
        <v>32.254676290526021</v>
      </c>
      <c r="T63" s="707">
        <f t="shared" ca="1" si="81"/>
        <v>16.312797775790621</v>
      </c>
      <c r="U63" s="707">
        <f t="shared" ca="1" si="81"/>
        <v>15.409487411569238</v>
      </c>
      <c r="V63" s="717">
        <f t="shared" ca="1" si="81"/>
        <v>11.435584403037424</v>
      </c>
      <c r="W63" s="718">
        <f t="shared" ca="1" si="81"/>
        <v>4.8555290065826435</v>
      </c>
      <c r="X63" s="717">
        <f t="shared" ca="1" si="81"/>
        <v>1.8145312203051296</v>
      </c>
      <c r="Y63" s="717">
        <f t="shared" ca="1" si="81"/>
        <v>1.6369109468440266</v>
      </c>
      <c r="Z63" s="6">
        <f t="shared" ca="1" si="77"/>
        <v>203.64653966023519</v>
      </c>
      <c r="AA63" s="504" t="s">
        <v>414</v>
      </c>
      <c r="AB63" s="65">
        <v>69</v>
      </c>
      <c r="AC63" s="501">
        <f ca="1">COUNTIF(BV!$C$242:$C$430,"&lt;"&amp;ASB!AB63)</f>
        <v>54</v>
      </c>
      <c r="AD63" s="592" t="s">
        <v>649</v>
      </c>
      <c r="AE63" s="593"/>
      <c r="AF63" s="502" t="s">
        <v>411</v>
      </c>
      <c r="AG63" s="18">
        <v>4.5</v>
      </c>
      <c r="AH63" s="501">
        <f ca="1">COUNTIF(BV!$D$242:$D$430,"&gt;="&amp;ASB!AG63)</f>
        <v>0</v>
      </c>
      <c r="AI63" s="592" t="s">
        <v>651</v>
      </c>
      <c r="AJ63" s="593"/>
      <c r="AL63" s="590" t="str">
        <f>IF(Arb!$AJ$28=1,"Miracle","奇迹")</f>
        <v>奇迹</v>
      </c>
      <c r="AM63" s="590"/>
      <c r="AN63" s="433">
        <v>38</v>
      </c>
      <c r="AO63" s="298">
        <f ca="1">BV!C63</f>
        <v>19.75</v>
      </c>
      <c r="AP63" s="300">
        <f ca="1">BV!K63</f>
        <v>21.34</v>
      </c>
      <c r="AQ63" s="11" t="str">
        <f ca="1">BV!S63</f>
        <v/>
      </c>
      <c r="AR63" s="11" t="str">
        <f ca="1">BV!AA63</f>
        <v/>
      </c>
      <c r="AS63" s="11" t="str">
        <f ca="1">BV!AI63</f>
        <v/>
      </c>
      <c r="AT63" s="11" t="str">
        <f ca="1">BV!AQ63</f>
        <v/>
      </c>
      <c r="AU63" s="11" t="str">
        <f ca="1">BV!AY63</f>
        <v/>
      </c>
      <c r="AV63" s="11" t="str">
        <f ca="1">BV!BG63</f>
        <v/>
      </c>
      <c r="AW63" s="11" t="str">
        <f ca="1">BV!BO63</f>
        <v/>
      </c>
      <c r="AX63" s="11" t="str">
        <f ca="1">BV!BW63</f>
        <v/>
      </c>
      <c r="AY63" s="62" t="s">
        <v>3</v>
      </c>
      <c r="AZ63" s="37">
        <f t="shared" si="71"/>
        <v>2.776923478980255</v>
      </c>
      <c r="BA63" s="261">
        <v>1.67138508E-3</v>
      </c>
      <c r="BB63" s="268">
        <v>8.0520922540000001E-3</v>
      </c>
      <c r="BC63" s="268">
        <f t="shared" si="72"/>
        <v>0.20757152641535048</v>
      </c>
      <c r="BD63" s="269">
        <f ca="1">IF(BV!H63="","",INT(NOW()-BV!H63))</f>
        <v>310</v>
      </c>
      <c r="BE63" s="279">
        <f t="shared" si="12"/>
        <v>24.460297760327343</v>
      </c>
      <c r="BF63" s="302">
        <f ca="1">BV!G63</f>
        <v>36.650352319173699</v>
      </c>
      <c r="BG63" s="302">
        <f ca="1">BV!O63</f>
        <v>32.130073434419685</v>
      </c>
      <c r="BH63" s="11" t="str">
        <f ca="1">BV!W63</f>
        <v/>
      </c>
      <c r="BI63" s="11" t="str">
        <f ca="1">BV!AE63</f>
        <v/>
      </c>
      <c r="BJ63" s="11" t="str">
        <f ca="1">BV!AM63</f>
        <v/>
      </c>
      <c r="BK63" s="11" t="str">
        <f ca="1">BV!AU63</f>
        <v/>
      </c>
      <c r="BL63" s="11" t="str">
        <f ca="1">BV!BC63</f>
        <v/>
      </c>
      <c r="BM63" s="11" t="str">
        <f ca="1">BV!BK63</f>
        <v/>
      </c>
      <c r="BN63" s="11" t="str">
        <f ca="1">BV!BS63</f>
        <v/>
      </c>
      <c r="BO63" s="11" t="str">
        <f ca="1">BV!CA63</f>
        <v/>
      </c>
      <c r="BP63" s="433">
        <v>38</v>
      </c>
      <c r="BQ63" s="11">
        <f ca="1">IFERROR(YEAR(OFFSET(BV!$H63,,(COLUMN()-69)*8)),"")</f>
        <v>2020</v>
      </c>
      <c r="BR63" s="11">
        <f ca="1">IFERROR(YEAR(OFFSET(BV!$H63,,(COLUMN()-69)*8)),"")</f>
        <v>2020</v>
      </c>
      <c r="BS63" s="11" t="str">
        <f ca="1">IFERROR(YEAR(OFFSET(BV!$H63,,(COLUMN()-69)*8)),"")</f>
        <v/>
      </c>
      <c r="BT63" s="11" t="str">
        <f ca="1">IFERROR(YEAR(OFFSET(BV!$H63,,(COLUMN()-69)*8)),"")</f>
        <v/>
      </c>
      <c r="BU63" s="11" t="str">
        <f ca="1">IFERROR(YEAR(OFFSET(BV!$H63,,(COLUMN()-69)*8)),"")</f>
        <v/>
      </c>
      <c r="BV63" s="11" t="str">
        <f ca="1">IFERROR(YEAR(OFFSET(BV!$H63,,(COLUMN()-69)*8)),"")</f>
        <v/>
      </c>
      <c r="BW63" s="11" t="str">
        <f ca="1">IFERROR(YEAR(OFFSET(BV!$H63,,(COLUMN()-69)*8)),"")</f>
        <v/>
      </c>
      <c r="BX63" s="11" t="str">
        <f ca="1">IFERROR(YEAR(OFFSET(BV!$H63,,(COLUMN()-69)*8)),"")</f>
        <v/>
      </c>
      <c r="BY63" s="11" t="str">
        <f ca="1">IFERROR(YEAR(OFFSET(BV!$H63,,(COLUMN()-69)*8)),"")</f>
        <v/>
      </c>
      <c r="BZ63" s="11" t="str">
        <f ca="1">IFERROR(YEAR(OFFSET(BV!$H63,,(COLUMN()-69)*8)),"")</f>
        <v/>
      </c>
    </row>
    <row r="64" spans="1:78" x14ac:dyDescent="0.25">
      <c r="A64" s="433">
        <v>39</v>
      </c>
      <c r="B64" s="300">
        <f ca="1">BV!D64</f>
        <v>2.1523178807947017</v>
      </c>
      <c r="C64" s="301">
        <f ca="1">BV!L64</f>
        <v>1.8804243008678883</v>
      </c>
      <c r="D64" s="11" t="str">
        <f ca="1">BV!T64</f>
        <v/>
      </c>
      <c r="E64" s="11" t="str">
        <f ca="1">BV!AB64</f>
        <v/>
      </c>
      <c r="F64" s="11" t="str">
        <f ca="1">BV!AJ64</f>
        <v/>
      </c>
      <c r="G64" s="11" t="str">
        <f ca="1">BV!AR64</f>
        <v/>
      </c>
      <c r="H64" s="11" t="str">
        <f ca="1">BV!AZ64</f>
        <v/>
      </c>
      <c r="I64" s="11" t="str">
        <f ca="1">BV!BH64</f>
        <v/>
      </c>
      <c r="J64" s="11" t="str">
        <f ca="1">BV!BP64</f>
        <v/>
      </c>
      <c r="K64" s="11" t="str">
        <f ca="1">BV!BX64</f>
        <v/>
      </c>
      <c r="L64" s="62" t="s">
        <v>64</v>
      </c>
      <c r="M64" s="261">
        <v>2.1821226070000001E-3</v>
      </c>
      <c r="N64" s="277">
        <f t="shared" ca="1" si="68"/>
        <v>21.407227560479612</v>
      </c>
      <c r="O64" s="36" t="s">
        <v>17</v>
      </c>
      <c r="P64" s="708">
        <f t="shared" ref="P64:Y64" ca="1" si="82">IFERROR(153.73/(($AK8/P36)^1.7/$AK8),0)</f>
        <v>50.120633900470438</v>
      </c>
      <c r="Q64" s="704">
        <f t="shared" ca="1" si="82"/>
        <v>48.084635787875975</v>
      </c>
      <c r="R64" s="704">
        <f t="shared" ca="1" si="82"/>
        <v>45.977646376716365</v>
      </c>
      <c r="S64" s="704">
        <f t="shared" ca="1" si="82"/>
        <v>44.002040121810047</v>
      </c>
      <c r="T64" s="704">
        <f t="shared" ca="1" si="82"/>
        <v>41.989019934151237</v>
      </c>
      <c r="U64" s="704">
        <f t="shared" ca="1" si="82"/>
        <v>41.264384969361686</v>
      </c>
      <c r="V64" s="704">
        <f t="shared" ca="1" si="82"/>
        <v>40.303861685154658</v>
      </c>
      <c r="W64" s="716">
        <f t="shared" ca="1" si="82"/>
        <v>38.915396665552613</v>
      </c>
      <c r="X64" s="705">
        <f t="shared" ca="1" si="82"/>
        <v>37.091007399449211</v>
      </c>
      <c r="Y64" s="705">
        <f t="shared" ca="1" si="82"/>
        <v>32.748260665197634</v>
      </c>
      <c r="Z64" s="6">
        <f t="shared" ca="1" si="77"/>
        <v>420.49688750573989</v>
      </c>
      <c r="AA64" s="504" t="s">
        <v>414</v>
      </c>
      <c r="AB64" s="65">
        <v>64</v>
      </c>
      <c r="AC64" s="501">
        <f ca="1">COUNTIF(BV!$C$242:$C$430,"&lt;"&amp;ASB!AB64)</f>
        <v>24</v>
      </c>
      <c r="AD64" s="592" t="s">
        <v>650</v>
      </c>
      <c r="AE64" s="593"/>
      <c r="AF64" s="502" t="s">
        <v>411</v>
      </c>
      <c r="AG64" s="18">
        <v>5</v>
      </c>
      <c r="AH64" s="501">
        <f ca="1">COUNTIF(BV!$D$242:$D$430,"&gt;="&amp;ASB!AG64)</f>
        <v>0</v>
      </c>
      <c r="AI64" s="592" t="s">
        <v>651</v>
      </c>
      <c r="AJ64" s="593"/>
      <c r="AL64" s="590" t="str">
        <f>IF(Arb!$AJ$28=1,"Miracle","奇迹")</f>
        <v>奇迹</v>
      </c>
      <c r="AM64" s="590"/>
      <c r="AN64" s="433">
        <v>39</v>
      </c>
      <c r="AO64" s="297">
        <f ca="1">BV!C64</f>
        <v>18.12</v>
      </c>
      <c r="AP64" s="299">
        <f ca="1">BV!K64</f>
        <v>20.74</v>
      </c>
      <c r="AQ64" s="11" t="str">
        <f ca="1">BV!S64</f>
        <v/>
      </c>
      <c r="AR64" s="11" t="str">
        <f ca="1">BV!AA64</f>
        <v/>
      </c>
      <c r="AS64" s="11" t="str">
        <f ca="1">BV!AI64</f>
        <v/>
      </c>
      <c r="AT64" s="11" t="str">
        <f ca="1">BV!AQ64</f>
        <v/>
      </c>
      <c r="AU64" s="11" t="str">
        <f ca="1">BV!AY64</f>
        <v/>
      </c>
      <c r="AV64" s="11" t="str">
        <f ca="1">BV!BG64</f>
        <v/>
      </c>
      <c r="AW64" s="11" t="str">
        <f ca="1">BV!BO64</f>
        <v/>
      </c>
      <c r="AX64" s="11" t="str">
        <f ca="1">BV!BW64</f>
        <v/>
      </c>
      <c r="AY64" s="62" t="s">
        <v>3</v>
      </c>
      <c r="AZ64" s="37">
        <f t="shared" si="71"/>
        <v>2.6611208513427256</v>
      </c>
      <c r="BA64" s="261">
        <v>2.1821226070000001E-3</v>
      </c>
      <c r="BB64" s="268">
        <v>8.0520922540000001E-3</v>
      </c>
      <c r="BC64" s="268">
        <f t="shared" si="72"/>
        <v>0.27100069623717948</v>
      </c>
      <c r="BD64" s="269">
        <f ca="1">IF(BV!H64="","",INT(NOW()-BV!H64))</f>
        <v>290</v>
      </c>
      <c r="BE64" s="279">
        <f t="shared" si="12"/>
        <v>21.407227560479612</v>
      </c>
      <c r="BF64" s="301">
        <f ca="1">BV!G64</f>
        <v>43.546605353649298</v>
      </c>
      <c r="BG64" s="302">
        <f ca="1">BV!O64</f>
        <v>34.613726335494249</v>
      </c>
      <c r="BH64" s="11" t="str">
        <f ca="1">BV!W64</f>
        <v/>
      </c>
      <c r="BI64" s="11" t="str">
        <f ca="1">BV!AE64</f>
        <v/>
      </c>
      <c r="BJ64" s="11" t="str">
        <f ca="1">BV!AM64</f>
        <v/>
      </c>
      <c r="BK64" s="11" t="str">
        <f ca="1">BV!AU64</f>
        <v/>
      </c>
      <c r="BL64" s="11" t="str">
        <f ca="1">BV!BC64</f>
        <v/>
      </c>
      <c r="BM64" s="11" t="str">
        <f ca="1">BV!BK64</f>
        <v/>
      </c>
      <c r="BN64" s="11" t="str">
        <f ca="1">BV!BS64</f>
        <v/>
      </c>
      <c r="BO64" s="11" t="str">
        <f ca="1">BV!CA64</f>
        <v/>
      </c>
      <c r="BP64" s="433">
        <v>39</v>
      </c>
      <c r="BQ64" s="11">
        <f ca="1">IFERROR(YEAR(OFFSET(BV!$H64,,(COLUMN()-69)*8)),"")</f>
        <v>2020</v>
      </c>
      <c r="BR64" s="11">
        <f ca="1">IFERROR(YEAR(OFFSET(BV!$H64,,(COLUMN()-69)*8)),"")</f>
        <v>2020</v>
      </c>
      <c r="BS64" s="11" t="str">
        <f ca="1">IFERROR(YEAR(OFFSET(BV!$H64,,(COLUMN()-69)*8)),"")</f>
        <v/>
      </c>
      <c r="BT64" s="11" t="str">
        <f ca="1">IFERROR(YEAR(OFFSET(BV!$H64,,(COLUMN()-69)*8)),"")</f>
        <v/>
      </c>
      <c r="BU64" s="11" t="str">
        <f ca="1">IFERROR(YEAR(OFFSET(BV!$H64,,(COLUMN()-69)*8)),"")</f>
        <v/>
      </c>
      <c r="BV64" s="11" t="str">
        <f ca="1">IFERROR(YEAR(OFFSET(BV!$H64,,(COLUMN()-69)*8)),"")</f>
        <v/>
      </c>
      <c r="BW64" s="11" t="str">
        <f ca="1">IFERROR(YEAR(OFFSET(BV!$H64,,(COLUMN()-69)*8)),"")</f>
        <v/>
      </c>
      <c r="BX64" s="11" t="str">
        <f ca="1">IFERROR(YEAR(OFFSET(BV!$H64,,(COLUMN()-69)*8)),"")</f>
        <v/>
      </c>
      <c r="BY64" s="11" t="str">
        <f ca="1">IFERROR(YEAR(OFFSET(BV!$H64,,(COLUMN()-69)*8)),"")</f>
        <v/>
      </c>
      <c r="BZ64" s="11" t="str">
        <f ca="1">IFERROR(YEAR(OFFSET(BV!$H64,,(COLUMN()-69)*8)),"")</f>
        <v/>
      </c>
    </row>
    <row r="65" spans="1:78" x14ac:dyDescent="0.25">
      <c r="A65" s="433">
        <v>40</v>
      </c>
      <c r="B65" s="300">
        <f ca="1">BV!D65</f>
        <v>2.1119324181626187</v>
      </c>
      <c r="C65" s="301">
        <f ca="1">BV!L65</f>
        <v>1.8841262364578426</v>
      </c>
      <c r="D65" s="11" t="str">
        <f ca="1">BV!T65</f>
        <v/>
      </c>
      <c r="E65" s="11" t="str">
        <f ca="1">BV!AB65</f>
        <v/>
      </c>
      <c r="F65" s="11" t="str">
        <f ca="1">BV!AJ65</f>
        <v/>
      </c>
      <c r="G65" s="11" t="str">
        <f ca="1">BV!AR65</f>
        <v/>
      </c>
      <c r="H65" s="11" t="str">
        <f ca="1">BV!AZ65</f>
        <v/>
      </c>
      <c r="I65" s="11" t="str">
        <f ca="1">BV!BH65</f>
        <v/>
      </c>
      <c r="J65" s="11" t="str">
        <f ca="1">BV!BP65</f>
        <v/>
      </c>
      <c r="K65" s="11" t="str">
        <f ca="1">BV!BX65</f>
        <v/>
      </c>
      <c r="L65" s="62" t="s">
        <v>64</v>
      </c>
      <c r="M65" s="261">
        <v>2.80494296E-3</v>
      </c>
      <c r="N65" s="277">
        <f t="shared" ca="1" si="68"/>
        <v>18.881564781613786</v>
      </c>
      <c r="O65" s="36" t="s">
        <v>18</v>
      </c>
      <c r="P65" s="704">
        <f t="shared" ref="P65:Y65" ca="1" si="83">IFERROR(153.73/(($AK9/P37)^1.7/$AK9),0)</f>
        <v>48.998113673472432</v>
      </c>
      <c r="Q65" s="704">
        <f t="shared" ca="1" si="83"/>
        <v>46.420107340389656</v>
      </c>
      <c r="R65" s="704">
        <f t="shared" ca="1" si="83"/>
        <v>44.476815063543704</v>
      </c>
      <c r="S65" s="704">
        <f t="shared" ca="1" si="83"/>
        <v>42.811881016922179</v>
      </c>
      <c r="T65" s="704">
        <f t="shared" ca="1" si="83"/>
        <v>41.826778111486433</v>
      </c>
      <c r="U65" s="704">
        <f t="shared" ca="1" si="83"/>
        <v>40.409530640395474</v>
      </c>
      <c r="V65" s="704">
        <f t="shared" ca="1" si="83"/>
        <v>39.111862319677819</v>
      </c>
      <c r="W65" s="716">
        <f t="shared" ca="1" si="83"/>
        <v>38.020383632254905</v>
      </c>
      <c r="X65" s="705">
        <f t="shared" ca="1" si="83"/>
        <v>32.276516811198775</v>
      </c>
      <c r="Y65" s="705">
        <f t="shared" ca="1" si="83"/>
        <v>31.7405111075146</v>
      </c>
      <c r="Z65" s="6">
        <f t="shared" ca="1" si="77"/>
        <v>406.09249971685591</v>
      </c>
      <c r="AA65" s="504" t="s">
        <v>414</v>
      </c>
      <c r="AB65" s="65">
        <v>59</v>
      </c>
      <c r="AC65" s="501">
        <f ca="1">COUNTIF(BV!$C$242:$C$430,"&lt;"&amp;ASB!AB65)</f>
        <v>2</v>
      </c>
      <c r="AD65" s="592" t="s">
        <v>766</v>
      </c>
      <c r="AE65" s="593"/>
      <c r="AF65" s="504" t="s">
        <v>414</v>
      </c>
      <c r="AG65" s="280">
        <v>22</v>
      </c>
      <c r="AH65" s="500">
        <f ca="1">COUNTIF(BV!$C$55:$C$167,"&lt;"&amp;ASB!AG65)</f>
        <v>28</v>
      </c>
      <c r="AI65" s="595" t="s">
        <v>652</v>
      </c>
      <c r="AJ65" s="596"/>
      <c r="AL65" s="590" t="str">
        <f>IF(Arb!$AJ$28=1,"Miracle","奇迹")</f>
        <v>奇迹</v>
      </c>
      <c r="AM65" s="590"/>
      <c r="AN65" s="433">
        <v>40</v>
      </c>
      <c r="AO65" s="297">
        <f ca="1">BV!C65</f>
        <v>18.940000000000001</v>
      </c>
      <c r="AP65" s="300">
        <f ca="1">BV!K65</f>
        <v>21.23</v>
      </c>
      <c r="AQ65" s="11" t="str">
        <f ca="1">BV!S65</f>
        <v/>
      </c>
      <c r="AR65" s="11" t="str">
        <f ca="1">BV!AA65</f>
        <v/>
      </c>
      <c r="AS65" s="11" t="str">
        <f ca="1">BV!AI65</f>
        <v/>
      </c>
      <c r="AT65" s="11" t="str">
        <f ca="1">BV!AQ65</f>
        <v/>
      </c>
      <c r="AU65" s="11" t="str">
        <f ca="1">BV!AY65</f>
        <v/>
      </c>
      <c r="AV65" s="11" t="str">
        <f ca="1">BV!BG65</f>
        <v/>
      </c>
      <c r="AW65" s="11" t="str">
        <f ca="1">BV!BO65</f>
        <v/>
      </c>
      <c r="AX65" s="11" t="str">
        <f ca="1">BV!BW65</f>
        <v/>
      </c>
      <c r="AY65" s="62" t="s">
        <v>3</v>
      </c>
      <c r="AZ65" s="37">
        <f t="shared" si="71"/>
        <v>2.5520759659262238</v>
      </c>
      <c r="BA65" s="261">
        <v>2.80494296E-3</v>
      </c>
      <c r="BB65" s="56">
        <v>7.8566717989999993E-2</v>
      </c>
      <c r="BC65" s="56">
        <f t="shared" si="72"/>
        <v>3.5701414438070511E-2</v>
      </c>
      <c r="BD65" s="13">
        <f ca="1">IF(BV!H65="","",INT(NOW()-BV!H65))</f>
        <v>415</v>
      </c>
      <c r="BE65" s="279">
        <f t="shared" si="12"/>
        <v>18.881564781613786</v>
      </c>
      <c r="BF65" s="301">
        <f ca="1">BV!G65</f>
        <v>41.425967638710283</v>
      </c>
      <c r="BG65" s="302">
        <f ca="1">BV!O65</f>
        <v>34.119576221967961</v>
      </c>
      <c r="BH65" s="11" t="str">
        <f ca="1">BV!W65</f>
        <v/>
      </c>
      <c r="BI65" s="11" t="str">
        <f ca="1">BV!AE65</f>
        <v/>
      </c>
      <c r="BJ65" s="11" t="str">
        <f ca="1">BV!AM65</f>
        <v/>
      </c>
      <c r="BK65" s="11" t="str">
        <f ca="1">BV!AU65</f>
        <v/>
      </c>
      <c r="BL65" s="11" t="str">
        <f ca="1">BV!BC65</f>
        <v/>
      </c>
      <c r="BM65" s="11" t="str">
        <f ca="1">BV!BK65</f>
        <v/>
      </c>
      <c r="BN65" s="11" t="str">
        <f ca="1">BV!BS65</f>
        <v/>
      </c>
      <c r="BO65" s="11" t="str">
        <f ca="1">BV!CA65</f>
        <v/>
      </c>
      <c r="BP65" s="433">
        <v>40</v>
      </c>
      <c r="BQ65" s="11">
        <f ca="1">IFERROR(YEAR(OFFSET(BV!$H65,,(COLUMN()-69)*8)),"")</f>
        <v>2019</v>
      </c>
      <c r="BR65" s="11">
        <f ca="1">IFERROR(YEAR(OFFSET(BV!$H65,,(COLUMN()-69)*8)),"")</f>
        <v>2019</v>
      </c>
      <c r="BS65" s="11" t="str">
        <f ca="1">IFERROR(YEAR(OFFSET(BV!$H65,,(COLUMN()-69)*8)),"")</f>
        <v/>
      </c>
      <c r="BT65" s="11" t="str">
        <f ca="1">IFERROR(YEAR(OFFSET(BV!$H65,,(COLUMN()-69)*8)),"")</f>
        <v/>
      </c>
      <c r="BU65" s="11" t="str">
        <f ca="1">IFERROR(YEAR(OFFSET(BV!$H65,,(COLUMN()-69)*8)),"")</f>
        <v/>
      </c>
      <c r="BV65" s="11" t="str">
        <f ca="1">IFERROR(YEAR(OFFSET(BV!$H65,,(COLUMN()-69)*8)),"")</f>
        <v/>
      </c>
      <c r="BW65" s="11" t="str">
        <f ca="1">IFERROR(YEAR(OFFSET(BV!$H65,,(COLUMN()-69)*8)),"")</f>
        <v/>
      </c>
      <c r="BX65" s="11" t="str">
        <f ca="1">IFERROR(YEAR(OFFSET(BV!$H65,,(COLUMN()-69)*8)),"")</f>
        <v/>
      </c>
      <c r="BY65" s="11" t="str">
        <f ca="1">IFERROR(YEAR(OFFSET(BV!$H65,,(COLUMN()-69)*8)),"")</f>
        <v/>
      </c>
      <c r="BZ65" s="11" t="str">
        <f ca="1">IFERROR(YEAR(OFFSET(BV!$H65,,(COLUMN()-69)*8)),"")</f>
        <v/>
      </c>
    </row>
    <row r="66" spans="1:78" x14ac:dyDescent="0.25">
      <c r="A66" s="433">
        <v>41</v>
      </c>
      <c r="B66" s="299">
        <f ca="1">BV!D66</f>
        <v>2.4361259655377303</v>
      </c>
      <c r="C66" s="300">
        <f ca="1">BV!L66</f>
        <v>2.0347394540942929</v>
      </c>
      <c r="D66" s="301">
        <f ca="1">BV!T66</f>
        <v>1.9132057862809146</v>
      </c>
      <c r="E66" s="301">
        <f ca="1">BV!AB66</f>
        <v>1.9078641228478364</v>
      </c>
      <c r="F66" s="11" t="str">
        <f ca="1">BV!AJ66</f>
        <v/>
      </c>
      <c r="G66" s="11" t="str">
        <f ca="1">BV!AR66</f>
        <v/>
      </c>
      <c r="H66" s="11" t="str">
        <f ca="1">BV!AZ66</f>
        <v/>
      </c>
      <c r="I66" s="11" t="str">
        <f ca="1">BV!BH66</f>
        <v/>
      </c>
      <c r="J66" s="11" t="str">
        <f ca="1">BV!BP66</f>
        <v/>
      </c>
      <c r="K66" s="11" t="str">
        <f ca="1">BV!BX66</f>
        <v/>
      </c>
      <c r="L66" s="62" t="s">
        <v>64</v>
      </c>
      <c r="M66" s="261">
        <v>3.552368919E-3</v>
      </c>
      <c r="N66" s="277">
        <f t="shared" ca="1" si="68"/>
        <v>16.77803010031473</v>
      </c>
      <c r="O66" s="36" t="s">
        <v>19</v>
      </c>
      <c r="P66" s="704">
        <f t="shared" ref="P66:Y66" ca="1" si="84">IFERROR(153.73/(($AK10/P38)^1.7/$AK10),0)</f>
        <v>48.734099232588513</v>
      </c>
      <c r="Q66" s="704">
        <f t="shared" ca="1" si="84"/>
        <v>44.232091986637407</v>
      </c>
      <c r="R66" s="704">
        <f t="shared" ca="1" si="84"/>
        <v>42.454127184908963</v>
      </c>
      <c r="S66" s="704">
        <f t="shared" ca="1" si="84"/>
        <v>40.936534102481048</v>
      </c>
      <c r="T66" s="705">
        <f t="shared" ca="1" si="84"/>
        <v>35.867253702049226</v>
      </c>
      <c r="U66" s="705">
        <f t="shared" ca="1" si="84"/>
        <v>34.327506702694741</v>
      </c>
      <c r="V66" s="705">
        <f t="shared" ca="1" si="84"/>
        <v>32.986823051279465</v>
      </c>
      <c r="W66" s="706">
        <f t="shared" ca="1" si="84"/>
        <v>27.85715065619587</v>
      </c>
      <c r="X66" s="705">
        <f t="shared" ca="1" si="84"/>
        <v>27.307171864334684</v>
      </c>
      <c r="Y66" s="707">
        <f t="shared" ca="1" si="84"/>
        <v>22.378420498108639</v>
      </c>
      <c r="Z66" s="6">
        <f t="shared" ca="1" si="77"/>
        <v>357.08117898127858</v>
      </c>
      <c r="AA66" s="504" t="s">
        <v>414</v>
      </c>
      <c r="AB66" s="65">
        <v>54</v>
      </c>
      <c r="AC66" s="501">
        <f ca="1">COUNTIF(BV!$C$242:$C$430,"&lt;"&amp;ASB!AB66)</f>
        <v>0</v>
      </c>
      <c r="AD66" s="592" t="s">
        <v>651</v>
      </c>
      <c r="AE66" s="593"/>
      <c r="AF66" s="504" t="s">
        <v>414</v>
      </c>
      <c r="AG66" s="280">
        <v>20</v>
      </c>
      <c r="AH66" s="36">
        <f ca="1">COUNTIF(BV!$C$55:$C$167,"&lt;"&amp;ASB!AG66)</f>
        <v>17</v>
      </c>
      <c r="AI66" s="595" t="s">
        <v>653</v>
      </c>
      <c r="AJ66" s="596"/>
      <c r="AL66" s="590" t="str">
        <f>IF(Arb!$AJ$28=1,"Miracle","奇迹")</f>
        <v>奇迹</v>
      </c>
      <c r="AM66" s="590"/>
      <c r="AN66" s="433">
        <v>41</v>
      </c>
      <c r="AO66" s="556">
        <f ca="1">BV!C66</f>
        <v>16.829999999999998</v>
      </c>
      <c r="AP66" s="299">
        <f ca="1">BV!K66</f>
        <v>20.149999999999999</v>
      </c>
      <c r="AQ66" s="300">
        <f ca="1">BV!S66</f>
        <v>21.43</v>
      </c>
      <c r="AR66" s="300">
        <f ca="1">BV!AA66</f>
        <v>21.49</v>
      </c>
      <c r="AS66" s="11" t="str">
        <f ca="1">BV!AI66</f>
        <v/>
      </c>
      <c r="AT66" s="11" t="str">
        <f ca="1">BV!AQ66</f>
        <v/>
      </c>
      <c r="AU66" s="11" t="str">
        <f ca="1">BV!AY66</f>
        <v/>
      </c>
      <c r="AV66" s="11" t="str">
        <f ca="1">BV!BG66</f>
        <v/>
      </c>
      <c r="AW66" s="11" t="str">
        <f ca="1">BV!BO66</f>
        <v/>
      </c>
      <c r="AX66" s="11" t="str">
        <f ca="1">BV!BW66</f>
        <v/>
      </c>
      <c r="AY66" s="62" t="s">
        <v>3</v>
      </c>
      <c r="AZ66" s="37">
        <f t="shared" si="71"/>
        <v>2.449481938398459</v>
      </c>
      <c r="BA66" s="261">
        <v>3.552368919E-3</v>
      </c>
      <c r="BB66" s="56">
        <v>7.8566717989999993E-2</v>
      </c>
      <c r="BC66" s="56">
        <f t="shared" si="72"/>
        <v>4.5214678809061964E-2</v>
      </c>
      <c r="BD66" s="13">
        <f ca="1">IF(BV!H66="","",INT(NOW()-BV!H66))</f>
        <v>382</v>
      </c>
      <c r="BE66" s="279">
        <f t="shared" si="12"/>
        <v>16.77803010031473</v>
      </c>
      <c r="BF66" s="300">
        <f ca="1">BV!G66</f>
        <v>51.903839678718434</v>
      </c>
      <c r="BG66" s="301">
        <f ca="1">BV!O66</f>
        <v>38.218610902110939</v>
      </c>
      <c r="BH66" s="302">
        <f ca="1">BV!W66</f>
        <v>34.419518698870824</v>
      </c>
      <c r="BI66" s="302">
        <f ca="1">BV!AE66</f>
        <v>34.256309801325344</v>
      </c>
      <c r="BJ66" s="11" t="str">
        <f ca="1">BV!AM66</f>
        <v/>
      </c>
      <c r="BK66" s="11" t="str">
        <f ca="1">BV!AU66</f>
        <v/>
      </c>
      <c r="BL66" s="11" t="str">
        <f ca="1">BV!BC66</f>
        <v/>
      </c>
      <c r="BM66" s="11" t="str">
        <f ca="1">BV!BK66</f>
        <v/>
      </c>
      <c r="BN66" s="11" t="str">
        <f ca="1">BV!BS66</f>
        <v/>
      </c>
      <c r="BO66" s="11" t="str">
        <f ca="1">BV!CA66</f>
        <v/>
      </c>
      <c r="BP66" s="433">
        <v>41</v>
      </c>
      <c r="BQ66" s="11">
        <f ca="1">IFERROR(YEAR(OFFSET(BV!$H66,,(COLUMN()-69)*8)),"")</f>
        <v>2019</v>
      </c>
      <c r="BR66" s="11">
        <f ca="1">IFERROR(YEAR(OFFSET(BV!$H66,,(COLUMN()-69)*8)),"")</f>
        <v>2020</v>
      </c>
      <c r="BS66" s="11">
        <f ca="1">IFERROR(YEAR(OFFSET(BV!$H66,,(COLUMN()-69)*8)),"")</f>
        <v>2020</v>
      </c>
      <c r="BT66" s="11">
        <f ca="1">IFERROR(YEAR(OFFSET(BV!$H66,,(COLUMN()-69)*8)),"")</f>
        <v>2019</v>
      </c>
      <c r="BU66" s="11" t="str">
        <f ca="1">IFERROR(YEAR(OFFSET(BV!$H66,,(COLUMN()-69)*8)),"")</f>
        <v/>
      </c>
      <c r="BV66" s="11" t="str">
        <f ca="1">IFERROR(YEAR(OFFSET(BV!$H66,,(COLUMN()-69)*8)),"")</f>
        <v/>
      </c>
      <c r="BW66" s="11" t="str">
        <f ca="1">IFERROR(YEAR(OFFSET(BV!$H66,,(COLUMN()-69)*8)),"")</f>
        <v/>
      </c>
      <c r="BX66" s="11" t="str">
        <f ca="1">IFERROR(YEAR(OFFSET(BV!$H66,,(COLUMN()-69)*8)),"")</f>
        <v/>
      </c>
      <c r="BY66" s="11" t="str">
        <f ca="1">IFERROR(YEAR(OFFSET(BV!$H66,,(COLUMN()-69)*8)),"")</f>
        <v/>
      </c>
      <c r="BZ66" s="11" t="str">
        <f ca="1">IFERROR(YEAR(OFFSET(BV!$H66,,(COLUMN()-69)*8)),"")</f>
        <v/>
      </c>
    </row>
    <row r="67" spans="1:78" x14ac:dyDescent="0.25">
      <c r="A67" s="433">
        <v>42</v>
      </c>
      <c r="B67" s="299">
        <f ca="1">BV!D67</f>
        <v>2.3582257158899496</v>
      </c>
      <c r="C67" s="299">
        <f ca="1">BV!L67</f>
        <v>2.3255813953488373</v>
      </c>
      <c r="D67" s="300">
        <f ca="1">BV!T67</f>
        <v>2.1063189568706115</v>
      </c>
      <c r="E67" s="300">
        <f ca="1">BV!AB67</f>
        <v>2.0066889632107023</v>
      </c>
      <c r="F67" s="11" t="str">
        <f ca="1">BV!AJ67</f>
        <v/>
      </c>
      <c r="G67" s="11" t="str">
        <f ca="1">BV!AR67</f>
        <v/>
      </c>
      <c r="H67" s="11" t="str">
        <f ca="1">BV!AZ67</f>
        <v/>
      </c>
      <c r="I67" s="11" t="str">
        <f ca="1">BV!BH67</f>
        <v/>
      </c>
      <c r="J67" s="11" t="str">
        <f ca="1">BV!BP67</f>
        <v/>
      </c>
      <c r="K67" s="11" t="str">
        <f ca="1">BV!BX67</f>
        <v/>
      </c>
      <c r="L67" s="62" t="s">
        <v>64</v>
      </c>
      <c r="M67" s="261">
        <v>4.4344618390000003E-3</v>
      </c>
      <c r="N67" s="277">
        <f t="shared" ca="1" si="68"/>
        <v>15.016874077488744</v>
      </c>
      <c r="O67" s="36" t="s">
        <v>20</v>
      </c>
      <c r="P67" s="704">
        <f t="shared" ref="P67:Y67" ca="1" si="85">IFERROR(153.73/(($AK11/P39)^1.7/$AK11),0)</f>
        <v>44.518149616586264</v>
      </c>
      <c r="Q67" s="705">
        <f t="shared" ca="1" si="85"/>
        <v>36.180333110799829</v>
      </c>
      <c r="R67" s="705">
        <f t="shared" ca="1" si="85"/>
        <v>29.710540649003256</v>
      </c>
      <c r="S67" s="707">
        <f t="shared" ca="1" si="85"/>
        <v>20.092161948099264</v>
      </c>
      <c r="T67" s="717">
        <f t="shared" ca="1" si="85"/>
        <v>11.014435939197359</v>
      </c>
      <c r="U67" s="717">
        <f t="shared" ca="1" si="85"/>
        <v>4.9596929647003787</v>
      </c>
      <c r="V67" s="717">
        <f t="shared" ca="1" si="85"/>
        <v>1.4215319098325807</v>
      </c>
      <c r="W67" s="718">
        <f t="shared" ca="1" si="85"/>
        <v>1.4104812448371455</v>
      </c>
      <c r="X67" s="42">
        <f t="shared" ca="1" si="85"/>
        <v>0</v>
      </c>
      <c r="Y67" s="42">
        <f t="shared" ca="1" si="85"/>
        <v>0</v>
      </c>
      <c r="Z67" s="6">
        <f t="shared" ca="1" si="77"/>
        <v>149.30732738305605</v>
      </c>
      <c r="AA67" s="504" t="s">
        <v>414</v>
      </c>
      <c r="AB67" s="65">
        <v>49</v>
      </c>
      <c r="AC67" s="501">
        <f ca="1">COUNTIF(BV!$C$242:$C$430,"&lt;"&amp;ASB!AB67)</f>
        <v>0</v>
      </c>
      <c r="AD67" s="592" t="s">
        <v>651</v>
      </c>
      <c r="AE67" s="593"/>
      <c r="AF67" s="504" t="s">
        <v>414</v>
      </c>
      <c r="AG67" s="280">
        <v>18</v>
      </c>
      <c r="AH67" s="36">
        <f ca="1">COUNTIF(BV!$C$55:$C$167,"&lt;"&amp;ASB!AG67)</f>
        <v>8</v>
      </c>
      <c r="AI67" s="595" t="s">
        <v>654</v>
      </c>
      <c r="AJ67" s="596"/>
      <c r="AL67" s="590" t="str">
        <f>IF(Arb!$AJ$28=1,"WTF","发财")</f>
        <v>发财</v>
      </c>
      <c r="AM67" s="590"/>
      <c r="AN67" s="433">
        <v>42</v>
      </c>
      <c r="AO67" s="552">
        <f ca="1">BV!C67</f>
        <v>17.809999999999999</v>
      </c>
      <c r="AP67" s="297">
        <f ca="1">BV!K67</f>
        <v>18.059999999999999</v>
      </c>
      <c r="AQ67" s="298">
        <f ca="1">BV!S67</f>
        <v>19.940000000000001</v>
      </c>
      <c r="AR67" s="299">
        <f ca="1">BV!AA67</f>
        <v>20.93</v>
      </c>
      <c r="AS67" s="11" t="str">
        <f ca="1">BV!AI67</f>
        <v/>
      </c>
      <c r="AT67" s="11" t="str">
        <f ca="1">BV!AQ67</f>
        <v/>
      </c>
      <c r="AU67" s="11" t="str">
        <f ca="1">BV!AY67</f>
        <v/>
      </c>
      <c r="AV67" s="11" t="str">
        <f ca="1">BV!BG67</f>
        <v/>
      </c>
      <c r="AW67" s="11" t="str">
        <f ca="1">BV!BO67</f>
        <v/>
      </c>
      <c r="AX67" s="11" t="str">
        <f ca="1">BV!BW67</f>
        <v/>
      </c>
      <c r="AY67" s="62" t="s">
        <v>3</v>
      </c>
      <c r="AZ67" s="37">
        <f t="shared" si="71"/>
        <v>2.353159078094738</v>
      </c>
      <c r="BA67" s="261">
        <v>4.4344618390000003E-3</v>
      </c>
      <c r="BB67" s="56">
        <v>7.8566717989999993E-2</v>
      </c>
      <c r="BC67" s="56">
        <f t="shared" si="72"/>
        <v>5.6441989081998059E-2</v>
      </c>
      <c r="BD67" s="13">
        <f ca="1">IF(BV!H67="","",INT(NOW()-BV!H67))</f>
        <v>396</v>
      </c>
      <c r="BE67" s="279">
        <f t="shared" ref="BE67:BE130" si="86">1/M67^0.5</f>
        <v>15.016874077488744</v>
      </c>
      <c r="BF67" s="301">
        <f ca="1">BV!G67</f>
        <v>48.292451741178958</v>
      </c>
      <c r="BG67" s="301">
        <f ca="1">BV!O67</f>
        <v>47.161515178823812</v>
      </c>
      <c r="BH67" s="301">
        <f ca="1">BV!W67</f>
        <v>39.85429726771897</v>
      </c>
      <c r="BI67" s="302">
        <f ca="1">BV!AE67</f>
        <v>36.702887235364159</v>
      </c>
      <c r="BJ67" s="11" t="str">
        <f ca="1">BV!AM67</f>
        <v/>
      </c>
      <c r="BK67" s="11" t="str">
        <f ca="1">BV!AU67</f>
        <v/>
      </c>
      <c r="BL67" s="11" t="str">
        <f ca="1">BV!BC67</f>
        <v/>
      </c>
      <c r="BM67" s="11" t="str">
        <f ca="1">BV!BK67</f>
        <v/>
      </c>
      <c r="BN67" s="11" t="str">
        <f ca="1">BV!BS67</f>
        <v/>
      </c>
      <c r="BO67" s="11" t="str">
        <f ca="1">BV!CA67</f>
        <v/>
      </c>
      <c r="BP67" s="433">
        <v>42</v>
      </c>
      <c r="BQ67" s="11">
        <f ca="1">IFERROR(YEAR(OFFSET(BV!$H67,,(COLUMN()-69)*8)),"")</f>
        <v>2019</v>
      </c>
      <c r="BR67" s="11">
        <f ca="1">IFERROR(YEAR(OFFSET(BV!$H67,,(COLUMN()-69)*8)),"")</f>
        <v>2019</v>
      </c>
      <c r="BS67" s="11">
        <f ca="1">IFERROR(YEAR(OFFSET(BV!$H67,,(COLUMN()-69)*8)),"")</f>
        <v>2020</v>
      </c>
      <c r="BT67" s="11">
        <f ca="1">IFERROR(YEAR(OFFSET(BV!$H67,,(COLUMN()-69)*8)),"")</f>
        <v>2020</v>
      </c>
      <c r="BU67" s="11" t="str">
        <f ca="1">IFERROR(YEAR(OFFSET(BV!$H67,,(COLUMN()-69)*8)),"")</f>
        <v/>
      </c>
      <c r="BV67" s="11" t="str">
        <f ca="1">IFERROR(YEAR(OFFSET(BV!$H67,,(COLUMN()-69)*8)),"")</f>
        <v/>
      </c>
      <c r="BW67" s="11" t="str">
        <f ca="1">IFERROR(YEAR(OFFSET(BV!$H67,,(COLUMN()-69)*8)),"")</f>
        <v/>
      </c>
      <c r="BX67" s="11" t="str">
        <f ca="1">IFERROR(YEAR(OFFSET(BV!$H67,,(COLUMN()-69)*8)),"")</f>
        <v/>
      </c>
      <c r="BY67" s="11" t="str">
        <f ca="1">IFERROR(YEAR(OFFSET(BV!$H67,,(COLUMN()-69)*8)),"")</f>
        <v/>
      </c>
      <c r="BZ67" s="11" t="str">
        <f ca="1">IFERROR(YEAR(OFFSET(BV!$H67,,(COLUMN()-69)*8)),"")</f>
        <v/>
      </c>
    </row>
    <row r="68" spans="1:78" x14ac:dyDescent="0.25">
      <c r="A68" s="433">
        <v>43</v>
      </c>
      <c r="B68" s="299">
        <f ca="1">BV!D68</f>
        <v>2.4473534433693795</v>
      </c>
      <c r="C68" s="11" t="str">
        <f ca="1">BV!L68</f>
        <v/>
      </c>
      <c r="D68" s="11" t="str">
        <f ca="1">BV!T68</f>
        <v/>
      </c>
      <c r="E68" s="11" t="str">
        <f ca="1">BV!AB68</f>
        <v/>
      </c>
      <c r="F68" s="11" t="str">
        <f ca="1">BV!AJ68</f>
        <v/>
      </c>
      <c r="G68" s="11" t="str">
        <f ca="1">BV!AR68</f>
        <v/>
      </c>
      <c r="H68" s="11" t="str">
        <f ca="1">BV!AZ68</f>
        <v/>
      </c>
      <c r="I68" s="11" t="str">
        <f ca="1">BV!BH68</f>
        <v/>
      </c>
      <c r="J68" s="11" t="str">
        <f ca="1">BV!BP68</f>
        <v/>
      </c>
      <c r="K68" s="11" t="str">
        <f ca="1">BV!BX68</f>
        <v/>
      </c>
      <c r="L68" s="62" t="s">
        <v>64</v>
      </c>
      <c r="M68" s="261">
        <v>5.4593064539999996E-3</v>
      </c>
      <c r="N68" s="277">
        <f t="shared" ca="1" si="68"/>
        <v>13.534158651555119</v>
      </c>
      <c r="O68" s="36" t="s">
        <v>21</v>
      </c>
      <c r="P68" s="707">
        <f t="shared" ref="P68:Y68" ca="1" si="87">IFERROR(153.73/(($AK12/P40)^1.7/$AK12),0)</f>
        <v>23.963623701705938</v>
      </c>
      <c r="Q68" s="717">
        <f t="shared" ca="1" si="87"/>
        <v>6.0078041126547248</v>
      </c>
      <c r="R68" s="42">
        <f t="shared" ca="1" si="87"/>
        <v>0</v>
      </c>
      <c r="S68" s="42">
        <f t="shared" ca="1" si="87"/>
        <v>0</v>
      </c>
      <c r="T68" s="42">
        <f t="shared" ca="1" si="87"/>
        <v>0</v>
      </c>
      <c r="U68" s="42">
        <f t="shared" ca="1" si="87"/>
        <v>0</v>
      </c>
      <c r="V68" s="42">
        <f t="shared" ca="1" si="87"/>
        <v>0</v>
      </c>
      <c r="W68" s="455">
        <f t="shared" ca="1" si="87"/>
        <v>0</v>
      </c>
      <c r="X68" s="42">
        <f t="shared" ca="1" si="87"/>
        <v>0</v>
      </c>
      <c r="Y68" s="42">
        <f t="shared" ca="1" si="87"/>
        <v>0</v>
      </c>
      <c r="Z68" s="6">
        <f t="shared" ca="1" si="77"/>
        <v>29.971427814360663</v>
      </c>
      <c r="AA68" s="504" t="s">
        <v>414</v>
      </c>
      <c r="AB68" s="65">
        <v>44</v>
      </c>
      <c r="AC68" s="501">
        <f ca="1">COUNTIF(BV!$C$242:$C$430,"&lt;"&amp;ASB!AB68)</f>
        <v>0</v>
      </c>
      <c r="AD68" s="592" t="s">
        <v>651</v>
      </c>
      <c r="AE68" s="593"/>
      <c r="AF68" s="504" t="s">
        <v>414</v>
      </c>
      <c r="AG68" s="280">
        <v>16</v>
      </c>
      <c r="AH68" s="36">
        <f ca="1">COUNTIF(BV!$C$55:$C$167,"&lt;"&amp;ASB!AG68)</f>
        <v>2</v>
      </c>
      <c r="AI68" s="595" t="s">
        <v>655</v>
      </c>
      <c r="AJ68" s="596"/>
      <c r="AL68" s="594" t="str">
        <f>IF(Arb!$AJ$28=1,"Pupil","童生")</f>
        <v>童生</v>
      </c>
      <c r="AM68" s="594"/>
      <c r="AN68" s="433">
        <v>43</v>
      </c>
      <c r="AO68" s="552">
        <f ca="1">BV!C68</f>
        <v>17.57</v>
      </c>
      <c r="AP68" s="11" t="str">
        <f ca="1">BV!K68</f>
        <v/>
      </c>
      <c r="AQ68" s="11" t="str">
        <f ca="1">BV!S68</f>
        <v/>
      </c>
      <c r="AR68" s="11" t="str">
        <f ca="1">BV!AA68</f>
        <v/>
      </c>
      <c r="AS68" s="11" t="str">
        <f ca="1">BV!AI68</f>
        <v/>
      </c>
      <c r="AT68" s="11" t="str">
        <f ca="1">BV!AQ68</f>
        <v/>
      </c>
      <c r="AU68" s="11" t="str">
        <f ca="1">BV!AY68</f>
        <v/>
      </c>
      <c r="AV68" s="11" t="str">
        <f ca="1">BV!BG68</f>
        <v/>
      </c>
      <c r="AW68" s="11" t="str">
        <f ca="1">BV!BO68</f>
        <v/>
      </c>
      <c r="AX68" s="11" t="str">
        <f ca="1">BV!BW68</f>
        <v/>
      </c>
      <c r="AY68" s="62" t="s">
        <v>3</v>
      </c>
      <c r="AZ68" s="37">
        <f t="shared" si="71"/>
        <v>2.2628625262205824</v>
      </c>
      <c r="BA68" s="261">
        <v>5.4593064539999996E-3</v>
      </c>
      <c r="BB68" s="56">
        <v>7.8566717989999993E-2</v>
      </c>
      <c r="BC68" s="56">
        <f t="shared" si="72"/>
        <v>6.9486248040739884E-2</v>
      </c>
      <c r="BD68" s="13">
        <f ca="1">IF(BV!H68="","",INT(NOW()-BV!H68))</f>
        <v>66</v>
      </c>
      <c r="BE68" s="279">
        <f t="shared" si="86"/>
        <v>13.534158651555119</v>
      </c>
      <c r="BF68" s="300">
        <f ca="1">BV!G68</f>
        <v>50.595872351232558</v>
      </c>
      <c r="BG68" s="11" t="str">
        <f ca="1">BV!O68</f>
        <v/>
      </c>
      <c r="BH68" s="11" t="str">
        <f ca="1">BV!W68</f>
        <v/>
      </c>
      <c r="BI68" s="11" t="str">
        <f ca="1">BV!AE68</f>
        <v/>
      </c>
      <c r="BJ68" s="11" t="str">
        <f ca="1">BV!AM68</f>
        <v/>
      </c>
      <c r="BK68" s="11" t="str">
        <f ca="1">BV!AU68</f>
        <v/>
      </c>
      <c r="BL68" s="11" t="str">
        <f ca="1">BV!BC68</f>
        <v/>
      </c>
      <c r="BM68" s="11" t="str">
        <f ca="1">BV!BK68</f>
        <v/>
      </c>
      <c r="BN68" s="11" t="str">
        <f ca="1">BV!BS68</f>
        <v/>
      </c>
      <c r="BO68" s="11" t="str">
        <f ca="1">BV!CA68</f>
        <v/>
      </c>
      <c r="BP68" s="433">
        <v>43</v>
      </c>
      <c r="BQ68" s="11">
        <f ca="1">IFERROR(YEAR(OFFSET(BV!$H68,,(COLUMN()-69)*8)),"")</f>
        <v>2020</v>
      </c>
      <c r="BR68" s="11" t="str">
        <f ca="1">IFERROR(YEAR(OFFSET(BV!$H68,,(COLUMN()-69)*8)),"")</f>
        <v/>
      </c>
      <c r="BS68" s="11" t="str">
        <f ca="1">IFERROR(YEAR(OFFSET(BV!$H68,,(COLUMN()-69)*8)),"")</f>
        <v/>
      </c>
      <c r="BT68" s="11" t="str">
        <f ca="1">IFERROR(YEAR(OFFSET(BV!$H68,,(COLUMN()-69)*8)),"")</f>
        <v/>
      </c>
      <c r="BU68" s="11" t="str">
        <f ca="1">IFERROR(YEAR(OFFSET(BV!$H68,,(COLUMN()-69)*8)),"")</f>
        <v/>
      </c>
      <c r="BV68" s="11" t="str">
        <f ca="1">IFERROR(YEAR(OFFSET(BV!$H68,,(COLUMN()-69)*8)),"")</f>
        <v/>
      </c>
      <c r="BW68" s="11" t="str">
        <f ca="1">IFERROR(YEAR(OFFSET(BV!$H68,,(COLUMN()-69)*8)),"")</f>
        <v/>
      </c>
      <c r="BX68" s="11" t="str">
        <f ca="1">IFERROR(YEAR(OFFSET(BV!$H68,,(COLUMN()-69)*8)),"")</f>
        <v/>
      </c>
      <c r="BY68" s="11" t="str">
        <f ca="1">IFERROR(YEAR(OFFSET(BV!$H68,,(COLUMN()-69)*8)),"")</f>
        <v/>
      </c>
      <c r="BZ68" s="11" t="str">
        <f ca="1">IFERROR(YEAR(OFFSET(BV!$H68,,(COLUMN()-69)*8)),"")</f>
        <v/>
      </c>
    </row>
    <row r="69" spans="1:78" x14ac:dyDescent="0.25">
      <c r="A69" s="433">
        <v>44</v>
      </c>
      <c r="B69" s="300">
        <f ca="1">BV!D69</f>
        <v>2.2289766970618037</v>
      </c>
      <c r="C69" s="300">
        <f ca="1">BV!L69</f>
        <v>2.1868787276341948</v>
      </c>
      <c r="D69" s="300">
        <f ca="1">BV!T69</f>
        <v>2.0972354623450906</v>
      </c>
      <c r="E69" s="300">
        <f ca="1">BV!AB69</f>
        <v>2.0608899297423888</v>
      </c>
      <c r="F69" s="301">
        <f ca="1">BV!AJ69</f>
        <v>1.9400352733686068</v>
      </c>
      <c r="G69" s="301">
        <f ca="1">BV!AR69</f>
        <v>1.9172113289760349</v>
      </c>
      <c r="H69" s="11" t="str">
        <f ca="1">BV!AZ69</f>
        <v/>
      </c>
      <c r="I69" s="11" t="str">
        <f ca="1">BV!BH69</f>
        <v/>
      </c>
      <c r="J69" s="11" t="str">
        <f ca="1">BV!BP69</f>
        <v/>
      </c>
      <c r="K69" s="11" t="str">
        <f ca="1">BV!BX69</f>
        <v/>
      </c>
      <c r="L69" s="62" t="s">
        <v>64</v>
      </c>
      <c r="M69" s="261">
        <v>6.6313860180000003E-3</v>
      </c>
      <c r="N69" s="277">
        <f t="shared" ca="1" si="68"/>
        <v>12.279985256064379</v>
      </c>
      <c r="O69" s="36" t="s">
        <v>22</v>
      </c>
      <c r="P69" s="42">
        <f t="shared" ref="P69:Y69" ca="1" si="88">IFERROR(153.73/(($AK13/P41)^1.7/$AK13),0)</f>
        <v>0</v>
      </c>
      <c r="Q69" s="42">
        <f t="shared" ca="1" si="88"/>
        <v>0</v>
      </c>
      <c r="R69" s="42">
        <f t="shared" ca="1" si="88"/>
        <v>0</v>
      </c>
      <c r="S69" s="42">
        <f t="shared" ca="1" si="88"/>
        <v>0</v>
      </c>
      <c r="T69" s="42">
        <f t="shared" ca="1" si="88"/>
        <v>0</v>
      </c>
      <c r="U69" s="42">
        <f t="shared" ca="1" si="88"/>
        <v>0</v>
      </c>
      <c r="V69" s="42">
        <f t="shared" ca="1" si="88"/>
        <v>0</v>
      </c>
      <c r="W69" s="455">
        <f t="shared" ca="1" si="88"/>
        <v>0</v>
      </c>
      <c r="X69" s="42">
        <f t="shared" ca="1" si="88"/>
        <v>0</v>
      </c>
      <c r="Y69" s="42">
        <f t="shared" ca="1" si="88"/>
        <v>0</v>
      </c>
      <c r="Z69" s="6">
        <f t="shared" ca="1" si="77"/>
        <v>0</v>
      </c>
      <c r="AA69" s="504" t="s">
        <v>414</v>
      </c>
      <c r="AB69" s="65">
        <v>39</v>
      </c>
      <c r="AC69" s="501">
        <f ca="1">COUNTIF(BV!$C$242:$C$430,"&lt;"&amp;ASB!AB69)</f>
        <v>0</v>
      </c>
      <c r="AD69" s="592" t="s">
        <v>651</v>
      </c>
      <c r="AE69" s="593"/>
      <c r="AF69" s="504" t="s">
        <v>414</v>
      </c>
      <c r="AG69" s="280">
        <v>14</v>
      </c>
      <c r="AH69" s="36">
        <f ca="1">COUNTIF(BV!$C$55:$C$167,"&lt;"&amp;ASB!AG69)</f>
        <v>1</v>
      </c>
      <c r="AI69" s="595" t="s">
        <v>656</v>
      </c>
      <c r="AJ69" s="596"/>
      <c r="AL69" s="590" t="str">
        <f>IF(Arb!$AJ$28=1,"Student","书生")</f>
        <v>书生</v>
      </c>
      <c r="AM69" s="590"/>
      <c r="AN69" s="433">
        <v>44</v>
      </c>
      <c r="AO69" s="298">
        <f ca="1">BV!C69</f>
        <v>19.739999999999998</v>
      </c>
      <c r="AP69" s="299">
        <f ca="1">BV!K69</f>
        <v>20.12</v>
      </c>
      <c r="AQ69" s="299">
        <f ca="1">BV!S69</f>
        <v>20.98</v>
      </c>
      <c r="AR69" s="300">
        <f ca="1">BV!AA69</f>
        <v>21.35</v>
      </c>
      <c r="AS69" s="301">
        <f ca="1">BV!AI69</f>
        <v>22.68</v>
      </c>
      <c r="AT69" s="301">
        <f ca="1">BV!AQ69</f>
        <v>22.95</v>
      </c>
      <c r="AU69" s="11" t="str">
        <f ca="1">BV!AY69</f>
        <v/>
      </c>
      <c r="AV69" s="11" t="str">
        <f ca="1">BV!BG69</f>
        <v/>
      </c>
      <c r="AW69" s="11" t="str">
        <f ca="1">BV!BO69</f>
        <v/>
      </c>
      <c r="AX69" s="11" t="str">
        <f ca="1">BV!BW69</f>
        <v/>
      </c>
      <c r="AY69" s="62" t="s">
        <v>3</v>
      </c>
      <c r="AZ69" s="37">
        <f t="shared" si="71"/>
        <v>2.1783956907416129</v>
      </c>
      <c r="BA69" s="261">
        <v>6.6313860180000003E-3</v>
      </c>
      <c r="BB69" s="56">
        <v>7.8566717989999993E-2</v>
      </c>
      <c r="BC69" s="56">
        <f t="shared" si="72"/>
        <v>8.4404518702741863E-2</v>
      </c>
      <c r="BD69" s="13">
        <f ca="1">IF(BV!H69="","",INT(NOW()-BV!H69))</f>
        <v>413</v>
      </c>
      <c r="BE69" s="279">
        <f t="shared" si="86"/>
        <v>12.279985256064379</v>
      </c>
      <c r="BF69" s="301">
        <f ca="1">BV!G69</f>
        <v>42.473803303938745</v>
      </c>
      <c r="BG69" s="301">
        <f ca="1">BV!O69</f>
        <v>41.119113577582681</v>
      </c>
      <c r="BH69" s="301">
        <f ca="1">BV!W69</f>
        <v>38.294991821542808</v>
      </c>
      <c r="BI69" s="302">
        <f ca="1">BV!AE69</f>
        <v>37.173624589466151</v>
      </c>
      <c r="BJ69" s="302">
        <f ca="1">BV!AM69</f>
        <v>33.544252483722261</v>
      </c>
      <c r="BK69" s="302">
        <f ca="1">BV!AU69</f>
        <v>32.876133164355608</v>
      </c>
      <c r="BL69" s="11" t="str">
        <f ca="1">BV!BC69</f>
        <v/>
      </c>
      <c r="BM69" s="11" t="str">
        <f ca="1">BV!BK69</f>
        <v/>
      </c>
      <c r="BN69" s="11" t="str">
        <f ca="1">BV!BS69</f>
        <v/>
      </c>
      <c r="BO69" s="11" t="str">
        <f ca="1">BV!CA69</f>
        <v/>
      </c>
      <c r="BP69" s="433">
        <v>44</v>
      </c>
      <c r="BQ69" s="11">
        <f ca="1">IFERROR(YEAR(OFFSET(BV!$H69,,(COLUMN()-69)*8)),"")</f>
        <v>2019</v>
      </c>
      <c r="BR69" s="11">
        <f ca="1">IFERROR(YEAR(OFFSET(BV!$H69,,(COLUMN()-69)*8)),"")</f>
        <v>2020</v>
      </c>
      <c r="BS69" s="11">
        <f ca="1">IFERROR(YEAR(OFFSET(BV!$H69,,(COLUMN()-69)*8)),"")</f>
        <v>2020</v>
      </c>
      <c r="BT69" s="11">
        <f ca="1">IFERROR(YEAR(OFFSET(BV!$H69,,(COLUMN()-69)*8)),"")</f>
        <v>2019</v>
      </c>
      <c r="BU69" s="11">
        <f ca="1">IFERROR(YEAR(OFFSET(BV!$H69,,(COLUMN()-69)*8)),"")</f>
        <v>2020</v>
      </c>
      <c r="BV69" s="11">
        <f ca="1">IFERROR(YEAR(OFFSET(BV!$H69,,(COLUMN()-69)*8)),"")</f>
        <v>2020</v>
      </c>
      <c r="BW69" s="11" t="str">
        <f ca="1">IFERROR(YEAR(OFFSET(BV!$H69,,(COLUMN()-69)*8)),"")</f>
        <v/>
      </c>
      <c r="BX69" s="11" t="str">
        <f ca="1">IFERROR(YEAR(OFFSET(BV!$H69,,(COLUMN()-69)*8)),"")</f>
        <v/>
      </c>
      <c r="BY69" s="11" t="str">
        <f ca="1">IFERROR(YEAR(OFFSET(BV!$H69,,(COLUMN()-69)*8)),"")</f>
        <v/>
      </c>
      <c r="BZ69" s="11" t="str">
        <f ca="1">IFERROR(YEAR(OFFSET(BV!$H69,,(COLUMN()-69)*8)),"")</f>
        <v/>
      </c>
    </row>
    <row r="70" spans="1:78" x14ac:dyDescent="0.25">
      <c r="A70" s="433">
        <v>45</v>
      </c>
      <c r="B70" s="298">
        <f ca="1">BV!D70</f>
        <v>2.5906735751295336</v>
      </c>
      <c r="C70" s="299">
        <f ca="1">BV!L70</f>
        <v>2.4496461622210122</v>
      </c>
      <c r="D70" s="299">
        <f ca="1">BV!T70</f>
        <v>2.3646873357856015</v>
      </c>
      <c r="E70" s="299">
        <f ca="1">BV!AB70</f>
        <v>2.2877478393492625</v>
      </c>
      <c r="F70" s="300">
        <f ca="1">BV!AJ70</f>
        <v>2.1347248576850095</v>
      </c>
      <c r="G70" s="301">
        <f ca="1">BV!AR70</f>
        <v>1.9823788546255507</v>
      </c>
      <c r="H70" s="301">
        <f ca="1">BV!AZ70</f>
        <v>1.9565217391304348</v>
      </c>
      <c r="I70" s="11" t="str">
        <f ca="1">BV!BH70</f>
        <v/>
      </c>
      <c r="J70" s="11" t="str">
        <f ca="1">BV!BP70</f>
        <v/>
      </c>
      <c r="K70" s="11" t="str">
        <f ca="1">BV!BX70</f>
        <v/>
      </c>
      <c r="L70" s="62" t="s">
        <v>64</v>
      </c>
      <c r="M70" s="261">
        <v>7.9514662749999993E-3</v>
      </c>
      <c r="N70" s="277">
        <f t="shared" ca="1" si="68"/>
        <v>11.214408952950082</v>
      </c>
      <c r="O70" s="24" t="s">
        <v>35</v>
      </c>
      <c r="P70" s="717">
        <f t="shared" ref="P70:Y70" ca="1" si="89">IFERROR(435.001/(($AK14/P42)^1.7/$AK14),0)</f>
        <v>9.9302773326194451</v>
      </c>
      <c r="Q70" s="717">
        <f t="shared" ca="1" si="89"/>
        <v>5.2551724298908971</v>
      </c>
      <c r="R70" s="717">
        <f t="shared" ca="1" si="89"/>
        <v>1.1900561741869775</v>
      </c>
      <c r="S70" s="42">
        <f t="shared" ca="1" si="89"/>
        <v>0</v>
      </c>
      <c r="T70" s="42">
        <f t="shared" ca="1" si="89"/>
        <v>0</v>
      </c>
      <c r="U70" s="42">
        <f t="shared" ca="1" si="89"/>
        <v>0</v>
      </c>
      <c r="V70" s="42">
        <f t="shared" ca="1" si="89"/>
        <v>0</v>
      </c>
      <c r="W70" s="455">
        <f t="shared" ca="1" si="89"/>
        <v>0</v>
      </c>
      <c r="X70" s="42">
        <f t="shared" ca="1" si="89"/>
        <v>0</v>
      </c>
      <c r="Y70" s="42">
        <f t="shared" ca="1" si="89"/>
        <v>0</v>
      </c>
      <c r="Z70" s="6">
        <f t="shared" ca="1" si="77"/>
        <v>16.375505936697319</v>
      </c>
      <c r="AA70" s="504" t="s">
        <v>414</v>
      </c>
      <c r="AB70" s="65">
        <v>34</v>
      </c>
      <c r="AC70" s="503">
        <f ca="1">COUNTIF(BV!$C$242:$C$430,"&lt;"&amp;ASB!AB70)</f>
        <v>0</v>
      </c>
      <c r="AD70" s="592" t="s">
        <v>651</v>
      </c>
      <c r="AE70" s="593"/>
      <c r="AF70" s="504" t="s">
        <v>414</v>
      </c>
      <c r="AG70" s="280">
        <v>12</v>
      </c>
      <c r="AH70" s="36">
        <f ca="1">COUNTIF(BV!$C$55:$C$167,"&lt;"&amp;ASB!AG70)</f>
        <v>0</v>
      </c>
      <c r="AI70" s="595" t="s">
        <v>651</v>
      </c>
      <c r="AJ70" s="596"/>
      <c r="AL70" s="631" t="str">
        <f>IF(Arb!$AJ$28=1,"Good","秀才")</f>
        <v>秀才</v>
      </c>
      <c r="AM70" s="631"/>
      <c r="AN70" s="433">
        <v>45</v>
      </c>
      <c r="AO70" s="552">
        <f ca="1">BV!C70</f>
        <v>17.37</v>
      </c>
      <c r="AP70" s="297">
        <f ca="1">BV!K70</f>
        <v>18.37</v>
      </c>
      <c r="AQ70" s="298">
        <f ca="1">BV!S70</f>
        <v>19.03</v>
      </c>
      <c r="AR70" s="298">
        <f ca="1">BV!AA70</f>
        <v>19.670000000000002</v>
      </c>
      <c r="AS70" s="300">
        <f ca="1">BV!AI70</f>
        <v>21.08</v>
      </c>
      <c r="AT70" s="301">
        <f ca="1">BV!AQ70</f>
        <v>22.7</v>
      </c>
      <c r="AU70" s="301">
        <f ca="1">BV!AY70</f>
        <v>23</v>
      </c>
      <c r="AV70" s="11" t="str">
        <f ca="1">BV!BG70</f>
        <v/>
      </c>
      <c r="AW70" s="11" t="str">
        <f ca="1">BV!BO70</f>
        <v/>
      </c>
      <c r="AX70" s="11" t="str">
        <f ca="1">BV!BW70</f>
        <v/>
      </c>
      <c r="AY70" s="62" t="s">
        <v>3</v>
      </c>
      <c r="AZ70" s="37">
        <f t="shared" si="71"/>
        <v>2.0995527787115367</v>
      </c>
      <c r="BA70" s="261">
        <v>7.9514662749999993E-3</v>
      </c>
      <c r="BB70" s="56">
        <v>7.8566717989999993E-2</v>
      </c>
      <c r="BC70" s="56">
        <f t="shared" si="72"/>
        <v>0.10120654748505678</v>
      </c>
      <c r="BD70" s="13">
        <f ca="1">IF(BV!H70="","",INT(NOW()-BV!H70))</f>
        <v>363</v>
      </c>
      <c r="BE70" s="279">
        <f t="shared" si="86"/>
        <v>11.214408952950084</v>
      </c>
      <c r="BF70" s="300">
        <f ca="1">BV!G70</f>
        <v>53.989766549607829</v>
      </c>
      <c r="BG70" s="301">
        <f ca="1">BV!O70</f>
        <v>49.089157128937103</v>
      </c>
      <c r="BH70" s="301">
        <f ca="1">BV!W70</f>
        <v>46.230139174283593</v>
      </c>
      <c r="BI70" s="301">
        <f ca="1">BV!AE70</f>
        <v>43.702243157228153</v>
      </c>
      <c r="BJ70" s="301">
        <f ca="1">BV!AM70</f>
        <v>38.850007755890331</v>
      </c>
      <c r="BK70" s="302">
        <f ca="1">BV!AU70</f>
        <v>34.255253337607314</v>
      </c>
      <c r="BL70" s="302">
        <f ca="1">BV!BC70</f>
        <v>33.499152486993225</v>
      </c>
      <c r="BM70" s="11" t="str">
        <f ca="1">BV!BK70</f>
        <v/>
      </c>
      <c r="BN70" s="11" t="str">
        <f ca="1">BV!BS70</f>
        <v/>
      </c>
      <c r="BO70" s="11" t="str">
        <f ca="1">BV!CA70</f>
        <v/>
      </c>
      <c r="BP70" s="433">
        <v>45</v>
      </c>
      <c r="BQ70" s="11">
        <f ca="1">IFERROR(YEAR(OFFSET(BV!$H70,,(COLUMN()-69)*8)),"")</f>
        <v>2019</v>
      </c>
      <c r="BR70" s="11">
        <f ca="1">IFERROR(YEAR(OFFSET(BV!$H70,,(COLUMN()-69)*8)),"")</f>
        <v>2019</v>
      </c>
      <c r="BS70" s="11">
        <f ca="1">IFERROR(YEAR(OFFSET(BV!$H70,,(COLUMN()-69)*8)),"")</f>
        <v>2020</v>
      </c>
      <c r="BT70" s="11">
        <f ca="1">IFERROR(YEAR(OFFSET(BV!$H70,,(COLUMN()-69)*8)),"")</f>
        <v>2020</v>
      </c>
      <c r="BU70" s="11">
        <f ca="1">IFERROR(YEAR(OFFSET(BV!$H70,,(COLUMN()-69)*8)),"")</f>
        <v>2019</v>
      </c>
      <c r="BV70" s="11">
        <f ca="1">IFERROR(YEAR(OFFSET(BV!$H70,,(COLUMN()-69)*8)),"")</f>
        <v>2019</v>
      </c>
      <c r="BW70" s="11">
        <f ca="1">IFERROR(YEAR(OFFSET(BV!$H70,,(COLUMN()-69)*8)),"")</f>
        <v>2020</v>
      </c>
      <c r="BX70" s="11" t="str">
        <f ca="1">IFERROR(YEAR(OFFSET(BV!$H70,,(COLUMN()-69)*8)),"")</f>
        <v/>
      </c>
      <c r="BY70" s="11" t="str">
        <f ca="1">IFERROR(YEAR(OFFSET(BV!$H70,,(COLUMN()-69)*8)),"")</f>
        <v/>
      </c>
      <c r="BZ70" s="11" t="str">
        <f ca="1">IFERROR(YEAR(OFFSET(BV!$H70,,(COLUMN()-69)*8)),"")</f>
        <v/>
      </c>
    </row>
    <row r="71" spans="1:78" x14ac:dyDescent="0.25">
      <c r="A71" s="433">
        <v>46</v>
      </c>
      <c r="B71" s="300">
        <f ca="1">BV!D71</f>
        <v>2.1575984990619137</v>
      </c>
      <c r="C71" s="300">
        <f ca="1">BV!L71</f>
        <v>2.1515434985968196</v>
      </c>
      <c r="D71" s="300">
        <f ca="1">BV!T71</f>
        <v>2.0702070207020702</v>
      </c>
      <c r="E71" s="300">
        <f ca="1">BV!AB71</f>
        <v>2.0210896309314585</v>
      </c>
      <c r="F71" s="301">
        <f ca="1">BV!AJ71</f>
        <v>1.9725557461406518</v>
      </c>
      <c r="G71" s="301">
        <f ca="1">BV!AR71</f>
        <v>1.9063406547865729</v>
      </c>
      <c r="H71" s="301">
        <f ca="1">BV!AZ71</f>
        <v>1.6576576576576576</v>
      </c>
      <c r="I71" s="11" t="str">
        <f ca="1">BV!BH71</f>
        <v/>
      </c>
      <c r="J71" s="11" t="str">
        <f ca="1">BV!BP71</f>
        <v/>
      </c>
      <c r="K71" s="11" t="str">
        <f ca="1">BV!BX71</f>
        <v/>
      </c>
      <c r="L71" s="62" t="s">
        <v>64</v>
      </c>
      <c r="M71" s="261">
        <v>9.4158082429999998E-3</v>
      </c>
      <c r="N71" s="277">
        <f t="shared" ca="1" si="68"/>
        <v>10.305550536472319</v>
      </c>
      <c r="O71" s="24" t="s">
        <v>23</v>
      </c>
      <c r="P71" s="704">
        <f t="shared" ref="P71:Y71" ca="1" si="90">IFERROR(435.001/(($AK15/P43)^1.7/$AK15),0)</f>
        <v>49.76289467718501</v>
      </c>
      <c r="Q71" s="704">
        <f t="shared" ca="1" si="90"/>
        <v>39.707802035514042</v>
      </c>
      <c r="R71" s="705">
        <f t="shared" ca="1" si="90"/>
        <v>26.249195620337247</v>
      </c>
      <c r="S71" s="707">
        <f t="shared" ca="1" si="90"/>
        <v>18.752171355107105</v>
      </c>
      <c r="T71" s="717">
        <f t="shared" ca="1" si="90"/>
        <v>7.919065158908829</v>
      </c>
      <c r="U71" s="717">
        <f t="shared" ca="1" si="90"/>
        <v>7.2457173031279956</v>
      </c>
      <c r="V71" s="717">
        <f t="shared" ca="1" si="90"/>
        <v>4.5754726488909903</v>
      </c>
      <c r="W71" s="718">
        <f t="shared" ca="1" si="90"/>
        <v>1.332214842809704</v>
      </c>
      <c r="X71" s="42">
        <f t="shared" ca="1" si="90"/>
        <v>0</v>
      </c>
      <c r="Y71" s="42">
        <f t="shared" ca="1" si="90"/>
        <v>0</v>
      </c>
      <c r="Z71" s="6">
        <f t="shared" ca="1" si="77"/>
        <v>155.54453364188092</v>
      </c>
      <c r="AA71" s="504" t="s">
        <v>414</v>
      </c>
      <c r="AB71" s="65">
        <v>29</v>
      </c>
      <c r="AC71" s="503">
        <f ca="1">COUNTIF(BV!$C$242:$C$430,"&lt;"&amp;ASB!AB71)</f>
        <v>0</v>
      </c>
      <c r="AD71" s="592" t="s">
        <v>651</v>
      </c>
      <c r="AE71" s="593"/>
      <c r="AF71" s="504" t="s">
        <v>414</v>
      </c>
      <c r="AG71" s="280">
        <v>10</v>
      </c>
      <c r="AH71" s="36">
        <f ca="1">COUNTIF(BV!$C$55:$C$167,"&lt;"&amp;ASB!AG71)</f>
        <v>0</v>
      </c>
      <c r="AI71" s="595" t="s">
        <v>651</v>
      </c>
      <c r="AJ71" s="596"/>
      <c r="AL71" s="632" t="str">
        <f>IF(Arb!$AJ$28=1,"Pro","举人")</f>
        <v>举人</v>
      </c>
      <c r="AM71" s="632"/>
      <c r="AN71" s="433">
        <v>46</v>
      </c>
      <c r="AO71" s="300">
        <f ca="1">BV!C71</f>
        <v>21.32</v>
      </c>
      <c r="AP71" s="300">
        <f ca="1">BV!K71</f>
        <v>21.38</v>
      </c>
      <c r="AQ71" s="301">
        <f ca="1">BV!S71</f>
        <v>22.22</v>
      </c>
      <c r="AR71" s="301">
        <f ca="1">BV!AA71</f>
        <v>22.76</v>
      </c>
      <c r="AS71" s="301">
        <f ca="1">BV!AI71</f>
        <v>23.32</v>
      </c>
      <c r="AT71" s="302">
        <f ca="1">BV!AQ71</f>
        <v>24.13</v>
      </c>
      <c r="AU71" s="660">
        <f ca="1">BV!AY71</f>
        <v>27.75</v>
      </c>
      <c r="AV71" s="11" t="str">
        <f ca="1">BV!BG71</f>
        <v/>
      </c>
      <c r="AW71" s="11" t="str">
        <f ca="1">BV!BO71</f>
        <v/>
      </c>
      <c r="AX71" s="11" t="str">
        <f ca="1">BV!BW71</f>
        <v/>
      </c>
      <c r="AY71" s="62" t="s">
        <v>3</v>
      </c>
      <c r="AZ71" s="37">
        <f t="shared" si="71"/>
        <v>2.026142394669185</v>
      </c>
      <c r="BA71" s="261">
        <v>9.4158082429999998E-3</v>
      </c>
      <c r="BB71" s="56">
        <v>7.8566717989999993E-2</v>
      </c>
      <c r="BC71" s="56">
        <f t="shared" si="72"/>
        <v>0.11984474449089814</v>
      </c>
      <c r="BD71" s="13">
        <f ca="1">IF(BV!H71="","",INT(NOW()-BV!H71))</f>
        <v>295</v>
      </c>
      <c r="BE71" s="279">
        <f t="shared" si="86"/>
        <v>10.305550536472321</v>
      </c>
      <c r="BF71" s="301">
        <f ca="1">BV!G71</f>
        <v>38.956346340194784</v>
      </c>
      <c r="BG71" s="301">
        <f ca="1">BV!O71</f>
        <v>38.77067546519978</v>
      </c>
      <c r="BH71" s="302">
        <f ca="1">BV!W71</f>
        <v>36.312116746895832</v>
      </c>
      <c r="BI71" s="302">
        <f ca="1">BV!AE71</f>
        <v>34.859698029448026</v>
      </c>
      <c r="BJ71" s="302">
        <f ca="1">BV!AM71</f>
        <v>33.448598886431178</v>
      </c>
      <c r="BK71" s="302">
        <f ca="1">BV!AU71</f>
        <v>31.562326753762296</v>
      </c>
      <c r="BL71" s="660">
        <f ca="1">BV!BC71</f>
        <v>24.886818482469035</v>
      </c>
      <c r="BM71" s="11" t="str">
        <f ca="1">BV!BK71</f>
        <v/>
      </c>
      <c r="BN71" s="11" t="str">
        <f ca="1">BV!BS71</f>
        <v/>
      </c>
      <c r="BO71" s="11" t="str">
        <f ca="1">BV!CA71</f>
        <v/>
      </c>
      <c r="BP71" s="433">
        <v>46</v>
      </c>
      <c r="BQ71" s="11">
        <f ca="1">IFERROR(YEAR(OFFSET(BV!$H71,,(COLUMN()-69)*8)),"")</f>
        <v>2020</v>
      </c>
      <c r="BR71" s="11">
        <f ca="1">IFERROR(YEAR(OFFSET(BV!$H71,,(COLUMN()-69)*8)),"")</f>
        <v>2020</v>
      </c>
      <c r="BS71" s="11">
        <f ca="1">IFERROR(YEAR(OFFSET(BV!$H71,,(COLUMN()-69)*8)),"")</f>
        <v>2020</v>
      </c>
      <c r="BT71" s="11">
        <f ca="1">IFERROR(YEAR(OFFSET(BV!$H71,,(COLUMN()-69)*8)),"")</f>
        <v>2020</v>
      </c>
      <c r="BU71" s="11">
        <f ca="1">IFERROR(YEAR(OFFSET(BV!$H71,,(COLUMN()-69)*8)),"")</f>
        <v>2019</v>
      </c>
      <c r="BV71" s="11">
        <f ca="1">IFERROR(YEAR(OFFSET(BV!$H71,,(COLUMN()-69)*8)),"")</f>
        <v>2019</v>
      </c>
      <c r="BW71" s="11">
        <f ca="1">IFERROR(YEAR(OFFSET(BV!$H71,,(COLUMN()-69)*8)),"")</f>
        <v>2020</v>
      </c>
      <c r="BX71" s="11" t="str">
        <f ca="1">IFERROR(YEAR(OFFSET(BV!$H71,,(COLUMN()-69)*8)),"")</f>
        <v/>
      </c>
      <c r="BY71" s="11" t="str">
        <f ca="1">IFERROR(YEAR(OFFSET(BV!$H71,,(COLUMN()-69)*8)),"")</f>
        <v/>
      </c>
      <c r="BZ71" s="11" t="str">
        <f ca="1">IFERROR(YEAR(OFFSET(BV!$H71,,(COLUMN()-69)*8)),"")</f>
        <v/>
      </c>
    </row>
    <row r="72" spans="1:78" x14ac:dyDescent="0.25">
      <c r="A72" s="433">
        <v>47</v>
      </c>
      <c r="B72" s="299">
        <f ca="1">BV!D72</f>
        <v>2.4581589958158996</v>
      </c>
      <c r="C72" s="299">
        <f ca="1">BV!L72</f>
        <v>2.3394723743155801</v>
      </c>
      <c r="D72" s="300">
        <f ca="1">BV!T72</f>
        <v>2.2232734153263953</v>
      </c>
      <c r="E72" s="300">
        <f ca="1">BV!AB72</f>
        <v>2.1066786194531599</v>
      </c>
      <c r="F72" s="300">
        <f ca="1">BV!AJ72</f>
        <v>2.0944741532976825</v>
      </c>
      <c r="G72" s="300">
        <f ca="1">BV!AR72</f>
        <v>2.0119863013698631</v>
      </c>
      <c r="H72" s="301">
        <f ca="1">BV!AZ72</f>
        <v>1.9665271966527198</v>
      </c>
      <c r="I72" s="301">
        <f ca="1">BV!BH72</f>
        <v>1.898989898989899</v>
      </c>
      <c r="J72" s="11" t="str">
        <f ca="1">BV!BP72</f>
        <v/>
      </c>
      <c r="K72" s="11" t="str">
        <f ca="1">BV!BX72</f>
        <v/>
      </c>
      <c r="L72" s="15" t="s">
        <v>102</v>
      </c>
      <c r="M72" s="261">
        <v>1.1015839559E-2</v>
      </c>
      <c r="N72" s="282">
        <f t="shared" ca="1" si="68"/>
        <v>9.5277685577665192</v>
      </c>
      <c r="O72" s="24" t="s">
        <v>24</v>
      </c>
      <c r="P72" s="702">
        <f t="shared" ref="P72:Y72" ca="1" si="91">IFERROR(435.001/(($AK16/P44)^1.7/$AK16),0)</f>
        <v>56.535958879059741</v>
      </c>
      <c r="Q72" s="708">
        <f t="shared" ca="1" si="91"/>
        <v>51.865601198544539</v>
      </c>
      <c r="R72" s="704">
        <f t="shared" ca="1" si="91"/>
        <v>45.283472627604475</v>
      </c>
      <c r="S72" s="704">
        <f t="shared" ca="1" si="91"/>
        <v>43.890558537661882</v>
      </c>
      <c r="T72" s="704">
        <f t="shared" ca="1" si="91"/>
        <v>41.651820692427748</v>
      </c>
      <c r="U72" s="704">
        <f t="shared" ca="1" si="91"/>
        <v>39.876666230906736</v>
      </c>
      <c r="V72" s="704">
        <f t="shared" ca="1" si="91"/>
        <v>37.568118589541463</v>
      </c>
      <c r="W72" s="719">
        <f t="shared" ca="1" si="91"/>
        <v>23.025140427133824</v>
      </c>
      <c r="X72" s="717">
        <f t="shared" ca="1" si="91"/>
        <v>10.331521852453076</v>
      </c>
      <c r="Y72" s="717">
        <f t="shared" ca="1" si="91"/>
        <v>9.6027576460019599</v>
      </c>
      <c r="Z72" s="6">
        <f t="shared" ca="1" si="77"/>
        <v>359.63161668133546</v>
      </c>
      <c r="AA72" s="590" t="str">
        <f>IF(Arb!$AJ$28=1,"Cost","用时")</f>
        <v>用时</v>
      </c>
      <c r="AB72" s="590"/>
      <c r="AC72" s="590" t="str">
        <f>IF(Arb!$AJ$28=1,"Task","流程")</f>
        <v>流程</v>
      </c>
      <c r="AD72" s="590"/>
      <c r="AE72" s="315"/>
      <c r="AF72" s="504" t="s">
        <v>414</v>
      </c>
      <c r="AG72" s="280">
        <v>9</v>
      </c>
      <c r="AH72" s="476">
        <f ca="1">COUNTIF(BV!$C$55:$C$167,"&lt;"&amp;ASB!AG72)</f>
        <v>0</v>
      </c>
      <c r="AI72" s="595" t="s">
        <v>651</v>
      </c>
      <c r="AJ72" s="596"/>
      <c r="AL72" s="633" t="str">
        <f>IF(Arb!$AJ$28=1,"Master","进士")</f>
        <v>进士</v>
      </c>
      <c r="AM72" s="633"/>
      <c r="AN72" s="433">
        <v>47</v>
      </c>
      <c r="AO72" s="298">
        <f ca="1">BV!C72</f>
        <v>19.12</v>
      </c>
      <c r="AP72" s="299">
        <f ca="1">BV!K72</f>
        <v>20.09</v>
      </c>
      <c r="AQ72" s="300">
        <f ca="1">BV!S72</f>
        <v>21.14</v>
      </c>
      <c r="AR72" s="301">
        <f ca="1">BV!AA72</f>
        <v>22.31</v>
      </c>
      <c r="AS72" s="301">
        <f ca="1">BV!AI72</f>
        <v>22.44</v>
      </c>
      <c r="AT72" s="301">
        <f ca="1">BV!AQ72</f>
        <v>23.36</v>
      </c>
      <c r="AU72" s="301">
        <f ca="1">BV!AY72</f>
        <v>23.9</v>
      </c>
      <c r="AV72" s="302">
        <f ca="1">BV!BG72</f>
        <v>24.75</v>
      </c>
      <c r="AW72" s="11" t="str">
        <f ca="1">BV!BO72</f>
        <v/>
      </c>
      <c r="AX72" s="11" t="str">
        <f ca="1">BV!BW72</f>
        <v/>
      </c>
      <c r="AY72" s="15" t="s">
        <v>65</v>
      </c>
      <c r="AZ72" s="258">
        <f t="shared" si="71"/>
        <v>1.9579823980187787</v>
      </c>
      <c r="BA72" s="261">
        <v>1.1015839559E-2</v>
      </c>
      <c r="BB72" s="56">
        <v>7.8566717989999993E-2</v>
      </c>
      <c r="BC72" s="56">
        <f t="shared" si="72"/>
        <v>0.14021000037703116</v>
      </c>
      <c r="BD72" s="13">
        <f ca="1">IF(BV!H72="","",INT(NOW()-BV!H72))</f>
        <v>87</v>
      </c>
      <c r="BE72" s="260">
        <f t="shared" si="86"/>
        <v>9.5277685577665192</v>
      </c>
      <c r="BF72" s="301">
        <f ca="1">BV!G72</f>
        <v>47.899069372306506</v>
      </c>
      <c r="BG72" s="301">
        <f ca="1">BV!O72</f>
        <v>44.034248873735699</v>
      </c>
      <c r="BH72" s="301">
        <f ca="1">BV!W72</f>
        <v>40.381087811404356</v>
      </c>
      <c r="BI72" s="302">
        <f ca="1">BV!AE72</f>
        <v>36.847431115514389</v>
      </c>
      <c r="BJ72" s="302">
        <f ca="1">BV!AM72</f>
        <v>36.485275984687682</v>
      </c>
      <c r="BK72" s="302">
        <f ca="1">BV!AU72</f>
        <v>34.076317791597489</v>
      </c>
      <c r="BL72" s="302">
        <f ca="1">BV!BC72</f>
        <v>32.777819059358919</v>
      </c>
      <c r="BM72" s="302">
        <f ca="1">BV!BK72</f>
        <v>30.887207064180004</v>
      </c>
      <c r="BN72" s="11" t="str">
        <f ca="1">BV!BS72</f>
        <v/>
      </c>
      <c r="BO72" s="11" t="str">
        <f ca="1">BV!CA72</f>
        <v/>
      </c>
      <c r="BP72" s="433">
        <v>47</v>
      </c>
      <c r="BQ72" s="11">
        <f ca="1">IFERROR(YEAR(OFFSET(BV!$H72,,(COLUMN()-69)*8)),"")</f>
        <v>2020</v>
      </c>
      <c r="BR72" s="11">
        <f ca="1">IFERROR(YEAR(OFFSET(BV!$H72,,(COLUMN()-69)*8)),"")</f>
        <v>2019</v>
      </c>
      <c r="BS72" s="11">
        <f ca="1">IFERROR(YEAR(OFFSET(BV!$H72,,(COLUMN()-69)*8)),"")</f>
        <v>2020</v>
      </c>
      <c r="BT72" s="11">
        <f ca="1">IFERROR(YEAR(OFFSET(BV!$H72,,(COLUMN()-69)*8)),"")</f>
        <v>2019</v>
      </c>
      <c r="BU72" s="11">
        <f ca="1">IFERROR(YEAR(OFFSET(BV!$H72,,(COLUMN()-69)*8)),"")</f>
        <v>2019</v>
      </c>
      <c r="BV72" s="11">
        <f ca="1">IFERROR(YEAR(OFFSET(BV!$H72,,(COLUMN()-69)*8)),"")</f>
        <v>2019</v>
      </c>
      <c r="BW72" s="11">
        <f ca="1">IFERROR(YEAR(OFFSET(BV!$H72,,(COLUMN()-69)*8)),"")</f>
        <v>2020</v>
      </c>
      <c r="BX72" s="11">
        <f ca="1">IFERROR(YEAR(OFFSET(BV!$H72,,(COLUMN()-69)*8)),"")</f>
        <v>2020</v>
      </c>
      <c r="BY72" s="11" t="str">
        <f ca="1">IFERROR(YEAR(OFFSET(BV!$H72,,(COLUMN()-69)*8)),"")</f>
        <v/>
      </c>
      <c r="BZ72" s="11" t="str">
        <f ca="1">IFERROR(YEAR(OFFSET(BV!$H72,,(COLUMN()-69)*8)),"")</f>
        <v/>
      </c>
    </row>
    <row r="73" spans="1:78" x14ac:dyDescent="0.25">
      <c r="A73" s="433">
        <v>48</v>
      </c>
      <c r="B73" s="298">
        <f ca="1">BV!D73</f>
        <v>2.6920919798093106</v>
      </c>
      <c r="C73" s="298">
        <f ca="1">BV!L73</f>
        <v>2.6755852842809364</v>
      </c>
      <c r="D73" s="299">
        <f ca="1">BV!T73</f>
        <v>2.3988005997001496</v>
      </c>
      <c r="E73" s="299">
        <f ca="1">BV!AB73</f>
        <v>2.3762376237623761</v>
      </c>
      <c r="F73" s="299">
        <f ca="1">BV!AJ73</f>
        <v>2.3540951446787641</v>
      </c>
      <c r="G73" s="299">
        <f ca="1">BV!AR73</f>
        <v>2.318840579710145</v>
      </c>
      <c r="H73" s="299">
        <f ca="1">BV!AZ73</f>
        <v>2.3166023166023169</v>
      </c>
      <c r="I73" s="299">
        <f ca="1">BV!BH73</f>
        <v>2.2630834512022631</v>
      </c>
      <c r="J73" s="300">
        <f ca="1">BV!BP73</f>
        <v>2.188782489740082</v>
      </c>
      <c r="K73" s="300">
        <f ca="1">BV!BX73</f>
        <v>2.0600858369098711</v>
      </c>
      <c r="L73" s="15" t="s">
        <v>102</v>
      </c>
      <c r="M73" s="261">
        <v>1.2738085503000001E-2</v>
      </c>
      <c r="N73" s="282">
        <f t="shared" ca="1" si="68"/>
        <v>8.8602896619961058</v>
      </c>
      <c r="O73" s="24" t="s">
        <v>25</v>
      </c>
      <c r="P73" s="702">
        <f t="shared" ref="P73:Y73" ca="1" si="92">IFERROR(435.001/(($AK17/P45)^1.7/$AK17),0)</f>
        <v>58.662727912018788</v>
      </c>
      <c r="Q73" s="708">
        <f t="shared" ca="1" si="92"/>
        <v>54.217823064576251</v>
      </c>
      <c r="R73" s="708">
        <f t="shared" ca="1" si="92"/>
        <v>52.888352497688551</v>
      </c>
      <c r="S73" s="708">
        <f t="shared" ca="1" si="92"/>
        <v>51.292124856394445</v>
      </c>
      <c r="T73" s="704">
        <f t="shared" ca="1" si="92"/>
        <v>49.730439105361782</v>
      </c>
      <c r="U73" s="704">
        <f t="shared" ca="1" si="92"/>
        <v>48.559984437206111</v>
      </c>
      <c r="V73" s="704">
        <f t="shared" ca="1" si="92"/>
        <v>47.916608368294511</v>
      </c>
      <c r="W73" s="716">
        <f t="shared" ca="1" si="92"/>
        <v>46.273648882641844</v>
      </c>
      <c r="X73" s="704">
        <f t="shared" ca="1" si="92"/>
        <v>45.067567378011717</v>
      </c>
      <c r="Y73" s="704">
        <f t="shared" ca="1" si="92"/>
        <v>44.363824652701965</v>
      </c>
      <c r="Z73" s="6">
        <f t="shared" ca="1" si="77"/>
        <v>498.97310115489597</v>
      </c>
      <c r="AA73" s="622">
        <v>1.5625E-2</v>
      </c>
      <c r="AB73" s="622"/>
      <c r="AC73" s="623" t="s">
        <v>433</v>
      </c>
      <c r="AD73" s="606"/>
      <c r="AE73" s="315"/>
      <c r="AF73" s="504" t="s">
        <v>414</v>
      </c>
      <c r="AG73" s="280">
        <v>8</v>
      </c>
      <c r="AH73" s="476">
        <f ca="1">COUNTIF(BV!$C$55:$C$167,"&lt;"&amp;ASB!AG73)</f>
        <v>0</v>
      </c>
      <c r="AI73" s="595" t="s">
        <v>651</v>
      </c>
      <c r="AJ73" s="596"/>
      <c r="AL73" s="629" t="str">
        <f>IF(Arb!$AJ$28=1,"Third","探花")</f>
        <v>探花</v>
      </c>
      <c r="AM73" s="629"/>
      <c r="AN73" s="433">
        <v>48</v>
      </c>
      <c r="AO73" s="552">
        <f ca="1">BV!C73</f>
        <v>17.829999999999998</v>
      </c>
      <c r="AP73" s="552">
        <f ca="1">BV!K73</f>
        <v>17.940000000000001</v>
      </c>
      <c r="AQ73" s="299">
        <f ca="1">BV!S73</f>
        <v>20.010000000000002</v>
      </c>
      <c r="AR73" s="299">
        <f ca="1">BV!AA73</f>
        <v>20.2</v>
      </c>
      <c r="AS73" s="299">
        <f ca="1">BV!AI73</f>
        <v>20.39</v>
      </c>
      <c r="AT73" s="299">
        <f ca="1">BV!AQ73</f>
        <v>20.7</v>
      </c>
      <c r="AU73" s="299">
        <f ca="1">BV!AY73</f>
        <v>20.72</v>
      </c>
      <c r="AV73" s="300">
        <f ca="1">BV!BG73</f>
        <v>21.21</v>
      </c>
      <c r="AW73" s="300">
        <f ca="1">BV!BO73</f>
        <v>21.93</v>
      </c>
      <c r="AX73" s="301">
        <f ca="1">BV!BW73</f>
        <v>23.3</v>
      </c>
      <c r="AY73" s="15" t="s">
        <v>65</v>
      </c>
      <c r="AZ73" s="258">
        <f t="shared" si="71"/>
        <v>1.8948958402865597</v>
      </c>
      <c r="BA73" s="261">
        <v>1.2738085503000001E-2</v>
      </c>
      <c r="BB73" s="56">
        <v>7.8566717989999993E-2</v>
      </c>
      <c r="BC73" s="56">
        <f t="shared" si="72"/>
        <v>0.16213080842477484</v>
      </c>
      <c r="BD73" s="13">
        <f ca="1">IF(BV!H73="","",INT(NOW()-BV!H73))</f>
        <v>369</v>
      </c>
      <c r="BE73" s="260">
        <f t="shared" si="86"/>
        <v>8.8602896619961058</v>
      </c>
      <c r="BF73" s="300">
        <f ca="1">BV!G73</f>
        <v>55.086170395319385</v>
      </c>
      <c r="BG73" s="300">
        <f ca="1">BV!O73</f>
        <v>54.51320530862445</v>
      </c>
      <c r="BH73" s="301">
        <f ca="1">BV!W73</f>
        <v>45.277226292148285</v>
      </c>
      <c r="BI73" s="301">
        <f ca="1">BV!AE73</f>
        <v>44.555624633200367</v>
      </c>
      <c r="BJ73" s="301">
        <f ca="1">BV!AM73</f>
        <v>43.852118673464176</v>
      </c>
      <c r="BK73" s="301">
        <f ca="1">BV!AU73</f>
        <v>42.741550955041482</v>
      </c>
      <c r="BL73" s="301">
        <f ca="1">BV!BC73</f>
        <v>42.671438902202667</v>
      </c>
      <c r="BM73" s="301">
        <f ca="1">BV!BK73</f>
        <v>41.00914625648246</v>
      </c>
      <c r="BN73" s="301">
        <f ca="1">BV!BS73</f>
        <v>38.746652760793758</v>
      </c>
      <c r="BO73" s="302">
        <f ca="1">BV!CA73</f>
        <v>34.953832344114915</v>
      </c>
      <c r="BP73" s="433">
        <v>48</v>
      </c>
      <c r="BQ73" s="11">
        <f ca="1">IFERROR(YEAR(OFFSET(BV!$H73,,(COLUMN()-69)*8)),"")</f>
        <v>2019</v>
      </c>
      <c r="BR73" s="11">
        <f ca="1">IFERROR(YEAR(OFFSET(BV!$H73,,(COLUMN()-69)*8)),"")</f>
        <v>2020</v>
      </c>
      <c r="BS73" s="11">
        <f ca="1">IFERROR(YEAR(OFFSET(BV!$H73,,(COLUMN()-69)*8)),"")</f>
        <v>2020</v>
      </c>
      <c r="BT73" s="11">
        <f ca="1">IFERROR(YEAR(OFFSET(BV!$H73,,(COLUMN()-69)*8)),"")</f>
        <v>2019</v>
      </c>
      <c r="BU73" s="11">
        <f ca="1">IFERROR(YEAR(OFFSET(BV!$H73,,(COLUMN()-69)*8)),"")</f>
        <v>2020</v>
      </c>
      <c r="BV73" s="11">
        <f ca="1">IFERROR(YEAR(OFFSET(BV!$H73,,(COLUMN()-69)*8)),"")</f>
        <v>2020</v>
      </c>
      <c r="BW73" s="11">
        <f ca="1">IFERROR(YEAR(OFFSET(BV!$H73,,(COLUMN()-69)*8)),"")</f>
        <v>2020</v>
      </c>
      <c r="BX73" s="11">
        <f ca="1">IFERROR(YEAR(OFFSET(BV!$H73,,(COLUMN()-69)*8)),"")</f>
        <v>2019</v>
      </c>
      <c r="BY73" s="11">
        <f ca="1">IFERROR(YEAR(OFFSET(BV!$H73,,(COLUMN()-69)*8)),"")</f>
        <v>2020</v>
      </c>
      <c r="BZ73" s="11">
        <f ca="1">IFERROR(YEAR(OFFSET(BV!$H73,,(COLUMN()-69)*8)),"")</f>
        <v>2019</v>
      </c>
    </row>
    <row r="74" spans="1:78" x14ac:dyDescent="0.25">
      <c r="A74" s="433">
        <v>49</v>
      </c>
      <c r="B74" s="299">
        <f ca="1">BV!D74</f>
        <v>2.3512476007677545</v>
      </c>
      <c r="C74" s="299">
        <f ca="1">BV!L74</f>
        <v>2.2508038585209005</v>
      </c>
      <c r="D74" s="300">
        <f ca="1">BV!T74</f>
        <v>2.1797153024911031</v>
      </c>
      <c r="E74" s="300">
        <f ca="1">BV!AB74</f>
        <v>2.1624007060900263</v>
      </c>
      <c r="F74" s="11" t="str">
        <f ca="1">BV!AJ74</f>
        <v/>
      </c>
      <c r="G74" s="11" t="str">
        <f ca="1">BV!AR74</f>
        <v/>
      </c>
      <c r="H74" s="11" t="str">
        <f ca="1">BV!AZ74</f>
        <v/>
      </c>
      <c r="I74" s="11" t="str">
        <f ca="1">BV!BH74</f>
        <v/>
      </c>
      <c r="J74" s="11" t="str">
        <f ca="1">BV!BP74</f>
        <v/>
      </c>
      <c r="K74" s="11" t="str">
        <f ca="1">BV!BX74</f>
        <v/>
      </c>
      <c r="L74" s="15" t="s">
        <v>102</v>
      </c>
      <c r="M74" s="261">
        <v>1.4563052220000001E-2</v>
      </c>
      <c r="N74" s="282">
        <f t="shared" ca="1" si="68"/>
        <v>8.2865507902917219</v>
      </c>
      <c r="O74" s="24" t="s">
        <v>26</v>
      </c>
      <c r="P74" s="702">
        <f t="shared" ref="P74:Y74" ca="1" si="93">IFERROR(435.001/(($AK18/P46)^1.7/$AK18),0)</f>
        <v>58.066522196336784</v>
      </c>
      <c r="Q74" s="708">
        <f t="shared" ca="1" si="93"/>
        <v>54.880331674395592</v>
      </c>
      <c r="R74" s="708">
        <f t="shared" ca="1" si="93"/>
        <v>53.448752314553282</v>
      </c>
      <c r="S74" s="708">
        <f t="shared" ca="1" si="93"/>
        <v>51.691077823139452</v>
      </c>
      <c r="T74" s="708">
        <f t="shared" ca="1" si="93"/>
        <v>50.639759966614669</v>
      </c>
      <c r="U74" s="704">
        <f t="shared" ca="1" si="93"/>
        <v>49.802330232878155</v>
      </c>
      <c r="V74" s="704">
        <f t="shared" ca="1" si="93"/>
        <v>48.807357813313125</v>
      </c>
      <c r="W74" s="716">
        <f t="shared" ca="1" si="93"/>
        <v>47.780859280916779</v>
      </c>
      <c r="X74" s="704">
        <f t="shared" ca="1" si="93"/>
        <v>47.156711525022132</v>
      </c>
      <c r="Y74" s="704">
        <f t="shared" ca="1" si="93"/>
        <v>45.434585144542176</v>
      </c>
      <c r="Z74" s="6">
        <f t="shared" ca="1" si="77"/>
        <v>507.70828797171208</v>
      </c>
      <c r="AA74" s="622">
        <v>4.6875E-2</v>
      </c>
      <c r="AB74" s="622"/>
      <c r="AC74" s="623" t="str">
        <f>IF(Arb!$AJ$28=1,"Str","字符处理")</f>
        <v>字符处理</v>
      </c>
      <c r="AD74" s="606"/>
      <c r="AE74" s="315"/>
      <c r="AF74" s="502" t="s">
        <v>411</v>
      </c>
      <c r="AG74" s="280">
        <v>2.5</v>
      </c>
      <c r="AH74" s="500">
        <f ca="1">COUNTIF(BV!$D$55:$D$167,"&gt;="&amp;ASB!AG74)</f>
        <v>48</v>
      </c>
      <c r="AI74" s="595" t="s">
        <v>661</v>
      </c>
      <c r="AJ74" s="596"/>
      <c r="AL74" s="634" t="str">
        <f>IF(Arb!$AJ$28=1,"Runner-up","榜眼")</f>
        <v>榜眼</v>
      </c>
      <c r="AM74" s="634"/>
      <c r="AN74" s="433">
        <v>49</v>
      </c>
      <c r="AO74" s="299">
        <f ca="1">BV!C74</f>
        <v>20.84</v>
      </c>
      <c r="AP74" s="300">
        <f ca="1">BV!K74</f>
        <v>21.77</v>
      </c>
      <c r="AQ74" s="301">
        <f ca="1">BV!S74</f>
        <v>22.48</v>
      </c>
      <c r="AR74" s="301">
        <f ca="1">BV!AA74</f>
        <v>22.66</v>
      </c>
      <c r="AS74" s="11" t="str">
        <f ca="1">BV!AI74</f>
        <v/>
      </c>
      <c r="AT74" s="11" t="str">
        <f ca="1">BV!AQ74</f>
        <v/>
      </c>
      <c r="AU74" s="11" t="str">
        <f ca="1">BV!AY74</f>
        <v/>
      </c>
      <c r="AV74" s="11" t="str">
        <f ca="1">BV!BG74</f>
        <v/>
      </c>
      <c r="AW74" s="11" t="str">
        <f ca="1">BV!BO74</f>
        <v/>
      </c>
      <c r="AX74" s="11" t="str">
        <f ca="1">BV!BW74</f>
        <v/>
      </c>
      <c r="AY74" s="15" t="s">
        <v>65</v>
      </c>
      <c r="AZ74" s="258">
        <f t="shared" si="71"/>
        <v>1.8367475931971693</v>
      </c>
      <c r="BA74" s="261">
        <v>1.4563052220000001E-2</v>
      </c>
      <c r="BB74" s="56">
        <v>7.8566717989999993E-2</v>
      </c>
      <c r="BC74" s="56">
        <f t="shared" si="72"/>
        <v>0.18535905014962686</v>
      </c>
      <c r="BD74" s="13">
        <f ca="1">IF(BV!H74="","",INT(NOW()-BV!H74))</f>
        <v>63</v>
      </c>
      <c r="BE74" s="260">
        <f t="shared" si="86"/>
        <v>8.2865507902917219</v>
      </c>
      <c r="BF74" s="301">
        <f ca="1">BV!G74</f>
        <v>43.134879817508505</v>
      </c>
      <c r="BG74" s="301">
        <f ca="1">BV!O74</f>
        <v>40.049341327168158</v>
      </c>
      <c r="BH74" s="301">
        <f ca="1">BV!W74</f>
        <v>37.922851505589136</v>
      </c>
      <c r="BI74" s="302">
        <f ca="1">BV!AE74</f>
        <v>37.412167304708163</v>
      </c>
      <c r="BJ74" s="11" t="str">
        <f ca="1">BV!AM74</f>
        <v/>
      </c>
      <c r="BK74" s="11" t="str">
        <f ca="1">BV!AU74</f>
        <v/>
      </c>
      <c r="BL74" s="11" t="str">
        <f ca="1">BV!BC74</f>
        <v/>
      </c>
      <c r="BM74" s="11" t="str">
        <f ca="1">BV!BK74</f>
        <v/>
      </c>
      <c r="BN74" s="11" t="str">
        <f ca="1">BV!BS74</f>
        <v/>
      </c>
      <c r="BO74" s="11" t="str">
        <f ca="1">BV!CA74</f>
        <v/>
      </c>
      <c r="BP74" s="433">
        <v>49</v>
      </c>
      <c r="BQ74" s="11">
        <f ca="1">IFERROR(YEAR(OFFSET(BV!$H74,,(COLUMN()-69)*8)),"")</f>
        <v>2020</v>
      </c>
      <c r="BR74" s="11">
        <f ca="1">IFERROR(YEAR(OFFSET(BV!$H74,,(COLUMN()-69)*8)),"")</f>
        <v>2020</v>
      </c>
      <c r="BS74" s="11">
        <f ca="1">IFERROR(YEAR(OFFSET(BV!$H74,,(COLUMN()-69)*8)),"")</f>
        <v>2019</v>
      </c>
      <c r="BT74" s="11">
        <f ca="1">IFERROR(YEAR(OFFSET(BV!$H74,,(COLUMN()-69)*8)),"")</f>
        <v>2020</v>
      </c>
      <c r="BU74" s="11" t="str">
        <f ca="1">IFERROR(YEAR(OFFSET(BV!$H74,,(COLUMN()-69)*8)),"")</f>
        <v/>
      </c>
      <c r="BV74" s="11" t="str">
        <f ca="1">IFERROR(YEAR(OFFSET(BV!$H74,,(COLUMN()-69)*8)),"")</f>
        <v/>
      </c>
      <c r="BW74" s="11" t="str">
        <f ca="1">IFERROR(YEAR(OFFSET(BV!$H74,,(COLUMN()-69)*8)),"")</f>
        <v/>
      </c>
      <c r="BX74" s="11" t="str">
        <f ca="1">IFERROR(YEAR(OFFSET(BV!$H74,,(COLUMN()-69)*8)),"")</f>
        <v/>
      </c>
      <c r="BY74" s="11" t="str">
        <f ca="1">IFERROR(YEAR(OFFSET(BV!$H74,,(COLUMN()-69)*8)),"")</f>
        <v/>
      </c>
      <c r="BZ74" s="11" t="str">
        <f ca="1">IFERROR(YEAR(OFFSET(BV!$H74,,(COLUMN()-69)*8)),"")</f>
        <v/>
      </c>
    </row>
    <row r="75" spans="1:78" x14ac:dyDescent="0.25">
      <c r="A75" s="433">
        <v>50</v>
      </c>
      <c r="B75" s="299">
        <f ca="1">BV!D75</f>
        <v>2.4026910139356081</v>
      </c>
      <c r="C75" s="299">
        <f ca="1">BV!L75</f>
        <v>2.3832221163012393</v>
      </c>
      <c r="D75" s="299">
        <f ca="1">BV!T75</f>
        <v>2.376425855513308</v>
      </c>
      <c r="E75" s="299">
        <f ca="1">BV!AB75</f>
        <v>2.3562676720075402</v>
      </c>
      <c r="F75" s="299">
        <f ca="1">BV!AJ75</f>
        <v>2.3299161230195713</v>
      </c>
      <c r="G75" s="299">
        <f ca="1">BV!AR75</f>
        <v>2.3084025854108958</v>
      </c>
      <c r="H75" s="300">
        <f ca="1">BV!AZ75</f>
        <v>2.2381378692927485</v>
      </c>
      <c r="I75" s="300">
        <f ca="1">BV!BH75</f>
        <v>2.2123893805309733</v>
      </c>
      <c r="J75" s="301">
        <f ca="1">BV!BP75</f>
        <v>1.941747572815534</v>
      </c>
      <c r="K75" s="11" t="str">
        <f ca="1">BV!BX75</f>
        <v/>
      </c>
      <c r="L75" s="15" t="s">
        <v>102</v>
      </c>
      <c r="M75" s="261">
        <v>1.6468015432999999E-2</v>
      </c>
      <c r="N75" s="282">
        <f t="shared" ca="1" si="68"/>
        <v>7.7925458691486718</v>
      </c>
      <c r="O75" s="24" t="s">
        <v>27</v>
      </c>
      <c r="P75" s="702">
        <f t="shared" ref="P75:Y75" ca="1" si="94">IFERROR(435.001/(($AK19/P47)^1.7/$AK19),0)</f>
        <v>59.103408069415252</v>
      </c>
      <c r="Q75" s="708">
        <f t="shared" ca="1" si="94"/>
        <v>56.151009908116968</v>
      </c>
      <c r="R75" s="708">
        <f t="shared" ca="1" si="94"/>
        <v>54.854851213999225</v>
      </c>
      <c r="S75" s="708">
        <f t="shared" ca="1" si="94"/>
        <v>53.506289327607952</v>
      </c>
      <c r="T75" s="708">
        <f t="shared" ca="1" si="94"/>
        <v>51.959685537106481</v>
      </c>
      <c r="U75" s="708">
        <f t="shared" ca="1" si="94"/>
        <v>50.683728816264328</v>
      </c>
      <c r="V75" s="704">
        <f t="shared" ca="1" si="94"/>
        <v>49.808803492516262</v>
      </c>
      <c r="W75" s="716">
        <f t="shared" ca="1" si="94"/>
        <v>49.14256682784309</v>
      </c>
      <c r="X75" s="704">
        <f t="shared" ca="1" si="94"/>
        <v>48.463925848674201</v>
      </c>
      <c r="Y75" s="704">
        <f t="shared" ca="1" si="94"/>
        <v>47.801350421536903</v>
      </c>
      <c r="Z75" s="6">
        <f t="shared" ca="1" si="77"/>
        <v>521.47561946308065</v>
      </c>
      <c r="AA75" s="622">
        <v>9.375E-2</v>
      </c>
      <c r="AB75" s="622"/>
      <c r="AC75" s="623" t="str">
        <f>IF(Arb!$AJ$28=1,"PasteStr","粘贴字符")</f>
        <v>粘贴字符</v>
      </c>
      <c r="AD75" s="606"/>
      <c r="AE75" s="315"/>
      <c r="AF75" s="502" t="s">
        <v>411</v>
      </c>
      <c r="AG75" s="280">
        <v>3</v>
      </c>
      <c r="AH75" s="500">
        <f ca="1">COUNTIF(BV!$D$55:$D$167,"&gt;="&amp;ASB!AG75)</f>
        <v>14</v>
      </c>
      <c r="AI75" s="595" t="s">
        <v>662</v>
      </c>
      <c r="AJ75" s="596"/>
      <c r="AL75" s="636" t="str">
        <f>IF(Arb!$AJ$28=1,"Champion","状元")</f>
        <v>状元</v>
      </c>
      <c r="AM75" s="636"/>
      <c r="AN75" s="433">
        <v>50</v>
      </c>
      <c r="AO75" s="299">
        <f ca="1">BV!C75</f>
        <v>20.81</v>
      </c>
      <c r="AP75" s="299">
        <f ca="1">BV!K75</f>
        <v>20.98</v>
      </c>
      <c r="AQ75" s="300">
        <f ca="1">BV!S75</f>
        <v>21.04</v>
      </c>
      <c r="AR75" s="300">
        <f ca="1">BV!AA75</f>
        <v>21.22</v>
      </c>
      <c r="AS75" s="300">
        <f ca="1">BV!AI75</f>
        <v>21.46</v>
      </c>
      <c r="AT75" s="300">
        <f ca="1">BV!AQ75</f>
        <v>21.66</v>
      </c>
      <c r="AU75" s="301">
        <f ca="1">BV!AY75</f>
        <v>22.34</v>
      </c>
      <c r="AV75" s="301">
        <f ca="1">BV!BG75</f>
        <v>22.6</v>
      </c>
      <c r="AW75" s="302">
        <f ca="1">BV!BO75</f>
        <v>25.75</v>
      </c>
      <c r="AX75" s="11" t="str">
        <f ca="1">BV!BW75</f>
        <v/>
      </c>
      <c r="AY75" s="15" t="s">
        <v>65</v>
      </c>
      <c r="AZ75" s="258">
        <f t="shared" si="71"/>
        <v>1.7833587346753046</v>
      </c>
      <c r="BA75" s="261">
        <v>1.6468015432999999E-2</v>
      </c>
      <c r="BB75" s="268">
        <v>0.24806178544499999</v>
      </c>
      <c r="BC75" s="268">
        <f t="shared" si="72"/>
        <v>6.6386748783001368E-2</v>
      </c>
      <c r="BD75" s="269">
        <f ca="1">IF(BV!H75="","",INT(NOW()-BV!H75))</f>
        <v>401</v>
      </c>
      <c r="BE75" s="260">
        <f t="shared" si="86"/>
        <v>7.7925458691486718</v>
      </c>
      <c r="BF75" s="301">
        <f ca="1">BV!G75</f>
        <v>44.123107890399751</v>
      </c>
      <c r="BG75" s="301">
        <f ca="1">BV!O75</f>
        <v>43.5170361608441</v>
      </c>
      <c r="BH75" s="301">
        <f ca="1">BV!W75</f>
        <v>43.306280166318608</v>
      </c>
      <c r="BI75" s="301">
        <f ca="1">BV!AE75</f>
        <v>42.683643725925016</v>
      </c>
      <c r="BJ75" s="301">
        <f ca="1">BV!AM75</f>
        <v>41.875317370281813</v>
      </c>
      <c r="BK75" s="301">
        <f ca="1">BV!AU75</f>
        <v>41.220121031022025</v>
      </c>
      <c r="BL75" s="301">
        <f ca="1">BV!BC75</f>
        <v>39.10994854673946</v>
      </c>
      <c r="BM75" s="301">
        <f ca="1">BV!BK75</f>
        <v>38.348138300965203</v>
      </c>
      <c r="BN75" s="302">
        <f ca="1">BV!BS75</f>
        <v>30.719018449830187</v>
      </c>
      <c r="BO75" s="11" t="str">
        <f ca="1">BV!CA75</f>
        <v/>
      </c>
      <c r="BP75" s="433">
        <v>50</v>
      </c>
      <c r="BQ75" s="11">
        <f ca="1">IFERROR(YEAR(OFFSET(BV!$H75,,(COLUMN()-69)*8)),"")</f>
        <v>2019</v>
      </c>
      <c r="BR75" s="11">
        <f ca="1">IFERROR(YEAR(OFFSET(BV!$H75,,(COLUMN()-69)*8)),"")</f>
        <v>2019</v>
      </c>
      <c r="BS75" s="11">
        <f ca="1">IFERROR(YEAR(OFFSET(BV!$H75,,(COLUMN()-69)*8)),"")</f>
        <v>2020</v>
      </c>
      <c r="BT75" s="11">
        <f ca="1">IFERROR(YEAR(OFFSET(BV!$H75,,(COLUMN()-69)*8)),"")</f>
        <v>2020</v>
      </c>
      <c r="BU75" s="11">
        <f ca="1">IFERROR(YEAR(OFFSET(BV!$H75,,(COLUMN()-69)*8)),"")</f>
        <v>2020</v>
      </c>
      <c r="BV75" s="11">
        <f ca="1">IFERROR(YEAR(OFFSET(BV!$H75,,(COLUMN()-69)*8)),"")</f>
        <v>2019</v>
      </c>
      <c r="BW75" s="11">
        <f ca="1">IFERROR(YEAR(OFFSET(BV!$H75,,(COLUMN()-69)*8)),"")</f>
        <v>2019</v>
      </c>
      <c r="BX75" s="11">
        <f ca="1">IFERROR(YEAR(OFFSET(BV!$H75,,(COLUMN()-69)*8)),"")</f>
        <v>2020</v>
      </c>
      <c r="BY75" s="11">
        <f ca="1">IFERROR(YEAR(OFFSET(BV!$H75,,(COLUMN()-69)*8)),"")</f>
        <v>2019</v>
      </c>
      <c r="BZ75" s="11" t="str">
        <f ca="1">IFERROR(YEAR(OFFSET(BV!$H75,,(COLUMN()-69)*8)),"")</f>
        <v/>
      </c>
    </row>
    <row r="76" spans="1:78" x14ac:dyDescent="0.25">
      <c r="A76" s="433">
        <v>51</v>
      </c>
      <c r="B76" s="299">
        <f ca="1">BV!D76</f>
        <v>2.4781341107871722</v>
      </c>
      <c r="C76" s="299">
        <f ca="1">BV!L76</f>
        <v>2.4011299435028248</v>
      </c>
      <c r="D76" s="299">
        <f ca="1">BV!T76</f>
        <v>2.3988711194731889</v>
      </c>
      <c r="E76" s="299">
        <f ca="1">BV!AB76</f>
        <v>2.3731968357375526</v>
      </c>
      <c r="F76" s="299">
        <f ca="1">BV!AJ76</f>
        <v>2.3567467652495377</v>
      </c>
      <c r="G76" s="299">
        <f ca="1">BV!AR76</f>
        <v>2.3097826086956523</v>
      </c>
      <c r="H76" s="300">
        <f ca="1">BV!AZ76</f>
        <v>2.2496691662990735</v>
      </c>
      <c r="I76" s="300">
        <f ca="1">BV!BH76</f>
        <v>2.2427440633245386</v>
      </c>
      <c r="J76" s="300">
        <f ca="1">BV!BP76</f>
        <v>2.1992238033635187</v>
      </c>
      <c r="K76" s="300">
        <f ca="1">BV!BX76</f>
        <v>2.1813515825491874</v>
      </c>
      <c r="L76" s="15" t="s">
        <v>102</v>
      </c>
      <c r="M76" s="261">
        <v>1.8425083201E-2</v>
      </c>
      <c r="N76" s="282">
        <f t="shared" ca="1" si="68"/>
        <v>7.3670780532536071</v>
      </c>
      <c r="O76" s="24" t="s">
        <v>28</v>
      </c>
      <c r="P76" s="702">
        <f t="shared" ref="P76:Y76" ca="1" si="95">IFERROR(435.001/(($AK20/P48)^1.7/$AK20),0)</f>
        <v>59.115661726383429</v>
      </c>
      <c r="Q76" s="702">
        <f t="shared" ca="1" si="95"/>
        <v>56.624556070723365</v>
      </c>
      <c r="R76" s="708">
        <f t="shared" ca="1" si="95"/>
        <v>55.099198264514271</v>
      </c>
      <c r="S76" s="708">
        <f t="shared" ca="1" si="95"/>
        <v>52.910087657766695</v>
      </c>
      <c r="T76" s="708">
        <f t="shared" ca="1" si="95"/>
        <v>51.51264482901982</v>
      </c>
      <c r="U76" s="708">
        <f t="shared" ca="1" si="95"/>
        <v>50.48783596487138</v>
      </c>
      <c r="V76" s="704">
        <f t="shared" ca="1" si="95"/>
        <v>49.384884084609354</v>
      </c>
      <c r="W76" s="716">
        <f t="shared" ca="1" si="95"/>
        <v>48.968241704666227</v>
      </c>
      <c r="X76" s="704">
        <f t="shared" ca="1" si="95"/>
        <v>47.096071024708273</v>
      </c>
      <c r="Y76" s="704">
        <f t="shared" ca="1" si="95"/>
        <v>39.515608301047351</v>
      </c>
      <c r="Z76" s="6">
        <f t="shared" ca="1" si="77"/>
        <v>510.71478962831014</v>
      </c>
      <c r="AA76" s="622">
        <v>3.125E-2</v>
      </c>
      <c r="AB76" s="622"/>
      <c r="AC76" s="623" t="str">
        <f>IF(Arb!$AJ$28=1,"Index","基础参数")</f>
        <v>基础参数</v>
      </c>
      <c r="AD76" s="606"/>
      <c r="AE76" s="315"/>
      <c r="AF76" s="502" t="s">
        <v>411</v>
      </c>
      <c r="AG76" s="280">
        <v>3.5</v>
      </c>
      <c r="AH76" s="500">
        <f ca="1">COUNTIF(BV!$D$55:$D$167,"&gt;="&amp;ASB!AG76)</f>
        <v>0</v>
      </c>
      <c r="AI76" s="595" t="s">
        <v>651</v>
      </c>
      <c r="AJ76" s="596"/>
      <c r="AL76" s="639" t="str">
        <f>IF(Arb!$AJ$28=1,"Small God","小雷神")</f>
        <v>小雷神</v>
      </c>
      <c r="AM76" s="639"/>
      <c r="AN76" s="433">
        <v>51</v>
      </c>
      <c r="AO76" s="299">
        <f ca="1">BV!C76</f>
        <v>20.58</v>
      </c>
      <c r="AP76" s="300">
        <f ca="1">BV!K76</f>
        <v>21.24</v>
      </c>
      <c r="AQ76" s="300">
        <f ca="1">BV!S76</f>
        <v>21.26</v>
      </c>
      <c r="AR76" s="300">
        <f ca="1">BV!AA76</f>
        <v>21.49</v>
      </c>
      <c r="AS76" s="300">
        <f ca="1">BV!AI76</f>
        <v>21.64</v>
      </c>
      <c r="AT76" s="301">
        <f ca="1">BV!AQ76</f>
        <v>22.08</v>
      </c>
      <c r="AU76" s="301">
        <f ca="1">BV!AY76</f>
        <v>22.67</v>
      </c>
      <c r="AV76" s="301">
        <f ca="1">BV!BG76</f>
        <v>22.74</v>
      </c>
      <c r="AW76" s="301">
        <f ca="1">BV!BO76</f>
        <v>23.19</v>
      </c>
      <c r="AX76" s="301">
        <f ca="1">BV!BW76</f>
        <v>23.38</v>
      </c>
      <c r="AY76" s="15" t="s">
        <v>65</v>
      </c>
      <c r="AZ76" s="258">
        <f t="shared" si="71"/>
        <v>1.7345905423479555</v>
      </c>
      <c r="BA76" s="261">
        <v>1.8425083201E-2</v>
      </c>
      <c r="BB76" s="268">
        <v>0.24806178544499999</v>
      </c>
      <c r="BC76" s="268">
        <f t="shared" si="72"/>
        <v>7.4276185539611017E-2</v>
      </c>
      <c r="BD76" s="269">
        <f ca="1">IF(BV!H76="","",INT(NOW()-BV!H76))</f>
        <v>416</v>
      </c>
      <c r="BE76" s="260">
        <f t="shared" si="86"/>
        <v>7.3670780532536071</v>
      </c>
      <c r="BF76" s="301">
        <f ca="1">BV!G76</f>
        <v>45.863973048152893</v>
      </c>
      <c r="BG76" s="301">
        <f ca="1">BV!O76</f>
        <v>43.467647067913234</v>
      </c>
      <c r="BH76" s="301">
        <f ca="1">BV!W76</f>
        <v>43.398154436405065</v>
      </c>
      <c r="BI76" s="301">
        <f ca="1">BV!AE76</f>
        <v>42.611507313843724</v>
      </c>
      <c r="BJ76" s="301">
        <f ca="1">BV!AM76</f>
        <v>42.110603681156036</v>
      </c>
      <c r="BK76" s="301">
        <f ca="1">BV!AU76</f>
        <v>40.694000481003165</v>
      </c>
      <c r="BL76" s="301">
        <f ca="1">BV!BC76</f>
        <v>38.909998948236563</v>
      </c>
      <c r="BM76" s="301">
        <f ca="1">BV!BK76</f>
        <v>38.706599665966614</v>
      </c>
      <c r="BN76" s="302">
        <f ca="1">BV!BS76</f>
        <v>37.438421595998975</v>
      </c>
      <c r="BO76" s="302">
        <f ca="1">BV!CA76</f>
        <v>36.922673648987491</v>
      </c>
      <c r="BP76" s="433">
        <v>51</v>
      </c>
      <c r="BQ76" s="11">
        <f ca="1">IFERROR(YEAR(OFFSET(BV!$H76,,(COLUMN()-69)*8)),"")</f>
        <v>2019</v>
      </c>
      <c r="BR76" s="11">
        <f ca="1">IFERROR(YEAR(OFFSET(BV!$H76,,(COLUMN()-69)*8)),"")</f>
        <v>2020</v>
      </c>
      <c r="BS76" s="11">
        <f ca="1">IFERROR(YEAR(OFFSET(BV!$H76,,(COLUMN()-69)*8)),"")</f>
        <v>2019</v>
      </c>
      <c r="BT76" s="11">
        <f ca="1">IFERROR(YEAR(OFFSET(BV!$H76,,(COLUMN()-69)*8)),"")</f>
        <v>2019</v>
      </c>
      <c r="BU76" s="11">
        <f ca="1">IFERROR(YEAR(OFFSET(BV!$H76,,(COLUMN()-69)*8)),"")</f>
        <v>2020</v>
      </c>
      <c r="BV76" s="11">
        <f ca="1">IFERROR(YEAR(OFFSET(BV!$H76,,(COLUMN()-69)*8)),"")</f>
        <v>2020</v>
      </c>
      <c r="BW76" s="11">
        <f ca="1">IFERROR(YEAR(OFFSET(BV!$H76,,(COLUMN()-69)*8)),"")</f>
        <v>2020</v>
      </c>
      <c r="BX76" s="11">
        <f ca="1">IFERROR(YEAR(OFFSET(BV!$H76,,(COLUMN()-69)*8)),"")</f>
        <v>2019</v>
      </c>
      <c r="BY76" s="11">
        <f ca="1">IFERROR(YEAR(OFFSET(BV!$H76,,(COLUMN()-69)*8)),"")</f>
        <v>2019</v>
      </c>
      <c r="BZ76" s="11">
        <f ca="1">IFERROR(YEAR(OFFSET(BV!$H76,,(COLUMN()-69)*8)),"")</f>
        <v>2019</v>
      </c>
    </row>
    <row r="77" spans="1:78" x14ac:dyDescent="0.25">
      <c r="A77" s="433">
        <v>52</v>
      </c>
      <c r="B77" s="297">
        <f ca="1">BV!D77</f>
        <v>2.869757174392936</v>
      </c>
      <c r="C77" s="298">
        <f ca="1">BV!L77</f>
        <v>2.6544155181214908</v>
      </c>
      <c r="D77" s="298">
        <f ca="1">BV!T77</f>
        <v>2.5909317389138016</v>
      </c>
      <c r="E77" s="299">
        <f ca="1">BV!AB77</f>
        <v>2.4333177351427233</v>
      </c>
      <c r="F77" s="299">
        <f ca="1">BV!AJ77</f>
        <v>2.2837066315327186</v>
      </c>
      <c r="G77" s="299">
        <f ca="1">BV!AR77</f>
        <v>2.2817025010969725</v>
      </c>
      <c r="H77" s="299">
        <f ca="1">BV!AZ77</f>
        <v>2.2501081782778019</v>
      </c>
      <c r="I77" s="300">
        <f ca="1">BV!BH77</f>
        <v>2.1950189953566905</v>
      </c>
      <c r="J77" s="300">
        <f ca="1">BV!BP77</f>
        <v>2.1821233738984476</v>
      </c>
      <c r="K77" s="300">
        <f ca="1">BV!BX77</f>
        <v>2.1146807645384302</v>
      </c>
      <c r="L77" s="15" t="s">
        <v>102</v>
      </c>
      <c r="M77" s="261">
        <v>2.0403069430999999E-2</v>
      </c>
      <c r="N77" s="282">
        <f t="shared" ca="1" si="68"/>
        <v>7.0008737561526662</v>
      </c>
      <c r="O77" s="24" t="s">
        <v>29</v>
      </c>
      <c r="P77" s="702">
        <f t="shared" ref="P77:Y77" ca="1" si="96">IFERROR(435.001/(($AK21/P49)^1.7/$AK21),0)</f>
        <v>58.38571315341143</v>
      </c>
      <c r="Q77" s="708">
        <f t="shared" ca="1" si="96"/>
        <v>54.579395247029815</v>
      </c>
      <c r="R77" s="708">
        <f t="shared" ca="1" si="96"/>
        <v>51.530019609512784</v>
      </c>
      <c r="S77" s="708">
        <f t="shared" ca="1" si="96"/>
        <v>50.013002716611055</v>
      </c>
      <c r="T77" s="704">
        <f t="shared" ca="1" si="96"/>
        <v>47.29940639492137</v>
      </c>
      <c r="U77" s="704">
        <f t="shared" ca="1" si="96"/>
        <v>45.10237467651708</v>
      </c>
      <c r="V77" s="705">
        <f t="shared" ca="1" si="96"/>
        <v>32.300691437712196</v>
      </c>
      <c r="W77" s="706">
        <f t="shared" ca="1" si="96"/>
        <v>30.135205733771549</v>
      </c>
      <c r="X77" s="707">
        <f t="shared" ca="1" si="96"/>
        <v>15.053561772872589</v>
      </c>
      <c r="Y77" s="717">
        <f t="shared" ca="1" si="96"/>
        <v>11.214555392294214</v>
      </c>
      <c r="Z77" s="6">
        <f t="shared" ca="1" si="77"/>
        <v>395.61392613465404</v>
      </c>
      <c r="AA77" s="622">
        <v>4.6875E-2</v>
      </c>
      <c r="AB77" s="622"/>
      <c r="AC77" s="614" t="s">
        <v>512</v>
      </c>
      <c r="AD77" s="616"/>
      <c r="AE77" s="315"/>
      <c r="AF77" s="502" t="s">
        <v>411</v>
      </c>
      <c r="AG77" s="280">
        <v>4</v>
      </c>
      <c r="AH77" s="500">
        <f ca="1">COUNTIF(BV!$D$55:$D$167,"&gt;="&amp;ASB!AG77)</f>
        <v>0</v>
      </c>
      <c r="AI77" s="595" t="s">
        <v>651</v>
      </c>
      <c r="AJ77" s="596"/>
      <c r="AL77" s="630" t="str">
        <f>IF(Arb!$AJ$28=1,"Big God","大雷神")</f>
        <v>大雷神</v>
      </c>
      <c r="AM77" s="630"/>
      <c r="AN77" s="433">
        <v>52</v>
      </c>
      <c r="AO77" s="297">
        <f ca="1">BV!C77</f>
        <v>18.12</v>
      </c>
      <c r="AP77" s="298">
        <f ca="1">BV!K77</f>
        <v>19.59</v>
      </c>
      <c r="AQ77" s="299">
        <f ca="1">BV!S77</f>
        <v>20.07</v>
      </c>
      <c r="AR77" s="300">
        <f ca="1">BV!AA77</f>
        <v>21.37</v>
      </c>
      <c r="AS77" s="301">
        <f ca="1">BV!AI77</f>
        <v>22.77</v>
      </c>
      <c r="AT77" s="301">
        <f ca="1">BV!AQ77</f>
        <v>22.79</v>
      </c>
      <c r="AU77" s="301">
        <f ca="1">BV!AY77</f>
        <v>23.11</v>
      </c>
      <c r="AV77" s="301">
        <f ca="1">BV!BG77</f>
        <v>23.69</v>
      </c>
      <c r="AW77" s="301">
        <f ca="1">BV!BO77</f>
        <v>23.83</v>
      </c>
      <c r="AX77" s="302">
        <f ca="1">BV!BW77</f>
        <v>24.59</v>
      </c>
      <c r="AY77" s="15" t="s">
        <v>65</v>
      </c>
      <c r="AZ77" s="258">
        <f t="shared" si="71"/>
        <v>1.6903044925412563</v>
      </c>
      <c r="BA77" s="261">
        <v>2.0403069430999999E-2</v>
      </c>
      <c r="BB77" s="268">
        <v>0.24806178544499999</v>
      </c>
      <c r="BC77" s="268">
        <f t="shared" si="72"/>
        <v>8.2249949924365712E-2</v>
      </c>
      <c r="BD77" s="269">
        <f ca="1">IF(BV!H77="","",INT(NOW()-BV!H77))</f>
        <v>369</v>
      </c>
      <c r="BE77" s="260">
        <f t="shared" si="86"/>
        <v>7.0008737561526662</v>
      </c>
      <c r="BF77" s="299">
        <f ca="1">BV!G77</f>
        <v>58.062140471532395</v>
      </c>
      <c r="BG77" s="300">
        <f ca="1">BV!O77</f>
        <v>50.85146036612251</v>
      </c>
      <c r="BH77" s="301">
        <f ca="1">BV!W77</f>
        <v>48.801305216047865</v>
      </c>
      <c r="BI77" s="301">
        <f ca="1">BV!AE77</f>
        <v>43.86259109083116</v>
      </c>
      <c r="BJ77" s="301">
        <f ca="1">BV!AM77</f>
        <v>39.377198849260516</v>
      </c>
      <c r="BK77" s="301">
        <f ca="1">BV!AU77</f>
        <v>39.318470744753014</v>
      </c>
      <c r="BL77" s="301">
        <f ca="1">BV!BC77</f>
        <v>38.397421704182868</v>
      </c>
      <c r="BM77" s="302">
        <f ca="1">BV!BK77</f>
        <v>36.813013287773828</v>
      </c>
      <c r="BN77" s="302">
        <f ca="1">BV!BS77</f>
        <v>36.446103053177538</v>
      </c>
      <c r="BO77" s="302">
        <f ca="1">BV!CA77</f>
        <v>34.551942790910701</v>
      </c>
      <c r="BP77" s="433">
        <v>52</v>
      </c>
      <c r="BQ77" s="11">
        <f ca="1">IFERROR(YEAR(OFFSET(BV!$H77,,(COLUMN()-69)*8)),"")</f>
        <v>2019</v>
      </c>
      <c r="BR77" s="11">
        <f ca="1">IFERROR(YEAR(OFFSET(BV!$H77,,(COLUMN()-69)*8)),"")</f>
        <v>2020</v>
      </c>
      <c r="BS77" s="11">
        <f ca="1">IFERROR(YEAR(OFFSET(BV!$H77,,(COLUMN()-69)*8)),"")</f>
        <v>2019</v>
      </c>
      <c r="BT77" s="11">
        <f ca="1">IFERROR(YEAR(OFFSET(BV!$H77,,(COLUMN()-69)*8)),"")</f>
        <v>2020</v>
      </c>
      <c r="BU77" s="11">
        <f ca="1">IFERROR(YEAR(OFFSET(BV!$H77,,(COLUMN()-69)*8)),"")</f>
        <v>2020</v>
      </c>
      <c r="BV77" s="11">
        <f ca="1">IFERROR(YEAR(OFFSET(BV!$H77,,(COLUMN()-69)*8)),"")</f>
        <v>2019</v>
      </c>
      <c r="BW77" s="11">
        <f ca="1">IFERROR(YEAR(OFFSET(BV!$H77,,(COLUMN()-69)*8)),"")</f>
        <v>2020</v>
      </c>
      <c r="BX77" s="11">
        <f ca="1">IFERROR(YEAR(OFFSET(BV!$H77,,(COLUMN()-69)*8)),"")</f>
        <v>2019</v>
      </c>
      <c r="BY77" s="11">
        <f ca="1">IFERROR(YEAR(OFFSET(BV!$H77,,(COLUMN()-69)*8)),"")</f>
        <v>2019</v>
      </c>
      <c r="BZ77" s="11">
        <f ca="1">IFERROR(YEAR(OFFSET(BV!$H77,,(COLUMN()-69)*8)),"")</f>
        <v>2019</v>
      </c>
    </row>
    <row r="78" spans="1:78" x14ac:dyDescent="0.25">
      <c r="A78" s="433">
        <v>53</v>
      </c>
      <c r="B78" s="298">
        <f ca="1">BV!D78</f>
        <v>2.560386473429952</v>
      </c>
      <c r="C78" s="298">
        <f ca="1">BV!L78</f>
        <v>2.5130393551446182</v>
      </c>
      <c r="D78" s="298">
        <f ca="1">BV!T78</f>
        <v>2.5130393551446182</v>
      </c>
      <c r="E78" s="299">
        <f ca="1">BV!AB78</f>
        <v>2.4537037037037037</v>
      </c>
      <c r="F78" s="299">
        <f ca="1">BV!AJ78</f>
        <v>2.3225241016652061</v>
      </c>
      <c r="G78" s="299">
        <f ca="1">BV!AR78</f>
        <v>2.3123909249563699</v>
      </c>
      <c r="H78" s="300">
        <f ca="1">BV!AZ78</f>
        <v>2.2486211285532458</v>
      </c>
      <c r="I78" s="300">
        <f ca="1">BV!BH78</f>
        <v>2.2467147096227214</v>
      </c>
      <c r="J78" s="300">
        <f ca="1">BV!BP78</f>
        <v>2.1606196494088872</v>
      </c>
      <c r="K78" s="300">
        <f ca="1">BV!BX78</f>
        <v>2.1571021571021571</v>
      </c>
      <c r="L78" s="15" t="s">
        <v>102</v>
      </c>
      <c r="M78" s="261">
        <v>2.2368657698000002E-2</v>
      </c>
      <c r="N78" s="282">
        <f t="shared" ca="1" si="68"/>
        <v>6.6862103911516879</v>
      </c>
      <c r="O78" s="24" t="s">
        <v>30</v>
      </c>
      <c r="P78" s="708">
        <f t="shared" ref="P78:Y78" ca="1" si="97">IFERROR(435.001/(($AK22/P50)^1.7/$AK22),0)</f>
        <v>54.183214186624447</v>
      </c>
      <c r="Q78" s="704">
        <f t="shared" ca="1" si="97"/>
        <v>49.524022805097779</v>
      </c>
      <c r="R78" s="705">
        <f t="shared" ca="1" si="97"/>
        <v>36.776515634759669</v>
      </c>
      <c r="S78" s="705">
        <f t="shared" ca="1" si="97"/>
        <v>27.960594500504726</v>
      </c>
      <c r="T78" s="707">
        <f t="shared" ca="1" si="97"/>
        <v>22.969351226945307</v>
      </c>
      <c r="U78" s="717">
        <f t="shared" ca="1" si="97"/>
        <v>7.8405991867737406</v>
      </c>
      <c r="V78" s="717">
        <f t="shared" ca="1" si="97"/>
        <v>3.3261581442445407</v>
      </c>
      <c r="W78" s="718">
        <f t="shared" ca="1" si="97"/>
        <v>1.3257627423604914</v>
      </c>
      <c r="X78" s="717">
        <f t="shared" ca="1" si="97"/>
        <v>1.3215980128236098</v>
      </c>
      <c r="Y78" s="717">
        <f t="shared" ca="1" si="97"/>
        <v>1.2445995279014472</v>
      </c>
      <c r="Z78" s="6">
        <f t="shared" ca="1" si="77"/>
        <v>206.47241596803576</v>
      </c>
      <c r="AA78" s="622">
        <v>0.765625</v>
      </c>
      <c r="AB78" s="622"/>
      <c r="AC78" s="623" t="s">
        <v>290</v>
      </c>
      <c r="AD78" s="606"/>
      <c r="AE78" s="315"/>
      <c r="AF78" s="502" t="s">
        <v>411</v>
      </c>
      <c r="AG78" s="280">
        <v>4.5</v>
      </c>
      <c r="AH78" s="500">
        <f ca="1">COUNTIF(BV!$D$55:$D$167,"&gt;="&amp;ASB!AG78)</f>
        <v>0</v>
      </c>
      <c r="AI78" s="595" t="s">
        <v>651</v>
      </c>
      <c r="AJ78" s="596"/>
      <c r="AL78" s="598" t="str">
        <f>IF(Arb!$AJ$28=1,"Small Lord","小雷圣")</f>
        <v>小雷圣</v>
      </c>
      <c r="AM78" s="598"/>
      <c r="AN78" s="433">
        <v>53</v>
      </c>
      <c r="AO78" s="299">
        <f ca="1">BV!C78</f>
        <v>20.7</v>
      </c>
      <c r="AP78" s="300">
        <f ca="1">BV!K78</f>
        <v>21.09</v>
      </c>
      <c r="AQ78" s="300">
        <f ca="1">BV!S78</f>
        <v>21.09</v>
      </c>
      <c r="AR78" s="300">
        <f ca="1">BV!AA78</f>
        <v>21.6</v>
      </c>
      <c r="AS78" s="301">
        <f ca="1">BV!AI78</f>
        <v>22.82</v>
      </c>
      <c r="AT78" s="301">
        <f ca="1">BV!AQ78</f>
        <v>22.92</v>
      </c>
      <c r="AU78" s="301">
        <f ca="1">BV!AY78</f>
        <v>23.57</v>
      </c>
      <c r="AV78" s="301">
        <f ca="1">BV!BG78</f>
        <v>23.59</v>
      </c>
      <c r="AW78" s="302">
        <f ca="1">BV!BO78</f>
        <v>24.53</v>
      </c>
      <c r="AX78" s="302">
        <f ca="1">BV!BW78</f>
        <v>24.57</v>
      </c>
      <c r="AY78" s="15" t="s">
        <v>65</v>
      </c>
      <c r="AZ78" s="258">
        <f t="shared" si="71"/>
        <v>1.6503600763344077</v>
      </c>
      <c r="BA78" s="261">
        <v>2.2368657698000002E-2</v>
      </c>
      <c r="BB78" s="268">
        <v>0.24806178544499999</v>
      </c>
      <c r="BC78" s="268">
        <f t="shared" si="72"/>
        <v>9.0173734974424574E-2</v>
      </c>
      <c r="BD78" s="269">
        <f ca="1">IF(BV!H78="","",INT(NOW()-BV!H78))</f>
        <v>243</v>
      </c>
      <c r="BE78" s="260">
        <f t="shared" si="86"/>
        <v>6.686210391151687</v>
      </c>
      <c r="BF78" s="301">
        <f ca="1">BV!G78</f>
        <v>47.193795846191634</v>
      </c>
      <c r="BG78" s="301">
        <f ca="1">BV!O78</f>
        <v>45.719798874315437</v>
      </c>
      <c r="BH78" s="301">
        <f ca="1">BV!W78</f>
        <v>45.719798874315437</v>
      </c>
      <c r="BI78" s="301">
        <f ca="1">BV!AE78</f>
        <v>43.899858441267263</v>
      </c>
      <c r="BJ78" s="301">
        <f ca="1">BV!AM78</f>
        <v>39.985074418355794</v>
      </c>
      <c r="BK78" s="301">
        <f ca="1">BV!AU78</f>
        <v>39.688954084744701</v>
      </c>
      <c r="BL78" s="301">
        <f ca="1">BV!BC78</f>
        <v>37.846280730675943</v>
      </c>
      <c r="BM78" s="301">
        <f ca="1">BV!BK78</f>
        <v>37.791749502165999</v>
      </c>
      <c r="BN78" s="302">
        <f ca="1">BV!BS78</f>
        <v>35.362964482035899</v>
      </c>
      <c r="BO78" s="302">
        <f ca="1">BV!CA78</f>
        <v>35.265149619493947</v>
      </c>
      <c r="BP78" s="433">
        <v>53</v>
      </c>
      <c r="BQ78" s="11">
        <f ca="1">IFERROR(YEAR(OFFSET(BV!$H78,,(COLUMN()-69)*8)),"")</f>
        <v>2020</v>
      </c>
      <c r="BR78" s="11">
        <f ca="1">IFERROR(YEAR(OFFSET(BV!$H78,,(COLUMN()-69)*8)),"")</f>
        <v>2020</v>
      </c>
      <c r="BS78" s="11">
        <f ca="1">IFERROR(YEAR(OFFSET(BV!$H78,,(COLUMN()-69)*8)),"")</f>
        <v>2020</v>
      </c>
      <c r="BT78" s="11">
        <f ca="1">IFERROR(YEAR(OFFSET(BV!$H78,,(COLUMN()-69)*8)),"")</f>
        <v>2020</v>
      </c>
      <c r="BU78" s="11">
        <f ca="1">IFERROR(YEAR(OFFSET(BV!$H78,,(COLUMN()-69)*8)),"")</f>
        <v>2020</v>
      </c>
      <c r="BV78" s="11">
        <f ca="1">IFERROR(YEAR(OFFSET(BV!$H78,,(COLUMN()-69)*8)),"")</f>
        <v>2020</v>
      </c>
      <c r="BW78" s="11">
        <f ca="1">IFERROR(YEAR(OFFSET(BV!$H78,,(COLUMN()-69)*8)),"")</f>
        <v>2019</v>
      </c>
      <c r="BX78" s="11">
        <f ca="1">IFERROR(YEAR(OFFSET(BV!$H78,,(COLUMN()-69)*8)),"")</f>
        <v>2019</v>
      </c>
      <c r="BY78" s="11">
        <f ca="1">IFERROR(YEAR(OFFSET(BV!$H78,,(COLUMN()-69)*8)),"")</f>
        <v>2019</v>
      </c>
      <c r="BZ78" s="11">
        <f ca="1">IFERROR(YEAR(OFFSET(BV!$H78,,(COLUMN()-69)*8)),"")</f>
        <v>2020</v>
      </c>
    </row>
    <row r="79" spans="1:78" x14ac:dyDescent="0.25">
      <c r="A79" s="433">
        <v>54</v>
      </c>
      <c r="B79" s="298">
        <f ca="1">BV!D79</f>
        <v>2.701350675337669</v>
      </c>
      <c r="C79" s="298">
        <f ca="1">BV!L79</f>
        <v>2.6879044300647088</v>
      </c>
      <c r="D79" s="298">
        <f ca="1">BV!T79</f>
        <v>2.5257249766136578</v>
      </c>
      <c r="E79" s="298">
        <f ca="1">BV!AB79</f>
        <v>2.5151374010246856</v>
      </c>
      <c r="F79" s="299">
        <f ca="1">BV!AJ79</f>
        <v>2.487333026255182</v>
      </c>
      <c r="G79" s="299">
        <f ca="1">BV!AR79</f>
        <v>2.4839006439742413</v>
      </c>
      <c r="H79" s="299">
        <f ca="1">BV!AZ79</f>
        <v>2.4074899687917966</v>
      </c>
      <c r="I79" s="299">
        <f ca="1">BV!BH79</f>
        <v>2.3570493234395462</v>
      </c>
      <c r="J79" s="299">
        <f ca="1">BV!BP79</f>
        <v>2.3407022106631987</v>
      </c>
      <c r="K79" s="299">
        <f ca="1">BV!BX79</f>
        <v>2.3156089193825045</v>
      </c>
      <c r="L79" s="15" t="s">
        <v>102</v>
      </c>
      <c r="M79" s="261">
        <v>2.4286415134000001E-2</v>
      </c>
      <c r="N79" s="282">
        <f t="shared" ca="1" si="68"/>
        <v>6.416796890431046</v>
      </c>
      <c r="O79" s="24" t="s">
        <v>31</v>
      </c>
      <c r="P79" s="704">
        <f t="shared" ref="P79:Y79" ca="1" si="98">IFERROR(435.001/(($AK23/P51)^1.7/$AK23),0)</f>
        <v>48.914208247531896</v>
      </c>
      <c r="Q79" s="717">
        <f t="shared" ca="1" si="98"/>
        <v>9.0271206091594571</v>
      </c>
      <c r="R79" s="717">
        <f t="shared" ca="1" si="98"/>
        <v>8.2451856226603457</v>
      </c>
      <c r="S79" s="717">
        <f t="shared" ca="1" si="98"/>
        <v>0.96454654633455073</v>
      </c>
      <c r="T79" s="717">
        <f t="shared" ca="1" si="98"/>
        <v>0.87840890070862254</v>
      </c>
      <c r="U79" s="42">
        <f t="shared" ca="1" si="98"/>
        <v>0</v>
      </c>
      <c r="V79" s="42">
        <f t="shared" ca="1" si="98"/>
        <v>0</v>
      </c>
      <c r="W79" s="455">
        <f t="shared" ca="1" si="98"/>
        <v>0</v>
      </c>
      <c r="X79" s="42">
        <f t="shared" ca="1" si="98"/>
        <v>0</v>
      </c>
      <c r="Y79" s="42">
        <f t="shared" ca="1" si="98"/>
        <v>0</v>
      </c>
      <c r="Z79" s="6">
        <f t="shared" ca="1" si="77"/>
        <v>68.029469926394867</v>
      </c>
      <c r="AA79" s="622">
        <v>9.375E-2</v>
      </c>
      <c r="AB79" s="622"/>
      <c r="AC79" s="623" t="s">
        <v>416</v>
      </c>
      <c r="AD79" s="606"/>
      <c r="AE79" s="315"/>
      <c r="AF79" s="502" t="s">
        <v>411</v>
      </c>
      <c r="AG79" s="280">
        <v>5</v>
      </c>
      <c r="AH79" s="500">
        <f ca="1">COUNTIF(BV!$D$55:$D$167,"&gt;="&amp;ASB!AG79)</f>
        <v>0</v>
      </c>
      <c r="AI79" s="595" t="s">
        <v>651</v>
      </c>
      <c r="AJ79" s="596"/>
      <c r="AL79" s="635" t="str">
        <f>IF(Arb!$AJ$28=1,"Big Lord","大雷圣")</f>
        <v>大雷圣</v>
      </c>
      <c r="AM79" s="635"/>
      <c r="AN79" s="433">
        <v>54</v>
      </c>
      <c r="AO79" s="298">
        <f ca="1">BV!C79</f>
        <v>19.989999999999998</v>
      </c>
      <c r="AP79" s="299">
        <f ca="1">BV!K79</f>
        <v>20.09</v>
      </c>
      <c r="AQ79" s="300">
        <f ca="1">BV!S79</f>
        <v>21.38</v>
      </c>
      <c r="AR79" s="300">
        <f ca="1">BV!AA79</f>
        <v>21.47</v>
      </c>
      <c r="AS79" s="300">
        <f ca="1">BV!AI79</f>
        <v>21.71</v>
      </c>
      <c r="AT79" s="300">
        <f ca="1">BV!AQ79</f>
        <v>21.74</v>
      </c>
      <c r="AU79" s="301">
        <f ca="1">BV!AY79</f>
        <v>22.43</v>
      </c>
      <c r="AV79" s="301">
        <f ca="1">BV!BG79</f>
        <v>22.91</v>
      </c>
      <c r="AW79" s="301">
        <f ca="1">BV!BO79</f>
        <v>23.07</v>
      </c>
      <c r="AX79" s="301">
        <f ca="1">BV!BW79</f>
        <v>23.32</v>
      </c>
      <c r="AY79" s="15" t="s">
        <v>65</v>
      </c>
      <c r="AZ79" s="258">
        <f t="shared" si="71"/>
        <v>1.6146365857473985</v>
      </c>
      <c r="BA79" s="261">
        <v>2.4286415134000001E-2</v>
      </c>
      <c r="BB79" s="268">
        <v>0.24806178544499999</v>
      </c>
      <c r="BC79" s="268">
        <f t="shared" si="72"/>
        <v>9.7904701808190289E-2</v>
      </c>
      <c r="BD79" s="269">
        <f ca="1">IF(BV!H79="","",INT(NOW()-BV!H79))</f>
        <v>365</v>
      </c>
      <c r="BE79" s="260">
        <f t="shared" si="86"/>
        <v>6.416796890431046</v>
      </c>
      <c r="BF79" s="300">
        <f ca="1">BV!G79</f>
        <v>51.023545926696386</v>
      </c>
      <c r="BG79" s="300">
        <f ca="1">BV!O79</f>
        <v>50.592541259185694</v>
      </c>
      <c r="BH79" s="301">
        <f ca="1">BV!W79</f>
        <v>45.51340163306061</v>
      </c>
      <c r="BI79" s="301">
        <f ca="1">BV!AE79</f>
        <v>45.189539057636608</v>
      </c>
      <c r="BJ79" s="301">
        <f ca="1">BV!AM79</f>
        <v>44.343573357694446</v>
      </c>
      <c r="BK79" s="301">
        <f ca="1">BV!AU79</f>
        <v>44.239597745049728</v>
      </c>
      <c r="BL79" s="301">
        <f ca="1">BV!BC79</f>
        <v>41.951029384706629</v>
      </c>
      <c r="BM79" s="301">
        <f ca="1">BV!BK79</f>
        <v>40.467813084969769</v>
      </c>
      <c r="BN79" s="301">
        <f ca="1">BV!BS79</f>
        <v>39.991848297109954</v>
      </c>
      <c r="BO79" s="301">
        <f ca="1">BV!CA79</f>
        <v>39.265746518853987</v>
      </c>
      <c r="BP79" s="433">
        <v>54</v>
      </c>
      <c r="BQ79" s="11">
        <f ca="1">IFERROR(YEAR(OFFSET(BV!$H79,,(COLUMN()-69)*8)),"")</f>
        <v>2019</v>
      </c>
      <c r="BR79" s="11">
        <f ca="1">IFERROR(YEAR(OFFSET(BV!$H79,,(COLUMN()-69)*8)),"")</f>
        <v>2020</v>
      </c>
      <c r="BS79" s="11">
        <f ca="1">IFERROR(YEAR(OFFSET(BV!$H79,,(COLUMN()-69)*8)),"")</f>
        <v>2020</v>
      </c>
      <c r="BT79" s="11">
        <f ca="1">IFERROR(YEAR(OFFSET(BV!$H79,,(COLUMN()-69)*8)),"")</f>
        <v>2019</v>
      </c>
      <c r="BU79" s="11">
        <f ca="1">IFERROR(YEAR(OFFSET(BV!$H79,,(COLUMN()-69)*8)),"")</f>
        <v>2019</v>
      </c>
      <c r="BV79" s="11">
        <f ca="1">IFERROR(YEAR(OFFSET(BV!$H79,,(COLUMN()-69)*8)),"")</f>
        <v>2020</v>
      </c>
      <c r="BW79" s="11">
        <f ca="1">IFERROR(YEAR(OFFSET(BV!$H79,,(COLUMN()-69)*8)),"")</f>
        <v>2020</v>
      </c>
      <c r="BX79" s="11">
        <f ca="1">IFERROR(YEAR(OFFSET(BV!$H79,,(COLUMN()-69)*8)),"")</f>
        <v>2020</v>
      </c>
      <c r="BY79" s="11">
        <f ca="1">IFERROR(YEAR(OFFSET(BV!$H79,,(COLUMN()-69)*8)),"")</f>
        <v>2020</v>
      </c>
      <c r="BZ79" s="11">
        <f ca="1">IFERROR(YEAR(OFFSET(BV!$H79,,(COLUMN()-69)*8)),"")</f>
        <v>2020</v>
      </c>
    </row>
    <row r="80" spans="1:78" x14ac:dyDescent="0.25">
      <c r="A80" s="433">
        <v>55</v>
      </c>
      <c r="B80" s="297">
        <f ca="1">BV!D80</f>
        <v>2.9411764705882355</v>
      </c>
      <c r="C80" s="298">
        <f ca="1">BV!L80</f>
        <v>2.730883813306852</v>
      </c>
      <c r="D80" s="298">
        <f ca="1">BV!T80</f>
        <v>2.5773195876288661</v>
      </c>
      <c r="E80" s="298">
        <f ca="1">BV!AB80</f>
        <v>2.5217790004585052</v>
      </c>
      <c r="F80" s="299">
        <f ca="1">BV!AJ80</f>
        <v>2.4498886414253898</v>
      </c>
      <c r="G80" s="299">
        <f ca="1">BV!AR80</f>
        <v>2.3285351397121081</v>
      </c>
      <c r="H80" s="299">
        <f ca="1">BV!AZ80</f>
        <v>2.2983702465524445</v>
      </c>
      <c r="I80" s="299">
        <f ca="1">BV!BH80</f>
        <v>2.2869022869022868</v>
      </c>
      <c r="J80" s="299">
        <f ca="1">BV!BP80</f>
        <v>2.250409165302782</v>
      </c>
      <c r="K80" s="300">
        <f ca="1">BV!BX80</f>
        <v>2.1450858034321372</v>
      </c>
      <c r="L80" s="15" t="s">
        <v>102</v>
      </c>
      <c r="M80" s="261">
        <v>2.612007001E-2</v>
      </c>
      <c r="N80" s="282">
        <f t="shared" ca="1" si="68"/>
        <v>6.187466087848013</v>
      </c>
      <c r="O80" s="24" t="s">
        <v>32</v>
      </c>
      <c r="P80" s="717">
        <f t="shared" ref="P80:Y80" ca="1" si="99">IFERROR(435.001/(($AK24/P52)^1.7/$AK24),0)</f>
        <v>11.179648214142581</v>
      </c>
      <c r="Q80" s="717">
        <f t="shared" ca="1" si="99"/>
        <v>0.32073703811527909</v>
      </c>
      <c r="R80" s="42">
        <f t="shared" ca="1" si="99"/>
        <v>0</v>
      </c>
      <c r="S80" s="42">
        <f t="shared" ca="1" si="99"/>
        <v>0</v>
      </c>
      <c r="T80" s="42">
        <f t="shared" ca="1" si="99"/>
        <v>0</v>
      </c>
      <c r="U80" s="42">
        <f t="shared" ca="1" si="99"/>
        <v>0</v>
      </c>
      <c r="V80" s="42">
        <f t="shared" ca="1" si="99"/>
        <v>0</v>
      </c>
      <c r="W80" s="455">
        <f t="shared" ca="1" si="99"/>
        <v>0</v>
      </c>
      <c r="X80" s="42">
        <f t="shared" ca="1" si="99"/>
        <v>0</v>
      </c>
      <c r="Y80" s="42">
        <f t="shared" ca="1" si="99"/>
        <v>0</v>
      </c>
      <c r="Z80" s="6">
        <f t="shared" ca="1" si="77"/>
        <v>11.50038525225786</v>
      </c>
      <c r="AA80" s="622">
        <v>0.125</v>
      </c>
      <c r="AB80" s="622"/>
      <c r="AC80" s="607" t="s">
        <v>417</v>
      </c>
      <c r="AD80" s="609"/>
      <c r="AE80" s="315"/>
      <c r="AF80" s="502" t="s">
        <v>411</v>
      </c>
      <c r="AG80" s="280">
        <v>5.5</v>
      </c>
      <c r="AH80" s="500">
        <f ca="1">COUNTIF(BV!$D$55:$D$167,"&gt;="&amp;ASB!AG80)</f>
        <v>0</v>
      </c>
      <c r="AI80" s="595" t="s">
        <v>651</v>
      </c>
      <c r="AJ80" s="596"/>
      <c r="AL80" s="640" t="str">
        <f>IF(Arb!$AJ$28=1,"Small Emp","小雷帝")</f>
        <v>小雷帝</v>
      </c>
      <c r="AM80" s="640"/>
      <c r="AN80" s="433">
        <v>55</v>
      </c>
      <c r="AO80" s="297">
        <f ca="1">BV!C80</f>
        <v>18.7</v>
      </c>
      <c r="AP80" s="299">
        <f ca="1">BV!K80</f>
        <v>20.14</v>
      </c>
      <c r="AQ80" s="300">
        <f ca="1">BV!S80</f>
        <v>21.34</v>
      </c>
      <c r="AR80" s="300">
        <f ca="1">BV!AA80</f>
        <v>21.81</v>
      </c>
      <c r="AS80" s="301">
        <f ca="1">BV!AI80</f>
        <v>22.45</v>
      </c>
      <c r="AT80" s="301">
        <f ca="1">BV!AQ80</f>
        <v>23.62</v>
      </c>
      <c r="AU80" s="301">
        <f ca="1">BV!AY80</f>
        <v>23.93</v>
      </c>
      <c r="AV80" s="302">
        <f ca="1">BV!BG80</f>
        <v>24.05</v>
      </c>
      <c r="AW80" s="302">
        <f ca="1">BV!BO80</f>
        <v>24.44</v>
      </c>
      <c r="AX80" s="302">
        <f ca="1">BV!BW80</f>
        <v>25.64</v>
      </c>
      <c r="AY80" s="15" t="s">
        <v>65</v>
      </c>
      <c r="AZ80" s="258">
        <f t="shared" si="71"/>
        <v>1.5830256633496462</v>
      </c>
      <c r="BA80" s="261">
        <v>2.612007001E-2</v>
      </c>
      <c r="BB80" s="268">
        <v>0.24806178544499999</v>
      </c>
      <c r="BC80" s="268">
        <f t="shared" si="72"/>
        <v>0.10529662988252302</v>
      </c>
      <c r="BD80" s="269">
        <f ca="1">IF(BV!H80="","",INT(NOW()-BV!H80))</f>
        <v>369</v>
      </c>
      <c r="BE80" s="260">
        <f t="shared" si="86"/>
        <v>6.187466087848013</v>
      </c>
      <c r="BF80" s="299">
        <f ca="1">BV!G80</f>
        <v>58.209059934160187</v>
      </c>
      <c r="BG80" s="300">
        <f ca="1">BV!O80</f>
        <v>51.312151412312986</v>
      </c>
      <c r="BH80" s="301">
        <f ca="1">BV!W80</f>
        <v>46.50405365508113</v>
      </c>
      <c r="BI80" s="301">
        <f ca="1">BV!AE80</f>
        <v>44.813275147970799</v>
      </c>
      <c r="BJ80" s="301">
        <f ca="1">BV!AM80</f>
        <v>42.663210072201814</v>
      </c>
      <c r="BK80" s="301">
        <f ca="1">BV!AU80</f>
        <v>39.133212220684122</v>
      </c>
      <c r="BL80" s="301">
        <f ca="1">BV!BC80</f>
        <v>38.275311075537594</v>
      </c>
      <c r="BM80" s="301">
        <f ca="1">BV!BK80</f>
        <v>37.951214577965381</v>
      </c>
      <c r="BN80" s="302">
        <f ca="1">BV!BS80</f>
        <v>36.927446193296184</v>
      </c>
      <c r="BO80" s="302">
        <f ca="1">BV!CA80</f>
        <v>34.037737230897967</v>
      </c>
      <c r="BP80" s="433">
        <v>55</v>
      </c>
      <c r="BQ80" s="11">
        <f ca="1">IFERROR(YEAR(OFFSET(BV!$H80,,(COLUMN()-69)*8)),"")</f>
        <v>2019</v>
      </c>
      <c r="BR80" s="11">
        <f ca="1">IFERROR(YEAR(OFFSET(BV!$H80,,(COLUMN()-69)*8)),"")</f>
        <v>2020</v>
      </c>
      <c r="BS80" s="11">
        <f ca="1">IFERROR(YEAR(OFFSET(BV!$H80,,(COLUMN()-69)*8)),"")</f>
        <v>2020</v>
      </c>
      <c r="BT80" s="11">
        <f ca="1">IFERROR(YEAR(OFFSET(BV!$H80,,(COLUMN()-69)*8)),"")</f>
        <v>2019</v>
      </c>
      <c r="BU80" s="11">
        <f ca="1">IFERROR(YEAR(OFFSET(BV!$H80,,(COLUMN()-69)*8)),"")</f>
        <v>2020</v>
      </c>
      <c r="BV80" s="11">
        <f ca="1">IFERROR(YEAR(OFFSET(BV!$H80,,(COLUMN()-69)*8)),"")</f>
        <v>2020</v>
      </c>
      <c r="BW80" s="11">
        <f ca="1">IFERROR(YEAR(OFFSET(BV!$H80,,(COLUMN()-69)*8)),"")</f>
        <v>2019</v>
      </c>
      <c r="BX80" s="11">
        <f ca="1">IFERROR(YEAR(OFFSET(BV!$H80,,(COLUMN()-69)*8)),"")</f>
        <v>2020</v>
      </c>
      <c r="BY80" s="11">
        <f ca="1">IFERROR(YEAR(OFFSET(BV!$H80,,(COLUMN()-69)*8)),"")</f>
        <v>2020</v>
      </c>
      <c r="BZ80" s="11">
        <f ca="1">IFERROR(YEAR(OFFSET(BV!$H80,,(COLUMN()-69)*8)),"")</f>
        <v>2020</v>
      </c>
    </row>
    <row r="81" spans="1:78" x14ac:dyDescent="0.25">
      <c r="A81" s="433">
        <v>56</v>
      </c>
      <c r="B81" s="298">
        <f ca="1">BV!D81</f>
        <v>2.5747126436781609</v>
      </c>
      <c r="C81" s="298">
        <f ca="1">BV!L81</f>
        <v>2.5711662075298438</v>
      </c>
      <c r="D81" s="299">
        <f ca="1">BV!T81</f>
        <v>2.3668639053254439</v>
      </c>
      <c r="E81" s="299">
        <f ca="1">BV!AB81</f>
        <v>2.2626262626262625</v>
      </c>
      <c r="F81" s="300">
        <f ca="1">BV!AJ81</f>
        <v>2.2382094324540369</v>
      </c>
      <c r="G81" s="300">
        <f ca="1">BV!AR81</f>
        <v>2.2310756972111552</v>
      </c>
      <c r="H81" s="300">
        <f ca="1">BV!AZ81</f>
        <v>2.2187004754358162</v>
      </c>
      <c r="I81" s="300">
        <f ca="1">BV!BH81</f>
        <v>2.0452885317750185</v>
      </c>
      <c r="J81" s="300">
        <f ca="1">BV!BP81</f>
        <v>2.0158387329013676</v>
      </c>
      <c r="K81" s="301">
        <f ca="1">BV!BX81</f>
        <v>1.992173603699751</v>
      </c>
      <c r="L81" s="15" t="s">
        <v>102</v>
      </c>
      <c r="M81" s="261">
        <v>2.7836465570999998E-2</v>
      </c>
      <c r="N81" s="282">
        <f t="shared" ca="1" si="68"/>
        <v>5.9936717441354093</v>
      </c>
      <c r="O81" s="4" t="str">
        <f>O25</f>
        <v>初级</v>
      </c>
      <c r="P81" s="700">
        <f t="shared" ref="P81:Y81" ca="1" si="100">IFERROR(47.299/(($AK25/P53)^1.7/$AK25),0)</f>
        <v>71.275396529898359</v>
      </c>
      <c r="Q81" s="701">
        <f t="shared" ca="1" si="100"/>
        <v>64.513176246138087</v>
      </c>
      <c r="R81" s="702">
        <f t="shared" ca="1" si="100"/>
        <v>59.486344505737677</v>
      </c>
      <c r="S81" s="702">
        <f t="shared" ca="1" si="100"/>
        <v>57.371204801156104</v>
      </c>
      <c r="T81" s="708">
        <f t="shared" ca="1" si="100"/>
        <v>55.127421669926804</v>
      </c>
      <c r="U81" s="708">
        <f t="shared" ca="1" si="100"/>
        <v>53.591831497314061</v>
      </c>
      <c r="V81" s="708">
        <f t="shared" ca="1" si="100"/>
        <v>52.204120321248858</v>
      </c>
      <c r="W81" s="720">
        <f t="shared" ca="1" si="100"/>
        <v>51.030423065102696</v>
      </c>
      <c r="X81" s="704">
        <f t="shared" ca="1" si="100"/>
        <v>49.936318738105903</v>
      </c>
      <c r="Y81" s="704">
        <f t="shared" ca="1" si="100"/>
        <v>48.961901354181414</v>
      </c>
      <c r="Z81" s="6">
        <f t="shared" ca="1" si="77"/>
        <v>563.49813872880998</v>
      </c>
      <c r="AA81" s="622">
        <v>7.8125E-3</v>
      </c>
      <c r="AB81" s="622"/>
      <c r="AC81" s="614" t="s">
        <v>536</v>
      </c>
      <c r="AD81" s="616"/>
      <c r="AE81" s="315"/>
      <c r="AF81" s="502" t="s">
        <v>411</v>
      </c>
      <c r="AG81" s="280">
        <v>6</v>
      </c>
      <c r="AH81" s="500">
        <f ca="1">COUNTIF(BV!$D$55:$D$167,"&gt;="&amp;ASB!AG81)</f>
        <v>0</v>
      </c>
      <c r="AI81" s="595" t="s">
        <v>651</v>
      </c>
      <c r="AJ81" s="596"/>
      <c r="AL81" s="626" t="str">
        <f>IF(Arb!$AJ$28=1,"Big Emp","大雷帝")</f>
        <v>大雷帝</v>
      </c>
      <c r="AM81" s="626"/>
      <c r="AN81" s="433">
        <v>56</v>
      </c>
      <c r="AO81" s="300">
        <f ca="1">BV!C81</f>
        <v>21.75</v>
      </c>
      <c r="AP81" s="300">
        <f ca="1">BV!K81</f>
        <v>21.78</v>
      </c>
      <c r="AQ81" s="301">
        <f ca="1">BV!S81</f>
        <v>23.66</v>
      </c>
      <c r="AR81" s="302">
        <f ca="1">BV!AA81</f>
        <v>24.75</v>
      </c>
      <c r="AS81" s="302">
        <f ca="1">BV!AI81</f>
        <v>25.02</v>
      </c>
      <c r="AT81" s="302">
        <f ca="1">BV!AQ81</f>
        <v>25.1</v>
      </c>
      <c r="AU81" s="302">
        <f ca="1">BV!AY81</f>
        <v>25.24</v>
      </c>
      <c r="AV81" s="660">
        <f ca="1">BV!BG81</f>
        <v>27.38</v>
      </c>
      <c r="AW81" s="660">
        <f ca="1">BV!BO81</f>
        <v>27.78</v>
      </c>
      <c r="AX81" s="659">
        <f ca="1">BV!BW81</f>
        <v>28.11</v>
      </c>
      <c r="AY81" s="15" t="s">
        <v>65</v>
      </c>
      <c r="AZ81" s="258">
        <f t="shared" si="71"/>
        <v>1.5553859084456911</v>
      </c>
      <c r="BA81" s="261">
        <v>2.7836465570999998E-2</v>
      </c>
      <c r="BB81" s="268">
        <v>0.24806178544499999</v>
      </c>
      <c r="BC81" s="268">
        <f t="shared" si="72"/>
        <v>0.11221585590486638</v>
      </c>
      <c r="BD81" s="269">
        <f ca="1">IF(BV!H81="","",INT(NOW()-BV!H81))</f>
        <v>63</v>
      </c>
      <c r="BE81" s="260">
        <f t="shared" si="86"/>
        <v>5.9936717441354093</v>
      </c>
      <c r="BF81" s="301">
        <f ca="1">BV!G81</f>
        <v>45.842248389980334</v>
      </c>
      <c r="BG81" s="301">
        <f ca="1">BV!O81</f>
        <v>45.734956039225608</v>
      </c>
      <c r="BH81" s="301">
        <f ca="1">BV!W81</f>
        <v>39.730277248736598</v>
      </c>
      <c r="BI81" s="302">
        <f ca="1">BV!AE81</f>
        <v>36.801778629661278</v>
      </c>
      <c r="BJ81" s="302">
        <f ca="1">BV!AM81</f>
        <v>36.129190839203964</v>
      </c>
      <c r="BK81" s="302">
        <f ca="1">BV!AU81</f>
        <v>35.933649527170331</v>
      </c>
      <c r="BL81" s="302">
        <f ca="1">BV!BC81</f>
        <v>35.595472172931707</v>
      </c>
      <c r="BM81" s="302">
        <f ca="1">BV!BK81</f>
        <v>30.996296013072076</v>
      </c>
      <c r="BN81" s="302">
        <f ca="1">BV!BS81</f>
        <v>30.241396602957519</v>
      </c>
      <c r="BO81" s="302">
        <f ca="1">BV!CA81</f>
        <v>29.640342429057331</v>
      </c>
      <c r="BP81" s="433">
        <v>56</v>
      </c>
      <c r="BQ81" s="11">
        <f ca="1">IFERROR(YEAR(OFFSET(BV!$H81,,(COLUMN()-69)*8)),"")</f>
        <v>2020</v>
      </c>
      <c r="BR81" s="11">
        <f ca="1">IFERROR(YEAR(OFFSET(BV!$H81,,(COLUMN()-69)*8)),"")</f>
        <v>2020</v>
      </c>
      <c r="BS81" s="11">
        <f ca="1">IFERROR(YEAR(OFFSET(BV!$H81,,(COLUMN()-69)*8)),"")</f>
        <v>2019</v>
      </c>
      <c r="BT81" s="11">
        <f ca="1">IFERROR(YEAR(OFFSET(BV!$H81,,(COLUMN()-69)*8)),"")</f>
        <v>2019</v>
      </c>
      <c r="BU81" s="11">
        <f ca="1">IFERROR(YEAR(OFFSET(BV!$H81,,(COLUMN()-69)*8)),"")</f>
        <v>2019</v>
      </c>
      <c r="BV81" s="11">
        <f ca="1">IFERROR(YEAR(OFFSET(BV!$H81,,(COLUMN()-69)*8)),"")</f>
        <v>2020</v>
      </c>
      <c r="BW81" s="11">
        <f ca="1">IFERROR(YEAR(OFFSET(BV!$H81,,(COLUMN()-69)*8)),"")</f>
        <v>2019</v>
      </c>
      <c r="BX81" s="11">
        <f ca="1">IFERROR(YEAR(OFFSET(BV!$H81,,(COLUMN()-69)*8)),"")</f>
        <v>2019</v>
      </c>
      <c r="BY81" s="11">
        <f ca="1">IFERROR(YEAR(OFFSET(BV!$H81,,(COLUMN()-69)*8)),"")</f>
        <v>2019</v>
      </c>
      <c r="BZ81" s="11">
        <f ca="1">IFERROR(YEAR(OFFSET(BV!$H81,,(COLUMN()-69)*8)),"")</f>
        <v>2020</v>
      </c>
    </row>
    <row r="82" spans="1:78" x14ac:dyDescent="0.25">
      <c r="A82" s="433">
        <v>57</v>
      </c>
      <c r="B82" s="298">
        <f ca="1">BV!D82</f>
        <v>2.642559109874826</v>
      </c>
      <c r="C82" s="298">
        <f ca="1">BV!L82</f>
        <v>2.5838621940163193</v>
      </c>
      <c r="D82" s="298">
        <f ca="1">BV!T82</f>
        <v>2.5791855203619907</v>
      </c>
      <c r="E82" s="298">
        <f ca="1">BV!AB82</f>
        <v>2.5526197939991047</v>
      </c>
      <c r="F82" s="299">
        <f ca="1">BV!AJ82</f>
        <v>2.4173027989821882</v>
      </c>
      <c r="G82" s="299">
        <f ca="1">BV!AR82</f>
        <v>2.4030354131534573</v>
      </c>
      <c r="H82" s="299">
        <f ca="1">BV!AZ82</f>
        <v>2.4</v>
      </c>
      <c r="I82" s="299">
        <f ca="1">BV!BH82</f>
        <v>2.3331968890708148</v>
      </c>
      <c r="J82" s="300">
        <f ca="1">BV!BP82</f>
        <v>2.2204908453447603</v>
      </c>
      <c r="K82" s="300">
        <f ca="1">BV!BX82</f>
        <v>2.2196261682242993</v>
      </c>
      <c r="L82" s="15" t="s">
        <v>102</v>
      </c>
      <c r="M82" s="261">
        <v>2.9401605250000001E-2</v>
      </c>
      <c r="N82" s="282">
        <f t="shared" ca="1" si="68"/>
        <v>5.8319592238926186</v>
      </c>
      <c r="O82" s="4" t="str">
        <f>O26</f>
        <v>中级</v>
      </c>
      <c r="P82" s="704">
        <f t="shared" ref="P82:Y82" ca="1" si="101">IFERROR(153.73/(($AK26/P54)^1.7/$AK26),0)</f>
        <v>47.185301069874349</v>
      </c>
      <c r="Q82" s="704">
        <f t="shared" ca="1" si="101"/>
        <v>42.686496910425198</v>
      </c>
      <c r="R82" s="704">
        <f t="shared" ca="1" si="101"/>
        <v>39.290310656531794</v>
      </c>
      <c r="S82" s="705">
        <f t="shared" ca="1" si="101"/>
        <v>36.773839329372997</v>
      </c>
      <c r="T82" s="705">
        <f t="shared" ca="1" si="101"/>
        <v>32.42016205449567</v>
      </c>
      <c r="U82" s="705">
        <f t="shared" ca="1" si="101"/>
        <v>30.393404490290116</v>
      </c>
      <c r="V82" s="705">
        <f t="shared" ca="1" si="101"/>
        <v>28.277673216861341</v>
      </c>
      <c r="W82" s="706">
        <f t="shared" ca="1" si="101"/>
        <v>25.788236678951538</v>
      </c>
      <c r="X82" s="707">
        <f t="shared" ca="1" si="101"/>
        <v>22.475105240157976</v>
      </c>
      <c r="Y82" s="707">
        <f t="shared" ca="1" si="101"/>
        <v>20.373147979723793</v>
      </c>
      <c r="Z82" s="6">
        <f t="shared" ca="1" si="77"/>
        <v>325.66367762668477</v>
      </c>
      <c r="AA82" s="622">
        <v>4.6875E-2</v>
      </c>
      <c r="AB82" s="622"/>
      <c r="AC82" s="623" t="s">
        <v>68</v>
      </c>
      <c r="AD82" s="606"/>
      <c r="AE82" s="315"/>
      <c r="AF82" s="502" t="s">
        <v>411</v>
      </c>
      <c r="AG82" s="280">
        <v>6.5</v>
      </c>
      <c r="AH82" s="505">
        <f ca="1">COUNTIF(BV!$D$55:$D$167,"&gt;="&amp;ASB!AG82)</f>
        <v>0</v>
      </c>
      <c r="AI82" s="595" t="s">
        <v>651</v>
      </c>
      <c r="AJ82" s="596"/>
      <c r="AL82" s="627" t="str">
        <f>IF(Arb!$AJ$28=1,"Alien","外星人")</f>
        <v>外星人</v>
      </c>
      <c r="AM82" s="628"/>
      <c r="AN82" s="433">
        <v>57</v>
      </c>
      <c r="AO82" s="300">
        <f ca="1">BV!C82</f>
        <v>21.57</v>
      </c>
      <c r="AP82" s="301">
        <f ca="1">BV!K82</f>
        <v>22.06</v>
      </c>
      <c r="AQ82" s="301">
        <f ca="1">BV!S82</f>
        <v>22.1</v>
      </c>
      <c r="AR82" s="301">
        <f ca="1">BV!AA82</f>
        <v>22.33</v>
      </c>
      <c r="AS82" s="301">
        <f ca="1">BV!AI82</f>
        <v>23.58</v>
      </c>
      <c r="AT82" s="301">
        <f ca="1">BV!AQ82</f>
        <v>23.72</v>
      </c>
      <c r="AU82" s="301">
        <f ca="1">BV!AY82</f>
        <v>23.75</v>
      </c>
      <c r="AV82" s="302">
        <f ca="1">BV!BG82</f>
        <v>24.43</v>
      </c>
      <c r="AW82" s="302">
        <f ca="1">BV!BO82</f>
        <v>25.67</v>
      </c>
      <c r="AX82" s="302">
        <f ca="1">BV!BW82</f>
        <v>25.68</v>
      </c>
      <c r="AY82" s="15" t="s">
        <v>65</v>
      </c>
      <c r="AZ82" s="258">
        <f t="shared" si="71"/>
        <v>1.5316289576087467</v>
      </c>
      <c r="BA82" s="261">
        <v>2.9401605250000001E-2</v>
      </c>
      <c r="BB82" s="268">
        <v>0.24806178544499999</v>
      </c>
      <c r="BC82" s="268">
        <f t="shared" si="72"/>
        <v>0.11852533108739917</v>
      </c>
      <c r="BD82" s="269">
        <f ca="1">IF(BV!H82="","",INT(NOW()-BV!H82))</f>
        <v>290</v>
      </c>
      <c r="BE82" s="260">
        <f t="shared" si="86"/>
        <v>5.8319592238926186</v>
      </c>
      <c r="BF82" s="301">
        <f ca="1">BV!G82</f>
        <v>47.324739948981083</v>
      </c>
      <c r="BG82" s="301">
        <f ca="1">BV!O82</f>
        <v>45.551650650309412</v>
      </c>
      <c r="BH82" s="301">
        <f ca="1">BV!W82</f>
        <v>45.411580529770653</v>
      </c>
      <c r="BI82" s="301">
        <f ca="1">BV!AE82</f>
        <v>44.619289825082454</v>
      </c>
      <c r="BJ82" s="301">
        <f ca="1">BV!AM82</f>
        <v>40.673263620022908</v>
      </c>
      <c r="BK82" s="301">
        <f ca="1">BV!AU82</f>
        <v>40.266002751565487</v>
      </c>
      <c r="BL82" s="301">
        <f ca="1">BV!BC82</f>
        <v>40.17957504069377</v>
      </c>
      <c r="BM82" s="301">
        <f ca="1">BV!BK82</f>
        <v>38.296897198108894</v>
      </c>
      <c r="BN82" s="302">
        <f ca="1">BV!BS82</f>
        <v>35.205418078994462</v>
      </c>
      <c r="BO82" s="302">
        <f ca="1">BV!CA82</f>
        <v>35.182115488107392</v>
      </c>
      <c r="BP82" s="433">
        <v>57</v>
      </c>
      <c r="BQ82" s="11">
        <f ca="1">IFERROR(YEAR(OFFSET(BV!$H82,,(COLUMN()-69)*8)),"")</f>
        <v>2020</v>
      </c>
      <c r="BR82" s="11">
        <f ca="1">IFERROR(YEAR(OFFSET(BV!$H82,,(COLUMN()-69)*8)),"")</f>
        <v>2020</v>
      </c>
      <c r="BS82" s="11">
        <f ca="1">IFERROR(YEAR(OFFSET(BV!$H82,,(COLUMN()-69)*8)),"")</f>
        <v>2020</v>
      </c>
      <c r="BT82" s="11">
        <f ca="1">IFERROR(YEAR(OFFSET(BV!$H82,,(COLUMN()-69)*8)),"")</f>
        <v>2020</v>
      </c>
      <c r="BU82" s="11">
        <f ca="1">IFERROR(YEAR(OFFSET(BV!$H82,,(COLUMN()-69)*8)),"")</f>
        <v>2019</v>
      </c>
      <c r="BV82" s="11">
        <f ca="1">IFERROR(YEAR(OFFSET(BV!$H82,,(COLUMN()-69)*8)),"")</f>
        <v>2020</v>
      </c>
      <c r="BW82" s="11">
        <f ca="1">IFERROR(YEAR(OFFSET(BV!$H82,,(COLUMN()-69)*8)),"")</f>
        <v>2020</v>
      </c>
      <c r="BX82" s="11">
        <f ca="1">IFERROR(YEAR(OFFSET(BV!$H82,,(COLUMN()-69)*8)),"")</f>
        <v>2019</v>
      </c>
      <c r="BY82" s="11">
        <f ca="1">IFERROR(YEAR(OFFSET(BV!$H82,,(COLUMN()-69)*8)),"")</f>
        <v>2020</v>
      </c>
      <c r="BZ82" s="11">
        <f ca="1">IFERROR(YEAR(OFFSET(BV!$H82,,(COLUMN()-69)*8)),"")</f>
        <v>2020</v>
      </c>
    </row>
    <row r="83" spans="1:78" x14ac:dyDescent="0.25">
      <c r="A83" s="433">
        <v>58</v>
      </c>
      <c r="B83" s="297">
        <f ca="1">BV!D83</f>
        <v>2.8389623103279491</v>
      </c>
      <c r="C83" s="297">
        <f ca="1">BV!L83</f>
        <v>2.83203125</v>
      </c>
      <c r="D83" s="297">
        <f ca="1">BV!T83</f>
        <v>2.7817745803357314</v>
      </c>
      <c r="E83" s="298">
        <f ca="1">BV!AB83</f>
        <v>2.6666666666666665</v>
      </c>
      <c r="F83" s="298">
        <f ca="1">BV!AJ83</f>
        <v>2.5777777777777779</v>
      </c>
      <c r="G83" s="298">
        <f ca="1">BV!AR83</f>
        <v>2.5561921551344202</v>
      </c>
      <c r="H83" s="298">
        <f ca="1">BV!AZ83</f>
        <v>2.5550660792951541</v>
      </c>
      <c r="I83" s="298">
        <f ca="1">BV!BH83</f>
        <v>2.5283347863993022</v>
      </c>
      <c r="J83" s="299">
        <f ca="1">BV!BP83</f>
        <v>2.4680851063829787</v>
      </c>
      <c r="K83" s="299">
        <f ca="1">BV!BX83</f>
        <v>2.4597116200169635</v>
      </c>
      <c r="L83" s="15" t="s">
        <v>102</v>
      </c>
      <c r="M83" s="261">
        <v>3.0786477473E-2</v>
      </c>
      <c r="N83" s="282">
        <f t="shared" ca="1" si="68"/>
        <v>5.6992800750869286</v>
      </c>
      <c r="O83" s="4" t="str">
        <f>O27</f>
        <v>高级</v>
      </c>
      <c r="P83" s="702">
        <f t="shared" ref="P83:Y83" ca="1" si="102">IFERROR(435.001/(($AK27/P55)^1.7/$AK27),0)</f>
        <v>56.357540912653498</v>
      </c>
      <c r="Q83" s="708">
        <f t="shared" ca="1" si="102"/>
        <v>51.000723390496255</v>
      </c>
      <c r="R83" s="704">
        <f t="shared" ca="1" si="102"/>
        <v>47.896136427247889</v>
      </c>
      <c r="S83" s="704">
        <f t="shared" ca="1" si="102"/>
        <v>45.032237674504721</v>
      </c>
      <c r="T83" s="704">
        <f t="shared" ca="1" si="102"/>
        <v>42.87115341379792</v>
      </c>
      <c r="U83" s="704">
        <f t="shared" ca="1" si="102"/>
        <v>40.162010041866758</v>
      </c>
      <c r="V83" s="705">
        <f t="shared" ca="1" si="102"/>
        <v>37.193227031075331</v>
      </c>
      <c r="W83" s="706">
        <f t="shared" ca="1" si="102"/>
        <v>34.756408142078314</v>
      </c>
      <c r="X83" s="705">
        <f t="shared" ca="1" si="102"/>
        <v>30.771988098278513</v>
      </c>
      <c r="Y83" s="705">
        <f t="shared" ca="1" si="102"/>
        <v>28.495802924394997</v>
      </c>
      <c r="Z83" s="6">
        <f t="shared" ref="Z83:Z84" ca="1" si="103">SUM(P83:Y83)</f>
        <v>414.53722805639416</v>
      </c>
      <c r="AA83" s="622">
        <v>0</v>
      </c>
      <c r="AB83" s="622"/>
      <c r="AC83" s="623" t="s">
        <v>70</v>
      </c>
      <c r="AD83" s="606"/>
      <c r="AE83" s="315"/>
      <c r="AF83" s="502" t="s">
        <v>411</v>
      </c>
      <c r="AG83" s="266">
        <v>3</v>
      </c>
      <c r="AH83" s="453">
        <f ca="1">COUNTIF(BV!$D$10:$D$54,"&gt;="&amp;ASB!AG83)</f>
        <v>30</v>
      </c>
      <c r="AI83" s="637" t="s">
        <v>769</v>
      </c>
      <c r="AJ83" s="638"/>
      <c r="AL83" s="315"/>
      <c r="AM83" s="315"/>
      <c r="AN83" s="433">
        <v>58</v>
      </c>
      <c r="AO83" s="299">
        <f ca="1">BV!C83</f>
        <v>20.43</v>
      </c>
      <c r="AP83" s="299">
        <f ca="1">BV!K83</f>
        <v>20.48</v>
      </c>
      <c r="AQ83" s="299">
        <f ca="1">BV!S83</f>
        <v>20.85</v>
      </c>
      <c r="AR83" s="300">
        <f ca="1">BV!AA83</f>
        <v>21.75</v>
      </c>
      <c r="AS83" s="301">
        <f ca="1">BV!AI83</f>
        <v>22.5</v>
      </c>
      <c r="AT83" s="301">
        <f ca="1">BV!AQ83</f>
        <v>22.69</v>
      </c>
      <c r="AU83" s="301">
        <f ca="1">BV!AY83</f>
        <v>22.7</v>
      </c>
      <c r="AV83" s="301">
        <f ca="1">BV!BG83</f>
        <v>22.94</v>
      </c>
      <c r="AW83" s="301">
        <f ca="1">BV!BO83</f>
        <v>23.5</v>
      </c>
      <c r="AX83" s="301">
        <f ca="1">BV!BW83</f>
        <v>23.58</v>
      </c>
      <c r="AY83" s="15" t="s">
        <v>65</v>
      </c>
      <c r="AZ83" s="258">
        <f t="shared" si="71"/>
        <v>1.5116399993577387</v>
      </c>
      <c r="BA83" s="261">
        <v>3.0786477473E-2</v>
      </c>
      <c r="BB83" s="268">
        <v>0.24806178544499999</v>
      </c>
      <c r="BC83" s="268">
        <f t="shared" si="72"/>
        <v>0.12410810241396875</v>
      </c>
      <c r="BD83" s="269">
        <f ca="1">IF(BV!H83="","",INT(NOW()-BV!H83))</f>
        <v>286</v>
      </c>
      <c r="BE83" s="260">
        <f t="shared" si="86"/>
        <v>5.6992800750869277</v>
      </c>
      <c r="BF83" s="300">
        <f ca="1">BV!G83</f>
        <v>52.811730387177441</v>
      </c>
      <c r="BG83" s="300">
        <f ca="1">BV!O83</f>
        <v>52.592728417804771</v>
      </c>
      <c r="BH83" s="300">
        <f ca="1">BV!W83</f>
        <v>51.015990125434762</v>
      </c>
      <c r="BI83" s="301">
        <f ca="1">BV!AE83</f>
        <v>47.479471546765346</v>
      </c>
      <c r="BJ83" s="301">
        <f ca="1">BV!AM83</f>
        <v>44.820463147196605</v>
      </c>
      <c r="BK83" s="301">
        <f ca="1">BV!AU83</f>
        <v>44.184299874558889</v>
      </c>
      <c r="BL83" s="301">
        <f ca="1">BV!BC83</f>
        <v>44.151215412916095</v>
      </c>
      <c r="BM83" s="301">
        <f ca="1">BV!BK83</f>
        <v>43.368841157440592</v>
      </c>
      <c r="BN83" s="301">
        <f ca="1">BV!BS83</f>
        <v>41.626630200751372</v>
      </c>
      <c r="BO83" s="301">
        <f ca="1">BV!CA83</f>
        <v>41.386829648444362</v>
      </c>
      <c r="BP83" s="433">
        <v>58</v>
      </c>
      <c r="BQ83" s="11">
        <f ca="1">IFERROR(YEAR(OFFSET(BV!$H83,,(COLUMN()-69)*8)),"")</f>
        <v>2020</v>
      </c>
      <c r="BR83" s="11">
        <f ca="1">IFERROR(YEAR(OFFSET(BV!$H83,,(COLUMN()-69)*8)),"")</f>
        <v>2019</v>
      </c>
      <c r="BS83" s="11">
        <f ca="1">IFERROR(YEAR(OFFSET(BV!$H83,,(COLUMN()-69)*8)),"")</f>
        <v>2020</v>
      </c>
      <c r="BT83" s="11">
        <f ca="1">IFERROR(YEAR(OFFSET(BV!$H83,,(COLUMN()-69)*8)),"")</f>
        <v>2020</v>
      </c>
      <c r="BU83" s="11">
        <f ca="1">IFERROR(YEAR(OFFSET(BV!$H83,,(COLUMN()-69)*8)),"")</f>
        <v>2020</v>
      </c>
      <c r="BV83" s="11">
        <f ca="1">IFERROR(YEAR(OFFSET(BV!$H83,,(COLUMN()-69)*8)),"")</f>
        <v>2019</v>
      </c>
      <c r="BW83" s="11">
        <f ca="1">IFERROR(YEAR(OFFSET(BV!$H83,,(COLUMN()-69)*8)),"")</f>
        <v>2019</v>
      </c>
      <c r="BX83" s="11">
        <f ca="1">IFERROR(YEAR(OFFSET(BV!$H83,,(COLUMN()-69)*8)),"")</f>
        <v>2020</v>
      </c>
      <c r="BY83" s="11">
        <f ca="1">IFERROR(YEAR(OFFSET(BV!$H83,,(COLUMN()-69)*8)),"")</f>
        <v>2019</v>
      </c>
      <c r="BZ83" s="11">
        <f ca="1">IFERROR(YEAR(OFFSET(BV!$H83,,(COLUMN()-69)*8)),"")</f>
        <v>2019</v>
      </c>
    </row>
    <row r="84" spans="1:78" x14ac:dyDescent="0.25">
      <c r="A84" s="433">
        <v>59</v>
      </c>
      <c r="B84" s="297">
        <f ca="1">BV!D84</f>
        <v>2.762172284644195</v>
      </c>
      <c r="C84" s="298">
        <f ca="1">BV!L84</f>
        <v>2.7289546716003699</v>
      </c>
      <c r="D84" s="298">
        <f ca="1">BV!T84</f>
        <v>2.722658052607291</v>
      </c>
      <c r="E84" s="298">
        <f ca="1">BV!AB84</f>
        <v>2.6624548736462095</v>
      </c>
      <c r="F84" s="298">
        <f ca="1">BV!AJ84</f>
        <v>2.6576576576576576</v>
      </c>
      <c r="G84" s="298">
        <f ca="1">BV!AR84</f>
        <v>2.6540710751237064</v>
      </c>
      <c r="H84" s="298">
        <f ca="1">BV!AZ84</f>
        <v>2.6304057066428892</v>
      </c>
      <c r="I84" s="298">
        <f ca="1">BV!BH84</f>
        <v>2.5945470536499564</v>
      </c>
      <c r="J84" s="298">
        <f ca="1">BV!BP84</f>
        <v>2.5552187093980079</v>
      </c>
      <c r="K84" s="298">
        <f ca="1">BV!BX84</f>
        <v>2.5085034013605441</v>
      </c>
      <c r="L84" s="15" t="s">
        <v>102</v>
      </c>
      <c r="M84" s="261">
        <v>3.1965926243999999E-2</v>
      </c>
      <c r="N84" s="282">
        <f t="shared" ca="1" si="68"/>
        <v>5.5931485427848306</v>
      </c>
      <c r="O84" s="4" t="s">
        <v>421</v>
      </c>
      <c r="P84" s="702">
        <f ca="1">(P81*P82*P83)^(1/3)</f>
        <v>57.442429846058239</v>
      </c>
      <c r="Q84" s="708">
        <f t="shared" ref="Q84:Y84" ca="1" si="104">(Q81*Q82*Q83)^(1/3)</f>
        <v>51.980257363192045</v>
      </c>
      <c r="R84" s="704">
        <f t="shared" ca="1" si="104"/>
        <v>48.194899123483246</v>
      </c>
      <c r="S84" s="704">
        <f t="shared" ca="1" si="104"/>
        <v>45.630177421257265</v>
      </c>
      <c r="T84" s="704">
        <f t="shared" ca="1" si="104"/>
        <v>42.473300477648195</v>
      </c>
      <c r="U84" s="704">
        <f t="shared" ca="1" si="104"/>
        <v>40.29314158355529</v>
      </c>
      <c r="V84" s="704">
        <f t="shared" ca="1" si="104"/>
        <v>38.00762841197114</v>
      </c>
      <c r="W84" s="705">
        <f t="shared" ca="1" si="104"/>
        <v>35.762557430856994</v>
      </c>
      <c r="X84" s="705">
        <f t="shared" ca="1" si="104"/>
        <v>32.565514033470293</v>
      </c>
      <c r="Y84" s="705">
        <f t="shared" ca="1" si="104"/>
        <v>30.518681787914353</v>
      </c>
      <c r="Z84" s="6">
        <f t="shared" ca="1" si="103"/>
        <v>422.8685874794071</v>
      </c>
      <c r="AA84" s="622">
        <v>3.90625E-2</v>
      </c>
      <c r="AB84" s="622"/>
      <c r="AC84" s="614" t="s">
        <v>448</v>
      </c>
      <c r="AD84" s="616"/>
      <c r="AE84" s="315"/>
      <c r="AF84" s="502" t="s">
        <v>411</v>
      </c>
      <c r="AG84" s="266">
        <v>3.5</v>
      </c>
      <c r="AH84" s="453">
        <f ca="1">COUNTIF(BV!$D$10:$D$54,"&gt;="&amp;ASB!AG84)</f>
        <v>29</v>
      </c>
      <c r="AI84" s="637" t="s">
        <v>765</v>
      </c>
      <c r="AJ84" s="638"/>
      <c r="AL84" s="315"/>
      <c r="AM84" s="315"/>
      <c r="AN84" s="433">
        <v>59</v>
      </c>
      <c r="AO84" s="300">
        <f ca="1">BV!C84</f>
        <v>21.36</v>
      </c>
      <c r="AP84" s="300">
        <f ca="1">BV!K84</f>
        <v>21.62</v>
      </c>
      <c r="AQ84" s="300">
        <f ca="1">BV!S84</f>
        <v>21.67</v>
      </c>
      <c r="AR84" s="301">
        <f ca="1">BV!AA84</f>
        <v>22.16</v>
      </c>
      <c r="AS84" s="301">
        <f ca="1">BV!AI84</f>
        <v>22.2</v>
      </c>
      <c r="AT84" s="301">
        <f ca="1">BV!AQ84</f>
        <v>22.23</v>
      </c>
      <c r="AU84" s="301">
        <f ca="1">BV!AY84</f>
        <v>22.43</v>
      </c>
      <c r="AV84" s="301">
        <f ca="1">BV!BG84</f>
        <v>22.74</v>
      </c>
      <c r="AW84" s="301">
        <f ca="1">BV!BO84</f>
        <v>23.09</v>
      </c>
      <c r="AX84" s="301">
        <f ca="1">BV!BW84</f>
        <v>23.52</v>
      </c>
      <c r="AY84" s="15" t="s">
        <v>65</v>
      </c>
      <c r="AZ84" s="258">
        <f t="shared" si="71"/>
        <v>1.4953127069401102</v>
      </c>
      <c r="BA84" s="261">
        <v>3.1965926243999999E-2</v>
      </c>
      <c r="BB84" s="268">
        <v>0.24806178544499999</v>
      </c>
      <c r="BC84" s="268">
        <f t="shared" si="72"/>
        <v>0.12886275968164976</v>
      </c>
      <c r="BD84" s="269">
        <f ca="1">IF(BV!H84="","",INT(NOW()-BV!H84))</f>
        <v>363</v>
      </c>
      <c r="BE84" s="260">
        <f t="shared" si="86"/>
        <v>5.5931485427848306</v>
      </c>
      <c r="BF84" s="301">
        <f ca="1">BV!G84</f>
        <v>49.806785853878338</v>
      </c>
      <c r="BG84" s="301">
        <f ca="1">BV!O84</f>
        <v>48.792825327430243</v>
      </c>
      <c r="BH84" s="301">
        <f ca="1">BV!W84</f>
        <v>48.601591359750977</v>
      </c>
      <c r="BI84" s="301">
        <f ca="1">BV!AE84</f>
        <v>46.788815795536713</v>
      </c>
      <c r="BJ84" s="301">
        <f ca="1">BV!AM84</f>
        <v>46.645589098552172</v>
      </c>
      <c r="BK84" s="301">
        <f ca="1">BV!AU84</f>
        <v>46.538625479860599</v>
      </c>
      <c r="BL84" s="301">
        <f ca="1">BV!BC84</f>
        <v>45.835383957364648</v>
      </c>
      <c r="BM84" s="301">
        <f ca="1">BV!BK84</f>
        <v>44.778223142980991</v>
      </c>
      <c r="BN84" s="301">
        <f ca="1">BV!BS84</f>
        <v>43.630476179189124</v>
      </c>
      <c r="BO84" s="301">
        <f ca="1">BV!CA84</f>
        <v>42.283136898163846</v>
      </c>
      <c r="BP84" s="433">
        <v>59</v>
      </c>
      <c r="BQ84" s="11">
        <f ca="1">IFERROR(YEAR(OFFSET(BV!$H84,,(COLUMN()-69)*8)),"")</f>
        <v>2019</v>
      </c>
      <c r="BR84" s="11">
        <f ca="1">IFERROR(YEAR(OFFSET(BV!$H84,,(COLUMN()-69)*8)),"")</f>
        <v>2020</v>
      </c>
      <c r="BS84" s="11">
        <f ca="1">IFERROR(YEAR(OFFSET(BV!$H84,,(COLUMN()-69)*8)),"")</f>
        <v>2020</v>
      </c>
      <c r="BT84" s="11">
        <f ca="1">IFERROR(YEAR(OFFSET(BV!$H84,,(COLUMN()-69)*8)),"")</f>
        <v>2019</v>
      </c>
      <c r="BU84" s="11">
        <f ca="1">IFERROR(YEAR(OFFSET(BV!$H84,,(COLUMN()-69)*8)),"")</f>
        <v>2020</v>
      </c>
      <c r="BV84" s="11">
        <f ca="1">IFERROR(YEAR(OFFSET(BV!$H84,,(COLUMN()-69)*8)),"")</f>
        <v>2020</v>
      </c>
      <c r="BW84" s="11">
        <f ca="1">IFERROR(YEAR(OFFSET(BV!$H84,,(COLUMN()-69)*8)),"")</f>
        <v>2020</v>
      </c>
      <c r="BX84" s="11">
        <f ca="1">IFERROR(YEAR(OFFSET(BV!$H84,,(COLUMN()-69)*8)),"")</f>
        <v>2020</v>
      </c>
      <c r="BY84" s="11">
        <f ca="1">IFERROR(YEAR(OFFSET(BV!$H84,,(COLUMN()-69)*8)),"")</f>
        <v>2019</v>
      </c>
      <c r="BZ84" s="11">
        <f ca="1">IFERROR(YEAR(OFFSET(BV!$H84,,(COLUMN()-69)*8)),"")</f>
        <v>2020</v>
      </c>
    </row>
    <row r="85" spans="1:78" x14ac:dyDescent="0.25">
      <c r="A85" s="433">
        <v>60</v>
      </c>
      <c r="B85" s="298">
        <f ca="1">BV!D85</f>
        <v>2.6075619295958279</v>
      </c>
      <c r="C85" s="298">
        <f ca="1">BV!L85</f>
        <v>2.604166666666667</v>
      </c>
      <c r="D85" s="298">
        <f ca="1">BV!T85</f>
        <v>2.5651988029072252</v>
      </c>
      <c r="E85" s="298">
        <f ca="1">BV!AB85</f>
        <v>2.509410288582183</v>
      </c>
      <c r="F85" s="298">
        <f ca="1">BV!AJ85</f>
        <v>2.5</v>
      </c>
      <c r="G85" s="299">
        <f ca="1">BV!AR85</f>
        <v>2.4958402662229617</v>
      </c>
      <c r="H85" s="299">
        <f ca="1">BV!AZ85</f>
        <v>2.4489795918367347</v>
      </c>
      <c r="I85" s="299">
        <f ca="1">BV!BH85</f>
        <v>2.4390243902439024</v>
      </c>
      <c r="J85" s="299">
        <f ca="1">BV!BP85</f>
        <v>2.4301336573511541</v>
      </c>
      <c r="K85" s="299">
        <f ca="1">BV!BX85</f>
        <v>2.4106066693451185</v>
      </c>
      <c r="L85" s="15" t="s">
        <v>102</v>
      </c>
      <c r="M85" s="261">
        <v>3.2917946007000001E-2</v>
      </c>
      <c r="N85" s="282">
        <f t="shared" ca="1" si="68"/>
        <v>5.5116754386497293</v>
      </c>
      <c r="O85" s="317"/>
      <c r="P85" s="317"/>
      <c r="Q85" s="317"/>
      <c r="R85" s="317"/>
      <c r="S85" s="317"/>
      <c r="T85" s="317"/>
      <c r="U85" s="317"/>
      <c r="V85" s="317"/>
      <c r="W85" s="317"/>
      <c r="X85" s="317"/>
      <c r="Y85" s="317"/>
      <c r="AA85" s="622">
        <v>3.90625E-2</v>
      </c>
      <c r="AB85" s="622"/>
      <c r="AC85" s="614" t="s">
        <v>449</v>
      </c>
      <c r="AD85" s="616"/>
      <c r="AE85" s="315"/>
      <c r="AF85" s="502" t="s">
        <v>411</v>
      </c>
      <c r="AG85" s="266">
        <v>4</v>
      </c>
      <c r="AH85" s="453">
        <f ca="1">COUNTIF(BV!$D$10:$D$54,"&gt;="&amp;ASB!AG85)</f>
        <v>18</v>
      </c>
      <c r="AI85" s="637" t="s">
        <v>770</v>
      </c>
      <c r="AJ85" s="638"/>
      <c r="AL85" s="315"/>
      <c r="AM85" s="315"/>
      <c r="AN85" s="433">
        <v>60</v>
      </c>
      <c r="AO85" s="301">
        <f ca="1">BV!C85</f>
        <v>23.01</v>
      </c>
      <c r="AP85" s="301">
        <f ca="1">BV!K85</f>
        <v>23.04</v>
      </c>
      <c r="AQ85" s="301">
        <f ca="1">BV!S85</f>
        <v>23.39</v>
      </c>
      <c r="AR85" s="301">
        <f ca="1">BV!AA85</f>
        <v>23.91</v>
      </c>
      <c r="AS85" s="302">
        <f ca="1">BV!AI85</f>
        <v>24</v>
      </c>
      <c r="AT85" s="302">
        <f ca="1">BV!AQ85</f>
        <v>24.04</v>
      </c>
      <c r="AU85" s="302">
        <f ca="1">BV!AY85</f>
        <v>24.5</v>
      </c>
      <c r="AV85" s="302">
        <f ca="1">BV!BG85</f>
        <v>24.6</v>
      </c>
      <c r="AW85" s="302">
        <f ca="1">BV!BO85</f>
        <v>24.69</v>
      </c>
      <c r="AX85" s="302">
        <f ca="1">BV!BW85</f>
        <v>24.89</v>
      </c>
      <c r="AY85" s="15" t="s">
        <v>65</v>
      </c>
      <c r="AZ85" s="258">
        <f t="shared" si="71"/>
        <v>1.4825672714444456</v>
      </c>
      <c r="BA85" s="261">
        <v>3.2917946007000001E-2</v>
      </c>
      <c r="BB85" s="287">
        <v>0.33141692400599998</v>
      </c>
      <c r="BC85" s="287">
        <f t="shared" si="72"/>
        <v>9.9324879396937654E-2</v>
      </c>
      <c r="BD85" s="13">
        <f ca="1">IF(BV!H85="","",INT(NOW()-BV!H85))</f>
        <v>383</v>
      </c>
      <c r="BE85" s="260">
        <f t="shared" si="86"/>
        <v>5.5116754386497293</v>
      </c>
      <c r="BF85" s="301">
        <f ca="1">BV!G85</f>
        <v>44.632542358996893</v>
      </c>
      <c r="BG85" s="301">
        <f ca="1">BV!O85</f>
        <v>44.533791396876175</v>
      </c>
      <c r="BH85" s="301">
        <f ca="1">BV!W85</f>
        <v>43.406872978724735</v>
      </c>
      <c r="BI85" s="301">
        <f ca="1">BV!AE85</f>
        <v>41.81427760251097</v>
      </c>
      <c r="BJ85" s="301">
        <f ca="1">BV!AM85</f>
        <v>41.548061582056476</v>
      </c>
      <c r="BK85" s="301">
        <f ca="1">BV!AU85</f>
        <v>41.430606399744725</v>
      </c>
      <c r="BL85" s="301">
        <f ca="1">BV!BC85</f>
        <v>40.11691554118859</v>
      </c>
      <c r="BM85" s="301">
        <f ca="1">BV!BK85</f>
        <v>39.84007941853244</v>
      </c>
      <c r="BN85" s="301">
        <f ca="1">BV!BS85</f>
        <v>39.59351188066266</v>
      </c>
      <c r="BO85" s="301">
        <f ca="1">BV!CA85</f>
        <v>39.05418267485426</v>
      </c>
      <c r="BP85" s="433">
        <v>60</v>
      </c>
      <c r="BQ85" s="11">
        <f ca="1">IFERROR(YEAR(OFFSET(BV!$H85,,(COLUMN()-69)*8)),"")</f>
        <v>2019</v>
      </c>
      <c r="BR85" s="11">
        <f ca="1">IFERROR(YEAR(OFFSET(BV!$H85,,(COLUMN()-69)*8)),"")</f>
        <v>2019</v>
      </c>
      <c r="BS85" s="11">
        <f ca="1">IFERROR(YEAR(OFFSET(BV!$H85,,(COLUMN()-69)*8)),"")</f>
        <v>2019</v>
      </c>
      <c r="BT85" s="11">
        <f ca="1">IFERROR(YEAR(OFFSET(BV!$H85,,(COLUMN()-69)*8)),"")</f>
        <v>2020</v>
      </c>
      <c r="BU85" s="11">
        <f ca="1">IFERROR(YEAR(OFFSET(BV!$H85,,(COLUMN()-69)*8)),"")</f>
        <v>2019</v>
      </c>
      <c r="BV85" s="11">
        <f ca="1">IFERROR(YEAR(OFFSET(BV!$H85,,(COLUMN()-69)*8)),"")</f>
        <v>2019</v>
      </c>
      <c r="BW85" s="11">
        <f ca="1">IFERROR(YEAR(OFFSET(BV!$H85,,(COLUMN()-69)*8)),"")</f>
        <v>2020</v>
      </c>
      <c r="BX85" s="11">
        <f ca="1">IFERROR(YEAR(OFFSET(BV!$H85,,(COLUMN()-69)*8)),"")</f>
        <v>2019</v>
      </c>
      <c r="BY85" s="11">
        <f ca="1">IFERROR(YEAR(OFFSET(BV!$H85,,(COLUMN()-69)*8)),"")</f>
        <v>2019</v>
      </c>
      <c r="BZ85" s="11">
        <f ca="1">IFERROR(YEAR(OFFSET(BV!$H85,,(COLUMN()-69)*8)),"")</f>
        <v>2020</v>
      </c>
    </row>
    <row r="86" spans="1:78" x14ac:dyDescent="0.25">
      <c r="A86" s="433">
        <v>61</v>
      </c>
      <c r="B86" s="298">
        <f ca="1">BV!D86</f>
        <v>2.5555090071219104</v>
      </c>
      <c r="C86" s="299">
        <f ca="1">BV!L86</f>
        <v>2.4948875255623721</v>
      </c>
      <c r="D86" s="299">
        <f ca="1">BV!T86</f>
        <v>2.4928483857785042</v>
      </c>
      <c r="E86" s="299">
        <f ca="1">BV!AB86</f>
        <v>2.3707734162456275</v>
      </c>
      <c r="F86" s="299">
        <f ca="1">BV!AJ86</f>
        <v>2.3443504996156803</v>
      </c>
      <c r="G86" s="299">
        <f ca="1">BV!AR86</f>
        <v>2.2958223560406474</v>
      </c>
      <c r="H86" s="299">
        <f ca="1">BV!AZ86</f>
        <v>2.2915101427498121</v>
      </c>
      <c r="I86" s="299">
        <f ca="1">BV!BH86</f>
        <v>2.2880720180045011</v>
      </c>
      <c r="J86" s="299">
        <f ca="1">BV!BP86</f>
        <v>2.2668153102935711</v>
      </c>
      <c r="K86" s="299">
        <f ca="1">BV!BX86</f>
        <v>2.2584228063680118</v>
      </c>
      <c r="L86" s="15" t="s">
        <v>102</v>
      </c>
      <c r="M86" s="261">
        <v>3.3627608885E-2</v>
      </c>
      <c r="N86" s="282">
        <f t="shared" ca="1" si="68"/>
        <v>5.4532072848045043</v>
      </c>
      <c r="O86" s="4" t="str">
        <f>IF(Arb!$AJ$28=1,"Number","局数")</f>
        <v>局数</v>
      </c>
      <c r="P86" s="4" t="s">
        <v>6</v>
      </c>
      <c r="Q86" s="4" t="s">
        <v>2</v>
      </c>
      <c r="R86" s="4" t="s">
        <v>0</v>
      </c>
      <c r="S86" s="4" t="s">
        <v>37</v>
      </c>
      <c r="T86" s="4" t="str">
        <f>IF(Arb!$AJ$28=1,"NT%","NT%")</f>
        <v>NT%</v>
      </c>
      <c r="U86" s="4" t="str">
        <f>IF(Arb!$AJ$28=1,"Score","分值")</f>
        <v>分值</v>
      </c>
      <c r="V86" s="601" t="str">
        <f>IF(Arb!$AJ$28=1,"Title","称号")</f>
        <v>称号</v>
      </c>
      <c r="W86" s="602"/>
      <c r="X86" s="15" t="s">
        <v>377</v>
      </c>
      <c r="Y86" s="317"/>
      <c r="AA86" s="622">
        <v>0.1953125</v>
      </c>
      <c r="AB86" s="622"/>
      <c r="AC86" s="607" t="str">
        <f>IF(Arb!$AJ$28=1,"Recalc","整表重算")</f>
        <v>整表重算</v>
      </c>
      <c r="AD86" s="609"/>
      <c r="AE86" s="315"/>
      <c r="AF86" s="502" t="s">
        <v>411</v>
      </c>
      <c r="AG86" s="266">
        <v>4.5</v>
      </c>
      <c r="AH86" s="453">
        <f ca="1">COUNTIF(BV!$D$10:$D$54,"&gt;="&amp;ASB!AG86)</f>
        <v>3</v>
      </c>
      <c r="AI86" s="637" t="s">
        <v>663</v>
      </c>
      <c r="AJ86" s="638"/>
      <c r="AK86" s="315"/>
      <c r="AL86" s="315"/>
      <c r="AM86" s="315"/>
      <c r="AN86" s="433">
        <v>61</v>
      </c>
      <c r="AO86" s="301">
        <f ca="1">BV!C86</f>
        <v>23.87</v>
      </c>
      <c r="AP86" s="302">
        <f ca="1">BV!K86</f>
        <v>24.45</v>
      </c>
      <c r="AQ86" s="302">
        <f ca="1">BV!S86</f>
        <v>24.47</v>
      </c>
      <c r="AR86" s="302">
        <f ca="1">BV!AA86</f>
        <v>25.73</v>
      </c>
      <c r="AS86" s="660">
        <f ca="1">BV!AI86</f>
        <v>26.02</v>
      </c>
      <c r="AT86" s="660">
        <f ca="1">BV!AQ86</f>
        <v>26.57</v>
      </c>
      <c r="AU86" s="660">
        <f ca="1">BV!AY86</f>
        <v>26.62</v>
      </c>
      <c r="AV86" s="660">
        <f ca="1">BV!BG86</f>
        <v>26.66</v>
      </c>
      <c r="AW86" s="660">
        <f ca="1">BV!BO86</f>
        <v>26.91</v>
      </c>
      <c r="AX86" s="660">
        <f ca="1">BV!BW86</f>
        <v>27.01</v>
      </c>
      <c r="AY86" s="15" t="s">
        <v>65</v>
      </c>
      <c r="AZ86" s="258">
        <f t="shared" ref="AZ86:AZ117" si="105">0-LOG10(M86)</f>
        <v>1.4733040124049306</v>
      </c>
      <c r="BA86" s="261">
        <v>3.3627608885E-2</v>
      </c>
      <c r="BB86" s="287">
        <v>0.33141692400599998</v>
      </c>
      <c r="BC86" s="287">
        <f t="shared" si="72"/>
        <v>0.10146617884966914</v>
      </c>
      <c r="BD86" s="13">
        <f ca="1">IF(BV!H86="","",INT(NOW()-BV!H86))</f>
        <v>380</v>
      </c>
      <c r="BE86" s="260">
        <f t="shared" si="86"/>
        <v>5.4532072848045035</v>
      </c>
      <c r="BF86" s="301">
        <f ca="1">BV!G86</f>
        <v>42.632357577701548</v>
      </c>
      <c r="BG86" s="301">
        <f ca="1">BV!O86</f>
        <v>40.927422454164663</v>
      </c>
      <c r="BH86" s="301">
        <f ca="1">BV!W86</f>
        <v>40.870571850862994</v>
      </c>
      <c r="BI86" s="301">
        <f ca="1">BV!AE86</f>
        <v>37.526738906726798</v>
      </c>
      <c r="BJ86" s="302">
        <f ca="1">BV!AM86</f>
        <v>36.818497813285745</v>
      </c>
      <c r="BK86" s="302">
        <f ca="1">BV!AU86</f>
        <v>35.532259049777352</v>
      </c>
      <c r="BL86" s="302">
        <f ca="1">BV!BC86</f>
        <v>35.418876024322685</v>
      </c>
      <c r="BM86" s="302">
        <f ca="1">BV!BK86</f>
        <v>35.328582753139941</v>
      </c>
      <c r="BN86" s="302">
        <f ca="1">BV!BS86</f>
        <v>34.772440766580999</v>
      </c>
      <c r="BO86" s="302">
        <f ca="1">BV!CA86</f>
        <v>34.553867937543593</v>
      </c>
      <c r="BP86" s="433">
        <v>61</v>
      </c>
      <c r="BQ86" s="11">
        <f ca="1">IFERROR(YEAR(OFFSET(BV!$H86,,(COLUMN()-69)*8)),"")</f>
        <v>2019</v>
      </c>
      <c r="BR86" s="11">
        <f ca="1">IFERROR(YEAR(OFFSET(BV!$H86,,(COLUMN()-69)*8)),"")</f>
        <v>2020</v>
      </c>
      <c r="BS86" s="11">
        <f ca="1">IFERROR(YEAR(OFFSET(BV!$H86,,(COLUMN()-69)*8)),"")</f>
        <v>2020</v>
      </c>
      <c r="BT86" s="11">
        <f ca="1">IFERROR(YEAR(OFFSET(BV!$H86,,(COLUMN()-69)*8)),"")</f>
        <v>2020</v>
      </c>
      <c r="BU86" s="11">
        <f ca="1">IFERROR(YEAR(OFFSET(BV!$H86,,(COLUMN()-69)*8)),"")</f>
        <v>2019</v>
      </c>
      <c r="BV86" s="11">
        <f ca="1">IFERROR(YEAR(OFFSET(BV!$H86,,(COLUMN()-69)*8)),"")</f>
        <v>2020</v>
      </c>
      <c r="BW86" s="11">
        <f ca="1">IFERROR(YEAR(OFFSET(BV!$H86,,(COLUMN()-69)*8)),"")</f>
        <v>2019</v>
      </c>
      <c r="BX86" s="11">
        <f ca="1">IFERROR(YEAR(OFFSET(BV!$H86,,(COLUMN()-69)*8)),"")</f>
        <v>2019</v>
      </c>
      <c r="BY86" s="11">
        <f ca="1">IFERROR(YEAR(OFFSET(BV!$H86,,(COLUMN()-69)*8)),"")</f>
        <v>2020</v>
      </c>
      <c r="BZ86" s="11">
        <f ca="1">IFERROR(YEAR(OFFSET(BV!$H86,,(COLUMN()-69)*8)),"")</f>
        <v>2019</v>
      </c>
    </row>
    <row r="87" spans="1:78" x14ac:dyDescent="0.25">
      <c r="A87" s="433">
        <v>62</v>
      </c>
      <c r="B87" s="297">
        <f ca="1">BV!D87</f>
        <v>2.8904428904428907</v>
      </c>
      <c r="C87" s="297">
        <f ca="1">BV!L87</f>
        <v>2.8505747126436782</v>
      </c>
      <c r="D87" s="297">
        <f ca="1">BV!T87</f>
        <v>2.8143440762596459</v>
      </c>
      <c r="E87" s="297">
        <f ca="1">BV!AB87</f>
        <v>2.7580071174377223</v>
      </c>
      <c r="F87" s="298">
        <f ca="1">BV!AJ87</f>
        <v>2.7109750765194578</v>
      </c>
      <c r="G87" s="298">
        <f ca="1">BV!AR87</f>
        <v>2.5974025974025974</v>
      </c>
      <c r="H87" s="299">
        <f ca="1">BV!AZ87</f>
        <v>2.4760383386581473</v>
      </c>
      <c r="I87" s="299">
        <f ca="1">BV!BH87</f>
        <v>2.4544734758511479</v>
      </c>
      <c r="J87" s="299">
        <f ca="1">BV!BP87</f>
        <v>2.4505928853754941</v>
      </c>
      <c r="K87" s="299">
        <f ca="1">BV!BX87</f>
        <v>2.4304194433555466</v>
      </c>
      <c r="L87" s="15" t="s">
        <v>102</v>
      </c>
      <c r="M87" s="261">
        <v>3.4085678314000001E-2</v>
      </c>
      <c r="N87" s="282">
        <f t="shared" ca="1" si="68"/>
        <v>5.4164411578964913</v>
      </c>
      <c r="O87" s="292">
        <v>1</v>
      </c>
      <c r="P87" s="292">
        <f ca="1">Time!D2/$O87</f>
        <v>3</v>
      </c>
      <c r="Q87" s="318">
        <f ca="1">Bvs!E2/$O87</f>
        <v>4.8780487804878048</v>
      </c>
      <c r="R87" s="318">
        <f ca="1">QG!H2/$O87</f>
        <v>0.51129590843483819</v>
      </c>
      <c r="S87" s="319">
        <f ca="1">47.299/R87</f>
        <v>92.508074521445138</v>
      </c>
      <c r="T87" s="761">
        <f ca="1">IFERROR((Arb!$AR$29*Arb!$AQ$29)/R87+(Arb!$AR$28/Arb!$AQ$28)*Q87+(Arb!$AR$27*Arb!$AQ$27)/P87,"")</f>
        <v>52.300040008093163</v>
      </c>
      <c r="U87" s="761">
        <f ca="1">T87*5</f>
        <v>261.50020004046581</v>
      </c>
      <c r="V87" s="762" t="str">
        <f ca="1">titleg3(T87)</f>
        <v>探花1.94阶</v>
      </c>
      <c r="W87" s="625"/>
      <c r="X87" s="311">
        <f ca="1">S87*Q87/P87/Arb!AS27</f>
        <v>1.9309323924031254</v>
      </c>
      <c r="Y87" s="317"/>
      <c r="AA87" s="622">
        <v>1.484375</v>
      </c>
      <c r="AB87" s="622"/>
      <c r="AC87" s="623" t="str">
        <f>IF(Arb!$AJ$28=1,"Color","填色")</f>
        <v>填色</v>
      </c>
      <c r="AD87" s="606"/>
      <c r="AE87" s="315"/>
      <c r="AF87" s="502" t="s">
        <v>411</v>
      </c>
      <c r="AG87" s="266">
        <v>5</v>
      </c>
      <c r="AH87" s="453">
        <f ca="1">COUNTIF(BV!$D$10:$D$54,"&gt;="&amp;ASB!AG87)</f>
        <v>0</v>
      </c>
      <c r="AI87" s="637" t="s">
        <v>651</v>
      </c>
      <c r="AJ87" s="638"/>
      <c r="AK87" s="315"/>
      <c r="AL87" s="315"/>
      <c r="AM87" s="315"/>
      <c r="AN87" s="433">
        <v>62</v>
      </c>
      <c r="AO87" s="300">
        <f ca="1">BV!C87</f>
        <v>21.45</v>
      </c>
      <c r="AP87" s="300">
        <f ca="1">BV!K87</f>
        <v>21.75</v>
      </c>
      <c r="AQ87" s="301">
        <f ca="1">BV!S87</f>
        <v>22.03</v>
      </c>
      <c r="AR87" s="301">
        <f ca="1">BV!AA87</f>
        <v>22.48</v>
      </c>
      <c r="AS87" s="301">
        <f ca="1">BV!AI87</f>
        <v>22.87</v>
      </c>
      <c r="AT87" s="301">
        <f ca="1">BV!AQ87</f>
        <v>23.87</v>
      </c>
      <c r="AU87" s="302">
        <f ca="1">BV!AY87</f>
        <v>25.04</v>
      </c>
      <c r="AV87" s="302">
        <f ca="1">BV!BG87</f>
        <v>25.26</v>
      </c>
      <c r="AW87" s="302">
        <f ca="1">BV!BO87</f>
        <v>25.3</v>
      </c>
      <c r="AX87" s="302">
        <f ca="1">BV!BW87</f>
        <v>25.51</v>
      </c>
      <c r="AY87" s="15" t="s">
        <v>65</v>
      </c>
      <c r="AZ87" s="258">
        <f t="shared" si="105"/>
        <v>1.467428059004648</v>
      </c>
      <c r="BA87" s="261">
        <v>3.4085678314000001E-2</v>
      </c>
      <c r="BB87" s="287">
        <v>0.33141692400599998</v>
      </c>
      <c r="BC87" s="287">
        <f t="shared" si="72"/>
        <v>0.10284833345862239</v>
      </c>
      <c r="BD87" s="13">
        <f ca="1">IF(BV!H87="","",INT(NOW()-BV!H87))</f>
        <v>74</v>
      </c>
      <c r="BE87" s="260">
        <f t="shared" si="86"/>
        <v>5.4164411578964913</v>
      </c>
      <c r="BF87" s="300">
        <f ca="1">BV!G87</f>
        <v>51.966553246325482</v>
      </c>
      <c r="BG87" s="300">
        <f ca="1">BV!O87</f>
        <v>50.753917860335378</v>
      </c>
      <c r="BH87" s="301">
        <f ca="1">BV!W87</f>
        <v>49.662167632082323</v>
      </c>
      <c r="BI87" s="301">
        <f ca="1">BV!AE87</f>
        <v>47.984016190745443</v>
      </c>
      <c r="BJ87" s="301">
        <f ca="1">BV!AM87</f>
        <v>46.601279056095812</v>
      </c>
      <c r="BK87" s="301">
        <f ca="1">BV!AU87</f>
        <v>43.331248685532721</v>
      </c>
      <c r="BL87" s="301">
        <f ca="1">BV!BC87</f>
        <v>39.945877419191874</v>
      </c>
      <c r="BM87" s="301">
        <f ca="1">BV!BK87</f>
        <v>39.35624252021541</v>
      </c>
      <c r="BN87" s="301">
        <f ca="1">BV!BS87</f>
        <v>39.250521439488978</v>
      </c>
      <c r="BO87" s="301">
        <f ca="1">BV!CA87</f>
        <v>38.702813486712451</v>
      </c>
      <c r="BP87" s="433">
        <v>62</v>
      </c>
      <c r="BQ87" s="11">
        <f ca="1">IFERROR(YEAR(OFFSET(BV!$H87,,(COLUMN()-69)*8)),"")</f>
        <v>2020</v>
      </c>
      <c r="BR87" s="11">
        <f ca="1">IFERROR(YEAR(OFFSET(BV!$H87,,(COLUMN()-69)*8)),"")</f>
        <v>2020</v>
      </c>
      <c r="BS87" s="11">
        <f ca="1">IFERROR(YEAR(OFFSET(BV!$H87,,(COLUMN()-69)*8)),"")</f>
        <v>2020</v>
      </c>
      <c r="BT87" s="11">
        <f ca="1">IFERROR(YEAR(OFFSET(BV!$H87,,(COLUMN()-69)*8)),"")</f>
        <v>2019</v>
      </c>
      <c r="BU87" s="11">
        <f ca="1">IFERROR(YEAR(OFFSET(BV!$H87,,(COLUMN()-69)*8)),"")</f>
        <v>2020</v>
      </c>
      <c r="BV87" s="11">
        <f ca="1">IFERROR(YEAR(OFFSET(BV!$H87,,(COLUMN()-69)*8)),"")</f>
        <v>2019</v>
      </c>
      <c r="BW87" s="11">
        <f ca="1">IFERROR(YEAR(OFFSET(BV!$H87,,(COLUMN()-69)*8)),"")</f>
        <v>2019</v>
      </c>
      <c r="BX87" s="11">
        <f ca="1">IFERROR(YEAR(OFFSET(BV!$H87,,(COLUMN()-69)*8)),"")</f>
        <v>2020</v>
      </c>
      <c r="BY87" s="11">
        <f ca="1">IFERROR(YEAR(OFFSET(BV!$H87,,(COLUMN()-69)*8)),"")</f>
        <v>2019</v>
      </c>
      <c r="BZ87" s="11">
        <f ca="1">IFERROR(YEAR(OFFSET(BV!$H87,,(COLUMN()-69)*8)),"")</f>
        <v>2019</v>
      </c>
    </row>
    <row r="88" spans="1:78" x14ac:dyDescent="0.25">
      <c r="A88" s="433">
        <v>63</v>
      </c>
      <c r="B88" s="298">
        <f ca="1">BV!D88</f>
        <v>2.7331887201735356</v>
      </c>
      <c r="C88" s="298">
        <f ca="1">BV!L88</f>
        <v>2.703862660944206</v>
      </c>
      <c r="D88" s="298">
        <f ca="1">BV!T88</f>
        <v>2.6900085397096496</v>
      </c>
      <c r="E88" s="298">
        <f ca="1">BV!AB88</f>
        <v>2.5904605263157894</v>
      </c>
      <c r="F88" s="298">
        <f ca="1">BV!AJ88</f>
        <v>2.5189924030387845</v>
      </c>
      <c r="G88" s="299">
        <f ca="1">BV!AR88</f>
        <v>2.4930747922437675</v>
      </c>
      <c r="H88" s="299">
        <f ca="1">BV!AZ88</f>
        <v>2.4842271293375395</v>
      </c>
      <c r="I88" s="299">
        <f ca="1">BV!BH88</f>
        <v>2.4570982839313573</v>
      </c>
      <c r="J88" s="299">
        <f ca="1">BV!BP88</f>
        <v>2.4504084014002334</v>
      </c>
      <c r="K88" s="299">
        <f ca="1">BV!BX88</f>
        <v>2.4156441717791415</v>
      </c>
      <c r="L88" s="15" t="s">
        <v>102</v>
      </c>
      <c r="M88" s="261">
        <v>3.4288247010000002E-2</v>
      </c>
      <c r="N88" s="282">
        <f t="shared" ca="1" si="68"/>
        <v>5.400417784888182</v>
      </c>
      <c r="O88" s="292">
        <v>1</v>
      </c>
      <c r="P88" s="292">
        <f ca="1">Time!N2/$O88</f>
        <v>13.41</v>
      </c>
      <c r="Q88" s="318">
        <f ca="1">Bvs!O2/$O88</f>
        <v>3.4680014301036826</v>
      </c>
      <c r="R88" s="318">
        <f ca="1">QG!R2/$O88</f>
        <v>2.4351025773436783</v>
      </c>
      <c r="S88" s="319">
        <f ca="1">153.73/R88</f>
        <v>63.130810763502097</v>
      </c>
      <c r="T88" s="18">
        <f ca="1">IFERROR((Arb!$AR$32*Arb!$AQ$32)/R88+(Arb!$AR$31/Arb!$AQ$31)*Q88+(Arb!$AR$30*Arb!$AQ$30)/P88,"")</f>
        <v>59.720504466665012</v>
      </c>
      <c r="U88" s="18">
        <f ca="1">T88*12</f>
        <v>716.64605359998018</v>
      </c>
      <c r="V88" s="763" t="str">
        <f ca="1">titleg3(T88)</f>
        <v>小雷神2.76阶</v>
      </c>
      <c r="W88" s="625"/>
      <c r="X88" s="311">
        <f ca="1">S88*Q88/P88/Arb!AS28</f>
        <v>3.3116538626744632</v>
      </c>
      <c r="Y88" s="317"/>
      <c r="AA88" s="622">
        <v>0.8515625</v>
      </c>
      <c r="AB88" s="622"/>
      <c r="AC88" s="607" t="str">
        <f>IF(Arb!$AJ$28=1,"Saving","保存")</f>
        <v>保存</v>
      </c>
      <c r="AD88" s="609"/>
      <c r="AE88" s="315"/>
      <c r="AF88" s="502" t="s">
        <v>411</v>
      </c>
      <c r="AG88" s="266">
        <v>5.5</v>
      </c>
      <c r="AH88" s="453">
        <f ca="1">COUNTIF(BV!$D$10:$D$54,"&gt;="&amp;ASB!AG88)</f>
        <v>0</v>
      </c>
      <c r="AI88" s="637" t="s">
        <v>651</v>
      </c>
      <c r="AJ88" s="638"/>
      <c r="AK88" s="315"/>
      <c r="AL88" s="315"/>
      <c r="AM88" s="315"/>
      <c r="AN88" s="433">
        <v>63</v>
      </c>
      <c r="AO88" s="301">
        <f ca="1">BV!C88</f>
        <v>23.05</v>
      </c>
      <c r="AP88" s="301">
        <f ca="1">BV!K88</f>
        <v>23.3</v>
      </c>
      <c r="AQ88" s="301">
        <f ca="1">BV!S88</f>
        <v>23.42</v>
      </c>
      <c r="AR88" s="302">
        <f ca="1">BV!AA88</f>
        <v>24.32</v>
      </c>
      <c r="AS88" s="302">
        <f ca="1">BV!AI88</f>
        <v>25.01</v>
      </c>
      <c r="AT88" s="302">
        <f ca="1">BV!AQ88</f>
        <v>25.27</v>
      </c>
      <c r="AU88" s="302">
        <f ca="1">BV!AY88</f>
        <v>25.36</v>
      </c>
      <c r="AV88" s="302">
        <f ca="1">BV!BG88</f>
        <v>25.64</v>
      </c>
      <c r="AW88" s="302">
        <f ca="1">BV!BO88</f>
        <v>25.71</v>
      </c>
      <c r="AX88" s="660">
        <f ca="1">BV!BW88</f>
        <v>26.08</v>
      </c>
      <c r="AY88" s="15" t="s">
        <v>65</v>
      </c>
      <c r="AZ88" s="258">
        <f t="shared" si="105"/>
        <v>1.4648547176655931</v>
      </c>
      <c r="BA88" s="261">
        <v>3.4288247010000002E-2</v>
      </c>
      <c r="BB88" s="287">
        <v>0.33141692400599998</v>
      </c>
      <c r="BC88" s="287">
        <f t="shared" si="72"/>
        <v>0.10345955359050779</v>
      </c>
      <c r="BD88" s="13">
        <f ca="1">IF(BV!H88="","",INT(NOW()-BV!H88))</f>
        <v>66</v>
      </c>
      <c r="BE88" s="260">
        <f t="shared" si="86"/>
        <v>5.400417784888182</v>
      </c>
      <c r="BF88" s="301">
        <f ca="1">BV!G88</f>
        <v>46.725999080981708</v>
      </c>
      <c r="BG88" s="301">
        <f ca="1">BV!O88</f>
        <v>45.876904951650822</v>
      </c>
      <c r="BH88" s="301">
        <f ca="1">BV!W88</f>
        <v>45.478011000500565</v>
      </c>
      <c r="BI88" s="301">
        <f ca="1">BV!AE88</f>
        <v>42.654131804224171</v>
      </c>
      <c r="BJ88" s="301">
        <f ca="1">BV!AM88</f>
        <v>40.672971340172573</v>
      </c>
      <c r="BK88" s="301">
        <f ca="1">BV!AU88</f>
        <v>39.964121013776655</v>
      </c>
      <c r="BL88" s="301">
        <f ca="1">BV!BC88</f>
        <v>39.723312145472789</v>
      </c>
      <c r="BM88" s="301">
        <f ca="1">BV!BK88</f>
        <v>38.988680828119492</v>
      </c>
      <c r="BN88" s="301">
        <f ca="1">BV!BS88</f>
        <v>38.808391815341224</v>
      </c>
      <c r="BO88" s="301">
        <f ca="1">BV!CA88</f>
        <v>37.877061459298879</v>
      </c>
      <c r="BP88" s="433">
        <v>63</v>
      </c>
      <c r="BQ88" s="11">
        <f ca="1">IFERROR(YEAR(OFFSET(BV!$H88,,(COLUMN()-69)*8)),"")</f>
        <v>2020</v>
      </c>
      <c r="BR88" s="11">
        <f ca="1">IFERROR(YEAR(OFFSET(BV!$H88,,(COLUMN()-69)*8)),"")</f>
        <v>2020</v>
      </c>
      <c r="BS88" s="11">
        <f ca="1">IFERROR(YEAR(OFFSET(BV!$H88,,(COLUMN()-69)*8)),"")</f>
        <v>2020</v>
      </c>
      <c r="BT88" s="11">
        <f ca="1">IFERROR(YEAR(OFFSET(BV!$H88,,(COLUMN()-69)*8)),"")</f>
        <v>2020</v>
      </c>
      <c r="BU88" s="11">
        <f ca="1">IFERROR(YEAR(OFFSET(BV!$H88,,(COLUMN()-69)*8)),"")</f>
        <v>2019</v>
      </c>
      <c r="BV88" s="11">
        <f ca="1">IFERROR(YEAR(OFFSET(BV!$H88,,(COLUMN()-69)*8)),"")</f>
        <v>2020</v>
      </c>
      <c r="BW88" s="11">
        <f ca="1">IFERROR(YEAR(OFFSET(BV!$H88,,(COLUMN()-69)*8)),"")</f>
        <v>2020</v>
      </c>
      <c r="BX88" s="11">
        <f ca="1">IFERROR(YEAR(OFFSET(BV!$H88,,(COLUMN()-69)*8)),"")</f>
        <v>2019</v>
      </c>
      <c r="BY88" s="11">
        <f ca="1">IFERROR(YEAR(OFFSET(BV!$H88,,(COLUMN()-69)*8)),"")</f>
        <v>2019</v>
      </c>
      <c r="BZ88" s="11">
        <f ca="1">IFERROR(YEAR(OFFSET(BV!$H88,,(COLUMN()-69)*8)),"")</f>
        <v>2020</v>
      </c>
    </row>
    <row r="89" spans="1:78" x14ac:dyDescent="0.25">
      <c r="A89" s="433">
        <v>64</v>
      </c>
      <c r="B89" s="297">
        <f ca="1">BV!D89</f>
        <v>2.9290617848970251</v>
      </c>
      <c r="C89" s="297">
        <f ca="1">BV!L89</f>
        <v>2.8419182948490231</v>
      </c>
      <c r="D89" s="298">
        <f ca="1">BV!T89</f>
        <v>2.7095681625740897</v>
      </c>
      <c r="E89" s="298">
        <f ca="1">BV!AB89</f>
        <v>2.6947368421052631</v>
      </c>
      <c r="F89" s="298">
        <f ca="1">BV!AJ89</f>
        <v>2.6644462947543714</v>
      </c>
      <c r="G89" s="298">
        <f ca="1">BV!AR89</f>
        <v>2.6380873866446826</v>
      </c>
      <c r="H89" s="298">
        <f ca="1">BV!AZ89</f>
        <v>2.5754527162977867</v>
      </c>
      <c r="I89" s="298">
        <f ca="1">BV!BH89</f>
        <v>2.5548902195608783</v>
      </c>
      <c r="J89" s="298">
        <f ca="1">BV!BP89</f>
        <v>2.5276461295418642</v>
      </c>
      <c r="K89" s="298">
        <f ca="1">BV!BX89</f>
        <v>2.5157232704402515</v>
      </c>
      <c r="L89" s="15" t="s">
        <v>102</v>
      </c>
      <c r="M89" s="261">
        <v>3.4235629734000003E-2</v>
      </c>
      <c r="N89" s="282">
        <f t="shared" ca="1" si="68"/>
        <v>5.404566184938898</v>
      </c>
      <c r="O89" s="292">
        <v>1</v>
      </c>
      <c r="P89" s="292">
        <f ca="1">Time!X2/$O89</f>
        <v>57.36</v>
      </c>
      <c r="Q89" s="318">
        <f ca="1">Bvs!Y2/$O89</f>
        <v>2.8399518652226234</v>
      </c>
      <c r="R89" s="318">
        <f ca="1">QG!AB2/$O89</f>
        <v>6.4880196466748812</v>
      </c>
      <c r="S89" s="319">
        <f ca="1">435.001/R89</f>
        <v>67.046806836187457</v>
      </c>
      <c r="T89" s="18">
        <f ca="1">IFERROR((Arb!$AR$35*Arb!$AQ$35)/R89+(Arb!$AR$34/Arb!$AQ$34)*Q89+(Arb!$AR$33*Arb!$AQ$33)/P89,"")</f>
        <v>59.255171848530949</v>
      </c>
      <c r="U89" s="18">
        <f ca="1">T89*16</f>
        <v>948.08274957649519</v>
      </c>
      <c r="V89" s="763" t="str">
        <f ca="1">titleg3(T89)</f>
        <v>小雷神2.03阶</v>
      </c>
      <c r="W89" s="625"/>
      <c r="X89" s="311">
        <f ca="1">S89*Q89/P89/Arb!AS29</f>
        <v>3.3195555113607309</v>
      </c>
      <c r="Y89" s="317"/>
      <c r="AA89" s="622">
        <v>3.703125</v>
      </c>
      <c r="AB89" s="622"/>
      <c r="AC89" s="594" t="str">
        <f>IF(Arb!$AJ$28=1,"Total","总用时")</f>
        <v>总用时</v>
      </c>
      <c r="AD89" s="594"/>
      <c r="AE89" s="315"/>
      <c r="AF89" s="502" t="s">
        <v>411</v>
      </c>
      <c r="AG89" s="266">
        <v>6</v>
      </c>
      <c r="AH89" s="454">
        <f ca="1">COUNTIF(BV!$D$10:$D$54,"&gt;="&amp;ASB!AG89)</f>
        <v>0</v>
      </c>
      <c r="AI89" s="637" t="s">
        <v>651</v>
      </c>
      <c r="AJ89" s="638"/>
      <c r="AK89" s="315"/>
      <c r="AL89" s="315"/>
      <c r="AM89" s="315"/>
      <c r="AN89" s="433">
        <v>64</v>
      </c>
      <c r="AO89" s="300">
        <f ca="1">BV!C89</f>
        <v>21.85</v>
      </c>
      <c r="AP89" s="301">
        <f ca="1">BV!K89</f>
        <v>22.52</v>
      </c>
      <c r="AQ89" s="301">
        <f ca="1">BV!S89</f>
        <v>23.62</v>
      </c>
      <c r="AR89" s="301">
        <f ca="1">BV!AA89</f>
        <v>23.75</v>
      </c>
      <c r="AS89" s="302">
        <f ca="1">BV!AI89</f>
        <v>24.02</v>
      </c>
      <c r="AT89" s="302">
        <f ca="1">BV!AQ89</f>
        <v>24.26</v>
      </c>
      <c r="AU89" s="302">
        <f ca="1">BV!AY89</f>
        <v>24.85</v>
      </c>
      <c r="AV89" s="302">
        <f ca="1">BV!BG89</f>
        <v>25.05</v>
      </c>
      <c r="AW89" s="302">
        <f ca="1">BV!BO89</f>
        <v>25.32</v>
      </c>
      <c r="AX89" s="302">
        <f ca="1">BV!BW89</f>
        <v>25.44</v>
      </c>
      <c r="AY89" s="15" t="s">
        <v>65</v>
      </c>
      <c r="AZ89" s="258">
        <f t="shared" si="105"/>
        <v>1.4655216792619479</v>
      </c>
      <c r="BA89" s="261">
        <v>3.4235629734000003E-2</v>
      </c>
      <c r="BB89" s="287">
        <v>0.33141692400599998</v>
      </c>
      <c r="BC89" s="287">
        <f t="shared" si="72"/>
        <v>0.10330078898861604</v>
      </c>
      <c r="BD89" s="13">
        <f ca="1">IF(BV!H89="","",INT(NOW()-BV!H89))</f>
        <v>87</v>
      </c>
      <c r="BE89" s="260">
        <f t="shared" si="86"/>
        <v>5.404566184938898</v>
      </c>
      <c r="BF89" s="300">
        <f ca="1">BV!G89</f>
        <v>51.984174392926036</v>
      </c>
      <c r="BG89" s="301">
        <f ca="1">BV!O89</f>
        <v>49.382417249943899</v>
      </c>
      <c r="BH89" s="301">
        <f ca="1">BV!W89</f>
        <v>45.53682876588698</v>
      </c>
      <c r="BI89" s="301">
        <f ca="1">BV!AE89</f>
        <v>45.113908817621073</v>
      </c>
      <c r="BJ89" s="301">
        <f ca="1">BV!AM89</f>
        <v>44.255219175873819</v>
      </c>
      <c r="BK89" s="301">
        <f ca="1">BV!AU89</f>
        <v>43.513523041792979</v>
      </c>
      <c r="BL89" s="301">
        <f ca="1">BV!BC89</f>
        <v>41.771852225311427</v>
      </c>
      <c r="BM89" s="301">
        <f ca="1">BV!BK89</f>
        <v>41.206474558283432</v>
      </c>
      <c r="BN89" s="301">
        <f ca="1">BV!BS89</f>
        <v>40.462276067495004</v>
      </c>
      <c r="BO89" s="301">
        <f ca="1">BV!CA89</f>
        <v>40.138350340660281</v>
      </c>
      <c r="BP89" s="433">
        <v>64</v>
      </c>
      <c r="BQ89" s="11">
        <f ca="1">IFERROR(YEAR(OFFSET(BV!$H89,,(COLUMN()-69)*8)),"")</f>
        <v>2020</v>
      </c>
      <c r="BR89" s="11">
        <f ca="1">IFERROR(YEAR(OFFSET(BV!$H89,,(COLUMN()-69)*8)),"")</f>
        <v>2020</v>
      </c>
      <c r="BS89" s="11">
        <f ca="1">IFERROR(YEAR(OFFSET(BV!$H89,,(COLUMN()-69)*8)),"")</f>
        <v>2019</v>
      </c>
      <c r="BT89" s="11">
        <f ca="1">IFERROR(YEAR(OFFSET(BV!$H89,,(COLUMN()-69)*8)),"")</f>
        <v>2019</v>
      </c>
      <c r="BU89" s="11">
        <f ca="1">IFERROR(YEAR(OFFSET(BV!$H89,,(COLUMN()-69)*8)),"")</f>
        <v>2019</v>
      </c>
      <c r="BV89" s="11">
        <f ca="1">IFERROR(YEAR(OFFSET(BV!$H89,,(COLUMN()-69)*8)),"")</f>
        <v>2019</v>
      </c>
      <c r="BW89" s="11">
        <f ca="1">IFERROR(YEAR(OFFSET(BV!$H89,,(COLUMN()-69)*8)),"")</f>
        <v>2019</v>
      </c>
      <c r="BX89" s="11">
        <f ca="1">IFERROR(YEAR(OFFSET(BV!$H89,,(COLUMN()-69)*8)),"")</f>
        <v>2019</v>
      </c>
      <c r="BY89" s="11">
        <f ca="1">IFERROR(YEAR(OFFSET(BV!$H89,,(COLUMN()-69)*8)),"")</f>
        <v>2019</v>
      </c>
      <c r="BZ89" s="11">
        <f ca="1">IFERROR(YEAR(OFFSET(BV!$H89,,(COLUMN()-69)*8)),"")</f>
        <v>2019</v>
      </c>
    </row>
    <row r="90" spans="1:78" x14ac:dyDescent="0.25">
      <c r="A90" s="433">
        <v>65</v>
      </c>
      <c r="B90" s="297">
        <f ca="1">BV!D90</f>
        <v>2.8458844133099825</v>
      </c>
      <c r="C90" s="297">
        <f ca="1">BV!L90</f>
        <v>2.8322440087145972</v>
      </c>
      <c r="D90" s="297">
        <f ca="1">BV!T90</f>
        <v>2.8102031993082579</v>
      </c>
      <c r="E90" s="297">
        <f ca="1">BV!AB90</f>
        <v>2.8029322984044844</v>
      </c>
      <c r="F90" s="297">
        <f ca="1">BV!AJ90</f>
        <v>2.7671349510429972</v>
      </c>
      <c r="G90" s="298">
        <f ca="1">BV!AR90</f>
        <v>2.6837324525185799</v>
      </c>
      <c r="H90" s="298">
        <f ca="1">BV!AZ90</f>
        <v>2.5865499403103862</v>
      </c>
      <c r="I90" s="298">
        <f ca="1">BV!BH90</f>
        <v>2.5490196078431371</v>
      </c>
      <c r="J90" s="298">
        <f ca="1">BV!BP90</f>
        <v>2.5351014040561624</v>
      </c>
      <c r="K90" s="298">
        <f ca="1">BV!BX90</f>
        <v>2.5193798449612403</v>
      </c>
      <c r="L90" s="15" t="s">
        <v>102</v>
      </c>
      <c r="M90" s="261">
        <v>3.3936546191999997E-2</v>
      </c>
      <c r="N90" s="282">
        <f t="shared" ca="1" si="68"/>
        <v>5.4283292251791044</v>
      </c>
      <c r="O90" s="1"/>
      <c r="P90" s="1">
        <f ca="1">SUM(P87:P89)</f>
        <v>73.77</v>
      </c>
      <c r="Q90" s="165">
        <f ca="1">SUM(Q87:Q89)</f>
        <v>11.186002075814111</v>
      </c>
      <c r="R90" s="165"/>
      <c r="S90" s="21"/>
      <c r="T90" s="18">
        <f ca="1">U90/33</f>
        <v>58.370575855058824</v>
      </c>
      <c r="U90" s="18">
        <f ca="1">SUM(U87:U89)</f>
        <v>1926.2290032169412</v>
      </c>
      <c r="V90" s="763" t="str">
        <f ca="1">titleg3(T90)</f>
        <v>小雷神0.65阶</v>
      </c>
      <c r="W90" s="625"/>
      <c r="X90" s="2">
        <f ca="1">(X87*X88*X89)^(1/3)</f>
        <v>2.768836515137175</v>
      </c>
      <c r="Y90" s="317"/>
      <c r="AA90" s="504" t="s">
        <v>414</v>
      </c>
      <c r="AB90" s="266">
        <v>6</v>
      </c>
      <c r="AC90" s="31">
        <f ca="1">COUNTIF(BV!$C$2:$C$54,"&lt;"&amp;ASB!AB90)</f>
        <v>23</v>
      </c>
      <c r="AD90" s="637" t="s">
        <v>767</v>
      </c>
      <c r="AE90" s="638"/>
      <c r="AF90" s="502" t="s">
        <v>411</v>
      </c>
      <c r="AG90" s="266">
        <v>6.5</v>
      </c>
      <c r="AH90" s="499">
        <f ca="1">COUNTIF(BV!$D$10:$D$54,"&gt;="&amp;ASB!AG90)</f>
        <v>0</v>
      </c>
      <c r="AI90" s="637" t="s">
        <v>651</v>
      </c>
      <c r="AJ90" s="638"/>
      <c r="AK90" s="315"/>
      <c r="AL90" s="315"/>
      <c r="AM90" s="315"/>
      <c r="AN90" s="433">
        <v>65</v>
      </c>
      <c r="AO90" s="301">
        <f ca="1">BV!C90</f>
        <v>22.84</v>
      </c>
      <c r="AP90" s="301">
        <f ca="1">BV!K90</f>
        <v>22.95</v>
      </c>
      <c r="AQ90" s="301">
        <f ca="1">BV!S90</f>
        <v>23.13</v>
      </c>
      <c r="AR90" s="301">
        <f ca="1">BV!AA90</f>
        <v>23.19</v>
      </c>
      <c r="AS90" s="301">
        <f ca="1">BV!AI90</f>
        <v>23.49</v>
      </c>
      <c r="AT90" s="302">
        <f ca="1">BV!AQ90</f>
        <v>24.22</v>
      </c>
      <c r="AU90" s="302">
        <f ca="1">BV!AY90</f>
        <v>25.13</v>
      </c>
      <c r="AV90" s="302">
        <f ca="1">BV!BG90</f>
        <v>25.5</v>
      </c>
      <c r="AW90" s="302">
        <f ca="1">BV!BO90</f>
        <v>25.64</v>
      </c>
      <c r="AX90" s="302">
        <f ca="1">BV!BW90</f>
        <v>25.8</v>
      </c>
      <c r="AY90" s="15" t="s">
        <v>65</v>
      </c>
      <c r="AZ90" s="258">
        <f t="shared" si="105"/>
        <v>1.4693323590154326</v>
      </c>
      <c r="BA90" s="261">
        <v>3.3936546191999997E-2</v>
      </c>
      <c r="BB90" s="287">
        <v>0.33141692400599998</v>
      </c>
      <c r="BC90" s="287">
        <f t="shared" si="72"/>
        <v>0.10239835003533376</v>
      </c>
      <c r="BD90" s="13">
        <f ca="1">IF(BV!H90="","",INT(NOW()-BV!H90))</f>
        <v>12</v>
      </c>
      <c r="BE90" s="260">
        <f t="shared" si="86"/>
        <v>5.4283292251791044</v>
      </c>
      <c r="BF90" s="301">
        <f ca="1">BV!G90</f>
        <v>48.965321970813221</v>
      </c>
      <c r="BG90" s="301">
        <f ca="1">BV!O90</f>
        <v>48.567014901888967</v>
      </c>
      <c r="BH90" s="301">
        <f ca="1">BV!W90</f>
        <v>47.926245504251376</v>
      </c>
      <c r="BI90" s="301">
        <f ca="1">BV!AE90</f>
        <v>47.715635367449678</v>
      </c>
      <c r="BJ90" s="301">
        <f ca="1">BV!AM90</f>
        <v>46.68430043723253</v>
      </c>
      <c r="BK90" s="301">
        <f ca="1">BV!AU90</f>
        <v>44.317570868256631</v>
      </c>
      <c r="BL90" s="301">
        <f ca="1">BV!BC90</f>
        <v>41.624090123874204</v>
      </c>
      <c r="BM90" s="301">
        <f ca="1">BV!BK90</f>
        <v>40.60258433448783</v>
      </c>
      <c r="BN90" s="301">
        <f ca="1">BV!BS90</f>
        <v>40.226416727424876</v>
      </c>
      <c r="BO90" s="301">
        <f ca="1">BV!CA90</f>
        <v>39.803245354773161</v>
      </c>
      <c r="BP90" s="433">
        <v>65</v>
      </c>
      <c r="BQ90" s="11">
        <f ca="1">IFERROR(YEAR(OFFSET(BV!$H90,,(COLUMN()-69)*8)),"")</f>
        <v>2020</v>
      </c>
      <c r="BR90" s="11">
        <f ca="1">IFERROR(YEAR(OFFSET(BV!$H90,,(COLUMN()-69)*8)),"")</f>
        <v>2020</v>
      </c>
      <c r="BS90" s="11">
        <f ca="1">IFERROR(YEAR(OFFSET(BV!$H90,,(COLUMN()-69)*8)),"")</f>
        <v>2020</v>
      </c>
      <c r="BT90" s="11">
        <f ca="1">IFERROR(YEAR(OFFSET(BV!$H90,,(COLUMN()-69)*8)),"")</f>
        <v>2020</v>
      </c>
      <c r="BU90" s="11">
        <f ca="1">IFERROR(YEAR(OFFSET(BV!$H90,,(COLUMN()-69)*8)),"")</f>
        <v>2020</v>
      </c>
      <c r="BV90" s="11">
        <f ca="1">IFERROR(YEAR(OFFSET(BV!$H90,,(COLUMN()-69)*8)),"")</f>
        <v>2020</v>
      </c>
      <c r="BW90" s="11">
        <f ca="1">IFERROR(YEAR(OFFSET(BV!$H90,,(COLUMN()-69)*8)),"")</f>
        <v>2019</v>
      </c>
      <c r="BX90" s="11">
        <f ca="1">IFERROR(YEAR(OFFSET(BV!$H90,,(COLUMN()-69)*8)),"")</f>
        <v>2019</v>
      </c>
      <c r="BY90" s="11">
        <f ca="1">IFERROR(YEAR(OFFSET(BV!$H90,,(COLUMN()-69)*8)),"")</f>
        <v>2019</v>
      </c>
      <c r="BZ90" s="11">
        <f ca="1">IFERROR(YEAR(OFFSET(BV!$H90,,(COLUMN()-69)*8)),"")</f>
        <v>2020</v>
      </c>
    </row>
    <row r="91" spans="1:78" x14ac:dyDescent="0.25">
      <c r="A91" s="433">
        <v>66</v>
      </c>
      <c r="B91" s="297">
        <f ca="1">BV!D91</f>
        <v>2.911336568151742</v>
      </c>
      <c r="C91" s="297">
        <f ca="1">BV!L91</f>
        <v>2.849740932642487</v>
      </c>
      <c r="D91" s="298">
        <f ca="1">BV!T91</f>
        <v>2.6537997587454765</v>
      </c>
      <c r="E91" s="298">
        <f ca="1">BV!AB91</f>
        <v>2.5933202357563849</v>
      </c>
      <c r="F91" s="298">
        <f ca="1">BV!AJ91</f>
        <v>2.5650991061018265</v>
      </c>
      <c r="G91" s="298">
        <f ca="1">BV!AR91</f>
        <v>2.5531914893617018</v>
      </c>
      <c r="H91" s="298">
        <f ca="1">BV!AZ91</f>
        <v>2.5152439024390247</v>
      </c>
      <c r="I91" s="299">
        <f ca="1">BV!BH91</f>
        <v>2.4821361414065439</v>
      </c>
      <c r="J91" s="299">
        <f ca="1">BV!BP91</f>
        <v>2.4193548387096775</v>
      </c>
      <c r="K91" s="299">
        <f ca="1">BV!BX91</f>
        <v>2.3647438194195627</v>
      </c>
      <c r="L91" s="15" t="s">
        <v>102</v>
      </c>
      <c r="M91" s="261">
        <v>3.3402350400000003E-2</v>
      </c>
      <c r="N91" s="282">
        <f t="shared" ca="1" si="68"/>
        <v>5.4715640346119221</v>
      </c>
      <c r="O91" s="24">
        <v>5</v>
      </c>
      <c r="P91" s="24">
        <f ca="1">SUM(Time!D2:D6)/$O91</f>
        <v>3.1120000000000001</v>
      </c>
      <c r="Q91" s="16">
        <f ca="1">SUM(Bvs!E2:E6)/$O91</f>
        <v>4.6318624438072025</v>
      </c>
      <c r="R91" s="16">
        <f ca="1">SUM(QG!H2:H6)/$O91</f>
        <v>0.5521733349861887</v>
      </c>
      <c r="S91" s="18">
        <f ca="1">47.299/R91</f>
        <v>85.659695974241629</v>
      </c>
      <c r="T91" s="761">
        <f ca="1">IFERROR((Arb!$AR$29*Arb!$AQ$29)/R91+(Arb!$AR$28/Arb!$AQ$28)*Q91+(Arb!$AR$27*Arb!$AQ$27)/P91,"")</f>
        <v>49.668139387155193</v>
      </c>
      <c r="U91" s="761">
        <f ca="1">T91*5</f>
        <v>248.34069693577595</v>
      </c>
      <c r="V91" s="762" t="str">
        <f ca="1">titleg3(T91/0.95)</f>
        <v>探花1.88阶</v>
      </c>
      <c r="W91" s="625"/>
      <c r="X91" s="38">
        <f ca="1">S91*Q91/P91/Arb!AS27</f>
        <v>1.6366474417263941</v>
      </c>
      <c r="Y91" s="317"/>
      <c r="AA91" s="504" t="s">
        <v>414</v>
      </c>
      <c r="AB91" s="266">
        <v>5</v>
      </c>
      <c r="AC91" s="31">
        <f ca="1">COUNTIF(BV!$C$2:$C$54,"&lt;"&amp;ASB!AB91)</f>
        <v>19</v>
      </c>
      <c r="AD91" s="637" t="s">
        <v>657</v>
      </c>
      <c r="AE91" s="638"/>
      <c r="AF91" s="502" t="s">
        <v>411</v>
      </c>
      <c r="AG91" s="266">
        <v>7</v>
      </c>
      <c r="AH91" s="499">
        <f ca="1">COUNTIF(BV!$D$10:$D$54,"&gt;="&amp;ASB!AG91)</f>
        <v>0</v>
      </c>
      <c r="AI91" s="637" t="s">
        <v>651</v>
      </c>
      <c r="AJ91" s="638"/>
      <c r="AK91" s="315"/>
      <c r="AL91" s="315"/>
      <c r="AM91" s="315"/>
      <c r="AN91" s="433">
        <v>66</v>
      </c>
      <c r="AO91" s="301">
        <f ca="1">BV!C91</f>
        <v>22.67</v>
      </c>
      <c r="AP91" s="301">
        <f ca="1">BV!K91</f>
        <v>23.16</v>
      </c>
      <c r="AQ91" s="302">
        <f ca="1">BV!S91</f>
        <v>24.87</v>
      </c>
      <c r="AR91" s="302">
        <f ca="1">BV!AA91</f>
        <v>25.45</v>
      </c>
      <c r="AS91" s="302">
        <f ca="1">BV!AI91</f>
        <v>25.73</v>
      </c>
      <c r="AT91" s="302">
        <f ca="1">BV!AQ91</f>
        <v>25.85</v>
      </c>
      <c r="AU91" s="660">
        <f ca="1">BV!AY91</f>
        <v>26.24</v>
      </c>
      <c r="AV91" s="660">
        <f ca="1">BV!BG91</f>
        <v>26.59</v>
      </c>
      <c r="AW91" s="660">
        <f ca="1">BV!BO91</f>
        <v>27.28</v>
      </c>
      <c r="AX91" s="660">
        <f ca="1">BV!BW91</f>
        <v>27.91</v>
      </c>
      <c r="AY91" s="15" t="s">
        <v>65</v>
      </c>
      <c r="AZ91" s="258">
        <f t="shared" si="105"/>
        <v>1.4762229724149125</v>
      </c>
      <c r="BA91" s="261">
        <v>3.3402350400000003E-2</v>
      </c>
      <c r="BB91" s="287">
        <v>0.33141692400599998</v>
      </c>
      <c r="BC91" s="287">
        <f t="shared" si="72"/>
        <v>0.10078649574152491</v>
      </c>
      <c r="BD91" s="13">
        <f ca="1">IF(BV!H91="","",INT(NOW()-BV!H91))</f>
        <v>407</v>
      </c>
      <c r="BE91" s="260">
        <f t="shared" si="86"/>
        <v>5.4715640346119221</v>
      </c>
      <c r="BF91" s="300">
        <f ca="1">BV!G91</f>
        <v>50.354116285953204</v>
      </c>
      <c r="BG91" s="301">
        <f ca="1">BV!O91</f>
        <v>48.556460231352311</v>
      </c>
      <c r="BH91" s="301">
        <f ca="1">BV!W91</f>
        <v>43.018347927147779</v>
      </c>
      <c r="BI91" s="301">
        <f ca="1">BV!AE91</f>
        <v>41.365028261185039</v>
      </c>
      <c r="BJ91" s="301">
        <f ca="1">BV!AM91</f>
        <v>40.602701112196208</v>
      </c>
      <c r="BK91" s="301">
        <f ca="1">BV!AU91</f>
        <v>40.28279832777298</v>
      </c>
      <c r="BL91" s="301">
        <f ca="1">BV!BC91</f>
        <v>39.270284764767347</v>
      </c>
      <c r="BM91" s="301">
        <f ca="1">BV!BK91</f>
        <v>38.395593869082433</v>
      </c>
      <c r="BN91" s="302">
        <f ca="1">BV!BS91</f>
        <v>36.759292207920424</v>
      </c>
      <c r="BO91" s="302">
        <f ca="1">BV!CA91</f>
        <v>35.359884738946128</v>
      </c>
      <c r="BP91" s="433">
        <v>66</v>
      </c>
      <c r="BQ91" s="11">
        <f ca="1">IFERROR(YEAR(OFFSET(BV!$H91,,(COLUMN()-69)*8)),"")</f>
        <v>2019</v>
      </c>
      <c r="BR91" s="11">
        <f ca="1">IFERROR(YEAR(OFFSET(BV!$H91,,(COLUMN()-69)*8)),"")</f>
        <v>2019</v>
      </c>
      <c r="BS91" s="11">
        <f ca="1">IFERROR(YEAR(OFFSET(BV!$H91,,(COLUMN()-69)*8)),"")</f>
        <v>2019</v>
      </c>
      <c r="BT91" s="11">
        <f ca="1">IFERROR(YEAR(OFFSET(BV!$H91,,(COLUMN()-69)*8)),"")</f>
        <v>2020</v>
      </c>
      <c r="BU91" s="11">
        <f ca="1">IFERROR(YEAR(OFFSET(BV!$H91,,(COLUMN()-69)*8)),"")</f>
        <v>2019</v>
      </c>
      <c r="BV91" s="11">
        <f ca="1">IFERROR(YEAR(OFFSET(BV!$H91,,(COLUMN()-69)*8)),"")</f>
        <v>2019</v>
      </c>
      <c r="BW91" s="11">
        <f ca="1">IFERROR(YEAR(OFFSET(BV!$H91,,(COLUMN()-69)*8)),"")</f>
        <v>2019</v>
      </c>
      <c r="BX91" s="11">
        <f ca="1">IFERROR(YEAR(OFFSET(BV!$H91,,(COLUMN()-69)*8)),"")</f>
        <v>2020</v>
      </c>
      <c r="BY91" s="11">
        <f ca="1">IFERROR(YEAR(OFFSET(BV!$H91,,(COLUMN()-69)*8)),"")</f>
        <v>2019</v>
      </c>
      <c r="BZ91" s="11">
        <f ca="1">IFERROR(YEAR(OFFSET(BV!$H91,,(COLUMN()-69)*8)),"")</f>
        <v>2019</v>
      </c>
    </row>
    <row r="92" spans="1:78" x14ac:dyDescent="0.25">
      <c r="A92" s="433">
        <v>67</v>
      </c>
      <c r="B92" s="297">
        <f ca="1">BV!D92</f>
        <v>2.9646017699115044</v>
      </c>
      <c r="C92" s="297">
        <f ca="1">BV!L92</f>
        <v>2.8068705488060326</v>
      </c>
      <c r="D92" s="297">
        <f ca="1">BV!T92</f>
        <v>2.7560674619498151</v>
      </c>
      <c r="E92" s="298">
        <f ca="1">BV!AB92</f>
        <v>2.7048849414614455</v>
      </c>
      <c r="F92" s="298">
        <f ca="1">BV!AJ92</f>
        <v>2.6929260450160775</v>
      </c>
      <c r="G92" s="298">
        <f ca="1">BV!AR92</f>
        <v>2.5417298937784523</v>
      </c>
      <c r="H92" s="298">
        <f ca="1">BV!AZ92</f>
        <v>2.5388404698749527</v>
      </c>
      <c r="I92" s="299">
        <f ca="1">BV!BH92</f>
        <v>2.4768946395563769</v>
      </c>
      <c r="J92" s="299">
        <f ca="1">BV!BP92</f>
        <v>2.4605214836577303</v>
      </c>
      <c r="K92" s="299">
        <f ca="1">BV!BX92</f>
        <v>2.4257784214337437</v>
      </c>
      <c r="L92" s="15" t="s">
        <v>102</v>
      </c>
      <c r="M92" s="261">
        <v>3.2649874846000002E-2</v>
      </c>
      <c r="N92" s="282">
        <f t="shared" ca="1" si="68"/>
        <v>5.5342559360916423</v>
      </c>
      <c r="O92" s="24">
        <v>5</v>
      </c>
      <c r="P92" s="24">
        <f ca="1">SUM(Time!N2:N6)/$O92</f>
        <v>15.437999999999999</v>
      </c>
      <c r="Q92" s="16">
        <f ca="1">SUM(Bvs!O2:O6)/$O92</f>
        <v>3.2422010017334344</v>
      </c>
      <c r="R92" s="16">
        <f ca="1">SUM(QG!R2:R6)/$O92</f>
        <v>2.6531215421627929</v>
      </c>
      <c r="S92" s="18">
        <f ca="1">153.73/R92</f>
        <v>57.94306727262903</v>
      </c>
      <c r="T92" s="764">
        <f ca="1">IFERROR((Arb!$AR$32*Arb!$AQ$32)/R92+(Arb!$AR$31/Arb!$AQ$31)*Q92+(Arb!$AR$30*Arb!$AQ$30)/P92,"")</f>
        <v>53.995208781478077</v>
      </c>
      <c r="U92" s="764">
        <f ca="1">T92*12</f>
        <v>647.94250537773689</v>
      </c>
      <c r="V92" s="765" t="str">
        <f ca="1">titleg3(T92/0.95)</f>
        <v>状元0.14阶</v>
      </c>
      <c r="W92" s="625"/>
      <c r="X92" s="38">
        <f ca="1">S92*Q92/P92/Arb!AS28</f>
        <v>2.4683313605771069</v>
      </c>
      <c r="Y92" s="317"/>
      <c r="AA92" s="504" t="s">
        <v>414</v>
      </c>
      <c r="AB92" s="266">
        <v>4</v>
      </c>
      <c r="AC92" s="31">
        <f ca="1">COUNTIF(BV!$C$2:$C$54,"&lt;"&amp;ASB!AB92)</f>
        <v>16</v>
      </c>
      <c r="AD92" s="637" t="s">
        <v>658</v>
      </c>
      <c r="AE92" s="638"/>
      <c r="AF92" s="502" t="s">
        <v>411</v>
      </c>
      <c r="AG92" s="266">
        <v>7.5</v>
      </c>
      <c r="AH92" s="454">
        <f ca="1">COUNTIF(BV!$D$10:$D$54,"&gt;="&amp;ASB!AG92)</f>
        <v>0</v>
      </c>
      <c r="AI92" s="637" t="s">
        <v>651</v>
      </c>
      <c r="AJ92" s="638"/>
      <c r="AK92" s="315"/>
      <c r="AL92" s="315"/>
      <c r="AM92" s="315"/>
      <c r="AN92" s="433">
        <v>67</v>
      </c>
      <c r="AO92" s="301">
        <f ca="1">BV!C92</f>
        <v>22.6</v>
      </c>
      <c r="AP92" s="301">
        <f ca="1">BV!K92</f>
        <v>23.87</v>
      </c>
      <c r="AQ92" s="302">
        <f ca="1">BV!S92</f>
        <v>24.31</v>
      </c>
      <c r="AR92" s="302">
        <f ca="1">BV!AA92</f>
        <v>24.77</v>
      </c>
      <c r="AS92" s="302">
        <f ca="1">BV!AI92</f>
        <v>24.88</v>
      </c>
      <c r="AT92" s="660">
        <f ca="1">BV!AQ92</f>
        <v>26.36</v>
      </c>
      <c r="AU92" s="660">
        <f ca="1">BV!AY92</f>
        <v>26.39</v>
      </c>
      <c r="AV92" s="660">
        <f ca="1">BV!BG92</f>
        <v>27.05</v>
      </c>
      <c r="AW92" s="660">
        <f ca="1">BV!BO92</f>
        <v>27.23</v>
      </c>
      <c r="AX92" s="660">
        <f ca="1">BV!BW92</f>
        <v>27.62</v>
      </c>
      <c r="AY92" s="15" t="s">
        <v>65</v>
      </c>
      <c r="AZ92" s="258">
        <f t="shared" si="105"/>
        <v>1.486118479129972</v>
      </c>
      <c r="BA92" s="261">
        <v>3.2649874846000002E-2</v>
      </c>
      <c r="BB92" s="287">
        <v>0.33141692400599998</v>
      </c>
      <c r="BC92" s="287">
        <f t="shared" si="72"/>
        <v>9.8516015571398247E-2</v>
      </c>
      <c r="BD92" s="13">
        <f ca="1">IF(BV!H92="","",INT(NOW()-BV!H92))</f>
        <v>213</v>
      </c>
      <c r="BE92" s="260">
        <f t="shared" si="86"/>
        <v>5.5342559360916423</v>
      </c>
      <c r="BF92" s="300">
        <f ca="1">BV!G92</f>
        <v>51.386505323293378</v>
      </c>
      <c r="BG92" s="301">
        <f ca="1">BV!O92</f>
        <v>46.825704224688586</v>
      </c>
      <c r="BH92" s="301">
        <f ca="1">BV!W92</f>
        <v>45.394057125413532</v>
      </c>
      <c r="BI92" s="301">
        <f ca="1">BV!AE92</f>
        <v>43.970278734214723</v>
      </c>
      <c r="BJ92" s="301">
        <f ca="1">BV!AM92</f>
        <v>43.640306352563499</v>
      </c>
      <c r="BK92" s="301">
        <f ca="1">BV!AU92</f>
        <v>39.557263459758978</v>
      </c>
      <c r="BL92" s="301">
        <f ca="1">BV!BC92</f>
        <v>39.480847481813228</v>
      </c>
      <c r="BM92" s="301">
        <f ca="1">BV!BK92</f>
        <v>37.857250764817032</v>
      </c>
      <c r="BN92" s="302">
        <f ca="1">BV!BS92</f>
        <v>37.432810837779776</v>
      </c>
      <c r="BO92" s="302">
        <f ca="1">BV!CA92</f>
        <v>36.538707741817959</v>
      </c>
      <c r="BP92" s="433">
        <v>67</v>
      </c>
      <c r="BQ92" s="11">
        <f ca="1">IFERROR(YEAR(OFFSET(BV!$H92,,(COLUMN()-69)*8)),"")</f>
        <v>2020</v>
      </c>
      <c r="BR92" s="11">
        <f ca="1">IFERROR(YEAR(OFFSET(BV!$H92,,(COLUMN()-69)*8)),"")</f>
        <v>2020</v>
      </c>
      <c r="BS92" s="11">
        <f ca="1">IFERROR(YEAR(OFFSET(BV!$H92,,(COLUMN()-69)*8)),"")</f>
        <v>2020</v>
      </c>
      <c r="BT92" s="11">
        <f ca="1">IFERROR(YEAR(OFFSET(BV!$H92,,(COLUMN()-69)*8)),"")</f>
        <v>2020</v>
      </c>
      <c r="BU92" s="11">
        <f ca="1">IFERROR(YEAR(OFFSET(BV!$H92,,(COLUMN()-69)*8)),"")</f>
        <v>2020</v>
      </c>
      <c r="BV92" s="11">
        <f ca="1">IFERROR(YEAR(OFFSET(BV!$H92,,(COLUMN()-69)*8)),"")</f>
        <v>2020</v>
      </c>
      <c r="BW92" s="11">
        <f ca="1">IFERROR(YEAR(OFFSET(BV!$H92,,(COLUMN()-69)*8)),"")</f>
        <v>2019</v>
      </c>
      <c r="BX92" s="11">
        <f ca="1">IFERROR(YEAR(OFFSET(BV!$H92,,(COLUMN()-69)*8)),"")</f>
        <v>2019</v>
      </c>
      <c r="BY92" s="11">
        <f ca="1">IFERROR(YEAR(OFFSET(BV!$H92,,(COLUMN()-69)*8)),"")</f>
        <v>2019</v>
      </c>
      <c r="BZ92" s="11">
        <f ca="1">IFERROR(YEAR(OFFSET(BV!$H92,,(COLUMN()-69)*8)),"")</f>
        <v>2019</v>
      </c>
    </row>
    <row r="93" spans="1:78" x14ac:dyDescent="0.25">
      <c r="A93" s="433">
        <v>68</v>
      </c>
      <c r="B93" s="297">
        <f ca="1">BV!D93</f>
        <v>2.924731182795699</v>
      </c>
      <c r="C93" s="298">
        <f ca="1">BV!L93</f>
        <v>2.6920031670625493</v>
      </c>
      <c r="D93" s="298">
        <f ca="1">BV!T93</f>
        <v>2.635658914728682</v>
      </c>
      <c r="E93" s="298">
        <f ca="1">BV!AB93</f>
        <v>2.6133743274404306</v>
      </c>
      <c r="F93" s="298">
        <f ca="1">BV!AJ93</f>
        <v>2.5563909774436091</v>
      </c>
      <c r="G93" s="298">
        <f ca="1">BV!AR93</f>
        <v>2.5382605449794702</v>
      </c>
      <c r="H93" s="299">
        <f ca="1">BV!AZ93</f>
        <v>2.4899304284145005</v>
      </c>
      <c r="I93" s="299">
        <f ca="1">BV!BH93</f>
        <v>2.4745269286754001</v>
      </c>
      <c r="J93" s="299">
        <f ca="1">BV!BP93</f>
        <v>2.4593128390596748</v>
      </c>
      <c r="K93" s="299">
        <f ca="1">BV!BX93</f>
        <v>2.4434063959755661</v>
      </c>
      <c r="L93" s="15" t="s">
        <v>102</v>
      </c>
      <c r="M93" s="261">
        <v>3.1699617460000003E-2</v>
      </c>
      <c r="N93" s="282">
        <f t="shared" ca="1" si="68"/>
        <v>5.6165934522624346</v>
      </c>
      <c r="O93" s="24">
        <v>5</v>
      </c>
      <c r="P93" s="24">
        <f ca="1">SUM(Time!X2:X6)/$O93</f>
        <v>58.58</v>
      </c>
      <c r="Q93" s="16">
        <f ca="1">SUM(Bvs!Y2:Y6)/$O93</f>
        <v>2.8108872913917047</v>
      </c>
      <c r="R93" s="16">
        <f ca="1">SUM(QG!AB2:AB6)/$O93</f>
        <v>6.7543042628842418</v>
      </c>
      <c r="S93" s="18">
        <f ca="1">435.001/R93</f>
        <v>64.403524488878247</v>
      </c>
      <c r="T93" s="18">
        <f ca="1">IFERROR((Arb!$AR$35*Arb!$AQ$35)/R93+(Arb!$AR$34/Arb!$AQ$34)*Q93+(Arb!$AR$33*Arb!$AQ$33)/P93,"")</f>
        <v>57.934641141152717</v>
      </c>
      <c r="U93" s="18">
        <f ca="1">T93*16</f>
        <v>926.95425825844347</v>
      </c>
      <c r="V93" s="763" t="str">
        <f ca="1">titleg3(T93/0.95)</f>
        <v>小雷神4.73阶</v>
      </c>
      <c r="W93" s="625"/>
      <c r="X93" s="38">
        <f ca="1">S93*Q93/P93/Arb!AS29</f>
        <v>3.0903217566852557</v>
      </c>
      <c r="Y93" s="317"/>
      <c r="AA93" s="504" t="s">
        <v>414</v>
      </c>
      <c r="AB93" s="266">
        <v>3</v>
      </c>
      <c r="AC93" s="31">
        <f ca="1">COUNTIF(BV!$C$2:$C$54,"&lt;"&amp;ASB!AB93)</f>
        <v>7</v>
      </c>
      <c r="AD93" s="637" t="s">
        <v>659</v>
      </c>
      <c r="AE93" s="638"/>
      <c r="AF93" s="502" t="s">
        <v>411</v>
      </c>
      <c r="AG93" s="266">
        <v>8</v>
      </c>
      <c r="AH93" s="454">
        <f ca="1">COUNTIF(BV!$D$10:$D$54,"&gt;="&amp;ASB!AG93)</f>
        <v>0</v>
      </c>
      <c r="AI93" s="637" t="s">
        <v>651</v>
      </c>
      <c r="AJ93" s="638"/>
      <c r="AK93" s="315"/>
      <c r="AL93" s="315"/>
      <c r="AM93" s="315"/>
      <c r="AN93" s="433">
        <v>68</v>
      </c>
      <c r="AO93" s="301">
        <f ca="1">BV!C93</f>
        <v>23.25</v>
      </c>
      <c r="AP93" s="302">
        <f ca="1">BV!K93</f>
        <v>25.26</v>
      </c>
      <c r="AQ93" s="302">
        <f ca="1">BV!S93</f>
        <v>25.8</v>
      </c>
      <c r="AR93" s="660">
        <f ca="1">BV!AA93</f>
        <v>26.02</v>
      </c>
      <c r="AS93" s="660">
        <f ca="1">BV!AI93</f>
        <v>26.6</v>
      </c>
      <c r="AT93" s="660">
        <f ca="1">BV!AQ93</f>
        <v>26.79</v>
      </c>
      <c r="AU93" s="660">
        <f ca="1">BV!AY93</f>
        <v>27.31</v>
      </c>
      <c r="AV93" s="660">
        <f ca="1">BV!BG93</f>
        <v>27.48</v>
      </c>
      <c r="AW93" s="660">
        <f ca="1">BV!BO93</f>
        <v>27.65</v>
      </c>
      <c r="AX93" s="660">
        <f ca="1">BV!BW93</f>
        <v>27.83</v>
      </c>
      <c r="AY93" s="15" t="s">
        <v>65</v>
      </c>
      <c r="AZ93" s="258">
        <f t="shared" si="105"/>
        <v>1.4989459786659562</v>
      </c>
      <c r="BA93" s="261">
        <v>3.1699617460000003E-2</v>
      </c>
      <c r="BB93" s="287">
        <v>0.33141692400599998</v>
      </c>
      <c r="BC93" s="287">
        <f t="shared" si="72"/>
        <v>9.5648758901117889E-2</v>
      </c>
      <c r="BD93" s="13">
        <f ca="1">IF(BV!H93="","",INT(NOW()-BV!H93))</f>
        <v>290</v>
      </c>
      <c r="BE93" s="260">
        <f t="shared" si="86"/>
        <v>5.6165934522624346</v>
      </c>
      <c r="BF93" s="301">
        <f ca="1">BV!G93</f>
        <v>49.699098675876122</v>
      </c>
      <c r="BG93" s="301">
        <f ca="1">BV!O93</f>
        <v>43.164911151203995</v>
      </c>
      <c r="BH93" s="301">
        <f ca="1">BV!W93</f>
        <v>41.64031821730115</v>
      </c>
      <c r="BI93" s="301">
        <f ca="1">BV!AE93</f>
        <v>41.043571332843136</v>
      </c>
      <c r="BJ93" s="301">
        <f ca="1">BV!AM93</f>
        <v>39.533817910842508</v>
      </c>
      <c r="BK93" s="301">
        <f ca="1">BV!AU93</f>
        <v>39.058353054432772</v>
      </c>
      <c r="BL93" s="301">
        <f ca="1">BV!BC93</f>
        <v>37.802511105256592</v>
      </c>
      <c r="BM93" s="302">
        <f ca="1">BV!BK93</f>
        <v>37.405813278607461</v>
      </c>
      <c r="BN93" s="302">
        <f ca="1">BV!BS93</f>
        <v>37.015686584994143</v>
      </c>
      <c r="BO93" s="302">
        <f ca="1">BV!CA93</f>
        <v>36.609608881138939</v>
      </c>
      <c r="BP93" s="433">
        <v>68</v>
      </c>
      <c r="BQ93" s="11">
        <f ca="1">IFERROR(YEAR(OFFSET(BV!$H93,,(COLUMN()-69)*8)),"")</f>
        <v>2020</v>
      </c>
      <c r="BR93" s="11">
        <f ca="1">IFERROR(YEAR(OFFSET(BV!$H93,,(COLUMN()-69)*8)),"")</f>
        <v>2020</v>
      </c>
      <c r="BS93" s="11">
        <f ca="1">IFERROR(YEAR(OFFSET(BV!$H93,,(COLUMN()-69)*8)),"")</f>
        <v>2019</v>
      </c>
      <c r="BT93" s="11">
        <f ca="1">IFERROR(YEAR(OFFSET(BV!$H93,,(COLUMN()-69)*8)),"")</f>
        <v>2020</v>
      </c>
      <c r="BU93" s="11">
        <f ca="1">IFERROR(YEAR(OFFSET(BV!$H93,,(COLUMN()-69)*8)),"")</f>
        <v>2019</v>
      </c>
      <c r="BV93" s="11">
        <f ca="1">IFERROR(YEAR(OFFSET(BV!$H93,,(COLUMN()-69)*8)),"")</f>
        <v>2020</v>
      </c>
      <c r="BW93" s="11">
        <f ca="1">IFERROR(YEAR(OFFSET(BV!$H93,,(COLUMN()-69)*8)),"")</f>
        <v>2019</v>
      </c>
      <c r="BX93" s="11">
        <f ca="1">IFERROR(YEAR(OFFSET(BV!$H93,,(COLUMN()-69)*8)),"")</f>
        <v>2020</v>
      </c>
      <c r="BY93" s="11">
        <f ca="1">IFERROR(YEAR(OFFSET(BV!$H93,,(COLUMN()-69)*8)),"")</f>
        <v>2019</v>
      </c>
      <c r="BZ93" s="11">
        <f ca="1">IFERROR(YEAR(OFFSET(BV!$H93,,(COLUMN()-69)*8)),"")</f>
        <v>2019</v>
      </c>
    </row>
    <row r="94" spans="1:78" x14ac:dyDescent="0.25">
      <c r="A94" s="433">
        <v>69</v>
      </c>
      <c r="B94" s="552">
        <f ca="1">BV!D94</f>
        <v>3.0263157894736841</v>
      </c>
      <c r="C94" s="297">
        <f ca="1">BV!L94</f>
        <v>2.8014616321559074</v>
      </c>
      <c r="D94" s="298">
        <f ca="1">BV!T94</f>
        <v>2.6610104126494409</v>
      </c>
      <c r="E94" s="298">
        <f ca="1">BV!AB94</f>
        <v>2.5536639526276832</v>
      </c>
      <c r="F94" s="298">
        <f ca="1">BV!AJ94</f>
        <v>2.5154939846882973</v>
      </c>
      <c r="G94" s="299">
        <f ca="1">BV!AR94</f>
        <v>2.4820143884892087</v>
      </c>
      <c r="H94" s="299">
        <f ca="1">BV!AZ94</f>
        <v>2.4330042313117066</v>
      </c>
      <c r="I94" s="300">
        <f ca="1">BV!BH94</f>
        <v>2.2402597402597402</v>
      </c>
      <c r="J94" s="11" t="str">
        <f ca="1">BV!BP94</f>
        <v/>
      </c>
      <c r="K94" s="11" t="str">
        <f ca="1">BV!BX94</f>
        <v/>
      </c>
      <c r="L94" s="15" t="s">
        <v>102</v>
      </c>
      <c r="M94" s="261">
        <v>3.0573425158E-2</v>
      </c>
      <c r="N94" s="282">
        <f t="shared" ca="1" si="68"/>
        <v>5.7191034472805615</v>
      </c>
      <c r="O94" s="1"/>
      <c r="P94" s="1">
        <f ca="1">SUM(P91:P93)</f>
        <v>77.13</v>
      </c>
      <c r="Q94" s="165">
        <f ca="1">SUM(Q91:Q93)</f>
        <v>10.684950736932342</v>
      </c>
      <c r="R94" s="165"/>
      <c r="S94" s="21"/>
      <c r="T94" s="18">
        <f ca="1">U94/33</f>
        <v>55.249620017332013</v>
      </c>
      <c r="U94" s="18">
        <f ca="1">SUM(U91:U93)</f>
        <v>1823.2374605719565</v>
      </c>
      <c r="V94" s="763" t="str">
        <f ca="1">titleg3(T94/0.95)</f>
        <v>小雷神0.31阶</v>
      </c>
      <c r="W94" s="625"/>
      <c r="X94" s="2">
        <f ca="1">(X91*X92*X93)^(1/3)</f>
        <v>2.3198189877676403</v>
      </c>
      <c r="Y94" s="317"/>
      <c r="AA94" s="504" t="s">
        <v>414</v>
      </c>
      <c r="AB94" s="266">
        <v>2</v>
      </c>
      <c r="AC94" s="31">
        <f ca="1">COUNTIF(BV!$C$2:$C$54,"&lt;"&amp;ASB!AB94)</f>
        <v>2</v>
      </c>
      <c r="AD94" s="637" t="s">
        <v>660</v>
      </c>
      <c r="AE94" s="638"/>
      <c r="AF94" s="502" t="s">
        <v>411</v>
      </c>
      <c r="AG94" s="266">
        <v>8.5</v>
      </c>
      <c r="AH94" s="454">
        <f ca="1">COUNTIF(BV!$D$10:$D$54,"&gt;="&amp;ASB!AG94)</f>
        <v>0</v>
      </c>
      <c r="AI94" s="637" t="s">
        <v>651</v>
      </c>
      <c r="AJ94" s="638"/>
      <c r="AK94" s="315"/>
      <c r="AL94" s="315"/>
      <c r="AM94" s="315"/>
      <c r="AN94" s="433">
        <v>69</v>
      </c>
      <c r="AO94" s="301">
        <f ca="1">BV!C94</f>
        <v>22.8</v>
      </c>
      <c r="AP94" s="302">
        <f ca="1">BV!K94</f>
        <v>24.63</v>
      </c>
      <c r="AQ94" s="302">
        <f ca="1">BV!S94</f>
        <v>25.93</v>
      </c>
      <c r="AR94" s="660">
        <f ca="1">BV!AA94</f>
        <v>27.02</v>
      </c>
      <c r="AS94" s="660">
        <f ca="1">BV!AI94</f>
        <v>27.43</v>
      </c>
      <c r="AT94" s="660">
        <f ca="1">BV!AQ94</f>
        <v>27.8</v>
      </c>
      <c r="AU94" s="659">
        <f ca="1">BV!AY94</f>
        <v>28.36</v>
      </c>
      <c r="AV94" s="11">
        <f ca="1">BV!BG94</f>
        <v>30.8</v>
      </c>
      <c r="AW94" s="11" t="str">
        <f ca="1">BV!BO94</f>
        <v/>
      </c>
      <c r="AX94" s="11" t="str">
        <f ca="1">BV!BW94</f>
        <v/>
      </c>
      <c r="AY94" s="15" t="s">
        <v>65</v>
      </c>
      <c r="AZ94" s="258">
        <f t="shared" si="105"/>
        <v>1.5146559042934833</v>
      </c>
      <c r="BA94" s="261">
        <v>3.0573425158E-2</v>
      </c>
      <c r="BB94" s="287">
        <v>0.33141692400599998</v>
      </c>
      <c r="BC94" s="287">
        <f t="shared" si="72"/>
        <v>9.2250645466272263E-2</v>
      </c>
      <c r="BD94" s="13">
        <f ca="1">IF(BV!H94="","",INT(NOW()-BV!H94))</f>
        <v>228</v>
      </c>
      <c r="BE94" s="260">
        <f t="shared" si="86"/>
        <v>5.7191034472805615</v>
      </c>
      <c r="BF94" s="300">
        <f ca="1">BV!G94</f>
        <v>52.133691539881809</v>
      </c>
      <c r="BG94" s="301">
        <f ca="1">BV!O94</f>
        <v>45.721262893910065</v>
      </c>
      <c r="BH94" s="301">
        <f ca="1">BV!W94</f>
        <v>41.893190770836441</v>
      </c>
      <c r="BI94" s="301">
        <f ca="1">BV!AE94</f>
        <v>39.060934747011736</v>
      </c>
      <c r="BJ94" s="301">
        <f ca="1">BV!AM94</f>
        <v>38.073591415782509</v>
      </c>
      <c r="BK94" s="302">
        <f ca="1">BV!AU94</f>
        <v>37.216160401354358</v>
      </c>
      <c r="BL94" s="302">
        <f ca="1">BV!BC94</f>
        <v>35.975524372531368</v>
      </c>
      <c r="BM94" s="302">
        <f ca="1">BV!BK94</f>
        <v>31.265940701005512</v>
      </c>
      <c r="BN94" s="11" t="str">
        <f ca="1">BV!BS94</f>
        <v/>
      </c>
      <c r="BO94" s="11" t="str">
        <f ca="1">BV!CA94</f>
        <v/>
      </c>
      <c r="BP94" s="433">
        <v>69</v>
      </c>
      <c r="BQ94" s="11">
        <f ca="1">IFERROR(YEAR(OFFSET(BV!$H94,,(COLUMN()-69)*8)),"")</f>
        <v>2020</v>
      </c>
      <c r="BR94" s="11">
        <f ca="1">IFERROR(YEAR(OFFSET(BV!$H94,,(COLUMN()-69)*8)),"")</f>
        <v>2019</v>
      </c>
      <c r="BS94" s="11">
        <f ca="1">IFERROR(YEAR(OFFSET(BV!$H94,,(COLUMN()-69)*8)),"")</f>
        <v>2020</v>
      </c>
      <c r="BT94" s="11">
        <f ca="1">IFERROR(YEAR(OFFSET(BV!$H94,,(COLUMN()-69)*8)),"")</f>
        <v>2019</v>
      </c>
      <c r="BU94" s="11">
        <f ca="1">IFERROR(YEAR(OFFSET(BV!$H94,,(COLUMN()-69)*8)),"")</f>
        <v>2020</v>
      </c>
      <c r="BV94" s="11">
        <f ca="1">IFERROR(YEAR(OFFSET(BV!$H94,,(COLUMN()-69)*8)),"")</f>
        <v>2019</v>
      </c>
      <c r="BW94" s="11">
        <f ca="1">IFERROR(YEAR(OFFSET(BV!$H94,,(COLUMN()-69)*8)),"")</f>
        <v>2020</v>
      </c>
      <c r="BX94" s="11">
        <f ca="1">IFERROR(YEAR(OFFSET(BV!$H94,,(COLUMN()-69)*8)),"")</f>
        <v>2019</v>
      </c>
      <c r="BY94" s="11" t="str">
        <f ca="1">IFERROR(YEAR(OFFSET(BV!$H94,,(COLUMN()-69)*8)),"")</f>
        <v/>
      </c>
      <c r="BZ94" s="11" t="str">
        <f ca="1">IFERROR(YEAR(OFFSET(BV!$H94,,(COLUMN()-69)*8)),"")</f>
        <v/>
      </c>
    </row>
    <row r="95" spans="1:78" x14ac:dyDescent="0.25">
      <c r="A95" s="433">
        <v>70</v>
      </c>
      <c r="B95" s="297">
        <f ca="1">BV!D95</f>
        <v>2.7788805081381498</v>
      </c>
      <c r="C95" s="298">
        <f ca="1">BV!L95</f>
        <v>2.6012634708286884</v>
      </c>
      <c r="D95" s="298">
        <f ca="1">BV!T95</f>
        <v>2.5830258302583022</v>
      </c>
      <c r="E95" s="298">
        <f ca="1">BV!AB95</f>
        <v>2.5575447570332481</v>
      </c>
      <c r="F95" s="298">
        <f ca="1">BV!AJ95</f>
        <v>2.5500910746812386</v>
      </c>
      <c r="G95" s="298">
        <f ca="1">BV!AR95</f>
        <v>2.5261638397690365</v>
      </c>
      <c r="H95" s="299">
        <f ca="1">BV!AZ95</f>
        <v>2.457865168539326</v>
      </c>
      <c r="I95" s="299">
        <f ca="1">BV!BH95</f>
        <v>2.4330900243309004</v>
      </c>
      <c r="J95" s="299">
        <f ca="1">BV!BP95</f>
        <v>2.4229837313949463</v>
      </c>
      <c r="K95" s="299">
        <f ca="1">BV!BX95</f>
        <v>2.4229837313949463</v>
      </c>
      <c r="L95" s="15" t="s">
        <v>102</v>
      </c>
      <c r="M95" s="261">
        <v>2.9297545869000002E-2</v>
      </c>
      <c r="N95" s="282">
        <f t="shared" ca="1" si="68"/>
        <v>5.8423070556240928</v>
      </c>
      <c r="O95" s="295">
        <v>25</v>
      </c>
      <c r="P95" s="295">
        <f ca="1">SUM(Time!D2:D26)/$O95</f>
        <v>3.2776000000000001</v>
      </c>
      <c r="Q95" s="320">
        <f ca="1">SUM(Bvs!E2:E26)/$O95</f>
        <v>4.3089136761532201</v>
      </c>
      <c r="R95" s="320">
        <f ca="1">SUM(QG!H2:H26)/$O95</f>
        <v>0.62630376671093035</v>
      </c>
      <c r="S95" s="321">
        <f ca="1">47.299/R95</f>
        <v>75.520861463748446</v>
      </c>
      <c r="T95" s="280">
        <f ca="1">IFERROR((Arb!$AR$29*Arb!$AQ$29)/R95+(Arb!$AR$28/Arb!$AQ$28)*Q95+(Arb!$AR$27*Arb!$AQ$27)/P95,"")</f>
        <v>46.071835621115888</v>
      </c>
      <c r="U95" s="280">
        <f ca="1">T95*5</f>
        <v>230.35917810557945</v>
      </c>
      <c r="V95" s="766" t="str">
        <f ca="1">titleg3(T95/0.9)</f>
        <v>进士8.46阶</v>
      </c>
      <c r="W95" s="625"/>
      <c r="X95" s="274">
        <f ca="1">S95*Q95/P95/Arb!AS27</f>
        <v>1.2745043447208246</v>
      </c>
      <c r="Y95" s="317"/>
      <c r="AA95" s="504" t="s">
        <v>414</v>
      </c>
      <c r="AB95" s="266">
        <v>1</v>
      </c>
      <c r="AC95" s="31">
        <f ca="1">COUNTIF(BV!$C$2:$C$54,"&lt;"&amp;ASB!AB95)</f>
        <v>0</v>
      </c>
      <c r="AD95" s="637" t="s">
        <v>651</v>
      </c>
      <c r="AE95" s="638"/>
      <c r="AF95" s="502" t="s">
        <v>411</v>
      </c>
      <c r="AG95" s="266">
        <v>9</v>
      </c>
      <c r="AH95" s="454">
        <f ca="1">COUNTIF(BV!$D$10:$D$54,"&gt;="&amp;ASB!AG95)</f>
        <v>0</v>
      </c>
      <c r="AI95" s="637" t="s">
        <v>651</v>
      </c>
      <c r="AJ95" s="638"/>
      <c r="AK95" s="315"/>
      <c r="AL95" s="315"/>
      <c r="AM95" s="315"/>
      <c r="AN95" s="433">
        <v>70</v>
      </c>
      <c r="AO95" s="302">
        <f ca="1">BV!C95</f>
        <v>25.19</v>
      </c>
      <c r="AP95" s="660">
        <f ca="1">BV!K95</f>
        <v>26.91</v>
      </c>
      <c r="AQ95" s="660">
        <f ca="1">BV!S95</f>
        <v>27.1</v>
      </c>
      <c r="AR95" s="660">
        <f ca="1">BV!AA95</f>
        <v>27.37</v>
      </c>
      <c r="AS95" s="660">
        <f ca="1">BV!AI95</f>
        <v>27.45</v>
      </c>
      <c r="AT95" s="660">
        <f ca="1">BV!AQ95</f>
        <v>27.71</v>
      </c>
      <c r="AU95" s="659">
        <f ca="1">BV!AY95</f>
        <v>28.48</v>
      </c>
      <c r="AV95" s="659">
        <f ca="1">BV!BG95</f>
        <v>28.77</v>
      </c>
      <c r="AW95" s="659">
        <f ca="1">BV!BO95</f>
        <v>28.89</v>
      </c>
      <c r="AX95" s="659">
        <f ca="1">BV!BW95</f>
        <v>28.89</v>
      </c>
      <c r="AY95" s="15" t="s">
        <v>65</v>
      </c>
      <c r="AZ95" s="258">
        <f t="shared" si="105"/>
        <v>1.5331687571267554</v>
      </c>
      <c r="BA95" s="261">
        <v>2.9297545869000002E-2</v>
      </c>
      <c r="BB95" s="268">
        <v>0.22353154878600001</v>
      </c>
      <c r="BC95" s="268">
        <f t="shared" si="72"/>
        <v>0.13106671531654029</v>
      </c>
      <c r="BD95" s="269">
        <f ca="1">IF(BV!H95="","",INT(NOW()-BV!H95))</f>
        <v>288</v>
      </c>
      <c r="BE95" s="260">
        <f t="shared" si="86"/>
        <v>5.8423070556240919</v>
      </c>
      <c r="BF95" s="301">
        <f ca="1">BV!G95</f>
        <v>44.644584195594881</v>
      </c>
      <c r="BG95" s="301">
        <f ca="1">BV!O95</f>
        <v>39.90280087968312</v>
      </c>
      <c r="BH95" s="301">
        <f ca="1">BV!W95</f>
        <v>39.428374479659183</v>
      </c>
      <c r="BI95" s="301">
        <f ca="1">BV!AE95</f>
        <v>38.769438540865714</v>
      </c>
      <c r="BJ95" s="301">
        <f ca="1">BV!AM95</f>
        <v>38.577552792813563</v>
      </c>
      <c r="BK95" s="301">
        <f ca="1">BV!AU95</f>
        <v>37.964228035942504</v>
      </c>
      <c r="BL95" s="302">
        <f ca="1">BV!BC95</f>
        <v>36.235869987001969</v>
      </c>
      <c r="BM95" s="302">
        <f ca="1">BV!BK95</f>
        <v>35.617128404801036</v>
      </c>
      <c r="BN95" s="302">
        <f ca="1">BV!BS95</f>
        <v>35.365992139137703</v>
      </c>
      <c r="BO95" s="302">
        <f ca="1">BV!CA95</f>
        <v>35.365992139137703</v>
      </c>
      <c r="BP95" s="433">
        <v>70</v>
      </c>
      <c r="BQ95" s="11">
        <f ca="1">IFERROR(YEAR(OFFSET(BV!$H95,,(COLUMN()-69)*8)),"")</f>
        <v>2020</v>
      </c>
      <c r="BR95" s="11">
        <f ca="1">IFERROR(YEAR(OFFSET(BV!$H95,,(COLUMN()-69)*8)),"")</f>
        <v>2019</v>
      </c>
      <c r="BS95" s="11">
        <f ca="1">IFERROR(YEAR(OFFSET(BV!$H95,,(COLUMN()-69)*8)),"")</f>
        <v>2020</v>
      </c>
      <c r="BT95" s="11">
        <f ca="1">IFERROR(YEAR(OFFSET(BV!$H95,,(COLUMN()-69)*8)),"")</f>
        <v>2019</v>
      </c>
      <c r="BU95" s="11">
        <f ca="1">IFERROR(YEAR(OFFSET(BV!$H95,,(COLUMN()-69)*8)),"")</f>
        <v>2020</v>
      </c>
      <c r="BV95" s="11">
        <f ca="1">IFERROR(YEAR(OFFSET(BV!$H95,,(COLUMN()-69)*8)),"")</f>
        <v>2019</v>
      </c>
      <c r="BW95" s="11">
        <f ca="1">IFERROR(YEAR(OFFSET(BV!$H95,,(COLUMN()-69)*8)),"")</f>
        <v>2019</v>
      </c>
      <c r="BX95" s="11">
        <f ca="1">IFERROR(YEAR(OFFSET(BV!$H95,,(COLUMN()-69)*8)),"")</f>
        <v>2019</v>
      </c>
      <c r="BY95" s="11">
        <f ca="1">IFERROR(YEAR(OFFSET(BV!$H95,,(COLUMN()-69)*8)),"")</f>
        <v>2019</v>
      </c>
      <c r="BZ95" s="11">
        <f ca="1">IFERROR(YEAR(OFFSET(BV!$H95,,(COLUMN()-69)*8)),"")</f>
        <v>2019</v>
      </c>
    </row>
    <row r="96" spans="1:78" x14ac:dyDescent="0.25">
      <c r="A96" s="433">
        <v>71</v>
      </c>
      <c r="B96" s="552">
        <f ca="1">BV!D96</f>
        <v>3.1072210065645511</v>
      </c>
      <c r="C96" s="297">
        <f ca="1">BV!L96</f>
        <v>2.8908794788273617</v>
      </c>
      <c r="D96" s="297">
        <f ca="1">BV!T96</f>
        <v>2.7952755905511815</v>
      </c>
      <c r="E96" s="297">
        <f ca="1">BV!AB96</f>
        <v>2.7854060415849355</v>
      </c>
      <c r="F96" s="298">
        <f ca="1">BV!AJ96</f>
        <v>2.6721866767030487</v>
      </c>
      <c r="G96" s="298">
        <f ca="1">BV!AR96</f>
        <v>2.6413690476190479</v>
      </c>
      <c r="H96" s="298">
        <f ca="1">BV!AZ96</f>
        <v>2.5539568345323742</v>
      </c>
      <c r="I96" s="298">
        <f ca="1">BV!BH96</f>
        <v>2.5384340364676441</v>
      </c>
      <c r="J96" s="299">
        <f ca="1">BV!BP96</f>
        <v>2.4877365101611773</v>
      </c>
      <c r="K96" s="299">
        <f ca="1">BV!BX96</f>
        <v>2.4215552523874488</v>
      </c>
      <c r="L96" s="15" t="s">
        <v>102</v>
      </c>
      <c r="M96" s="261">
        <v>2.7897899986999999E-2</v>
      </c>
      <c r="N96" s="282">
        <f t="shared" ca="1" si="68"/>
        <v>5.987068726318209</v>
      </c>
      <c r="O96" s="295">
        <v>25</v>
      </c>
      <c r="P96" s="295">
        <f ca="1">SUM(Time!N2:N26)/$O96</f>
        <v>18.004399999999997</v>
      </c>
      <c r="Q96" s="320">
        <f ca="1">SUM(Bvs!O2:O26)/$O96</f>
        <v>3.0599213778530943</v>
      </c>
      <c r="R96" s="320">
        <f ca="1">SUM(QG!R2:R26)/$O96</f>
        <v>2.8900549309086268</v>
      </c>
      <c r="S96" s="321">
        <f ca="1">153.73/R96</f>
        <v>53.192760579006581</v>
      </c>
      <c r="T96" s="761">
        <f ca="1">IFERROR((Arb!$AR$32*Arb!$AQ$32)/R96+(Arb!$AR$31/Arb!$AQ$31)*Q96+(Arb!$AR$30*Arb!$AQ$30)/P96,"")</f>
        <v>48.818607125720192</v>
      </c>
      <c r="U96" s="761">
        <f ca="1">T96*12</f>
        <v>585.82328550864236</v>
      </c>
      <c r="V96" s="762" t="str">
        <f ca="1">titleg3(T96/0.9)</f>
        <v>探花8.54阶</v>
      </c>
      <c r="W96" s="625"/>
      <c r="X96" s="274">
        <f ca="1">S96*Q96/P96/Arb!AS28</f>
        <v>1.8337377485179487</v>
      </c>
      <c r="Y96" s="317"/>
      <c r="AA96" s="315"/>
      <c r="AB96" s="315"/>
      <c r="AC96" s="315"/>
      <c r="AD96" s="315"/>
      <c r="AE96" s="315"/>
      <c r="AF96" s="315"/>
      <c r="AG96" s="315"/>
      <c r="AH96" s="315"/>
      <c r="AI96" s="315"/>
      <c r="AJ96" s="315"/>
      <c r="AK96" s="315"/>
      <c r="AL96" s="315"/>
      <c r="AM96" s="315"/>
      <c r="AN96" s="433">
        <v>71</v>
      </c>
      <c r="AO96" s="301">
        <f ca="1">BV!C96</f>
        <v>22.85</v>
      </c>
      <c r="AP96" s="302">
        <f ca="1">BV!K96</f>
        <v>24.56</v>
      </c>
      <c r="AQ96" s="302">
        <f ca="1">BV!S96</f>
        <v>25.4</v>
      </c>
      <c r="AR96" s="302">
        <f ca="1">BV!AA96</f>
        <v>25.49</v>
      </c>
      <c r="AS96" s="660">
        <f ca="1">BV!AI96</f>
        <v>26.57</v>
      </c>
      <c r="AT96" s="660">
        <f ca="1">BV!AQ96</f>
        <v>26.88</v>
      </c>
      <c r="AU96" s="660">
        <f ca="1">BV!AY96</f>
        <v>27.8</v>
      </c>
      <c r="AV96" s="660">
        <f ca="1">BV!BG96</f>
        <v>27.97</v>
      </c>
      <c r="AW96" s="659">
        <f ca="1">BV!BO96</f>
        <v>28.54</v>
      </c>
      <c r="AX96" s="659">
        <f ca="1">BV!BW96</f>
        <v>29.32</v>
      </c>
      <c r="AY96" s="15" t="s">
        <v>65</v>
      </c>
      <c r="AZ96" s="258">
        <f t="shared" si="105"/>
        <v>1.554428486991035</v>
      </c>
      <c r="BA96" s="261">
        <v>2.7897899986999999E-2</v>
      </c>
      <c r="BB96" s="268">
        <v>0.22353154878600001</v>
      </c>
      <c r="BC96" s="268">
        <f t="shared" si="72"/>
        <v>0.12480520149622508</v>
      </c>
      <c r="BD96" s="269">
        <f ca="1">IF(BV!H96="","",INT(NOW()-BV!H96))</f>
        <v>363</v>
      </c>
      <c r="BE96" s="260">
        <f t="shared" si="86"/>
        <v>5.9870687263182099</v>
      </c>
      <c r="BF96" s="300">
        <f ca="1">BV!G96</f>
        <v>53.445411889458235</v>
      </c>
      <c r="BG96" s="301">
        <f ca="1">BV!O96</f>
        <v>47.274697622838772</v>
      </c>
      <c r="BH96" s="301">
        <f ca="1">BV!W96</f>
        <v>44.64775821557464</v>
      </c>
      <c r="BI96" s="301">
        <f ca="1">BV!AE96</f>
        <v>44.380097866960895</v>
      </c>
      <c r="BJ96" s="301">
        <f ca="1">BV!AM96</f>
        <v>41.357219549740854</v>
      </c>
      <c r="BK96" s="301">
        <f ca="1">BV!AU96</f>
        <v>40.549660873292723</v>
      </c>
      <c r="BL96" s="301">
        <f ca="1">BV!BC96</f>
        <v>38.294889688350132</v>
      </c>
      <c r="BM96" s="301">
        <f ca="1">BV!BK96</f>
        <v>37.900050013398527</v>
      </c>
      <c r="BN96" s="302">
        <f ca="1">BV!BS96</f>
        <v>36.622267369537902</v>
      </c>
      <c r="BO96" s="302">
        <f ca="1">BV!CA96</f>
        <v>34.981484353364046</v>
      </c>
      <c r="BP96" s="433">
        <v>71</v>
      </c>
      <c r="BQ96" s="11">
        <f ca="1">IFERROR(YEAR(OFFSET(BV!$H96,,(COLUMN()-69)*8)),"")</f>
        <v>2019</v>
      </c>
      <c r="BR96" s="11">
        <f ca="1">IFERROR(YEAR(OFFSET(BV!$H96,,(COLUMN()-69)*8)),"")</f>
        <v>2020</v>
      </c>
      <c r="BS96" s="11">
        <f ca="1">IFERROR(YEAR(OFFSET(BV!$H96,,(COLUMN()-69)*8)),"")</f>
        <v>2019</v>
      </c>
      <c r="BT96" s="11">
        <f ca="1">IFERROR(YEAR(OFFSET(BV!$H96,,(COLUMN()-69)*8)),"")</f>
        <v>2020</v>
      </c>
      <c r="BU96" s="11">
        <f ca="1">IFERROR(YEAR(OFFSET(BV!$H96,,(COLUMN()-69)*8)),"")</f>
        <v>2019</v>
      </c>
      <c r="BV96" s="11">
        <f ca="1">IFERROR(YEAR(OFFSET(BV!$H96,,(COLUMN()-69)*8)),"")</f>
        <v>2020</v>
      </c>
      <c r="BW96" s="11">
        <f ca="1">IFERROR(YEAR(OFFSET(BV!$H96,,(COLUMN()-69)*8)),"")</f>
        <v>2019</v>
      </c>
      <c r="BX96" s="11">
        <f ca="1">IFERROR(YEAR(OFFSET(BV!$H96,,(COLUMN()-69)*8)),"")</f>
        <v>2019</v>
      </c>
      <c r="BY96" s="11">
        <f ca="1">IFERROR(YEAR(OFFSET(BV!$H96,,(COLUMN()-69)*8)),"")</f>
        <v>2019</v>
      </c>
      <c r="BZ96" s="11">
        <f ca="1">IFERROR(YEAR(OFFSET(BV!$H96,,(COLUMN()-69)*8)),"")</f>
        <v>2020</v>
      </c>
    </row>
    <row r="97" spans="1:78" x14ac:dyDescent="0.25">
      <c r="A97" s="433">
        <v>72</v>
      </c>
      <c r="B97" s="297">
        <f ca="1">BV!D97</f>
        <v>2.9232643118148602</v>
      </c>
      <c r="C97" s="297">
        <f ca="1">BV!L97</f>
        <v>2.8950542822677923</v>
      </c>
      <c r="D97" s="297">
        <f ca="1">BV!T97</f>
        <v>2.88</v>
      </c>
      <c r="E97" s="297">
        <f ca="1">BV!AB97</f>
        <v>2.8582770940849542</v>
      </c>
      <c r="F97" s="297">
        <f ca="1">BV!AJ97</f>
        <v>2.7745664739884393</v>
      </c>
      <c r="G97" s="298">
        <f ca="1">BV!AR97</f>
        <v>2.5650160313501957</v>
      </c>
      <c r="H97" s="298">
        <f ca="1">BV!AZ97</f>
        <v>2.5227750525578139</v>
      </c>
      <c r="I97" s="299">
        <f ca="1">BV!BH97</f>
        <v>2.4793388429752068</v>
      </c>
      <c r="J97" s="299">
        <f ca="1">BV!BP97</f>
        <v>2.4742268041237114</v>
      </c>
      <c r="K97" s="299">
        <f ca="1">BV!BX97</f>
        <v>2.4381984422621064</v>
      </c>
      <c r="L97" s="15" t="s">
        <v>102</v>
      </c>
      <c r="M97" s="261">
        <v>2.6400992485E-2</v>
      </c>
      <c r="N97" s="282">
        <f t="shared" ca="1" si="68"/>
        <v>6.1544588642943108</v>
      </c>
      <c r="O97" s="295">
        <v>25</v>
      </c>
      <c r="P97" s="295">
        <f ca="1">SUM(Time!X2:X26)/$O97</f>
        <v>61.346799999999995</v>
      </c>
      <c r="Q97" s="320">
        <f ca="1">SUM(Bvs!Y2:Y26)/$O97</f>
        <v>2.7322690828572411</v>
      </c>
      <c r="R97" s="320">
        <f ca="1">SUM(QG!AB2:AB26)/$O97</f>
        <v>7.0524225174498545</v>
      </c>
      <c r="S97" s="321">
        <f ca="1">435.001/R97</f>
        <v>61.681074683723814</v>
      </c>
      <c r="T97" s="18">
        <f ca="1">IFERROR((Arb!$AR$35*Arb!$AQ$35)/R97+(Arb!$AR$34/Arb!$AQ$34)*Q97+(Arb!$AR$33*Arb!$AQ$33)/P97,"")</f>
        <v>55.724073095214422</v>
      </c>
      <c r="U97" s="18">
        <f ca="1">T97*16</f>
        <v>891.58516952343075</v>
      </c>
      <c r="V97" s="763" t="str">
        <f ca="1">titleg3(T97/0.9)</f>
        <v>小雷神6.19阶</v>
      </c>
      <c r="W97" s="625"/>
      <c r="X97" s="274">
        <f ca="1">S97*Q97/P97/Arb!AS29</f>
        <v>2.7471570376245715</v>
      </c>
      <c r="Y97" s="317"/>
      <c r="AA97" s="590" t="str">
        <f>IF(Arb!$AJ$28=1,"Date","日期")</f>
        <v>日期</v>
      </c>
      <c r="AB97" s="590"/>
      <c r="AC97" s="4" t="s">
        <v>288</v>
      </c>
      <c r="AD97" s="590" t="s">
        <v>6</v>
      </c>
      <c r="AE97" s="590"/>
      <c r="AF97" s="4" t="s">
        <v>69</v>
      </c>
      <c r="AG97" s="4" t="str">
        <f>IF(Arb!$AJ$28=1,"List","编号")</f>
        <v>编号</v>
      </c>
      <c r="AH97" s="4" t="str">
        <f>IF(Arb!$AJ$28=1,"Rank","排位")</f>
        <v>排位</v>
      </c>
      <c r="AI97" s="315"/>
      <c r="AJ97" s="315"/>
      <c r="AK97" s="480" t="s">
        <v>461</v>
      </c>
      <c r="AL97" s="315"/>
      <c r="AM97" s="315"/>
      <c r="AN97" s="433">
        <v>72</v>
      </c>
      <c r="AO97" s="302">
        <f ca="1">BV!C97</f>
        <v>24.63</v>
      </c>
      <c r="AP97" s="302">
        <f ca="1">BV!K97</f>
        <v>24.87</v>
      </c>
      <c r="AQ97" s="302">
        <f ca="1">BV!S97</f>
        <v>25</v>
      </c>
      <c r="AR97" s="302">
        <f ca="1">BV!AA97</f>
        <v>25.19</v>
      </c>
      <c r="AS97" s="302">
        <f ca="1">BV!AI97</f>
        <v>25.95</v>
      </c>
      <c r="AT97" s="659">
        <f ca="1">BV!AQ97</f>
        <v>28.07</v>
      </c>
      <c r="AU97" s="659">
        <f ca="1">BV!AY97</f>
        <v>28.54</v>
      </c>
      <c r="AV97" s="659">
        <f ca="1">BV!BG97</f>
        <v>29.04</v>
      </c>
      <c r="AW97" s="659">
        <f ca="1">BV!BO97</f>
        <v>29.1</v>
      </c>
      <c r="AX97" s="659">
        <f ca="1">BV!BW97</f>
        <v>29.53</v>
      </c>
      <c r="AY97" s="15" t="s">
        <v>65</v>
      </c>
      <c r="AZ97" s="258">
        <f t="shared" si="105"/>
        <v>1.578379746514375</v>
      </c>
      <c r="BA97" s="261">
        <v>2.6400992485E-2</v>
      </c>
      <c r="BB97" s="268">
        <v>0.22353154878600001</v>
      </c>
      <c r="BC97" s="268">
        <f t="shared" si="72"/>
        <v>0.11810857406206779</v>
      </c>
      <c r="BD97" s="269">
        <f ca="1">IF(BV!H97="","",INT(NOW()-BV!H97))</f>
        <v>363</v>
      </c>
      <c r="BE97" s="260">
        <f t="shared" si="86"/>
        <v>6.1544588642943108</v>
      </c>
      <c r="BF97" s="301">
        <f ca="1">BV!G97</f>
        <v>47.709143889297465</v>
      </c>
      <c r="BG97" s="301">
        <f ca="1">BV!O97</f>
        <v>46.929106829615762</v>
      </c>
      <c r="BH97" s="301">
        <f ca="1">BV!W97</f>
        <v>46.515008951538213</v>
      </c>
      <c r="BI97" s="301">
        <f ca="1">BV!AE97</f>
        <v>45.920143744040445</v>
      </c>
      <c r="BJ97" s="301">
        <f ca="1">BV!AM97</f>
        <v>43.657373863556892</v>
      </c>
      <c r="BK97" s="301">
        <f ca="1">BV!AU97</f>
        <v>38.20137739048883</v>
      </c>
      <c r="BL97" s="302">
        <f ca="1">BV!BC97</f>
        <v>37.138073952207449</v>
      </c>
      <c r="BM97" s="302">
        <f ca="1">BV!BK97</f>
        <v>36.05760552382803</v>
      </c>
      <c r="BN97" s="302">
        <f ca="1">BV!BS97</f>
        <v>35.931309266829047</v>
      </c>
      <c r="BO97" s="302">
        <f ca="1">BV!CA97</f>
        <v>35.046387921744717</v>
      </c>
      <c r="BP97" s="433">
        <v>72</v>
      </c>
      <c r="BQ97" s="11">
        <f ca="1">IFERROR(YEAR(OFFSET(BV!$H97,,(COLUMN()-69)*8)),"")</f>
        <v>2019</v>
      </c>
      <c r="BR97" s="11">
        <f ca="1">IFERROR(YEAR(OFFSET(BV!$H97,,(COLUMN()-69)*8)),"")</f>
        <v>2019</v>
      </c>
      <c r="BS97" s="11">
        <f ca="1">IFERROR(YEAR(OFFSET(BV!$H97,,(COLUMN()-69)*8)),"")</f>
        <v>2020</v>
      </c>
      <c r="BT97" s="11">
        <f ca="1">IFERROR(YEAR(OFFSET(BV!$H97,,(COLUMN()-69)*8)),"")</f>
        <v>2019</v>
      </c>
      <c r="BU97" s="11">
        <f ca="1">IFERROR(YEAR(OFFSET(BV!$H97,,(COLUMN()-69)*8)),"")</f>
        <v>2019</v>
      </c>
      <c r="BV97" s="11">
        <f ca="1">IFERROR(YEAR(OFFSET(BV!$H97,,(COLUMN()-69)*8)),"")</f>
        <v>2020</v>
      </c>
      <c r="BW97" s="11">
        <f ca="1">IFERROR(YEAR(OFFSET(BV!$H97,,(COLUMN()-69)*8)),"")</f>
        <v>2019</v>
      </c>
      <c r="BX97" s="11">
        <f ca="1">IFERROR(YEAR(OFFSET(BV!$H97,,(COLUMN()-69)*8)),"")</f>
        <v>2019</v>
      </c>
      <c r="BY97" s="11">
        <f ca="1">IFERROR(YEAR(OFFSET(BV!$H97,,(COLUMN()-69)*8)),"")</f>
        <v>2019</v>
      </c>
      <c r="BZ97" s="11">
        <f ca="1">IFERROR(YEAR(OFFSET(BV!$H97,,(COLUMN()-69)*8)),"")</f>
        <v>2019</v>
      </c>
    </row>
    <row r="98" spans="1:78" x14ac:dyDescent="0.25">
      <c r="A98" s="433">
        <v>73</v>
      </c>
      <c r="B98" s="297">
        <f ca="1">BV!D98</f>
        <v>2.9506871463217466</v>
      </c>
      <c r="C98" s="297">
        <f ca="1">BV!L98</f>
        <v>2.9281989570798235</v>
      </c>
      <c r="D98" s="297">
        <f ca="1">BV!T98</f>
        <v>2.8899445764053837</v>
      </c>
      <c r="E98" s="297">
        <f ca="1">BV!AB98</f>
        <v>2.7651515151515151</v>
      </c>
      <c r="F98" s="297">
        <f ca="1">BV!AJ98</f>
        <v>2.7620128641695043</v>
      </c>
      <c r="G98" s="297">
        <f ca="1">BV!AR98</f>
        <v>2.7536778574122969</v>
      </c>
      <c r="H98" s="298">
        <f ca="1">BV!AZ98</f>
        <v>2.7147638527333582</v>
      </c>
      <c r="I98" s="298">
        <f ca="1">BV!BH98</f>
        <v>2.7107315261789826</v>
      </c>
      <c r="J98" s="298">
        <f ca="1">BV!BP98</f>
        <v>2.6401446654611211</v>
      </c>
      <c r="K98" s="298">
        <f ca="1">BV!BX98</f>
        <v>2.5932504440497337</v>
      </c>
      <c r="L98" s="15" t="s">
        <v>102</v>
      </c>
      <c r="M98" s="261">
        <v>2.4833128898E-2</v>
      </c>
      <c r="N98" s="282">
        <f t="shared" ca="1" si="68"/>
        <v>6.3457692898806375</v>
      </c>
      <c r="O98" s="1"/>
      <c r="P98" s="1">
        <f ca="1">SUM(P95:P97)</f>
        <v>82.628799999999984</v>
      </c>
      <c r="Q98" s="165">
        <f ca="1">SUM(Q95:Q97)</f>
        <v>10.101104136863556</v>
      </c>
      <c r="R98" s="165"/>
      <c r="S98" s="21"/>
      <c r="T98" s="764">
        <f ca="1">U98/33</f>
        <v>51.750534337504618</v>
      </c>
      <c r="U98" s="764">
        <f ca="1">SUM(U95:U97)</f>
        <v>1707.7676331376524</v>
      </c>
      <c r="V98" s="765" t="str">
        <f ca="1">titleg3(T98/0.9)</f>
        <v>状元5.98阶</v>
      </c>
      <c r="W98" s="625"/>
      <c r="X98" s="2">
        <f ca="1">(X95*X96*X97)^(1/3)</f>
        <v>1.8586060386906762</v>
      </c>
      <c r="Y98" s="317"/>
      <c r="AA98" s="620">
        <f ca="1">LARGE(OFFSET(BV!H$2,,AH98*8-8,430),AG98)</f>
        <v>44177.267</v>
      </c>
      <c r="AB98" s="620"/>
      <c r="AC98" s="1">
        <f ca="1">INDEX(OFFSET(BV!A$2,,AH98*8-8,430),$AK98)</f>
        <v>125</v>
      </c>
      <c r="AD98" s="594">
        <f ca="1">INDEX(OFFSET(BV!C$2,,AH98*8-8,430),$AK98)</f>
        <v>57.36</v>
      </c>
      <c r="AE98" s="594"/>
      <c r="AF98" s="1">
        <f ca="1">INDEX(OFFSET(BV!D$2,,AH98*8-8,430),$AK98)</f>
        <v>2.179218967921897</v>
      </c>
      <c r="AG98" s="1">
        <v>1</v>
      </c>
      <c r="AH98" s="1">
        <v>1</v>
      </c>
      <c r="AI98" s="315"/>
      <c r="AJ98" s="315"/>
      <c r="AK98" s="480">
        <f ca="1">MATCH(AA98,OFFSET(BV!H$2,,AH98*8-8,430),0)</f>
        <v>266</v>
      </c>
      <c r="AL98" s="315"/>
      <c r="AM98" s="315"/>
      <c r="AN98" s="433">
        <v>73</v>
      </c>
      <c r="AO98" s="302">
        <f ca="1">BV!C98</f>
        <v>24.74</v>
      </c>
      <c r="AP98" s="302">
        <f ca="1">BV!K98</f>
        <v>24.93</v>
      </c>
      <c r="AQ98" s="302">
        <f ca="1">BV!S98</f>
        <v>25.26</v>
      </c>
      <c r="AR98" s="660">
        <f ca="1">BV!AA98</f>
        <v>26.4</v>
      </c>
      <c r="AS98" s="660">
        <f ca="1">BV!AI98</f>
        <v>26.43</v>
      </c>
      <c r="AT98" s="660">
        <f ca="1">BV!AQ98</f>
        <v>26.51</v>
      </c>
      <c r="AU98" s="660">
        <f ca="1">BV!AY98</f>
        <v>26.89</v>
      </c>
      <c r="AV98" s="660">
        <f ca="1">BV!BG98</f>
        <v>26.93</v>
      </c>
      <c r="AW98" s="660">
        <f ca="1">BV!BO98</f>
        <v>27.65</v>
      </c>
      <c r="AX98" s="659">
        <f ca="1">BV!BW98</f>
        <v>28.15</v>
      </c>
      <c r="AY98" s="15" t="s">
        <v>65</v>
      </c>
      <c r="AZ98" s="258">
        <f t="shared" si="105"/>
        <v>1.6049685572265089</v>
      </c>
      <c r="BA98" s="261">
        <v>2.4833128898E-2</v>
      </c>
      <c r="BB98" s="268">
        <v>0.22353154878600001</v>
      </c>
      <c r="BC98" s="268">
        <f t="shared" si="72"/>
        <v>0.11109451454556969</v>
      </c>
      <c r="BD98" s="269">
        <f ca="1">IF(BV!H98="","",INT(NOW()-BV!H98))</f>
        <v>279</v>
      </c>
      <c r="BE98" s="260">
        <f t="shared" si="86"/>
        <v>6.3457692898806375</v>
      </c>
      <c r="BF98" s="301">
        <f ca="1">BV!G98</f>
        <v>48.006716789536888</v>
      </c>
      <c r="BG98" s="301">
        <f ca="1">BV!O98</f>
        <v>47.386388843450092</v>
      </c>
      <c r="BH98" s="301">
        <f ca="1">BV!W98</f>
        <v>46.338801677027817</v>
      </c>
      <c r="BI98" s="301">
        <f ca="1">BV!AE98</f>
        <v>42.98874945223757</v>
      </c>
      <c r="BJ98" s="301">
        <f ca="1">BV!AM98</f>
        <v>42.905830226916706</v>
      </c>
      <c r="BK98" s="301">
        <f ca="1">BV!AU98</f>
        <v>42.685949884101468</v>
      </c>
      <c r="BL98" s="301">
        <f ca="1">BV!BC98</f>
        <v>41.6655504300101</v>
      </c>
      <c r="BM98" s="301">
        <f ca="1">BV!BK98</f>
        <v>41.560396909949077</v>
      </c>
      <c r="BN98" s="301">
        <f ca="1">BV!BS98</f>
        <v>39.737428245655472</v>
      </c>
      <c r="BO98" s="301">
        <f ca="1">BV!CA98</f>
        <v>38.545014083034467</v>
      </c>
      <c r="BP98" s="433">
        <v>73</v>
      </c>
      <c r="BQ98" s="11">
        <f ca="1">IFERROR(YEAR(OFFSET(BV!$H98,,(COLUMN()-69)*8)),"")</f>
        <v>2020</v>
      </c>
      <c r="BR98" s="11">
        <f ca="1">IFERROR(YEAR(OFFSET(BV!$H98,,(COLUMN()-69)*8)),"")</f>
        <v>2019</v>
      </c>
      <c r="BS98" s="11">
        <f ca="1">IFERROR(YEAR(OFFSET(BV!$H98,,(COLUMN()-69)*8)),"")</f>
        <v>2019</v>
      </c>
      <c r="BT98" s="11">
        <f ca="1">IFERROR(YEAR(OFFSET(BV!$H98,,(COLUMN()-69)*8)),"")</f>
        <v>2019</v>
      </c>
      <c r="BU98" s="11">
        <f ca="1">IFERROR(YEAR(OFFSET(BV!$H98,,(COLUMN()-69)*8)),"")</f>
        <v>2019</v>
      </c>
      <c r="BV98" s="11">
        <f ca="1">IFERROR(YEAR(OFFSET(BV!$H98,,(COLUMN()-69)*8)),"")</f>
        <v>2019</v>
      </c>
      <c r="BW98" s="11">
        <f ca="1">IFERROR(YEAR(OFFSET(BV!$H98,,(COLUMN()-69)*8)),"")</f>
        <v>2020</v>
      </c>
      <c r="BX98" s="11">
        <f ca="1">IFERROR(YEAR(OFFSET(BV!$H98,,(COLUMN()-69)*8)),"")</f>
        <v>2019</v>
      </c>
      <c r="BY98" s="11">
        <f ca="1">IFERROR(YEAR(OFFSET(BV!$H98,,(COLUMN()-69)*8)),"")</f>
        <v>2020</v>
      </c>
      <c r="BZ98" s="11">
        <f ca="1">IFERROR(YEAR(OFFSET(BV!$H98,,(COLUMN()-69)*8)),"")</f>
        <v>2019</v>
      </c>
    </row>
    <row r="99" spans="1:78" x14ac:dyDescent="0.25">
      <c r="A99" s="433">
        <v>74</v>
      </c>
      <c r="B99" s="552">
        <f ca="1">BV!D99</f>
        <v>3.1223628691983123</v>
      </c>
      <c r="C99" s="297">
        <f ca="1">BV!L99</f>
        <v>2.8461538461538463</v>
      </c>
      <c r="D99" s="298">
        <f ca="1">BV!T99</f>
        <v>2.7397260273972601</v>
      </c>
      <c r="E99" s="298">
        <f ca="1">BV!AB99</f>
        <v>2.7185892725936811</v>
      </c>
      <c r="F99" s="298">
        <f ca="1">BV!AJ99</f>
        <v>2.6801883375588553</v>
      </c>
      <c r="G99" s="298">
        <f ca="1">BV!AR99</f>
        <v>2.5676613462873004</v>
      </c>
      <c r="H99" s="298">
        <f ca="1">BV!AZ99</f>
        <v>2.5281858558250767</v>
      </c>
      <c r="I99" s="298">
        <f ca="1">BV!BH99</f>
        <v>2.5264595425059748</v>
      </c>
      <c r="J99" s="298">
        <f ca="1">BV!BP99</f>
        <v>2.5247355851245308</v>
      </c>
      <c r="K99" s="299">
        <f ca="1">BV!BX99</f>
        <v>2.4642024642024642</v>
      </c>
      <c r="L99" s="15" t="s">
        <v>102</v>
      </c>
      <c r="M99" s="261">
        <v>2.3219960013000002E-2</v>
      </c>
      <c r="N99" s="282">
        <f t="shared" ca="1" si="68"/>
        <v>6.5624992419374939</v>
      </c>
      <c r="O99" s="36">
        <v>50</v>
      </c>
      <c r="P99" s="36">
        <f ca="1">SUM(Time!D2:D51)/$O99</f>
        <v>3.4191999999999996</v>
      </c>
      <c r="Q99" s="322">
        <f ca="1">SUM(Bvs!E2:E51)/$O99</f>
        <v>4.122906166548284</v>
      </c>
      <c r="R99" s="322">
        <f ca="1">SUM(QG!H2:H51)/$O99</f>
        <v>0.67344914249713961</v>
      </c>
      <c r="S99" s="280">
        <f ca="1">47.299/R99</f>
        <v>70.233959797789623</v>
      </c>
      <c r="T99" s="280">
        <f ca="1">IFERROR((Arb!$AR$29*Arb!$AQ$29)/R99+(Arb!$AR$28/Arb!$AQ$28)*Q99+(Arb!$AR$27*Arb!$AQ$27)/P99,"")</f>
        <v>43.898925762822095</v>
      </c>
      <c r="U99" s="280">
        <f ca="1">T99*5</f>
        <v>219.49462881411048</v>
      </c>
      <c r="V99" s="766" t="str">
        <f ca="1">titleg3(T99/0.875)</f>
        <v>进士5.53阶</v>
      </c>
      <c r="W99" s="625"/>
      <c r="X99" s="37">
        <f ca="1">S99*Q99/P99/Arb!AS27</f>
        <v>1.0871479292328632</v>
      </c>
      <c r="Y99" s="317"/>
      <c r="AA99" s="620">
        <f ca="1">LARGE(OFFSET(BV!H$2,,AH99*8-8,430),AG99)</f>
        <v>44168.110999999997</v>
      </c>
      <c r="AB99" s="620"/>
      <c r="AC99" s="1">
        <f ca="1">INDEX(OFFSET(BV!A$2,,AH99*8-8,430),$AK99)</f>
        <v>86</v>
      </c>
      <c r="AD99" s="594">
        <f ca="1">INDEX(OFFSET(BV!C$2,,AH99*8-8,430),$AK99)</f>
        <v>27.92</v>
      </c>
      <c r="AE99" s="594"/>
      <c r="AF99" s="1">
        <f ca="1">INDEX(OFFSET(BV!D$2,,AH99*8-8,430),$AK99)</f>
        <v>3.0802292263610314</v>
      </c>
      <c r="AG99" s="1">
        <v>2</v>
      </c>
      <c r="AH99" s="1">
        <v>1</v>
      </c>
      <c r="AI99" s="315"/>
      <c r="AJ99" s="315"/>
      <c r="AK99" s="480">
        <f ca="1">MATCH(AA99,OFFSET(BV!H$2,,AH99*8-8,430),0)</f>
        <v>110</v>
      </c>
      <c r="AL99" s="315"/>
      <c r="AM99" s="315"/>
      <c r="AN99" s="433">
        <v>74</v>
      </c>
      <c r="AO99" s="301">
        <f ca="1">BV!C99</f>
        <v>23.7</v>
      </c>
      <c r="AP99" s="660">
        <f ca="1">BV!K99</f>
        <v>26</v>
      </c>
      <c r="AQ99" s="660">
        <f ca="1">BV!S99</f>
        <v>27.01</v>
      </c>
      <c r="AR99" s="660">
        <f ca="1">BV!AA99</f>
        <v>27.22</v>
      </c>
      <c r="AS99" s="660">
        <f ca="1">BV!AI99</f>
        <v>27.61</v>
      </c>
      <c r="AT99" s="659">
        <f ca="1">BV!AQ99</f>
        <v>28.82</v>
      </c>
      <c r="AU99" s="659">
        <f ca="1">BV!AY99</f>
        <v>29.27</v>
      </c>
      <c r="AV99" s="659">
        <f ca="1">BV!BG99</f>
        <v>29.29</v>
      </c>
      <c r="AW99" s="659">
        <f ca="1">BV!BO99</f>
        <v>29.31</v>
      </c>
      <c r="AX99" s="11">
        <f ca="1">BV!BW99</f>
        <v>30.03</v>
      </c>
      <c r="AY99" s="15" t="s">
        <v>65</v>
      </c>
      <c r="AZ99" s="258">
        <f t="shared" si="105"/>
        <v>1.6341385324935862</v>
      </c>
      <c r="BA99" s="261">
        <v>2.3219960013000002E-2</v>
      </c>
      <c r="BB99" s="268">
        <v>0.22353154878600001</v>
      </c>
      <c r="BC99" s="268">
        <f t="shared" si="72"/>
        <v>0.103877775370446</v>
      </c>
      <c r="BD99" s="269">
        <f ca="1">IF(BV!H99="","",INT(NOW()-BV!H99))</f>
        <v>369</v>
      </c>
      <c r="BE99" s="260">
        <f t="shared" si="86"/>
        <v>6.562499241937493</v>
      </c>
      <c r="BF99" s="300">
        <f ca="1">BV!G99</f>
        <v>52.350177517700182</v>
      </c>
      <c r="BG99" s="301">
        <f ca="1">BV!O99</f>
        <v>44.723486804303917</v>
      </c>
      <c r="BH99" s="301">
        <f ca="1">BV!W99</f>
        <v>41.91780700620042</v>
      </c>
      <c r="BI99" s="301">
        <f ca="1">BV!AE99</f>
        <v>41.369525669842517</v>
      </c>
      <c r="BJ99" s="301">
        <f ca="1">BV!AM99</f>
        <v>40.381035887180111</v>
      </c>
      <c r="BK99" s="301">
        <f ca="1">BV!AU99</f>
        <v>37.541410591962901</v>
      </c>
      <c r="BL99" s="302">
        <f ca="1">BV!BC99</f>
        <v>36.56551704040902</v>
      </c>
      <c r="BM99" s="302">
        <f ca="1">BV!BK99</f>
        <v>36.523081723207</v>
      </c>
      <c r="BN99" s="302">
        <f ca="1">BV!BS99</f>
        <v>36.480724569080934</v>
      </c>
      <c r="BO99" s="302">
        <f ca="1">BV!CA99</f>
        <v>35.006305791632286</v>
      </c>
      <c r="BP99" s="433">
        <v>74</v>
      </c>
      <c r="BQ99" s="11">
        <f ca="1">IFERROR(YEAR(OFFSET(BV!$H99,,(COLUMN()-69)*8)),"")</f>
        <v>2019</v>
      </c>
      <c r="BR99" s="11">
        <f ca="1">IFERROR(YEAR(OFFSET(BV!$H99,,(COLUMN()-69)*8)),"")</f>
        <v>2019</v>
      </c>
      <c r="BS99" s="11">
        <f ca="1">IFERROR(YEAR(OFFSET(BV!$H99,,(COLUMN()-69)*8)),"")</f>
        <v>2019</v>
      </c>
      <c r="BT99" s="11">
        <f ca="1">IFERROR(YEAR(OFFSET(BV!$H99,,(COLUMN()-69)*8)),"")</f>
        <v>2019</v>
      </c>
      <c r="BU99" s="11">
        <f ca="1">IFERROR(YEAR(OFFSET(BV!$H99,,(COLUMN()-69)*8)),"")</f>
        <v>2019</v>
      </c>
      <c r="BV99" s="11">
        <f ca="1">IFERROR(YEAR(OFFSET(BV!$H99,,(COLUMN()-69)*8)),"")</f>
        <v>2020</v>
      </c>
      <c r="BW99" s="11">
        <f ca="1">IFERROR(YEAR(OFFSET(BV!$H99,,(COLUMN()-69)*8)),"")</f>
        <v>2019</v>
      </c>
      <c r="BX99" s="11">
        <f ca="1">IFERROR(YEAR(OFFSET(BV!$H99,,(COLUMN()-69)*8)),"")</f>
        <v>2019</v>
      </c>
      <c r="BY99" s="11">
        <f ca="1">IFERROR(YEAR(OFFSET(BV!$H99,,(COLUMN()-69)*8)),"")</f>
        <v>2019</v>
      </c>
      <c r="BZ99" s="11">
        <f ca="1">IFERROR(YEAR(OFFSET(BV!$H99,,(COLUMN()-69)*8)),"")</f>
        <v>2020</v>
      </c>
    </row>
    <row r="100" spans="1:78" x14ac:dyDescent="0.25">
      <c r="A100" s="433">
        <v>75</v>
      </c>
      <c r="B100" s="552">
        <f ca="1">BV!D100</f>
        <v>3.2119914346895073</v>
      </c>
      <c r="C100" s="297">
        <f ca="1">BV!L100</f>
        <v>2.8100412139378044</v>
      </c>
      <c r="D100" s="298">
        <f ca="1">BV!T100</f>
        <v>2.7492668621700878</v>
      </c>
      <c r="E100" s="298">
        <f ca="1">BV!AB100</f>
        <v>2.7066041140382531</v>
      </c>
      <c r="F100" s="298">
        <f ca="1">BV!AJ100</f>
        <v>2.6920315865039486</v>
      </c>
      <c r="G100" s="298">
        <f ca="1">BV!AR100</f>
        <v>2.6586316908897554</v>
      </c>
      <c r="H100" s="298">
        <f ca="1">BV!AZ100</f>
        <v>2.6114206128133706</v>
      </c>
      <c r="I100" s="298">
        <f ca="1">BV!BH100</f>
        <v>2.6105116602854159</v>
      </c>
      <c r="J100" s="298">
        <f ca="1">BV!BP100</f>
        <v>2.5579809004092771</v>
      </c>
      <c r="K100" s="298">
        <f ca="1">BV!BX100</f>
        <v>2.5134048257372656</v>
      </c>
      <c r="L100" s="15" t="s">
        <v>102</v>
      </c>
      <c r="M100" s="261">
        <v>2.1585743208999999E-2</v>
      </c>
      <c r="N100" s="282">
        <f t="shared" ca="1" si="68"/>
        <v>6.8063847767713677</v>
      </c>
      <c r="O100" s="36">
        <v>50</v>
      </c>
      <c r="P100" s="36">
        <f ca="1">SUM(Time!N2:N51)/$O100</f>
        <v>19.252000000000002</v>
      </c>
      <c r="Q100" s="322">
        <f ca="1">SUM(Bvs!O2:O51)/$O100</f>
        <v>2.9742539768747323</v>
      </c>
      <c r="R100" s="322">
        <f ca="1">SUM(QG!R2:R51)/$O100</f>
        <v>3.0231612682628928</v>
      </c>
      <c r="S100" s="280">
        <f ca="1">153.73/R100</f>
        <v>50.850744091575763</v>
      </c>
      <c r="T100" s="761">
        <f ca="1">IFERROR((Arb!$AR$32*Arb!$AQ$32)/R100+(Arb!$AR$31/Arb!$AQ$31)*Q100+(Arb!$AR$30*Arb!$AQ$30)/P100,"")</f>
        <v>46.599428533479312</v>
      </c>
      <c r="U100" s="761">
        <f ca="1">T100*12</f>
        <v>559.19314240175174</v>
      </c>
      <c r="V100" s="762" t="str">
        <f t="shared" ref="V100:V102" ca="1" si="106">titleg3(T100/0.875)</f>
        <v>探花5.19阶</v>
      </c>
      <c r="W100" s="625"/>
      <c r="X100" s="37">
        <f ca="1">S100*Q100/P100/Arb!AS28</f>
        <v>1.5935019194697984</v>
      </c>
      <c r="Y100" s="317"/>
      <c r="AA100" s="620">
        <f ca="1">LARGE(OFFSET(BV!H$2,,AH100*8-8,430),AG100)</f>
        <v>44168.09</v>
      </c>
      <c r="AB100" s="620"/>
      <c r="AC100" s="1">
        <f ca="1">INDEX(OFFSET(BV!A$2,,AH100*8-8,430),$AK100)</f>
        <v>65</v>
      </c>
      <c r="AD100" s="594">
        <f ca="1">INDEX(OFFSET(BV!C$2,,AH100*8-8,430),$AK100)</f>
        <v>22.84</v>
      </c>
      <c r="AE100" s="594"/>
      <c r="AF100" s="1">
        <f ca="1">INDEX(OFFSET(BV!D$2,,AH100*8-8,430),$AK100)</f>
        <v>2.8458844133099825</v>
      </c>
      <c r="AG100" s="1">
        <v>3</v>
      </c>
      <c r="AH100" s="1">
        <v>1</v>
      </c>
      <c r="AI100" s="315"/>
      <c r="AJ100" s="315"/>
      <c r="AK100" s="480">
        <f ca="1">MATCH(AA100,OFFSET(BV!H$2,,AH100*8-8,430),0)</f>
        <v>89</v>
      </c>
      <c r="AL100" s="315"/>
      <c r="AM100" s="315"/>
      <c r="AN100" s="433">
        <v>75</v>
      </c>
      <c r="AO100" s="301">
        <f ca="1">BV!C100</f>
        <v>23.35</v>
      </c>
      <c r="AP100" s="660">
        <f ca="1">BV!K100</f>
        <v>26.69</v>
      </c>
      <c r="AQ100" s="660">
        <f ca="1">BV!S100</f>
        <v>27.28</v>
      </c>
      <c r="AR100" s="660">
        <f ca="1">BV!AA100</f>
        <v>27.71</v>
      </c>
      <c r="AS100" s="660">
        <f ca="1">BV!AI100</f>
        <v>27.86</v>
      </c>
      <c r="AT100" s="659">
        <f ca="1">BV!AQ100</f>
        <v>28.21</v>
      </c>
      <c r="AU100" s="659">
        <f ca="1">BV!AY100</f>
        <v>28.72</v>
      </c>
      <c r="AV100" s="659">
        <f ca="1">BV!BG100</f>
        <v>28.73</v>
      </c>
      <c r="AW100" s="659">
        <f ca="1">BV!BO100</f>
        <v>29.32</v>
      </c>
      <c r="AX100" s="659">
        <f ca="1">BV!BW100</f>
        <v>29.84</v>
      </c>
      <c r="AY100" s="15" t="s">
        <v>65</v>
      </c>
      <c r="AZ100" s="258">
        <f t="shared" si="105"/>
        <v>1.6658329937526319</v>
      </c>
      <c r="BA100" s="261">
        <v>2.1585743208999999E-2</v>
      </c>
      <c r="BB100" s="268">
        <v>0.22353154878600001</v>
      </c>
      <c r="BC100" s="268">
        <f t="shared" si="72"/>
        <v>9.656687535263897E-2</v>
      </c>
      <c r="BD100" s="269">
        <f ca="1">IF(BV!H100="","",INT(NOW()-BV!H100))</f>
        <v>66</v>
      </c>
      <c r="BE100" s="260">
        <f t="shared" si="86"/>
        <v>6.8063847767713677</v>
      </c>
      <c r="BF100" s="300">
        <f ca="1">BV!G100</f>
        <v>54.416698118260094</v>
      </c>
      <c r="BG100" s="301">
        <f ca="1">BV!O100</f>
        <v>43.353814509447261</v>
      </c>
      <c r="BH100" s="301">
        <f ca="1">BV!W100</f>
        <v>41.77192296354594</v>
      </c>
      <c r="BI100" s="301">
        <f ca="1">BV!AE100</f>
        <v>40.675958609938398</v>
      </c>
      <c r="BJ100" s="301">
        <f ca="1">BV!AM100</f>
        <v>40.30435728254772</v>
      </c>
      <c r="BK100" s="301">
        <f ca="1">BV!AU100</f>
        <v>39.457961444202404</v>
      </c>
      <c r="BL100" s="301">
        <f ca="1">BV!BC100</f>
        <v>38.274220109312864</v>
      </c>
      <c r="BM100" s="301">
        <f ca="1">BV!BK100</f>
        <v>38.251575400890893</v>
      </c>
      <c r="BN100" s="302">
        <f ca="1">BV!BS100</f>
        <v>36.952272204257802</v>
      </c>
      <c r="BO100" s="302">
        <f ca="1">BV!CA100</f>
        <v>35.864262006744177</v>
      </c>
      <c r="BP100" s="433">
        <v>75</v>
      </c>
      <c r="BQ100" s="11">
        <f ca="1">IFERROR(YEAR(OFFSET(BV!$H100,,(COLUMN()-69)*8)),"")</f>
        <v>2020</v>
      </c>
      <c r="BR100" s="11">
        <f ca="1">IFERROR(YEAR(OFFSET(BV!$H100,,(COLUMN()-69)*8)),"")</f>
        <v>2020</v>
      </c>
      <c r="BS100" s="11">
        <f ca="1">IFERROR(YEAR(OFFSET(BV!$H100,,(COLUMN()-69)*8)),"")</f>
        <v>2020</v>
      </c>
      <c r="BT100" s="11">
        <f ca="1">IFERROR(YEAR(OFFSET(BV!$H100,,(COLUMN()-69)*8)),"")</f>
        <v>2020</v>
      </c>
      <c r="BU100" s="11">
        <f ca="1">IFERROR(YEAR(OFFSET(BV!$H100,,(COLUMN()-69)*8)),"")</f>
        <v>2019</v>
      </c>
      <c r="BV100" s="11">
        <f ca="1">IFERROR(YEAR(OFFSET(BV!$H100,,(COLUMN()-69)*8)),"")</f>
        <v>2019</v>
      </c>
      <c r="BW100" s="11">
        <f ca="1">IFERROR(YEAR(OFFSET(BV!$H100,,(COLUMN()-69)*8)),"")</f>
        <v>2020</v>
      </c>
      <c r="BX100" s="11">
        <f ca="1">IFERROR(YEAR(OFFSET(BV!$H100,,(COLUMN()-69)*8)),"")</f>
        <v>2019</v>
      </c>
      <c r="BY100" s="11">
        <f ca="1">IFERROR(YEAR(OFFSET(BV!$H100,,(COLUMN()-69)*8)),"")</f>
        <v>2019</v>
      </c>
      <c r="BZ100" s="11">
        <f ca="1">IFERROR(YEAR(OFFSET(BV!$H100,,(COLUMN()-69)*8)),"")</f>
        <v>2019</v>
      </c>
    </row>
    <row r="101" spans="1:78" x14ac:dyDescent="0.25">
      <c r="A101" s="433">
        <v>76</v>
      </c>
      <c r="B101" s="297">
        <f ca="1">BV!D101</f>
        <v>2.9309679907443118</v>
      </c>
      <c r="C101" s="298">
        <f ca="1">BV!L101</f>
        <v>2.6545581557806499</v>
      </c>
      <c r="D101" s="298">
        <f ca="1">BV!T101</f>
        <v>2.6434782608695651</v>
      </c>
      <c r="E101" s="298">
        <f ca="1">BV!AB101</f>
        <v>2.5341780593531178</v>
      </c>
      <c r="F101" s="298">
        <f ca="1">BV!AJ101</f>
        <v>2.5115664243225377</v>
      </c>
      <c r="G101" s="299">
        <f ca="1">BV!AR101</f>
        <v>2.4005053695514844</v>
      </c>
      <c r="H101" s="299">
        <f ca="1">BV!AZ101</f>
        <v>2.3653906006847181</v>
      </c>
      <c r="I101" s="11" t="str">
        <f ca="1">BV!BH101</f>
        <v/>
      </c>
      <c r="J101" s="11" t="str">
        <f ca="1">BV!BP101</f>
        <v/>
      </c>
      <c r="K101" s="11" t="str">
        <f ca="1">BV!BX101</f>
        <v/>
      </c>
      <c r="L101" s="15" t="s">
        <v>102</v>
      </c>
      <c r="M101" s="261">
        <v>1.9951766736E-2</v>
      </c>
      <c r="N101" s="282">
        <f t="shared" ca="1" si="68"/>
        <v>7.0796097822543169</v>
      </c>
      <c r="O101" s="36">
        <v>50</v>
      </c>
      <c r="P101" s="36">
        <f ca="1">SUM(Time!X2:X51)/$O101</f>
        <v>62.997199999999999</v>
      </c>
      <c r="Q101" s="322">
        <f ca="1">SUM(Bvs!Y2:Y51)/$O101</f>
        <v>2.6828436785179588</v>
      </c>
      <c r="R101" s="322">
        <f ca="1">SUM(QG!AB2:AB51)/$O101</f>
        <v>7.2256851848986479</v>
      </c>
      <c r="S101" s="280">
        <f ca="1">435.001/R101</f>
        <v>60.20204158757597</v>
      </c>
      <c r="T101" s="18">
        <f ca="1">IFERROR((Arb!$AR$35*Arb!$AQ$35)/R101+(Arb!$AR$34/Arb!$AQ$34)*Q101+(Arb!$AR$33*Arb!$AQ$33)/P101,"")</f>
        <v>54.462487232155738</v>
      </c>
      <c r="U101" s="18">
        <f ca="1">T101*16</f>
        <v>871.3997957144918</v>
      </c>
      <c r="V101" s="763" t="str">
        <f t="shared" ca="1" si="106"/>
        <v>小雷神6.70阶</v>
      </c>
      <c r="W101" s="625"/>
      <c r="X101" s="37">
        <f ca="1">S101*Q101/P101/Arb!AS29</f>
        <v>2.5638070693158337</v>
      </c>
      <c r="Y101" s="317"/>
      <c r="AA101" s="620">
        <f ca="1">LARGE(OFFSET(BV!H$2,,AH101*8-8,430),AG101)</f>
        <v>44168.055</v>
      </c>
      <c r="AB101" s="620"/>
      <c r="AC101" s="1">
        <f ca="1">INDEX(OFFSET(BV!A$2,,AH101*8-8,430),$AK101)</f>
        <v>30</v>
      </c>
      <c r="AD101" s="594">
        <f ca="1">INDEX(OFFSET(BV!C$2,,AH101*8-8,430),$AK101)</f>
        <v>13.41</v>
      </c>
      <c r="AE101" s="594"/>
      <c r="AF101" s="1">
        <f ca="1">INDEX(OFFSET(BV!D$2,,AH101*8-8,430),$AK101)</f>
        <v>2.2371364653243848</v>
      </c>
      <c r="AG101" s="1">
        <v>4</v>
      </c>
      <c r="AH101" s="1">
        <v>1</v>
      </c>
      <c r="AI101" s="315"/>
      <c r="AJ101" s="315"/>
      <c r="AK101" s="480">
        <f ca="1">MATCH(AA101,OFFSET(BV!H$2,,AH101*8-8,430),0)</f>
        <v>54</v>
      </c>
      <c r="AL101" s="315"/>
      <c r="AM101" s="315"/>
      <c r="AN101" s="433">
        <v>76</v>
      </c>
      <c r="AO101" s="302">
        <f ca="1">BV!C101</f>
        <v>25.93</v>
      </c>
      <c r="AP101" s="659">
        <f ca="1">BV!K101</f>
        <v>28.63</v>
      </c>
      <c r="AQ101" s="659">
        <f ca="1">BV!S101</f>
        <v>28.75</v>
      </c>
      <c r="AR101" s="659">
        <f ca="1">BV!AA101</f>
        <v>29.99</v>
      </c>
      <c r="AS101" s="11">
        <f ca="1">BV!AI101</f>
        <v>30.26</v>
      </c>
      <c r="AT101" s="11">
        <f ca="1">BV!AQ101</f>
        <v>31.66</v>
      </c>
      <c r="AU101" s="11">
        <f ca="1">BV!AY101</f>
        <v>32.130000000000003</v>
      </c>
      <c r="AV101" s="11" t="str">
        <f ca="1">BV!BG101</f>
        <v/>
      </c>
      <c r="AW101" s="11" t="str">
        <f ca="1">BV!BO101</f>
        <v/>
      </c>
      <c r="AX101" s="11" t="str">
        <f ca="1">BV!BW101</f>
        <v/>
      </c>
      <c r="AY101" s="15" t="s">
        <v>65</v>
      </c>
      <c r="AZ101" s="258">
        <f t="shared" si="105"/>
        <v>1.7000186413444933</v>
      </c>
      <c r="BA101" s="261">
        <v>1.9951766736E-2</v>
      </c>
      <c r="BB101" s="268">
        <v>0.22353154878600001</v>
      </c>
      <c r="BC101" s="268">
        <f t="shared" si="72"/>
        <v>8.9257050489553083E-2</v>
      </c>
      <c r="BD101" s="269">
        <f ca="1">IF(BV!H101="","",INT(NOW()-BV!H101))</f>
        <v>311</v>
      </c>
      <c r="BE101" s="260">
        <f t="shared" si="86"/>
        <v>7.0796097822543178</v>
      </c>
      <c r="BF101" s="301">
        <f ca="1">BV!G101</f>
        <v>46.143224617153187</v>
      </c>
      <c r="BG101" s="301">
        <f ca="1">BV!O101</f>
        <v>38.992037348152145</v>
      </c>
      <c r="BH101" s="301">
        <f ca="1">BV!W101</f>
        <v>38.71576776704034</v>
      </c>
      <c r="BI101" s="302">
        <f ca="1">BV!AE101</f>
        <v>36.033979544360577</v>
      </c>
      <c r="BJ101" s="302">
        <f ca="1">BV!AM101</f>
        <v>35.48910517849027</v>
      </c>
      <c r="BK101" s="302">
        <f ca="1">BV!AU101</f>
        <v>32.862732489370863</v>
      </c>
      <c r="BL101" s="302">
        <f ca="1">BV!BC101</f>
        <v>32.049701280231034</v>
      </c>
      <c r="BM101" s="11" t="str">
        <f ca="1">BV!BK101</f>
        <v/>
      </c>
      <c r="BN101" s="11" t="str">
        <f ca="1">BV!BS101</f>
        <v/>
      </c>
      <c r="BO101" s="11" t="str">
        <f ca="1">BV!CA101</f>
        <v/>
      </c>
      <c r="BP101" s="433">
        <v>76</v>
      </c>
      <c r="BQ101" s="11">
        <f ca="1">IFERROR(YEAR(OFFSET(BV!$H101,,(COLUMN()-69)*8)),"")</f>
        <v>2020</v>
      </c>
      <c r="BR101" s="11">
        <f ca="1">IFERROR(YEAR(OFFSET(BV!$H101,,(COLUMN()-69)*8)),"")</f>
        <v>2020</v>
      </c>
      <c r="BS101" s="11">
        <f ca="1">IFERROR(YEAR(OFFSET(BV!$H101,,(COLUMN()-69)*8)),"")</f>
        <v>2019</v>
      </c>
      <c r="BT101" s="11">
        <f ca="1">IFERROR(YEAR(OFFSET(BV!$H101,,(COLUMN()-69)*8)),"")</f>
        <v>2019</v>
      </c>
      <c r="BU101" s="11">
        <f ca="1">IFERROR(YEAR(OFFSET(BV!$H101,,(COLUMN()-69)*8)),"")</f>
        <v>2020</v>
      </c>
      <c r="BV101" s="11">
        <f ca="1">IFERROR(YEAR(OFFSET(BV!$H101,,(COLUMN()-69)*8)),"")</f>
        <v>2019</v>
      </c>
      <c r="BW101" s="11">
        <f ca="1">IFERROR(YEAR(OFFSET(BV!$H101,,(COLUMN()-69)*8)),"")</f>
        <v>2019</v>
      </c>
      <c r="BX101" s="11" t="str">
        <f ca="1">IFERROR(YEAR(OFFSET(BV!$H101,,(COLUMN()-69)*8)),"")</f>
        <v/>
      </c>
      <c r="BY101" s="11" t="str">
        <f ca="1">IFERROR(YEAR(OFFSET(BV!$H101,,(COLUMN()-69)*8)),"")</f>
        <v/>
      </c>
      <c r="BZ101" s="11" t="str">
        <f ca="1">IFERROR(YEAR(OFFSET(BV!$H101,,(COLUMN()-69)*8)),"")</f>
        <v/>
      </c>
    </row>
    <row r="102" spans="1:78" x14ac:dyDescent="0.25">
      <c r="A102" s="433">
        <v>77</v>
      </c>
      <c r="B102" s="552">
        <f ca="1">BV!D102</f>
        <v>3.0255402750491158</v>
      </c>
      <c r="C102" s="297">
        <f ca="1">BV!L102</f>
        <v>2.9856533540131833</v>
      </c>
      <c r="D102" s="298">
        <f ca="1">BV!T102</f>
        <v>2.7208480565371023</v>
      </c>
      <c r="E102" s="298">
        <f ca="1">BV!AB102</f>
        <v>2.7131782945736433</v>
      </c>
      <c r="F102" s="298">
        <f ca="1">BV!AJ102</f>
        <v>2.6847977684797768</v>
      </c>
      <c r="G102" s="298">
        <f ca="1">BV!AR102</f>
        <v>2.6506024096385543</v>
      </c>
      <c r="H102" s="298">
        <f ca="1">BV!AZ102</f>
        <v>2.5032509752925876</v>
      </c>
      <c r="I102" s="298">
        <f ca="1">BV!BH102</f>
        <v>2.5008119519324459</v>
      </c>
      <c r="J102" s="299">
        <f ca="1">BV!BP102</f>
        <v>2.4975673045734674</v>
      </c>
      <c r="K102" s="299">
        <f ca="1">BV!BX102</f>
        <v>2.4198617221873038</v>
      </c>
      <c r="L102" s="15" t="s">
        <v>102</v>
      </c>
      <c r="M102" s="261">
        <v>1.8339110023E-2</v>
      </c>
      <c r="N102" s="282">
        <f t="shared" ca="1" si="68"/>
        <v>7.3843261787315253</v>
      </c>
      <c r="O102" s="1"/>
      <c r="P102" s="1">
        <f ca="1">SUM(P99:P101)</f>
        <v>85.668400000000005</v>
      </c>
      <c r="Q102" s="165">
        <f ca="1">SUM(Q99:Q101)</f>
        <v>9.7800038219409746</v>
      </c>
      <c r="R102" s="165"/>
      <c r="S102" s="21"/>
      <c r="T102" s="764">
        <f ca="1">U102/33</f>
        <v>50.002653543344067</v>
      </c>
      <c r="U102" s="764">
        <f ca="1">SUM(U99:U101)</f>
        <v>1650.0875669303541</v>
      </c>
      <c r="V102" s="765" t="str">
        <f t="shared" ca="1" si="106"/>
        <v>状元2.86阶</v>
      </c>
      <c r="W102" s="625"/>
      <c r="X102" s="2">
        <f ca="1">(X99*X100*X101)^(1/3)</f>
        <v>1.643774320658868</v>
      </c>
      <c r="Y102" s="317"/>
      <c r="AA102" s="620">
        <f ca="1">LARGE(OFFSET(BV!H$2,,AH102*8-8,430),AG102)</f>
        <v>44168.034</v>
      </c>
      <c r="AB102" s="620"/>
      <c r="AC102" s="1">
        <f ca="1">INDEX(OFFSET(BV!A$2,,AH102*8-8,430),$AK102)</f>
        <v>34</v>
      </c>
      <c r="AD102" s="594">
        <f ca="1">INDEX(OFFSET(BV!C$2,,AH102*8-8,430),$AK102)</f>
        <v>8.77</v>
      </c>
      <c r="AE102" s="594"/>
      <c r="AF102" s="1">
        <f ca="1">INDEX(OFFSET(BV!D$2,,AH102*8-8,430),$AK102)</f>
        <v>3.8768529076396807</v>
      </c>
      <c r="AG102" s="1">
        <v>5</v>
      </c>
      <c r="AH102" s="1">
        <v>1</v>
      </c>
      <c r="AI102" s="315"/>
      <c r="AJ102" s="315"/>
      <c r="AK102" s="480">
        <f ca="1">MATCH(AA102,OFFSET(BV!H$2,,AH102*8-8,430),0)</f>
        <v>33</v>
      </c>
      <c r="AL102" s="315"/>
      <c r="AM102" s="315"/>
      <c r="AN102" s="433">
        <v>77</v>
      </c>
      <c r="AO102" s="302">
        <f ca="1">BV!C102</f>
        <v>25.45</v>
      </c>
      <c r="AP102" s="302">
        <f ca="1">BV!K102</f>
        <v>25.79</v>
      </c>
      <c r="AQ102" s="659">
        <f ca="1">BV!S102</f>
        <v>28.3</v>
      </c>
      <c r="AR102" s="659">
        <f ca="1">BV!AA102</f>
        <v>28.38</v>
      </c>
      <c r="AS102" s="659">
        <f ca="1">BV!AI102</f>
        <v>28.68</v>
      </c>
      <c r="AT102" s="659">
        <f ca="1">BV!AQ102</f>
        <v>29.05</v>
      </c>
      <c r="AU102" s="11">
        <f ca="1">BV!AY102</f>
        <v>30.76</v>
      </c>
      <c r="AV102" s="11">
        <f ca="1">BV!BG102</f>
        <v>30.79</v>
      </c>
      <c r="AW102" s="11">
        <f ca="1">BV!BO102</f>
        <v>30.83</v>
      </c>
      <c r="AX102" s="11">
        <f ca="1">BV!BW102</f>
        <v>31.82</v>
      </c>
      <c r="AY102" s="15" t="s">
        <v>65</v>
      </c>
      <c r="AZ102" s="258">
        <f t="shared" si="105"/>
        <v>1.7366217439919778</v>
      </c>
      <c r="BA102" s="261">
        <v>1.8339110023E-2</v>
      </c>
      <c r="BB102" s="268">
        <v>0.22353154878600001</v>
      </c>
      <c r="BC102" s="268">
        <f t="shared" si="72"/>
        <v>8.204260258831346E-2</v>
      </c>
      <c r="BD102" s="269">
        <f ca="1">IF(BV!H102="","",INT(NOW()-BV!H102))</f>
        <v>380</v>
      </c>
      <c r="BE102" s="260">
        <f t="shared" si="86"/>
        <v>7.3843261787315262</v>
      </c>
      <c r="BF102" s="301">
        <f ca="1">BV!G102</f>
        <v>48.259199638049218</v>
      </c>
      <c r="BG102" s="301">
        <f ca="1">BV!O102</f>
        <v>47.182621911693047</v>
      </c>
      <c r="BH102" s="301">
        <f ca="1">BV!W102</f>
        <v>40.291405004134347</v>
      </c>
      <c r="BI102" s="301">
        <f ca="1">BV!AE102</f>
        <v>40.098514824613645</v>
      </c>
      <c r="BJ102" s="301">
        <f ca="1">BV!AM102</f>
        <v>39.388079195531226</v>
      </c>
      <c r="BK102" s="301">
        <f ca="1">BV!AU102</f>
        <v>38.539042454204981</v>
      </c>
      <c r="BL102" s="302">
        <f ca="1">BV!BC102</f>
        <v>34.968144604641701</v>
      </c>
      <c r="BM102" s="302">
        <f ca="1">BV!BK102</f>
        <v>34.91024375536508</v>
      </c>
      <c r="BN102" s="302">
        <f ca="1">BV!BS102</f>
        <v>34.83327916108874</v>
      </c>
      <c r="BO102" s="302">
        <f ca="1">BV!CA102</f>
        <v>33.011028408460234</v>
      </c>
      <c r="BP102" s="433">
        <v>77</v>
      </c>
      <c r="BQ102" s="11">
        <f ca="1">IFERROR(YEAR(OFFSET(BV!$H102,,(COLUMN()-69)*8)),"")</f>
        <v>2019</v>
      </c>
      <c r="BR102" s="11">
        <f ca="1">IFERROR(YEAR(OFFSET(BV!$H102,,(COLUMN()-69)*8)),"")</f>
        <v>2020</v>
      </c>
      <c r="BS102" s="11">
        <f ca="1">IFERROR(YEAR(OFFSET(BV!$H102,,(COLUMN()-69)*8)),"")</f>
        <v>2020</v>
      </c>
      <c r="BT102" s="11">
        <f ca="1">IFERROR(YEAR(OFFSET(BV!$H102,,(COLUMN()-69)*8)),"")</f>
        <v>2019</v>
      </c>
      <c r="BU102" s="11">
        <f ca="1">IFERROR(YEAR(OFFSET(BV!$H102,,(COLUMN()-69)*8)),"")</f>
        <v>2019</v>
      </c>
      <c r="BV102" s="11">
        <f ca="1">IFERROR(YEAR(OFFSET(BV!$H102,,(COLUMN()-69)*8)),"")</f>
        <v>2020</v>
      </c>
      <c r="BW102" s="11">
        <f ca="1">IFERROR(YEAR(OFFSET(BV!$H102,,(COLUMN()-69)*8)),"")</f>
        <v>2019</v>
      </c>
      <c r="BX102" s="11">
        <f ca="1">IFERROR(YEAR(OFFSET(BV!$H102,,(COLUMN()-69)*8)),"")</f>
        <v>2019</v>
      </c>
      <c r="BY102" s="11">
        <f ca="1">IFERROR(YEAR(OFFSET(BV!$H102,,(COLUMN()-69)*8)),"")</f>
        <v>2020</v>
      </c>
      <c r="BZ102" s="11">
        <f ca="1">IFERROR(YEAR(OFFSET(BV!$H102,,(COLUMN()-69)*8)),"")</f>
        <v>2019</v>
      </c>
    </row>
    <row r="103" spans="1:78" x14ac:dyDescent="0.25">
      <c r="A103" s="433">
        <v>78</v>
      </c>
      <c r="B103" s="552">
        <f ca="1">BV!D103</f>
        <v>3.1566167543504653</v>
      </c>
      <c r="C103" s="297">
        <f ca="1">BV!L103</f>
        <v>2.9782359679266892</v>
      </c>
      <c r="D103" s="297">
        <f ca="1">BV!T103</f>
        <v>2.9071934401789044</v>
      </c>
      <c r="E103" s="297">
        <f ca="1">BV!AB103</f>
        <v>2.8571428571428572</v>
      </c>
      <c r="F103" s="297">
        <f ca="1">BV!AJ103</f>
        <v>2.8456767603064574</v>
      </c>
      <c r="G103" s="297">
        <f ca="1">BV!AR103</f>
        <v>2.8007181328545778</v>
      </c>
      <c r="H103" s="297">
        <f ca="1">BV!AZ103</f>
        <v>2.7561837455830389</v>
      </c>
      <c r="I103" s="298">
        <f ca="1">BV!BH103</f>
        <v>2.7196652719665271</v>
      </c>
      <c r="J103" s="298">
        <f ca="1">BV!BP103</f>
        <v>2.6730637422892394</v>
      </c>
      <c r="K103" s="11" t="str">
        <f ca="1">BV!BX103</f>
        <v/>
      </c>
      <c r="L103" s="15" t="s">
        <v>102</v>
      </c>
      <c r="M103" s="261">
        <v>1.6763748562000001E-2</v>
      </c>
      <c r="N103" s="282">
        <f t="shared" ca="1" si="68"/>
        <v>7.7235049792459751</v>
      </c>
      <c r="O103" s="4">
        <v>100</v>
      </c>
      <c r="P103" s="4">
        <f ca="1">SUM(Time!D2:D101)/$O103</f>
        <v>3.6305000000000001</v>
      </c>
      <c r="Q103" s="303">
        <f ca="1">SUM(Bvs!E2:E101)/$O103</f>
        <v>3.949262396530989</v>
      </c>
      <c r="R103" s="303">
        <f ca="1">SUM(QG!H2:H101)/$O103</f>
        <v>0.72884711909933886</v>
      </c>
      <c r="S103" s="323">
        <f ca="1">47.299/R103</f>
        <v>64.895639648612431</v>
      </c>
      <c r="T103" s="280">
        <f ca="1">IFERROR((Arb!$AR$29*Arb!$AQ$29)/R103+(Arb!$AR$28/Arb!$AQ$28)*Q103+(Arb!$AR$27*Arb!$AQ$27)/P103,"")</f>
        <v>41.575959027043439</v>
      </c>
      <c r="U103" s="280">
        <f ca="1">T103*5</f>
        <v>207.87979513521719</v>
      </c>
      <c r="V103" s="766" t="str">
        <f ca="1">titleg3(T103/0.85)</f>
        <v>进士1.92阶</v>
      </c>
      <c r="W103" s="625"/>
      <c r="X103" s="258">
        <f ca="1">S103*Q103/P103/Arb!AS27</f>
        <v>0.90620740931722754</v>
      </c>
      <c r="Y103" s="317"/>
      <c r="AA103" s="620">
        <f ca="1">LARGE(OFFSET(BV!H$2,,AH103*8-8,430),AG103)</f>
        <v>44168.019</v>
      </c>
      <c r="AB103" s="620"/>
      <c r="AC103" s="1">
        <f ca="1">INDEX(OFFSET(BV!A$2,,AH103*8-8,430),$AK103)</f>
        <v>19</v>
      </c>
      <c r="AD103" s="594">
        <f ca="1">INDEX(OFFSET(BV!C$2,,AH103*8-8,430),$AK103)</f>
        <v>4.82</v>
      </c>
      <c r="AE103" s="594"/>
      <c r="AF103" s="1">
        <f ca="1">INDEX(OFFSET(BV!D$2,,AH103*8-8,430),$AK103)</f>
        <v>3.9419087136929458</v>
      </c>
      <c r="AG103" s="1">
        <v>6</v>
      </c>
      <c r="AH103" s="1">
        <v>1</v>
      </c>
      <c r="AI103" s="315"/>
      <c r="AJ103" s="315"/>
      <c r="AK103" s="480">
        <f ca="1">MATCH(AA103,OFFSET(BV!H$2,,AH103*8-8,430),0)</f>
        <v>18</v>
      </c>
      <c r="AL103" s="315"/>
      <c r="AM103" s="315"/>
      <c r="AN103" s="433">
        <v>78</v>
      </c>
      <c r="AO103" s="302">
        <f ca="1">BV!C103</f>
        <v>24.71</v>
      </c>
      <c r="AP103" s="660">
        <f ca="1">BV!K103</f>
        <v>26.19</v>
      </c>
      <c r="AQ103" s="660">
        <f ca="1">BV!S103</f>
        <v>26.83</v>
      </c>
      <c r="AR103" s="660">
        <f ca="1">BV!AA103</f>
        <v>27.3</v>
      </c>
      <c r="AS103" s="660">
        <f ca="1">BV!AI103</f>
        <v>27.41</v>
      </c>
      <c r="AT103" s="660">
        <f ca="1">BV!AQ103</f>
        <v>27.85</v>
      </c>
      <c r="AU103" s="659">
        <f ca="1">BV!AY103</f>
        <v>28.3</v>
      </c>
      <c r="AV103" s="659">
        <f ca="1">BV!BG103</f>
        <v>28.68</v>
      </c>
      <c r="AW103" s="659">
        <f ca="1">BV!BO103</f>
        <v>29.18</v>
      </c>
      <c r="AX103" s="11" t="str">
        <f ca="1">BV!BW103</f>
        <v/>
      </c>
      <c r="AY103" s="15" t="s">
        <v>65</v>
      </c>
      <c r="AZ103" s="258">
        <f t="shared" si="105"/>
        <v>1.7756288617343317</v>
      </c>
      <c r="BA103" s="261">
        <v>1.6763748562000001E-2</v>
      </c>
      <c r="BB103" s="268">
        <v>0.22353154878600001</v>
      </c>
      <c r="BC103" s="268">
        <f t="shared" si="72"/>
        <v>7.4995000271970244E-2</v>
      </c>
      <c r="BD103" s="269">
        <f ca="1">IF(BV!H103="","",INT(NOW()-BV!H103))</f>
        <v>66</v>
      </c>
      <c r="BE103" s="260">
        <f t="shared" si="86"/>
        <v>7.7235049792459751</v>
      </c>
      <c r="BF103" s="300">
        <f ca="1">BV!G103</f>
        <v>51.400762635275512</v>
      </c>
      <c r="BG103" s="301">
        <f ca="1">BV!O103</f>
        <v>46.561062544268069</v>
      </c>
      <c r="BH103" s="301">
        <f ca="1">BV!W103</f>
        <v>44.688737575604456</v>
      </c>
      <c r="BI103" s="301">
        <f ca="1">BV!AE103</f>
        <v>43.388709170141368</v>
      </c>
      <c r="BJ103" s="301">
        <f ca="1">BV!AM103</f>
        <v>43.093113125861336</v>
      </c>
      <c r="BK103" s="301">
        <f ca="1">BV!AU103</f>
        <v>41.942121181961475</v>
      </c>
      <c r="BL103" s="301">
        <f ca="1">BV!BC103</f>
        <v>40.814670004188038</v>
      </c>
      <c r="BM103" s="301">
        <f ca="1">BV!BK103</f>
        <v>39.899612691577083</v>
      </c>
      <c r="BN103" s="301">
        <f ca="1">BV!BS103</f>
        <v>38.744337665205919</v>
      </c>
      <c r="BO103" s="11" t="str">
        <f ca="1">BV!CA103</f>
        <v/>
      </c>
      <c r="BP103" s="433">
        <v>78</v>
      </c>
      <c r="BQ103" s="11">
        <f ca="1">IFERROR(YEAR(OFFSET(BV!$H103,,(COLUMN()-69)*8)),"")</f>
        <v>2020</v>
      </c>
      <c r="BR103" s="11">
        <f ca="1">IFERROR(YEAR(OFFSET(BV!$H103,,(COLUMN()-69)*8)),"")</f>
        <v>2020</v>
      </c>
      <c r="BS103" s="11">
        <f ca="1">IFERROR(YEAR(OFFSET(BV!$H103,,(COLUMN()-69)*8)),"")</f>
        <v>2019</v>
      </c>
      <c r="BT103" s="11">
        <f ca="1">IFERROR(YEAR(OFFSET(BV!$H103,,(COLUMN()-69)*8)),"")</f>
        <v>2020</v>
      </c>
      <c r="BU103" s="11">
        <f ca="1">IFERROR(YEAR(OFFSET(BV!$H103,,(COLUMN()-69)*8)),"")</f>
        <v>2019</v>
      </c>
      <c r="BV103" s="11">
        <f ca="1">IFERROR(YEAR(OFFSET(BV!$H103,,(COLUMN()-69)*8)),"")</f>
        <v>2020</v>
      </c>
      <c r="BW103" s="11">
        <f ca="1">IFERROR(YEAR(OFFSET(BV!$H103,,(COLUMN()-69)*8)),"")</f>
        <v>2020</v>
      </c>
      <c r="BX103" s="11">
        <f ca="1">IFERROR(YEAR(OFFSET(BV!$H103,,(COLUMN()-69)*8)),"")</f>
        <v>2020</v>
      </c>
      <c r="BY103" s="11">
        <f ca="1">IFERROR(YEAR(OFFSET(BV!$H103,,(COLUMN()-69)*8)),"")</f>
        <v>2019</v>
      </c>
      <c r="BZ103" s="11" t="str">
        <f ca="1">IFERROR(YEAR(OFFSET(BV!$H103,,(COLUMN()-69)*8)),"")</f>
        <v/>
      </c>
    </row>
    <row r="104" spans="1:78" x14ac:dyDescent="0.25">
      <c r="A104" s="433">
        <v>79</v>
      </c>
      <c r="B104" s="298">
        <f ca="1">BV!D104</f>
        <v>2.7288428324697755</v>
      </c>
      <c r="C104" s="298">
        <f ca="1">BV!L104</f>
        <v>2.7157098659333103</v>
      </c>
      <c r="D104" s="298">
        <f ca="1">BV!T104</f>
        <v>2.6852481305234535</v>
      </c>
      <c r="E104" s="299">
        <f ca="1">BV!AB104</f>
        <v>2.4360160345359234</v>
      </c>
      <c r="F104" s="11" t="str">
        <f ca="1">BV!AJ104</f>
        <v/>
      </c>
      <c r="G104" s="11" t="str">
        <f ca="1">BV!AR104</f>
        <v/>
      </c>
      <c r="H104" s="11" t="str">
        <f ca="1">BV!AZ104</f>
        <v/>
      </c>
      <c r="I104" s="11" t="str">
        <f ca="1">BV!BH104</f>
        <v/>
      </c>
      <c r="J104" s="11" t="str">
        <f ca="1">BV!BP104</f>
        <v/>
      </c>
      <c r="K104" s="11" t="str">
        <f ca="1">BV!BX104</f>
        <v/>
      </c>
      <c r="L104" s="15" t="s">
        <v>102</v>
      </c>
      <c r="M104" s="261">
        <v>1.5241653004000001E-2</v>
      </c>
      <c r="N104" s="282">
        <f t="shared" ca="1" si="68"/>
        <v>8.0999803430221728</v>
      </c>
      <c r="O104" s="4">
        <v>100</v>
      </c>
      <c r="P104" s="4">
        <f ca="1">SUM(Time!N2:N101)/$O104</f>
        <v>20.437299999999997</v>
      </c>
      <c r="Q104" s="303">
        <f ca="1">SUM(Bvs!O2:O101)/$O104</f>
        <v>2.8752422279345975</v>
      </c>
      <c r="R104" s="303">
        <f ca="1">SUM(QG!R2:R101)/$O104</f>
        <v>3.1868511050390027</v>
      </c>
      <c r="S104" s="323">
        <f ca="1">153.73/R104</f>
        <v>48.238839824340822</v>
      </c>
      <c r="T104" s="761">
        <f ca="1">IFERROR((Arb!$AR$32*Arb!$AQ$32)/R104+(Arb!$AR$31/Arb!$AQ$31)*Q104+(Arb!$AR$30*Arb!$AQ$30)/P104,"")</f>
        <v>44.425962046600915</v>
      </c>
      <c r="U104" s="761">
        <f ca="1">T104*12</f>
        <v>533.11154455921098</v>
      </c>
      <c r="V104" s="762" t="str">
        <f t="shared" ref="V104:V106" ca="1" si="107">titleg3(T104/0.85)</f>
        <v>探花1.83阶</v>
      </c>
      <c r="W104" s="625"/>
      <c r="X104" s="258">
        <f ca="1">S104*Q104/P104/Arb!AS28</f>
        <v>1.3765780905324345</v>
      </c>
      <c r="Y104" s="317"/>
      <c r="AA104" s="620">
        <f ca="1">LARGE(OFFSET(BV!H$2,,AH104*8-8,430),AG104)</f>
        <v>44168.008999999998</v>
      </c>
      <c r="AB104" s="620"/>
      <c r="AC104" s="1">
        <f ca="1">INDEX(OFFSET(BV!A$2,,AH104*8-8,430),$AK104)</f>
        <v>9</v>
      </c>
      <c r="AD104" s="594">
        <f ca="1">INDEX(OFFSET(BV!C$2,,AH104*8-8,430),$AK104)</f>
        <v>2.29</v>
      </c>
      <c r="AE104" s="594"/>
      <c r="AF104" s="1">
        <f ca="1">INDEX(OFFSET(BV!D$2,,AH104*8-8,430),$AK104)</f>
        <v>3.9301310043668121</v>
      </c>
      <c r="AG104" s="1">
        <v>7</v>
      </c>
      <c r="AH104" s="1">
        <v>1</v>
      </c>
      <c r="AI104" s="315"/>
      <c r="AJ104" s="315"/>
      <c r="AK104" s="480">
        <f ca="1">MATCH(AA104,OFFSET(BV!H$2,,AH104*8-8,430),0)</f>
        <v>8</v>
      </c>
      <c r="AL104" s="315"/>
      <c r="AM104" s="315"/>
      <c r="AN104" s="433">
        <v>79</v>
      </c>
      <c r="AO104" s="659">
        <f ca="1">BV!C104</f>
        <v>28.95</v>
      </c>
      <c r="AP104" s="659">
        <f ca="1">BV!K104</f>
        <v>29.09</v>
      </c>
      <c r="AQ104" s="659">
        <f ca="1">BV!S104</f>
        <v>29.42</v>
      </c>
      <c r="AR104" s="11">
        <f ca="1">BV!AA104</f>
        <v>32.43</v>
      </c>
      <c r="AS104" s="11" t="str">
        <f ca="1">BV!AI104</f>
        <v/>
      </c>
      <c r="AT104" s="11" t="str">
        <f ca="1">BV!AQ104</f>
        <v/>
      </c>
      <c r="AU104" s="11" t="str">
        <f ca="1">BV!AY104</f>
        <v/>
      </c>
      <c r="AV104" s="11" t="str">
        <f ca="1">BV!BG104</f>
        <v/>
      </c>
      <c r="AW104" s="11" t="str">
        <f ca="1">BV!BO104</f>
        <v/>
      </c>
      <c r="AX104" s="11" t="str">
        <f ca="1">BV!BW104</f>
        <v/>
      </c>
      <c r="AY104" s="15" t="s">
        <v>65</v>
      </c>
      <c r="AZ104" s="258">
        <f t="shared" si="105"/>
        <v>1.8169679298740007</v>
      </c>
      <c r="BA104" s="261">
        <v>1.5241653004000001E-2</v>
      </c>
      <c r="BB104" s="268">
        <v>0.22353154878600001</v>
      </c>
      <c r="BC104" s="268">
        <f t="shared" si="72"/>
        <v>6.8185690506675362E-2</v>
      </c>
      <c r="BD104" s="269">
        <f ca="1">IF(BV!H104="","",INT(NOW()-BV!H104))</f>
        <v>286</v>
      </c>
      <c r="BE104" s="260">
        <f t="shared" si="86"/>
        <v>8.0999803430221728</v>
      </c>
      <c r="BF104" s="301">
        <f ca="1">BV!G104</f>
        <v>39.772524017107251</v>
      </c>
      <c r="BG104" s="301">
        <f ca="1">BV!O104</f>
        <v>39.447673261759213</v>
      </c>
      <c r="BH104" s="301">
        <f ca="1">BV!W104</f>
        <v>38.698415405260334</v>
      </c>
      <c r="BI104" s="302">
        <f ca="1">BV!AE104</f>
        <v>32.792604088206261</v>
      </c>
      <c r="BJ104" s="11" t="str">
        <f ca="1">BV!AM104</f>
        <v/>
      </c>
      <c r="BK104" s="11" t="str">
        <f ca="1">BV!AU104</f>
        <v/>
      </c>
      <c r="BL104" s="11" t="str">
        <f ca="1">BV!BC104</f>
        <v/>
      </c>
      <c r="BM104" s="11" t="str">
        <f ca="1">BV!BK104</f>
        <v/>
      </c>
      <c r="BN104" s="11" t="str">
        <f ca="1">BV!BS104</f>
        <v/>
      </c>
      <c r="BO104" s="11" t="str">
        <f ca="1">BV!CA104</f>
        <v/>
      </c>
      <c r="BP104" s="433">
        <v>79</v>
      </c>
      <c r="BQ104" s="11">
        <f ca="1">IFERROR(YEAR(OFFSET(BV!$H104,,(COLUMN()-69)*8)),"")</f>
        <v>2020</v>
      </c>
      <c r="BR104" s="11">
        <f ca="1">IFERROR(YEAR(OFFSET(BV!$H104,,(COLUMN()-69)*8)),"")</f>
        <v>2019</v>
      </c>
      <c r="BS104" s="11">
        <f ca="1">IFERROR(YEAR(OFFSET(BV!$H104,,(COLUMN()-69)*8)),"")</f>
        <v>2019</v>
      </c>
      <c r="BT104" s="11">
        <f ca="1">IFERROR(YEAR(OFFSET(BV!$H104,,(COLUMN()-69)*8)),"")</f>
        <v>2019</v>
      </c>
      <c r="BU104" s="11" t="str">
        <f ca="1">IFERROR(YEAR(OFFSET(BV!$H104,,(COLUMN()-69)*8)),"")</f>
        <v/>
      </c>
      <c r="BV104" s="11" t="str">
        <f ca="1">IFERROR(YEAR(OFFSET(BV!$H104,,(COLUMN()-69)*8)),"")</f>
        <v/>
      </c>
      <c r="BW104" s="11" t="str">
        <f ca="1">IFERROR(YEAR(OFFSET(BV!$H104,,(COLUMN()-69)*8)),"")</f>
        <v/>
      </c>
      <c r="BX104" s="11" t="str">
        <f ca="1">IFERROR(YEAR(OFFSET(BV!$H104,,(COLUMN()-69)*8)),"")</f>
        <v/>
      </c>
      <c r="BY104" s="11" t="str">
        <f ca="1">IFERROR(YEAR(OFFSET(BV!$H104,,(COLUMN()-69)*8)),"")</f>
        <v/>
      </c>
      <c r="BZ104" s="11" t="str">
        <f ca="1">IFERROR(YEAR(OFFSET(BV!$H104,,(COLUMN()-69)*8)),"")</f>
        <v/>
      </c>
    </row>
    <row r="105" spans="1:78" x14ac:dyDescent="0.25">
      <c r="A105" s="433">
        <v>80</v>
      </c>
      <c r="B105" s="297">
        <f ca="1">BV!D105</f>
        <v>2.9850746268656714</v>
      </c>
      <c r="C105" s="297">
        <f ca="1">BV!L105</f>
        <v>2.8766630708378282</v>
      </c>
      <c r="D105" s="297">
        <f ca="1">BV!T105</f>
        <v>2.8358738036157392</v>
      </c>
      <c r="E105" s="297">
        <f ca="1">BV!AB105</f>
        <v>2.8198801550934083</v>
      </c>
      <c r="F105" s="297">
        <f ca="1">BV!AJ105</f>
        <v>2.7874564459930316</v>
      </c>
      <c r="G105" s="297">
        <f ca="1">BV!AR105</f>
        <v>2.7519779841761265</v>
      </c>
      <c r="H105" s="299">
        <f ca="1">BV!AZ105</f>
        <v>2.4539877300613497</v>
      </c>
      <c r="I105" s="299">
        <f ca="1">BV!BH105</f>
        <v>2.4427480916030535</v>
      </c>
      <c r="J105" s="11" t="str">
        <f ca="1">BV!BP105</f>
        <v/>
      </c>
      <c r="K105" s="11" t="str">
        <f ca="1">BV!BX105</f>
        <v/>
      </c>
      <c r="L105" s="15" t="s">
        <v>102</v>
      </c>
      <c r="M105" s="261">
        <v>1.3784233987000001E-2</v>
      </c>
      <c r="N105" s="282">
        <f t="shared" ca="1" si="68"/>
        <v>8.5174321308434582</v>
      </c>
      <c r="O105" s="4">
        <v>100</v>
      </c>
      <c r="P105" s="4">
        <f ca="1">SUM(Time!X2:X101)/$O105</f>
        <v>64.667599999999979</v>
      </c>
      <c r="Q105" s="303">
        <f ca="1">SUM(Bvs!Y2:Y101)/$O105</f>
        <v>2.620976372393903</v>
      </c>
      <c r="R105" s="303">
        <f ca="1">SUM(QG!AB2:AB101)/$O105</f>
        <v>7.4632652322015005</v>
      </c>
      <c r="S105" s="323">
        <f ca="1">435.001/R105</f>
        <v>58.285614468465589</v>
      </c>
      <c r="T105" s="18">
        <f ca="1">IFERROR((Arb!$AR$35*Arb!$AQ$35)/R105+(Arb!$AR$34/Arb!$AQ$34)*Q105+(Arb!$AR$33*Arb!$AQ$33)/P105,"")</f>
        <v>53.021097743037899</v>
      </c>
      <c r="U105" s="18">
        <f ca="1">T105*16</f>
        <v>848.33756388860638</v>
      </c>
      <c r="V105" s="763" t="str">
        <f t="shared" ca="1" si="107"/>
        <v>小雷神6.91阶</v>
      </c>
      <c r="W105" s="625"/>
      <c r="X105" s="258">
        <f ca="1">S105*Q105/P105/Arb!AS29</f>
        <v>2.3623146424532315</v>
      </c>
      <c r="Y105" s="317"/>
      <c r="AA105" s="620">
        <f ca="1">LARGE(OFFSET(BV!H$2,,AH105*8-8,430),AG105)</f>
        <v>44167.307999999997</v>
      </c>
      <c r="AB105" s="620"/>
      <c r="AC105" s="1">
        <f ca="1">INDEX(OFFSET(BV!A$2,,AH105*8-8,430),$AK105)</f>
        <v>166</v>
      </c>
      <c r="AD105" s="594">
        <f ca="1">INDEX(OFFSET(BV!C$2,,AH105*8-8,430),$AK105)</f>
        <v>65.510000000000005</v>
      </c>
      <c r="AE105" s="594"/>
      <c r="AF105" s="1">
        <f ca="1">INDEX(OFFSET(BV!D$2,,AH105*8-8,430),$AK105)</f>
        <v>2.533964280262555</v>
      </c>
      <c r="AG105" s="1">
        <v>8</v>
      </c>
      <c r="AH105" s="1">
        <v>1</v>
      </c>
      <c r="AI105" s="315"/>
      <c r="AJ105" s="315"/>
      <c r="AK105" s="480">
        <f ca="1">MATCH(AA105,OFFSET(BV!H$2,,AH105*8-8,430),0)</f>
        <v>307</v>
      </c>
      <c r="AL105" s="315"/>
      <c r="AM105" s="315"/>
      <c r="AN105" s="433">
        <v>80</v>
      </c>
      <c r="AO105" s="660">
        <f ca="1">BV!C105</f>
        <v>26.8</v>
      </c>
      <c r="AP105" s="660">
        <f ca="1">BV!K105</f>
        <v>27.81</v>
      </c>
      <c r="AQ105" s="659">
        <f ca="1">BV!S105</f>
        <v>28.21</v>
      </c>
      <c r="AR105" s="659">
        <f ca="1">BV!AA105</f>
        <v>28.37</v>
      </c>
      <c r="AS105" s="659">
        <f ca="1">BV!AI105</f>
        <v>28.7</v>
      </c>
      <c r="AT105" s="659">
        <f ca="1">BV!AQ105</f>
        <v>29.07</v>
      </c>
      <c r="AU105" s="11">
        <f ca="1">BV!AY105</f>
        <v>32.6</v>
      </c>
      <c r="AV105" s="11">
        <f ca="1">BV!BG105</f>
        <v>32.75</v>
      </c>
      <c r="AW105" s="11" t="str">
        <f ca="1">BV!BO105</f>
        <v/>
      </c>
      <c r="AX105" s="11" t="str">
        <f ca="1">BV!BW105</f>
        <v/>
      </c>
      <c r="AY105" s="15" t="s">
        <v>65</v>
      </c>
      <c r="AZ105" s="258">
        <f t="shared" si="105"/>
        <v>1.8606173633603442</v>
      </c>
      <c r="BA105" s="261">
        <v>1.3784233987000001E-2</v>
      </c>
      <c r="BB105" s="56">
        <v>8.5986538596999992E-2</v>
      </c>
      <c r="BC105" s="56">
        <f t="shared" si="72"/>
        <v>0.16030688305298199</v>
      </c>
      <c r="BD105" s="13">
        <f ca="1">IF(BV!H105="","",INT(NOW()-BV!H105))</f>
        <v>87</v>
      </c>
      <c r="BE105" s="260">
        <f t="shared" si="86"/>
        <v>8.5174321308434582</v>
      </c>
      <c r="BF105" s="301">
        <f ca="1">BV!G105</f>
        <v>45.921859375569873</v>
      </c>
      <c r="BG105" s="301">
        <f ca="1">BV!O105</f>
        <v>43.12279810358514</v>
      </c>
      <c r="BH105" s="301">
        <f ca="1">BV!W105</f>
        <v>42.088492207149237</v>
      </c>
      <c r="BI105" s="301">
        <f ca="1">BV!AE105</f>
        <v>41.685761872890872</v>
      </c>
      <c r="BJ105" s="301">
        <f ca="1">BV!AM105</f>
        <v>40.874211679251232</v>
      </c>
      <c r="BK105" s="301">
        <f ca="1">BV!AU105</f>
        <v>39.9937437978666</v>
      </c>
      <c r="BL105" s="302">
        <f ca="1">BV!BC105</f>
        <v>32.913850642915619</v>
      </c>
      <c r="BM105" s="302">
        <f ca="1">BV!BK105</f>
        <v>32.657985871503286</v>
      </c>
      <c r="BN105" s="11" t="str">
        <f ca="1">BV!BS105</f>
        <v/>
      </c>
      <c r="BO105" s="11" t="str">
        <f ca="1">BV!CA105</f>
        <v/>
      </c>
      <c r="BP105" s="433">
        <v>80</v>
      </c>
      <c r="BQ105" s="11">
        <f ca="1">IFERROR(YEAR(OFFSET(BV!$H105,,(COLUMN()-69)*8)),"")</f>
        <v>2020</v>
      </c>
      <c r="BR105" s="11">
        <f ca="1">IFERROR(YEAR(OFFSET(BV!$H105,,(COLUMN()-69)*8)),"")</f>
        <v>2019</v>
      </c>
      <c r="BS105" s="11">
        <f ca="1">IFERROR(YEAR(OFFSET(BV!$H105,,(COLUMN()-69)*8)),"")</f>
        <v>2020</v>
      </c>
      <c r="BT105" s="11">
        <f ca="1">IFERROR(YEAR(OFFSET(BV!$H105,,(COLUMN()-69)*8)),"")</f>
        <v>2019</v>
      </c>
      <c r="BU105" s="11">
        <f ca="1">IFERROR(YEAR(OFFSET(BV!$H105,,(COLUMN()-69)*8)),"")</f>
        <v>2020</v>
      </c>
      <c r="BV105" s="11">
        <f ca="1">IFERROR(YEAR(OFFSET(BV!$H105,,(COLUMN()-69)*8)),"")</f>
        <v>2019</v>
      </c>
      <c r="BW105" s="11">
        <f ca="1">IFERROR(YEAR(OFFSET(BV!$H105,,(COLUMN()-69)*8)),"")</f>
        <v>2020</v>
      </c>
      <c r="BX105" s="11">
        <f ca="1">IFERROR(YEAR(OFFSET(BV!$H105,,(COLUMN()-69)*8)),"")</f>
        <v>2019</v>
      </c>
      <c r="BY105" s="11" t="str">
        <f ca="1">IFERROR(YEAR(OFFSET(BV!$H105,,(COLUMN()-69)*8)),"")</f>
        <v/>
      </c>
      <c r="BZ105" s="11" t="str">
        <f ca="1">IFERROR(YEAR(OFFSET(BV!$H105,,(COLUMN()-69)*8)),"")</f>
        <v/>
      </c>
    </row>
    <row r="106" spans="1:78" x14ac:dyDescent="0.25">
      <c r="A106" s="433">
        <v>81</v>
      </c>
      <c r="B106" s="297">
        <f ca="1">BV!D106</f>
        <v>2.88153681963714</v>
      </c>
      <c r="C106" s="297">
        <f ca="1">BV!L106</f>
        <v>2.8723404255319149</v>
      </c>
      <c r="D106" s="297">
        <f ca="1">BV!T106</f>
        <v>2.855128657032076</v>
      </c>
      <c r="E106" s="297">
        <f ca="1">BV!AB106</f>
        <v>2.8222996515679442</v>
      </c>
      <c r="F106" s="298">
        <f ca="1">BV!AJ106</f>
        <v>2.6627218934911241</v>
      </c>
      <c r="G106" s="298">
        <f ca="1">BV!AR106</f>
        <v>2.6298701298701297</v>
      </c>
      <c r="H106" s="11" t="str">
        <f ca="1">BV!AZ106</f>
        <v/>
      </c>
      <c r="I106" s="11" t="str">
        <f ca="1">BV!BH106</f>
        <v/>
      </c>
      <c r="J106" s="11" t="str">
        <f ca="1">BV!BP106</f>
        <v/>
      </c>
      <c r="K106" s="11" t="str">
        <f ca="1">BV!BX106</f>
        <v/>
      </c>
      <c r="L106" s="15" t="s">
        <v>102</v>
      </c>
      <c r="M106" s="261">
        <v>1.2401688088999999E-2</v>
      </c>
      <c r="N106" s="282">
        <f t="shared" ca="1" si="68"/>
        <v>8.9796538941172166</v>
      </c>
      <c r="O106" s="1"/>
      <c r="P106" s="1">
        <f ca="1">SUM(P103:P105)</f>
        <v>88.73539999999997</v>
      </c>
      <c r="Q106" s="165">
        <f ca="1">SUM(Q103:Q105)</f>
        <v>9.4454809968594891</v>
      </c>
      <c r="R106" s="165"/>
      <c r="S106" s="21"/>
      <c r="T106" s="321">
        <f ca="1">U106/33</f>
        <v>48.161481926758626</v>
      </c>
      <c r="U106" s="321">
        <f ca="1">SUM(U103:U105)</f>
        <v>1589.3289035830346</v>
      </c>
      <c r="V106" s="767" t="str">
        <f t="shared" ca="1" si="107"/>
        <v>榜眼9.25阶</v>
      </c>
      <c r="W106" s="625"/>
      <c r="X106" s="2">
        <f ca="1">(X103*X104*X105)^(1/3)</f>
        <v>1.4336904792890783</v>
      </c>
      <c r="Y106" s="317"/>
      <c r="AA106" s="620">
        <f ca="1">LARGE(OFFSET(BV!H$2,,AH106*8-8,430),AG106)</f>
        <v>44167.292000000001</v>
      </c>
      <c r="AB106" s="620"/>
      <c r="AC106" s="1">
        <f ca="1">INDEX(OFFSET(BV!A$2,,AH106*8-8,430),$AK106)</f>
        <v>150</v>
      </c>
      <c r="AD106" s="594">
        <f ca="1">INDEX(OFFSET(BV!C$2,,AH106*8-8,430),$AK106)</f>
        <v>59.06</v>
      </c>
      <c r="AE106" s="594"/>
      <c r="AF106" s="1">
        <f ca="1">INDEX(OFFSET(BV!D$2,,AH106*8-8,430),$AK106)</f>
        <v>2.5397900440230274</v>
      </c>
      <c r="AG106" s="1">
        <v>9</v>
      </c>
      <c r="AH106" s="1">
        <v>1</v>
      </c>
      <c r="AI106" s="315"/>
      <c r="AJ106" s="315"/>
      <c r="AK106" s="480">
        <f ca="1">MATCH(AA106,OFFSET(BV!H$2,,AH106*8-8,430),0)</f>
        <v>291</v>
      </c>
      <c r="AL106" s="315"/>
      <c r="AM106" s="315"/>
      <c r="AN106" s="433">
        <v>81</v>
      </c>
      <c r="AO106" s="659">
        <f ca="1">BV!C106</f>
        <v>28.11</v>
      </c>
      <c r="AP106" s="659">
        <f ca="1">BV!K106</f>
        <v>28.2</v>
      </c>
      <c r="AQ106" s="659">
        <f ca="1">BV!S106</f>
        <v>28.37</v>
      </c>
      <c r="AR106" s="659">
        <f ca="1">BV!AA106</f>
        <v>28.7</v>
      </c>
      <c r="AS106" s="11">
        <f ca="1">BV!AI106</f>
        <v>30.42</v>
      </c>
      <c r="AT106" s="11">
        <f ca="1">BV!AQ106</f>
        <v>30.8</v>
      </c>
      <c r="AU106" s="11" t="str">
        <f ca="1">BV!AY106</f>
        <v/>
      </c>
      <c r="AV106" s="11" t="str">
        <f ca="1">BV!BG106</f>
        <v/>
      </c>
      <c r="AW106" s="11" t="str">
        <f ca="1">BV!BO106</f>
        <v/>
      </c>
      <c r="AX106" s="11" t="str">
        <f ca="1">BV!BW106</f>
        <v/>
      </c>
      <c r="AY106" s="15" t="s">
        <v>65</v>
      </c>
      <c r="AZ106" s="258">
        <f t="shared" si="105"/>
        <v>1.9065191956571541</v>
      </c>
      <c r="BA106" s="261">
        <v>1.2401688088999999E-2</v>
      </c>
      <c r="BB106" s="56">
        <v>8.5986538596999992E-2</v>
      </c>
      <c r="BC106" s="56">
        <f t="shared" si="72"/>
        <v>0.14422825120480759</v>
      </c>
      <c r="BD106" s="13">
        <f ca="1">IF(BV!H106="","",INT(NOW()-BV!H106))</f>
        <v>245</v>
      </c>
      <c r="BE106" s="260">
        <f t="shared" si="86"/>
        <v>8.9796538941172148</v>
      </c>
      <c r="BF106" s="301">
        <f ca="1">BV!G106</f>
        <v>42.87263815631507</v>
      </c>
      <c r="BG106" s="301">
        <f ca="1">BV!O106</f>
        <v>42.640291199550958</v>
      </c>
      <c r="BH106" s="301">
        <f ca="1">BV!W106</f>
        <v>42.206833896302008</v>
      </c>
      <c r="BI106" s="301">
        <f ca="1">BV!AE106</f>
        <v>41.385139325241866</v>
      </c>
      <c r="BJ106" s="302">
        <f ca="1">BV!AM106</f>
        <v>37.486335652916217</v>
      </c>
      <c r="BK106" s="302">
        <f ca="1">BV!AU106</f>
        <v>36.703495605528211</v>
      </c>
      <c r="BL106" s="11" t="str">
        <f ca="1">BV!BC106</f>
        <v/>
      </c>
      <c r="BM106" s="11" t="str">
        <f ca="1">BV!BK106</f>
        <v/>
      </c>
      <c r="BN106" s="11" t="str">
        <f ca="1">BV!BS106</f>
        <v/>
      </c>
      <c r="BO106" s="11" t="str">
        <f ca="1">BV!CA106</f>
        <v/>
      </c>
      <c r="BP106" s="433">
        <v>81</v>
      </c>
      <c r="BQ106" s="11">
        <f ca="1">IFERROR(YEAR(OFFSET(BV!$H106,,(COLUMN()-69)*8)),"")</f>
        <v>2020</v>
      </c>
      <c r="BR106" s="11">
        <f ca="1">IFERROR(YEAR(OFFSET(BV!$H106,,(COLUMN()-69)*8)),"")</f>
        <v>2020</v>
      </c>
      <c r="BS106" s="11">
        <f ca="1">IFERROR(YEAR(OFFSET(BV!$H106,,(COLUMN()-69)*8)),"")</f>
        <v>2019</v>
      </c>
      <c r="BT106" s="11">
        <f ca="1">IFERROR(YEAR(OFFSET(BV!$H106,,(COLUMN()-69)*8)),"")</f>
        <v>2019</v>
      </c>
      <c r="BU106" s="11">
        <f ca="1">IFERROR(YEAR(OFFSET(BV!$H106,,(COLUMN()-69)*8)),"")</f>
        <v>2020</v>
      </c>
      <c r="BV106" s="11">
        <f ca="1">IFERROR(YEAR(OFFSET(BV!$H106,,(COLUMN()-69)*8)),"")</f>
        <v>2019</v>
      </c>
      <c r="BW106" s="11" t="str">
        <f ca="1">IFERROR(YEAR(OFFSET(BV!$H106,,(COLUMN()-69)*8)),"")</f>
        <v/>
      </c>
      <c r="BX106" s="11" t="str">
        <f ca="1">IFERROR(YEAR(OFFSET(BV!$H106,,(COLUMN()-69)*8)),"")</f>
        <v/>
      </c>
      <c r="BY106" s="11" t="str">
        <f ca="1">IFERROR(YEAR(OFFSET(BV!$H106,,(COLUMN()-69)*8)),"")</f>
        <v/>
      </c>
      <c r="BZ106" s="11" t="str">
        <f ca="1">IFERROR(YEAR(OFFSET(BV!$H106,,(COLUMN()-69)*8)),"")</f>
        <v/>
      </c>
    </row>
    <row r="107" spans="1:78" x14ac:dyDescent="0.25">
      <c r="A107" s="433">
        <v>82</v>
      </c>
      <c r="B107" s="297">
        <f ca="1">BV!D107</f>
        <v>2.9401219074937255</v>
      </c>
      <c r="C107" s="298">
        <f ca="1">BV!L107</f>
        <v>2.6885245901639343</v>
      </c>
      <c r="D107" s="299">
        <f ca="1">BV!T107</f>
        <v>2.3990637799882975</v>
      </c>
      <c r="E107" s="11" t="str">
        <f ca="1">BV!AB107</f>
        <v/>
      </c>
      <c r="F107" s="11" t="str">
        <f ca="1">BV!AJ107</f>
        <v/>
      </c>
      <c r="G107" s="11" t="str">
        <f ca="1">BV!AR107</f>
        <v/>
      </c>
      <c r="H107" s="11" t="str">
        <f ca="1">BV!AZ107</f>
        <v/>
      </c>
      <c r="I107" s="11" t="str">
        <f ca="1">BV!BH107</f>
        <v/>
      </c>
      <c r="J107" s="11" t="str">
        <f ca="1">BV!BP107</f>
        <v/>
      </c>
      <c r="K107" s="11" t="str">
        <f ca="1">BV!BX107</f>
        <v/>
      </c>
      <c r="L107" s="15" t="s">
        <v>102</v>
      </c>
      <c r="M107" s="261">
        <v>1.1101052316999999E-2</v>
      </c>
      <c r="N107" s="282">
        <f t="shared" ca="1" si="68"/>
        <v>9.4911300728033794</v>
      </c>
      <c r="O107" s="4"/>
      <c r="P107" s="4"/>
      <c r="Q107" s="303"/>
      <c r="R107" s="303"/>
      <c r="S107" s="323"/>
      <c r="T107" s="323"/>
      <c r="U107" s="39"/>
      <c r="V107" s="317"/>
      <c r="W107" s="317"/>
      <c r="X107" s="258"/>
      <c r="Y107" s="317"/>
      <c r="AA107" s="620">
        <f ca="1">LARGE(OFFSET(BV!H$2,,AH107*8-8,430),AG107)</f>
        <v>44167.014000000003</v>
      </c>
      <c r="AB107" s="620"/>
      <c r="AC107" s="1">
        <f ca="1">INDEX(OFFSET(BV!A$2,,AH107*8-8,430),$AK107)</f>
        <v>14</v>
      </c>
      <c r="AD107" s="594">
        <f ca="1">INDEX(OFFSET(BV!C$2,,AH107*8-8,430),$AK107)</f>
        <v>3.23</v>
      </c>
      <c r="AE107" s="594"/>
      <c r="AF107" s="1">
        <f ca="1">INDEX(OFFSET(BV!D$2,,AH107*8-8,430),$AK107)</f>
        <v>4.3343653250773997</v>
      </c>
      <c r="AG107" s="1">
        <v>10</v>
      </c>
      <c r="AH107" s="1">
        <v>1</v>
      </c>
      <c r="AI107" s="315"/>
      <c r="AJ107" s="315"/>
      <c r="AK107" s="480">
        <f ca="1">MATCH(AA107,OFFSET(BV!H$2,,AH107*8-8,430),0)</f>
        <v>13</v>
      </c>
      <c r="AL107" s="315"/>
      <c r="AM107" s="315"/>
      <c r="AN107" s="433">
        <v>82</v>
      </c>
      <c r="AO107" s="660">
        <f ca="1">BV!C107</f>
        <v>27.89</v>
      </c>
      <c r="AP107" s="11">
        <f ca="1">BV!K107</f>
        <v>30.5</v>
      </c>
      <c r="AQ107" s="11">
        <f ca="1">BV!S107</f>
        <v>34.18</v>
      </c>
      <c r="AR107" s="11" t="str">
        <f ca="1">BV!AA107</f>
        <v/>
      </c>
      <c r="AS107" s="11" t="str">
        <f ca="1">BV!AI107</f>
        <v/>
      </c>
      <c r="AT107" s="11" t="str">
        <f ca="1">BV!AQ107</f>
        <v/>
      </c>
      <c r="AU107" s="11" t="str">
        <f ca="1">BV!AY107</f>
        <v/>
      </c>
      <c r="AV107" s="11" t="str">
        <f ca="1">BV!BG107</f>
        <v/>
      </c>
      <c r="AW107" s="11" t="str">
        <f ca="1">BV!BO107</f>
        <v/>
      </c>
      <c r="AX107" s="11" t="str">
        <f ca="1">BV!BW107</f>
        <v/>
      </c>
      <c r="AY107" s="15" t="s">
        <v>65</v>
      </c>
      <c r="AZ107" s="258">
        <f t="shared" si="105"/>
        <v>1.9546358506003347</v>
      </c>
      <c r="BA107" s="261">
        <v>1.1101052316999999E-2</v>
      </c>
      <c r="BB107" s="56">
        <v>8.5986538596999992E-2</v>
      </c>
      <c r="BC107" s="56">
        <f t="shared" si="72"/>
        <v>0.12910221178954756</v>
      </c>
      <c r="BD107" s="13">
        <f ca="1">IF(BV!H107="","",INT(NOW()-BV!H107))</f>
        <v>190</v>
      </c>
      <c r="BE107" s="260">
        <f t="shared" si="86"/>
        <v>9.4911300728033794</v>
      </c>
      <c r="BF107" s="301">
        <f ca="1">BV!G107</f>
        <v>43.985547823265513</v>
      </c>
      <c r="BG107" s="301">
        <f ca="1">BV!O107</f>
        <v>37.780069514231648</v>
      </c>
      <c r="BH107" s="302">
        <f ca="1">BV!W107</f>
        <v>31.128628058493462</v>
      </c>
      <c r="BI107" s="11" t="str">
        <f ca="1">BV!AE107</f>
        <v/>
      </c>
      <c r="BJ107" s="11" t="str">
        <f ca="1">BV!AM107</f>
        <v/>
      </c>
      <c r="BK107" s="11" t="str">
        <f ca="1">BV!AU107</f>
        <v/>
      </c>
      <c r="BL107" s="11" t="str">
        <f ca="1">BV!BC107</f>
        <v/>
      </c>
      <c r="BM107" s="11" t="str">
        <f ca="1">BV!BK107</f>
        <v/>
      </c>
      <c r="BN107" s="11" t="str">
        <f ca="1">BV!BS107</f>
        <v/>
      </c>
      <c r="BO107" s="11" t="str">
        <f ca="1">BV!CA107</f>
        <v/>
      </c>
      <c r="BP107" s="433">
        <v>82</v>
      </c>
      <c r="BQ107" s="11">
        <f ca="1">IFERROR(YEAR(OFFSET(BV!$H107,,(COLUMN()-69)*8)),"")</f>
        <v>2020</v>
      </c>
      <c r="BR107" s="11">
        <f ca="1">IFERROR(YEAR(OFFSET(BV!$H107,,(COLUMN()-69)*8)),"")</f>
        <v>2019</v>
      </c>
      <c r="BS107" s="11">
        <f ca="1">IFERROR(YEAR(OFFSET(BV!$H107,,(COLUMN()-69)*8)),"")</f>
        <v>2019</v>
      </c>
      <c r="BT107" s="11" t="str">
        <f ca="1">IFERROR(YEAR(OFFSET(BV!$H107,,(COLUMN()-69)*8)),"")</f>
        <v/>
      </c>
      <c r="BU107" s="11" t="str">
        <f ca="1">IFERROR(YEAR(OFFSET(BV!$H107,,(COLUMN()-69)*8)),"")</f>
        <v/>
      </c>
      <c r="BV107" s="11" t="str">
        <f ca="1">IFERROR(YEAR(OFFSET(BV!$H107,,(COLUMN()-69)*8)),"")</f>
        <v/>
      </c>
      <c r="BW107" s="11" t="str">
        <f ca="1">IFERROR(YEAR(OFFSET(BV!$H107,,(COLUMN()-69)*8)),"")</f>
        <v/>
      </c>
      <c r="BX107" s="11" t="str">
        <f ca="1">IFERROR(YEAR(OFFSET(BV!$H107,,(COLUMN()-69)*8)),"")</f>
        <v/>
      </c>
      <c r="BY107" s="11" t="str">
        <f ca="1">IFERROR(YEAR(OFFSET(BV!$H107,,(COLUMN()-69)*8)),"")</f>
        <v/>
      </c>
      <c r="BZ107" s="11" t="str">
        <f ca="1">IFERROR(YEAR(OFFSET(BV!$H107,,(COLUMN()-69)*8)),"")</f>
        <v/>
      </c>
    </row>
    <row r="108" spans="1:78" x14ac:dyDescent="0.25">
      <c r="A108" s="433">
        <v>83</v>
      </c>
      <c r="B108" s="552">
        <f ca="1">BV!D108</f>
        <v>3.0358449158741769</v>
      </c>
      <c r="C108" s="297">
        <f ca="1">BV!L108</f>
        <v>2.7955540586055911</v>
      </c>
      <c r="D108" s="298">
        <f ca="1">BV!T108</f>
        <v>2.5929397063417685</v>
      </c>
      <c r="E108" s="298">
        <f ca="1">BV!AB108</f>
        <v>2.5343511450381677</v>
      </c>
      <c r="F108" s="11" t="str">
        <f ca="1">BV!AJ108</f>
        <v/>
      </c>
      <c r="G108" s="11" t="str">
        <f ca="1">BV!AR108</f>
        <v/>
      </c>
      <c r="H108" s="11" t="str">
        <f ca="1">BV!AZ108</f>
        <v/>
      </c>
      <c r="I108" s="11" t="str">
        <f ca="1">BV!BH108</f>
        <v/>
      </c>
      <c r="J108" s="11" t="str">
        <f ca="1">BV!BP108</f>
        <v/>
      </c>
      <c r="K108" s="11" t="str">
        <f ca="1">BV!BX108</f>
        <v/>
      </c>
      <c r="L108" s="62" t="s">
        <v>64</v>
      </c>
      <c r="M108" s="261">
        <v>9.8869360219999997E-3</v>
      </c>
      <c r="N108" s="277">
        <f t="shared" ca="1" si="68"/>
        <v>10.057015930727049</v>
      </c>
      <c r="O108" s="4"/>
      <c r="P108" s="4"/>
      <c r="Q108" s="303"/>
      <c r="R108" s="303"/>
      <c r="S108" s="323"/>
      <c r="T108" s="323"/>
      <c r="U108" s="39"/>
      <c r="V108" s="317"/>
      <c r="W108" s="317"/>
      <c r="X108" s="258"/>
      <c r="Y108" s="317"/>
      <c r="AA108" s="620">
        <f ca="1">LARGE(OFFSET(BV!H$2,,AH108*8-8,430),AG108)</f>
        <v>44149.33</v>
      </c>
      <c r="AB108" s="620"/>
      <c r="AC108" s="1">
        <f ca="1">INDEX(OFFSET(BV!A$2,,AH108*8-8,430),$AK108)</f>
        <v>188</v>
      </c>
      <c r="AD108" s="594">
        <f ca="1">INDEX(OFFSET(BV!C$2,,AH108*8-8,430),$AK108)</f>
        <v>69.58</v>
      </c>
      <c r="AE108" s="594"/>
      <c r="AF108" s="1">
        <f ca="1">INDEX(OFFSET(BV!D$2,,AH108*8-8,430),$AK108)</f>
        <v>2.7019258407588387</v>
      </c>
      <c r="AG108" s="1">
        <v>11</v>
      </c>
      <c r="AH108" s="1">
        <v>1</v>
      </c>
      <c r="AI108" s="315"/>
      <c r="AJ108" s="315"/>
      <c r="AK108" s="480">
        <f ca="1">MATCH(AA108,OFFSET(BV!H$2,,AH108*8-8,430),0)</f>
        <v>329</v>
      </c>
      <c r="AL108" s="315"/>
      <c r="AM108" s="315"/>
      <c r="AN108" s="433">
        <v>83</v>
      </c>
      <c r="AO108" s="660">
        <f ca="1">BV!C108</f>
        <v>27.34</v>
      </c>
      <c r="AP108" s="659">
        <f ca="1">BV!K108</f>
        <v>29.69</v>
      </c>
      <c r="AQ108" s="11">
        <f ca="1">BV!S108</f>
        <v>32.01</v>
      </c>
      <c r="AR108" s="11">
        <f ca="1">BV!AA108</f>
        <v>32.75</v>
      </c>
      <c r="AS108" s="11" t="str">
        <f ca="1">BV!AI108</f>
        <v/>
      </c>
      <c r="AT108" s="11" t="str">
        <f ca="1">BV!AQ108</f>
        <v/>
      </c>
      <c r="AU108" s="11" t="str">
        <f ca="1">BV!AY108</f>
        <v/>
      </c>
      <c r="AV108" s="11" t="str">
        <f ca="1">BV!BG108</f>
        <v/>
      </c>
      <c r="AW108" s="11" t="str">
        <f ca="1">BV!BO108</f>
        <v/>
      </c>
      <c r="AX108" s="11" t="str">
        <f ca="1">BV!BW108</f>
        <v/>
      </c>
      <c r="AY108" s="62" t="s">
        <v>3</v>
      </c>
      <c r="AZ108" s="37">
        <f t="shared" si="105"/>
        <v>2.0049382761384131</v>
      </c>
      <c r="BA108" s="261">
        <v>9.8869360219999997E-3</v>
      </c>
      <c r="BB108" s="56">
        <v>8.5986538596999992E-2</v>
      </c>
      <c r="BC108" s="56">
        <f t="shared" si="72"/>
        <v>0.11498237030261092</v>
      </c>
      <c r="BD108" s="13">
        <f ca="1">IF(BV!H108="","",INT(NOW()-BV!H108))</f>
        <v>363</v>
      </c>
      <c r="BE108" s="279">
        <f t="shared" si="86"/>
        <v>10.057015930727049</v>
      </c>
      <c r="BF108" s="301">
        <f ca="1">BV!G108</f>
        <v>46.055261458571337</v>
      </c>
      <c r="BG108" s="301">
        <f ca="1">BV!O108</f>
        <v>40.031271404933761</v>
      </c>
      <c r="BH108" s="302">
        <f ca="1">BV!W108</f>
        <v>35.225005818020385</v>
      </c>
      <c r="BI108" s="302">
        <f ca="1">BV!AE108</f>
        <v>33.882660341684662</v>
      </c>
      <c r="BJ108" s="11" t="str">
        <f ca="1">BV!AM108</f>
        <v/>
      </c>
      <c r="BK108" s="11" t="str">
        <f ca="1">BV!AU108</f>
        <v/>
      </c>
      <c r="BL108" s="11" t="str">
        <f ca="1">BV!BC108</f>
        <v/>
      </c>
      <c r="BM108" s="11" t="str">
        <f ca="1">BV!BK108</f>
        <v/>
      </c>
      <c r="BN108" s="11" t="str">
        <f ca="1">BV!BS108</f>
        <v/>
      </c>
      <c r="BO108" s="11" t="str">
        <f ca="1">BV!CA108</f>
        <v/>
      </c>
      <c r="BP108" s="433">
        <v>83</v>
      </c>
      <c r="BQ108" s="11">
        <f ca="1">IFERROR(YEAR(OFFSET(BV!$H108,,(COLUMN()-69)*8)),"")</f>
        <v>2019</v>
      </c>
      <c r="BR108" s="11">
        <f ca="1">IFERROR(YEAR(OFFSET(BV!$H108,,(COLUMN()-69)*8)),"")</f>
        <v>2020</v>
      </c>
      <c r="BS108" s="11">
        <f ca="1">IFERROR(YEAR(OFFSET(BV!$H108,,(COLUMN()-69)*8)),"")</f>
        <v>2019</v>
      </c>
      <c r="BT108" s="11">
        <f ca="1">IFERROR(YEAR(OFFSET(BV!$H108,,(COLUMN()-69)*8)),"")</f>
        <v>2019</v>
      </c>
      <c r="BU108" s="11" t="str">
        <f ca="1">IFERROR(YEAR(OFFSET(BV!$H108,,(COLUMN()-69)*8)),"")</f>
        <v/>
      </c>
      <c r="BV108" s="11" t="str">
        <f ca="1">IFERROR(YEAR(OFFSET(BV!$H108,,(COLUMN()-69)*8)),"")</f>
        <v/>
      </c>
      <c r="BW108" s="11" t="str">
        <f ca="1">IFERROR(YEAR(OFFSET(BV!$H108,,(COLUMN()-69)*8)),"")</f>
        <v/>
      </c>
      <c r="BX108" s="11" t="str">
        <f ca="1">IFERROR(YEAR(OFFSET(BV!$H108,,(COLUMN()-69)*8)),"")</f>
        <v/>
      </c>
      <c r="BY108" s="11" t="str">
        <f ca="1">IFERROR(YEAR(OFFSET(BV!$H108,,(COLUMN()-69)*8)),"")</f>
        <v/>
      </c>
      <c r="BZ108" s="11" t="str">
        <f ca="1">IFERROR(YEAR(OFFSET(BV!$H108,,(COLUMN()-69)*8)),"")</f>
        <v/>
      </c>
    </row>
    <row r="109" spans="1:78" x14ac:dyDescent="0.25">
      <c r="A109" s="433">
        <v>84</v>
      </c>
      <c r="B109" s="556">
        <f ca="1">BV!D109</f>
        <v>3.2520325203252036</v>
      </c>
      <c r="C109" s="297">
        <f ca="1">BV!L109</f>
        <v>2.8796708947548848</v>
      </c>
      <c r="D109" s="298">
        <f ca="1">BV!T109</f>
        <v>2.6709062003179649</v>
      </c>
      <c r="E109" s="298">
        <f ca="1">BV!AB109</f>
        <v>2.6078857497671528</v>
      </c>
      <c r="F109" s="298">
        <f ca="1">BV!AJ109</f>
        <v>2.5052192066805845</v>
      </c>
      <c r="G109" s="11" t="str">
        <f ca="1">BV!AR109</f>
        <v/>
      </c>
      <c r="H109" s="11" t="str">
        <f ca="1">BV!AZ109</f>
        <v/>
      </c>
      <c r="I109" s="11" t="str">
        <f ca="1">BV!BH109</f>
        <v/>
      </c>
      <c r="J109" s="11" t="str">
        <f ca="1">BV!BP109</f>
        <v/>
      </c>
      <c r="K109" s="11" t="str">
        <f ca="1">BV!BX109</f>
        <v/>
      </c>
      <c r="L109" s="62" t="s">
        <v>64</v>
      </c>
      <c r="M109" s="261">
        <v>8.7623150029999992E-3</v>
      </c>
      <c r="N109" s="277">
        <f t="shared" ca="1" si="68"/>
        <v>10.68293458429507</v>
      </c>
      <c r="O109" s="4"/>
      <c r="P109" s="4"/>
      <c r="Q109" s="303"/>
      <c r="R109" s="303"/>
      <c r="S109" s="323"/>
      <c r="T109" s="323"/>
      <c r="U109" s="39"/>
      <c r="V109" s="317"/>
      <c r="W109" s="317"/>
      <c r="X109" s="258"/>
      <c r="Y109" s="317"/>
      <c r="AA109" s="620">
        <f ca="1">LARGE(OFFSET(BV!H$2,,AH109*8-8,430),AG109)</f>
        <v>44145.362999999998</v>
      </c>
      <c r="AB109" s="620"/>
      <c r="AC109" s="1">
        <f ca="1">INDEX(OFFSET(BV!A$2,,AH109*8-8,430),$AK109)</f>
        <v>221</v>
      </c>
      <c r="AD109" s="594">
        <f ca="1">INDEX(OFFSET(BV!C$2,,AH109*8-8,430),$AK109)</f>
        <v>81.510000000000005</v>
      </c>
      <c r="AE109" s="594"/>
      <c r="AF109" s="1">
        <f ca="1">INDEX(OFFSET(BV!D$2,,AH109*8-8,430),$AK109)</f>
        <v>2.7113237639553427</v>
      </c>
      <c r="AG109" s="1">
        <v>12</v>
      </c>
      <c r="AH109" s="1">
        <v>1</v>
      </c>
      <c r="AI109" s="315"/>
      <c r="AJ109" s="315"/>
      <c r="AK109" s="480">
        <f ca="1">MATCH(AA109,OFFSET(BV!H$2,,AH109*8-8,430),0)</f>
        <v>362</v>
      </c>
      <c r="AL109" s="315"/>
      <c r="AM109" s="315"/>
      <c r="AN109" s="433">
        <v>84</v>
      </c>
      <c r="AO109" s="302">
        <f ca="1">BV!C109</f>
        <v>25.83</v>
      </c>
      <c r="AP109" s="659">
        <f ca="1">BV!K109</f>
        <v>29.17</v>
      </c>
      <c r="AQ109" s="11">
        <f ca="1">BV!S109</f>
        <v>31.45</v>
      </c>
      <c r="AR109" s="11">
        <f ca="1">BV!AA109</f>
        <v>32.21</v>
      </c>
      <c r="AS109" s="11">
        <f ca="1">BV!AI109</f>
        <v>33.53</v>
      </c>
      <c r="AT109" s="11" t="str">
        <f ca="1">BV!AQ109</f>
        <v/>
      </c>
      <c r="AU109" s="11" t="str">
        <f ca="1">BV!AY109</f>
        <v/>
      </c>
      <c r="AV109" s="11" t="str">
        <f ca="1">BV!BG109</f>
        <v/>
      </c>
      <c r="AW109" s="11" t="str">
        <f ca="1">BV!BO109</f>
        <v/>
      </c>
      <c r="AX109" s="11" t="str">
        <f ca="1">BV!BW109</f>
        <v/>
      </c>
      <c r="AY109" s="62" t="s">
        <v>3</v>
      </c>
      <c r="AZ109" s="37">
        <f t="shared" si="105"/>
        <v>2.0573811381008227</v>
      </c>
      <c r="BA109" s="261">
        <v>8.7623150029999992E-3</v>
      </c>
      <c r="BB109" s="56">
        <v>8.5986538596999992E-2</v>
      </c>
      <c r="BC109" s="56">
        <f t="shared" si="72"/>
        <v>0.10190333447502804</v>
      </c>
      <c r="BD109" s="13">
        <f ca="1">IF(BV!H109="","",INT(NOW()-BV!H109))</f>
        <v>383</v>
      </c>
      <c r="BE109" s="279">
        <f t="shared" si="86"/>
        <v>10.68293458429507</v>
      </c>
      <c r="BF109" s="300">
        <f ca="1">BV!G109</f>
        <v>51.336519689096036</v>
      </c>
      <c r="BG109" s="301">
        <f ca="1">BV!O109</f>
        <v>41.748990992998671</v>
      </c>
      <c r="BH109" s="302">
        <f ca="1">BV!W109</f>
        <v>36.735233831752161</v>
      </c>
      <c r="BI109" s="302">
        <f ca="1">BV!AE109</f>
        <v>35.273916380837484</v>
      </c>
      <c r="BJ109" s="302">
        <f ca="1">BV!AM109</f>
        <v>32.945861805993154</v>
      </c>
      <c r="BK109" s="11" t="str">
        <f ca="1">BV!AU109</f>
        <v/>
      </c>
      <c r="BL109" s="11" t="str">
        <f ca="1">BV!BC109</f>
        <v/>
      </c>
      <c r="BM109" s="11" t="str">
        <f ca="1">BV!BK109</f>
        <v/>
      </c>
      <c r="BN109" s="11" t="str">
        <f ca="1">BV!BS109</f>
        <v/>
      </c>
      <c r="BO109" s="11" t="str">
        <f ca="1">BV!CA109</f>
        <v/>
      </c>
      <c r="BP109" s="433">
        <v>84</v>
      </c>
      <c r="BQ109" s="11">
        <f ca="1">IFERROR(YEAR(OFFSET(BV!$H109,,(COLUMN()-69)*8)),"")</f>
        <v>2019</v>
      </c>
      <c r="BR109" s="11">
        <f ca="1">IFERROR(YEAR(OFFSET(BV!$H109,,(COLUMN()-69)*8)),"")</f>
        <v>2020</v>
      </c>
      <c r="BS109" s="11">
        <f ca="1">IFERROR(YEAR(OFFSET(BV!$H109,,(COLUMN()-69)*8)),"")</f>
        <v>2019</v>
      </c>
      <c r="BT109" s="11">
        <f ca="1">IFERROR(YEAR(OFFSET(BV!$H109,,(COLUMN()-69)*8)),"")</f>
        <v>2019</v>
      </c>
      <c r="BU109" s="11">
        <f ca="1">IFERROR(YEAR(OFFSET(BV!$H109,,(COLUMN()-69)*8)),"")</f>
        <v>2020</v>
      </c>
      <c r="BV109" s="11" t="str">
        <f ca="1">IFERROR(YEAR(OFFSET(BV!$H109,,(COLUMN()-69)*8)),"")</f>
        <v/>
      </c>
      <c r="BW109" s="11" t="str">
        <f ca="1">IFERROR(YEAR(OFFSET(BV!$H109,,(COLUMN()-69)*8)),"")</f>
        <v/>
      </c>
      <c r="BX109" s="11" t="str">
        <f ca="1">IFERROR(YEAR(OFFSET(BV!$H109,,(COLUMN()-69)*8)),"")</f>
        <v/>
      </c>
      <c r="BY109" s="11" t="str">
        <f ca="1">IFERROR(YEAR(OFFSET(BV!$H109,,(COLUMN()-69)*8)),"")</f>
        <v/>
      </c>
      <c r="BZ109" s="11" t="str">
        <f ca="1">IFERROR(YEAR(OFFSET(BV!$H109,,(COLUMN()-69)*8)),"")</f>
        <v/>
      </c>
    </row>
    <row r="110" spans="1:78" x14ac:dyDescent="0.25">
      <c r="A110" s="433">
        <v>85</v>
      </c>
      <c r="B110" s="552">
        <f ca="1">BV!D110</f>
        <v>3.0324652158401713</v>
      </c>
      <c r="C110" s="552">
        <f ca="1">BV!L110</f>
        <v>3.021685033771774</v>
      </c>
      <c r="D110" s="297">
        <f ca="1">BV!T110</f>
        <v>2.9421945309795778</v>
      </c>
      <c r="E110" s="297">
        <f ca="1">BV!AB110</f>
        <v>2.8764805414551606</v>
      </c>
      <c r="F110" s="298">
        <f ca="1">BV!AJ110</f>
        <v>2.5110782865583454</v>
      </c>
      <c r="G110" s="11" t="str">
        <f ca="1">BV!AR110</f>
        <v/>
      </c>
      <c r="H110" s="11" t="str">
        <f ca="1">BV!AZ110</f>
        <v/>
      </c>
      <c r="I110" s="11" t="str">
        <f ca="1">BV!BH110</f>
        <v/>
      </c>
      <c r="J110" s="11" t="str">
        <f ca="1">BV!BP110</f>
        <v/>
      </c>
      <c r="K110" s="11" t="str">
        <f ca="1">BV!BX110</f>
        <v/>
      </c>
      <c r="L110" s="62" t="s">
        <v>64</v>
      </c>
      <c r="M110" s="261">
        <v>7.7279063970000002E-3</v>
      </c>
      <c r="N110" s="277">
        <f t="shared" ca="1" si="68"/>
        <v>11.375462770920887</v>
      </c>
      <c r="P110" s="1"/>
      <c r="Q110" s="165"/>
      <c r="S110" s="21"/>
      <c r="T110" s="21"/>
      <c r="U110" s="39"/>
      <c r="V110" s="317"/>
      <c r="W110" s="317"/>
      <c r="X110" s="148"/>
      <c r="Y110" s="317"/>
      <c r="AA110" s="620">
        <f ca="1">LARGE(OFFSET(BV!H$2,,AH110*8-8,430),AG110)</f>
        <v>44141.347999999998</v>
      </c>
      <c r="AB110" s="620"/>
      <c r="AC110" s="1">
        <f ca="1">INDEX(OFFSET(BV!A$2,,AH110*8-8,430),$AK110)</f>
        <v>206</v>
      </c>
      <c r="AD110" s="594">
        <f ca="1">INDEX(OFFSET(BV!C$2,,AH110*8-8,430),$AK110)</f>
        <v>78.099999999999994</v>
      </c>
      <c r="AE110" s="594"/>
      <c r="AF110" s="1">
        <f ca="1">INDEX(OFFSET(BV!D$2,,AH110*8-8,430),$AK110)</f>
        <v>2.6376440460947506</v>
      </c>
      <c r="AG110" s="1">
        <v>13</v>
      </c>
      <c r="AH110" s="1">
        <v>1</v>
      </c>
      <c r="AI110" s="315"/>
      <c r="AJ110" s="315"/>
      <c r="AK110" s="480">
        <f ca="1">MATCH(AA110,OFFSET(BV!H$2,,AH110*8-8,430),0)</f>
        <v>347</v>
      </c>
      <c r="AL110" s="315"/>
      <c r="AM110" s="315"/>
      <c r="AN110" s="433">
        <v>85</v>
      </c>
      <c r="AO110" s="659">
        <f ca="1">BV!C110</f>
        <v>28.03</v>
      </c>
      <c r="AP110" s="659">
        <f ca="1">BV!K110</f>
        <v>28.13</v>
      </c>
      <c r="AQ110" s="659">
        <f ca="1">BV!S110</f>
        <v>28.89</v>
      </c>
      <c r="AR110" s="659">
        <f ca="1">BV!AA110</f>
        <v>29.55</v>
      </c>
      <c r="AS110" s="11">
        <f ca="1">BV!AI110</f>
        <v>33.85</v>
      </c>
      <c r="AT110" s="11" t="str">
        <f ca="1">BV!AQ110</f>
        <v/>
      </c>
      <c r="AU110" s="11" t="str">
        <f ca="1">BV!AY110</f>
        <v/>
      </c>
      <c r="AV110" s="11" t="str">
        <f ca="1">BV!BG110</f>
        <v/>
      </c>
      <c r="AW110" s="11" t="str">
        <f ca="1">BV!BO110</f>
        <v/>
      </c>
      <c r="AX110" s="11" t="str">
        <f ca="1">BV!BW110</f>
        <v/>
      </c>
      <c r="AY110" s="62" t="s">
        <v>3</v>
      </c>
      <c r="AZ110" s="37">
        <f t="shared" si="105"/>
        <v>2.111938146881458</v>
      </c>
      <c r="BA110" s="261">
        <v>7.7279063970000002E-3</v>
      </c>
      <c r="BB110" s="56">
        <v>8.5986538596999992E-2</v>
      </c>
      <c r="BC110" s="56">
        <f t="shared" si="72"/>
        <v>8.9873444414584461E-2</v>
      </c>
      <c r="BD110" s="13">
        <f ca="1">IF(BV!H110="","",INT(NOW()-BV!H110))</f>
        <v>246</v>
      </c>
      <c r="BE110" s="279">
        <f t="shared" si="86"/>
        <v>11.375462770920887</v>
      </c>
      <c r="BF110" s="301">
        <f ca="1">BV!G110</f>
        <v>45.208311497163216</v>
      </c>
      <c r="BG110" s="301">
        <f ca="1">BV!O110</f>
        <v>44.9354409965675</v>
      </c>
      <c r="BH110" s="301">
        <f ca="1">BV!W110</f>
        <v>42.944419026095773</v>
      </c>
      <c r="BI110" s="301">
        <f ca="1">BV!AE110</f>
        <v>41.326614399235218</v>
      </c>
      <c r="BJ110" s="302">
        <f ca="1">BV!AM110</f>
        <v>32.80407595222497</v>
      </c>
      <c r="BK110" s="11" t="str">
        <f ca="1">BV!AU110</f>
        <v/>
      </c>
      <c r="BL110" s="11" t="str">
        <f ca="1">BV!BC110</f>
        <v/>
      </c>
      <c r="BM110" s="11" t="str">
        <f ca="1">BV!BK110</f>
        <v/>
      </c>
      <c r="BN110" s="11" t="str">
        <f ca="1">BV!BS110</f>
        <v/>
      </c>
      <c r="BO110" s="11" t="str">
        <f ca="1">BV!CA110</f>
        <v/>
      </c>
      <c r="BP110" s="433">
        <v>85</v>
      </c>
      <c r="BQ110" s="11">
        <f ca="1">IFERROR(YEAR(OFFSET(BV!$H110,,(COLUMN()-69)*8)),"")</f>
        <v>2020</v>
      </c>
      <c r="BR110" s="11">
        <f ca="1">IFERROR(YEAR(OFFSET(BV!$H110,,(COLUMN()-69)*8)),"")</f>
        <v>2020</v>
      </c>
      <c r="BS110" s="11">
        <f ca="1">IFERROR(YEAR(OFFSET(BV!$H110,,(COLUMN()-69)*8)),"")</f>
        <v>2019</v>
      </c>
      <c r="BT110" s="11">
        <f ca="1">IFERROR(YEAR(OFFSET(BV!$H110,,(COLUMN()-69)*8)),"")</f>
        <v>2020</v>
      </c>
      <c r="BU110" s="11">
        <f ca="1">IFERROR(YEAR(OFFSET(BV!$H110,,(COLUMN()-69)*8)),"")</f>
        <v>2020</v>
      </c>
      <c r="BV110" s="11" t="str">
        <f ca="1">IFERROR(YEAR(OFFSET(BV!$H110,,(COLUMN()-69)*8)),"")</f>
        <v/>
      </c>
      <c r="BW110" s="11" t="str">
        <f ca="1">IFERROR(YEAR(OFFSET(BV!$H110,,(COLUMN()-69)*8)),"")</f>
        <v/>
      </c>
      <c r="BX110" s="11" t="str">
        <f ca="1">IFERROR(YEAR(OFFSET(BV!$H110,,(COLUMN()-69)*8)),"")</f>
        <v/>
      </c>
      <c r="BY110" s="11" t="str">
        <f ca="1">IFERROR(YEAR(OFFSET(BV!$H110,,(COLUMN()-69)*8)),"")</f>
        <v/>
      </c>
      <c r="BZ110" s="11" t="str">
        <f ca="1">IFERROR(YEAR(OFFSET(BV!$H110,,(COLUMN()-69)*8)),"")</f>
        <v/>
      </c>
    </row>
    <row r="111" spans="1:78" x14ac:dyDescent="0.25">
      <c r="A111" s="433">
        <v>86</v>
      </c>
      <c r="B111" s="552">
        <f ca="1">BV!D111</f>
        <v>3.0802292263610314</v>
      </c>
      <c r="C111" s="297">
        <f ca="1">BV!L111</f>
        <v>2.7858762552640104</v>
      </c>
      <c r="D111" s="299">
        <f ca="1">BV!T111</f>
        <v>2.4769585253456223</v>
      </c>
      <c r="E111" s="299">
        <f ca="1">BV!AB111</f>
        <v>2.4536376604850214</v>
      </c>
      <c r="F111" s="11" t="str">
        <f ca="1">BV!AJ111</f>
        <v/>
      </c>
      <c r="G111" s="11" t="str">
        <f ca="1">BV!AR111</f>
        <v/>
      </c>
      <c r="H111" s="11" t="str">
        <f ca="1">BV!AZ111</f>
        <v/>
      </c>
      <c r="I111" s="11" t="str">
        <f ca="1">BV!BH111</f>
        <v/>
      </c>
      <c r="J111" s="11" t="str">
        <f ca="1">BV!BP111</f>
        <v/>
      </c>
      <c r="K111" s="11" t="str">
        <f ca="1">BV!BX111</f>
        <v/>
      </c>
      <c r="L111" s="62" t="s">
        <v>64</v>
      </c>
      <c r="M111" s="261">
        <v>6.7829733339999998E-3</v>
      </c>
      <c r="N111" s="277">
        <f t="shared" ca="1" si="68"/>
        <v>12.141992076790709</v>
      </c>
      <c r="O111" s="514" t="str">
        <f>L1</f>
        <v>稀有度</v>
      </c>
      <c r="P111" s="514" t="str">
        <f>O25</f>
        <v>初级</v>
      </c>
      <c r="Q111" s="514" t="str">
        <f>O26</f>
        <v>中级</v>
      </c>
      <c r="R111" s="514" t="str">
        <f>O27</f>
        <v>高级</v>
      </c>
      <c r="S111" s="72" t="s">
        <v>422</v>
      </c>
      <c r="T111" s="586" t="str">
        <f>P111</f>
        <v>初级</v>
      </c>
      <c r="U111" s="586"/>
      <c r="V111" s="586" t="str">
        <f>Q111</f>
        <v>中级</v>
      </c>
      <c r="W111" s="586"/>
      <c r="X111" s="586" t="str">
        <f>R111</f>
        <v>高级</v>
      </c>
      <c r="Y111" s="586"/>
      <c r="Z111" s="586"/>
      <c r="AA111" s="620">
        <f ca="1">LARGE(OFFSET(BV!H$2,,AH111*8-8,430),AG111)</f>
        <v>44141.305999999997</v>
      </c>
      <c r="AB111" s="620"/>
      <c r="AC111" s="1">
        <f ca="1">INDEX(OFFSET(BV!A$2,,AH111*8-8,430),$AK111)</f>
        <v>164</v>
      </c>
      <c r="AD111" s="594">
        <f ca="1">INDEX(OFFSET(BV!C$2,,AH111*8-8,430),$AK111)</f>
        <v>68.61</v>
      </c>
      <c r="AE111" s="594"/>
      <c r="AF111" s="1">
        <f ca="1">INDEX(OFFSET(BV!D$2,,AH111*8-8,430),$AK111)</f>
        <v>2.3903221104795218</v>
      </c>
      <c r="AG111" s="1">
        <v>14</v>
      </c>
      <c r="AH111" s="1">
        <v>1</v>
      </c>
      <c r="AI111" s="315"/>
      <c r="AJ111" s="315"/>
      <c r="AK111" s="480">
        <f ca="1">MATCH(AA111,OFFSET(BV!H$2,,AH111*8-8,430),0)</f>
        <v>305</v>
      </c>
      <c r="AL111" s="315"/>
      <c r="AM111" s="315"/>
      <c r="AN111" s="433">
        <v>86</v>
      </c>
      <c r="AO111" s="660">
        <f ca="1">BV!C111</f>
        <v>27.92</v>
      </c>
      <c r="AP111" s="11">
        <f ca="1">BV!K111</f>
        <v>30.87</v>
      </c>
      <c r="AQ111" s="11">
        <f ca="1">BV!S111</f>
        <v>34.72</v>
      </c>
      <c r="AR111" s="11">
        <f ca="1">BV!AA111</f>
        <v>35.049999999999997</v>
      </c>
      <c r="AS111" s="11" t="str">
        <f ca="1">BV!AI111</f>
        <v/>
      </c>
      <c r="AT111" s="11" t="str">
        <f ca="1">BV!AQ111</f>
        <v/>
      </c>
      <c r="AU111" s="11" t="str">
        <f ca="1">BV!AY111</f>
        <v/>
      </c>
      <c r="AV111" s="11" t="str">
        <f ca="1">BV!BG111</f>
        <v/>
      </c>
      <c r="AW111" s="11" t="str">
        <f ca="1">BV!BO111</f>
        <v/>
      </c>
      <c r="AX111" s="11" t="str">
        <f ca="1">BV!BW111</f>
        <v/>
      </c>
      <c r="AY111" s="62" t="s">
        <v>3</v>
      </c>
      <c r="AZ111" s="37">
        <f t="shared" si="105"/>
        <v>2.1685798902797249</v>
      </c>
      <c r="BA111" s="261">
        <v>6.7829733339999998E-3</v>
      </c>
      <c r="BB111" s="56">
        <v>8.5986538596999992E-2</v>
      </c>
      <c r="BC111" s="56">
        <f t="shared" si="72"/>
        <v>7.8884130524084758E-2</v>
      </c>
      <c r="BD111" s="13">
        <f ca="1">IF(BV!H111="","",INT(NOW()-BV!H111))</f>
        <v>12</v>
      </c>
      <c r="BE111" s="279">
        <f t="shared" si="86"/>
        <v>12.141992076790709</v>
      </c>
      <c r="BF111" s="301">
        <f ca="1">BV!G111</f>
        <v>46.04695058047718</v>
      </c>
      <c r="BG111" s="301">
        <f ca="1">BV!O111</f>
        <v>38.819041544605007</v>
      </c>
      <c r="BH111" s="302">
        <f ca="1">BV!W111</f>
        <v>31.788611621417498</v>
      </c>
      <c r="BI111" s="302">
        <f ca="1">BV!AE111</f>
        <v>31.28149067090234</v>
      </c>
      <c r="BJ111" s="11" t="str">
        <f ca="1">BV!AM111</f>
        <v/>
      </c>
      <c r="BK111" s="11" t="str">
        <f ca="1">BV!AU111</f>
        <v/>
      </c>
      <c r="BL111" s="11" t="str">
        <f ca="1">BV!BC111</f>
        <v/>
      </c>
      <c r="BM111" s="11" t="str">
        <f ca="1">BV!BK111</f>
        <v/>
      </c>
      <c r="BN111" s="11" t="str">
        <f ca="1">BV!BS111</f>
        <v/>
      </c>
      <c r="BO111" s="11" t="str">
        <f ca="1">BV!CA111</f>
        <v/>
      </c>
      <c r="BP111" s="433">
        <v>86</v>
      </c>
      <c r="BQ111" s="11">
        <f ca="1">IFERROR(YEAR(OFFSET(BV!$H111,,(COLUMN()-69)*8)),"")</f>
        <v>2020</v>
      </c>
      <c r="BR111" s="11">
        <f ca="1">IFERROR(YEAR(OFFSET(BV!$H111,,(COLUMN()-69)*8)),"")</f>
        <v>2019</v>
      </c>
      <c r="BS111" s="11">
        <f ca="1">IFERROR(YEAR(OFFSET(BV!$H111,,(COLUMN()-69)*8)),"")</f>
        <v>2019</v>
      </c>
      <c r="BT111" s="11">
        <f ca="1">IFERROR(YEAR(OFFSET(BV!$H111,,(COLUMN()-69)*8)),"")</f>
        <v>2019</v>
      </c>
      <c r="BU111" s="11" t="str">
        <f ca="1">IFERROR(YEAR(OFFSET(BV!$H111,,(COLUMN()-69)*8)),"")</f>
        <v/>
      </c>
      <c r="BV111" s="11" t="str">
        <f ca="1">IFERROR(YEAR(OFFSET(BV!$H111,,(COLUMN()-69)*8)),"")</f>
        <v/>
      </c>
      <c r="BW111" s="11" t="str">
        <f ca="1">IFERROR(YEAR(OFFSET(BV!$H111,,(COLUMN()-69)*8)),"")</f>
        <v/>
      </c>
      <c r="BX111" s="11" t="str">
        <f ca="1">IFERROR(YEAR(OFFSET(BV!$H111,,(COLUMN()-69)*8)),"")</f>
        <v/>
      </c>
      <c r="BY111" s="11" t="str">
        <f ca="1">IFERROR(YEAR(OFFSET(BV!$H111,,(COLUMN()-69)*8)),"")</f>
        <v/>
      </c>
      <c r="BZ111" s="11" t="str">
        <f ca="1">IFERROR(YEAR(OFFSET(BV!$H111,,(COLUMN()-69)*8)),"")</f>
        <v/>
      </c>
    </row>
    <row r="112" spans="1:78" x14ac:dyDescent="0.25">
      <c r="A112" s="433">
        <v>87</v>
      </c>
      <c r="B112" s="298">
        <f ca="1">BV!D112</f>
        <v>2.7094363126751793</v>
      </c>
      <c r="C112" s="11" t="str">
        <f ca="1">BV!L112</f>
        <v/>
      </c>
      <c r="D112" s="11" t="str">
        <f ca="1">BV!T112</f>
        <v/>
      </c>
      <c r="E112" s="11" t="str">
        <f ca="1">BV!AB112</f>
        <v/>
      </c>
      <c r="F112" s="11" t="str">
        <f ca="1">BV!AJ112</f>
        <v/>
      </c>
      <c r="G112" s="11" t="str">
        <f ca="1">BV!AR112</f>
        <v/>
      </c>
      <c r="H112" s="11" t="str">
        <f ca="1">BV!AZ112</f>
        <v/>
      </c>
      <c r="I112" s="11" t="str">
        <f ca="1">BV!BH112</f>
        <v/>
      </c>
      <c r="J112" s="11" t="str">
        <f ca="1">BV!BP112</f>
        <v/>
      </c>
      <c r="K112" s="11" t="str">
        <f ca="1">BV!BX112</f>
        <v/>
      </c>
      <c r="L112" s="62" t="s">
        <v>64</v>
      </c>
      <c r="M112" s="261">
        <v>5.9258195080000003E-3</v>
      </c>
      <c r="N112" s="277">
        <f t="shared" ca="1" si="68"/>
        <v>12.99049769913147</v>
      </c>
      <c r="O112" s="4" t="s">
        <v>65</v>
      </c>
      <c r="P112" s="1" t="str">
        <f ca="1">COUNTIFS($B$2:$B$54,"&gt;0",$L$2:$L$54,$O112)&amp;"/"&amp;COUNTIF($L$2:$L$54,$O112)</f>
        <v>22/22</v>
      </c>
      <c r="Q112" s="1" t="str">
        <f ca="1">COUNTIFS($B$55:$B$167,"&gt;0",$L$55:$L$167,$O112)&amp;"/"&amp;COUNTIF($L$55:$L$167,$O112)</f>
        <v>36/36</v>
      </c>
      <c r="R112" s="1" t="str">
        <f ca="1">COUNTIFS($B$242:$B$430,"&gt;0",$L$242:$L$430,$O112)&amp;"/"&amp;COUNTIF($L$242:$L$430,$O112)</f>
        <v>47/47</v>
      </c>
      <c r="S112" s="72" t="str">
        <f ca="1">COUNTIFS($B$2:$B$430,"&gt;0",$L$2:$L$430,$O112)&amp;"/"&amp;COUNTIF($L$2:$L$430,$O112)</f>
        <v>105/105</v>
      </c>
      <c r="T112" s="585" t="s">
        <v>582</v>
      </c>
      <c r="U112" s="585"/>
      <c r="V112" s="585" t="s">
        <v>581</v>
      </c>
      <c r="W112" s="585"/>
      <c r="X112" s="585" t="s">
        <v>574</v>
      </c>
      <c r="Y112" s="585"/>
      <c r="Z112" s="585"/>
      <c r="AA112" s="620">
        <f ca="1">LARGE(OFFSET(BV!H$2,,AH112*8-8,430),AG112)</f>
        <v>44117.080999999998</v>
      </c>
      <c r="AB112" s="620"/>
      <c r="AC112" s="1">
        <f ca="1">INDEX(OFFSET(BV!A$2,,AH112*8-8,430),$AK112)</f>
        <v>56</v>
      </c>
      <c r="AD112" s="594">
        <f ca="1">INDEX(OFFSET(BV!C$2,,AH112*8-8,430),$AK112)</f>
        <v>21.75</v>
      </c>
      <c r="AE112" s="594"/>
      <c r="AF112" s="1">
        <f ca="1">INDEX(OFFSET(BV!D$2,,AH112*8-8,430),$AK112)</f>
        <v>2.5747126436781609</v>
      </c>
      <c r="AG112" s="1">
        <v>15</v>
      </c>
      <c r="AH112" s="1">
        <v>1</v>
      </c>
      <c r="AI112" s="315"/>
      <c r="AJ112" s="315"/>
      <c r="AK112" s="480">
        <f ca="1">MATCH(AA112,OFFSET(BV!H$2,,AH112*8-8,430),0)</f>
        <v>80</v>
      </c>
      <c r="AL112" s="315"/>
      <c r="AM112" s="315"/>
      <c r="AN112" s="433">
        <v>87</v>
      </c>
      <c r="AO112" s="11">
        <f ca="1">BV!C112</f>
        <v>32.11</v>
      </c>
      <c r="AP112" s="11" t="str">
        <f ca="1">BV!K112</f>
        <v/>
      </c>
      <c r="AQ112" s="11" t="str">
        <f ca="1">BV!S112</f>
        <v/>
      </c>
      <c r="AR112" s="11" t="str">
        <f ca="1">BV!AA112</f>
        <v/>
      </c>
      <c r="AS112" s="11" t="str">
        <f ca="1">BV!AI112</f>
        <v/>
      </c>
      <c r="AT112" s="11" t="str">
        <f ca="1">BV!AQ112</f>
        <v/>
      </c>
      <c r="AU112" s="11" t="str">
        <f ca="1">BV!AY112</f>
        <v/>
      </c>
      <c r="AV112" s="11" t="str">
        <f ca="1">BV!BG112</f>
        <v/>
      </c>
      <c r="AW112" s="11" t="str">
        <f ca="1">BV!BO112</f>
        <v/>
      </c>
      <c r="AX112" s="11" t="str">
        <f ca="1">BV!BW112</f>
        <v/>
      </c>
      <c r="AY112" s="62" t="s">
        <v>3</v>
      </c>
      <c r="AZ112" s="37">
        <f t="shared" si="105"/>
        <v>2.2272515806442548</v>
      </c>
      <c r="BA112" s="261">
        <v>5.9258195080000003E-3</v>
      </c>
      <c r="BB112" s="56">
        <v>8.5986538596999992E-2</v>
      </c>
      <c r="BC112" s="56">
        <f t="shared" si="72"/>
        <v>6.8915665227239978E-2</v>
      </c>
      <c r="BD112" s="13">
        <f ca="1">IF(BV!H112="","",INT(NOW()-BV!H112))</f>
        <v>380</v>
      </c>
      <c r="BE112" s="279">
        <f t="shared" si="86"/>
        <v>12.99049769913147</v>
      </c>
      <c r="BF112" s="302">
        <f ca="1">BV!G112</f>
        <v>36.727330265875366</v>
      </c>
      <c r="BG112" s="11" t="str">
        <f ca="1">BV!O112</f>
        <v/>
      </c>
      <c r="BH112" s="11" t="str">
        <f ca="1">BV!W112</f>
        <v/>
      </c>
      <c r="BI112" s="11" t="str">
        <f ca="1">BV!AE112</f>
        <v/>
      </c>
      <c r="BJ112" s="11" t="str">
        <f ca="1">BV!AM112</f>
        <v/>
      </c>
      <c r="BK112" s="11" t="str">
        <f ca="1">BV!AU112</f>
        <v/>
      </c>
      <c r="BL112" s="11" t="str">
        <f ca="1">BV!BC112</f>
        <v/>
      </c>
      <c r="BM112" s="11" t="str">
        <f ca="1">BV!BK112</f>
        <v/>
      </c>
      <c r="BN112" s="11" t="str">
        <f ca="1">BV!BS112</f>
        <v/>
      </c>
      <c r="BO112" s="11" t="str">
        <f ca="1">BV!CA112</f>
        <v/>
      </c>
      <c r="BP112" s="433">
        <v>87</v>
      </c>
      <c r="BQ112" s="11">
        <f ca="1">IFERROR(YEAR(OFFSET(BV!$H112,,(COLUMN()-69)*8)),"")</f>
        <v>2019</v>
      </c>
      <c r="BR112" s="11" t="str">
        <f ca="1">IFERROR(YEAR(OFFSET(BV!$H112,,(COLUMN()-69)*8)),"")</f>
        <v/>
      </c>
      <c r="BS112" s="11" t="str">
        <f ca="1">IFERROR(YEAR(OFFSET(BV!$H112,,(COLUMN()-69)*8)),"")</f>
        <v/>
      </c>
      <c r="BT112" s="11" t="str">
        <f ca="1">IFERROR(YEAR(OFFSET(BV!$H112,,(COLUMN()-69)*8)),"")</f>
        <v/>
      </c>
      <c r="BU112" s="11" t="str">
        <f ca="1">IFERROR(YEAR(OFFSET(BV!$H112,,(COLUMN()-69)*8)),"")</f>
        <v/>
      </c>
      <c r="BV112" s="11" t="str">
        <f ca="1">IFERROR(YEAR(OFFSET(BV!$H112,,(COLUMN()-69)*8)),"")</f>
        <v/>
      </c>
      <c r="BW112" s="11" t="str">
        <f ca="1">IFERROR(YEAR(OFFSET(BV!$H112,,(COLUMN()-69)*8)),"")</f>
        <v/>
      </c>
      <c r="BX112" s="11" t="str">
        <f ca="1">IFERROR(YEAR(OFFSET(BV!$H112,,(COLUMN()-69)*8)),"")</f>
        <v/>
      </c>
      <c r="BY112" s="11" t="str">
        <f ca="1">IFERROR(YEAR(OFFSET(BV!$H112,,(COLUMN()-69)*8)),"")</f>
        <v/>
      </c>
      <c r="BZ112" s="11" t="str">
        <f ca="1">IFERROR(YEAR(OFFSET(BV!$H112,,(COLUMN()-69)*8)),"")</f>
        <v/>
      </c>
    </row>
    <row r="113" spans="1:78" x14ac:dyDescent="0.25">
      <c r="A113" s="433">
        <v>88</v>
      </c>
      <c r="B113" s="297">
        <f ca="1">BV!D113</f>
        <v>2.8341384863123995</v>
      </c>
      <c r="C113" s="298">
        <f ca="1">BV!L113</f>
        <v>2.6594137201571471</v>
      </c>
      <c r="D113" s="11" t="str">
        <f ca="1">BV!T113</f>
        <v/>
      </c>
      <c r="E113" s="11" t="str">
        <f ca="1">BV!AB113</f>
        <v/>
      </c>
      <c r="F113" s="11" t="str">
        <f ca="1">BV!AJ113</f>
        <v/>
      </c>
      <c r="G113" s="11" t="str">
        <f ca="1">BV!AR113</f>
        <v/>
      </c>
      <c r="H113" s="11" t="str">
        <f ca="1">BV!AZ113</f>
        <v/>
      </c>
      <c r="I113" s="11" t="str">
        <f ca="1">BV!BH113</f>
        <v/>
      </c>
      <c r="J113" s="11" t="str">
        <f ca="1">BV!BP113</f>
        <v/>
      </c>
      <c r="K113" s="11" t="str">
        <f ca="1">BV!BX113</f>
        <v/>
      </c>
      <c r="L113" s="62" t="s">
        <v>64</v>
      </c>
      <c r="M113" s="261">
        <v>5.1529994589999996E-3</v>
      </c>
      <c r="N113" s="277">
        <f t="shared" ca="1" si="68"/>
        <v>13.930604150514453</v>
      </c>
      <c r="O113" s="36" t="s">
        <v>3</v>
      </c>
      <c r="P113" s="1" t="str">
        <f t="shared" ref="P113:P117" ca="1" si="108">COUNTIFS($B$2:$B$54,"&gt;0",$L$2:$L$54,$O113)&amp;"/"&amp;COUNTIF($L$2:$L$54,$O113)</f>
        <v>9/9</v>
      </c>
      <c r="Q113" s="1" t="str">
        <f t="shared" ref="Q113:Q118" ca="1" si="109">COUNTIFS($B$55:$B$167,"&gt;0",$L$55:$L$167,$O113)&amp;"/"&amp;COUNTIF($L$55:$L$167,$O113)</f>
        <v>23/26</v>
      </c>
      <c r="R113" s="1" t="str">
        <f t="shared" ref="R113:R118" ca="1" si="110">COUNTIFS($B$242:$B$430,"&gt;0",$L$242:$L$430,$O113)&amp;"/"&amp;COUNTIF($L$242:$L$430,$O113)</f>
        <v>46/48</v>
      </c>
      <c r="S113" s="72" t="str">
        <f t="shared" ref="S113:S118" ca="1" si="111">COUNTIFS($B$2:$B$430,"&gt;0",$L$2:$L$430,$O113)&amp;"/"&amp;COUNTIF($L$2:$L$430,$O113)</f>
        <v>78/83</v>
      </c>
      <c r="T113" s="579" t="s">
        <v>591</v>
      </c>
      <c r="U113" s="579"/>
      <c r="V113" s="579" t="s">
        <v>580</v>
      </c>
      <c r="W113" s="579"/>
      <c r="X113" s="579" t="s">
        <v>585</v>
      </c>
      <c r="Y113" s="579"/>
      <c r="Z113" s="579"/>
      <c r="AA113" s="620">
        <f ca="1">LARGE(OFFSET(BV!H$2,,AH113*8-8,430),AG113)</f>
        <v>44117.074000000001</v>
      </c>
      <c r="AB113" s="620"/>
      <c r="AC113" s="1">
        <f ca="1">INDEX(OFFSET(BV!A$2,,AH113*8-8,430),$AK113)</f>
        <v>49</v>
      </c>
      <c r="AD113" s="594">
        <f ca="1">INDEX(OFFSET(BV!C$2,,AH113*8-8,430),$AK113)</f>
        <v>20.84</v>
      </c>
      <c r="AE113" s="594"/>
      <c r="AF113" s="1">
        <f ca="1">INDEX(OFFSET(BV!D$2,,AH113*8-8,430),$AK113)</f>
        <v>2.3512476007677545</v>
      </c>
      <c r="AG113" s="1">
        <v>16</v>
      </c>
      <c r="AH113" s="1">
        <v>1</v>
      </c>
      <c r="AI113" s="315"/>
      <c r="AJ113" s="315"/>
      <c r="AK113" s="480">
        <f ca="1">MATCH(AA113,OFFSET(BV!H$2,,AH113*8-8,430),0)</f>
        <v>73</v>
      </c>
      <c r="AL113" s="315"/>
      <c r="AM113" s="315"/>
      <c r="AN113" s="433">
        <v>88</v>
      </c>
      <c r="AO113" s="11">
        <f ca="1">BV!C113</f>
        <v>31.05</v>
      </c>
      <c r="AP113" s="11">
        <f ca="1">BV!K113</f>
        <v>33.090000000000003</v>
      </c>
      <c r="AQ113" s="11" t="str">
        <f ca="1">BV!S113</f>
        <v/>
      </c>
      <c r="AR113" s="11" t="str">
        <f ca="1">BV!AA113</f>
        <v/>
      </c>
      <c r="AS113" s="11" t="str">
        <f ca="1">BV!AI113</f>
        <v/>
      </c>
      <c r="AT113" s="11" t="str">
        <f ca="1">BV!AQ113</f>
        <v/>
      </c>
      <c r="AU113" s="11" t="str">
        <f ca="1">BV!AY113</f>
        <v/>
      </c>
      <c r="AV113" s="11" t="str">
        <f ca="1">BV!BG113</f>
        <v/>
      </c>
      <c r="AW113" s="11" t="str">
        <f ca="1">BV!BO113</f>
        <v/>
      </c>
      <c r="AX113" s="11" t="str">
        <f ca="1">BV!BW113</f>
        <v/>
      </c>
      <c r="AY113" s="62" t="s">
        <v>3</v>
      </c>
      <c r="AZ113" s="37">
        <f t="shared" si="105"/>
        <v>2.2879399031343701</v>
      </c>
      <c r="BA113" s="261">
        <v>5.1529994589999996E-3</v>
      </c>
      <c r="BB113" s="56">
        <v>8.5986538596999992E-2</v>
      </c>
      <c r="BC113" s="56">
        <f t="shared" si="72"/>
        <v>5.9927978763640845E-2</v>
      </c>
      <c r="BD113" s="13">
        <f ca="1">IF(BV!H113="","",INT(NOW()-BV!H113))</f>
        <v>385</v>
      </c>
      <c r="BE113" s="279">
        <f t="shared" si="86"/>
        <v>13.930604150514453</v>
      </c>
      <c r="BF113" s="301">
        <f ca="1">BV!G113</f>
        <v>39.331143367795569</v>
      </c>
      <c r="BG113" s="302">
        <f ca="1">BV!O113</f>
        <v>35.29854426424702</v>
      </c>
      <c r="BH113" s="11" t="str">
        <f ca="1">BV!W113</f>
        <v/>
      </c>
      <c r="BI113" s="11" t="str">
        <f ca="1">BV!AE113</f>
        <v/>
      </c>
      <c r="BJ113" s="11" t="str">
        <f ca="1">BV!AM113</f>
        <v/>
      </c>
      <c r="BK113" s="11" t="str">
        <f ca="1">BV!AU113</f>
        <v/>
      </c>
      <c r="BL113" s="11" t="str">
        <f ca="1">BV!BC113</f>
        <v/>
      </c>
      <c r="BM113" s="11" t="str">
        <f ca="1">BV!BK113</f>
        <v/>
      </c>
      <c r="BN113" s="11" t="str">
        <f ca="1">BV!BS113</f>
        <v/>
      </c>
      <c r="BO113" s="11" t="str">
        <f ca="1">BV!CA113</f>
        <v/>
      </c>
      <c r="BP113" s="433">
        <v>88</v>
      </c>
      <c r="BQ113" s="11">
        <f ca="1">IFERROR(YEAR(OFFSET(BV!$H113,,(COLUMN()-69)*8)),"")</f>
        <v>2019</v>
      </c>
      <c r="BR113" s="11">
        <f ca="1">IFERROR(YEAR(OFFSET(BV!$H113,,(COLUMN()-69)*8)),"")</f>
        <v>2019</v>
      </c>
      <c r="BS113" s="11" t="str">
        <f ca="1">IFERROR(YEAR(OFFSET(BV!$H113,,(COLUMN()-69)*8)),"")</f>
        <v/>
      </c>
      <c r="BT113" s="11" t="str">
        <f ca="1">IFERROR(YEAR(OFFSET(BV!$H113,,(COLUMN()-69)*8)),"")</f>
        <v/>
      </c>
      <c r="BU113" s="11" t="str">
        <f ca="1">IFERROR(YEAR(OFFSET(BV!$H113,,(COLUMN()-69)*8)),"")</f>
        <v/>
      </c>
      <c r="BV113" s="11" t="str">
        <f ca="1">IFERROR(YEAR(OFFSET(BV!$H113,,(COLUMN()-69)*8)),"")</f>
        <v/>
      </c>
      <c r="BW113" s="11" t="str">
        <f ca="1">IFERROR(YEAR(OFFSET(BV!$H113,,(COLUMN()-69)*8)),"")</f>
        <v/>
      </c>
      <c r="BX113" s="11" t="str">
        <f ca="1">IFERROR(YEAR(OFFSET(BV!$H113,,(COLUMN()-69)*8)),"")</f>
        <v/>
      </c>
      <c r="BY113" s="11" t="str">
        <f ca="1">IFERROR(YEAR(OFFSET(BV!$H113,,(COLUMN()-69)*8)),"")</f>
        <v/>
      </c>
      <c r="BZ113" s="11" t="str">
        <f ca="1">IFERROR(YEAR(OFFSET(BV!$H113,,(COLUMN()-69)*8)),"")</f>
        <v/>
      </c>
    </row>
    <row r="114" spans="1:78" x14ac:dyDescent="0.25">
      <c r="A114" s="433">
        <v>89</v>
      </c>
      <c r="B114" s="552">
        <f ca="1">BV!D114</f>
        <v>3.0272108843537415</v>
      </c>
      <c r="C114" s="297">
        <f ca="1">BV!L114</f>
        <v>2.9411764705882351</v>
      </c>
      <c r="D114" s="297">
        <f ca="1">BV!T114</f>
        <v>2.8040327662255828</v>
      </c>
      <c r="E114" s="11" t="str">
        <f ca="1">BV!AB114</f>
        <v/>
      </c>
      <c r="F114" s="11" t="str">
        <f ca="1">BV!AJ114</f>
        <v/>
      </c>
      <c r="G114" s="11" t="str">
        <f ca="1">BV!AR114</f>
        <v/>
      </c>
      <c r="H114" s="11" t="str">
        <f ca="1">BV!AZ114</f>
        <v/>
      </c>
      <c r="I114" s="11" t="str">
        <f ca="1">BV!BH114</f>
        <v/>
      </c>
      <c r="J114" s="11" t="str">
        <f ca="1">BV!BP114</f>
        <v/>
      </c>
      <c r="K114" s="11" t="str">
        <f ca="1">BV!BX114</f>
        <v/>
      </c>
      <c r="L114" s="62" t="s">
        <v>64</v>
      </c>
      <c r="M114" s="261">
        <v>4.4606144810000001E-3</v>
      </c>
      <c r="N114" s="277">
        <f t="shared" ca="1" si="68"/>
        <v>14.972787295973269</v>
      </c>
      <c r="O114" s="295" t="s">
        <v>67</v>
      </c>
      <c r="P114" s="1" t="str">
        <f t="shared" ca="1" si="108"/>
        <v>6/8</v>
      </c>
      <c r="Q114" s="1" t="str">
        <f t="shared" ca="1" si="109"/>
        <v>4/18</v>
      </c>
      <c r="R114" s="1" t="str">
        <f t="shared" ca="1" si="110"/>
        <v>7/31</v>
      </c>
      <c r="S114" s="72" t="str">
        <f t="shared" ca="1" si="111"/>
        <v>17/57</v>
      </c>
      <c r="T114" s="580" t="s">
        <v>592</v>
      </c>
      <c r="U114" s="580"/>
      <c r="V114" s="580" t="s">
        <v>575</v>
      </c>
      <c r="W114" s="580"/>
      <c r="X114" s="580" t="s">
        <v>587</v>
      </c>
      <c r="Y114" s="580"/>
      <c r="Z114" s="580"/>
      <c r="AA114" s="620">
        <f ca="1">LARGE(OFFSET(BV!H$2,,AH114*8-8,430),AG114)</f>
        <v>44114.103000000003</v>
      </c>
      <c r="AB114" s="620"/>
      <c r="AC114" s="1">
        <f ca="1">INDEX(OFFSET(BV!A$2,,AH114*8-8,430),$AK114)</f>
        <v>78</v>
      </c>
      <c r="AD114" s="594">
        <f ca="1">INDEX(OFFSET(BV!C$2,,AH114*8-8,430),$AK114)</f>
        <v>24.71</v>
      </c>
      <c r="AE114" s="594"/>
      <c r="AF114" s="1">
        <f ca="1">INDEX(OFFSET(BV!D$2,,AH114*8-8,430),$AK114)</f>
        <v>3.1566167543504653</v>
      </c>
      <c r="AG114" s="1">
        <v>17</v>
      </c>
      <c r="AH114" s="1">
        <v>1</v>
      </c>
      <c r="AI114" s="315"/>
      <c r="AJ114" s="315"/>
      <c r="AK114" s="480">
        <f ca="1">MATCH(AA114,OFFSET(BV!H$2,,AH114*8-8,430),0)</f>
        <v>102</v>
      </c>
      <c r="AL114" s="315"/>
      <c r="AM114" s="315"/>
      <c r="AN114" s="433">
        <v>89</v>
      </c>
      <c r="AO114" s="659">
        <f ca="1">BV!C114</f>
        <v>29.4</v>
      </c>
      <c r="AP114" s="11">
        <f ca="1">BV!K114</f>
        <v>30.26</v>
      </c>
      <c r="AQ114" s="11">
        <f ca="1">BV!S114</f>
        <v>31.74</v>
      </c>
      <c r="AR114" s="11" t="str">
        <f ca="1">BV!AA114</f>
        <v/>
      </c>
      <c r="AS114" s="11" t="str">
        <f ca="1">BV!AI114</f>
        <v/>
      </c>
      <c r="AT114" s="11" t="str">
        <f ca="1">BV!AQ114</f>
        <v/>
      </c>
      <c r="AU114" s="11" t="str">
        <f ca="1">BV!AY114</f>
        <v/>
      </c>
      <c r="AV114" s="11" t="str">
        <f ca="1">BV!BG114</f>
        <v/>
      </c>
      <c r="AW114" s="11" t="str">
        <f ca="1">BV!BO114</f>
        <v/>
      </c>
      <c r="AX114" s="11" t="str">
        <f ca="1">BV!BW114</f>
        <v/>
      </c>
      <c r="AY114" s="62" t="s">
        <v>3</v>
      </c>
      <c r="AZ114" s="37">
        <f t="shared" si="105"/>
        <v>2.3506053100489845</v>
      </c>
      <c r="BA114" s="261">
        <v>4.4606144810000001E-3</v>
      </c>
      <c r="BB114" s="56">
        <v>8.5986538596999992E-2</v>
      </c>
      <c r="BC114" s="56">
        <f t="shared" si="72"/>
        <v>5.1875730245473886E-2</v>
      </c>
      <c r="BD114" s="13">
        <f ca="1">IF(BV!H114="","",INT(NOW()-BV!H114))</f>
        <v>409</v>
      </c>
      <c r="BE114" s="279">
        <f t="shared" si="86"/>
        <v>14.972787295973269</v>
      </c>
      <c r="BF114" s="301">
        <f ca="1">BV!G114</f>
        <v>43.64737924473053</v>
      </c>
      <c r="BG114" s="301">
        <f ca="1">BV!O114</f>
        <v>41.559610011653078</v>
      </c>
      <c r="BH114" s="301">
        <f ca="1">BV!W114</f>
        <v>38.319238125001441</v>
      </c>
      <c r="BI114" s="11" t="str">
        <f ca="1">BV!AE114</f>
        <v/>
      </c>
      <c r="BJ114" s="11" t="str">
        <f ca="1">BV!AM114</f>
        <v/>
      </c>
      <c r="BK114" s="11" t="str">
        <f ca="1">BV!AU114</f>
        <v/>
      </c>
      <c r="BL114" s="11" t="str">
        <f ca="1">BV!BC114</f>
        <v/>
      </c>
      <c r="BM114" s="11" t="str">
        <f ca="1">BV!BK114</f>
        <v/>
      </c>
      <c r="BN114" s="11" t="str">
        <f ca="1">BV!BS114</f>
        <v/>
      </c>
      <c r="BO114" s="11" t="str">
        <f ca="1">BV!CA114</f>
        <v/>
      </c>
      <c r="BP114" s="433">
        <v>89</v>
      </c>
      <c r="BQ114" s="11">
        <f ca="1">IFERROR(YEAR(OFFSET(BV!$H114,,(COLUMN()-69)*8)),"")</f>
        <v>2019</v>
      </c>
      <c r="BR114" s="11">
        <f ca="1">IFERROR(YEAR(OFFSET(BV!$H114,,(COLUMN()-69)*8)),"")</f>
        <v>2020</v>
      </c>
      <c r="BS114" s="11">
        <f ca="1">IFERROR(YEAR(OFFSET(BV!$H114,,(COLUMN()-69)*8)),"")</f>
        <v>2019</v>
      </c>
      <c r="BT114" s="11" t="str">
        <f ca="1">IFERROR(YEAR(OFFSET(BV!$H114,,(COLUMN()-69)*8)),"")</f>
        <v/>
      </c>
      <c r="BU114" s="11" t="str">
        <f ca="1">IFERROR(YEAR(OFFSET(BV!$H114,,(COLUMN()-69)*8)),"")</f>
        <v/>
      </c>
      <c r="BV114" s="11" t="str">
        <f ca="1">IFERROR(YEAR(OFFSET(BV!$H114,,(COLUMN()-69)*8)),"")</f>
        <v/>
      </c>
      <c r="BW114" s="11" t="str">
        <f ca="1">IFERROR(YEAR(OFFSET(BV!$H114,,(COLUMN()-69)*8)),"")</f>
        <v/>
      </c>
      <c r="BX114" s="11" t="str">
        <f ca="1">IFERROR(YEAR(OFFSET(BV!$H114,,(COLUMN()-69)*8)),"")</f>
        <v/>
      </c>
      <c r="BY114" s="11" t="str">
        <f ca="1">IFERROR(YEAR(OFFSET(BV!$H114,,(COLUMN()-69)*8)),"")</f>
        <v/>
      </c>
      <c r="BZ114" s="11" t="str">
        <f ca="1">IFERROR(YEAR(OFFSET(BV!$H114,,(COLUMN()-69)*8)),"")</f>
        <v/>
      </c>
    </row>
    <row r="115" spans="1:78" x14ac:dyDescent="0.25">
      <c r="A115" s="433">
        <v>90</v>
      </c>
      <c r="B115" s="298">
        <f ca="1">BV!D115</f>
        <v>2.5951557093425608</v>
      </c>
      <c r="C115" s="11" t="str">
        <f ca="1">BV!L115</f>
        <v/>
      </c>
      <c r="D115" s="11" t="str">
        <f ca="1">BV!T115</f>
        <v/>
      </c>
      <c r="E115" s="11" t="str">
        <f ca="1">BV!AB115</f>
        <v/>
      </c>
      <c r="F115" s="11" t="str">
        <f ca="1">BV!AJ115</f>
        <v/>
      </c>
      <c r="G115" s="11" t="str">
        <f ca="1">BV!AR115</f>
        <v/>
      </c>
      <c r="H115" s="11" t="str">
        <f ca="1">BV!AZ115</f>
        <v/>
      </c>
      <c r="I115" s="11" t="str">
        <f ca="1">BV!BH115</f>
        <v/>
      </c>
      <c r="J115" s="11" t="str">
        <f ca="1">BV!BP115</f>
        <v/>
      </c>
      <c r="K115" s="11" t="str">
        <f ca="1">BV!BX115</f>
        <v/>
      </c>
      <c r="L115" s="62" t="s">
        <v>64</v>
      </c>
      <c r="M115" s="261">
        <v>3.843959337E-3</v>
      </c>
      <c r="N115" s="277">
        <f t="shared" ca="1" si="68"/>
        <v>16.129117567643355</v>
      </c>
      <c r="O115" s="24" t="s">
        <v>66</v>
      </c>
      <c r="P115" s="1" t="str">
        <f t="shared" ca="1" si="108"/>
        <v>0/6</v>
      </c>
      <c r="Q115" s="1" t="str">
        <f t="shared" ca="1" si="109"/>
        <v>0/9</v>
      </c>
      <c r="R115" s="1" t="str">
        <f t="shared" ca="1" si="110"/>
        <v>1/24</v>
      </c>
      <c r="S115" s="72" t="str">
        <f t="shared" ca="1" si="111"/>
        <v>1/39</v>
      </c>
      <c r="T115" s="581" t="s">
        <v>593</v>
      </c>
      <c r="U115" s="581"/>
      <c r="V115" s="581" t="s">
        <v>576</v>
      </c>
      <c r="W115" s="581"/>
      <c r="X115" s="581" t="s">
        <v>586</v>
      </c>
      <c r="Y115" s="581"/>
      <c r="Z115" s="581"/>
      <c r="AA115" s="620">
        <f ca="1">LARGE(OFFSET(BV!H$2,,AH115*8-8,430),AG115)</f>
        <v>44114.1</v>
      </c>
      <c r="AB115" s="620"/>
      <c r="AC115" s="1">
        <f ca="1">INDEX(OFFSET(BV!A$2,,AH115*8-8,430),$AK115)</f>
        <v>75</v>
      </c>
      <c r="AD115" s="594">
        <f ca="1">INDEX(OFFSET(BV!C$2,,AH115*8-8,430),$AK115)</f>
        <v>23.35</v>
      </c>
      <c r="AE115" s="594"/>
      <c r="AF115" s="1">
        <f ca="1">INDEX(OFFSET(BV!D$2,,AH115*8-8,430),$AK115)</f>
        <v>3.2119914346895073</v>
      </c>
      <c r="AG115" s="1">
        <v>18</v>
      </c>
      <c r="AH115" s="1">
        <v>1</v>
      </c>
      <c r="AI115" s="315"/>
      <c r="AJ115" s="315"/>
      <c r="AK115" s="480">
        <f ca="1">MATCH(AA115,OFFSET(BV!H$2,,AH115*8-8,430),0)</f>
        <v>99</v>
      </c>
      <c r="AL115" s="315"/>
      <c r="AM115" s="315"/>
      <c r="AN115" s="433">
        <v>90</v>
      </c>
      <c r="AO115" s="11">
        <f ca="1">BV!C115</f>
        <v>34.68</v>
      </c>
      <c r="AP115" s="11" t="str">
        <f ca="1">BV!K115</f>
        <v/>
      </c>
      <c r="AQ115" s="11" t="str">
        <f ca="1">BV!S115</f>
        <v/>
      </c>
      <c r="AR115" s="11" t="str">
        <f ca="1">BV!AA115</f>
        <v/>
      </c>
      <c r="AS115" s="11" t="str">
        <f ca="1">BV!AI115</f>
        <v/>
      </c>
      <c r="AT115" s="11" t="str">
        <f ca="1">BV!AQ115</f>
        <v/>
      </c>
      <c r="AU115" s="11" t="str">
        <f ca="1">BV!AY115</f>
        <v/>
      </c>
      <c r="AV115" s="11" t="str">
        <f ca="1">BV!BG115</f>
        <v/>
      </c>
      <c r="AW115" s="11" t="str">
        <f ca="1">BV!BO115</f>
        <v/>
      </c>
      <c r="AX115" s="11" t="str">
        <f ca="1">BV!BW115</f>
        <v/>
      </c>
      <c r="AY115" s="62" t="s">
        <v>3</v>
      </c>
      <c r="AZ115" s="37">
        <f t="shared" si="105"/>
        <v>2.4152212151267811</v>
      </c>
      <c r="BA115" s="261">
        <v>3.843959337E-3</v>
      </c>
      <c r="BB115" s="268">
        <v>2.0569727529000003E-2</v>
      </c>
      <c r="BC115" s="268">
        <f t="shared" si="72"/>
        <v>0.18687458701534265</v>
      </c>
      <c r="BD115" s="269">
        <f ca="1">IF(BV!H115="","",INT(NOW()-BV!H115))</f>
        <v>340</v>
      </c>
      <c r="BE115" s="279">
        <f t="shared" si="86"/>
        <v>16.129117567643355</v>
      </c>
      <c r="BF115" s="302">
        <f ca="1">BV!G115</f>
        <v>33.332407735644928</v>
      </c>
      <c r="BG115" s="11" t="str">
        <f ca="1">BV!O115</f>
        <v/>
      </c>
      <c r="BH115" s="11" t="str">
        <f ca="1">BV!W115</f>
        <v/>
      </c>
      <c r="BI115" s="11" t="str">
        <f ca="1">BV!AE115</f>
        <v/>
      </c>
      <c r="BJ115" s="11" t="str">
        <f ca="1">BV!AM115</f>
        <v/>
      </c>
      <c r="BK115" s="11" t="str">
        <f ca="1">BV!AU115</f>
        <v/>
      </c>
      <c r="BL115" s="11" t="str">
        <f ca="1">BV!BC115</f>
        <v/>
      </c>
      <c r="BM115" s="11" t="str">
        <f ca="1">BV!BK115</f>
        <v/>
      </c>
      <c r="BN115" s="11" t="str">
        <f ca="1">BV!BS115</f>
        <v/>
      </c>
      <c r="BO115" s="11" t="str">
        <f ca="1">BV!CA115</f>
        <v/>
      </c>
      <c r="BP115" s="433">
        <v>90</v>
      </c>
      <c r="BQ115" s="11">
        <f ca="1">IFERROR(YEAR(OFFSET(BV!$H115,,(COLUMN()-69)*8)),"")</f>
        <v>2020</v>
      </c>
      <c r="BR115" s="11" t="str">
        <f ca="1">IFERROR(YEAR(OFFSET(BV!$H115,,(COLUMN()-69)*8)),"")</f>
        <v/>
      </c>
      <c r="BS115" s="11" t="str">
        <f ca="1">IFERROR(YEAR(OFFSET(BV!$H115,,(COLUMN()-69)*8)),"")</f>
        <v/>
      </c>
      <c r="BT115" s="11" t="str">
        <f ca="1">IFERROR(YEAR(OFFSET(BV!$H115,,(COLUMN()-69)*8)),"")</f>
        <v/>
      </c>
      <c r="BU115" s="11" t="str">
        <f ca="1">IFERROR(YEAR(OFFSET(BV!$H115,,(COLUMN()-69)*8)),"")</f>
        <v/>
      </c>
      <c r="BV115" s="11" t="str">
        <f ca="1">IFERROR(YEAR(OFFSET(BV!$H115,,(COLUMN()-69)*8)),"")</f>
        <v/>
      </c>
      <c r="BW115" s="11" t="str">
        <f ca="1">IFERROR(YEAR(OFFSET(BV!$H115,,(COLUMN()-69)*8)),"")</f>
        <v/>
      </c>
      <c r="BX115" s="11" t="str">
        <f ca="1">IFERROR(YEAR(OFFSET(BV!$H115,,(COLUMN()-69)*8)),"")</f>
        <v/>
      </c>
      <c r="BY115" s="11" t="str">
        <f ca="1">IFERROR(YEAR(OFFSET(BV!$H115,,(COLUMN()-69)*8)),"")</f>
        <v/>
      </c>
      <c r="BZ115" s="11" t="str">
        <f ca="1">IFERROR(YEAR(OFFSET(BV!$H115,,(COLUMN()-69)*8)),"")</f>
        <v/>
      </c>
    </row>
    <row r="116" spans="1:78" x14ac:dyDescent="0.25">
      <c r="A116" s="433">
        <v>91</v>
      </c>
      <c r="B116" s="298">
        <f ca="1">BV!D116</f>
        <v>2.7475845410628024</v>
      </c>
      <c r="C116" s="298">
        <f ca="1">BV!L116</f>
        <v>2.6384459263554652</v>
      </c>
      <c r="D116" s="11" t="str">
        <f ca="1">BV!T116</f>
        <v/>
      </c>
      <c r="E116" s="11" t="str">
        <f ca="1">BV!AB116</f>
        <v/>
      </c>
      <c r="F116" s="11" t="str">
        <f ca="1">BV!AJ116</f>
        <v/>
      </c>
      <c r="G116" s="11" t="str">
        <f ca="1">BV!AR116</f>
        <v/>
      </c>
      <c r="H116" s="11" t="str">
        <f ca="1">BV!AZ116</f>
        <v/>
      </c>
      <c r="I116" s="11" t="str">
        <f ca="1">BV!BH116</f>
        <v/>
      </c>
      <c r="J116" s="11" t="str">
        <f ca="1">BV!BP116</f>
        <v/>
      </c>
      <c r="K116" s="11" t="str">
        <f ca="1">BV!BX116</f>
        <v/>
      </c>
      <c r="L116" s="62" t="s">
        <v>64</v>
      </c>
      <c r="M116" s="261">
        <v>3.29779112E-3</v>
      </c>
      <c r="N116" s="277">
        <f t="shared" ca="1" si="68"/>
        <v>17.413594531854262</v>
      </c>
      <c r="O116" s="292" t="s">
        <v>106</v>
      </c>
      <c r="P116" s="1" t="str">
        <f t="shared" ca="1" si="108"/>
        <v>0/3</v>
      </c>
      <c r="Q116" s="1" t="str">
        <f t="shared" ca="1" si="109"/>
        <v>0/9</v>
      </c>
      <c r="R116" s="1" t="str">
        <f t="shared" ca="1" si="110"/>
        <v>0/18</v>
      </c>
      <c r="S116" s="72" t="str">
        <f t="shared" ca="1" si="111"/>
        <v>0/30</v>
      </c>
      <c r="T116" s="582" t="s">
        <v>584</v>
      </c>
      <c r="U116" s="582"/>
      <c r="V116" s="582" t="s">
        <v>577</v>
      </c>
      <c r="W116" s="582"/>
      <c r="X116" s="582" t="s">
        <v>588</v>
      </c>
      <c r="Y116" s="582"/>
      <c r="Z116" s="582"/>
      <c r="AA116" s="620">
        <f ca="1">LARGE(OFFSET(BV!H$2,,AH116*8-8,430),AG116)</f>
        <v>44114.088000000003</v>
      </c>
      <c r="AB116" s="620"/>
      <c r="AC116" s="1">
        <f ca="1">INDEX(OFFSET(BV!A$2,,AH116*8-8,430),$AK116)</f>
        <v>63</v>
      </c>
      <c r="AD116" s="594">
        <f ca="1">INDEX(OFFSET(BV!C$2,,AH116*8-8,430),$AK116)</f>
        <v>23.05</v>
      </c>
      <c r="AE116" s="594"/>
      <c r="AF116" s="1">
        <f ca="1">INDEX(OFFSET(BV!D$2,,AH116*8-8,430),$AK116)</f>
        <v>2.7331887201735356</v>
      </c>
      <c r="AG116" s="1">
        <v>19</v>
      </c>
      <c r="AH116" s="1">
        <v>1</v>
      </c>
      <c r="AI116" s="315"/>
      <c r="AJ116" s="315"/>
      <c r="AK116" s="480">
        <f ca="1">MATCH(AA116,OFFSET(BV!H$2,,AH116*8-8,430),0)</f>
        <v>87</v>
      </c>
      <c r="AL116" s="315"/>
      <c r="AM116" s="315"/>
      <c r="AN116" s="433">
        <v>91</v>
      </c>
      <c r="AO116" s="11">
        <f ca="1">BV!C116</f>
        <v>33.119999999999997</v>
      </c>
      <c r="AP116" s="11">
        <f ca="1">BV!K116</f>
        <v>34.49</v>
      </c>
      <c r="AQ116" s="11" t="str">
        <f ca="1">BV!S116</f>
        <v/>
      </c>
      <c r="AR116" s="11" t="str">
        <f ca="1">BV!AA116</f>
        <v/>
      </c>
      <c r="AS116" s="11" t="str">
        <f ca="1">BV!AI116</f>
        <v/>
      </c>
      <c r="AT116" s="11" t="str">
        <f ca="1">BV!AQ116</f>
        <v/>
      </c>
      <c r="AU116" s="11" t="str">
        <f ca="1">BV!AY116</f>
        <v/>
      </c>
      <c r="AV116" s="11" t="str">
        <f ca="1">BV!BG116</f>
        <v/>
      </c>
      <c r="AW116" s="11" t="str">
        <f ca="1">BV!BO116</f>
        <v/>
      </c>
      <c r="AX116" s="11" t="str">
        <f ca="1">BV!BW116</f>
        <v/>
      </c>
      <c r="AY116" s="62" t="s">
        <v>3</v>
      </c>
      <c r="AZ116" s="37">
        <f t="shared" si="105"/>
        <v>2.4817768557576758</v>
      </c>
      <c r="BA116" s="261">
        <v>3.29779112E-3</v>
      </c>
      <c r="BB116" s="268">
        <v>2.0569727529000003E-2</v>
      </c>
      <c r="BC116" s="268">
        <f t="shared" si="72"/>
        <v>0.16032254755687189</v>
      </c>
      <c r="BD116" s="269">
        <f ca="1">IF(BV!H116="","",INT(NOW()-BV!H116))</f>
        <v>415</v>
      </c>
      <c r="BE116" s="279">
        <f t="shared" si="86"/>
        <v>17.413594531854262</v>
      </c>
      <c r="BF116" s="302">
        <f ca="1">BV!G116</f>
        <v>36.445713907257208</v>
      </c>
      <c r="BG116" s="302">
        <f ca="1">BV!O116</f>
        <v>34.019003591271471</v>
      </c>
      <c r="BH116" s="11" t="str">
        <f ca="1">BV!W116</f>
        <v/>
      </c>
      <c r="BI116" s="11" t="str">
        <f ca="1">BV!AE116</f>
        <v/>
      </c>
      <c r="BJ116" s="11" t="str">
        <f ca="1">BV!AM116</f>
        <v/>
      </c>
      <c r="BK116" s="11" t="str">
        <f ca="1">BV!AU116</f>
        <v/>
      </c>
      <c r="BL116" s="11" t="str">
        <f ca="1">BV!BC116</f>
        <v/>
      </c>
      <c r="BM116" s="11" t="str">
        <f ca="1">BV!BK116</f>
        <v/>
      </c>
      <c r="BN116" s="11" t="str">
        <f ca="1">BV!BS116</f>
        <v/>
      </c>
      <c r="BO116" s="11" t="str">
        <f ca="1">BV!CA116</f>
        <v/>
      </c>
      <c r="BP116" s="433">
        <v>91</v>
      </c>
      <c r="BQ116" s="11">
        <f ca="1">IFERROR(YEAR(OFFSET(BV!$H116,,(COLUMN()-69)*8)),"")</f>
        <v>2019</v>
      </c>
      <c r="BR116" s="11">
        <f ca="1">IFERROR(YEAR(OFFSET(BV!$H116,,(COLUMN()-69)*8)),"")</f>
        <v>2019</v>
      </c>
      <c r="BS116" s="11" t="str">
        <f ca="1">IFERROR(YEAR(OFFSET(BV!$H116,,(COLUMN()-69)*8)),"")</f>
        <v/>
      </c>
      <c r="BT116" s="11" t="str">
        <f ca="1">IFERROR(YEAR(OFFSET(BV!$H116,,(COLUMN()-69)*8)),"")</f>
        <v/>
      </c>
      <c r="BU116" s="11" t="str">
        <f ca="1">IFERROR(YEAR(OFFSET(BV!$H116,,(COLUMN()-69)*8)),"")</f>
        <v/>
      </c>
      <c r="BV116" s="11" t="str">
        <f ca="1">IFERROR(YEAR(OFFSET(BV!$H116,,(COLUMN()-69)*8)),"")</f>
        <v/>
      </c>
      <c r="BW116" s="11" t="str">
        <f ca="1">IFERROR(YEAR(OFFSET(BV!$H116,,(COLUMN()-69)*8)),"")</f>
        <v/>
      </c>
      <c r="BX116" s="11" t="str">
        <f ca="1">IFERROR(YEAR(OFFSET(BV!$H116,,(COLUMN()-69)*8)),"")</f>
        <v/>
      </c>
      <c r="BY116" s="11" t="str">
        <f ca="1">IFERROR(YEAR(OFFSET(BV!$H116,,(COLUMN()-69)*8)),"")</f>
        <v/>
      </c>
      <c r="BZ116" s="11" t="str">
        <f ca="1">IFERROR(YEAR(OFFSET(BV!$H116,,(COLUMN()-69)*8)),"")</f>
        <v/>
      </c>
    </row>
    <row r="117" spans="1:78" x14ac:dyDescent="0.25">
      <c r="A117" s="433">
        <v>92</v>
      </c>
      <c r="B117" s="298">
        <f ca="1">BV!D117</f>
        <v>2.5393320452663541</v>
      </c>
      <c r="C117" s="11" t="str">
        <f ca="1">BV!L117</f>
        <v/>
      </c>
      <c r="D117" s="11" t="str">
        <f ca="1">BV!T117</f>
        <v/>
      </c>
      <c r="E117" s="11" t="str">
        <f ca="1">BV!AB117</f>
        <v/>
      </c>
      <c r="F117" s="11" t="str">
        <f ca="1">BV!AJ117</f>
        <v/>
      </c>
      <c r="G117" s="11" t="str">
        <f ca="1">BV!AR117</f>
        <v/>
      </c>
      <c r="H117" s="11" t="str">
        <f ca="1">BV!AZ117</f>
        <v/>
      </c>
      <c r="I117" s="11" t="str">
        <f ca="1">BV!BH117</f>
        <v/>
      </c>
      <c r="J117" s="11" t="str">
        <f ca="1">BV!BP117</f>
        <v/>
      </c>
      <c r="K117" s="11" t="str">
        <f ca="1">BV!BX117</f>
        <v/>
      </c>
      <c r="L117" s="62" t="s">
        <v>64</v>
      </c>
      <c r="M117" s="261">
        <v>2.817219368E-3</v>
      </c>
      <c r="N117" s="277">
        <f t="shared" ca="1" si="68"/>
        <v>18.840380401422703</v>
      </c>
      <c r="O117" s="324" t="s">
        <v>107</v>
      </c>
      <c r="P117" s="1" t="str">
        <f t="shared" ca="1" si="108"/>
        <v>0/2</v>
      </c>
      <c r="Q117" s="1" t="str">
        <f t="shared" ca="1" si="109"/>
        <v>0/7</v>
      </c>
      <c r="R117" s="1" t="str">
        <f t="shared" ca="1" si="110"/>
        <v>0/11</v>
      </c>
      <c r="S117" s="72" t="str">
        <f t="shared" ca="1" si="111"/>
        <v>0/20</v>
      </c>
      <c r="T117" s="583" t="s">
        <v>583</v>
      </c>
      <c r="U117" s="583"/>
      <c r="V117" s="583" t="s">
        <v>578</v>
      </c>
      <c r="W117" s="583"/>
      <c r="X117" s="583" t="s">
        <v>589</v>
      </c>
      <c r="Y117" s="583"/>
      <c r="Z117" s="583"/>
      <c r="AA117" s="620">
        <f ca="1">LARGE(OFFSET(BV!H$2,,AH117*8-8,430),AG117)</f>
        <v>44114.067999999999</v>
      </c>
      <c r="AB117" s="620"/>
      <c r="AC117" s="1">
        <f ca="1">INDEX(OFFSET(BV!A$2,,AH117*8-8,430),$AK117)</f>
        <v>43</v>
      </c>
      <c r="AD117" s="594">
        <f ca="1">INDEX(OFFSET(BV!C$2,,AH117*8-8,430),$AK117)</f>
        <v>17.57</v>
      </c>
      <c r="AE117" s="594"/>
      <c r="AF117" s="1">
        <f ca="1">INDEX(OFFSET(BV!D$2,,AH117*8-8,430),$AK117)</f>
        <v>2.4473534433693795</v>
      </c>
      <c r="AG117" s="1">
        <v>20</v>
      </c>
      <c r="AH117" s="1">
        <v>1</v>
      </c>
      <c r="AI117" s="315"/>
      <c r="AJ117" s="315"/>
      <c r="AK117" s="480">
        <f ca="1">MATCH(AA117,OFFSET(BV!H$2,,AH117*8-8,430),0)</f>
        <v>67</v>
      </c>
      <c r="AL117" s="315"/>
      <c r="AM117" s="315"/>
      <c r="AN117" s="433">
        <v>92</v>
      </c>
      <c r="AO117" s="11">
        <f ca="1">BV!C117</f>
        <v>36.229999999999997</v>
      </c>
      <c r="AP117" s="11" t="str">
        <f ca="1">BV!K117</f>
        <v/>
      </c>
      <c r="AQ117" s="11" t="str">
        <f ca="1">BV!S117</f>
        <v/>
      </c>
      <c r="AR117" s="11" t="str">
        <f ca="1">BV!AA117</f>
        <v/>
      </c>
      <c r="AS117" s="11" t="str">
        <f ca="1">BV!AI117</f>
        <v/>
      </c>
      <c r="AT117" s="11" t="str">
        <f ca="1">BV!AQ117</f>
        <v/>
      </c>
      <c r="AU117" s="11" t="str">
        <f ca="1">BV!AY117</f>
        <v/>
      </c>
      <c r="AV117" s="11" t="str">
        <f ca="1">BV!BG117</f>
        <v/>
      </c>
      <c r="AW117" s="11" t="str">
        <f ca="1">BV!BO117</f>
        <v/>
      </c>
      <c r="AX117" s="11" t="str">
        <f ca="1">BV!BW117</f>
        <v/>
      </c>
      <c r="AY117" s="62" t="s">
        <v>3</v>
      </c>
      <c r="AZ117" s="37">
        <f t="shared" si="105"/>
        <v>2.5501793345539463</v>
      </c>
      <c r="BA117" s="261">
        <v>2.817219368E-3</v>
      </c>
      <c r="BB117" s="268">
        <v>2.0569727529000003E-2</v>
      </c>
      <c r="BC117" s="268">
        <f t="shared" si="72"/>
        <v>0.13695948884243481</v>
      </c>
      <c r="BD117" s="269">
        <f ca="1">IF(BV!H117="","",INT(NOW()-BV!H117))</f>
        <v>74</v>
      </c>
      <c r="BE117" s="279">
        <f t="shared" si="86"/>
        <v>18.840380401422699</v>
      </c>
      <c r="BF117" s="302">
        <f ca="1">BV!G117</f>
        <v>31.632264735750145</v>
      </c>
      <c r="BG117" s="11" t="str">
        <f ca="1">BV!O117</f>
        <v/>
      </c>
      <c r="BH117" s="11" t="str">
        <f ca="1">BV!W117</f>
        <v/>
      </c>
      <c r="BI117" s="11" t="str">
        <f ca="1">BV!AE117</f>
        <v/>
      </c>
      <c r="BJ117" s="11" t="str">
        <f ca="1">BV!AM117</f>
        <v/>
      </c>
      <c r="BK117" s="11" t="str">
        <f ca="1">BV!AU117</f>
        <v/>
      </c>
      <c r="BL117" s="11" t="str">
        <f ca="1">BV!BC117</f>
        <v/>
      </c>
      <c r="BM117" s="11" t="str">
        <f ca="1">BV!BK117</f>
        <v/>
      </c>
      <c r="BN117" s="11" t="str">
        <f ca="1">BV!BS117</f>
        <v/>
      </c>
      <c r="BO117" s="11" t="str">
        <f ca="1">BV!CA117</f>
        <v/>
      </c>
      <c r="BP117" s="433">
        <v>92</v>
      </c>
      <c r="BQ117" s="11">
        <f ca="1">IFERROR(YEAR(OFFSET(BV!$H117,,(COLUMN()-69)*8)),"")</f>
        <v>2020</v>
      </c>
      <c r="BR117" s="11" t="str">
        <f ca="1">IFERROR(YEAR(OFFSET(BV!$H117,,(COLUMN()-69)*8)),"")</f>
        <v/>
      </c>
      <c r="BS117" s="11" t="str">
        <f ca="1">IFERROR(YEAR(OFFSET(BV!$H117,,(COLUMN()-69)*8)),"")</f>
        <v/>
      </c>
      <c r="BT117" s="11" t="str">
        <f ca="1">IFERROR(YEAR(OFFSET(BV!$H117,,(COLUMN()-69)*8)),"")</f>
        <v/>
      </c>
      <c r="BU117" s="11" t="str">
        <f ca="1">IFERROR(YEAR(OFFSET(BV!$H117,,(COLUMN()-69)*8)),"")</f>
        <v/>
      </c>
      <c r="BV117" s="11" t="str">
        <f ca="1">IFERROR(YEAR(OFFSET(BV!$H117,,(COLUMN()-69)*8)),"")</f>
        <v/>
      </c>
      <c r="BW117" s="11" t="str">
        <f ca="1">IFERROR(YEAR(OFFSET(BV!$H117,,(COLUMN()-69)*8)),"")</f>
        <v/>
      </c>
      <c r="BX117" s="11" t="str">
        <f ca="1">IFERROR(YEAR(OFFSET(BV!$H117,,(COLUMN()-69)*8)),"")</f>
        <v/>
      </c>
      <c r="BY117" s="11" t="str">
        <f ca="1">IFERROR(YEAR(OFFSET(BV!$H117,,(COLUMN()-69)*8)),"")</f>
        <v/>
      </c>
      <c r="BZ117" s="11" t="str">
        <f ca="1">IFERROR(YEAR(OFFSET(BV!$H117,,(COLUMN()-69)*8)),"")</f>
        <v/>
      </c>
    </row>
    <row r="118" spans="1:78" x14ac:dyDescent="0.25">
      <c r="A118" s="433">
        <v>93</v>
      </c>
      <c r="B118" s="552">
        <f ca="1">BV!D118</f>
        <v>3.0845771144278609</v>
      </c>
      <c r="C118" s="552">
        <f ca="1">BV!L118</f>
        <v>3.0693069306930694</v>
      </c>
      <c r="D118" s="11" t="str">
        <f ca="1">BV!T118</f>
        <v/>
      </c>
      <c r="E118" s="11" t="str">
        <f ca="1">BV!AB118</f>
        <v/>
      </c>
      <c r="F118" s="11" t="str">
        <f ca="1">BV!AJ118</f>
        <v/>
      </c>
      <c r="G118" s="11" t="str">
        <f ca="1">BV!AR118</f>
        <v/>
      </c>
      <c r="H118" s="11" t="str">
        <f ca="1">BV!AZ118</f>
        <v/>
      </c>
      <c r="I118" s="11" t="str">
        <f ca="1">BV!BH118</f>
        <v/>
      </c>
      <c r="J118" s="11" t="str">
        <f ca="1">BV!BP118</f>
        <v/>
      </c>
      <c r="K118" s="11" t="str">
        <f ca="1">BV!BX118</f>
        <v/>
      </c>
      <c r="L118" s="62" t="s">
        <v>64</v>
      </c>
      <c r="M118" s="261">
        <v>2.396054401E-3</v>
      </c>
      <c r="N118" s="277">
        <f t="shared" ref="N118:N167" ca="1" si="112">IF(B118&lt;&gt;"",(1/M118)^0.5,"")</f>
        <v>20.429214240565056</v>
      </c>
      <c r="O118" s="325" t="s">
        <v>274</v>
      </c>
      <c r="P118" s="1"/>
      <c r="Q118" s="1" t="str">
        <f t="shared" ca="1" si="109"/>
        <v>0/8</v>
      </c>
      <c r="R118" s="1" t="str">
        <f t="shared" ca="1" si="110"/>
        <v>0/10</v>
      </c>
      <c r="S118" s="72" t="str">
        <f t="shared" ca="1" si="111"/>
        <v>0/18</v>
      </c>
      <c r="T118" s="585"/>
      <c r="U118" s="585"/>
      <c r="V118" s="584" t="s">
        <v>579</v>
      </c>
      <c r="W118" s="584"/>
      <c r="X118" s="584" t="s">
        <v>590</v>
      </c>
      <c r="Y118" s="584"/>
      <c r="Z118" s="584"/>
      <c r="AA118" s="620">
        <f ca="1">LARGE(OFFSET(BV!H$2,,AH118*8-8,430),AG118)</f>
        <v>44106.116999999998</v>
      </c>
      <c r="AB118" s="620"/>
      <c r="AC118" s="1">
        <f ca="1">INDEX(OFFSET(BV!A$2,,AH118*8-8,430),$AK118)</f>
        <v>92</v>
      </c>
      <c r="AD118" s="594">
        <f ca="1">INDEX(OFFSET(BV!C$2,,AH118*8-8,430),$AK118)</f>
        <v>36.229999999999997</v>
      </c>
      <c r="AE118" s="594"/>
      <c r="AF118" s="1">
        <f ca="1">INDEX(OFFSET(BV!D$2,,AH118*8-8,430),$AK118)</f>
        <v>2.5393320452663541</v>
      </c>
      <c r="AG118" s="1">
        <v>21</v>
      </c>
      <c r="AH118" s="1">
        <v>1</v>
      </c>
      <c r="AI118" s="315"/>
      <c r="AJ118" s="315"/>
      <c r="AK118" s="480">
        <f ca="1">MATCH(AA118,OFFSET(BV!H$2,,AH118*8-8,430),0)</f>
        <v>116</v>
      </c>
      <c r="AL118" s="315"/>
      <c r="AM118" s="315"/>
      <c r="AN118" s="433">
        <v>93</v>
      </c>
      <c r="AO118" s="11">
        <f ca="1">BV!C118</f>
        <v>30.15</v>
      </c>
      <c r="AP118" s="11">
        <f ca="1">BV!K118</f>
        <v>30.3</v>
      </c>
      <c r="AQ118" s="11" t="str">
        <f ca="1">BV!S118</f>
        <v/>
      </c>
      <c r="AR118" s="11" t="str">
        <f ca="1">BV!AA118</f>
        <v/>
      </c>
      <c r="AS118" s="11" t="str">
        <f ca="1">BV!AI118</f>
        <v/>
      </c>
      <c r="AT118" s="11" t="str">
        <f ca="1">BV!AQ118</f>
        <v/>
      </c>
      <c r="AU118" s="11" t="str">
        <f ca="1">BV!AY118</f>
        <v/>
      </c>
      <c r="AV118" s="11" t="str">
        <f ca="1">BV!BG118</f>
        <v/>
      </c>
      <c r="AW118" s="11" t="str">
        <f ca="1">BV!BO118</f>
        <v/>
      </c>
      <c r="AX118" s="11" t="str">
        <f ca="1">BV!BW118</f>
        <v/>
      </c>
      <c r="AY118" s="62" t="s">
        <v>3</v>
      </c>
      <c r="AZ118" s="37">
        <f t="shared" ref="AZ118:AZ149" si="113">0-LOG10(M118)</f>
        <v>2.6205033257710819</v>
      </c>
      <c r="BA118" s="261">
        <v>2.396054401E-3</v>
      </c>
      <c r="BB118" s="268">
        <v>2.0569727529000003E-2</v>
      </c>
      <c r="BC118" s="268">
        <f t="shared" ref="BC118:BC167" si="114">BA118/BB118</f>
        <v>0.11648449876751887</v>
      </c>
      <c r="BD118" s="269">
        <f ca="1">IF(BV!H118="","",INT(NOW()-BV!H118))</f>
        <v>274</v>
      </c>
      <c r="BE118" s="279">
        <f t="shared" si="86"/>
        <v>20.429214240565056</v>
      </c>
      <c r="BF118" s="301">
        <f ca="1">BV!G118</f>
        <v>43.697152538797489</v>
      </c>
      <c r="BG118" s="301">
        <f ca="1">BV!O118</f>
        <v>43.330041728972105</v>
      </c>
      <c r="BH118" s="11" t="str">
        <f ca="1">BV!W118</f>
        <v/>
      </c>
      <c r="BI118" s="11" t="str">
        <f ca="1">BV!AE118</f>
        <v/>
      </c>
      <c r="BJ118" s="11" t="str">
        <f ca="1">BV!AM118</f>
        <v/>
      </c>
      <c r="BK118" s="11" t="str">
        <f ca="1">BV!AU118</f>
        <v/>
      </c>
      <c r="BL118" s="11" t="str">
        <f ca="1">BV!BC118</f>
        <v/>
      </c>
      <c r="BM118" s="11" t="str">
        <f ca="1">BV!BK118</f>
        <v/>
      </c>
      <c r="BN118" s="11" t="str">
        <f ca="1">BV!BS118</f>
        <v/>
      </c>
      <c r="BO118" s="11" t="str">
        <f ca="1">BV!CA118</f>
        <v/>
      </c>
      <c r="BP118" s="433">
        <v>93</v>
      </c>
      <c r="BQ118" s="11">
        <f ca="1">IFERROR(YEAR(OFFSET(BV!$H118,,(COLUMN()-69)*8)),"")</f>
        <v>2020</v>
      </c>
      <c r="BR118" s="11">
        <f ca="1">IFERROR(YEAR(OFFSET(BV!$H118,,(COLUMN()-69)*8)),"")</f>
        <v>2019</v>
      </c>
      <c r="BS118" s="11" t="str">
        <f ca="1">IFERROR(YEAR(OFFSET(BV!$H118,,(COLUMN()-69)*8)),"")</f>
        <v/>
      </c>
      <c r="BT118" s="11" t="str">
        <f ca="1">IFERROR(YEAR(OFFSET(BV!$H118,,(COLUMN()-69)*8)),"")</f>
        <v/>
      </c>
      <c r="BU118" s="11" t="str">
        <f ca="1">IFERROR(YEAR(OFFSET(BV!$H118,,(COLUMN()-69)*8)),"")</f>
        <v/>
      </c>
      <c r="BV118" s="11" t="str">
        <f ca="1">IFERROR(YEAR(OFFSET(BV!$H118,,(COLUMN()-69)*8)),"")</f>
        <v/>
      </c>
      <c r="BW118" s="11" t="str">
        <f ca="1">IFERROR(YEAR(OFFSET(BV!$H118,,(COLUMN()-69)*8)),"")</f>
        <v/>
      </c>
      <c r="BX118" s="11" t="str">
        <f ca="1">IFERROR(YEAR(OFFSET(BV!$H118,,(COLUMN()-69)*8)),"")</f>
        <v/>
      </c>
      <c r="BY118" s="11" t="str">
        <f ca="1">IFERROR(YEAR(OFFSET(BV!$H118,,(COLUMN()-69)*8)),"")</f>
        <v/>
      </c>
      <c r="BZ118" s="11" t="str">
        <f ca="1">IFERROR(YEAR(OFFSET(BV!$H118,,(COLUMN()-69)*8)),"")</f>
        <v/>
      </c>
    </row>
    <row r="119" spans="1:78" x14ac:dyDescent="0.25">
      <c r="A119" s="433">
        <v>94</v>
      </c>
      <c r="B119" s="11" t="str">
        <f ca="1">BV!D119</f>
        <v/>
      </c>
      <c r="C119" s="11" t="str">
        <f ca="1">BV!L119</f>
        <v/>
      </c>
      <c r="D119" s="11" t="str">
        <f ca="1">BV!T119</f>
        <v/>
      </c>
      <c r="E119" s="11" t="str">
        <f ca="1">BV!AB119</f>
        <v/>
      </c>
      <c r="F119" s="11" t="str">
        <f ca="1">BV!AJ119</f>
        <v/>
      </c>
      <c r="G119" s="11" t="str">
        <f ca="1">BV!AR119</f>
        <v/>
      </c>
      <c r="H119" s="11" t="str">
        <f ca="1">BV!AZ119</f>
        <v/>
      </c>
      <c r="I119" s="11" t="str">
        <f ca="1">BV!BH119</f>
        <v/>
      </c>
      <c r="J119" s="11" t="str">
        <f ca="1">BV!BP119</f>
        <v/>
      </c>
      <c r="K119" s="11" t="str">
        <f ca="1">BV!BX119</f>
        <v/>
      </c>
      <c r="L119" s="62" t="s">
        <v>64</v>
      </c>
      <c r="M119" s="261">
        <v>2.0293448780000002E-3</v>
      </c>
      <c r="N119" s="277" t="str">
        <f t="shared" ca="1" si="112"/>
        <v/>
      </c>
      <c r="O119" s="72" t="s">
        <v>422</v>
      </c>
      <c r="P119" s="72" t="str">
        <f ca="1">COUNTIFS($B$2:$B$54,"&gt;0")&amp;"/"&amp;50</f>
        <v>37/50</v>
      </c>
      <c r="Q119" s="72" t="str">
        <f ca="1">COUNTIFS($B$55:$B$167,"&gt;0")&amp;"/"&amp;113</f>
        <v>63/113</v>
      </c>
      <c r="R119" s="72" t="str">
        <f ca="1">COUNTIFS($B$242:$B$430,"&gt;0")&amp;"/"&amp;189</f>
        <v>101/189</v>
      </c>
      <c r="S119" s="72" t="str">
        <f ca="1">COUNTIFS($B$2:$B$430,"&gt;0")&amp;"/"&amp;352</f>
        <v>201/352</v>
      </c>
      <c r="T119" s="317"/>
      <c r="U119" s="317"/>
      <c r="V119" s="317"/>
      <c r="W119" s="317"/>
      <c r="X119" s="317"/>
      <c r="Y119" s="317"/>
      <c r="AA119" s="621">
        <f ca="1">LARGE(OFFSET(BV!H$2,,AH119*8-8,430),AG119)</f>
        <v>44177.322999999997</v>
      </c>
      <c r="AB119" s="621"/>
      <c r="AC119" s="4">
        <f ca="1">INDEX(OFFSET(BV!A$2,,AH119*8-8,430),$AK119)</f>
        <v>181</v>
      </c>
      <c r="AD119" s="590">
        <f ca="1">INDEX(OFFSET(BV!C$2,,AH119*8-8,430),$AK119)</f>
        <v>68.349999999999994</v>
      </c>
      <c r="AE119" s="590"/>
      <c r="AF119" s="4">
        <f ca="1">INDEX(OFFSET(BV!D$2,,AH119*8-8,430),$AK119)</f>
        <v>2.6481346013167522</v>
      </c>
      <c r="AG119" s="4">
        <v>1</v>
      </c>
      <c r="AH119" s="4">
        <v>2</v>
      </c>
      <c r="AI119" s="315"/>
      <c r="AJ119" s="315"/>
      <c r="AK119" s="480">
        <f ca="1">MATCH(AA119,OFFSET(BV!H$2,,AH119*8-8,430),0)</f>
        <v>322</v>
      </c>
      <c r="AL119" s="315"/>
      <c r="AM119" s="315"/>
      <c r="AN119" s="433">
        <v>94</v>
      </c>
      <c r="AO119" s="11" t="str">
        <f ca="1">BV!C119</f>
        <v/>
      </c>
      <c r="AP119" s="11" t="str">
        <f ca="1">BV!K119</f>
        <v/>
      </c>
      <c r="AQ119" s="11" t="str">
        <f ca="1">BV!S119</f>
        <v/>
      </c>
      <c r="AR119" s="11" t="str">
        <f ca="1">BV!AA119</f>
        <v/>
      </c>
      <c r="AS119" s="11" t="str">
        <f ca="1">BV!AI119</f>
        <v/>
      </c>
      <c r="AT119" s="11" t="str">
        <f ca="1">BV!AQ119</f>
        <v/>
      </c>
      <c r="AU119" s="11" t="str">
        <f ca="1">BV!AY119</f>
        <v/>
      </c>
      <c r="AV119" s="11" t="str">
        <f ca="1">BV!BG119</f>
        <v/>
      </c>
      <c r="AW119" s="11" t="str">
        <f ca="1">BV!BO119</f>
        <v/>
      </c>
      <c r="AX119" s="11" t="str">
        <f ca="1">BV!BW119</f>
        <v/>
      </c>
      <c r="AY119" s="62" t="s">
        <v>3</v>
      </c>
      <c r="AZ119" s="37">
        <f t="shared" si="113"/>
        <v>2.6926441403079506</v>
      </c>
      <c r="BA119" s="261">
        <v>2.0293448780000002E-3</v>
      </c>
      <c r="BB119" s="268">
        <v>2.0569727529000003E-2</v>
      </c>
      <c r="BC119" s="268">
        <f t="shared" si="114"/>
        <v>9.865686724041195E-2</v>
      </c>
      <c r="BD119" s="269" t="str">
        <f ca="1">IF(BV!H119="","",INT(NOW()-BV!H119))</f>
        <v/>
      </c>
      <c r="BE119" s="279">
        <f t="shared" si="86"/>
        <v>22.198420309249581</v>
      </c>
      <c r="BF119" s="11" t="str">
        <f ca="1">BV!G119</f>
        <v/>
      </c>
      <c r="BG119" s="11" t="str">
        <f ca="1">BV!O119</f>
        <v/>
      </c>
      <c r="BH119" s="11" t="str">
        <f ca="1">BV!W119</f>
        <v/>
      </c>
      <c r="BI119" s="11" t="str">
        <f ca="1">BV!AE119</f>
        <v/>
      </c>
      <c r="BJ119" s="11" t="str">
        <f ca="1">BV!AM119</f>
        <v/>
      </c>
      <c r="BK119" s="11" t="str">
        <f ca="1">BV!AU119</f>
        <v/>
      </c>
      <c r="BL119" s="11" t="str">
        <f ca="1">BV!BC119</f>
        <v/>
      </c>
      <c r="BM119" s="11" t="str">
        <f ca="1">BV!BK119</f>
        <v/>
      </c>
      <c r="BN119" s="11" t="str">
        <f ca="1">BV!BS119</f>
        <v/>
      </c>
      <c r="BO119" s="11" t="str">
        <f ca="1">BV!CA119</f>
        <v/>
      </c>
      <c r="BP119" s="433">
        <v>94</v>
      </c>
      <c r="BQ119" s="11" t="str">
        <f ca="1">IFERROR(YEAR(OFFSET(BV!$H119,,(COLUMN()-69)*8)),"")</f>
        <v/>
      </c>
      <c r="BR119" s="11" t="str">
        <f ca="1">IFERROR(YEAR(OFFSET(BV!$H119,,(COLUMN()-69)*8)),"")</f>
        <v/>
      </c>
      <c r="BS119" s="11" t="str">
        <f ca="1">IFERROR(YEAR(OFFSET(BV!$H119,,(COLUMN()-69)*8)),"")</f>
        <v/>
      </c>
      <c r="BT119" s="11" t="str">
        <f ca="1">IFERROR(YEAR(OFFSET(BV!$H119,,(COLUMN()-69)*8)),"")</f>
        <v/>
      </c>
      <c r="BU119" s="11" t="str">
        <f ca="1">IFERROR(YEAR(OFFSET(BV!$H119,,(COLUMN()-69)*8)),"")</f>
        <v/>
      </c>
      <c r="BV119" s="11" t="str">
        <f ca="1">IFERROR(YEAR(OFFSET(BV!$H119,,(COLUMN()-69)*8)),"")</f>
        <v/>
      </c>
      <c r="BW119" s="11" t="str">
        <f ca="1">IFERROR(YEAR(OFFSET(BV!$H119,,(COLUMN()-69)*8)),"")</f>
        <v/>
      </c>
      <c r="BX119" s="11" t="str">
        <f ca="1">IFERROR(YEAR(OFFSET(BV!$H119,,(COLUMN()-69)*8)),"")</f>
        <v/>
      </c>
      <c r="BY119" s="11" t="str">
        <f ca="1">IFERROR(YEAR(OFFSET(BV!$H119,,(COLUMN()-69)*8)),"")</f>
        <v/>
      </c>
      <c r="BZ119" s="11" t="str">
        <f ca="1">IFERROR(YEAR(OFFSET(BV!$H119,,(COLUMN()-69)*8)),"")</f>
        <v/>
      </c>
    </row>
    <row r="120" spans="1:78" x14ac:dyDescent="0.25">
      <c r="A120" s="433">
        <v>95</v>
      </c>
      <c r="B120" s="298">
        <f ca="1">BV!D120</f>
        <v>2.5387493319080705</v>
      </c>
      <c r="C120" s="11" t="str">
        <f ca="1">BV!L120</f>
        <v/>
      </c>
      <c r="D120" s="11" t="str">
        <f ca="1">BV!T120</f>
        <v/>
      </c>
      <c r="E120" s="11" t="str">
        <f ca="1">BV!AB120</f>
        <v/>
      </c>
      <c r="F120" s="11" t="str">
        <f ca="1">BV!AJ120</f>
        <v/>
      </c>
      <c r="G120" s="11" t="str">
        <f ca="1">BV!AR120</f>
        <v/>
      </c>
      <c r="H120" s="11" t="str">
        <f ca="1">BV!AZ120</f>
        <v/>
      </c>
      <c r="I120" s="11" t="str">
        <f ca="1">BV!BH120</f>
        <v/>
      </c>
      <c r="J120" s="11" t="str">
        <f ca="1">BV!BP120</f>
        <v/>
      </c>
      <c r="K120" s="11" t="str">
        <f ca="1">BV!BX120</f>
        <v/>
      </c>
      <c r="L120" s="62" t="s">
        <v>64</v>
      </c>
      <c r="M120" s="261">
        <v>1.7115893209999999E-3</v>
      </c>
      <c r="N120" s="277">
        <f t="shared" ca="1" si="112"/>
        <v>24.171311538475223</v>
      </c>
      <c r="O120" s="317"/>
      <c r="P120" s="317"/>
      <c r="Q120" s="317"/>
      <c r="R120" s="317"/>
      <c r="S120" s="317"/>
      <c r="T120" s="317"/>
      <c r="U120" s="317"/>
      <c r="V120" s="317"/>
      <c r="W120" s="317"/>
      <c r="X120" s="317"/>
      <c r="Y120" s="317"/>
      <c r="AA120" s="621">
        <f ca="1">LARGE(OFFSET(BV!H$2,,AH120*8-8,430),AG120)</f>
        <v>44168.114000000001</v>
      </c>
      <c r="AB120" s="621"/>
      <c r="AC120" s="4">
        <f ca="1">INDEX(OFFSET(BV!A$2,,AH120*8-8,430),$AK120)</f>
        <v>89</v>
      </c>
      <c r="AD120" s="590">
        <f ca="1">INDEX(OFFSET(BV!C$2,,AH120*8-8,430),$AK120)</f>
        <v>30.26</v>
      </c>
      <c r="AE120" s="590"/>
      <c r="AF120" s="4">
        <f ca="1">INDEX(OFFSET(BV!D$2,,AH120*8-8,430),$AK120)</f>
        <v>2.9411764705882351</v>
      </c>
      <c r="AG120" s="4">
        <v>2</v>
      </c>
      <c r="AH120" s="4">
        <v>2</v>
      </c>
      <c r="AI120" s="315"/>
      <c r="AJ120" s="315"/>
      <c r="AK120" s="480">
        <f ca="1">MATCH(AA120,OFFSET(BV!H$2,,AH120*8-8,430),0)</f>
        <v>113</v>
      </c>
      <c r="AL120" s="315"/>
      <c r="AM120" s="315"/>
      <c r="AN120" s="433">
        <v>95</v>
      </c>
      <c r="AO120" s="11">
        <f ca="1">BV!C120</f>
        <v>37.42</v>
      </c>
      <c r="AP120" s="11" t="str">
        <f ca="1">BV!K120</f>
        <v/>
      </c>
      <c r="AQ120" s="11" t="str">
        <f ca="1">BV!S120</f>
        <v/>
      </c>
      <c r="AR120" s="11" t="str">
        <f ca="1">BV!AA120</f>
        <v/>
      </c>
      <c r="AS120" s="11" t="str">
        <f ca="1">BV!AI120</f>
        <v/>
      </c>
      <c r="AT120" s="11" t="str">
        <f ca="1">BV!AQ120</f>
        <v/>
      </c>
      <c r="AU120" s="11" t="str">
        <f ca="1">BV!AY120</f>
        <v/>
      </c>
      <c r="AV120" s="11" t="str">
        <f ca="1">BV!BG120</f>
        <v/>
      </c>
      <c r="AW120" s="11" t="str">
        <f ca="1">BV!BO120</f>
        <v/>
      </c>
      <c r="AX120" s="11" t="str">
        <f ca="1">BV!BW120</f>
        <v/>
      </c>
      <c r="AY120" s="62" t="s">
        <v>3</v>
      </c>
      <c r="AZ120" s="37">
        <f t="shared" si="113"/>
        <v>2.7666004318429542</v>
      </c>
      <c r="BA120" s="261">
        <v>1.7115893209999999E-3</v>
      </c>
      <c r="BB120" s="268">
        <v>2.0569727529000003E-2</v>
      </c>
      <c r="BC120" s="268">
        <f t="shared" si="114"/>
        <v>8.3209139187037581E-2</v>
      </c>
      <c r="BD120" s="269">
        <f ca="1">IF(BV!H120="","",INT(NOW()-BV!H120))</f>
        <v>399</v>
      </c>
      <c r="BE120" s="279">
        <f t="shared" si="86"/>
        <v>24.171311538475226</v>
      </c>
      <c r="BF120" s="302">
        <f ca="1">BV!G120</f>
        <v>30.917601918249588</v>
      </c>
      <c r="BG120" s="11" t="str">
        <f ca="1">BV!O120</f>
        <v/>
      </c>
      <c r="BH120" s="11" t="str">
        <f ca="1">BV!W120</f>
        <v/>
      </c>
      <c r="BI120" s="11" t="str">
        <f ca="1">BV!AE120</f>
        <v/>
      </c>
      <c r="BJ120" s="11" t="str">
        <f ca="1">BV!AM120</f>
        <v/>
      </c>
      <c r="BK120" s="11" t="str">
        <f ca="1">BV!AU120</f>
        <v/>
      </c>
      <c r="BL120" s="11" t="str">
        <f ca="1">BV!BC120</f>
        <v/>
      </c>
      <c r="BM120" s="11" t="str">
        <f ca="1">BV!BK120</f>
        <v/>
      </c>
      <c r="BN120" s="11" t="str">
        <f ca="1">BV!BS120</f>
        <v/>
      </c>
      <c r="BO120" s="11" t="str">
        <f ca="1">BV!CA120</f>
        <v/>
      </c>
      <c r="BP120" s="433">
        <v>95</v>
      </c>
      <c r="BQ120" s="11">
        <f ca="1">IFERROR(YEAR(OFFSET(BV!$H120,,(COLUMN()-69)*8)),"")</f>
        <v>2019</v>
      </c>
      <c r="BR120" s="11" t="str">
        <f ca="1">IFERROR(YEAR(OFFSET(BV!$H120,,(COLUMN()-69)*8)),"")</f>
        <v/>
      </c>
      <c r="BS120" s="11" t="str">
        <f ca="1">IFERROR(YEAR(OFFSET(BV!$H120,,(COLUMN()-69)*8)),"")</f>
        <v/>
      </c>
      <c r="BT120" s="11" t="str">
        <f ca="1">IFERROR(YEAR(OFFSET(BV!$H120,,(COLUMN()-69)*8)),"")</f>
        <v/>
      </c>
      <c r="BU120" s="11" t="str">
        <f ca="1">IFERROR(YEAR(OFFSET(BV!$H120,,(COLUMN()-69)*8)),"")</f>
        <v/>
      </c>
      <c r="BV120" s="11" t="str">
        <f ca="1">IFERROR(YEAR(OFFSET(BV!$H120,,(COLUMN()-69)*8)),"")</f>
        <v/>
      </c>
      <c r="BW120" s="11" t="str">
        <f ca="1">IFERROR(YEAR(OFFSET(BV!$H120,,(COLUMN()-69)*8)),"")</f>
        <v/>
      </c>
      <c r="BX120" s="11" t="str">
        <f ca="1">IFERROR(YEAR(OFFSET(BV!$H120,,(COLUMN()-69)*8)),"")</f>
        <v/>
      </c>
      <c r="BY120" s="11" t="str">
        <f ca="1">IFERROR(YEAR(OFFSET(BV!$H120,,(COLUMN()-69)*8)),"")</f>
        <v/>
      </c>
      <c r="BZ120" s="11" t="str">
        <f ca="1">IFERROR(YEAR(OFFSET(BV!$H120,,(COLUMN()-69)*8)),"")</f>
        <v/>
      </c>
    </row>
    <row r="121" spans="1:78" x14ac:dyDescent="0.25">
      <c r="A121" s="433">
        <v>96</v>
      </c>
      <c r="B121" s="11" t="str">
        <f ca="1">BV!D121</f>
        <v/>
      </c>
      <c r="C121" s="11" t="str">
        <f ca="1">BV!L121</f>
        <v/>
      </c>
      <c r="D121" s="11" t="str">
        <f ca="1">BV!T121</f>
        <v/>
      </c>
      <c r="E121" s="11" t="str">
        <f ca="1">BV!AB121</f>
        <v/>
      </c>
      <c r="F121" s="11" t="str">
        <f ca="1">BV!AJ121</f>
        <v/>
      </c>
      <c r="G121" s="11" t="str">
        <f ca="1">BV!AR121</f>
        <v/>
      </c>
      <c r="H121" s="11" t="str">
        <f ca="1">BV!AZ121</f>
        <v/>
      </c>
      <c r="I121" s="11" t="str">
        <f ca="1">BV!BH121</f>
        <v/>
      </c>
      <c r="J121" s="11" t="str">
        <f ca="1">BV!BP121</f>
        <v/>
      </c>
      <c r="K121" s="11" t="str">
        <f ca="1">BV!BX121</f>
        <v/>
      </c>
      <c r="L121" s="62" t="s">
        <v>64</v>
      </c>
      <c r="M121" s="261">
        <v>1.437606638E-3</v>
      </c>
      <c r="N121" s="277" t="str">
        <f t="shared" ca="1" si="112"/>
        <v/>
      </c>
      <c r="O121" s="317"/>
      <c r="P121" s="317"/>
      <c r="Q121" s="317"/>
      <c r="R121" s="317"/>
      <c r="S121" s="317"/>
      <c r="T121" s="317"/>
      <c r="U121" s="317"/>
      <c r="V121" s="317"/>
      <c r="W121" s="317"/>
      <c r="X121" s="317"/>
      <c r="Y121" s="317"/>
      <c r="AA121" s="621">
        <f ca="1">LARGE(OFFSET(BV!H$2,,AH121*8-8,430),AG121)</f>
        <v>44168.09</v>
      </c>
      <c r="AB121" s="621"/>
      <c r="AC121" s="4">
        <f ca="1">INDEX(OFFSET(BV!A$2,,AH121*8-8,430),$AK121)</f>
        <v>65</v>
      </c>
      <c r="AD121" s="590">
        <f ca="1">INDEX(OFFSET(BV!C$2,,AH121*8-8,430),$AK121)</f>
        <v>22.95</v>
      </c>
      <c r="AE121" s="590"/>
      <c r="AF121" s="4">
        <f ca="1">INDEX(OFFSET(BV!D$2,,AH121*8-8,430),$AK121)</f>
        <v>2.8322440087145972</v>
      </c>
      <c r="AG121" s="4">
        <v>3</v>
      </c>
      <c r="AH121" s="4">
        <v>2</v>
      </c>
      <c r="AI121" s="315"/>
      <c r="AJ121" s="315"/>
      <c r="AK121" s="480">
        <f ca="1">MATCH(AA121,OFFSET(BV!H$2,,AH121*8-8,430),0)</f>
        <v>89</v>
      </c>
      <c r="AL121" s="315"/>
      <c r="AM121" s="315"/>
      <c r="AN121" s="433">
        <v>96</v>
      </c>
      <c r="AO121" s="11" t="str">
        <f ca="1">BV!C121</f>
        <v/>
      </c>
      <c r="AP121" s="11" t="str">
        <f ca="1">BV!K121</f>
        <v/>
      </c>
      <c r="AQ121" s="11" t="str">
        <f ca="1">BV!S121</f>
        <v/>
      </c>
      <c r="AR121" s="11" t="str">
        <f ca="1">BV!AA121</f>
        <v/>
      </c>
      <c r="AS121" s="11" t="str">
        <f ca="1">BV!AI121</f>
        <v/>
      </c>
      <c r="AT121" s="11" t="str">
        <f ca="1">BV!AQ121</f>
        <v/>
      </c>
      <c r="AU121" s="11" t="str">
        <f ca="1">BV!AY121</f>
        <v/>
      </c>
      <c r="AV121" s="11" t="str">
        <f ca="1">BV!BG121</f>
        <v/>
      </c>
      <c r="AW121" s="11" t="str">
        <f ca="1">BV!BO121</f>
        <v/>
      </c>
      <c r="AX121" s="11" t="str">
        <f ca="1">BV!BW121</f>
        <v/>
      </c>
      <c r="AY121" s="62" t="s">
        <v>3</v>
      </c>
      <c r="AZ121" s="37">
        <f t="shared" si="113"/>
        <v>2.8423599305845895</v>
      </c>
      <c r="BA121" s="261">
        <v>1.437606638E-3</v>
      </c>
      <c r="BB121" s="268">
        <v>2.0569727529000003E-2</v>
      </c>
      <c r="BC121" s="268">
        <f t="shared" si="114"/>
        <v>6.9889435140704032E-2</v>
      </c>
      <c r="BD121" s="269" t="str">
        <f ca="1">IF(BV!H121="","",INT(NOW()-BV!H121))</f>
        <v/>
      </c>
      <c r="BE121" s="279">
        <f t="shared" si="86"/>
        <v>26.37424069439799</v>
      </c>
      <c r="BF121" s="11" t="str">
        <f ca="1">BV!G121</f>
        <v/>
      </c>
      <c r="BG121" s="11" t="str">
        <f ca="1">BV!O121</f>
        <v/>
      </c>
      <c r="BH121" s="11" t="str">
        <f ca="1">BV!W121</f>
        <v/>
      </c>
      <c r="BI121" s="11" t="str">
        <f ca="1">BV!AE121</f>
        <v/>
      </c>
      <c r="BJ121" s="11" t="str">
        <f ca="1">BV!AM121</f>
        <v/>
      </c>
      <c r="BK121" s="11" t="str">
        <f ca="1">BV!AU121</f>
        <v/>
      </c>
      <c r="BL121" s="11" t="str">
        <f ca="1">BV!BC121</f>
        <v/>
      </c>
      <c r="BM121" s="11" t="str">
        <f ca="1">BV!BK121</f>
        <v/>
      </c>
      <c r="BN121" s="11" t="str">
        <f ca="1">BV!BS121</f>
        <v/>
      </c>
      <c r="BO121" s="11" t="str">
        <f ca="1">BV!CA121</f>
        <v/>
      </c>
      <c r="BP121" s="433">
        <v>96</v>
      </c>
      <c r="BQ121" s="11" t="str">
        <f ca="1">IFERROR(YEAR(OFFSET(BV!$H121,,(COLUMN()-69)*8)),"")</f>
        <v/>
      </c>
      <c r="BR121" s="11" t="str">
        <f ca="1">IFERROR(YEAR(OFFSET(BV!$H121,,(COLUMN()-69)*8)),"")</f>
        <v/>
      </c>
      <c r="BS121" s="11" t="str">
        <f ca="1">IFERROR(YEAR(OFFSET(BV!$H121,,(COLUMN()-69)*8)),"")</f>
        <v/>
      </c>
      <c r="BT121" s="11" t="str">
        <f ca="1">IFERROR(YEAR(OFFSET(BV!$H121,,(COLUMN()-69)*8)),"")</f>
        <v/>
      </c>
      <c r="BU121" s="11" t="str">
        <f ca="1">IFERROR(YEAR(OFFSET(BV!$H121,,(COLUMN()-69)*8)),"")</f>
        <v/>
      </c>
      <c r="BV121" s="11" t="str">
        <f ca="1">IFERROR(YEAR(OFFSET(BV!$H121,,(COLUMN()-69)*8)),"")</f>
        <v/>
      </c>
      <c r="BW121" s="11" t="str">
        <f ca="1">IFERROR(YEAR(OFFSET(BV!$H121,,(COLUMN()-69)*8)),"")</f>
        <v/>
      </c>
      <c r="BX121" s="11" t="str">
        <f ca="1">IFERROR(YEAR(OFFSET(BV!$H121,,(COLUMN()-69)*8)),"")</f>
        <v/>
      </c>
      <c r="BY121" s="11" t="str">
        <f ca="1">IFERROR(YEAR(OFFSET(BV!$H121,,(COLUMN()-69)*8)),"")</f>
        <v/>
      </c>
      <c r="BZ121" s="11" t="str">
        <f ca="1">IFERROR(YEAR(OFFSET(BV!$H121,,(COLUMN()-69)*8)),"")</f>
        <v/>
      </c>
    </row>
    <row r="122" spans="1:78" x14ac:dyDescent="0.25">
      <c r="A122" s="433">
        <v>97</v>
      </c>
      <c r="B122" s="556">
        <f ca="1">BV!D122</f>
        <v>3.4680014301036826</v>
      </c>
      <c r="C122" s="552">
        <f ca="1">BV!L122</f>
        <v>3.0832803560076285</v>
      </c>
      <c r="D122" s="11" t="str">
        <f ca="1">BV!T122</f>
        <v/>
      </c>
      <c r="E122" s="11" t="str">
        <f ca="1">BV!AB122</f>
        <v/>
      </c>
      <c r="F122" s="11" t="str">
        <f ca="1">BV!AJ122</f>
        <v/>
      </c>
      <c r="G122" s="11" t="str">
        <f ca="1">BV!AR122</f>
        <v/>
      </c>
      <c r="H122" s="11" t="str">
        <f ca="1">BV!AZ122</f>
        <v/>
      </c>
      <c r="I122" s="11" t="str">
        <f ca="1">BV!BH122</f>
        <v/>
      </c>
      <c r="J122" s="11" t="str">
        <f ca="1">BV!BP122</f>
        <v/>
      </c>
      <c r="K122" s="11" t="str">
        <f ca="1">BV!BX122</f>
        <v/>
      </c>
      <c r="L122" s="62" t="s">
        <v>64</v>
      </c>
      <c r="M122" s="261">
        <v>1.2026164410000001E-3</v>
      </c>
      <c r="N122" s="277">
        <f t="shared" ca="1" si="112"/>
        <v>28.836093935660941</v>
      </c>
      <c r="O122" s="317"/>
      <c r="P122" s="317"/>
      <c r="Q122" s="317"/>
      <c r="R122" s="317"/>
      <c r="S122" s="317"/>
      <c r="T122" s="317"/>
      <c r="U122" s="317"/>
      <c r="V122" s="317"/>
      <c r="W122" s="317"/>
      <c r="X122" s="317"/>
      <c r="Y122" s="317"/>
      <c r="AA122" s="621">
        <f ca="1">LARGE(OFFSET(BV!H$2,,AH122*8-8,430),AG122)</f>
        <v>44168.027999999998</v>
      </c>
      <c r="AB122" s="621"/>
      <c r="AC122" s="4">
        <f ca="1">INDEX(OFFSET(BV!A$2,,AH122*8-8,430),$AK122)</f>
        <v>28</v>
      </c>
      <c r="AD122" s="590">
        <f ca="1">INDEX(OFFSET(BV!C$2,,AH122*8-8,430),$AK122)</f>
        <v>7.34</v>
      </c>
      <c r="AE122" s="590"/>
      <c r="AF122" s="4">
        <f ca="1">INDEX(OFFSET(BV!D$2,,AH122*8-8,430),$AK122)</f>
        <v>3.8147138964577656</v>
      </c>
      <c r="AG122" s="4">
        <v>4</v>
      </c>
      <c r="AH122" s="4">
        <v>2</v>
      </c>
      <c r="AI122" s="315"/>
      <c r="AJ122" s="315"/>
      <c r="AK122" s="480">
        <f ca="1">MATCH(AA122,OFFSET(BV!H$2,,AH122*8-8,430),0)</f>
        <v>27</v>
      </c>
      <c r="AL122" s="315"/>
      <c r="AM122" s="315"/>
      <c r="AN122" s="433">
        <v>97</v>
      </c>
      <c r="AO122" s="660">
        <f ca="1">BV!C122</f>
        <v>27.97</v>
      </c>
      <c r="AP122" s="11">
        <f ca="1">BV!K122</f>
        <v>31.46</v>
      </c>
      <c r="AQ122" s="11" t="str">
        <f ca="1">BV!S122</f>
        <v/>
      </c>
      <c r="AR122" s="11" t="str">
        <f ca="1">BV!AA122</f>
        <v/>
      </c>
      <c r="AS122" s="11" t="str">
        <f ca="1">BV!AI122</f>
        <v/>
      </c>
      <c r="AT122" s="11" t="str">
        <f ca="1">BV!AQ122</f>
        <v/>
      </c>
      <c r="AU122" s="11" t="str">
        <f ca="1">BV!AY122</f>
        <v/>
      </c>
      <c r="AV122" s="11" t="str">
        <f ca="1">BV!BG122</f>
        <v/>
      </c>
      <c r="AW122" s="11" t="str">
        <f ca="1">BV!BO122</f>
        <v/>
      </c>
      <c r="AX122" s="11" t="str">
        <f ca="1">BV!BW122</f>
        <v/>
      </c>
      <c r="AY122" s="62" t="s">
        <v>3</v>
      </c>
      <c r="AZ122" s="37">
        <f t="shared" si="113"/>
        <v>2.9198728631990098</v>
      </c>
      <c r="BA122" s="261">
        <v>1.2026164410000001E-3</v>
      </c>
      <c r="BB122" s="268">
        <v>2.0569727529000003E-2</v>
      </c>
      <c r="BC122" s="268">
        <f t="shared" si="114"/>
        <v>5.8465355912201783E-2</v>
      </c>
      <c r="BD122" s="269">
        <f ca="1">IF(BV!H122="","",INT(NOW()-BV!H122))</f>
        <v>288</v>
      </c>
      <c r="BE122" s="279">
        <f t="shared" si="86"/>
        <v>28.836093935660944</v>
      </c>
      <c r="BF122" s="300">
        <f ca="1">BV!G122</f>
        <v>51.778941567600796</v>
      </c>
      <c r="BG122" s="301">
        <f ca="1">BV!O122</f>
        <v>42.397528458112447</v>
      </c>
      <c r="BH122" s="11" t="str">
        <f ca="1">BV!W122</f>
        <v/>
      </c>
      <c r="BI122" s="11" t="str">
        <f ca="1">BV!AE122</f>
        <v/>
      </c>
      <c r="BJ122" s="11" t="str">
        <f ca="1">BV!AM122</f>
        <v/>
      </c>
      <c r="BK122" s="11" t="str">
        <f ca="1">BV!AU122</f>
        <v/>
      </c>
      <c r="BL122" s="11" t="str">
        <f ca="1">BV!BC122</f>
        <v/>
      </c>
      <c r="BM122" s="11" t="str">
        <f ca="1">BV!BK122</f>
        <v/>
      </c>
      <c r="BN122" s="11" t="str">
        <f ca="1">BV!BS122</f>
        <v/>
      </c>
      <c r="BO122" s="11" t="str">
        <f ca="1">BV!CA122</f>
        <v/>
      </c>
      <c r="BP122" s="433">
        <v>97</v>
      </c>
      <c r="BQ122" s="11">
        <f ca="1">IFERROR(YEAR(OFFSET(BV!$H122,,(COLUMN()-69)*8)),"")</f>
        <v>2020</v>
      </c>
      <c r="BR122" s="11">
        <f ca="1">IFERROR(YEAR(OFFSET(BV!$H122,,(COLUMN()-69)*8)),"")</f>
        <v>2019</v>
      </c>
      <c r="BS122" s="11" t="str">
        <f ca="1">IFERROR(YEAR(OFFSET(BV!$H122,,(COLUMN()-69)*8)),"")</f>
        <v/>
      </c>
      <c r="BT122" s="11" t="str">
        <f ca="1">IFERROR(YEAR(OFFSET(BV!$H122,,(COLUMN()-69)*8)),"")</f>
        <v/>
      </c>
      <c r="BU122" s="11" t="str">
        <f ca="1">IFERROR(YEAR(OFFSET(BV!$H122,,(COLUMN()-69)*8)),"")</f>
        <v/>
      </c>
      <c r="BV122" s="11" t="str">
        <f ca="1">IFERROR(YEAR(OFFSET(BV!$H122,,(COLUMN()-69)*8)),"")</f>
        <v/>
      </c>
      <c r="BW122" s="11" t="str">
        <f ca="1">IFERROR(YEAR(OFFSET(BV!$H122,,(COLUMN()-69)*8)),"")</f>
        <v/>
      </c>
      <c r="BX122" s="11" t="str">
        <f ca="1">IFERROR(YEAR(OFFSET(BV!$H122,,(COLUMN()-69)*8)),"")</f>
        <v/>
      </c>
      <c r="BY122" s="11" t="str">
        <f ca="1">IFERROR(YEAR(OFFSET(BV!$H122,,(COLUMN()-69)*8)),"")</f>
        <v/>
      </c>
      <c r="BZ122" s="11" t="str">
        <f ca="1">IFERROR(YEAR(OFFSET(BV!$H122,,(COLUMN()-69)*8)),"")</f>
        <v/>
      </c>
    </row>
    <row r="123" spans="1:78" x14ac:dyDescent="0.25">
      <c r="A123" s="433">
        <v>98</v>
      </c>
      <c r="B123" s="11" t="str">
        <f ca="1">BV!D123</f>
        <v/>
      </c>
      <c r="C123" s="11" t="str">
        <f ca="1">BV!L123</f>
        <v/>
      </c>
      <c r="D123" s="11" t="str">
        <f ca="1">BV!T123</f>
        <v/>
      </c>
      <c r="E123" s="11" t="str">
        <f ca="1">BV!AB123</f>
        <v/>
      </c>
      <c r="F123" s="11" t="str">
        <f ca="1">BV!AJ123</f>
        <v/>
      </c>
      <c r="G123" s="11" t="str">
        <f ca="1">BV!AR123</f>
        <v/>
      </c>
      <c r="H123" s="11" t="str">
        <f ca="1">BV!AZ123</f>
        <v/>
      </c>
      <c r="I123" s="11" t="str">
        <f ca="1">BV!BH123</f>
        <v/>
      </c>
      <c r="J123" s="11" t="str">
        <f ca="1">BV!BP123</f>
        <v/>
      </c>
      <c r="K123" s="11" t="str">
        <f ca="1">BV!BX123</f>
        <v/>
      </c>
      <c r="L123" s="62" t="s">
        <v>64</v>
      </c>
      <c r="M123" s="261">
        <v>1.002024497E-3</v>
      </c>
      <c r="N123" s="277" t="str">
        <f t="shared" ca="1" si="112"/>
        <v/>
      </c>
      <c r="O123" s="317"/>
      <c r="P123" s="317"/>
      <c r="Q123" s="317"/>
      <c r="R123" s="317"/>
      <c r="S123" s="317"/>
      <c r="T123" s="317"/>
      <c r="U123" s="317"/>
      <c r="V123" s="317"/>
      <c r="W123" s="317"/>
      <c r="X123" s="317"/>
      <c r="Y123" s="317"/>
      <c r="AA123" s="621">
        <f ca="1">LARGE(OFFSET(BV!H$2,,AH123*8-8,430),AG123)</f>
        <v>44168.014000000003</v>
      </c>
      <c r="AB123" s="621"/>
      <c r="AC123" s="4">
        <f ca="1">INDEX(OFFSET(BV!A$2,,AH123*8-8,430),$AK123)</f>
        <v>14</v>
      </c>
      <c r="AD123" s="590">
        <f ca="1">INDEX(OFFSET(BV!C$2,,AH123*8-8,430),$AK123)</f>
        <v>3.38</v>
      </c>
      <c r="AE123" s="590"/>
      <c r="AF123" s="4">
        <f ca="1">INDEX(OFFSET(BV!D$2,,AH123*8-8,430),$AK123)</f>
        <v>4.1420118343195265</v>
      </c>
      <c r="AG123" s="4">
        <v>5</v>
      </c>
      <c r="AH123" s="4">
        <v>2</v>
      </c>
      <c r="AI123" s="315"/>
      <c r="AJ123" s="315"/>
      <c r="AK123" s="480">
        <f ca="1">MATCH(AA123,OFFSET(BV!H$2,,AH123*8-8,430),0)</f>
        <v>13</v>
      </c>
      <c r="AL123" s="315"/>
      <c r="AM123" s="315"/>
      <c r="AN123" s="433">
        <v>98</v>
      </c>
      <c r="AO123" s="11" t="str">
        <f ca="1">BV!C123</f>
        <v/>
      </c>
      <c r="AP123" s="11" t="str">
        <f ca="1">BV!K123</f>
        <v/>
      </c>
      <c r="AQ123" s="11" t="str">
        <f ca="1">BV!S123</f>
        <v/>
      </c>
      <c r="AR123" s="11" t="str">
        <f ca="1">BV!AA123</f>
        <v/>
      </c>
      <c r="AS123" s="11" t="str">
        <f ca="1">BV!AI123</f>
        <v/>
      </c>
      <c r="AT123" s="11" t="str">
        <f ca="1">BV!AQ123</f>
        <v/>
      </c>
      <c r="AU123" s="11" t="str">
        <f ca="1">BV!AY123</f>
        <v/>
      </c>
      <c r="AV123" s="11" t="str">
        <f ca="1">BV!BG123</f>
        <v/>
      </c>
      <c r="AW123" s="11" t="str">
        <f ca="1">BV!BO123</f>
        <v/>
      </c>
      <c r="AX123" s="11" t="str">
        <f ca="1">BV!BW123</f>
        <v/>
      </c>
      <c r="AY123" s="62" t="s">
        <v>3</v>
      </c>
      <c r="AZ123" s="37">
        <f t="shared" si="113"/>
        <v>2.9991216609219919</v>
      </c>
      <c r="BA123" s="261">
        <v>1.002024497E-3</v>
      </c>
      <c r="BB123" s="268">
        <v>2.0569727529000003E-2</v>
      </c>
      <c r="BC123" s="268">
        <f t="shared" si="114"/>
        <v>4.8713552262046586E-2</v>
      </c>
      <c r="BD123" s="269" t="str">
        <f ca="1">IF(BV!H123="","",INT(NOW()-BV!H123))</f>
        <v/>
      </c>
      <c r="BE123" s="279">
        <f t="shared" si="86"/>
        <v>31.590815014926225</v>
      </c>
      <c r="BF123" s="11" t="str">
        <f ca="1">BV!G123</f>
        <v/>
      </c>
      <c r="BG123" s="11" t="str">
        <f ca="1">BV!O123</f>
        <v/>
      </c>
      <c r="BH123" s="11" t="str">
        <f ca="1">BV!W123</f>
        <v/>
      </c>
      <c r="BI123" s="11" t="str">
        <f ca="1">BV!AE123</f>
        <v/>
      </c>
      <c r="BJ123" s="11" t="str">
        <f ca="1">BV!AM123</f>
        <v/>
      </c>
      <c r="BK123" s="11" t="str">
        <f ca="1">BV!AU123</f>
        <v/>
      </c>
      <c r="BL123" s="11" t="str">
        <f ca="1">BV!BC123</f>
        <v/>
      </c>
      <c r="BM123" s="11" t="str">
        <f ca="1">BV!BK123</f>
        <v/>
      </c>
      <c r="BN123" s="11" t="str">
        <f ca="1">BV!BS123</f>
        <v/>
      </c>
      <c r="BO123" s="11" t="str">
        <f ca="1">BV!CA123</f>
        <v/>
      </c>
      <c r="BP123" s="433">
        <v>98</v>
      </c>
      <c r="BQ123" s="11" t="str">
        <f ca="1">IFERROR(YEAR(OFFSET(BV!$H123,,(COLUMN()-69)*8)),"")</f>
        <v/>
      </c>
      <c r="BR123" s="11" t="str">
        <f ca="1">IFERROR(YEAR(OFFSET(BV!$H123,,(COLUMN()-69)*8)),"")</f>
        <v/>
      </c>
      <c r="BS123" s="11" t="str">
        <f ca="1">IFERROR(YEAR(OFFSET(BV!$H123,,(COLUMN()-69)*8)),"")</f>
        <v/>
      </c>
      <c r="BT123" s="11" t="str">
        <f ca="1">IFERROR(YEAR(OFFSET(BV!$H123,,(COLUMN()-69)*8)),"")</f>
        <v/>
      </c>
      <c r="BU123" s="11" t="str">
        <f ca="1">IFERROR(YEAR(OFFSET(BV!$H123,,(COLUMN()-69)*8)),"")</f>
        <v/>
      </c>
      <c r="BV123" s="11" t="str">
        <f ca="1">IFERROR(YEAR(OFFSET(BV!$H123,,(COLUMN()-69)*8)),"")</f>
        <v/>
      </c>
      <c r="BW123" s="11" t="str">
        <f ca="1">IFERROR(YEAR(OFFSET(BV!$H123,,(COLUMN()-69)*8)),"")</f>
        <v/>
      </c>
      <c r="BX123" s="11" t="str">
        <f ca="1">IFERROR(YEAR(OFFSET(BV!$H123,,(COLUMN()-69)*8)),"")</f>
        <v/>
      </c>
      <c r="BY123" s="11" t="str">
        <f ca="1">IFERROR(YEAR(OFFSET(BV!$H123,,(COLUMN()-69)*8)),"")</f>
        <v/>
      </c>
      <c r="BZ123" s="11" t="str">
        <f ca="1">IFERROR(YEAR(OFFSET(BV!$H123,,(COLUMN()-69)*8)),"")</f>
        <v/>
      </c>
    </row>
    <row r="124" spans="1:78" x14ac:dyDescent="0.25">
      <c r="A124" s="433">
        <v>99</v>
      </c>
      <c r="B124" s="552">
        <f ca="1">BV!D124</f>
        <v>3.0045523520485582</v>
      </c>
      <c r="C124" s="11" t="str">
        <f ca="1">BV!L124</f>
        <v/>
      </c>
      <c r="D124" s="11" t="str">
        <f ca="1">BV!T124</f>
        <v/>
      </c>
      <c r="E124" s="11" t="str">
        <f ca="1">BV!AB124</f>
        <v/>
      </c>
      <c r="F124" s="11" t="str">
        <f ca="1">BV!AJ124</f>
        <v/>
      </c>
      <c r="G124" s="11" t="str">
        <f ca="1">BV!AR124</f>
        <v/>
      </c>
      <c r="H124" s="11" t="str">
        <f ca="1">BV!AZ124</f>
        <v/>
      </c>
      <c r="I124" s="11" t="str">
        <f ca="1">BV!BH124</f>
        <v/>
      </c>
      <c r="J124" s="11" t="str">
        <f ca="1">BV!BP124</f>
        <v/>
      </c>
      <c r="K124" s="11" t="str">
        <f ca="1">BV!BX124</f>
        <v/>
      </c>
      <c r="L124" s="271" t="s">
        <v>67</v>
      </c>
      <c r="M124" s="261">
        <v>8.3152152799999995E-4</v>
      </c>
      <c r="N124" s="272">
        <f t="shared" ca="1" si="112"/>
        <v>34.678735335058775</v>
      </c>
      <c r="O124" s="517"/>
      <c r="P124" s="516"/>
      <c r="Q124" s="516"/>
      <c r="R124" s="516"/>
      <c r="S124" s="516"/>
      <c r="T124" s="516"/>
      <c r="U124" s="516"/>
      <c r="V124" s="317"/>
      <c r="W124" s="317"/>
      <c r="X124" s="317"/>
      <c r="Y124" s="317"/>
      <c r="AA124" s="621">
        <f ca="1">LARGE(OFFSET(BV!H$2,,AH124*8-8,430),AG124)</f>
        <v>44168.008000000002</v>
      </c>
      <c r="AB124" s="621"/>
      <c r="AC124" s="4">
        <f ca="1">INDEX(OFFSET(BV!A$2,,AH124*8-8,430),$AK124)</f>
        <v>8</v>
      </c>
      <c r="AD124" s="590">
        <f ca="1">INDEX(OFFSET(BV!C$2,,AH124*8-8,430),$AK124)</f>
        <v>2.71</v>
      </c>
      <c r="AE124" s="590"/>
      <c r="AF124" s="4">
        <f ca="1">INDEX(OFFSET(BV!D$2,,AH124*8-8,430),$AK124)</f>
        <v>2.9520295202952029</v>
      </c>
      <c r="AG124" s="4">
        <v>6</v>
      </c>
      <c r="AH124" s="4">
        <v>2</v>
      </c>
      <c r="AI124" s="315"/>
      <c r="AJ124" s="315"/>
      <c r="AK124" s="480">
        <f ca="1">MATCH(AA124,OFFSET(BV!H$2,,AH124*8-8,430),0)</f>
        <v>7</v>
      </c>
      <c r="AL124" s="315"/>
      <c r="AM124" s="315"/>
      <c r="AN124" s="433">
        <v>99</v>
      </c>
      <c r="AO124" s="11">
        <f ca="1">BV!C124</f>
        <v>32.950000000000003</v>
      </c>
      <c r="AP124" s="11" t="str">
        <f ca="1">BV!K124</f>
        <v/>
      </c>
      <c r="AQ124" s="11" t="str">
        <f ca="1">BV!S124</f>
        <v/>
      </c>
      <c r="AR124" s="11" t="str">
        <f ca="1">BV!AA124</f>
        <v/>
      </c>
      <c r="AS124" s="11" t="str">
        <f ca="1">BV!AI124</f>
        <v/>
      </c>
      <c r="AT124" s="11" t="str">
        <f ca="1">BV!AQ124</f>
        <v/>
      </c>
      <c r="AU124" s="11" t="str">
        <f ca="1">BV!AY124</f>
        <v/>
      </c>
      <c r="AV124" s="11" t="str">
        <f ca="1">BV!BG124</f>
        <v/>
      </c>
      <c r="AW124" s="11" t="str">
        <f ca="1">BV!BO124</f>
        <v/>
      </c>
      <c r="AX124" s="11" t="str">
        <f ca="1">BV!BW124</f>
        <v/>
      </c>
      <c r="AY124" s="271" t="s">
        <v>67</v>
      </c>
      <c r="AZ124" s="274">
        <f t="shared" si="113"/>
        <v>3.0801265024630107</v>
      </c>
      <c r="BA124" s="261">
        <v>8.3152152799999995E-4</v>
      </c>
      <c r="BB124" s="268">
        <v>2.0569727529000003E-2</v>
      </c>
      <c r="BC124" s="268">
        <f t="shared" si="114"/>
        <v>4.0424528075429705E-2</v>
      </c>
      <c r="BD124" s="269">
        <f ca="1">IF(BV!H124="","",INT(NOW()-BV!H124))</f>
        <v>395</v>
      </c>
      <c r="BE124" s="275">
        <f t="shared" si="86"/>
        <v>34.678735335058775</v>
      </c>
      <c r="BF124" s="301">
        <f ca="1">BV!G124</f>
        <v>39.998122817356418</v>
      </c>
      <c r="BG124" s="11" t="str">
        <f ca="1">BV!O124</f>
        <v/>
      </c>
      <c r="BH124" s="11" t="str">
        <f ca="1">BV!W124</f>
        <v/>
      </c>
      <c r="BI124" s="11" t="str">
        <f ca="1">BV!AE124</f>
        <v/>
      </c>
      <c r="BJ124" s="11" t="str">
        <f ca="1">BV!AM124</f>
        <v/>
      </c>
      <c r="BK124" s="11" t="str">
        <f ca="1">BV!AU124</f>
        <v/>
      </c>
      <c r="BL124" s="11" t="str">
        <f ca="1">BV!BC124</f>
        <v/>
      </c>
      <c r="BM124" s="11" t="str">
        <f ca="1">BV!BK124</f>
        <v/>
      </c>
      <c r="BN124" s="11" t="str">
        <f ca="1">BV!BS124</f>
        <v/>
      </c>
      <c r="BO124" s="11" t="str">
        <f ca="1">BV!CA124</f>
        <v/>
      </c>
      <c r="BP124" s="433">
        <v>99</v>
      </c>
      <c r="BQ124" s="11">
        <f ca="1">IFERROR(YEAR(OFFSET(BV!$H124,,(COLUMN()-69)*8)),"")</f>
        <v>2019</v>
      </c>
      <c r="BR124" s="11" t="str">
        <f ca="1">IFERROR(YEAR(OFFSET(BV!$H124,,(COLUMN()-69)*8)),"")</f>
        <v/>
      </c>
      <c r="BS124" s="11" t="str">
        <f ca="1">IFERROR(YEAR(OFFSET(BV!$H124,,(COLUMN()-69)*8)),"")</f>
        <v/>
      </c>
      <c r="BT124" s="11" t="str">
        <f ca="1">IFERROR(YEAR(OFFSET(BV!$H124,,(COLUMN()-69)*8)),"")</f>
        <v/>
      </c>
      <c r="BU124" s="11" t="str">
        <f ca="1">IFERROR(YEAR(OFFSET(BV!$H124,,(COLUMN()-69)*8)),"")</f>
        <v/>
      </c>
      <c r="BV124" s="11" t="str">
        <f ca="1">IFERROR(YEAR(OFFSET(BV!$H124,,(COLUMN()-69)*8)),"")</f>
        <v/>
      </c>
      <c r="BW124" s="11" t="str">
        <f ca="1">IFERROR(YEAR(OFFSET(BV!$H124,,(COLUMN()-69)*8)),"")</f>
        <v/>
      </c>
      <c r="BX124" s="11" t="str">
        <f ca="1">IFERROR(YEAR(OFFSET(BV!$H124,,(COLUMN()-69)*8)),"")</f>
        <v/>
      </c>
      <c r="BY124" s="11" t="str">
        <f ca="1">IFERROR(YEAR(OFFSET(BV!$H124,,(COLUMN()-69)*8)),"")</f>
        <v/>
      </c>
      <c r="BZ124" s="11" t="str">
        <f ca="1">IFERROR(YEAR(OFFSET(BV!$H124,,(COLUMN()-69)*8)),"")</f>
        <v/>
      </c>
    </row>
    <row r="125" spans="1:78" x14ac:dyDescent="0.25">
      <c r="A125" s="433">
        <v>100</v>
      </c>
      <c r="B125" s="11" t="str">
        <f ca="1">BV!D125</f>
        <v/>
      </c>
      <c r="C125" s="11" t="str">
        <f ca="1">BV!L125</f>
        <v/>
      </c>
      <c r="D125" s="11" t="str">
        <f ca="1">BV!T125</f>
        <v/>
      </c>
      <c r="E125" s="11" t="str">
        <f ca="1">BV!AB125</f>
        <v/>
      </c>
      <c r="F125" s="11" t="str">
        <f ca="1">BV!AJ125</f>
        <v/>
      </c>
      <c r="G125" s="11" t="str">
        <f ca="1">BV!AR125</f>
        <v/>
      </c>
      <c r="H125" s="11" t="str">
        <f ca="1">BV!AZ125</f>
        <v/>
      </c>
      <c r="I125" s="11" t="str">
        <f ca="1">BV!BH125</f>
        <v/>
      </c>
      <c r="J125" s="11" t="str">
        <f ca="1">BV!BP125</f>
        <v/>
      </c>
      <c r="K125" s="11" t="str">
        <f ca="1">BV!BX125</f>
        <v/>
      </c>
      <c r="L125" s="271" t="s">
        <v>67</v>
      </c>
      <c r="M125" s="261">
        <v>6.8736092200000003E-4</v>
      </c>
      <c r="N125" s="272" t="str">
        <f t="shared" ca="1" si="112"/>
        <v/>
      </c>
      <c r="O125" s="263"/>
      <c r="P125" s="1"/>
      <c r="Q125" s="1"/>
      <c r="R125" s="1"/>
      <c r="S125" s="1"/>
      <c r="T125" s="1"/>
      <c r="U125" s="1"/>
      <c r="V125" s="317"/>
      <c r="W125" s="317"/>
      <c r="X125" s="317"/>
      <c r="Y125" s="317"/>
      <c r="AA125" s="621">
        <f ca="1">LARGE(OFFSET(BV!H$2,,AH125*8-8,430),AG125)</f>
        <v>44167.356</v>
      </c>
      <c r="AB125" s="621"/>
      <c r="AC125" s="4">
        <f ca="1">INDEX(OFFSET(BV!A$2,,AH125*8-8,430),$AK125)</f>
        <v>214</v>
      </c>
      <c r="AD125" s="590">
        <f ca="1">INDEX(OFFSET(BV!C$2,,AH125*8-8,430),$AK125)</f>
        <v>78.17</v>
      </c>
      <c r="AE125" s="590"/>
      <c r="AF125" s="4">
        <f ca="1">INDEX(OFFSET(BV!D$2,,AH125*8-8,430),$AK125)</f>
        <v>2.7376231290776514</v>
      </c>
      <c r="AG125" s="4">
        <v>7</v>
      </c>
      <c r="AH125" s="4">
        <v>2</v>
      </c>
      <c r="AI125" s="315"/>
      <c r="AJ125" s="315"/>
      <c r="AK125" s="480">
        <f ca="1">MATCH(AA125,OFFSET(BV!H$2,,AH125*8-8,430),0)</f>
        <v>355</v>
      </c>
      <c r="AL125" s="315"/>
      <c r="AM125" s="315"/>
      <c r="AN125" s="433">
        <v>100</v>
      </c>
      <c r="AO125" s="11" t="str">
        <f ca="1">BV!C125</f>
        <v/>
      </c>
      <c r="AP125" s="11" t="str">
        <f ca="1">BV!K125</f>
        <v/>
      </c>
      <c r="AQ125" s="11" t="str">
        <f ca="1">BV!S125</f>
        <v/>
      </c>
      <c r="AR125" s="11" t="str">
        <f ca="1">BV!AA125</f>
        <v/>
      </c>
      <c r="AS125" s="11" t="str">
        <f ca="1">BV!AI125</f>
        <v/>
      </c>
      <c r="AT125" s="11" t="str">
        <f ca="1">BV!AQ125</f>
        <v/>
      </c>
      <c r="AU125" s="11" t="str">
        <f ca="1">BV!AY125</f>
        <v/>
      </c>
      <c r="AV125" s="11" t="str">
        <f ca="1">BV!BG125</f>
        <v/>
      </c>
      <c r="AW125" s="11" t="str">
        <f ca="1">BV!BO125</f>
        <v/>
      </c>
      <c r="AX125" s="11" t="str">
        <f ca="1">BV!BW125</f>
        <v/>
      </c>
      <c r="AY125" s="271" t="s">
        <v>67</v>
      </c>
      <c r="AZ125" s="274">
        <f t="shared" si="113"/>
        <v>3.1628151621059573</v>
      </c>
      <c r="BA125" s="261">
        <v>6.8736092200000003E-4</v>
      </c>
      <c r="BB125" s="56">
        <v>3.6432964520000002E-3</v>
      </c>
      <c r="BC125" s="56">
        <f t="shared" si="114"/>
        <v>0.18866455998184581</v>
      </c>
      <c r="BD125" s="13" t="str">
        <f ca="1">IF(BV!H125="","",INT(NOW()-BV!H125))</f>
        <v/>
      </c>
      <c r="BE125" s="275">
        <f t="shared" si="86"/>
        <v>38.142361774696546</v>
      </c>
      <c r="BF125" s="11" t="str">
        <f ca="1">BV!G125</f>
        <v/>
      </c>
      <c r="BG125" s="11" t="str">
        <f ca="1">BV!O125</f>
        <v/>
      </c>
      <c r="BH125" s="11" t="str">
        <f ca="1">BV!W125</f>
        <v/>
      </c>
      <c r="BI125" s="11" t="str">
        <f ca="1">BV!AE125</f>
        <v/>
      </c>
      <c r="BJ125" s="11" t="str">
        <f ca="1">BV!AM125</f>
        <v/>
      </c>
      <c r="BK125" s="11" t="str">
        <f ca="1">BV!AU125</f>
        <v/>
      </c>
      <c r="BL125" s="11" t="str">
        <f ca="1">BV!BC125</f>
        <v/>
      </c>
      <c r="BM125" s="11" t="str">
        <f ca="1">BV!BK125</f>
        <v/>
      </c>
      <c r="BN125" s="11" t="str">
        <f ca="1">BV!BS125</f>
        <v/>
      </c>
      <c r="BO125" s="11" t="str">
        <f ca="1">BV!CA125</f>
        <v/>
      </c>
      <c r="BP125" s="433">
        <v>100</v>
      </c>
      <c r="BQ125" s="11" t="str">
        <f ca="1">IFERROR(YEAR(OFFSET(BV!$H125,,(COLUMN()-69)*8)),"")</f>
        <v/>
      </c>
      <c r="BR125" s="11" t="str">
        <f ca="1">IFERROR(YEAR(OFFSET(BV!$H125,,(COLUMN()-69)*8)),"")</f>
        <v/>
      </c>
      <c r="BS125" s="11" t="str">
        <f ca="1">IFERROR(YEAR(OFFSET(BV!$H125,,(COLUMN()-69)*8)),"")</f>
        <v/>
      </c>
      <c r="BT125" s="11" t="str">
        <f ca="1">IFERROR(YEAR(OFFSET(BV!$H125,,(COLUMN()-69)*8)),"")</f>
        <v/>
      </c>
      <c r="BU125" s="11" t="str">
        <f ca="1">IFERROR(YEAR(OFFSET(BV!$H125,,(COLUMN()-69)*8)),"")</f>
        <v/>
      </c>
      <c r="BV125" s="11" t="str">
        <f ca="1">IFERROR(YEAR(OFFSET(BV!$H125,,(COLUMN()-69)*8)),"")</f>
        <v/>
      </c>
      <c r="BW125" s="11" t="str">
        <f ca="1">IFERROR(YEAR(OFFSET(BV!$H125,,(COLUMN()-69)*8)),"")</f>
        <v/>
      </c>
      <c r="BX125" s="11" t="str">
        <f ca="1">IFERROR(YEAR(OFFSET(BV!$H125,,(COLUMN()-69)*8)),"")</f>
        <v/>
      </c>
      <c r="BY125" s="11" t="str">
        <f ca="1">IFERROR(YEAR(OFFSET(BV!$H125,,(COLUMN()-69)*8)),"")</f>
        <v/>
      </c>
      <c r="BZ125" s="11" t="str">
        <f ca="1">IFERROR(YEAR(OFFSET(BV!$H125,,(COLUMN()-69)*8)),"")</f>
        <v/>
      </c>
    </row>
    <row r="126" spans="1:78" x14ac:dyDescent="0.25">
      <c r="A126" s="433">
        <v>101</v>
      </c>
      <c r="B126" s="11" t="str">
        <f ca="1">BV!D126</f>
        <v/>
      </c>
      <c r="C126" s="11" t="str">
        <f ca="1">BV!L126</f>
        <v/>
      </c>
      <c r="D126" s="11" t="str">
        <f ca="1">BV!T126</f>
        <v/>
      </c>
      <c r="E126" s="11" t="str">
        <f ca="1">BV!AB126</f>
        <v/>
      </c>
      <c r="F126" s="11" t="str">
        <f ca="1">BV!AJ126</f>
        <v/>
      </c>
      <c r="G126" s="11" t="str">
        <f ca="1">BV!AR126</f>
        <v/>
      </c>
      <c r="H126" s="11" t="str">
        <f ca="1">BV!AZ126</f>
        <v/>
      </c>
      <c r="I126" s="11" t="str">
        <f ca="1">BV!BH126</f>
        <v/>
      </c>
      <c r="J126" s="11" t="str">
        <f ca="1">BV!BP126</f>
        <v/>
      </c>
      <c r="K126" s="11" t="str">
        <f ca="1">BV!BX126</f>
        <v/>
      </c>
      <c r="L126" s="271" t="s">
        <v>67</v>
      </c>
      <c r="M126" s="261">
        <v>5.6592599900000002E-4</v>
      </c>
      <c r="N126" s="272" t="str">
        <f t="shared" ca="1" si="112"/>
        <v/>
      </c>
      <c r="O126" s="31"/>
      <c r="P126" s="1"/>
      <c r="Q126" s="1"/>
      <c r="R126" s="1"/>
      <c r="S126" s="1"/>
      <c r="T126" s="1"/>
      <c r="U126" s="1"/>
      <c r="V126" s="317"/>
      <c r="W126" s="317"/>
      <c r="X126" s="317"/>
      <c r="Y126" s="317"/>
      <c r="AA126" s="620">
        <f ca="1">LARGE(OFFSET(BV!H$2,,AH126*8-8,430),AG126)</f>
        <v>44177.279999999999</v>
      </c>
      <c r="AB126" s="620"/>
      <c r="AC126" s="1">
        <f ca="1">INDEX(OFFSET(BV!A$2,,AH126*8-8,430),$AK126)</f>
        <v>138</v>
      </c>
      <c r="AD126" s="594">
        <f ca="1">INDEX(OFFSET(BV!C$2,,AH126*8-8,430),$AK126)</f>
        <v>67.290000000000006</v>
      </c>
      <c r="AE126" s="594"/>
      <c r="AF126" s="1">
        <f ca="1">INDEX(OFFSET(BV!D$2,,AH126*8-8,430),$AK126)</f>
        <v>2.0508247882300488</v>
      </c>
      <c r="AG126" s="1">
        <v>1</v>
      </c>
      <c r="AH126" s="1">
        <v>3</v>
      </c>
      <c r="AI126" s="315"/>
      <c r="AJ126" s="315"/>
      <c r="AK126" s="480">
        <f ca="1">MATCH(AA126,OFFSET(BV!H$2,,AH126*8-8,430),0)</f>
        <v>279</v>
      </c>
      <c r="AL126" s="315"/>
      <c r="AM126" s="315"/>
      <c r="AN126" s="433">
        <v>101</v>
      </c>
      <c r="AO126" s="11" t="str">
        <f ca="1">BV!C126</f>
        <v/>
      </c>
      <c r="AP126" s="11" t="str">
        <f ca="1">BV!K126</f>
        <v/>
      </c>
      <c r="AQ126" s="11" t="str">
        <f ca="1">BV!S126</f>
        <v/>
      </c>
      <c r="AR126" s="11" t="str">
        <f ca="1">BV!AA126</f>
        <v/>
      </c>
      <c r="AS126" s="11" t="str">
        <f ca="1">BV!AI126</f>
        <v/>
      </c>
      <c r="AT126" s="11" t="str">
        <f ca="1">BV!AQ126</f>
        <v/>
      </c>
      <c r="AU126" s="11" t="str">
        <f ca="1">BV!AY126</f>
        <v/>
      </c>
      <c r="AV126" s="11" t="str">
        <f ca="1">BV!BG126</f>
        <v/>
      </c>
      <c r="AW126" s="11" t="str">
        <f ca="1">BV!BO126</f>
        <v/>
      </c>
      <c r="AX126" s="11" t="str">
        <f ca="1">BV!BW126</f>
        <v/>
      </c>
      <c r="AY126" s="271" t="s">
        <v>67</v>
      </c>
      <c r="AZ126" s="274">
        <f t="shared" si="113"/>
        <v>3.2472403538418977</v>
      </c>
      <c r="BA126" s="261">
        <v>5.6592599900000002E-4</v>
      </c>
      <c r="BB126" s="56">
        <v>3.6432964520000002E-3</v>
      </c>
      <c r="BC126" s="56">
        <f t="shared" si="114"/>
        <v>0.15533350262763629</v>
      </c>
      <c r="BD126" s="13" t="str">
        <f ca="1">IF(BV!H126="","",INT(NOW()-BV!H126))</f>
        <v/>
      </c>
      <c r="BE126" s="275">
        <f t="shared" si="86"/>
        <v>42.03588322664195</v>
      </c>
      <c r="BF126" s="11" t="str">
        <f ca="1">BV!G126</f>
        <v/>
      </c>
      <c r="BG126" s="11" t="str">
        <f ca="1">BV!O126</f>
        <v/>
      </c>
      <c r="BH126" s="11" t="str">
        <f ca="1">BV!W126</f>
        <v/>
      </c>
      <c r="BI126" s="11" t="str">
        <f ca="1">BV!AE126</f>
        <v/>
      </c>
      <c r="BJ126" s="11" t="str">
        <f ca="1">BV!AM126</f>
        <v/>
      </c>
      <c r="BK126" s="11" t="str">
        <f ca="1">BV!AU126</f>
        <v/>
      </c>
      <c r="BL126" s="11" t="str">
        <f ca="1">BV!BC126</f>
        <v/>
      </c>
      <c r="BM126" s="11" t="str">
        <f ca="1">BV!BK126</f>
        <v/>
      </c>
      <c r="BN126" s="11" t="str">
        <f ca="1">BV!BS126</f>
        <v/>
      </c>
      <c r="BO126" s="11" t="str">
        <f ca="1">BV!CA126</f>
        <v/>
      </c>
      <c r="BP126" s="433">
        <v>101</v>
      </c>
      <c r="BQ126" s="11" t="str">
        <f ca="1">IFERROR(YEAR(OFFSET(BV!$H126,,(COLUMN()-69)*8)),"")</f>
        <v/>
      </c>
      <c r="BR126" s="11" t="str">
        <f ca="1">IFERROR(YEAR(OFFSET(BV!$H126,,(COLUMN()-69)*8)),"")</f>
        <v/>
      </c>
      <c r="BS126" s="11" t="str">
        <f ca="1">IFERROR(YEAR(OFFSET(BV!$H126,,(COLUMN()-69)*8)),"")</f>
        <v/>
      </c>
      <c r="BT126" s="11" t="str">
        <f ca="1">IFERROR(YEAR(OFFSET(BV!$H126,,(COLUMN()-69)*8)),"")</f>
        <v/>
      </c>
      <c r="BU126" s="11" t="str">
        <f ca="1">IFERROR(YEAR(OFFSET(BV!$H126,,(COLUMN()-69)*8)),"")</f>
        <v/>
      </c>
      <c r="BV126" s="11" t="str">
        <f ca="1">IFERROR(YEAR(OFFSET(BV!$H126,,(COLUMN()-69)*8)),"")</f>
        <v/>
      </c>
      <c r="BW126" s="11" t="str">
        <f ca="1">IFERROR(YEAR(OFFSET(BV!$H126,,(COLUMN()-69)*8)),"")</f>
        <v/>
      </c>
      <c r="BX126" s="11" t="str">
        <f ca="1">IFERROR(YEAR(OFFSET(BV!$H126,,(COLUMN()-69)*8)),"")</f>
        <v/>
      </c>
      <c r="BY126" s="11" t="str">
        <f ca="1">IFERROR(YEAR(OFFSET(BV!$H126,,(COLUMN()-69)*8)),"")</f>
        <v/>
      </c>
      <c r="BZ126" s="11" t="str">
        <f ca="1">IFERROR(YEAR(OFFSET(BV!$H126,,(COLUMN()-69)*8)),"")</f>
        <v/>
      </c>
    </row>
    <row r="127" spans="1:78" x14ac:dyDescent="0.25">
      <c r="A127" s="433">
        <v>102</v>
      </c>
      <c r="B127" s="11" t="str">
        <f ca="1">BV!D127</f>
        <v/>
      </c>
      <c r="C127" s="11" t="str">
        <f ca="1">BV!L127</f>
        <v/>
      </c>
      <c r="D127" s="11" t="str">
        <f ca="1">BV!T127</f>
        <v/>
      </c>
      <c r="E127" s="11" t="str">
        <f ca="1">BV!AB127</f>
        <v/>
      </c>
      <c r="F127" s="11" t="str">
        <f ca="1">BV!AJ127</f>
        <v/>
      </c>
      <c r="G127" s="11" t="str">
        <f ca="1">BV!AR127</f>
        <v/>
      </c>
      <c r="H127" s="11" t="str">
        <f ca="1">BV!AZ127</f>
        <v/>
      </c>
      <c r="I127" s="11" t="str">
        <f ca="1">BV!BH127</f>
        <v/>
      </c>
      <c r="J127" s="11" t="str">
        <f ca="1">BV!BP127</f>
        <v/>
      </c>
      <c r="K127" s="11" t="str">
        <f ca="1">BV!BX127</f>
        <v/>
      </c>
      <c r="L127" s="271" t="s">
        <v>67</v>
      </c>
      <c r="M127" s="261">
        <v>4.6420246500000002E-4</v>
      </c>
      <c r="N127" s="272" t="str">
        <f t="shared" ca="1" si="112"/>
        <v/>
      </c>
      <c r="O127" s="31"/>
      <c r="P127" s="1"/>
      <c r="Q127" s="1"/>
      <c r="R127" s="1"/>
      <c r="S127" s="1"/>
      <c r="T127" s="1"/>
      <c r="U127" s="1"/>
      <c r="V127" s="317"/>
      <c r="W127" s="317"/>
      <c r="X127" s="317"/>
      <c r="Y127" s="317"/>
      <c r="AA127" s="620">
        <f ca="1">LARGE(OFFSET(BV!H$2,,AH127*8-8,430),AG127)</f>
        <v>44168.1</v>
      </c>
      <c r="AB127" s="620"/>
      <c r="AC127" s="1">
        <f ca="1">INDEX(OFFSET(BV!A$2,,AH127*8-8,430),$AK127)</f>
        <v>75</v>
      </c>
      <c r="AD127" s="594">
        <f ca="1">INDEX(OFFSET(BV!C$2,,AH127*8-8,430),$AK127)</f>
        <v>27.28</v>
      </c>
      <c r="AE127" s="594"/>
      <c r="AF127" s="1">
        <f ca="1">INDEX(OFFSET(BV!D$2,,AH127*8-8,430),$AK127)</f>
        <v>2.7492668621700878</v>
      </c>
      <c r="AG127" s="1">
        <v>2</v>
      </c>
      <c r="AH127" s="1">
        <v>3</v>
      </c>
      <c r="AI127" s="315"/>
      <c r="AJ127" s="315"/>
      <c r="AK127" s="480">
        <f ca="1">MATCH(AA127,OFFSET(BV!H$2,,AH127*8-8,430),0)</f>
        <v>99</v>
      </c>
      <c r="AL127" s="315"/>
      <c r="AM127" s="315"/>
      <c r="AN127" s="433">
        <v>102</v>
      </c>
      <c r="AO127" s="11" t="str">
        <f ca="1">BV!C127</f>
        <v/>
      </c>
      <c r="AP127" s="11" t="str">
        <f ca="1">BV!K127</f>
        <v/>
      </c>
      <c r="AQ127" s="11" t="str">
        <f ca="1">BV!S127</f>
        <v/>
      </c>
      <c r="AR127" s="11" t="str">
        <f ca="1">BV!AA127</f>
        <v/>
      </c>
      <c r="AS127" s="11" t="str">
        <f ca="1">BV!AI127</f>
        <v/>
      </c>
      <c r="AT127" s="11" t="str">
        <f ca="1">BV!AQ127</f>
        <v/>
      </c>
      <c r="AU127" s="11" t="str">
        <f ca="1">BV!AY127</f>
        <v/>
      </c>
      <c r="AV127" s="11" t="str">
        <f ca="1">BV!BG127</f>
        <v/>
      </c>
      <c r="AW127" s="11" t="str">
        <f ca="1">BV!BO127</f>
        <v/>
      </c>
      <c r="AX127" s="11" t="str">
        <f ca="1">BV!BW127</f>
        <v/>
      </c>
      <c r="AY127" s="271" t="s">
        <v>67</v>
      </c>
      <c r="AZ127" s="274">
        <f t="shared" si="113"/>
        <v>3.333292557690839</v>
      </c>
      <c r="BA127" s="261">
        <v>4.6420246500000002E-4</v>
      </c>
      <c r="BB127" s="56">
        <v>3.6432964520000002E-3</v>
      </c>
      <c r="BC127" s="56">
        <f t="shared" si="114"/>
        <v>0.12741276234745444</v>
      </c>
      <c r="BD127" s="13" t="str">
        <f ca="1">IF(BV!H127="","",INT(NOW()-BV!H127))</f>
        <v/>
      </c>
      <c r="BE127" s="275">
        <f t="shared" si="86"/>
        <v>46.41370940763138</v>
      </c>
      <c r="BF127" s="11" t="str">
        <f ca="1">BV!G127</f>
        <v/>
      </c>
      <c r="BG127" s="11" t="str">
        <f ca="1">BV!O127</f>
        <v/>
      </c>
      <c r="BH127" s="11" t="str">
        <f ca="1">BV!W127</f>
        <v/>
      </c>
      <c r="BI127" s="11" t="str">
        <f ca="1">BV!AE127</f>
        <v/>
      </c>
      <c r="BJ127" s="11" t="str">
        <f ca="1">BV!AM127</f>
        <v/>
      </c>
      <c r="BK127" s="11" t="str">
        <f ca="1">BV!AU127</f>
        <v/>
      </c>
      <c r="BL127" s="11" t="str">
        <f ca="1">BV!BC127</f>
        <v/>
      </c>
      <c r="BM127" s="11" t="str">
        <f ca="1">BV!BK127</f>
        <v/>
      </c>
      <c r="BN127" s="11" t="str">
        <f ca="1">BV!BS127</f>
        <v/>
      </c>
      <c r="BO127" s="11" t="str">
        <f ca="1">BV!CA127</f>
        <v/>
      </c>
      <c r="BP127" s="433">
        <v>102</v>
      </c>
      <c r="BQ127" s="11" t="str">
        <f ca="1">IFERROR(YEAR(OFFSET(BV!$H127,,(COLUMN()-69)*8)),"")</f>
        <v/>
      </c>
      <c r="BR127" s="11" t="str">
        <f ca="1">IFERROR(YEAR(OFFSET(BV!$H127,,(COLUMN()-69)*8)),"")</f>
        <v/>
      </c>
      <c r="BS127" s="11" t="str">
        <f ca="1">IFERROR(YEAR(OFFSET(BV!$H127,,(COLUMN()-69)*8)),"")</f>
        <v/>
      </c>
      <c r="BT127" s="11" t="str">
        <f ca="1">IFERROR(YEAR(OFFSET(BV!$H127,,(COLUMN()-69)*8)),"")</f>
        <v/>
      </c>
      <c r="BU127" s="11" t="str">
        <f ca="1">IFERROR(YEAR(OFFSET(BV!$H127,,(COLUMN()-69)*8)),"")</f>
        <v/>
      </c>
      <c r="BV127" s="11" t="str">
        <f ca="1">IFERROR(YEAR(OFFSET(BV!$H127,,(COLUMN()-69)*8)),"")</f>
        <v/>
      </c>
      <c r="BW127" s="11" t="str">
        <f ca="1">IFERROR(YEAR(OFFSET(BV!$H127,,(COLUMN()-69)*8)),"")</f>
        <v/>
      </c>
      <c r="BX127" s="11" t="str">
        <f ca="1">IFERROR(YEAR(OFFSET(BV!$H127,,(COLUMN()-69)*8)),"")</f>
        <v/>
      </c>
      <c r="BY127" s="11" t="str">
        <f ca="1">IFERROR(YEAR(OFFSET(BV!$H127,,(COLUMN()-69)*8)),"")</f>
        <v/>
      </c>
      <c r="BZ127" s="11" t="str">
        <f ca="1">IFERROR(YEAR(OFFSET(BV!$H127,,(COLUMN()-69)*8)),"")</f>
        <v/>
      </c>
    </row>
    <row r="128" spans="1:78" x14ac:dyDescent="0.25">
      <c r="A128" s="433">
        <v>103</v>
      </c>
      <c r="B128" s="11" t="str">
        <f ca="1">BV!D128</f>
        <v/>
      </c>
      <c r="C128" s="11" t="str">
        <f ca="1">BV!L128</f>
        <v/>
      </c>
      <c r="D128" s="11" t="str">
        <f ca="1">BV!T128</f>
        <v/>
      </c>
      <c r="E128" s="11" t="str">
        <f ca="1">BV!AB128</f>
        <v/>
      </c>
      <c r="F128" s="11" t="str">
        <f ca="1">BV!AJ128</f>
        <v/>
      </c>
      <c r="G128" s="11" t="str">
        <f ca="1">BV!AR128</f>
        <v/>
      </c>
      <c r="H128" s="11" t="str">
        <f ca="1">BV!AZ128</f>
        <v/>
      </c>
      <c r="I128" s="11" t="str">
        <f ca="1">BV!BH128</f>
        <v/>
      </c>
      <c r="J128" s="11" t="str">
        <f ca="1">BV!BP128</f>
        <v/>
      </c>
      <c r="K128" s="11" t="str">
        <f ca="1">BV!BX128</f>
        <v/>
      </c>
      <c r="L128" s="271" t="s">
        <v>67</v>
      </c>
      <c r="M128" s="261">
        <v>3.7933365800000001E-4</v>
      </c>
      <c r="N128" s="272" t="str">
        <f t="shared" ca="1" si="112"/>
        <v/>
      </c>
      <c r="O128" s="31"/>
      <c r="P128" s="1"/>
      <c r="Q128" s="1"/>
      <c r="R128" s="1"/>
      <c r="S128" s="1"/>
      <c r="T128" s="1"/>
      <c r="U128" s="1"/>
      <c r="V128" s="317"/>
      <c r="W128" s="317"/>
      <c r="X128" s="317"/>
      <c r="Y128" s="317"/>
      <c r="AA128" s="620">
        <f ca="1">LARGE(OFFSET(BV!H$2,,AH128*8-8,430),AG128)</f>
        <v>44168.097000000002</v>
      </c>
      <c r="AB128" s="620"/>
      <c r="AC128" s="1">
        <f ca="1">INDEX(OFFSET(BV!A$2,,AH128*8-8,430),$AK128)</f>
        <v>72</v>
      </c>
      <c r="AD128" s="594">
        <f ca="1">INDEX(OFFSET(BV!C$2,,AH128*8-8,430),$AK128)</f>
        <v>25</v>
      </c>
      <c r="AE128" s="594"/>
      <c r="AF128" s="1">
        <f ca="1">INDEX(OFFSET(BV!D$2,,AH128*8-8,430),$AK128)</f>
        <v>2.88</v>
      </c>
      <c r="AG128" s="1">
        <v>3</v>
      </c>
      <c r="AH128" s="1">
        <v>3</v>
      </c>
      <c r="AI128" s="315"/>
      <c r="AJ128" s="315"/>
      <c r="AK128" s="480">
        <f ca="1">MATCH(AA128,OFFSET(BV!H$2,,AH128*8-8,430),0)</f>
        <v>96</v>
      </c>
      <c r="AL128" s="315"/>
      <c r="AM128" s="315"/>
      <c r="AN128" s="433">
        <v>103</v>
      </c>
      <c r="AO128" s="11" t="str">
        <f ca="1">BV!C128</f>
        <v/>
      </c>
      <c r="AP128" s="11" t="str">
        <f ca="1">BV!K128</f>
        <v/>
      </c>
      <c r="AQ128" s="11" t="str">
        <f ca="1">BV!S128</f>
        <v/>
      </c>
      <c r="AR128" s="11" t="str">
        <f ca="1">BV!AA128</f>
        <v/>
      </c>
      <c r="AS128" s="11" t="str">
        <f ca="1">BV!AI128</f>
        <v/>
      </c>
      <c r="AT128" s="11" t="str">
        <f ca="1">BV!AQ128</f>
        <v/>
      </c>
      <c r="AU128" s="11" t="str">
        <f ca="1">BV!AY128</f>
        <v/>
      </c>
      <c r="AV128" s="11" t="str">
        <f ca="1">BV!BG128</f>
        <v/>
      </c>
      <c r="AW128" s="11" t="str">
        <f ca="1">BV!BO128</f>
        <v/>
      </c>
      <c r="AX128" s="11" t="str">
        <f ca="1">BV!BW128</f>
        <v/>
      </c>
      <c r="AY128" s="271" t="s">
        <v>67</v>
      </c>
      <c r="AZ128" s="274">
        <f t="shared" si="113"/>
        <v>3.4209786209535413</v>
      </c>
      <c r="BA128" s="261">
        <v>3.7933365800000001E-4</v>
      </c>
      <c r="BB128" s="56">
        <v>3.6432964520000002E-3</v>
      </c>
      <c r="BC128" s="56">
        <f t="shared" si="114"/>
        <v>0.10411825197254082</v>
      </c>
      <c r="BD128" s="13" t="str">
        <f ca="1">IF(BV!H128="","",INT(NOW()-BV!H128))</f>
        <v/>
      </c>
      <c r="BE128" s="275">
        <f t="shared" si="86"/>
        <v>51.343953978441064</v>
      </c>
      <c r="BF128" s="11" t="str">
        <f ca="1">BV!G128</f>
        <v/>
      </c>
      <c r="BG128" s="11" t="str">
        <f ca="1">BV!O128</f>
        <v/>
      </c>
      <c r="BH128" s="11" t="str">
        <f ca="1">BV!W128</f>
        <v/>
      </c>
      <c r="BI128" s="11" t="str">
        <f ca="1">BV!AE128</f>
        <v/>
      </c>
      <c r="BJ128" s="11" t="str">
        <f ca="1">BV!AM128</f>
        <v/>
      </c>
      <c r="BK128" s="11" t="str">
        <f ca="1">BV!AU128</f>
        <v/>
      </c>
      <c r="BL128" s="11" t="str">
        <f ca="1">BV!BC128</f>
        <v/>
      </c>
      <c r="BM128" s="11" t="str">
        <f ca="1">BV!BK128</f>
        <v/>
      </c>
      <c r="BN128" s="11" t="str">
        <f ca="1">BV!BS128</f>
        <v/>
      </c>
      <c r="BO128" s="11" t="str">
        <f ca="1">BV!CA128</f>
        <v/>
      </c>
      <c r="BP128" s="433">
        <v>103</v>
      </c>
      <c r="BQ128" s="11" t="str">
        <f ca="1">IFERROR(YEAR(OFFSET(BV!$H128,,(COLUMN()-69)*8)),"")</f>
        <v/>
      </c>
      <c r="BR128" s="11" t="str">
        <f ca="1">IFERROR(YEAR(OFFSET(BV!$H128,,(COLUMN()-69)*8)),"")</f>
        <v/>
      </c>
      <c r="BS128" s="11" t="str">
        <f ca="1">IFERROR(YEAR(OFFSET(BV!$H128,,(COLUMN()-69)*8)),"")</f>
        <v/>
      </c>
      <c r="BT128" s="11" t="str">
        <f ca="1">IFERROR(YEAR(OFFSET(BV!$H128,,(COLUMN()-69)*8)),"")</f>
        <v/>
      </c>
      <c r="BU128" s="11" t="str">
        <f ca="1">IFERROR(YEAR(OFFSET(BV!$H128,,(COLUMN()-69)*8)),"")</f>
        <v/>
      </c>
      <c r="BV128" s="11" t="str">
        <f ca="1">IFERROR(YEAR(OFFSET(BV!$H128,,(COLUMN()-69)*8)),"")</f>
        <v/>
      </c>
      <c r="BW128" s="11" t="str">
        <f ca="1">IFERROR(YEAR(OFFSET(BV!$H128,,(COLUMN()-69)*8)),"")</f>
        <v/>
      </c>
      <c r="BX128" s="11" t="str">
        <f ca="1">IFERROR(YEAR(OFFSET(BV!$H128,,(COLUMN()-69)*8)),"")</f>
        <v/>
      </c>
      <c r="BY128" s="11" t="str">
        <f ca="1">IFERROR(YEAR(OFFSET(BV!$H128,,(COLUMN()-69)*8)),"")</f>
        <v/>
      </c>
      <c r="BZ128" s="11" t="str">
        <f ca="1">IFERROR(YEAR(OFFSET(BV!$H128,,(COLUMN()-69)*8)),"")</f>
        <v/>
      </c>
    </row>
    <row r="129" spans="1:78" x14ac:dyDescent="0.25">
      <c r="A129" s="433">
        <v>104</v>
      </c>
      <c r="B129" s="11" t="str">
        <f ca="1">BV!D129</f>
        <v/>
      </c>
      <c r="C129" s="11" t="str">
        <f ca="1">BV!L129</f>
        <v/>
      </c>
      <c r="D129" s="11" t="str">
        <f ca="1">BV!T129</f>
        <v/>
      </c>
      <c r="E129" s="11" t="str">
        <f ca="1">BV!AB129</f>
        <v/>
      </c>
      <c r="F129" s="11" t="str">
        <f ca="1">BV!AJ129</f>
        <v/>
      </c>
      <c r="G129" s="11" t="str">
        <f ca="1">BV!AR129</f>
        <v/>
      </c>
      <c r="H129" s="11" t="str">
        <f ca="1">BV!AZ129</f>
        <v/>
      </c>
      <c r="I129" s="11" t="str">
        <f ca="1">BV!BH129</f>
        <v/>
      </c>
      <c r="J129" s="11" t="str">
        <f ca="1">BV!BP129</f>
        <v/>
      </c>
      <c r="K129" s="11" t="str">
        <f ca="1">BV!BX129</f>
        <v/>
      </c>
      <c r="L129" s="271" t="s">
        <v>67</v>
      </c>
      <c r="M129" s="261">
        <v>3.0879840100000002E-4</v>
      </c>
      <c r="N129" s="272" t="str">
        <f t="shared" ca="1" si="112"/>
        <v/>
      </c>
      <c r="O129" s="326"/>
      <c r="P129" s="1"/>
      <c r="Q129" s="1"/>
      <c r="R129" s="1"/>
      <c r="S129" s="1"/>
      <c r="T129" s="1"/>
      <c r="U129" s="1"/>
      <c r="V129" s="317"/>
      <c r="W129" s="317"/>
      <c r="X129" s="317"/>
      <c r="Y129" s="317"/>
      <c r="AA129" s="620">
        <f ca="1">LARGE(OFFSET(BV!H$2,,AH129*8-8,430),AG129)</f>
        <v>44168.09</v>
      </c>
      <c r="AB129" s="620"/>
      <c r="AC129" s="1">
        <f ca="1">INDEX(OFFSET(BV!A$2,,AH129*8-8,430),$AK129)</f>
        <v>65</v>
      </c>
      <c r="AD129" s="594">
        <f ca="1">INDEX(OFFSET(BV!C$2,,AH129*8-8,430),$AK129)</f>
        <v>23.13</v>
      </c>
      <c r="AE129" s="594"/>
      <c r="AF129" s="1">
        <f ca="1">INDEX(OFFSET(BV!D$2,,AH129*8-8,430),$AK129)</f>
        <v>2.8102031993082579</v>
      </c>
      <c r="AG129" s="1">
        <v>4</v>
      </c>
      <c r="AH129" s="1">
        <v>3</v>
      </c>
      <c r="AI129" s="315"/>
      <c r="AJ129" s="315"/>
      <c r="AK129" s="480">
        <f ca="1">MATCH(AA129,OFFSET(BV!H$2,,AH129*8-8,430),0)</f>
        <v>89</v>
      </c>
      <c r="AL129" s="315"/>
      <c r="AM129" s="315"/>
      <c r="AN129" s="433">
        <v>104</v>
      </c>
      <c r="AO129" s="11" t="str">
        <f ca="1">BV!C129</f>
        <v/>
      </c>
      <c r="AP129" s="11" t="str">
        <f ca="1">BV!K129</f>
        <v/>
      </c>
      <c r="AQ129" s="11" t="str">
        <f ca="1">BV!S129</f>
        <v/>
      </c>
      <c r="AR129" s="11" t="str">
        <f ca="1">BV!AA129</f>
        <v/>
      </c>
      <c r="AS129" s="11" t="str">
        <f ca="1">BV!AI129</f>
        <v/>
      </c>
      <c r="AT129" s="11" t="str">
        <f ca="1">BV!AQ129</f>
        <v/>
      </c>
      <c r="AU129" s="11" t="str">
        <f ca="1">BV!AY129</f>
        <v/>
      </c>
      <c r="AV129" s="11" t="str">
        <f ca="1">BV!BG129</f>
        <v/>
      </c>
      <c r="AW129" s="11" t="str">
        <f ca="1">BV!BO129</f>
        <v/>
      </c>
      <c r="AX129" s="11" t="str">
        <f ca="1">BV!BW129</f>
        <v/>
      </c>
      <c r="AY129" s="271" t="s">
        <v>67</v>
      </c>
      <c r="AZ129" s="274">
        <f t="shared" si="113"/>
        <v>3.5103249571662061</v>
      </c>
      <c r="BA129" s="261">
        <v>3.0879840100000002E-4</v>
      </c>
      <c r="BB129" s="56">
        <v>3.6432964520000002E-3</v>
      </c>
      <c r="BC129" s="56">
        <f t="shared" si="114"/>
        <v>8.4757967151008001E-2</v>
      </c>
      <c r="BD129" s="13" t="str">
        <f ca="1">IF(BV!H129="","",INT(NOW()-BV!H129))</f>
        <v/>
      </c>
      <c r="BE129" s="275">
        <f t="shared" si="86"/>
        <v>56.906579035167987</v>
      </c>
      <c r="BF129" s="11" t="str">
        <f ca="1">BV!G129</f>
        <v/>
      </c>
      <c r="BG129" s="11" t="str">
        <f ca="1">BV!O129</f>
        <v/>
      </c>
      <c r="BH129" s="11" t="str">
        <f ca="1">BV!W129</f>
        <v/>
      </c>
      <c r="BI129" s="11" t="str">
        <f ca="1">BV!AE129</f>
        <v/>
      </c>
      <c r="BJ129" s="11" t="str">
        <f ca="1">BV!AM129</f>
        <v/>
      </c>
      <c r="BK129" s="11" t="str">
        <f ca="1">BV!AU129</f>
        <v/>
      </c>
      <c r="BL129" s="11" t="str">
        <f ca="1">BV!BC129</f>
        <v/>
      </c>
      <c r="BM129" s="11" t="str">
        <f ca="1">BV!BK129</f>
        <v/>
      </c>
      <c r="BN129" s="11" t="str">
        <f ca="1">BV!BS129</f>
        <v/>
      </c>
      <c r="BO129" s="11" t="str">
        <f ca="1">BV!CA129</f>
        <v/>
      </c>
      <c r="BP129" s="433">
        <v>104</v>
      </c>
      <c r="BQ129" s="11" t="str">
        <f ca="1">IFERROR(YEAR(OFFSET(BV!$H129,,(COLUMN()-69)*8)),"")</f>
        <v/>
      </c>
      <c r="BR129" s="11" t="str">
        <f ca="1">IFERROR(YEAR(OFFSET(BV!$H129,,(COLUMN()-69)*8)),"")</f>
        <v/>
      </c>
      <c r="BS129" s="11" t="str">
        <f ca="1">IFERROR(YEAR(OFFSET(BV!$H129,,(COLUMN()-69)*8)),"")</f>
        <v/>
      </c>
      <c r="BT129" s="11" t="str">
        <f ca="1">IFERROR(YEAR(OFFSET(BV!$H129,,(COLUMN()-69)*8)),"")</f>
        <v/>
      </c>
      <c r="BU129" s="11" t="str">
        <f ca="1">IFERROR(YEAR(OFFSET(BV!$H129,,(COLUMN()-69)*8)),"")</f>
        <v/>
      </c>
      <c r="BV129" s="11" t="str">
        <f ca="1">IFERROR(YEAR(OFFSET(BV!$H129,,(COLUMN()-69)*8)),"")</f>
        <v/>
      </c>
      <c r="BW129" s="11" t="str">
        <f ca="1">IFERROR(YEAR(OFFSET(BV!$H129,,(COLUMN()-69)*8)),"")</f>
        <v/>
      </c>
      <c r="BX129" s="11" t="str">
        <f ca="1">IFERROR(YEAR(OFFSET(BV!$H129,,(COLUMN()-69)*8)),"")</f>
        <v/>
      </c>
      <c r="BY129" s="11" t="str">
        <f ca="1">IFERROR(YEAR(OFFSET(BV!$H129,,(COLUMN()-69)*8)),"")</f>
        <v/>
      </c>
      <c r="BZ129" s="11" t="str">
        <f ca="1">IFERROR(YEAR(OFFSET(BV!$H129,,(COLUMN()-69)*8)),"")</f>
        <v/>
      </c>
    </row>
    <row r="130" spans="1:78" x14ac:dyDescent="0.25">
      <c r="A130" s="433">
        <v>105</v>
      </c>
      <c r="B130" s="11" t="str">
        <f ca="1">BV!D130</f>
        <v/>
      </c>
      <c r="C130" s="11" t="str">
        <f ca="1">BV!L130</f>
        <v/>
      </c>
      <c r="D130" s="11" t="str">
        <f ca="1">BV!T130</f>
        <v/>
      </c>
      <c r="E130" s="11" t="str">
        <f ca="1">BV!AB130</f>
        <v/>
      </c>
      <c r="F130" s="11" t="str">
        <f ca="1">BV!AJ130</f>
        <v/>
      </c>
      <c r="G130" s="11" t="str">
        <f ca="1">BV!AR130</f>
        <v/>
      </c>
      <c r="H130" s="11" t="str">
        <f ca="1">BV!AZ130</f>
        <v/>
      </c>
      <c r="I130" s="11" t="str">
        <f ca="1">BV!BH130</f>
        <v/>
      </c>
      <c r="J130" s="11" t="str">
        <f ca="1">BV!BP130</f>
        <v/>
      </c>
      <c r="K130" s="11" t="str">
        <f ca="1">BV!BX130</f>
        <v/>
      </c>
      <c r="L130" s="271" t="s">
        <v>67</v>
      </c>
      <c r="M130" s="261">
        <v>2.50491646E-4</v>
      </c>
      <c r="N130" s="272" t="str">
        <f t="shared" ca="1" si="112"/>
        <v/>
      </c>
      <c r="O130" s="4"/>
      <c r="P130" s="515"/>
      <c r="Q130" s="515"/>
      <c r="R130" s="515"/>
      <c r="S130" s="515"/>
      <c r="T130" s="515"/>
      <c r="U130" s="15"/>
      <c r="V130" s="317"/>
      <c r="W130" s="317"/>
      <c r="X130" s="317"/>
      <c r="Y130" s="317"/>
      <c r="AA130" s="620">
        <f ca="1">LARGE(OFFSET(BV!H$2,,AH130*8-8,430),AG130)</f>
        <v>44168.008999999998</v>
      </c>
      <c r="AB130" s="620"/>
      <c r="AC130" s="1">
        <f ca="1">INDEX(OFFSET(BV!A$2,,AH130*8-8,430),$AK130)</f>
        <v>9</v>
      </c>
      <c r="AD130" s="594">
        <f ca="1">INDEX(OFFSET(BV!C$2,,AH130*8-8,430),$AK130)</f>
        <v>2.85</v>
      </c>
      <c r="AE130" s="594"/>
      <c r="AF130" s="1">
        <f ca="1">INDEX(OFFSET(BV!D$2,,AH130*8-8,430),$AK130)</f>
        <v>3.1578947368421053</v>
      </c>
      <c r="AG130" s="1">
        <v>5</v>
      </c>
      <c r="AH130" s="1">
        <v>3</v>
      </c>
      <c r="AI130" s="315"/>
      <c r="AJ130" s="315"/>
      <c r="AK130" s="480">
        <f ca="1">MATCH(AA130,OFFSET(BV!H$2,,AH130*8-8,430),0)</f>
        <v>8</v>
      </c>
      <c r="AL130" s="315"/>
      <c r="AM130" s="315"/>
      <c r="AN130" s="433">
        <v>105</v>
      </c>
      <c r="AO130" s="11" t="str">
        <f ca="1">BV!C130</f>
        <v/>
      </c>
      <c r="AP130" s="11" t="str">
        <f ca="1">BV!K130</f>
        <v/>
      </c>
      <c r="AQ130" s="11" t="str">
        <f ca="1">BV!S130</f>
        <v/>
      </c>
      <c r="AR130" s="11" t="str">
        <f ca="1">BV!AA130</f>
        <v/>
      </c>
      <c r="AS130" s="11" t="str">
        <f ca="1">BV!AI130</f>
        <v/>
      </c>
      <c r="AT130" s="11" t="str">
        <f ca="1">BV!AQ130</f>
        <v/>
      </c>
      <c r="AU130" s="11" t="str">
        <f ca="1">BV!AY130</f>
        <v/>
      </c>
      <c r="AV130" s="11" t="str">
        <f ca="1">BV!BG130</f>
        <v/>
      </c>
      <c r="AW130" s="11" t="str">
        <f ca="1">BV!BO130</f>
        <v/>
      </c>
      <c r="AX130" s="11" t="str">
        <f ca="1">BV!BW130</f>
        <v/>
      </c>
      <c r="AY130" s="271" t="s">
        <v>67</v>
      </c>
      <c r="AZ130" s="274">
        <f t="shared" si="113"/>
        <v>3.601206753455819</v>
      </c>
      <c r="BA130" s="261">
        <v>2.50491646E-4</v>
      </c>
      <c r="BB130" s="56">
        <v>3.6432964520000002E-3</v>
      </c>
      <c r="BC130" s="56">
        <f t="shared" si="114"/>
        <v>6.8754121247117217E-2</v>
      </c>
      <c r="BD130" s="13" t="str">
        <f ca="1">IF(BV!H130="","",INT(NOW()-BV!H130))</f>
        <v/>
      </c>
      <c r="BE130" s="275">
        <f t="shared" si="86"/>
        <v>63.183455931497967</v>
      </c>
      <c r="BF130" s="11" t="str">
        <f ca="1">BV!G130</f>
        <v/>
      </c>
      <c r="BG130" s="11" t="str">
        <f ca="1">BV!O130</f>
        <v/>
      </c>
      <c r="BH130" s="11" t="str">
        <f ca="1">BV!W130</f>
        <v/>
      </c>
      <c r="BI130" s="11" t="str">
        <f ca="1">BV!AE130</f>
        <v/>
      </c>
      <c r="BJ130" s="11" t="str">
        <f ca="1">BV!AM130</f>
        <v/>
      </c>
      <c r="BK130" s="11" t="str">
        <f ca="1">BV!AU130</f>
        <v/>
      </c>
      <c r="BL130" s="11" t="str">
        <f ca="1">BV!BC130</f>
        <v/>
      </c>
      <c r="BM130" s="11" t="str">
        <f ca="1">BV!BK130</f>
        <v/>
      </c>
      <c r="BN130" s="11" t="str">
        <f ca="1">BV!BS130</f>
        <v/>
      </c>
      <c r="BO130" s="11" t="str">
        <f ca="1">BV!CA130</f>
        <v/>
      </c>
      <c r="BP130" s="433">
        <v>105</v>
      </c>
      <c r="BQ130" s="11" t="str">
        <f ca="1">IFERROR(YEAR(OFFSET(BV!$H130,,(COLUMN()-69)*8)),"")</f>
        <v/>
      </c>
      <c r="BR130" s="11" t="str">
        <f ca="1">IFERROR(YEAR(OFFSET(BV!$H130,,(COLUMN()-69)*8)),"")</f>
        <v/>
      </c>
      <c r="BS130" s="11" t="str">
        <f ca="1">IFERROR(YEAR(OFFSET(BV!$H130,,(COLUMN()-69)*8)),"")</f>
        <v/>
      </c>
      <c r="BT130" s="11" t="str">
        <f ca="1">IFERROR(YEAR(OFFSET(BV!$H130,,(COLUMN()-69)*8)),"")</f>
        <v/>
      </c>
      <c r="BU130" s="11" t="str">
        <f ca="1">IFERROR(YEAR(OFFSET(BV!$H130,,(COLUMN()-69)*8)),"")</f>
        <v/>
      </c>
      <c r="BV130" s="11" t="str">
        <f ca="1">IFERROR(YEAR(OFFSET(BV!$H130,,(COLUMN()-69)*8)),"")</f>
        <v/>
      </c>
      <c r="BW130" s="11" t="str">
        <f ca="1">IFERROR(YEAR(OFFSET(BV!$H130,,(COLUMN()-69)*8)),"")</f>
        <v/>
      </c>
      <c r="BX130" s="11" t="str">
        <f ca="1">IFERROR(YEAR(OFFSET(BV!$H130,,(COLUMN()-69)*8)),"")</f>
        <v/>
      </c>
      <c r="BY130" s="11" t="str">
        <f ca="1">IFERROR(YEAR(OFFSET(BV!$H130,,(COLUMN()-69)*8)),"")</f>
        <v/>
      </c>
      <c r="BZ130" s="11" t="str">
        <f ca="1">IFERROR(YEAR(OFFSET(BV!$H130,,(COLUMN()-69)*8)),"")</f>
        <v/>
      </c>
    </row>
    <row r="131" spans="1:78" x14ac:dyDescent="0.25">
      <c r="A131" s="433">
        <v>106</v>
      </c>
      <c r="B131" s="11" t="str">
        <f ca="1">BV!D131</f>
        <v/>
      </c>
      <c r="C131" s="11" t="str">
        <f ca="1">BV!L131</f>
        <v/>
      </c>
      <c r="D131" s="11" t="str">
        <f ca="1">BV!T131</f>
        <v/>
      </c>
      <c r="E131" s="11" t="str">
        <f ca="1">BV!AB131</f>
        <v/>
      </c>
      <c r="F131" s="11" t="str">
        <f ca="1">BV!AJ131</f>
        <v/>
      </c>
      <c r="G131" s="11" t="str">
        <f ca="1">BV!AR131</f>
        <v/>
      </c>
      <c r="H131" s="11" t="str">
        <f ca="1">BV!AZ131</f>
        <v/>
      </c>
      <c r="I131" s="11" t="str">
        <f ca="1">BV!BH131</f>
        <v/>
      </c>
      <c r="J131" s="11" t="str">
        <f ca="1">BV!BP131</f>
        <v/>
      </c>
      <c r="K131" s="11" t="str">
        <f ca="1">BV!BX131</f>
        <v/>
      </c>
      <c r="L131" s="271" t="s">
        <v>67</v>
      </c>
      <c r="M131" s="261">
        <v>2.0239005399999999E-4</v>
      </c>
      <c r="N131" s="272" t="str">
        <f t="shared" ca="1" si="112"/>
        <v/>
      </c>
      <c r="O131" s="36"/>
      <c r="P131" s="1"/>
      <c r="Q131" s="1"/>
      <c r="R131" s="1"/>
      <c r="S131" s="1"/>
      <c r="T131" s="1"/>
      <c r="U131" s="1"/>
      <c r="V131" s="317"/>
      <c r="W131" s="317"/>
      <c r="X131" s="317"/>
      <c r="Y131" s="317"/>
      <c r="AA131" s="620">
        <f ca="1">LARGE(OFFSET(BV!H$2,,AH131*8-8,430),AG131)</f>
        <v>44150.341999999997</v>
      </c>
      <c r="AB131" s="620"/>
      <c r="AC131" s="1">
        <f ca="1">INDEX(OFFSET(BV!A$2,,AH131*8-8,430),$AK131)</f>
        <v>200</v>
      </c>
      <c r="AD131" s="594">
        <f ca="1">INDEX(OFFSET(BV!C$2,,AH131*8-8,430),$AK131)</f>
        <v>85.75</v>
      </c>
      <c r="AE131" s="594"/>
      <c r="AF131" s="1">
        <f ca="1">INDEX(OFFSET(BV!D$2,,AH131*8-8,430),$AK131)</f>
        <v>2.3323615160349855</v>
      </c>
      <c r="AG131" s="1">
        <v>6</v>
      </c>
      <c r="AH131" s="1">
        <v>3</v>
      </c>
      <c r="AI131" s="315"/>
      <c r="AJ131" s="315"/>
      <c r="AK131" s="480">
        <f ca="1">MATCH(AA131,OFFSET(BV!H$2,,AH131*8-8,430),0)</f>
        <v>341</v>
      </c>
      <c r="AL131" s="315"/>
      <c r="AM131" s="315"/>
      <c r="AN131" s="433">
        <v>106</v>
      </c>
      <c r="AO131" s="11" t="str">
        <f ca="1">BV!C131</f>
        <v/>
      </c>
      <c r="AP131" s="11" t="str">
        <f ca="1">BV!K131</f>
        <v/>
      </c>
      <c r="AQ131" s="11" t="str">
        <f ca="1">BV!S131</f>
        <v/>
      </c>
      <c r="AR131" s="11" t="str">
        <f ca="1">BV!AA131</f>
        <v/>
      </c>
      <c r="AS131" s="11" t="str">
        <f ca="1">BV!AI131</f>
        <v/>
      </c>
      <c r="AT131" s="11" t="str">
        <f ca="1">BV!AQ131</f>
        <v/>
      </c>
      <c r="AU131" s="11" t="str">
        <f ca="1">BV!AY131</f>
        <v/>
      </c>
      <c r="AV131" s="11" t="str">
        <f ca="1">BV!BG131</f>
        <v/>
      </c>
      <c r="AW131" s="11" t="str">
        <f ca="1">BV!BO131</f>
        <v/>
      </c>
      <c r="AX131" s="11" t="str">
        <f ca="1">BV!BW131</f>
        <v/>
      </c>
      <c r="AY131" s="271" t="s">
        <v>67</v>
      </c>
      <c r="AZ131" s="274">
        <f t="shared" si="113"/>
        <v>3.6938108337247835</v>
      </c>
      <c r="BA131" s="261">
        <v>2.0239005399999999E-4</v>
      </c>
      <c r="BB131" s="56">
        <v>3.6432964520000002E-3</v>
      </c>
      <c r="BC131" s="56">
        <f t="shared" si="114"/>
        <v>5.555135484209562E-2</v>
      </c>
      <c r="BD131" s="13" t="str">
        <f ca="1">IF(BV!H131="","",INT(NOW()-BV!H131))</f>
        <v/>
      </c>
      <c r="BE131" s="275">
        <f t="shared" ref="BE131:BE167" si="115">1/M131^0.5</f>
        <v>70.29192174429015</v>
      </c>
      <c r="BF131" s="11" t="str">
        <f ca="1">BV!G131</f>
        <v/>
      </c>
      <c r="BG131" s="11" t="str">
        <f ca="1">BV!O131</f>
        <v/>
      </c>
      <c r="BH131" s="11" t="str">
        <f ca="1">BV!W131</f>
        <v/>
      </c>
      <c r="BI131" s="11" t="str">
        <f ca="1">BV!AE131</f>
        <v/>
      </c>
      <c r="BJ131" s="11" t="str">
        <f ca="1">BV!AM131</f>
        <v/>
      </c>
      <c r="BK131" s="11" t="str">
        <f ca="1">BV!AU131</f>
        <v/>
      </c>
      <c r="BL131" s="11" t="str">
        <f ca="1">BV!BC131</f>
        <v/>
      </c>
      <c r="BM131" s="11" t="str">
        <f ca="1">BV!BK131</f>
        <v/>
      </c>
      <c r="BN131" s="11" t="str">
        <f ca="1">BV!BS131</f>
        <v/>
      </c>
      <c r="BO131" s="11" t="str">
        <f ca="1">BV!CA131</f>
        <v/>
      </c>
      <c r="BP131" s="433">
        <v>106</v>
      </c>
      <c r="BQ131" s="11" t="str">
        <f ca="1">IFERROR(YEAR(OFFSET(BV!$H131,,(COLUMN()-69)*8)),"")</f>
        <v/>
      </c>
      <c r="BR131" s="11" t="str">
        <f ca="1">IFERROR(YEAR(OFFSET(BV!$H131,,(COLUMN()-69)*8)),"")</f>
        <v/>
      </c>
      <c r="BS131" s="11" t="str">
        <f ca="1">IFERROR(YEAR(OFFSET(BV!$H131,,(COLUMN()-69)*8)),"")</f>
        <v/>
      </c>
      <c r="BT131" s="11" t="str">
        <f ca="1">IFERROR(YEAR(OFFSET(BV!$H131,,(COLUMN()-69)*8)),"")</f>
        <v/>
      </c>
      <c r="BU131" s="11" t="str">
        <f ca="1">IFERROR(YEAR(OFFSET(BV!$H131,,(COLUMN()-69)*8)),"")</f>
        <v/>
      </c>
      <c r="BV131" s="11" t="str">
        <f ca="1">IFERROR(YEAR(OFFSET(BV!$H131,,(COLUMN()-69)*8)),"")</f>
        <v/>
      </c>
      <c r="BW131" s="11" t="str">
        <f ca="1">IFERROR(YEAR(OFFSET(BV!$H131,,(COLUMN()-69)*8)),"")</f>
        <v/>
      </c>
      <c r="BX131" s="11" t="str">
        <f ca="1">IFERROR(YEAR(OFFSET(BV!$H131,,(COLUMN()-69)*8)),"")</f>
        <v/>
      </c>
      <c r="BY131" s="11" t="str">
        <f ca="1">IFERROR(YEAR(OFFSET(BV!$H131,,(COLUMN()-69)*8)),"")</f>
        <v/>
      </c>
      <c r="BZ131" s="11" t="str">
        <f ca="1">IFERROR(YEAR(OFFSET(BV!$H131,,(COLUMN()-69)*8)),"")</f>
        <v/>
      </c>
    </row>
    <row r="132" spans="1:78" x14ac:dyDescent="0.25">
      <c r="A132" s="433">
        <v>107</v>
      </c>
      <c r="B132" s="11" t="str">
        <f ca="1">BV!D132</f>
        <v/>
      </c>
      <c r="C132" s="11" t="str">
        <f ca="1">BV!L132</f>
        <v/>
      </c>
      <c r="D132" s="11" t="str">
        <f ca="1">BV!T132</f>
        <v/>
      </c>
      <c r="E132" s="11" t="str">
        <f ca="1">BV!AB132</f>
        <v/>
      </c>
      <c r="F132" s="11" t="str">
        <f ca="1">BV!AJ132</f>
        <v/>
      </c>
      <c r="G132" s="11" t="str">
        <f ca="1">BV!AR132</f>
        <v/>
      </c>
      <c r="H132" s="11" t="str">
        <f ca="1">BV!AZ132</f>
        <v/>
      </c>
      <c r="I132" s="11" t="str">
        <f ca="1">BV!BH132</f>
        <v/>
      </c>
      <c r="J132" s="11" t="str">
        <f ca="1">BV!BP132</f>
        <v/>
      </c>
      <c r="K132" s="11" t="str">
        <f ca="1">BV!BX132</f>
        <v/>
      </c>
      <c r="L132" s="271" t="s">
        <v>67</v>
      </c>
      <c r="M132" s="261">
        <v>1.62981191E-4</v>
      </c>
      <c r="N132" s="272" t="str">
        <f t="shared" ca="1" si="112"/>
        <v/>
      </c>
      <c r="O132" s="36"/>
      <c r="P132" s="1"/>
      <c r="Q132" s="1"/>
      <c r="R132" s="1"/>
      <c r="S132" s="1"/>
      <c r="T132" s="1"/>
      <c r="U132" s="1"/>
      <c r="V132" s="317"/>
      <c r="W132" s="317"/>
      <c r="X132" s="317"/>
      <c r="Y132" s="317"/>
      <c r="AA132" s="620">
        <f ca="1">LARGE(OFFSET(BV!H$2,,AH132*8-8,430),AG132)</f>
        <v>44149.334000000003</v>
      </c>
      <c r="AB132" s="620"/>
      <c r="AC132" s="1">
        <f ca="1">INDEX(OFFSET(BV!A$2,,AH132*8-8,430),$AK132)</f>
        <v>192</v>
      </c>
      <c r="AD132" s="594">
        <f ca="1">INDEX(OFFSET(BV!C$2,,AH132*8-8,430),$AK132)</f>
        <v>79.23</v>
      </c>
      <c r="AE132" s="594"/>
      <c r="AF132" s="1">
        <f ca="1">INDEX(OFFSET(BV!D$2,,AH132*8-8,430),$AK132)</f>
        <v>2.4233244982961</v>
      </c>
      <c r="AG132" s="1">
        <v>7</v>
      </c>
      <c r="AH132" s="1">
        <v>3</v>
      </c>
      <c r="AI132" s="315"/>
      <c r="AJ132" s="315"/>
      <c r="AK132" s="480">
        <f ca="1">MATCH(AA132,OFFSET(BV!H$2,,AH132*8-8,430),0)</f>
        <v>333</v>
      </c>
      <c r="AL132" s="315"/>
      <c r="AM132" s="315"/>
      <c r="AN132" s="433">
        <v>107</v>
      </c>
      <c r="AO132" s="11" t="str">
        <f ca="1">BV!C132</f>
        <v/>
      </c>
      <c r="AP132" s="11" t="str">
        <f ca="1">BV!K132</f>
        <v/>
      </c>
      <c r="AQ132" s="11" t="str">
        <f ca="1">BV!S132</f>
        <v/>
      </c>
      <c r="AR132" s="11" t="str">
        <f ca="1">BV!AA132</f>
        <v/>
      </c>
      <c r="AS132" s="11" t="str">
        <f ca="1">BV!AI132</f>
        <v/>
      </c>
      <c r="AT132" s="11" t="str">
        <f ca="1">BV!AQ132</f>
        <v/>
      </c>
      <c r="AU132" s="11" t="str">
        <f ca="1">BV!AY132</f>
        <v/>
      </c>
      <c r="AV132" s="11" t="str">
        <f ca="1">BV!BG132</f>
        <v/>
      </c>
      <c r="AW132" s="11" t="str">
        <f ca="1">BV!BO132</f>
        <v/>
      </c>
      <c r="AX132" s="11" t="str">
        <f ca="1">BV!BW132</f>
        <v/>
      </c>
      <c r="AY132" s="271" t="s">
        <v>67</v>
      </c>
      <c r="AZ132" s="274">
        <f t="shared" si="113"/>
        <v>3.7878625128736321</v>
      </c>
      <c r="BA132" s="261">
        <v>1.62981191E-4</v>
      </c>
      <c r="BB132" s="56">
        <v>3.6432964520000002E-3</v>
      </c>
      <c r="BC132" s="56">
        <f t="shared" si="114"/>
        <v>4.473454003736943E-2</v>
      </c>
      <c r="BD132" s="13" t="str">
        <f ca="1">IF(BV!H132="","",INT(NOW()-BV!H132))</f>
        <v/>
      </c>
      <c r="BE132" s="275">
        <f t="shared" si="115"/>
        <v>78.330564514418327</v>
      </c>
      <c r="BF132" s="11" t="str">
        <f ca="1">BV!G132</f>
        <v/>
      </c>
      <c r="BG132" s="11" t="str">
        <f ca="1">BV!O132</f>
        <v/>
      </c>
      <c r="BH132" s="11" t="str">
        <f ca="1">BV!W132</f>
        <v/>
      </c>
      <c r="BI132" s="11" t="str">
        <f ca="1">BV!AE132</f>
        <v/>
      </c>
      <c r="BJ132" s="11" t="str">
        <f ca="1">BV!AM132</f>
        <v/>
      </c>
      <c r="BK132" s="11" t="str">
        <f ca="1">BV!AU132</f>
        <v/>
      </c>
      <c r="BL132" s="11" t="str">
        <f ca="1">BV!BC132</f>
        <v/>
      </c>
      <c r="BM132" s="11" t="str">
        <f ca="1">BV!BK132</f>
        <v/>
      </c>
      <c r="BN132" s="11" t="str">
        <f ca="1">BV!BS132</f>
        <v/>
      </c>
      <c r="BO132" s="11" t="str">
        <f ca="1">BV!CA132</f>
        <v/>
      </c>
      <c r="BP132" s="433">
        <v>107</v>
      </c>
      <c r="BQ132" s="11" t="str">
        <f ca="1">IFERROR(YEAR(OFFSET(BV!$H132,,(COLUMN()-69)*8)),"")</f>
        <v/>
      </c>
      <c r="BR132" s="11" t="str">
        <f ca="1">IFERROR(YEAR(OFFSET(BV!$H132,,(COLUMN()-69)*8)),"")</f>
        <v/>
      </c>
      <c r="BS132" s="11" t="str">
        <f ca="1">IFERROR(YEAR(OFFSET(BV!$H132,,(COLUMN()-69)*8)),"")</f>
        <v/>
      </c>
      <c r="BT132" s="11" t="str">
        <f ca="1">IFERROR(YEAR(OFFSET(BV!$H132,,(COLUMN()-69)*8)),"")</f>
        <v/>
      </c>
      <c r="BU132" s="11" t="str">
        <f ca="1">IFERROR(YEAR(OFFSET(BV!$H132,,(COLUMN()-69)*8)),"")</f>
        <v/>
      </c>
      <c r="BV132" s="11" t="str">
        <f ca="1">IFERROR(YEAR(OFFSET(BV!$H132,,(COLUMN()-69)*8)),"")</f>
        <v/>
      </c>
      <c r="BW132" s="11" t="str">
        <f ca="1">IFERROR(YEAR(OFFSET(BV!$H132,,(COLUMN()-69)*8)),"")</f>
        <v/>
      </c>
      <c r="BX132" s="11" t="str">
        <f ca="1">IFERROR(YEAR(OFFSET(BV!$H132,,(COLUMN()-69)*8)),"")</f>
        <v/>
      </c>
      <c r="BY132" s="11" t="str">
        <f ca="1">IFERROR(YEAR(OFFSET(BV!$H132,,(COLUMN()-69)*8)),"")</f>
        <v/>
      </c>
      <c r="BZ132" s="11" t="str">
        <f ca="1">IFERROR(YEAR(OFFSET(BV!$H132,,(COLUMN()-69)*8)),"")</f>
        <v/>
      </c>
    </row>
    <row r="133" spans="1:78" x14ac:dyDescent="0.25">
      <c r="A133" s="433">
        <v>108</v>
      </c>
      <c r="B133" s="11" t="str">
        <f ca="1">BV!D133</f>
        <v/>
      </c>
      <c r="C133" s="11" t="str">
        <f ca="1">BV!L133</f>
        <v/>
      </c>
      <c r="D133" s="11" t="str">
        <f ca="1">BV!T133</f>
        <v/>
      </c>
      <c r="E133" s="11" t="str">
        <f ca="1">BV!AB133</f>
        <v/>
      </c>
      <c r="F133" s="11" t="str">
        <f ca="1">BV!AJ133</f>
        <v/>
      </c>
      <c r="G133" s="11" t="str">
        <f ca="1">BV!AR133</f>
        <v/>
      </c>
      <c r="H133" s="11" t="str">
        <f ca="1">BV!AZ133</f>
        <v/>
      </c>
      <c r="I133" s="11" t="str">
        <f ca="1">BV!BH133</f>
        <v/>
      </c>
      <c r="J133" s="11" t="str">
        <f ca="1">BV!BP133</f>
        <v/>
      </c>
      <c r="K133" s="11" t="str">
        <f ca="1">BV!BX133</f>
        <v/>
      </c>
      <c r="L133" s="271" t="s">
        <v>67</v>
      </c>
      <c r="M133" s="261">
        <v>1.3075219399999999E-4</v>
      </c>
      <c r="N133" s="272" t="str">
        <f t="shared" ca="1" si="112"/>
        <v/>
      </c>
      <c r="O133" s="36"/>
      <c r="P133" s="1"/>
      <c r="Q133" s="1"/>
      <c r="R133" s="1"/>
      <c r="S133" s="1"/>
      <c r="T133" s="1"/>
      <c r="U133" s="1"/>
      <c r="V133" s="317"/>
      <c r="W133" s="317"/>
      <c r="X133" s="317"/>
      <c r="Y133" s="317"/>
      <c r="AA133" s="621">
        <f ca="1">LARGE(OFFSET(BV!H$2,,AH133*8-8,430),AG133)</f>
        <v>44168.031000000003</v>
      </c>
      <c r="AB133" s="621"/>
      <c r="AC133" s="4">
        <f ca="1">INDEX(OFFSET(BV!A$2,,AH133*8-8,430),$AK133)</f>
        <v>31</v>
      </c>
      <c r="AD133" s="590">
        <f ca="1">INDEX(OFFSET(BV!C$2,,AH133*8-8,430),$AK133)</f>
        <v>8.99</v>
      </c>
      <c r="AE133" s="590"/>
      <c r="AF133" s="4">
        <f ca="1">INDEX(OFFSET(BV!D$2,,AH133*8-8,430),$AK133)</f>
        <v>3.4482758620689653</v>
      </c>
      <c r="AG133" s="4">
        <v>1</v>
      </c>
      <c r="AH133" s="4">
        <v>4</v>
      </c>
      <c r="AI133" s="315"/>
      <c r="AJ133" s="315"/>
      <c r="AK133" s="480">
        <f ca="1">MATCH(AA133,OFFSET(BV!H$2,,AH133*8-8,430),0)</f>
        <v>30</v>
      </c>
      <c r="AL133" s="315"/>
      <c r="AM133" s="315"/>
      <c r="AN133" s="433">
        <v>108</v>
      </c>
      <c r="AO133" s="11" t="str">
        <f ca="1">BV!C133</f>
        <v/>
      </c>
      <c r="AP133" s="11" t="str">
        <f ca="1">BV!K133</f>
        <v/>
      </c>
      <c r="AQ133" s="11" t="str">
        <f ca="1">BV!S133</f>
        <v/>
      </c>
      <c r="AR133" s="11" t="str">
        <f ca="1">BV!AA133</f>
        <v/>
      </c>
      <c r="AS133" s="11" t="str">
        <f ca="1">BV!AI133</f>
        <v/>
      </c>
      <c r="AT133" s="11" t="str">
        <f ca="1">BV!AQ133</f>
        <v/>
      </c>
      <c r="AU133" s="11" t="str">
        <f ca="1">BV!AY133</f>
        <v/>
      </c>
      <c r="AV133" s="11" t="str">
        <f ca="1">BV!BG133</f>
        <v/>
      </c>
      <c r="AW133" s="11" t="str">
        <f ca="1">BV!BO133</f>
        <v/>
      </c>
      <c r="AX133" s="11" t="str">
        <f ca="1">BV!BW133</f>
        <v/>
      </c>
      <c r="AY133" s="271" t="s">
        <v>67</v>
      </c>
      <c r="AZ133" s="274">
        <f t="shared" si="113"/>
        <v>3.8835510150106005</v>
      </c>
      <c r="BA133" s="261">
        <v>1.3075219399999999E-4</v>
      </c>
      <c r="BB133" s="56">
        <v>3.6432964520000002E-3</v>
      </c>
      <c r="BC133" s="56">
        <f t="shared" si="114"/>
        <v>3.5888431183859093E-2</v>
      </c>
      <c r="BD133" s="13" t="str">
        <f ca="1">IF(BV!H133="","",INT(NOW()-BV!H133))</f>
        <v/>
      </c>
      <c r="BE133" s="275">
        <f t="shared" si="115"/>
        <v>87.453160155373098</v>
      </c>
      <c r="BF133" s="11" t="str">
        <f ca="1">BV!G133</f>
        <v/>
      </c>
      <c r="BG133" s="11" t="str">
        <f ca="1">BV!O133</f>
        <v/>
      </c>
      <c r="BH133" s="11" t="str">
        <f ca="1">BV!W133</f>
        <v/>
      </c>
      <c r="BI133" s="11" t="str">
        <f ca="1">BV!AE133</f>
        <v/>
      </c>
      <c r="BJ133" s="11" t="str">
        <f ca="1">BV!AM133</f>
        <v/>
      </c>
      <c r="BK133" s="11" t="str">
        <f ca="1">BV!AU133</f>
        <v/>
      </c>
      <c r="BL133" s="11" t="str">
        <f ca="1">BV!BC133</f>
        <v/>
      </c>
      <c r="BM133" s="11" t="str">
        <f ca="1">BV!BK133</f>
        <v/>
      </c>
      <c r="BN133" s="11" t="str">
        <f ca="1">BV!BS133</f>
        <v/>
      </c>
      <c r="BO133" s="11" t="str">
        <f ca="1">BV!CA133</f>
        <v/>
      </c>
      <c r="BP133" s="433">
        <v>108</v>
      </c>
      <c r="BQ133" s="11" t="str">
        <f ca="1">IFERROR(YEAR(OFFSET(BV!$H133,,(COLUMN()-69)*8)),"")</f>
        <v/>
      </c>
      <c r="BR133" s="11" t="str">
        <f ca="1">IFERROR(YEAR(OFFSET(BV!$H133,,(COLUMN()-69)*8)),"")</f>
        <v/>
      </c>
      <c r="BS133" s="11" t="str">
        <f ca="1">IFERROR(YEAR(OFFSET(BV!$H133,,(COLUMN()-69)*8)),"")</f>
        <v/>
      </c>
      <c r="BT133" s="11" t="str">
        <f ca="1">IFERROR(YEAR(OFFSET(BV!$H133,,(COLUMN()-69)*8)),"")</f>
        <v/>
      </c>
      <c r="BU133" s="11" t="str">
        <f ca="1">IFERROR(YEAR(OFFSET(BV!$H133,,(COLUMN()-69)*8)),"")</f>
        <v/>
      </c>
      <c r="BV133" s="11" t="str">
        <f ca="1">IFERROR(YEAR(OFFSET(BV!$H133,,(COLUMN()-69)*8)),"")</f>
        <v/>
      </c>
      <c r="BW133" s="11" t="str">
        <f ca="1">IFERROR(YEAR(OFFSET(BV!$H133,,(COLUMN()-69)*8)),"")</f>
        <v/>
      </c>
      <c r="BX133" s="11" t="str">
        <f ca="1">IFERROR(YEAR(OFFSET(BV!$H133,,(COLUMN()-69)*8)),"")</f>
        <v/>
      </c>
      <c r="BY133" s="11" t="str">
        <f ca="1">IFERROR(YEAR(OFFSET(BV!$H133,,(COLUMN()-69)*8)),"")</f>
        <v/>
      </c>
      <c r="BZ133" s="11" t="str">
        <f ca="1">IFERROR(YEAR(OFFSET(BV!$H133,,(COLUMN()-69)*8)),"")</f>
        <v/>
      </c>
    </row>
    <row r="134" spans="1:78" x14ac:dyDescent="0.25">
      <c r="A134" s="433">
        <v>109</v>
      </c>
      <c r="B134" s="11" t="str">
        <f ca="1">BV!D134</f>
        <v/>
      </c>
      <c r="C134" s="11" t="str">
        <f ca="1">BV!L134</f>
        <v/>
      </c>
      <c r="D134" s="11" t="str">
        <f ca="1">BV!T134</f>
        <v/>
      </c>
      <c r="E134" s="11" t="str">
        <f ca="1">BV!AB134</f>
        <v/>
      </c>
      <c r="F134" s="11" t="str">
        <f ca="1">BV!AJ134</f>
        <v/>
      </c>
      <c r="G134" s="11" t="str">
        <f ca="1">BV!AR134</f>
        <v/>
      </c>
      <c r="H134" s="11" t="str">
        <f ca="1">BV!AZ134</f>
        <v/>
      </c>
      <c r="I134" s="11" t="str">
        <f ca="1">BV!BH134</f>
        <v/>
      </c>
      <c r="J134" s="11" t="str">
        <f ca="1">BV!BP134</f>
        <v/>
      </c>
      <c r="K134" s="11" t="str">
        <f ca="1">BV!BX134</f>
        <v/>
      </c>
      <c r="L134" s="271" t="s">
        <v>67</v>
      </c>
      <c r="M134" s="261">
        <v>1.0451870500000001E-4</v>
      </c>
      <c r="N134" s="272" t="str">
        <f t="shared" ca="1" si="112"/>
        <v/>
      </c>
      <c r="O134" s="36"/>
      <c r="P134" s="1"/>
      <c r="Q134" s="1"/>
      <c r="R134" s="1"/>
      <c r="S134" s="1"/>
      <c r="T134" s="1"/>
      <c r="U134" s="1"/>
      <c r="V134" s="317"/>
      <c r="W134" s="317"/>
      <c r="X134" s="317"/>
      <c r="Y134" s="317"/>
      <c r="AA134" s="621">
        <f ca="1">LARGE(OFFSET(BV!H$2,,AH134*8-8,430),AG134)</f>
        <v>44168.014999999999</v>
      </c>
      <c r="AB134" s="621"/>
      <c r="AC134" s="4">
        <f ca="1">INDEX(OFFSET(BV!A$2,,AH134*8-8,430),$AK134)</f>
        <v>15</v>
      </c>
      <c r="AD134" s="590">
        <f ca="1">INDEX(OFFSET(BV!C$2,,AH134*8-8,430),$AK134)</f>
        <v>4.03</v>
      </c>
      <c r="AE134" s="590"/>
      <c r="AF134" s="4">
        <f ca="1">INDEX(OFFSET(BV!D$2,,AH134*8-8,430),$AK134)</f>
        <v>3.7220843672456572</v>
      </c>
      <c r="AG134" s="4">
        <v>2</v>
      </c>
      <c r="AH134" s="4">
        <v>4</v>
      </c>
      <c r="AI134" s="315"/>
      <c r="AJ134" s="315"/>
      <c r="AK134" s="480">
        <f ca="1">MATCH(AA134,OFFSET(BV!H$2,,AH134*8-8,430),0)</f>
        <v>14</v>
      </c>
      <c r="AL134" s="315"/>
      <c r="AM134" s="315"/>
      <c r="AN134" s="433">
        <v>109</v>
      </c>
      <c r="AO134" s="11" t="str">
        <f ca="1">BV!C134</f>
        <v/>
      </c>
      <c r="AP134" s="11" t="str">
        <f ca="1">BV!K134</f>
        <v/>
      </c>
      <c r="AQ134" s="11" t="str">
        <f ca="1">BV!S134</f>
        <v/>
      </c>
      <c r="AR134" s="11" t="str">
        <f ca="1">BV!AA134</f>
        <v/>
      </c>
      <c r="AS134" s="11" t="str">
        <f ca="1">BV!AI134</f>
        <v/>
      </c>
      <c r="AT134" s="11" t="str">
        <f ca="1">BV!AQ134</f>
        <v/>
      </c>
      <c r="AU134" s="11" t="str">
        <f ca="1">BV!AY134</f>
        <v/>
      </c>
      <c r="AV134" s="11" t="str">
        <f ca="1">BV!BG134</f>
        <v/>
      </c>
      <c r="AW134" s="11" t="str">
        <f ca="1">BV!BO134</f>
        <v/>
      </c>
      <c r="AX134" s="11" t="str">
        <f ca="1">BV!BW134</f>
        <v/>
      </c>
      <c r="AY134" s="271" t="s">
        <v>67</v>
      </c>
      <c r="AZ134" s="274">
        <f t="shared" si="113"/>
        <v>3.980805979875043</v>
      </c>
      <c r="BA134" s="261">
        <v>1.0451870500000001E-4</v>
      </c>
      <c r="BB134" s="56">
        <v>3.6432964520000002E-3</v>
      </c>
      <c r="BC134" s="56">
        <f t="shared" si="114"/>
        <v>2.8687949601966675E-2</v>
      </c>
      <c r="BD134" s="13" t="str">
        <f ca="1">IF(BV!H134="","",INT(NOW()-BV!H134))</f>
        <v/>
      </c>
      <c r="BE134" s="275">
        <f t="shared" si="115"/>
        <v>97.81444384188876</v>
      </c>
      <c r="BF134" s="11" t="str">
        <f ca="1">BV!G134</f>
        <v/>
      </c>
      <c r="BG134" s="11" t="str">
        <f ca="1">BV!O134</f>
        <v/>
      </c>
      <c r="BH134" s="11" t="str">
        <f ca="1">BV!W134</f>
        <v/>
      </c>
      <c r="BI134" s="11" t="str">
        <f ca="1">BV!AE134</f>
        <v/>
      </c>
      <c r="BJ134" s="11" t="str">
        <f ca="1">BV!AM134</f>
        <v/>
      </c>
      <c r="BK134" s="11" t="str">
        <f ca="1">BV!AU134</f>
        <v/>
      </c>
      <c r="BL134" s="11" t="str">
        <f ca="1">BV!BC134</f>
        <v/>
      </c>
      <c r="BM134" s="11" t="str">
        <f ca="1">BV!BK134</f>
        <v/>
      </c>
      <c r="BN134" s="11" t="str">
        <f ca="1">BV!BS134</f>
        <v/>
      </c>
      <c r="BO134" s="11" t="str">
        <f ca="1">BV!CA134</f>
        <v/>
      </c>
      <c r="BP134" s="433">
        <v>109</v>
      </c>
      <c r="BQ134" s="11" t="str">
        <f ca="1">IFERROR(YEAR(OFFSET(BV!$H134,,(COLUMN()-69)*8)),"")</f>
        <v/>
      </c>
      <c r="BR134" s="11" t="str">
        <f ca="1">IFERROR(YEAR(OFFSET(BV!$H134,,(COLUMN()-69)*8)),"")</f>
        <v/>
      </c>
      <c r="BS134" s="11" t="str">
        <f ca="1">IFERROR(YEAR(OFFSET(BV!$H134,,(COLUMN()-69)*8)),"")</f>
        <v/>
      </c>
      <c r="BT134" s="11" t="str">
        <f ca="1">IFERROR(YEAR(OFFSET(BV!$H134,,(COLUMN()-69)*8)),"")</f>
        <v/>
      </c>
      <c r="BU134" s="11" t="str">
        <f ca="1">IFERROR(YEAR(OFFSET(BV!$H134,,(COLUMN()-69)*8)),"")</f>
        <v/>
      </c>
      <c r="BV134" s="11" t="str">
        <f ca="1">IFERROR(YEAR(OFFSET(BV!$H134,,(COLUMN()-69)*8)),"")</f>
        <v/>
      </c>
      <c r="BW134" s="11" t="str">
        <f ca="1">IFERROR(YEAR(OFFSET(BV!$H134,,(COLUMN()-69)*8)),"")</f>
        <v/>
      </c>
      <c r="BX134" s="11" t="str">
        <f ca="1">IFERROR(YEAR(OFFSET(BV!$H134,,(COLUMN()-69)*8)),"")</f>
        <v/>
      </c>
      <c r="BY134" s="11" t="str">
        <f ca="1">IFERROR(YEAR(OFFSET(BV!$H134,,(COLUMN()-69)*8)),"")</f>
        <v/>
      </c>
      <c r="BZ134" s="11" t="str">
        <f ca="1">IFERROR(YEAR(OFFSET(BV!$H134,,(COLUMN()-69)*8)),"")</f>
        <v/>
      </c>
    </row>
    <row r="135" spans="1:78" x14ac:dyDescent="0.25">
      <c r="A135" s="433">
        <v>110</v>
      </c>
      <c r="B135" s="11" t="str">
        <f ca="1">BV!D135</f>
        <v/>
      </c>
      <c r="C135" s="11" t="str">
        <f ca="1">BV!L135</f>
        <v/>
      </c>
      <c r="D135" s="11" t="str">
        <f ca="1">BV!T135</f>
        <v/>
      </c>
      <c r="E135" s="11" t="str">
        <f ca="1">BV!AB135</f>
        <v/>
      </c>
      <c r="F135" s="11" t="str">
        <f ca="1">BV!AJ135</f>
        <v/>
      </c>
      <c r="G135" s="11" t="str">
        <f ca="1">BV!AR135</f>
        <v/>
      </c>
      <c r="H135" s="11" t="str">
        <f ca="1">BV!AZ135</f>
        <v/>
      </c>
      <c r="I135" s="11" t="str">
        <f ca="1">BV!BH135</f>
        <v/>
      </c>
      <c r="J135" s="11" t="str">
        <f ca="1">BV!BP135</f>
        <v/>
      </c>
      <c r="K135" s="11" t="str">
        <f ca="1">BV!BX135</f>
        <v/>
      </c>
      <c r="L135" s="64" t="s">
        <v>66</v>
      </c>
      <c r="M135" s="261">
        <v>8.3255486999999994E-5</v>
      </c>
      <c r="N135" s="262" t="str">
        <f t="shared" ca="1" si="112"/>
        <v/>
      </c>
      <c r="O135" s="36"/>
      <c r="P135" s="1"/>
      <c r="Q135" s="1"/>
      <c r="R135" s="1"/>
      <c r="S135" s="1"/>
      <c r="T135" s="1"/>
      <c r="U135" s="1"/>
      <c r="V135" s="317"/>
      <c r="W135" s="317"/>
      <c r="X135" s="317"/>
      <c r="Y135" s="317"/>
      <c r="AA135" s="621">
        <f ca="1">LARGE(OFFSET(BV!H$2,,AH135*8-8,430),AG135)</f>
        <v>44153.292999999998</v>
      </c>
      <c r="AB135" s="621"/>
      <c r="AC135" s="4">
        <f ca="1">INDEX(OFFSET(BV!A$2,,AH135*8-8,430),$AK135)</f>
        <v>151</v>
      </c>
      <c r="AD135" s="590">
        <f ca="1">INDEX(OFFSET(BV!C$2,,AH135*8-8,430),$AK135)</f>
        <v>65.91</v>
      </c>
      <c r="AE135" s="590"/>
      <c r="AF135" s="4">
        <f ca="1">INDEX(OFFSET(BV!D$2,,AH135*8-8,430),$AK135)</f>
        <v>2.2910028827188591</v>
      </c>
      <c r="AG135" s="4">
        <v>3</v>
      </c>
      <c r="AH135" s="4">
        <v>4</v>
      </c>
      <c r="AI135" s="315"/>
      <c r="AJ135" s="315"/>
      <c r="AK135" s="480">
        <f ca="1">MATCH(AA135,OFFSET(BV!H$2,,AH135*8-8,430),0)</f>
        <v>292</v>
      </c>
      <c r="AL135" s="315"/>
      <c r="AM135" s="315"/>
      <c r="AN135" s="433">
        <v>110</v>
      </c>
      <c r="AO135" s="11" t="str">
        <f ca="1">BV!C135</f>
        <v/>
      </c>
      <c r="AP135" s="11" t="str">
        <f ca="1">BV!K135</f>
        <v/>
      </c>
      <c r="AQ135" s="11" t="str">
        <f ca="1">BV!S135</f>
        <v/>
      </c>
      <c r="AR135" s="11" t="str">
        <f ca="1">BV!AA135</f>
        <v/>
      </c>
      <c r="AS135" s="11" t="str">
        <f ca="1">BV!AI135</f>
        <v/>
      </c>
      <c r="AT135" s="11" t="str">
        <f ca="1">BV!AQ135</f>
        <v/>
      </c>
      <c r="AU135" s="11" t="str">
        <f ca="1">BV!AY135</f>
        <v/>
      </c>
      <c r="AV135" s="11" t="str">
        <f ca="1">BV!BG135</f>
        <v/>
      </c>
      <c r="AW135" s="11" t="str">
        <f ca="1">BV!BO135</f>
        <v/>
      </c>
      <c r="AX135" s="11" t="str">
        <f ca="1">BV!BW135</f>
        <v/>
      </c>
      <c r="AY135" s="64" t="s">
        <v>66</v>
      </c>
      <c r="AZ135" s="38">
        <f t="shared" si="113"/>
        <v>4.0795871344547372</v>
      </c>
      <c r="BA135" s="261">
        <v>8.3255486999999994E-5</v>
      </c>
      <c r="BB135" s="56">
        <v>3.6432964520000002E-3</v>
      </c>
      <c r="BC135" s="56">
        <f t="shared" si="114"/>
        <v>2.2851691619631066E-2</v>
      </c>
      <c r="BD135" s="13" t="str">
        <f ca="1">IF(BV!H135="","",INT(NOW()-BV!H135))</f>
        <v/>
      </c>
      <c r="BE135" s="270">
        <f t="shared" si="115"/>
        <v>109.59571320795628</v>
      </c>
      <c r="BF135" s="11" t="str">
        <f ca="1">BV!G135</f>
        <v/>
      </c>
      <c r="BG135" s="11" t="str">
        <f ca="1">BV!O135</f>
        <v/>
      </c>
      <c r="BH135" s="11" t="str">
        <f ca="1">BV!W135</f>
        <v/>
      </c>
      <c r="BI135" s="11" t="str">
        <f ca="1">BV!AE135</f>
        <v/>
      </c>
      <c r="BJ135" s="11" t="str">
        <f ca="1">BV!AM135</f>
        <v/>
      </c>
      <c r="BK135" s="11" t="str">
        <f ca="1">BV!AU135</f>
        <v/>
      </c>
      <c r="BL135" s="11" t="str">
        <f ca="1">BV!BC135</f>
        <v/>
      </c>
      <c r="BM135" s="11" t="str">
        <f ca="1">BV!BK135</f>
        <v/>
      </c>
      <c r="BN135" s="11" t="str">
        <f ca="1">BV!BS135</f>
        <v/>
      </c>
      <c r="BO135" s="11" t="str">
        <f ca="1">BV!CA135</f>
        <v/>
      </c>
      <c r="BP135" s="433">
        <v>110</v>
      </c>
      <c r="BQ135" s="11" t="str">
        <f ca="1">IFERROR(YEAR(OFFSET(BV!$H135,,(COLUMN()-69)*8)),"")</f>
        <v/>
      </c>
      <c r="BR135" s="11" t="str">
        <f ca="1">IFERROR(YEAR(OFFSET(BV!$H135,,(COLUMN()-69)*8)),"")</f>
        <v/>
      </c>
      <c r="BS135" s="11" t="str">
        <f ca="1">IFERROR(YEAR(OFFSET(BV!$H135,,(COLUMN()-69)*8)),"")</f>
        <v/>
      </c>
      <c r="BT135" s="11" t="str">
        <f ca="1">IFERROR(YEAR(OFFSET(BV!$H135,,(COLUMN()-69)*8)),"")</f>
        <v/>
      </c>
      <c r="BU135" s="11" t="str">
        <f ca="1">IFERROR(YEAR(OFFSET(BV!$H135,,(COLUMN()-69)*8)),"")</f>
        <v/>
      </c>
      <c r="BV135" s="11" t="str">
        <f ca="1">IFERROR(YEAR(OFFSET(BV!$H135,,(COLUMN()-69)*8)),"")</f>
        <v/>
      </c>
      <c r="BW135" s="11" t="str">
        <f ca="1">IFERROR(YEAR(OFFSET(BV!$H135,,(COLUMN()-69)*8)),"")</f>
        <v/>
      </c>
      <c r="BX135" s="11" t="str">
        <f ca="1">IFERROR(YEAR(OFFSET(BV!$H135,,(COLUMN()-69)*8)),"")</f>
        <v/>
      </c>
      <c r="BY135" s="11" t="str">
        <f ca="1">IFERROR(YEAR(OFFSET(BV!$H135,,(COLUMN()-69)*8)),"")</f>
        <v/>
      </c>
      <c r="BZ135" s="11" t="str">
        <f ca="1">IFERROR(YEAR(OFFSET(BV!$H135,,(COLUMN()-69)*8)),"")</f>
        <v/>
      </c>
    </row>
    <row r="136" spans="1:78" x14ac:dyDescent="0.25">
      <c r="A136" s="433">
        <v>111</v>
      </c>
      <c r="B136" s="11" t="str">
        <f ca="1">BV!D136</f>
        <v/>
      </c>
      <c r="C136" s="11" t="str">
        <f ca="1">BV!L136</f>
        <v/>
      </c>
      <c r="D136" s="11" t="str">
        <f ca="1">BV!T136</f>
        <v/>
      </c>
      <c r="E136" s="11" t="str">
        <f ca="1">BV!AB136</f>
        <v/>
      </c>
      <c r="F136" s="11" t="str">
        <f ca="1">BV!AJ136</f>
        <v/>
      </c>
      <c r="G136" s="11" t="str">
        <f ca="1">BV!AR136</f>
        <v/>
      </c>
      <c r="H136" s="11" t="str">
        <f ca="1">BV!AZ136</f>
        <v/>
      </c>
      <c r="I136" s="11" t="str">
        <f ca="1">BV!BH136</f>
        <v/>
      </c>
      <c r="J136" s="11" t="str">
        <f ca="1">BV!BP136</f>
        <v/>
      </c>
      <c r="K136" s="11" t="str">
        <f ca="1">BV!BX136</f>
        <v/>
      </c>
      <c r="L136" s="64" t="s">
        <v>66</v>
      </c>
      <c r="M136" s="261">
        <v>6.6094650999999995E-5</v>
      </c>
      <c r="N136" s="262" t="str">
        <f t="shared" ca="1" si="112"/>
        <v/>
      </c>
      <c r="O136" s="36"/>
      <c r="P136" s="1"/>
      <c r="Q136" s="1"/>
      <c r="R136" s="1"/>
      <c r="S136" s="1"/>
      <c r="T136" s="1"/>
      <c r="U136" s="1"/>
      <c r="V136" s="317"/>
      <c r="W136" s="317"/>
      <c r="X136" s="317"/>
      <c r="Y136" s="317"/>
      <c r="AA136" s="621">
        <f ca="1">LARGE(OFFSET(BV!H$2,,AH136*8-8,430),AG136)</f>
        <v>44147.336000000003</v>
      </c>
      <c r="AB136" s="621"/>
      <c r="AC136" s="4">
        <f ca="1">INDEX(OFFSET(BV!A$2,,AH136*8-8,430),$AK136)</f>
        <v>194</v>
      </c>
      <c r="AD136" s="590">
        <f ca="1">INDEX(OFFSET(BV!C$2,,AH136*8-8,430),$AK136)</f>
        <v>81.06</v>
      </c>
      <c r="AE136" s="590"/>
      <c r="AF136" s="4">
        <f ca="1">INDEX(OFFSET(BV!D$2,,AH136*8-8,430),$AK136)</f>
        <v>2.3932889217863309</v>
      </c>
      <c r="AG136" s="4">
        <v>4</v>
      </c>
      <c r="AH136" s="4">
        <v>4</v>
      </c>
      <c r="AI136" s="315"/>
      <c r="AJ136" s="315"/>
      <c r="AK136" s="480">
        <f ca="1">MATCH(AA136,OFFSET(BV!H$2,,AH136*8-8,430),0)</f>
        <v>335</v>
      </c>
      <c r="AL136" s="315"/>
      <c r="AM136" s="315"/>
      <c r="AN136" s="433">
        <v>111</v>
      </c>
      <c r="AO136" s="11" t="str">
        <f ca="1">BV!C136</f>
        <v/>
      </c>
      <c r="AP136" s="11" t="str">
        <f ca="1">BV!K136</f>
        <v/>
      </c>
      <c r="AQ136" s="11" t="str">
        <f ca="1">BV!S136</f>
        <v/>
      </c>
      <c r="AR136" s="11" t="str">
        <f ca="1">BV!AA136</f>
        <v/>
      </c>
      <c r="AS136" s="11" t="str">
        <f ca="1">BV!AI136</f>
        <v/>
      </c>
      <c r="AT136" s="11" t="str">
        <f ca="1">BV!AQ136</f>
        <v/>
      </c>
      <c r="AU136" s="11" t="str">
        <f ca="1">BV!AY136</f>
        <v/>
      </c>
      <c r="AV136" s="11" t="str">
        <f ca="1">BV!BG136</f>
        <v/>
      </c>
      <c r="AW136" s="11" t="str">
        <f ca="1">BV!BO136</f>
        <v/>
      </c>
      <c r="AX136" s="11" t="str">
        <f ca="1">BV!BW136</f>
        <v/>
      </c>
      <c r="AY136" s="64" t="s">
        <v>66</v>
      </c>
      <c r="AZ136" s="38">
        <f t="shared" si="113"/>
        <v>4.1798336862811123</v>
      </c>
      <c r="BA136" s="261">
        <v>6.6094650999999995E-5</v>
      </c>
      <c r="BB136" s="56">
        <v>3.6432964520000002E-3</v>
      </c>
      <c r="BC136" s="56">
        <f t="shared" si="114"/>
        <v>1.8141441925132694E-2</v>
      </c>
      <c r="BD136" s="13" t="str">
        <f ca="1">IF(BV!H136="","",INT(NOW()-BV!H136))</f>
        <v/>
      </c>
      <c r="BE136" s="270">
        <f t="shared" si="115"/>
        <v>123.00332267342273</v>
      </c>
      <c r="BF136" s="11" t="str">
        <f ca="1">BV!G136</f>
        <v/>
      </c>
      <c r="BG136" s="11" t="str">
        <f ca="1">BV!O136</f>
        <v/>
      </c>
      <c r="BH136" s="11" t="str">
        <f ca="1">BV!W136</f>
        <v/>
      </c>
      <c r="BI136" s="11" t="str">
        <f ca="1">BV!AE136</f>
        <v/>
      </c>
      <c r="BJ136" s="11" t="str">
        <f ca="1">BV!AM136</f>
        <v/>
      </c>
      <c r="BK136" s="11" t="str">
        <f ca="1">BV!AU136</f>
        <v/>
      </c>
      <c r="BL136" s="11" t="str">
        <f ca="1">BV!BC136</f>
        <v/>
      </c>
      <c r="BM136" s="11" t="str">
        <f ca="1">BV!BK136</f>
        <v/>
      </c>
      <c r="BN136" s="11" t="str">
        <f ca="1">BV!BS136</f>
        <v/>
      </c>
      <c r="BO136" s="11" t="str">
        <f ca="1">BV!CA136</f>
        <v/>
      </c>
      <c r="BP136" s="433">
        <v>111</v>
      </c>
      <c r="BQ136" s="11" t="str">
        <f ca="1">IFERROR(YEAR(OFFSET(BV!$H136,,(COLUMN()-69)*8)),"")</f>
        <v/>
      </c>
      <c r="BR136" s="11" t="str">
        <f ca="1">IFERROR(YEAR(OFFSET(BV!$H136,,(COLUMN()-69)*8)),"")</f>
        <v/>
      </c>
      <c r="BS136" s="11" t="str">
        <f ca="1">IFERROR(YEAR(OFFSET(BV!$H136,,(COLUMN()-69)*8)),"")</f>
        <v/>
      </c>
      <c r="BT136" s="11" t="str">
        <f ca="1">IFERROR(YEAR(OFFSET(BV!$H136,,(COLUMN()-69)*8)),"")</f>
        <v/>
      </c>
      <c r="BU136" s="11" t="str">
        <f ca="1">IFERROR(YEAR(OFFSET(BV!$H136,,(COLUMN()-69)*8)),"")</f>
        <v/>
      </c>
      <c r="BV136" s="11" t="str">
        <f ca="1">IFERROR(YEAR(OFFSET(BV!$H136,,(COLUMN()-69)*8)),"")</f>
        <v/>
      </c>
      <c r="BW136" s="11" t="str">
        <f ca="1">IFERROR(YEAR(OFFSET(BV!$H136,,(COLUMN()-69)*8)),"")</f>
        <v/>
      </c>
      <c r="BX136" s="11" t="str">
        <f ca="1">IFERROR(YEAR(OFFSET(BV!$H136,,(COLUMN()-69)*8)),"")</f>
        <v/>
      </c>
      <c r="BY136" s="11" t="str">
        <f ca="1">IFERROR(YEAR(OFFSET(BV!$H136,,(COLUMN()-69)*8)),"")</f>
        <v/>
      </c>
      <c r="BZ136" s="11" t="str">
        <f ca="1">IFERROR(YEAR(OFFSET(BV!$H136,,(COLUMN()-69)*8)),"")</f>
        <v/>
      </c>
    </row>
    <row r="137" spans="1:78" x14ac:dyDescent="0.25">
      <c r="A137" s="433">
        <v>112</v>
      </c>
      <c r="B137" s="11" t="str">
        <f ca="1">BV!D137</f>
        <v/>
      </c>
      <c r="C137" s="11" t="str">
        <f ca="1">BV!L137</f>
        <v/>
      </c>
      <c r="D137" s="11" t="str">
        <f ca="1">BV!T137</f>
        <v/>
      </c>
      <c r="E137" s="11" t="str">
        <f ca="1">BV!AB137</f>
        <v/>
      </c>
      <c r="F137" s="11" t="str">
        <f ca="1">BV!AJ137</f>
        <v/>
      </c>
      <c r="G137" s="11" t="str">
        <f ca="1">BV!AR137</f>
        <v/>
      </c>
      <c r="H137" s="11" t="str">
        <f ca="1">BV!AZ137</f>
        <v/>
      </c>
      <c r="I137" s="11" t="str">
        <f ca="1">BV!BH137</f>
        <v/>
      </c>
      <c r="J137" s="11" t="str">
        <f ca="1">BV!BP137</f>
        <v/>
      </c>
      <c r="K137" s="11" t="str">
        <f ca="1">BV!BX137</f>
        <v/>
      </c>
      <c r="L137" s="64" t="s">
        <v>66</v>
      </c>
      <c r="M137" s="261">
        <v>5.2290256999999999E-5</v>
      </c>
      <c r="N137" s="262" t="str">
        <f t="shared" ca="1" si="112"/>
        <v/>
      </c>
      <c r="O137" s="36"/>
      <c r="P137" s="1"/>
      <c r="Q137" s="1"/>
      <c r="R137" s="1"/>
      <c r="S137" s="1"/>
      <c r="T137" s="1"/>
      <c r="U137" s="1"/>
      <c r="V137" s="317"/>
      <c r="W137" s="317"/>
      <c r="X137" s="317"/>
      <c r="Y137" s="317"/>
      <c r="AA137" s="621">
        <f ca="1">LARGE(OFFSET(BV!H$2,,AH137*8-8,430),AG137)</f>
        <v>44114.1</v>
      </c>
      <c r="AB137" s="621"/>
      <c r="AC137" s="4">
        <f ca="1">INDEX(OFFSET(BV!A$2,,AH137*8-8,430),$AK137)</f>
        <v>75</v>
      </c>
      <c r="AD137" s="590">
        <f ca="1">INDEX(OFFSET(BV!C$2,,AH137*8-8,430),$AK137)</f>
        <v>27.71</v>
      </c>
      <c r="AE137" s="590"/>
      <c r="AF137" s="4">
        <f ca="1">INDEX(OFFSET(BV!D$2,,AH137*8-8,430),$AK137)</f>
        <v>2.7066041140382531</v>
      </c>
      <c r="AG137" s="4">
        <v>5</v>
      </c>
      <c r="AH137" s="4">
        <v>4</v>
      </c>
      <c r="AI137" s="315"/>
      <c r="AJ137" s="315"/>
      <c r="AK137" s="480">
        <f ca="1">MATCH(AA137,OFFSET(BV!H$2,,AH137*8-8,430),0)</f>
        <v>99</v>
      </c>
      <c r="AL137" s="315"/>
      <c r="AM137" s="315"/>
      <c r="AN137" s="433">
        <v>112</v>
      </c>
      <c r="AO137" s="11" t="str">
        <f ca="1">BV!C137</f>
        <v/>
      </c>
      <c r="AP137" s="11" t="str">
        <f ca="1">BV!K137</f>
        <v/>
      </c>
      <c r="AQ137" s="11" t="str">
        <f ca="1">BV!S137</f>
        <v/>
      </c>
      <c r="AR137" s="11" t="str">
        <f ca="1">BV!AA137</f>
        <v/>
      </c>
      <c r="AS137" s="11" t="str">
        <f ca="1">BV!AI137</f>
        <v/>
      </c>
      <c r="AT137" s="11" t="str">
        <f ca="1">BV!AQ137</f>
        <v/>
      </c>
      <c r="AU137" s="11" t="str">
        <f ca="1">BV!AY137</f>
        <v/>
      </c>
      <c r="AV137" s="11" t="str">
        <f ca="1">BV!BG137</f>
        <v/>
      </c>
      <c r="AW137" s="11" t="str">
        <f ca="1">BV!BO137</f>
        <v/>
      </c>
      <c r="AX137" s="11" t="str">
        <f ca="1">BV!BW137</f>
        <v/>
      </c>
      <c r="AY137" s="64" t="s">
        <v>66</v>
      </c>
      <c r="AZ137" s="38">
        <f t="shared" si="113"/>
        <v>4.2815792236626455</v>
      </c>
      <c r="BA137" s="261">
        <v>5.2290256999999999E-5</v>
      </c>
      <c r="BB137" s="56">
        <v>3.6432964520000002E-3</v>
      </c>
      <c r="BC137" s="56">
        <f t="shared" si="114"/>
        <v>1.4352457366266497E-2</v>
      </c>
      <c r="BD137" s="13" t="str">
        <f ca="1">IF(BV!H137="","",INT(NOW()-BV!H137))</f>
        <v/>
      </c>
      <c r="BE137" s="270">
        <f t="shared" si="115"/>
        <v>138.28962910156559</v>
      </c>
      <c r="BF137" s="11" t="str">
        <f ca="1">BV!G137</f>
        <v/>
      </c>
      <c r="BG137" s="11" t="str">
        <f ca="1">BV!O137</f>
        <v/>
      </c>
      <c r="BH137" s="11" t="str">
        <f ca="1">BV!W137</f>
        <v/>
      </c>
      <c r="BI137" s="11" t="str">
        <f ca="1">BV!AE137</f>
        <v/>
      </c>
      <c r="BJ137" s="11" t="str">
        <f ca="1">BV!AM137</f>
        <v/>
      </c>
      <c r="BK137" s="11" t="str">
        <f ca="1">BV!AU137</f>
        <v/>
      </c>
      <c r="BL137" s="11" t="str">
        <f ca="1">BV!BC137</f>
        <v/>
      </c>
      <c r="BM137" s="11" t="str">
        <f ca="1">BV!BK137</f>
        <v/>
      </c>
      <c r="BN137" s="11" t="str">
        <f ca="1">BV!BS137</f>
        <v/>
      </c>
      <c r="BO137" s="11" t="str">
        <f ca="1">BV!CA137</f>
        <v/>
      </c>
      <c r="BP137" s="433">
        <v>112</v>
      </c>
      <c r="BQ137" s="11" t="str">
        <f ca="1">IFERROR(YEAR(OFFSET(BV!$H137,,(COLUMN()-69)*8)),"")</f>
        <v/>
      </c>
      <c r="BR137" s="11" t="str">
        <f ca="1">IFERROR(YEAR(OFFSET(BV!$H137,,(COLUMN()-69)*8)),"")</f>
        <v/>
      </c>
      <c r="BS137" s="11" t="str">
        <f ca="1">IFERROR(YEAR(OFFSET(BV!$H137,,(COLUMN()-69)*8)),"")</f>
        <v/>
      </c>
      <c r="BT137" s="11" t="str">
        <f ca="1">IFERROR(YEAR(OFFSET(BV!$H137,,(COLUMN()-69)*8)),"")</f>
        <v/>
      </c>
      <c r="BU137" s="11" t="str">
        <f ca="1">IFERROR(YEAR(OFFSET(BV!$H137,,(COLUMN()-69)*8)),"")</f>
        <v/>
      </c>
      <c r="BV137" s="11" t="str">
        <f ca="1">IFERROR(YEAR(OFFSET(BV!$H137,,(COLUMN()-69)*8)),"")</f>
        <v/>
      </c>
      <c r="BW137" s="11" t="str">
        <f ca="1">IFERROR(YEAR(OFFSET(BV!$H137,,(COLUMN()-69)*8)),"")</f>
        <v/>
      </c>
      <c r="BX137" s="11" t="str">
        <f ca="1">IFERROR(YEAR(OFFSET(BV!$H137,,(COLUMN()-69)*8)),"")</f>
        <v/>
      </c>
      <c r="BY137" s="11" t="str">
        <f ca="1">IFERROR(YEAR(OFFSET(BV!$H137,,(COLUMN()-69)*8)),"")</f>
        <v/>
      </c>
      <c r="BZ137" s="11" t="str">
        <f ca="1">IFERROR(YEAR(OFFSET(BV!$H137,,(COLUMN()-69)*8)),"")</f>
        <v/>
      </c>
    </row>
    <row r="138" spans="1:78" x14ac:dyDescent="0.25">
      <c r="A138" s="433">
        <v>113</v>
      </c>
      <c r="B138" s="11" t="str">
        <f ca="1">BV!D138</f>
        <v/>
      </c>
      <c r="C138" s="11" t="str">
        <f ca="1">BV!L138</f>
        <v/>
      </c>
      <c r="D138" s="11" t="str">
        <f ca="1">BV!T138</f>
        <v/>
      </c>
      <c r="E138" s="11" t="str">
        <f ca="1">BV!AB138</f>
        <v/>
      </c>
      <c r="F138" s="11" t="str">
        <f ca="1">BV!AJ138</f>
        <v/>
      </c>
      <c r="G138" s="11" t="str">
        <f ca="1">BV!AR138</f>
        <v/>
      </c>
      <c r="H138" s="11" t="str">
        <f ca="1">BV!AZ138</f>
        <v/>
      </c>
      <c r="I138" s="11" t="str">
        <f ca="1">BV!BH138</f>
        <v/>
      </c>
      <c r="J138" s="11" t="str">
        <f ca="1">BV!BP138</f>
        <v/>
      </c>
      <c r="K138" s="11" t="str">
        <f ca="1">BV!BX138</f>
        <v/>
      </c>
      <c r="L138" s="64" t="s">
        <v>66</v>
      </c>
      <c r="M138" s="261">
        <v>4.1215213E-5</v>
      </c>
      <c r="N138" s="262" t="str">
        <f t="shared" ca="1" si="112"/>
        <v/>
      </c>
      <c r="O138" s="36"/>
      <c r="P138" s="1"/>
      <c r="Q138" s="1"/>
      <c r="R138" s="1"/>
      <c r="S138" s="1"/>
      <c r="T138" s="1"/>
      <c r="U138" s="1"/>
      <c r="V138" s="317"/>
      <c r="W138" s="317"/>
      <c r="X138" s="317"/>
      <c r="Y138" s="317"/>
      <c r="AA138" s="620">
        <f ca="1">LARGE(OFFSET(BV!H$2,,AH138*8-8,430),AG138)</f>
        <v>44177.307000000001</v>
      </c>
      <c r="AB138" s="620"/>
      <c r="AC138" s="1">
        <f ca="1">INDEX(OFFSET(BV!A$2,,AH138*8-8,430),$AK138)</f>
        <v>165</v>
      </c>
      <c r="AD138" s="594">
        <f ca="1">INDEX(OFFSET(BV!C$2,,AH138*8-8,430),$AK138)</f>
        <v>69.09</v>
      </c>
      <c r="AE138" s="594"/>
      <c r="AF138" s="1">
        <f ca="1">INDEX(OFFSET(BV!D$2,,AH138*8-8,430),$AK138)</f>
        <v>2.3881893182805034</v>
      </c>
      <c r="AG138" s="1">
        <v>1</v>
      </c>
      <c r="AH138" s="1">
        <v>5</v>
      </c>
      <c r="AI138" s="315"/>
      <c r="AJ138" s="315"/>
      <c r="AK138" s="480">
        <f ca="1">MATCH(AA138,OFFSET(BV!H$2,,AH138*8-8,430),0)</f>
        <v>306</v>
      </c>
      <c r="AL138" s="315"/>
      <c r="AM138" s="315"/>
      <c r="AN138" s="433">
        <v>113</v>
      </c>
      <c r="AO138" s="11" t="str">
        <f ca="1">BV!C138</f>
        <v/>
      </c>
      <c r="AP138" s="11" t="str">
        <f ca="1">BV!K138</f>
        <v/>
      </c>
      <c r="AQ138" s="11" t="str">
        <f ca="1">BV!S138</f>
        <v/>
      </c>
      <c r="AR138" s="11" t="str">
        <f ca="1">BV!AA138</f>
        <v/>
      </c>
      <c r="AS138" s="11" t="str">
        <f ca="1">BV!AI138</f>
        <v/>
      </c>
      <c r="AT138" s="11" t="str">
        <f ca="1">BV!AQ138</f>
        <v/>
      </c>
      <c r="AU138" s="11" t="str">
        <f ca="1">BV!AY138</f>
        <v/>
      </c>
      <c r="AV138" s="11" t="str">
        <f ca="1">BV!BG138</f>
        <v/>
      </c>
      <c r="AW138" s="11" t="str">
        <f ca="1">BV!BO138</f>
        <v/>
      </c>
      <c r="AX138" s="11" t="str">
        <f ca="1">BV!BW138</f>
        <v/>
      </c>
      <c r="AY138" s="64" t="s">
        <v>66</v>
      </c>
      <c r="AZ138" s="38">
        <f t="shared" si="113"/>
        <v>4.3849424513829227</v>
      </c>
      <c r="BA138" s="261">
        <v>4.1215213E-5</v>
      </c>
      <c r="BB138" s="56">
        <v>3.6432964520000002E-3</v>
      </c>
      <c r="BC138" s="56">
        <f t="shared" si="114"/>
        <v>1.1312615798084388E-2</v>
      </c>
      <c r="BD138" s="13" t="str">
        <f ca="1">IF(BV!H138="","",INT(NOW()-BV!H138))</f>
        <v/>
      </c>
      <c r="BE138" s="270">
        <f t="shared" si="115"/>
        <v>155.76548285341957</v>
      </c>
      <c r="BF138" s="11" t="str">
        <f ca="1">BV!G138</f>
        <v/>
      </c>
      <c r="BG138" s="11" t="str">
        <f ca="1">BV!O138</f>
        <v/>
      </c>
      <c r="BH138" s="11" t="str">
        <f ca="1">BV!W138</f>
        <v/>
      </c>
      <c r="BI138" s="11" t="str">
        <f ca="1">BV!AE138</f>
        <v/>
      </c>
      <c r="BJ138" s="11" t="str">
        <f ca="1">BV!AM138</f>
        <v/>
      </c>
      <c r="BK138" s="11" t="str">
        <f ca="1">BV!AU138</f>
        <v/>
      </c>
      <c r="BL138" s="11" t="str">
        <f ca="1">BV!BC138</f>
        <v/>
      </c>
      <c r="BM138" s="11" t="str">
        <f ca="1">BV!BK138</f>
        <v/>
      </c>
      <c r="BN138" s="11" t="str">
        <f ca="1">BV!BS138</f>
        <v/>
      </c>
      <c r="BO138" s="11" t="str">
        <f ca="1">BV!CA138</f>
        <v/>
      </c>
      <c r="BP138" s="433">
        <v>113</v>
      </c>
      <c r="BQ138" s="11" t="str">
        <f ca="1">IFERROR(YEAR(OFFSET(BV!$H138,,(COLUMN()-69)*8)),"")</f>
        <v/>
      </c>
      <c r="BR138" s="11" t="str">
        <f ca="1">IFERROR(YEAR(OFFSET(BV!$H138,,(COLUMN()-69)*8)),"")</f>
        <v/>
      </c>
      <c r="BS138" s="11" t="str">
        <f ca="1">IFERROR(YEAR(OFFSET(BV!$H138,,(COLUMN()-69)*8)),"")</f>
        <v/>
      </c>
      <c r="BT138" s="11" t="str">
        <f ca="1">IFERROR(YEAR(OFFSET(BV!$H138,,(COLUMN()-69)*8)),"")</f>
        <v/>
      </c>
      <c r="BU138" s="11" t="str">
        <f ca="1">IFERROR(YEAR(OFFSET(BV!$H138,,(COLUMN()-69)*8)),"")</f>
        <v/>
      </c>
      <c r="BV138" s="11" t="str">
        <f ca="1">IFERROR(YEAR(OFFSET(BV!$H138,,(COLUMN()-69)*8)),"")</f>
        <v/>
      </c>
      <c r="BW138" s="11" t="str">
        <f ca="1">IFERROR(YEAR(OFFSET(BV!$H138,,(COLUMN()-69)*8)),"")</f>
        <v/>
      </c>
      <c r="BX138" s="11" t="str">
        <f ca="1">IFERROR(YEAR(OFFSET(BV!$H138,,(COLUMN()-69)*8)),"")</f>
        <v/>
      </c>
      <c r="BY138" s="11" t="str">
        <f ca="1">IFERROR(YEAR(OFFSET(BV!$H138,,(COLUMN()-69)*8)),"")</f>
        <v/>
      </c>
      <c r="BZ138" s="11" t="str">
        <f ca="1">IFERROR(YEAR(OFFSET(BV!$H138,,(COLUMN()-69)*8)),"")</f>
        <v/>
      </c>
    </row>
    <row r="139" spans="1:78" x14ac:dyDescent="0.25">
      <c r="A139" s="433">
        <v>114</v>
      </c>
      <c r="B139" s="11" t="str">
        <f ca="1">BV!D139</f>
        <v/>
      </c>
      <c r="C139" s="11" t="str">
        <f ca="1">BV!L139</f>
        <v/>
      </c>
      <c r="D139" s="11" t="str">
        <f ca="1">BV!T139</f>
        <v/>
      </c>
      <c r="E139" s="11" t="str">
        <f ca="1">BV!AB139</f>
        <v/>
      </c>
      <c r="F139" s="11" t="str">
        <f ca="1">BV!AJ139</f>
        <v/>
      </c>
      <c r="G139" s="11" t="str">
        <f ca="1">BV!AR139</f>
        <v/>
      </c>
      <c r="H139" s="11" t="str">
        <f ca="1">BV!AZ139</f>
        <v/>
      </c>
      <c r="I139" s="11" t="str">
        <f ca="1">BV!BH139</f>
        <v/>
      </c>
      <c r="J139" s="11" t="str">
        <f ca="1">BV!BP139</f>
        <v/>
      </c>
      <c r="K139" s="11" t="str">
        <f ca="1">BV!BX139</f>
        <v/>
      </c>
      <c r="L139" s="64" t="s">
        <v>66</v>
      </c>
      <c r="M139" s="261">
        <v>3.2382041999999997E-5</v>
      </c>
      <c r="N139" s="262" t="str">
        <f t="shared" ca="1" si="112"/>
        <v/>
      </c>
      <c r="O139" s="62"/>
      <c r="P139" s="1"/>
      <c r="Q139" s="1"/>
      <c r="R139" s="1"/>
      <c r="S139" s="1"/>
      <c r="T139" s="1"/>
      <c r="U139" s="1"/>
      <c r="V139" s="317"/>
      <c r="W139" s="317"/>
      <c r="X139" s="317"/>
      <c r="Y139" s="317"/>
      <c r="AA139" s="620">
        <f ca="1">LARGE(OFFSET(BV!H$2,,AH139*8-8,430),AG139)</f>
        <v>44168.338000000003</v>
      </c>
      <c r="AB139" s="620"/>
      <c r="AC139" s="1">
        <f ca="1">INDEX(OFFSET(BV!A$2,,AH139*8-8,430),$AK139)</f>
        <v>196</v>
      </c>
      <c r="AD139" s="594">
        <f ca="1">INDEX(OFFSET(BV!C$2,,AH139*8-8,430),$AK139)</f>
        <v>83.41</v>
      </c>
      <c r="AE139" s="594"/>
      <c r="AF139" s="1">
        <f ca="1">INDEX(OFFSET(BV!D$2,,AH139*8-8,430),$AK139)</f>
        <v>2.3498381489030091</v>
      </c>
      <c r="AG139" s="1">
        <v>2</v>
      </c>
      <c r="AH139" s="1">
        <v>5</v>
      </c>
      <c r="AI139" s="315"/>
      <c r="AJ139" s="315"/>
      <c r="AK139" s="480">
        <f ca="1">MATCH(AA139,OFFSET(BV!H$2,,AH139*8-8,430),0)</f>
        <v>337</v>
      </c>
      <c r="AL139" s="315"/>
      <c r="AM139" s="315"/>
      <c r="AN139" s="433">
        <v>114</v>
      </c>
      <c r="AO139" s="11" t="str">
        <f ca="1">BV!C139</f>
        <v/>
      </c>
      <c r="AP139" s="11" t="str">
        <f ca="1">BV!K139</f>
        <v/>
      </c>
      <c r="AQ139" s="11" t="str">
        <f ca="1">BV!S139</f>
        <v/>
      </c>
      <c r="AR139" s="11" t="str">
        <f ca="1">BV!AA139</f>
        <v/>
      </c>
      <c r="AS139" s="11" t="str">
        <f ca="1">BV!AI139</f>
        <v/>
      </c>
      <c r="AT139" s="11" t="str">
        <f ca="1">BV!AQ139</f>
        <v/>
      </c>
      <c r="AU139" s="11" t="str">
        <f ca="1">BV!AY139</f>
        <v/>
      </c>
      <c r="AV139" s="11" t="str">
        <f ca="1">BV!BG139</f>
        <v/>
      </c>
      <c r="AW139" s="11" t="str">
        <f ca="1">BV!BO139</f>
        <v/>
      </c>
      <c r="AX139" s="11" t="str">
        <f ca="1">BV!BW139</f>
        <v/>
      </c>
      <c r="AY139" s="64" t="s">
        <v>66</v>
      </c>
      <c r="AZ139" s="38">
        <f t="shared" si="113"/>
        <v>4.4896957682642418</v>
      </c>
      <c r="BA139" s="261">
        <v>3.2382041999999997E-5</v>
      </c>
      <c r="BB139" s="56">
        <v>3.6432964520000002E-3</v>
      </c>
      <c r="BC139" s="56">
        <f t="shared" si="114"/>
        <v>8.8881161405967284E-3</v>
      </c>
      <c r="BD139" s="13" t="str">
        <f ca="1">IF(BV!H139="","",INT(NOW()-BV!H139))</f>
        <v/>
      </c>
      <c r="BE139" s="270">
        <f t="shared" si="115"/>
        <v>175.73079919287801</v>
      </c>
      <c r="BF139" s="11" t="str">
        <f ca="1">BV!G139</f>
        <v/>
      </c>
      <c r="BG139" s="11" t="str">
        <f ca="1">BV!O139</f>
        <v/>
      </c>
      <c r="BH139" s="11" t="str">
        <f ca="1">BV!W139</f>
        <v/>
      </c>
      <c r="BI139" s="11" t="str">
        <f ca="1">BV!AE139</f>
        <v/>
      </c>
      <c r="BJ139" s="11" t="str">
        <f ca="1">BV!AM139</f>
        <v/>
      </c>
      <c r="BK139" s="11" t="str">
        <f ca="1">BV!AU139</f>
        <v/>
      </c>
      <c r="BL139" s="11" t="str">
        <f ca="1">BV!BC139</f>
        <v/>
      </c>
      <c r="BM139" s="11" t="str">
        <f ca="1">BV!BK139</f>
        <v/>
      </c>
      <c r="BN139" s="11" t="str">
        <f ca="1">BV!BS139</f>
        <v/>
      </c>
      <c r="BO139" s="11" t="str">
        <f ca="1">BV!CA139</f>
        <v/>
      </c>
      <c r="BP139" s="433">
        <v>114</v>
      </c>
      <c r="BQ139" s="11" t="str">
        <f ca="1">IFERROR(YEAR(OFFSET(BV!$H139,,(COLUMN()-69)*8)),"")</f>
        <v/>
      </c>
      <c r="BR139" s="11" t="str">
        <f ca="1">IFERROR(YEAR(OFFSET(BV!$H139,,(COLUMN()-69)*8)),"")</f>
        <v/>
      </c>
      <c r="BS139" s="11" t="str">
        <f ca="1">IFERROR(YEAR(OFFSET(BV!$H139,,(COLUMN()-69)*8)),"")</f>
        <v/>
      </c>
      <c r="BT139" s="11" t="str">
        <f ca="1">IFERROR(YEAR(OFFSET(BV!$H139,,(COLUMN()-69)*8)),"")</f>
        <v/>
      </c>
      <c r="BU139" s="11" t="str">
        <f ca="1">IFERROR(YEAR(OFFSET(BV!$H139,,(COLUMN()-69)*8)),"")</f>
        <v/>
      </c>
      <c r="BV139" s="11" t="str">
        <f ca="1">IFERROR(YEAR(OFFSET(BV!$H139,,(COLUMN()-69)*8)),"")</f>
        <v/>
      </c>
      <c r="BW139" s="11" t="str">
        <f ca="1">IFERROR(YEAR(OFFSET(BV!$H139,,(COLUMN()-69)*8)),"")</f>
        <v/>
      </c>
      <c r="BX139" s="11" t="str">
        <f ca="1">IFERROR(YEAR(OFFSET(BV!$H139,,(COLUMN()-69)*8)),"")</f>
        <v/>
      </c>
      <c r="BY139" s="11" t="str">
        <f ca="1">IFERROR(YEAR(OFFSET(BV!$H139,,(COLUMN()-69)*8)),"")</f>
        <v/>
      </c>
      <c r="BZ139" s="11" t="str">
        <f ca="1">IFERROR(YEAR(OFFSET(BV!$H139,,(COLUMN()-69)*8)),"")</f>
        <v/>
      </c>
    </row>
    <row r="140" spans="1:78" x14ac:dyDescent="0.25">
      <c r="A140" s="433">
        <v>115</v>
      </c>
      <c r="B140" s="11" t="str">
        <f ca="1">BV!D140</f>
        <v/>
      </c>
      <c r="C140" s="11" t="str">
        <f ca="1">BV!L140</f>
        <v/>
      </c>
      <c r="D140" s="11" t="str">
        <f ca="1">BV!T140</f>
        <v/>
      </c>
      <c r="E140" s="11" t="str">
        <f ca="1">BV!AB140</f>
        <v/>
      </c>
      <c r="F140" s="11" t="str">
        <f ca="1">BV!AJ140</f>
        <v/>
      </c>
      <c r="G140" s="11" t="str">
        <f ca="1">BV!AR140</f>
        <v/>
      </c>
      <c r="H140" s="11" t="str">
        <f ca="1">BV!AZ140</f>
        <v/>
      </c>
      <c r="I140" s="11" t="str">
        <f ca="1">BV!BH140</f>
        <v/>
      </c>
      <c r="J140" s="11" t="str">
        <f ca="1">BV!BP140</f>
        <v/>
      </c>
      <c r="K140" s="11" t="str">
        <f ca="1">BV!BX140</f>
        <v/>
      </c>
      <c r="L140" s="64" t="s">
        <v>66</v>
      </c>
      <c r="M140" s="261">
        <v>2.5361352999999999E-5</v>
      </c>
      <c r="N140" s="262" t="str">
        <f t="shared" ca="1" si="112"/>
        <v/>
      </c>
      <c r="O140" s="4"/>
      <c r="P140" s="515"/>
      <c r="Q140" s="515"/>
      <c r="R140" s="515"/>
      <c r="S140" s="515"/>
      <c r="T140" s="515"/>
      <c r="U140" s="15"/>
      <c r="V140" s="317"/>
      <c r="W140" s="317"/>
      <c r="X140" s="317"/>
      <c r="Y140" s="317"/>
      <c r="AA140" s="620">
        <f ca="1">LARGE(OFFSET(BV!H$2,,AH140*8-8,430),AG140)</f>
        <v>44168.084000000003</v>
      </c>
      <c r="AB140" s="620"/>
      <c r="AC140" s="1">
        <f ca="1">INDEX(OFFSET(BV!A$2,,AH140*8-8,430),$AK140)</f>
        <v>59</v>
      </c>
      <c r="AD140" s="594">
        <f ca="1">INDEX(OFFSET(BV!C$2,,AH140*8-8,430),$AK140)</f>
        <v>22.2</v>
      </c>
      <c r="AE140" s="594"/>
      <c r="AF140" s="1">
        <f ca="1">INDEX(OFFSET(BV!D$2,,AH140*8-8,430),$AK140)</f>
        <v>2.6576576576576576</v>
      </c>
      <c r="AG140" s="1">
        <v>3</v>
      </c>
      <c r="AH140" s="1">
        <v>5</v>
      </c>
      <c r="AI140" s="315"/>
      <c r="AJ140" s="315"/>
      <c r="AK140" s="480">
        <f ca="1">MATCH(AA140,OFFSET(BV!H$2,,AH140*8-8,430),0)</f>
        <v>83</v>
      </c>
      <c r="AL140" s="315"/>
      <c r="AM140" s="315"/>
      <c r="AN140" s="433">
        <v>115</v>
      </c>
      <c r="AO140" s="11" t="str">
        <f ca="1">BV!C140</f>
        <v/>
      </c>
      <c r="AP140" s="11" t="str">
        <f ca="1">BV!K140</f>
        <v/>
      </c>
      <c r="AQ140" s="11" t="str">
        <f ca="1">BV!S140</f>
        <v/>
      </c>
      <c r="AR140" s="11" t="str">
        <f ca="1">BV!AA140</f>
        <v/>
      </c>
      <c r="AS140" s="11" t="str">
        <f ca="1">BV!AI140</f>
        <v/>
      </c>
      <c r="AT140" s="11" t="str">
        <f ca="1">BV!AQ140</f>
        <v/>
      </c>
      <c r="AU140" s="11" t="str">
        <f ca="1">BV!AY140</f>
        <v/>
      </c>
      <c r="AV140" s="11" t="str">
        <f ca="1">BV!BG140</f>
        <v/>
      </c>
      <c r="AW140" s="11" t="str">
        <f ca="1">BV!BO140</f>
        <v/>
      </c>
      <c r="AX140" s="11" t="str">
        <f ca="1">BV!BW140</f>
        <v/>
      </c>
      <c r="AY140" s="64" t="s">
        <v>66</v>
      </c>
      <c r="AZ140" s="38">
        <f t="shared" si="113"/>
        <v>4.5958275810442553</v>
      </c>
      <c r="BA140" s="261">
        <v>2.5361352999999999E-5</v>
      </c>
      <c r="BB140" s="56">
        <v>3.6432964520000002E-3</v>
      </c>
      <c r="BC140" s="56">
        <f t="shared" si="114"/>
        <v>6.9611005676131011E-3</v>
      </c>
      <c r="BD140" s="13" t="str">
        <f ca="1">IF(BV!H140="","",INT(NOW()-BV!H140))</f>
        <v/>
      </c>
      <c r="BE140" s="270">
        <f t="shared" si="115"/>
        <v>198.57007073913587</v>
      </c>
      <c r="BF140" s="11" t="str">
        <f ca="1">BV!G140</f>
        <v/>
      </c>
      <c r="BG140" s="11" t="str">
        <f ca="1">BV!O140</f>
        <v/>
      </c>
      <c r="BH140" s="11" t="str">
        <f ca="1">BV!W140</f>
        <v/>
      </c>
      <c r="BI140" s="11" t="str">
        <f ca="1">BV!AE140</f>
        <v/>
      </c>
      <c r="BJ140" s="11" t="str">
        <f ca="1">BV!AM140</f>
        <v/>
      </c>
      <c r="BK140" s="11" t="str">
        <f ca="1">BV!AU140</f>
        <v/>
      </c>
      <c r="BL140" s="11" t="str">
        <f ca="1">BV!BC140</f>
        <v/>
      </c>
      <c r="BM140" s="11" t="str">
        <f ca="1">BV!BK140</f>
        <v/>
      </c>
      <c r="BN140" s="11" t="str">
        <f ca="1">BV!BS140</f>
        <v/>
      </c>
      <c r="BO140" s="11" t="str">
        <f ca="1">BV!CA140</f>
        <v/>
      </c>
      <c r="BP140" s="433">
        <v>115</v>
      </c>
      <c r="BQ140" s="11" t="str">
        <f ca="1">IFERROR(YEAR(OFFSET(BV!$H140,,(COLUMN()-69)*8)),"")</f>
        <v/>
      </c>
      <c r="BR140" s="11" t="str">
        <f ca="1">IFERROR(YEAR(OFFSET(BV!$H140,,(COLUMN()-69)*8)),"")</f>
        <v/>
      </c>
      <c r="BS140" s="11" t="str">
        <f ca="1">IFERROR(YEAR(OFFSET(BV!$H140,,(COLUMN()-69)*8)),"")</f>
        <v/>
      </c>
      <c r="BT140" s="11" t="str">
        <f ca="1">IFERROR(YEAR(OFFSET(BV!$H140,,(COLUMN()-69)*8)),"")</f>
        <v/>
      </c>
      <c r="BU140" s="11" t="str">
        <f ca="1">IFERROR(YEAR(OFFSET(BV!$H140,,(COLUMN()-69)*8)),"")</f>
        <v/>
      </c>
      <c r="BV140" s="11" t="str">
        <f ca="1">IFERROR(YEAR(OFFSET(BV!$H140,,(COLUMN()-69)*8)),"")</f>
        <v/>
      </c>
      <c r="BW140" s="11" t="str">
        <f ca="1">IFERROR(YEAR(OFFSET(BV!$H140,,(COLUMN()-69)*8)),"")</f>
        <v/>
      </c>
      <c r="BX140" s="11" t="str">
        <f ca="1">IFERROR(YEAR(OFFSET(BV!$H140,,(COLUMN()-69)*8)),"")</f>
        <v/>
      </c>
      <c r="BY140" s="11" t="str">
        <f ca="1">IFERROR(YEAR(OFFSET(BV!$H140,,(COLUMN()-69)*8)),"")</f>
        <v/>
      </c>
      <c r="BZ140" s="11" t="str">
        <f ca="1">IFERROR(YEAR(OFFSET(BV!$H140,,(COLUMN()-69)*8)),"")</f>
        <v/>
      </c>
    </row>
    <row r="141" spans="1:78" x14ac:dyDescent="0.25">
      <c r="A141" s="433">
        <v>116</v>
      </c>
      <c r="B141" s="11" t="str">
        <f ca="1">BV!D141</f>
        <v/>
      </c>
      <c r="C141" s="11" t="str">
        <f ca="1">BV!L141</f>
        <v/>
      </c>
      <c r="D141" s="11" t="str">
        <f ca="1">BV!T141</f>
        <v/>
      </c>
      <c r="E141" s="11" t="str">
        <f ca="1">BV!AB141</f>
        <v/>
      </c>
      <c r="F141" s="11" t="str">
        <f ca="1">BV!AJ141</f>
        <v/>
      </c>
      <c r="G141" s="11" t="str">
        <f ca="1">BV!AR141</f>
        <v/>
      </c>
      <c r="H141" s="11" t="str">
        <f ca="1">BV!AZ141</f>
        <v/>
      </c>
      <c r="I141" s="11" t="str">
        <f ca="1">BV!BH141</f>
        <v/>
      </c>
      <c r="J141" s="11" t="str">
        <f ca="1">BV!BP141</f>
        <v/>
      </c>
      <c r="K141" s="11" t="str">
        <f ca="1">BV!BX141</f>
        <v/>
      </c>
      <c r="L141" s="64" t="s">
        <v>66</v>
      </c>
      <c r="M141" s="261">
        <v>1.9787395999999999E-5</v>
      </c>
      <c r="N141" s="262" t="str">
        <f t="shared" ca="1" si="112"/>
        <v/>
      </c>
      <c r="O141" s="24"/>
      <c r="P141" s="1"/>
      <c r="Q141" s="1"/>
      <c r="R141" s="1"/>
      <c r="S141" s="1"/>
      <c r="T141" s="1"/>
      <c r="U141" s="1"/>
      <c r="V141" s="317"/>
      <c r="W141" s="317"/>
      <c r="X141" s="317"/>
      <c r="Y141" s="317"/>
      <c r="AA141" s="620">
        <f ca="1">LARGE(OFFSET(BV!H$2,,AH141*8-8,430),AG141)</f>
        <v>44168.078000000001</v>
      </c>
      <c r="AB141" s="620"/>
      <c r="AC141" s="1">
        <f ca="1">INDEX(OFFSET(BV!A$2,,AH141*8-8,430),$AK141)</f>
        <v>53</v>
      </c>
      <c r="AD141" s="594">
        <f ca="1">INDEX(OFFSET(BV!C$2,,AH141*8-8,430),$AK141)</f>
        <v>22.82</v>
      </c>
      <c r="AE141" s="594"/>
      <c r="AF141" s="1">
        <f ca="1">INDEX(OFFSET(BV!D$2,,AH141*8-8,430),$AK141)</f>
        <v>2.3225241016652061</v>
      </c>
      <c r="AG141" s="1">
        <v>4</v>
      </c>
      <c r="AH141" s="1">
        <v>5</v>
      </c>
      <c r="AI141" s="315"/>
      <c r="AJ141" s="315"/>
      <c r="AK141" s="480">
        <f ca="1">MATCH(AA141,OFFSET(BV!H$2,,AH141*8-8,430),0)</f>
        <v>77</v>
      </c>
      <c r="AL141" s="315"/>
      <c r="AM141" s="315"/>
      <c r="AN141" s="433">
        <v>116</v>
      </c>
      <c r="AO141" s="11" t="str">
        <f ca="1">BV!C141</f>
        <v/>
      </c>
      <c r="AP141" s="11" t="str">
        <f ca="1">BV!K141</f>
        <v/>
      </c>
      <c r="AQ141" s="11" t="str">
        <f ca="1">BV!S141</f>
        <v/>
      </c>
      <c r="AR141" s="11" t="str">
        <f ca="1">BV!AA141</f>
        <v/>
      </c>
      <c r="AS141" s="11" t="str">
        <f ca="1">BV!AI141</f>
        <v/>
      </c>
      <c r="AT141" s="11" t="str">
        <f ca="1">BV!AQ141</f>
        <v/>
      </c>
      <c r="AU141" s="11" t="str">
        <f ca="1">BV!AY141</f>
        <v/>
      </c>
      <c r="AV141" s="11" t="str">
        <f ca="1">BV!BG141</f>
        <v/>
      </c>
      <c r="AW141" s="11" t="str">
        <f ca="1">BV!BO141</f>
        <v/>
      </c>
      <c r="AX141" s="11" t="str">
        <f ca="1">BV!BW141</f>
        <v/>
      </c>
      <c r="AY141" s="64" t="s">
        <v>66</v>
      </c>
      <c r="AZ141" s="38">
        <f t="shared" si="113"/>
        <v>4.7036113547193441</v>
      </c>
      <c r="BA141" s="261">
        <v>1.9787395999999999E-5</v>
      </c>
      <c r="BB141" s="56">
        <v>3.6432964520000002E-3</v>
      </c>
      <c r="BC141" s="56">
        <f t="shared" si="114"/>
        <v>5.4311792248302052E-3</v>
      </c>
      <c r="BD141" s="13" t="str">
        <f ca="1">IF(BV!H141="","",INT(NOW()-BV!H141))</f>
        <v/>
      </c>
      <c r="BE141" s="270">
        <f t="shared" si="115"/>
        <v>224.80485040178127</v>
      </c>
      <c r="BF141" s="11" t="str">
        <f ca="1">BV!G141</f>
        <v/>
      </c>
      <c r="BG141" s="11" t="str">
        <f ca="1">BV!O141</f>
        <v/>
      </c>
      <c r="BH141" s="11" t="str">
        <f ca="1">BV!W141</f>
        <v/>
      </c>
      <c r="BI141" s="11" t="str">
        <f ca="1">BV!AE141</f>
        <v/>
      </c>
      <c r="BJ141" s="11" t="str">
        <f ca="1">BV!AM141</f>
        <v/>
      </c>
      <c r="BK141" s="11" t="str">
        <f ca="1">BV!AU141</f>
        <v/>
      </c>
      <c r="BL141" s="11" t="str">
        <f ca="1">BV!BC141</f>
        <v/>
      </c>
      <c r="BM141" s="11" t="str">
        <f ca="1">BV!BK141</f>
        <v/>
      </c>
      <c r="BN141" s="11" t="str">
        <f ca="1">BV!BS141</f>
        <v/>
      </c>
      <c r="BO141" s="11" t="str">
        <f ca="1">BV!CA141</f>
        <v/>
      </c>
      <c r="BP141" s="433">
        <v>116</v>
      </c>
      <c r="BQ141" s="11" t="str">
        <f ca="1">IFERROR(YEAR(OFFSET(BV!$H141,,(COLUMN()-69)*8)),"")</f>
        <v/>
      </c>
      <c r="BR141" s="11" t="str">
        <f ca="1">IFERROR(YEAR(OFFSET(BV!$H141,,(COLUMN()-69)*8)),"")</f>
        <v/>
      </c>
      <c r="BS141" s="11" t="str">
        <f ca="1">IFERROR(YEAR(OFFSET(BV!$H141,,(COLUMN()-69)*8)),"")</f>
        <v/>
      </c>
      <c r="BT141" s="11" t="str">
        <f ca="1">IFERROR(YEAR(OFFSET(BV!$H141,,(COLUMN()-69)*8)),"")</f>
        <v/>
      </c>
      <c r="BU141" s="11" t="str">
        <f ca="1">IFERROR(YEAR(OFFSET(BV!$H141,,(COLUMN()-69)*8)),"")</f>
        <v/>
      </c>
      <c r="BV141" s="11" t="str">
        <f ca="1">IFERROR(YEAR(OFFSET(BV!$H141,,(COLUMN()-69)*8)),"")</f>
        <v/>
      </c>
      <c r="BW141" s="11" t="str">
        <f ca="1">IFERROR(YEAR(OFFSET(BV!$H141,,(COLUMN()-69)*8)),"")</f>
        <v/>
      </c>
      <c r="BX141" s="11" t="str">
        <f ca="1">IFERROR(YEAR(OFFSET(BV!$H141,,(COLUMN()-69)*8)),"")</f>
        <v/>
      </c>
      <c r="BY141" s="11" t="str">
        <f ca="1">IFERROR(YEAR(OFFSET(BV!$H141,,(COLUMN()-69)*8)),"")</f>
        <v/>
      </c>
      <c r="BZ141" s="11" t="str">
        <f ca="1">IFERROR(YEAR(OFFSET(BV!$H141,,(COLUMN()-69)*8)),"")</f>
        <v/>
      </c>
    </row>
    <row r="142" spans="1:78" x14ac:dyDescent="0.25">
      <c r="A142" s="433">
        <v>117</v>
      </c>
      <c r="B142" s="11" t="str">
        <f ca="1">BV!D142</f>
        <v/>
      </c>
      <c r="C142" s="11" t="str">
        <f ca="1">BV!L142</f>
        <v/>
      </c>
      <c r="D142" s="11" t="str">
        <f ca="1">BV!T142</f>
        <v/>
      </c>
      <c r="E142" s="11" t="str">
        <f ca="1">BV!AB142</f>
        <v/>
      </c>
      <c r="F142" s="11" t="str">
        <f ca="1">BV!AJ142</f>
        <v/>
      </c>
      <c r="G142" s="11" t="str">
        <f ca="1">BV!AR142</f>
        <v/>
      </c>
      <c r="H142" s="11" t="str">
        <f ca="1">BV!AZ142</f>
        <v/>
      </c>
      <c r="I142" s="11" t="str">
        <f ca="1">BV!BH142</f>
        <v/>
      </c>
      <c r="J142" s="11" t="str">
        <f ca="1">BV!BP142</f>
        <v/>
      </c>
      <c r="K142" s="11" t="str">
        <f ca="1">BV!BX142</f>
        <v/>
      </c>
      <c r="L142" s="64" t="s">
        <v>66</v>
      </c>
      <c r="M142" s="261">
        <v>1.5399558999999999E-5</v>
      </c>
      <c r="N142" s="262" t="str">
        <f t="shared" ca="1" si="112"/>
        <v/>
      </c>
      <c r="O142" s="24"/>
      <c r="P142" s="1"/>
      <c r="Q142" s="1"/>
      <c r="R142" s="1"/>
      <c r="S142" s="1"/>
      <c r="T142" s="1"/>
      <c r="U142" s="1"/>
      <c r="V142" s="317"/>
      <c r="W142" s="317"/>
      <c r="X142" s="317"/>
      <c r="Y142" s="317"/>
      <c r="AA142" s="620">
        <f ca="1">LARGE(OFFSET(BV!H$2,,AH142*8-8,430),AG142)</f>
        <v>44168.027000000002</v>
      </c>
      <c r="AB142" s="620"/>
      <c r="AC142" s="1">
        <f ca="1">INDEX(OFFSET(BV!A$2,,AH142*8-8,430),$AK142)</f>
        <v>27</v>
      </c>
      <c r="AD142" s="594">
        <f ca="1">INDEX(OFFSET(BV!C$2,,AH142*8-8,430),$AK142)</f>
        <v>7.13</v>
      </c>
      <c r="AE142" s="594"/>
      <c r="AF142" s="1">
        <f ca="1">INDEX(OFFSET(BV!D$2,,AH142*8-8,430),$AK142)</f>
        <v>3.7868162692847127</v>
      </c>
      <c r="AG142" s="1">
        <v>5</v>
      </c>
      <c r="AH142" s="1">
        <v>5</v>
      </c>
      <c r="AI142" s="315"/>
      <c r="AJ142" s="315"/>
      <c r="AK142" s="480">
        <f ca="1">MATCH(AA142,OFFSET(BV!H$2,,AH142*8-8,430),0)</f>
        <v>26</v>
      </c>
      <c r="AL142" s="315"/>
      <c r="AM142" s="315"/>
      <c r="AN142" s="433">
        <v>117</v>
      </c>
      <c r="AO142" s="11" t="str">
        <f ca="1">BV!C142</f>
        <v/>
      </c>
      <c r="AP142" s="11" t="str">
        <f ca="1">BV!K142</f>
        <v/>
      </c>
      <c r="AQ142" s="11" t="str">
        <f ca="1">BV!S142</f>
        <v/>
      </c>
      <c r="AR142" s="11" t="str">
        <f ca="1">BV!AA142</f>
        <v/>
      </c>
      <c r="AS142" s="11" t="str">
        <f ca="1">BV!AI142</f>
        <v/>
      </c>
      <c r="AT142" s="11" t="str">
        <f ca="1">BV!AQ142</f>
        <v/>
      </c>
      <c r="AU142" s="11" t="str">
        <f ca="1">BV!AY142</f>
        <v/>
      </c>
      <c r="AV142" s="11" t="str">
        <f ca="1">BV!BG142</f>
        <v/>
      </c>
      <c r="AW142" s="11" t="str">
        <f ca="1">BV!BO142</f>
        <v/>
      </c>
      <c r="AX142" s="11" t="str">
        <f ca="1">BV!BW142</f>
        <v/>
      </c>
      <c r="AY142" s="64" t="s">
        <v>66</v>
      </c>
      <c r="AZ142" s="38">
        <f t="shared" si="113"/>
        <v>4.8124917159563187</v>
      </c>
      <c r="BA142" s="261">
        <v>1.5399558999999999E-5</v>
      </c>
      <c r="BB142" s="56">
        <v>3.6432964520000002E-3</v>
      </c>
      <c r="BC142" s="56">
        <f t="shared" si="114"/>
        <v>4.2268201895968027E-3</v>
      </c>
      <c r="BD142" s="13" t="str">
        <f ca="1">IF(BV!H142="","",INT(NOW()-BV!H142))</f>
        <v/>
      </c>
      <c r="BE142" s="270">
        <f t="shared" si="115"/>
        <v>254.82724440775192</v>
      </c>
      <c r="BF142" s="11" t="str">
        <f ca="1">BV!G142</f>
        <v/>
      </c>
      <c r="BG142" s="11" t="str">
        <f ca="1">BV!O142</f>
        <v/>
      </c>
      <c r="BH142" s="11" t="str">
        <f ca="1">BV!W142</f>
        <v/>
      </c>
      <c r="BI142" s="11" t="str">
        <f ca="1">BV!AE142</f>
        <v/>
      </c>
      <c r="BJ142" s="11" t="str">
        <f ca="1">BV!AM142</f>
        <v/>
      </c>
      <c r="BK142" s="11" t="str">
        <f ca="1">BV!AU142</f>
        <v/>
      </c>
      <c r="BL142" s="11" t="str">
        <f ca="1">BV!BC142</f>
        <v/>
      </c>
      <c r="BM142" s="11" t="str">
        <f ca="1">BV!BK142</f>
        <v/>
      </c>
      <c r="BN142" s="11" t="str">
        <f ca="1">BV!BS142</f>
        <v/>
      </c>
      <c r="BO142" s="11" t="str">
        <f ca="1">BV!CA142</f>
        <v/>
      </c>
      <c r="BP142" s="433">
        <v>117</v>
      </c>
      <c r="BQ142" s="11" t="str">
        <f ca="1">IFERROR(YEAR(OFFSET(BV!$H142,,(COLUMN()-69)*8)),"")</f>
        <v/>
      </c>
      <c r="BR142" s="11" t="str">
        <f ca="1">IFERROR(YEAR(OFFSET(BV!$H142,,(COLUMN()-69)*8)),"")</f>
        <v/>
      </c>
      <c r="BS142" s="11" t="str">
        <f ca="1">IFERROR(YEAR(OFFSET(BV!$H142,,(COLUMN()-69)*8)),"")</f>
        <v/>
      </c>
      <c r="BT142" s="11" t="str">
        <f ca="1">IFERROR(YEAR(OFFSET(BV!$H142,,(COLUMN()-69)*8)),"")</f>
        <v/>
      </c>
      <c r="BU142" s="11" t="str">
        <f ca="1">IFERROR(YEAR(OFFSET(BV!$H142,,(COLUMN()-69)*8)),"")</f>
        <v/>
      </c>
      <c r="BV142" s="11" t="str">
        <f ca="1">IFERROR(YEAR(OFFSET(BV!$H142,,(COLUMN()-69)*8)),"")</f>
        <v/>
      </c>
      <c r="BW142" s="11" t="str">
        <f ca="1">IFERROR(YEAR(OFFSET(BV!$H142,,(COLUMN()-69)*8)),"")</f>
        <v/>
      </c>
      <c r="BX142" s="11" t="str">
        <f ca="1">IFERROR(YEAR(OFFSET(BV!$H142,,(COLUMN()-69)*8)),"")</f>
        <v/>
      </c>
      <c r="BY142" s="11" t="str">
        <f ca="1">IFERROR(YEAR(OFFSET(BV!$H142,,(COLUMN()-69)*8)),"")</f>
        <v/>
      </c>
      <c r="BZ142" s="11" t="str">
        <f ca="1">IFERROR(YEAR(OFFSET(BV!$H142,,(COLUMN()-69)*8)),"")</f>
        <v/>
      </c>
    </row>
    <row r="143" spans="1:78" x14ac:dyDescent="0.25">
      <c r="A143" s="433">
        <v>118</v>
      </c>
      <c r="B143" s="11" t="str">
        <f ca="1">BV!D143</f>
        <v/>
      </c>
      <c r="C143" s="11" t="str">
        <f ca="1">BV!L143</f>
        <v/>
      </c>
      <c r="D143" s="11" t="str">
        <f ca="1">BV!T143</f>
        <v/>
      </c>
      <c r="E143" s="11" t="str">
        <f ca="1">BV!AB143</f>
        <v/>
      </c>
      <c r="F143" s="11" t="str">
        <f ca="1">BV!AJ143</f>
        <v/>
      </c>
      <c r="G143" s="11" t="str">
        <f ca="1">BV!AR143</f>
        <v/>
      </c>
      <c r="H143" s="11" t="str">
        <f ca="1">BV!AZ143</f>
        <v/>
      </c>
      <c r="I143" s="11" t="str">
        <f ca="1">BV!BH143</f>
        <v/>
      </c>
      <c r="J143" s="11" t="str">
        <f ca="1">BV!BP143</f>
        <v/>
      </c>
      <c r="K143" s="11" t="str">
        <f ca="1">BV!BX143</f>
        <v/>
      </c>
      <c r="L143" s="64" t="s">
        <v>66</v>
      </c>
      <c r="M143" s="261">
        <v>1.1932078E-5</v>
      </c>
      <c r="N143" s="262" t="str">
        <f t="shared" ca="1" si="112"/>
        <v/>
      </c>
      <c r="O143" s="24"/>
      <c r="P143" s="1"/>
      <c r="Q143" s="1"/>
      <c r="R143" s="1"/>
      <c r="S143" s="1"/>
      <c r="T143" s="1"/>
      <c r="U143" s="1"/>
      <c r="V143" s="317"/>
      <c r="W143" s="317"/>
      <c r="X143" s="317"/>
      <c r="Y143" s="317"/>
      <c r="AA143" s="621">
        <f ca="1">LARGE(OFFSET(BV!H$2,,AH143*8-8,430),AG143)</f>
        <v>44177.317999999999</v>
      </c>
      <c r="AB143" s="621"/>
      <c r="AC143" s="4">
        <f ca="1">INDEX(OFFSET(BV!A$2,,AH143*8-8,430),$AK143)</f>
        <v>176</v>
      </c>
      <c r="AD143" s="590">
        <f ca="1">INDEX(OFFSET(BV!C$2,,AH143*8-8,430),$AK143)</f>
        <v>72.12</v>
      </c>
      <c r="AE143" s="590"/>
      <c r="AF143" s="4">
        <f ca="1">INDEX(OFFSET(BV!D$2,,AH143*8-8,430),$AK143)</f>
        <v>2.4403771491957849</v>
      </c>
      <c r="AG143" s="4">
        <v>1</v>
      </c>
      <c r="AH143" s="4">
        <v>6</v>
      </c>
      <c r="AI143" s="315"/>
      <c r="AJ143" s="315"/>
      <c r="AK143" s="480">
        <f ca="1">MATCH(AA143,OFFSET(BV!H$2,,AH143*8-8,430),0)</f>
        <v>317</v>
      </c>
      <c r="AL143" s="315"/>
      <c r="AM143" s="315"/>
      <c r="AN143" s="433">
        <v>118</v>
      </c>
      <c r="AO143" s="11" t="str">
        <f ca="1">BV!C143</f>
        <v/>
      </c>
      <c r="AP143" s="11" t="str">
        <f ca="1">BV!K143</f>
        <v/>
      </c>
      <c r="AQ143" s="11" t="str">
        <f ca="1">BV!S143</f>
        <v/>
      </c>
      <c r="AR143" s="11" t="str">
        <f ca="1">BV!AA143</f>
        <v/>
      </c>
      <c r="AS143" s="11" t="str">
        <f ca="1">BV!AI143</f>
        <v/>
      </c>
      <c r="AT143" s="11" t="str">
        <f ca="1">BV!AQ143</f>
        <v/>
      </c>
      <c r="AU143" s="11" t="str">
        <f ca="1">BV!AY143</f>
        <v/>
      </c>
      <c r="AV143" s="11" t="str">
        <f ca="1">BV!BG143</f>
        <v/>
      </c>
      <c r="AW143" s="11" t="str">
        <f ca="1">BV!BO143</f>
        <v/>
      </c>
      <c r="AX143" s="11" t="str">
        <f ca="1">BV!BW143</f>
        <v/>
      </c>
      <c r="AY143" s="64" t="s">
        <v>66</v>
      </c>
      <c r="AZ143" s="38">
        <f t="shared" si="113"/>
        <v>4.9232839163174447</v>
      </c>
      <c r="BA143" s="261">
        <v>1.1932078E-5</v>
      </c>
      <c r="BB143" s="56">
        <v>3.6432964520000002E-3</v>
      </c>
      <c r="BC143" s="56">
        <f t="shared" si="114"/>
        <v>3.275077435285247E-3</v>
      </c>
      <c r="BD143" s="13" t="str">
        <f ca="1">IF(BV!H143="","",INT(NOW()-BV!H143))</f>
        <v/>
      </c>
      <c r="BE143" s="270">
        <f t="shared" si="115"/>
        <v>289.49559388171446</v>
      </c>
      <c r="BF143" s="11" t="str">
        <f ca="1">BV!G143</f>
        <v/>
      </c>
      <c r="BG143" s="11" t="str">
        <f ca="1">BV!O143</f>
        <v/>
      </c>
      <c r="BH143" s="11" t="str">
        <f ca="1">BV!W143</f>
        <v/>
      </c>
      <c r="BI143" s="11" t="str">
        <f ca="1">BV!AE143</f>
        <v/>
      </c>
      <c r="BJ143" s="11" t="str">
        <f ca="1">BV!AM143</f>
        <v/>
      </c>
      <c r="BK143" s="11" t="str">
        <f ca="1">BV!AU143</f>
        <v/>
      </c>
      <c r="BL143" s="11" t="str">
        <f ca="1">BV!BC143</f>
        <v/>
      </c>
      <c r="BM143" s="11" t="str">
        <f ca="1">BV!BK143</f>
        <v/>
      </c>
      <c r="BN143" s="11" t="str">
        <f ca="1">BV!BS143</f>
        <v/>
      </c>
      <c r="BO143" s="11" t="str">
        <f ca="1">BV!CA143</f>
        <v/>
      </c>
      <c r="BP143" s="433">
        <v>118</v>
      </c>
      <c r="BQ143" s="11" t="str">
        <f ca="1">IFERROR(YEAR(OFFSET(BV!$H143,,(COLUMN()-69)*8)),"")</f>
        <v/>
      </c>
      <c r="BR143" s="11" t="str">
        <f ca="1">IFERROR(YEAR(OFFSET(BV!$H143,,(COLUMN()-69)*8)),"")</f>
        <v/>
      </c>
      <c r="BS143" s="11" t="str">
        <f ca="1">IFERROR(YEAR(OFFSET(BV!$H143,,(COLUMN()-69)*8)),"")</f>
        <v/>
      </c>
      <c r="BT143" s="11" t="str">
        <f ca="1">IFERROR(YEAR(OFFSET(BV!$H143,,(COLUMN()-69)*8)),"")</f>
        <v/>
      </c>
      <c r="BU143" s="11" t="str">
        <f ca="1">IFERROR(YEAR(OFFSET(BV!$H143,,(COLUMN()-69)*8)),"")</f>
        <v/>
      </c>
      <c r="BV143" s="11" t="str">
        <f ca="1">IFERROR(YEAR(OFFSET(BV!$H143,,(COLUMN()-69)*8)),"")</f>
        <v/>
      </c>
      <c r="BW143" s="11" t="str">
        <f ca="1">IFERROR(YEAR(OFFSET(BV!$H143,,(COLUMN()-69)*8)),"")</f>
        <v/>
      </c>
      <c r="BX143" s="11" t="str">
        <f ca="1">IFERROR(YEAR(OFFSET(BV!$H143,,(COLUMN()-69)*8)),"")</f>
        <v/>
      </c>
      <c r="BY143" s="11" t="str">
        <f ca="1">IFERROR(YEAR(OFFSET(BV!$H143,,(COLUMN()-69)*8)),"")</f>
        <v/>
      </c>
      <c r="BZ143" s="11" t="str">
        <f ca="1">IFERROR(YEAR(OFFSET(BV!$H143,,(COLUMN()-69)*8)),"")</f>
        <v/>
      </c>
    </row>
    <row r="144" spans="1:78" x14ac:dyDescent="0.25">
      <c r="A144" s="433">
        <v>119</v>
      </c>
      <c r="B144" s="11" t="str">
        <f ca="1">BV!D144</f>
        <v/>
      </c>
      <c r="C144" s="11" t="str">
        <f ca="1">BV!L144</f>
        <v/>
      </c>
      <c r="D144" s="11" t="str">
        <f ca="1">BV!T144</f>
        <v/>
      </c>
      <c r="E144" s="11" t="str">
        <f ca="1">BV!AB144</f>
        <v/>
      </c>
      <c r="F144" s="11" t="str">
        <f ca="1">BV!AJ144</f>
        <v/>
      </c>
      <c r="G144" s="11" t="str">
        <f ca="1">BV!AR144</f>
        <v/>
      </c>
      <c r="H144" s="11" t="str">
        <f ca="1">BV!AZ144</f>
        <v/>
      </c>
      <c r="I144" s="11" t="str">
        <f ca="1">BV!BH144</f>
        <v/>
      </c>
      <c r="J144" s="11" t="str">
        <f ca="1">BV!BP144</f>
        <v/>
      </c>
      <c r="K144" s="11" t="str">
        <f ca="1">BV!BX144</f>
        <v/>
      </c>
      <c r="L144" s="308" t="s">
        <v>105</v>
      </c>
      <c r="M144" s="261">
        <v>9.2188149999999999E-6</v>
      </c>
      <c r="N144" s="309" t="str">
        <f t="shared" ca="1" si="112"/>
        <v/>
      </c>
      <c r="O144" s="24"/>
      <c r="P144" s="1"/>
      <c r="Q144" s="1"/>
      <c r="R144" s="1"/>
      <c r="S144" s="1"/>
      <c r="T144" s="1"/>
      <c r="U144" s="1"/>
      <c r="V144" s="317"/>
      <c r="W144" s="317"/>
      <c r="X144" s="317"/>
      <c r="Y144" s="317"/>
      <c r="AA144" s="621">
        <f ca="1">LARGE(OFFSET(BV!H$2,,AH144*8-8,430),AG144)</f>
        <v>44168.025000000001</v>
      </c>
      <c r="AB144" s="621"/>
      <c r="AC144" s="4">
        <f ca="1">INDEX(OFFSET(BV!A$2,,AH144*8-8,430),$AK144)</f>
        <v>25</v>
      </c>
      <c r="AD144" s="590">
        <f ca="1">INDEX(OFFSET(BV!C$2,,AH144*8-8,430),$AK144)</f>
        <v>6.87</v>
      </c>
      <c r="AE144" s="590"/>
      <c r="AF144" s="4">
        <f ca="1">INDEX(OFFSET(BV!D$2,,AH144*8-8,430),$AK144)</f>
        <v>3.6390101892285296</v>
      </c>
      <c r="AG144" s="4">
        <v>2</v>
      </c>
      <c r="AH144" s="4">
        <v>6</v>
      </c>
      <c r="AI144" s="315"/>
      <c r="AJ144" s="315"/>
      <c r="AK144" s="480">
        <f ca="1">MATCH(AA144,OFFSET(BV!H$2,,AH144*8-8,430),0)</f>
        <v>24</v>
      </c>
      <c r="AL144" s="315"/>
      <c r="AM144" s="315"/>
      <c r="AN144" s="433">
        <v>119</v>
      </c>
      <c r="AO144" s="11" t="str">
        <f ca="1">BV!C144</f>
        <v/>
      </c>
      <c r="AP144" s="11" t="str">
        <f ca="1">BV!K144</f>
        <v/>
      </c>
      <c r="AQ144" s="11" t="str">
        <f ca="1">BV!S144</f>
        <v/>
      </c>
      <c r="AR144" s="11" t="str">
        <f ca="1">BV!AA144</f>
        <v/>
      </c>
      <c r="AS144" s="11" t="str">
        <f ca="1">BV!AI144</f>
        <v/>
      </c>
      <c r="AT144" s="11" t="str">
        <f ca="1">BV!AQ144</f>
        <v/>
      </c>
      <c r="AU144" s="11" t="str">
        <f ca="1">BV!AY144</f>
        <v/>
      </c>
      <c r="AV144" s="11" t="str">
        <f ca="1">BV!BG144</f>
        <v/>
      </c>
      <c r="AW144" s="11" t="str">
        <f ca="1">BV!BO144</f>
        <v/>
      </c>
      <c r="AX144" s="11" t="str">
        <f ca="1">BV!BW144</f>
        <v/>
      </c>
      <c r="AY144" s="308" t="s">
        <v>105</v>
      </c>
      <c r="AZ144" s="311">
        <f t="shared" si="113"/>
        <v>5.0353249002083951</v>
      </c>
      <c r="BA144" s="261">
        <v>9.2188149999999999E-6</v>
      </c>
      <c r="BB144" s="56">
        <v>3.6432964520000002E-3</v>
      </c>
      <c r="BC144" s="56">
        <f t="shared" si="114"/>
        <v>2.5303499513302848E-3</v>
      </c>
      <c r="BD144" s="13" t="str">
        <f ca="1">IF(BV!H144="","",INT(NOW()-BV!H144))</f>
        <v/>
      </c>
      <c r="BE144" s="312">
        <f t="shared" si="115"/>
        <v>329.35362672800318</v>
      </c>
      <c r="BF144" s="11" t="str">
        <f ca="1">BV!G144</f>
        <v/>
      </c>
      <c r="BG144" s="11" t="str">
        <f ca="1">BV!O144</f>
        <v/>
      </c>
      <c r="BH144" s="11" t="str">
        <f ca="1">BV!W144</f>
        <v/>
      </c>
      <c r="BI144" s="11" t="str">
        <f ca="1">BV!AE144</f>
        <v/>
      </c>
      <c r="BJ144" s="11" t="str">
        <f ca="1">BV!AM144</f>
        <v/>
      </c>
      <c r="BK144" s="11" t="str">
        <f ca="1">BV!AU144</f>
        <v/>
      </c>
      <c r="BL144" s="11" t="str">
        <f ca="1">BV!BC144</f>
        <v/>
      </c>
      <c r="BM144" s="11" t="str">
        <f ca="1">BV!BK144</f>
        <v/>
      </c>
      <c r="BN144" s="11" t="str">
        <f ca="1">BV!BS144</f>
        <v/>
      </c>
      <c r="BO144" s="11" t="str">
        <f ca="1">BV!CA144</f>
        <v/>
      </c>
      <c r="BP144" s="433">
        <v>119</v>
      </c>
      <c r="BQ144" s="11" t="str">
        <f ca="1">IFERROR(YEAR(OFFSET(BV!$H144,,(COLUMN()-69)*8)),"")</f>
        <v/>
      </c>
      <c r="BR144" s="11" t="str">
        <f ca="1">IFERROR(YEAR(OFFSET(BV!$H144,,(COLUMN()-69)*8)),"")</f>
        <v/>
      </c>
      <c r="BS144" s="11" t="str">
        <f ca="1">IFERROR(YEAR(OFFSET(BV!$H144,,(COLUMN()-69)*8)),"")</f>
        <v/>
      </c>
      <c r="BT144" s="11" t="str">
        <f ca="1">IFERROR(YEAR(OFFSET(BV!$H144,,(COLUMN()-69)*8)),"")</f>
        <v/>
      </c>
      <c r="BU144" s="11" t="str">
        <f ca="1">IFERROR(YEAR(OFFSET(BV!$H144,,(COLUMN()-69)*8)),"")</f>
        <v/>
      </c>
      <c r="BV144" s="11" t="str">
        <f ca="1">IFERROR(YEAR(OFFSET(BV!$H144,,(COLUMN()-69)*8)),"")</f>
        <v/>
      </c>
      <c r="BW144" s="11" t="str">
        <f ca="1">IFERROR(YEAR(OFFSET(BV!$H144,,(COLUMN()-69)*8)),"")</f>
        <v/>
      </c>
      <c r="BX144" s="11" t="str">
        <f ca="1">IFERROR(YEAR(OFFSET(BV!$H144,,(COLUMN()-69)*8)),"")</f>
        <v/>
      </c>
      <c r="BY144" s="11" t="str">
        <f ca="1">IFERROR(YEAR(OFFSET(BV!$H144,,(COLUMN()-69)*8)),"")</f>
        <v/>
      </c>
      <c r="BZ144" s="11" t="str">
        <f ca="1">IFERROR(YEAR(OFFSET(BV!$H144,,(COLUMN()-69)*8)),"")</f>
        <v/>
      </c>
    </row>
    <row r="145" spans="1:78" x14ac:dyDescent="0.25">
      <c r="A145" s="433">
        <v>120</v>
      </c>
      <c r="B145" s="11" t="str">
        <f ca="1">BV!D145</f>
        <v/>
      </c>
      <c r="C145" s="11" t="str">
        <f ca="1">BV!L145</f>
        <v/>
      </c>
      <c r="D145" s="11" t="str">
        <f ca="1">BV!T145</f>
        <v/>
      </c>
      <c r="E145" s="11" t="str">
        <f ca="1">BV!AB145</f>
        <v/>
      </c>
      <c r="F145" s="11" t="str">
        <f ca="1">BV!AJ145</f>
        <v/>
      </c>
      <c r="G145" s="11" t="str">
        <f ca="1">BV!AR145</f>
        <v/>
      </c>
      <c r="H145" s="11" t="str">
        <f ca="1">BV!AZ145</f>
        <v/>
      </c>
      <c r="I145" s="11" t="str">
        <f ca="1">BV!BH145</f>
        <v/>
      </c>
      <c r="J145" s="11" t="str">
        <f ca="1">BV!BP145</f>
        <v/>
      </c>
      <c r="K145" s="11" t="str">
        <f ca="1">BV!BX145</f>
        <v/>
      </c>
      <c r="L145" s="308" t="s">
        <v>105</v>
      </c>
      <c r="M145" s="261">
        <v>7.0978559999999999E-6</v>
      </c>
      <c r="N145" s="309" t="str">
        <f t="shared" ca="1" si="112"/>
        <v/>
      </c>
      <c r="O145" s="24"/>
      <c r="P145" s="1"/>
      <c r="Q145" s="1"/>
      <c r="R145" s="1"/>
      <c r="S145" s="1"/>
      <c r="T145" s="1"/>
      <c r="U145" s="1"/>
      <c r="V145" s="317"/>
      <c r="W145" s="317"/>
      <c r="X145" s="317"/>
      <c r="Y145" s="317"/>
      <c r="AA145" s="621">
        <f ca="1">LARGE(OFFSET(BV!H$2,,AH145*8-8,430),AG145)</f>
        <v>44167.31</v>
      </c>
      <c r="AB145" s="621"/>
      <c r="AC145" s="4">
        <f ca="1">INDEX(OFFSET(BV!A$2,,AH145*8-8,430),$AK145)</f>
        <v>168</v>
      </c>
      <c r="AD145" s="590">
        <f ca="1">INDEX(OFFSET(BV!C$2,,AH145*8-8,430),$AK145)</f>
        <v>73.81</v>
      </c>
      <c r="AE145" s="590"/>
      <c r="AF145" s="4">
        <f ca="1">INDEX(OFFSET(BV!D$2,,AH145*8-8,430),$AK145)</f>
        <v>2.2761143476493699</v>
      </c>
      <c r="AG145" s="4">
        <v>3</v>
      </c>
      <c r="AH145" s="4">
        <v>6</v>
      </c>
      <c r="AI145" s="315"/>
      <c r="AJ145" s="315"/>
      <c r="AK145" s="480">
        <f ca="1">MATCH(AA145,OFFSET(BV!H$2,,AH145*8-8,430),0)</f>
        <v>309</v>
      </c>
      <c r="AL145" s="315"/>
      <c r="AM145" s="315"/>
      <c r="AN145" s="433">
        <v>120</v>
      </c>
      <c r="AO145" s="11" t="str">
        <f ca="1">BV!C145</f>
        <v/>
      </c>
      <c r="AP145" s="11" t="str">
        <f ca="1">BV!K145</f>
        <v/>
      </c>
      <c r="AQ145" s="11" t="str">
        <f ca="1">BV!S145</f>
        <v/>
      </c>
      <c r="AR145" s="11" t="str">
        <f ca="1">BV!AA145</f>
        <v/>
      </c>
      <c r="AS145" s="11" t="str">
        <f ca="1">BV!AI145</f>
        <v/>
      </c>
      <c r="AT145" s="11" t="str">
        <f ca="1">BV!AQ145</f>
        <v/>
      </c>
      <c r="AU145" s="11" t="str">
        <f ca="1">BV!AY145</f>
        <v/>
      </c>
      <c r="AV145" s="11" t="str">
        <f ca="1">BV!BG145</f>
        <v/>
      </c>
      <c r="AW145" s="11" t="str">
        <f ca="1">BV!BO145</f>
        <v/>
      </c>
      <c r="AX145" s="11" t="str">
        <f ca="1">BV!BW145</f>
        <v/>
      </c>
      <c r="AY145" s="308" t="s">
        <v>105</v>
      </c>
      <c r="AZ145" s="311">
        <f t="shared" si="113"/>
        <v>5.1488728157858015</v>
      </c>
      <c r="BA145" s="261">
        <v>7.0978559999999999E-6</v>
      </c>
      <c r="BB145" s="56">
        <v>3.6432964520000002E-3</v>
      </c>
      <c r="BC145" s="56">
        <f t="shared" si="114"/>
        <v>1.948196116762227E-3</v>
      </c>
      <c r="BD145" s="13" t="str">
        <f ca="1">IF(BV!H145="","",INT(NOW()-BV!H145))</f>
        <v/>
      </c>
      <c r="BE145" s="312">
        <f t="shared" si="115"/>
        <v>375.34998936120013</v>
      </c>
      <c r="BF145" s="11" t="str">
        <f ca="1">BV!G145</f>
        <v/>
      </c>
      <c r="BG145" s="11" t="str">
        <f ca="1">BV!O145</f>
        <v/>
      </c>
      <c r="BH145" s="11" t="str">
        <f ca="1">BV!W145</f>
        <v/>
      </c>
      <c r="BI145" s="11" t="str">
        <f ca="1">BV!AE145</f>
        <v/>
      </c>
      <c r="BJ145" s="11" t="str">
        <f ca="1">BV!AM145</f>
        <v/>
      </c>
      <c r="BK145" s="11" t="str">
        <f ca="1">BV!AU145</f>
        <v/>
      </c>
      <c r="BL145" s="11" t="str">
        <f ca="1">BV!BC145</f>
        <v/>
      </c>
      <c r="BM145" s="11" t="str">
        <f ca="1">BV!BK145</f>
        <v/>
      </c>
      <c r="BN145" s="11" t="str">
        <f ca="1">BV!BS145</f>
        <v/>
      </c>
      <c r="BO145" s="11" t="str">
        <f ca="1">BV!CA145</f>
        <v/>
      </c>
      <c r="BP145" s="433">
        <v>120</v>
      </c>
      <c r="BQ145" s="11" t="str">
        <f ca="1">IFERROR(YEAR(OFFSET(BV!$H145,,(COLUMN()-69)*8)),"")</f>
        <v/>
      </c>
      <c r="BR145" s="11" t="str">
        <f ca="1">IFERROR(YEAR(OFFSET(BV!$H145,,(COLUMN()-69)*8)),"")</f>
        <v/>
      </c>
      <c r="BS145" s="11" t="str">
        <f ca="1">IFERROR(YEAR(OFFSET(BV!$H145,,(COLUMN()-69)*8)),"")</f>
        <v/>
      </c>
      <c r="BT145" s="11" t="str">
        <f ca="1">IFERROR(YEAR(OFFSET(BV!$H145,,(COLUMN()-69)*8)),"")</f>
        <v/>
      </c>
      <c r="BU145" s="11" t="str">
        <f ca="1">IFERROR(YEAR(OFFSET(BV!$H145,,(COLUMN()-69)*8)),"")</f>
        <v/>
      </c>
      <c r="BV145" s="11" t="str">
        <f ca="1">IFERROR(YEAR(OFFSET(BV!$H145,,(COLUMN()-69)*8)),"")</f>
        <v/>
      </c>
      <c r="BW145" s="11" t="str">
        <f ca="1">IFERROR(YEAR(OFFSET(BV!$H145,,(COLUMN()-69)*8)),"")</f>
        <v/>
      </c>
      <c r="BX145" s="11" t="str">
        <f ca="1">IFERROR(YEAR(OFFSET(BV!$H145,,(COLUMN()-69)*8)),"")</f>
        <v/>
      </c>
      <c r="BY145" s="11" t="str">
        <f ca="1">IFERROR(YEAR(OFFSET(BV!$H145,,(COLUMN()-69)*8)),"")</f>
        <v/>
      </c>
      <c r="BZ145" s="11" t="str">
        <f ca="1">IFERROR(YEAR(OFFSET(BV!$H145,,(COLUMN()-69)*8)),"")</f>
        <v/>
      </c>
    </row>
    <row r="146" spans="1:78" x14ac:dyDescent="0.25">
      <c r="A146" s="433">
        <v>121</v>
      </c>
      <c r="B146" s="11" t="str">
        <f ca="1">BV!D146</f>
        <v/>
      </c>
      <c r="C146" s="11" t="str">
        <f ca="1">BV!L146</f>
        <v/>
      </c>
      <c r="D146" s="11" t="str">
        <f ca="1">BV!T146</f>
        <v/>
      </c>
      <c r="E146" s="11" t="str">
        <f ca="1">BV!AB146</f>
        <v/>
      </c>
      <c r="F146" s="11" t="str">
        <f ca="1">BV!AJ146</f>
        <v/>
      </c>
      <c r="G146" s="11" t="str">
        <f ca="1">BV!AR146</f>
        <v/>
      </c>
      <c r="H146" s="11" t="str">
        <f ca="1">BV!AZ146</f>
        <v/>
      </c>
      <c r="I146" s="11" t="str">
        <f ca="1">BV!BH146</f>
        <v/>
      </c>
      <c r="J146" s="11" t="str">
        <f ca="1">BV!BP146</f>
        <v/>
      </c>
      <c r="K146" s="11" t="str">
        <f ca="1">BV!BX146</f>
        <v/>
      </c>
      <c r="L146" s="308" t="s">
        <v>105</v>
      </c>
      <c r="M146" s="261">
        <v>5.4550869999999999E-6</v>
      </c>
      <c r="N146" s="309" t="str">
        <f t="shared" ca="1" si="112"/>
        <v/>
      </c>
      <c r="O146" s="24"/>
      <c r="P146" s="1"/>
      <c r="Q146" s="1"/>
      <c r="R146" s="1"/>
      <c r="S146" s="1"/>
      <c r="T146" s="1"/>
      <c r="U146" s="1"/>
      <c r="V146" s="317"/>
      <c r="W146" s="317"/>
      <c r="X146" s="317"/>
      <c r="Y146" s="317"/>
      <c r="AA146" s="621">
        <f ca="1">LARGE(OFFSET(BV!H$2,,AH146*8-8,430),AG146)</f>
        <v>44141.286999999997</v>
      </c>
      <c r="AB146" s="621"/>
      <c r="AC146" s="4">
        <f ca="1">INDEX(OFFSET(BV!A$2,,AH146*8-8,430),$AK146)</f>
        <v>145</v>
      </c>
      <c r="AD146" s="590">
        <f ca="1">INDEX(OFFSET(BV!C$2,,AH146*8-8,430),$AK146)</f>
        <v>70.2</v>
      </c>
      <c r="AE146" s="590"/>
      <c r="AF146" s="4">
        <f ca="1">INDEX(OFFSET(BV!D$2,,AH146*8-8,430),$AK146)</f>
        <v>2.0655270655270654</v>
      </c>
      <c r="AG146" s="4">
        <v>4</v>
      </c>
      <c r="AH146" s="4">
        <v>6</v>
      </c>
      <c r="AI146" s="315"/>
      <c r="AJ146" s="315"/>
      <c r="AK146" s="480">
        <f ca="1">MATCH(AA146,OFFSET(BV!H$2,,AH146*8-8,430),0)</f>
        <v>286</v>
      </c>
      <c r="AL146" s="315"/>
      <c r="AM146" s="315"/>
      <c r="AN146" s="433">
        <v>121</v>
      </c>
      <c r="AO146" s="11" t="str">
        <f ca="1">BV!C146</f>
        <v/>
      </c>
      <c r="AP146" s="11" t="str">
        <f ca="1">BV!K146</f>
        <v/>
      </c>
      <c r="AQ146" s="11" t="str">
        <f ca="1">BV!S146</f>
        <v/>
      </c>
      <c r="AR146" s="11" t="str">
        <f ca="1">BV!AA146</f>
        <v/>
      </c>
      <c r="AS146" s="11" t="str">
        <f ca="1">BV!AI146</f>
        <v/>
      </c>
      <c r="AT146" s="11" t="str">
        <f ca="1">BV!AQ146</f>
        <v/>
      </c>
      <c r="AU146" s="11" t="str">
        <f ca="1">BV!AY146</f>
        <v/>
      </c>
      <c r="AV146" s="11" t="str">
        <f ca="1">BV!BG146</f>
        <v/>
      </c>
      <c r="AW146" s="11" t="str">
        <f ca="1">BV!BO146</f>
        <v/>
      </c>
      <c r="AX146" s="11" t="str">
        <f ca="1">BV!BW146</f>
        <v/>
      </c>
      <c r="AY146" s="308" t="s">
        <v>105</v>
      </c>
      <c r="AZ146" s="311">
        <f t="shared" si="113"/>
        <v>5.2631983187110878</v>
      </c>
      <c r="BA146" s="261">
        <v>5.4550869999999999E-6</v>
      </c>
      <c r="BB146" s="56">
        <v>3.6432964520000002E-3</v>
      </c>
      <c r="BC146" s="56">
        <f t="shared" si="114"/>
        <v>1.4972942970384448E-3</v>
      </c>
      <c r="BD146" s="13" t="str">
        <f ca="1">IF(BV!H146="","",INT(NOW()-BV!H146))</f>
        <v/>
      </c>
      <c r="BE146" s="312">
        <f t="shared" si="115"/>
        <v>428.15316557963132</v>
      </c>
      <c r="BF146" s="11" t="str">
        <f ca="1">BV!G146</f>
        <v/>
      </c>
      <c r="BG146" s="11" t="str">
        <f ca="1">BV!O146</f>
        <v/>
      </c>
      <c r="BH146" s="11" t="str">
        <f ca="1">BV!W146</f>
        <v/>
      </c>
      <c r="BI146" s="11" t="str">
        <f ca="1">BV!AE146</f>
        <v/>
      </c>
      <c r="BJ146" s="11" t="str">
        <f ca="1">BV!AM146</f>
        <v/>
      </c>
      <c r="BK146" s="11" t="str">
        <f ca="1">BV!AU146</f>
        <v/>
      </c>
      <c r="BL146" s="11" t="str">
        <f ca="1">BV!BC146</f>
        <v/>
      </c>
      <c r="BM146" s="11" t="str">
        <f ca="1">BV!BK146</f>
        <v/>
      </c>
      <c r="BN146" s="11" t="str">
        <f ca="1">BV!BS146</f>
        <v/>
      </c>
      <c r="BO146" s="11" t="str">
        <f ca="1">BV!CA146</f>
        <v/>
      </c>
      <c r="BP146" s="433">
        <v>121</v>
      </c>
      <c r="BQ146" s="11" t="str">
        <f ca="1">IFERROR(YEAR(OFFSET(BV!$H146,,(COLUMN()-69)*8)),"")</f>
        <v/>
      </c>
      <c r="BR146" s="11" t="str">
        <f ca="1">IFERROR(YEAR(OFFSET(BV!$H146,,(COLUMN()-69)*8)),"")</f>
        <v/>
      </c>
      <c r="BS146" s="11" t="str">
        <f ca="1">IFERROR(YEAR(OFFSET(BV!$H146,,(COLUMN()-69)*8)),"")</f>
        <v/>
      </c>
      <c r="BT146" s="11" t="str">
        <f ca="1">IFERROR(YEAR(OFFSET(BV!$H146,,(COLUMN()-69)*8)),"")</f>
        <v/>
      </c>
      <c r="BU146" s="11" t="str">
        <f ca="1">IFERROR(YEAR(OFFSET(BV!$H146,,(COLUMN()-69)*8)),"")</f>
        <v/>
      </c>
      <c r="BV146" s="11" t="str">
        <f ca="1">IFERROR(YEAR(OFFSET(BV!$H146,,(COLUMN()-69)*8)),"")</f>
        <v/>
      </c>
      <c r="BW146" s="11" t="str">
        <f ca="1">IFERROR(YEAR(OFFSET(BV!$H146,,(COLUMN()-69)*8)),"")</f>
        <v/>
      </c>
      <c r="BX146" s="11" t="str">
        <f ca="1">IFERROR(YEAR(OFFSET(BV!$H146,,(COLUMN()-69)*8)),"")</f>
        <v/>
      </c>
      <c r="BY146" s="11" t="str">
        <f ca="1">IFERROR(YEAR(OFFSET(BV!$H146,,(COLUMN()-69)*8)),"")</f>
        <v/>
      </c>
      <c r="BZ146" s="11" t="str">
        <f ca="1">IFERROR(YEAR(OFFSET(BV!$H146,,(COLUMN()-69)*8)),"")</f>
        <v/>
      </c>
    </row>
    <row r="147" spans="1:78" x14ac:dyDescent="0.25">
      <c r="A147" s="433">
        <v>122</v>
      </c>
      <c r="B147" s="11" t="str">
        <f ca="1">BV!D147</f>
        <v/>
      </c>
      <c r="C147" s="11" t="str">
        <f ca="1">BV!L147</f>
        <v/>
      </c>
      <c r="D147" s="11" t="str">
        <f ca="1">BV!T147</f>
        <v/>
      </c>
      <c r="E147" s="11" t="str">
        <f ca="1">BV!AB147</f>
        <v/>
      </c>
      <c r="F147" s="11" t="str">
        <f ca="1">BV!AJ147</f>
        <v/>
      </c>
      <c r="G147" s="11" t="str">
        <f ca="1">BV!AR147</f>
        <v/>
      </c>
      <c r="H147" s="11" t="str">
        <f ca="1">BV!AZ147</f>
        <v/>
      </c>
      <c r="I147" s="11" t="str">
        <f ca="1">BV!BH147</f>
        <v/>
      </c>
      <c r="J147" s="11" t="str">
        <f ca="1">BV!BP147</f>
        <v/>
      </c>
      <c r="K147" s="11" t="str">
        <f ca="1">BV!BX147</f>
        <v/>
      </c>
      <c r="L147" s="308" t="s">
        <v>105</v>
      </c>
      <c r="M147" s="261">
        <v>4.1724540000000003E-6</v>
      </c>
      <c r="N147" s="309" t="str">
        <f t="shared" ca="1" si="112"/>
        <v/>
      </c>
      <c r="O147" s="24"/>
      <c r="P147" s="1"/>
      <c r="Q147" s="1"/>
      <c r="R147" s="1"/>
      <c r="S147" s="1"/>
      <c r="T147" s="1"/>
      <c r="U147" s="1"/>
      <c r="V147" s="317"/>
      <c r="W147" s="317"/>
      <c r="X147" s="317"/>
      <c r="Y147" s="317"/>
      <c r="AA147" s="621">
        <f ca="1">LARGE(OFFSET(BV!H$2,,AH147*8-8,430),AG147)</f>
        <v>44134.336000000003</v>
      </c>
      <c r="AB147" s="621"/>
      <c r="AC147" s="4">
        <f ca="1">INDEX(OFFSET(BV!A$2,,AH147*8-8,430),$AK147)</f>
        <v>194</v>
      </c>
      <c r="AD147" s="590">
        <f ca="1">INDEX(OFFSET(BV!C$2,,AH147*8-8,430),$AK147)</f>
        <v>112.69</v>
      </c>
      <c r="AE147" s="590"/>
      <c r="AF147" s="4">
        <f ca="1">INDEX(OFFSET(BV!D$2,,AH147*8-8,430),$AK147)</f>
        <v>1.7215369598012247</v>
      </c>
      <c r="AG147" s="4">
        <v>5</v>
      </c>
      <c r="AH147" s="4">
        <v>6</v>
      </c>
      <c r="AI147" s="315"/>
      <c r="AJ147" s="315"/>
      <c r="AK147" s="480">
        <f ca="1">MATCH(AA147,OFFSET(BV!H$2,,AH147*8-8,430),0)</f>
        <v>335</v>
      </c>
      <c r="AL147" s="315"/>
      <c r="AM147" s="315"/>
      <c r="AN147" s="433">
        <v>122</v>
      </c>
      <c r="AO147" s="11" t="str">
        <f ca="1">BV!C147</f>
        <v/>
      </c>
      <c r="AP147" s="11" t="str">
        <f ca="1">BV!K147</f>
        <v/>
      </c>
      <c r="AQ147" s="11" t="str">
        <f ca="1">BV!S147</f>
        <v/>
      </c>
      <c r="AR147" s="11" t="str">
        <f ca="1">BV!AA147</f>
        <v/>
      </c>
      <c r="AS147" s="11" t="str">
        <f ca="1">BV!AI147</f>
        <v/>
      </c>
      <c r="AT147" s="11" t="str">
        <f ca="1">BV!AQ147</f>
        <v/>
      </c>
      <c r="AU147" s="11" t="str">
        <f ca="1">BV!AY147</f>
        <v/>
      </c>
      <c r="AV147" s="11" t="str">
        <f ca="1">BV!BG147</f>
        <v/>
      </c>
      <c r="AW147" s="11" t="str">
        <f ca="1">BV!BO147</f>
        <v/>
      </c>
      <c r="AX147" s="11" t="str">
        <f ca="1">BV!BW147</f>
        <v/>
      </c>
      <c r="AY147" s="308" t="s">
        <v>105</v>
      </c>
      <c r="AZ147" s="311">
        <f t="shared" si="113"/>
        <v>5.379608442583117</v>
      </c>
      <c r="BA147" s="261">
        <v>4.1724540000000003E-6</v>
      </c>
      <c r="BB147" s="56">
        <v>3.6432964520000002E-3</v>
      </c>
      <c r="BC147" s="56">
        <f t="shared" si="114"/>
        <v>1.1452414194045388E-3</v>
      </c>
      <c r="BD147" s="13" t="str">
        <f ca="1">IF(BV!H147="","",INT(NOW()-BV!H147))</f>
        <v/>
      </c>
      <c r="BE147" s="312">
        <f t="shared" si="115"/>
        <v>489.55807823807862</v>
      </c>
      <c r="BF147" s="11" t="str">
        <f ca="1">BV!G147</f>
        <v/>
      </c>
      <c r="BG147" s="11" t="str">
        <f ca="1">BV!O147</f>
        <v/>
      </c>
      <c r="BH147" s="11" t="str">
        <f ca="1">BV!W147</f>
        <v/>
      </c>
      <c r="BI147" s="11" t="str">
        <f ca="1">BV!AE147</f>
        <v/>
      </c>
      <c r="BJ147" s="11" t="str">
        <f ca="1">BV!AM147</f>
        <v/>
      </c>
      <c r="BK147" s="11" t="str">
        <f ca="1">BV!AU147</f>
        <v/>
      </c>
      <c r="BL147" s="11" t="str">
        <f ca="1">BV!BC147</f>
        <v/>
      </c>
      <c r="BM147" s="11" t="str">
        <f ca="1">BV!BK147</f>
        <v/>
      </c>
      <c r="BN147" s="11" t="str">
        <f ca="1">BV!BS147</f>
        <v/>
      </c>
      <c r="BO147" s="11" t="str">
        <f ca="1">BV!CA147</f>
        <v/>
      </c>
      <c r="BP147" s="433">
        <v>122</v>
      </c>
      <c r="BQ147" s="11" t="str">
        <f ca="1">IFERROR(YEAR(OFFSET(BV!$H147,,(COLUMN()-69)*8)),"")</f>
        <v/>
      </c>
      <c r="BR147" s="11" t="str">
        <f ca="1">IFERROR(YEAR(OFFSET(BV!$H147,,(COLUMN()-69)*8)),"")</f>
        <v/>
      </c>
      <c r="BS147" s="11" t="str">
        <f ca="1">IFERROR(YEAR(OFFSET(BV!$H147,,(COLUMN()-69)*8)),"")</f>
        <v/>
      </c>
      <c r="BT147" s="11" t="str">
        <f ca="1">IFERROR(YEAR(OFFSET(BV!$H147,,(COLUMN()-69)*8)),"")</f>
        <v/>
      </c>
      <c r="BU147" s="11" t="str">
        <f ca="1">IFERROR(YEAR(OFFSET(BV!$H147,,(COLUMN()-69)*8)),"")</f>
        <v/>
      </c>
      <c r="BV147" s="11" t="str">
        <f ca="1">IFERROR(YEAR(OFFSET(BV!$H147,,(COLUMN()-69)*8)),"")</f>
        <v/>
      </c>
      <c r="BW147" s="11" t="str">
        <f ca="1">IFERROR(YEAR(OFFSET(BV!$H147,,(COLUMN()-69)*8)),"")</f>
        <v/>
      </c>
      <c r="BX147" s="11" t="str">
        <f ca="1">IFERROR(YEAR(OFFSET(BV!$H147,,(COLUMN()-69)*8)),"")</f>
        <v/>
      </c>
      <c r="BY147" s="11" t="str">
        <f ca="1">IFERROR(YEAR(OFFSET(BV!$H147,,(COLUMN()-69)*8)),"")</f>
        <v/>
      </c>
      <c r="BZ147" s="11" t="str">
        <f ca="1">IFERROR(YEAR(OFFSET(BV!$H147,,(COLUMN()-69)*8)),"")</f>
        <v/>
      </c>
    </row>
    <row r="148" spans="1:78" x14ac:dyDescent="0.25">
      <c r="A148" s="433">
        <v>123</v>
      </c>
      <c r="B148" s="11" t="str">
        <f ca="1">BV!D148</f>
        <v/>
      </c>
      <c r="C148" s="11" t="str">
        <f ca="1">BV!L148</f>
        <v/>
      </c>
      <c r="D148" s="11" t="str">
        <f ca="1">BV!T148</f>
        <v/>
      </c>
      <c r="E148" s="11" t="str">
        <f ca="1">BV!AB148</f>
        <v/>
      </c>
      <c r="F148" s="11" t="str">
        <f ca="1">BV!AJ148</f>
        <v/>
      </c>
      <c r="G148" s="11" t="str">
        <f ca="1">BV!AR148</f>
        <v/>
      </c>
      <c r="H148" s="11" t="str">
        <f ca="1">BV!AZ148</f>
        <v/>
      </c>
      <c r="I148" s="11" t="str">
        <f ca="1">BV!BH148</f>
        <v/>
      </c>
      <c r="J148" s="11" t="str">
        <f ca="1">BV!BP148</f>
        <v/>
      </c>
      <c r="K148" s="11" t="str">
        <f ca="1">BV!BX148</f>
        <v/>
      </c>
      <c r="L148" s="308" t="s">
        <v>105</v>
      </c>
      <c r="M148" s="261">
        <v>3.1803939999999999E-6</v>
      </c>
      <c r="N148" s="309" t="str">
        <f t="shared" ca="1" si="112"/>
        <v/>
      </c>
      <c r="O148" s="24"/>
      <c r="P148" s="1"/>
      <c r="Q148" s="1"/>
      <c r="R148" s="1"/>
      <c r="S148" s="1"/>
      <c r="T148" s="1"/>
      <c r="U148" s="1"/>
      <c r="V148" s="317"/>
      <c r="W148" s="317"/>
      <c r="X148" s="317"/>
      <c r="Y148" s="317"/>
      <c r="AA148" s="620">
        <f ca="1">LARGE(OFFSET(BV!H$2,,AH148*8-8,430),AG148)</f>
        <v>44177.334999999999</v>
      </c>
      <c r="AB148" s="620"/>
      <c r="AC148" s="1">
        <f ca="1">INDEX(OFFSET(BV!A$2,,AH148*8-8,430),$AK148)</f>
        <v>193</v>
      </c>
      <c r="AD148" s="594">
        <f ca="1">INDEX(OFFSET(BV!C$2,,AH148*8-8,430),$AK148)</f>
        <v>80.92</v>
      </c>
      <c r="AE148" s="594"/>
      <c r="AF148" s="1">
        <f ca="1">INDEX(OFFSET(BV!D$2,,AH148*8-8,430),$AK148)</f>
        <v>2.3850716757291153</v>
      </c>
      <c r="AG148" s="1">
        <v>1</v>
      </c>
      <c r="AH148" s="1">
        <v>7</v>
      </c>
      <c r="AI148" s="315"/>
      <c r="AJ148" s="315"/>
      <c r="AK148" s="480">
        <f ca="1">MATCH(AA148,OFFSET(BV!H$2,,AH148*8-8,430),0)</f>
        <v>334</v>
      </c>
      <c r="AL148" s="315"/>
      <c r="AM148" s="315"/>
      <c r="AN148" s="433">
        <v>123</v>
      </c>
      <c r="AO148" s="11" t="str">
        <f ca="1">BV!C148</f>
        <v/>
      </c>
      <c r="AP148" s="11" t="str">
        <f ca="1">BV!K148</f>
        <v/>
      </c>
      <c r="AQ148" s="11" t="str">
        <f ca="1">BV!S148</f>
        <v/>
      </c>
      <c r="AR148" s="11" t="str">
        <f ca="1">BV!AA148</f>
        <v/>
      </c>
      <c r="AS148" s="11" t="str">
        <f ca="1">BV!AI148</f>
        <v/>
      </c>
      <c r="AT148" s="11" t="str">
        <f ca="1">BV!AQ148</f>
        <v/>
      </c>
      <c r="AU148" s="11" t="str">
        <f ca="1">BV!AY148</f>
        <v/>
      </c>
      <c r="AV148" s="11" t="str">
        <f ca="1">BV!BG148</f>
        <v/>
      </c>
      <c r="AW148" s="11" t="str">
        <f ca="1">BV!BO148</f>
        <v/>
      </c>
      <c r="AX148" s="11" t="str">
        <f ca="1">BV!BW148</f>
        <v/>
      </c>
      <c r="AY148" s="308" t="s">
        <v>105</v>
      </c>
      <c r="AZ148" s="311">
        <f t="shared" si="113"/>
        <v>5.4975190745355649</v>
      </c>
      <c r="BA148" s="261">
        <v>3.1803939999999999E-6</v>
      </c>
      <c r="BB148" s="56">
        <v>3.6432964520000002E-3</v>
      </c>
      <c r="BC148" s="56">
        <f t="shared" si="114"/>
        <v>8.7294406093528607E-4</v>
      </c>
      <c r="BD148" s="13" t="str">
        <f ca="1">IF(BV!H148="","",INT(NOW()-BV!H148))</f>
        <v/>
      </c>
      <c r="BE148" s="312">
        <f t="shared" si="115"/>
        <v>560.73741766127489</v>
      </c>
      <c r="BF148" s="11" t="str">
        <f ca="1">BV!G148</f>
        <v/>
      </c>
      <c r="BG148" s="11" t="str">
        <f ca="1">BV!O148</f>
        <v/>
      </c>
      <c r="BH148" s="11" t="str">
        <f ca="1">BV!W148</f>
        <v/>
      </c>
      <c r="BI148" s="11" t="str">
        <f ca="1">BV!AE148</f>
        <v/>
      </c>
      <c r="BJ148" s="11" t="str">
        <f ca="1">BV!AM148</f>
        <v/>
      </c>
      <c r="BK148" s="11" t="str">
        <f ca="1">BV!AU148</f>
        <v/>
      </c>
      <c r="BL148" s="11" t="str">
        <f ca="1">BV!BC148</f>
        <v/>
      </c>
      <c r="BM148" s="11" t="str">
        <f ca="1">BV!BK148</f>
        <v/>
      </c>
      <c r="BN148" s="11" t="str">
        <f ca="1">BV!BS148</f>
        <v/>
      </c>
      <c r="BO148" s="11" t="str">
        <f ca="1">BV!CA148</f>
        <v/>
      </c>
      <c r="BP148" s="433">
        <v>123</v>
      </c>
      <c r="BQ148" s="11" t="str">
        <f ca="1">IFERROR(YEAR(OFFSET(BV!$H148,,(COLUMN()-69)*8)),"")</f>
        <v/>
      </c>
      <c r="BR148" s="11" t="str">
        <f ca="1">IFERROR(YEAR(OFFSET(BV!$H148,,(COLUMN()-69)*8)),"")</f>
        <v/>
      </c>
      <c r="BS148" s="11" t="str">
        <f ca="1">IFERROR(YEAR(OFFSET(BV!$H148,,(COLUMN()-69)*8)),"")</f>
        <v/>
      </c>
      <c r="BT148" s="11" t="str">
        <f ca="1">IFERROR(YEAR(OFFSET(BV!$H148,,(COLUMN()-69)*8)),"")</f>
        <v/>
      </c>
      <c r="BU148" s="11" t="str">
        <f ca="1">IFERROR(YEAR(OFFSET(BV!$H148,,(COLUMN()-69)*8)),"")</f>
        <v/>
      </c>
      <c r="BV148" s="11" t="str">
        <f ca="1">IFERROR(YEAR(OFFSET(BV!$H148,,(COLUMN()-69)*8)),"")</f>
        <v/>
      </c>
      <c r="BW148" s="11" t="str">
        <f ca="1">IFERROR(YEAR(OFFSET(BV!$H148,,(COLUMN()-69)*8)),"")</f>
        <v/>
      </c>
      <c r="BX148" s="11" t="str">
        <f ca="1">IFERROR(YEAR(OFFSET(BV!$H148,,(COLUMN()-69)*8)),"")</f>
        <v/>
      </c>
      <c r="BY148" s="11" t="str">
        <f ca="1">IFERROR(YEAR(OFFSET(BV!$H148,,(COLUMN()-69)*8)),"")</f>
        <v/>
      </c>
      <c r="BZ148" s="11" t="str">
        <f ca="1">IFERROR(YEAR(OFFSET(BV!$H148,,(COLUMN()-69)*8)),"")</f>
        <v/>
      </c>
    </row>
    <row r="149" spans="1:78" x14ac:dyDescent="0.25">
      <c r="A149" s="433">
        <v>124</v>
      </c>
      <c r="B149" s="11" t="str">
        <f ca="1">BV!D149</f>
        <v/>
      </c>
      <c r="C149" s="11" t="str">
        <f ca="1">BV!L149</f>
        <v/>
      </c>
      <c r="D149" s="11" t="str">
        <f ca="1">BV!T149</f>
        <v/>
      </c>
      <c r="E149" s="11" t="str">
        <f ca="1">BV!AB149</f>
        <v/>
      </c>
      <c r="F149" s="11" t="str">
        <f ca="1">BV!AJ149</f>
        <v/>
      </c>
      <c r="G149" s="11" t="str">
        <f ca="1">BV!AR149</f>
        <v/>
      </c>
      <c r="H149" s="11" t="str">
        <f ca="1">BV!AZ149</f>
        <v/>
      </c>
      <c r="I149" s="11" t="str">
        <f ca="1">BV!BH149</f>
        <v/>
      </c>
      <c r="J149" s="11" t="str">
        <f ca="1">BV!BP149</f>
        <v/>
      </c>
      <c r="K149" s="11" t="str">
        <f ca="1">BV!BX149</f>
        <v/>
      </c>
      <c r="L149" s="308" t="s">
        <v>105</v>
      </c>
      <c r="M149" s="261">
        <v>2.4180470000000002E-6</v>
      </c>
      <c r="N149" s="309" t="str">
        <f t="shared" ca="1" si="112"/>
        <v/>
      </c>
      <c r="O149" s="24"/>
      <c r="P149" s="1"/>
      <c r="Q149" s="1"/>
      <c r="R149" s="1"/>
      <c r="S149" s="1"/>
      <c r="T149" s="1"/>
      <c r="U149" s="1"/>
      <c r="V149" s="317"/>
      <c r="W149" s="317"/>
      <c r="X149" s="317"/>
      <c r="Y149" s="317"/>
      <c r="AA149" s="620">
        <f ca="1">LARGE(OFFSET(BV!H$2,,AH149*8-8,430),AG149)</f>
        <v>44168.103000000003</v>
      </c>
      <c r="AB149" s="620"/>
      <c r="AC149" s="1">
        <f ca="1">INDEX(OFFSET(BV!A$2,,AH149*8-8,430),$AK149)</f>
        <v>78</v>
      </c>
      <c r="AD149" s="594">
        <f ca="1">INDEX(OFFSET(BV!C$2,,AH149*8-8,430),$AK149)</f>
        <v>28.3</v>
      </c>
      <c r="AE149" s="594"/>
      <c r="AF149" s="1">
        <f ca="1">INDEX(OFFSET(BV!D$2,,AH149*8-8,430),$AK149)</f>
        <v>2.7561837455830389</v>
      </c>
      <c r="AG149" s="1">
        <v>2</v>
      </c>
      <c r="AH149" s="1">
        <v>7</v>
      </c>
      <c r="AI149" s="315"/>
      <c r="AJ149" s="315"/>
      <c r="AK149" s="480">
        <f ca="1">MATCH(AA149,OFFSET(BV!H$2,,AH149*8-8,430),0)</f>
        <v>102</v>
      </c>
      <c r="AL149" s="315"/>
      <c r="AM149" s="315"/>
      <c r="AN149" s="433">
        <v>124</v>
      </c>
      <c r="AO149" s="11" t="str">
        <f ca="1">BV!C149</f>
        <v/>
      </c>
      <c r="AP149" s="11" t="str">
        <f ca="1">BV!K149</f>
        <v/>
      </c>
      <c r="AQ149" s="11" t="str">
        <f ca="1">BV!S149</f>
        <v/>
      </c>
      <c r="AR149" s="11" t="str">
        <f ca="1">BV!AA149</f>
        <v/>
      </c>
      <c r="AS149" s="11" t="str">
        <f ca="1">BV!AI149</f>
        <v/>
      </c>
      <c r="AT149" s="11" t="str">
        <f ca="1">BV!AQ149</f>
        <v/>
      </c>
      <c r="AU149" s="11" t="str">
        <f ca="1">BV!AY149</f>
        <v/>
      </c>
      <c r="AV149" s="11" t="str">
        <f ca="1">BV!BG149</f>
        <v/>
      </c>
      <c r="AW149" s="11" t="str">
        <f ca="1">BV!BO149</f>
        <v/>
      </c>
      <c r="AX149" s="11" t="str">
        <f ca="1">BV!BW149</f>
        <v/>
      </c>
      <c r="AY149" s="308" t="s">
        <v>105</v>
      </c>
      <c r="AZ149" s="311">
        <f t="shared" si="113"/>
        <v>5.6165352619358453</v>
      </c>
      <c r="BA149" s="261">
        <v>2.4180470000000002E-6</v>
      </c>
      <c r="BB149" s="56">
        <v>3.6432964520000002E-3</v>
      </c>
      <c r="BC149" s="56">
        <f t="shared" si="114"/>
        <v>6.6369756945598127E-4</v>
      </c>
      <c r="BD149" s="13" t="str">
        <f ca="1">IF(BV!H149="","",INT(NOW()-BV!H149))</f>
        <v/>
      </c>
      <c r="BE149" s="312">
        <f t="shared" si="115"/>
        <v>643.08389123077166</v>
      </c>
      <c r="BF149" s="11" t="str">
        <f ca="1">BV!G149</f>
        <v/>
      </c>
      <c r="BG149" s="11" t="str">
        <f ca="1">BV!O149</f>
        <v/>
      </c>
      <c r="BH149" s="11" t="str">
        <f ca="1">BV!W149</f>
        <v/>
      </c>
      <c r="BI149" s="11" t="str">
        <f ca="1">BV!AE149</f>
        <v/>
      </c>
      <c r="BJ149" s="11" t="str">
        <f ca="1">BV!AM149</f>
        <v/>
      </c>
      <c r="BK149" s="11" t="str">
        <f ca="1">BV!AU149</f>
        <v/>
      </c>
      <c r="BL149" s="11" t="str">
        <f ca="1">BV!BC149</f>
        <v/>
      </c>
      <c r="BM149" s="11" t="str">
        <f ca="1">BV!BK149</f>
        <v/>
      </c>
      <c r="BN149" s="11" t="str">
        <f ca="1">BV!BS149</f>
        <v/>
      </c>
      <c r="BO149" s="11" t="str">
        <f ca="1">BV!CA149</f>
        <v/>
      </c>
      <c r="BP149" s="433">
        <v>124</v>
      </c>
      <c r="BQ149" s="11" t="str">
        <f ca="1">IFERROR(YEAR(OFFSET(BV!$H149,,(COLUMN()-69)*8)),"")</f>
        <v/>
      </c>
      <c r="BR149" s="11" t="str">
        <f ca="1">IFERROR(YEAR(OFFSET(BV!$H149,,(COLUMN()-69)*8)),"")</f>
        <v/>
      </c>
      <c r="BS149" s="11" t="str">
        <f ca="1">IFERROR(YEAR(OFFSET(BV!$H149,,(COLUMN()-69)*8)),"")</f>
        <v/>
      </c>
      <c r="BT149" s="11" t="str">
        <f ca="1">IFERROR(YEAR(OFFSET(BV!$H149,,(COLUMN()-69)*8)),"")</f>
        <v/>
      </c>
      <c r="BU149" s="11" t="str">
        <f ca="1">IFERROR(YEAR(OFFSET(BV!$H149,,(COLUMN()-69)*8)),"")</f>
        <v/>
      </c>
      <c r="BV149" s="11" t="str">
        <f ca="1">IFERROR(YEAR(OFFSET(BV!$H149,,(COLUMN()-69)*8)),"")</f>
        <v/>
      </c>
      <c r="BW149" s="11" t="str">
        <f ca="1">IFERROR(YEAR(OFFSET(BV!$H149,,(COLUMN()-69)*8)),"")</f>
        <v/>
      </c>
      <c r="BX149" s="11" t="str">
        <f ca="1">IFERROR(YEAR(OFFSET(BV!$H149,,(COLUMN()-69)*8)),"")</f>
        <v/>
      </c>
      <c r="BY149" s="11" t="str">
        <f ca="1">IFERROR(YEAR(OFFSET(BV!$H149,,(COLUMN()-69)*8)),"")</f>
        <v/>
      </c>
      <c r="BZ149" s="11" t="str">
        <f ca="1">IFERROR(YEAR(OFFSET(BV!$H149,,(COLUMN()-69)*8)),"")</f>
        <v/>
      </c>
    </row>
    <row r="150" spans="1:78" x14ac:dyDescent="0.25">
      <c r="A150" s="433">
        <v>125</v>
      </c>
      <c r="B150" s="11" t="str">
        <f ca="1">BV!D150</f>
        <v/>
      </c>
      <c r="C150" s="11" t="str">
        <f ca="1">BV!L150</f>
        <v/>
      </c>
      <c r="D150" s="11" t="str">
        <f ca="1">BV!T150</f>
        <v/>
      </c>
      <c r="E150" s="11" t="str">
        <f ca="1">BV!AB150</f>
        <v/>
      </c>
      <c r="F150" s="11" t="str">
        <f ca="1">BV!AJ150</f>
        <v/>
      </c>
      <c r="G150" s="11" t="str">
        <f ca="1">BV!AR150</f>
        <v/>
      </c>
      <c r="H150" s="11" t="str">
        <f ca="1">BV!AZ150</f>
        <v/>
      </c>
      <c r="I150" s="11" t="str">
        <f ca="1">BV!BH150</f>
        <v/>
      </c>
      <c r="J150" s="11" t="str">
        <f ca="1">BV!BP150</f>
        <v/>
      </c>
      <c r="K150" s="11" t="str">
        <f ca="1">BV!BX150</f>
        <v/>
      </c>
      <c r="L150" s="308" t="s">
        <v>105</v>
      </c>
      <c r="M150" s="261">
        <v>1.834678E-6</v>
      </c>
      <c r="N150" s="309" t="str">
        <f t="shared" ca="1" si="112"/>
        <v/>
      </c>
      <c r="O150" s="24"/>
      <c r="P150" s="1"/>
      <c r="Q150" s="1"/>
      <c r="R150" s="1"/>
      <c r="S150" s="1"/>
      <c r="T150" s="1"/>
      <c r="U150" s="1"/>
      <c r="V150" s="317"/>
      <c r="W150" s="317"/>
      <c r="X150" s="317"/>
      <c r="Y150" s="317"/>
      <c r="AA150" s="620">
        <f ca="1">LARGE(OFFSET(BV!H$2,,AH150*8-8,430),AG150)</f>
        <v>44168.088000000003</v>
      </c>
      <c r="AB150" s="620"/>
      <c r="AC150" s="1">
        <f ca="1">INDEX(OFFSET(BV!A$2,,AH150*8-8,430),$AK150)</f>
        <v>63</v>
      </c>
      <c r="AD150" s="594">
        <f ca="1">INDEX(OFFSET(BV!C$2,,AH150*8-8,430),$AK150)</f>
        <v>25.36</v>
      </c>
      <c r="AE150" s="594"/>
      <c r="AF150" s="1">
        <f ca="1">INDEX(OFFSET(BV!D$2,,AH150*8-8,430),$AK150)</f>
        <v>2.4842271293375395</v>
      </c>
      <c r="AG150" s="1">
        <v>3</v>
      </c>
      <c r="AH150" s="1">
        <v>7</v>
      </c>
      <c r="AI150" s="315"/>
      <c r="AJ150" s="315"/>
      <c r="AK150" s="480">
        <f ca="1">MATCH(AA150,OFFSET(BV!H$2,,AH150*8-8,430),0)</f>
        <v>87</v>
      </c>
      <c r="AL150" s="315"/>
      <c r="AM150" s="315"/>
      <c r="AN150" s="433">
        <v>125</v>
      </c>
      <c r="AO150" s="11" t="str">
        <f ca="1">BV!C150</f>
        <v/>
      </c>
      <c r="AP150" s="11" t="str">
        <f ca="1">BV!K150</f>
        <v/>
      </c>
      <c r="AQ150" s="11" t="str">
        <f ca="1">BV!S150</f>
        <v/>
      </c>
      <c r="AR150" s="11" t="str">
        <f ca="1">BV!AA150</f>
        <v/>
      </c>
      <c r="AS150" s="11" t="str">
        <f ca="1">BV!AI150</f>
        <v/>
      </c>
      <c r="AT150" s="11" t="str">
        <f ca="1">BV!AQ150</f>
        <v/>
      </c>
      <c r="AU150" s="11" t="str">
        <f ca="1">BV!AY150</f>
        <v/>
      </c>
      <c r="AV150" s="11" t="str">
        <f ca="1">BV!BG150</f>
        <v/>
      </c>
      <c r="AW150" s="11" t="str">
        <f ca="1">BV!BO150</f>
        <v/>
      </c>
      <c r="AX150" s="11" t="str">
        <f ca="1">BV!BW150</f>
        <v/>
      </c>
      <c r="AY150" s="308" t="s">
        <v>105</v>
      </c>
      <c r="AZ150" s="311">
        <f t="shared" ref="AZ150:AZ167" si="116">0-LOG10(M150)</f>
        <v>5.7364401467220807</v>
      </c>
      <c r="BA150" s="261">
        <v>1.834678E-6</v>
      </c>
      <c r="BB150" s="56">
        <v>3.6432964520000002E-3</v>
      </c>
      <c r="BC150" s="56">
        <f t="shared" si="114"/>
        <v>5.0357636941480489E-4</v>
      </c>
      <c r="BD150" s="13" t="str">
        <f ca="1">IF(BV!H150="","",INT(NOW()-BV!H150))</f>
        <v/>
      </c>
      <c r="BE150" s="312">
        <f t="shared" si="115"/>
        <v>738.27824873423833</v>
      </c>
      <c r="BF150" s="11" t="str">
        <f ca="1">BV!G150</f>
        <v/>
      </c>
      <c r="BG150" s="11" t="str">
        <f ca="1">BV!O150</f>
        <v/>
      </c>
      <c r="BH150" s="11" t="str">
        <f ca="1">BV!W150</f>
        <v/>
      </c>
      <c r="BI150" s="11" t="str">
        <f ca="1">BV!AE150</f>
        <v/>
      </c>
      <c r="BJ150" s="11" t="str">
        <f ca="1">BV!AM150</f>
        <v/>
      </c>
      <c r="BK150" s="11" t="str">
        <f ca="1">BV!AU150</f>
        <v/>
      </c>
      <c r="BL150" s="11" t="str">
        <f ca="1">BV!BC150</f>
        <v/>
      </c>
      <c r="BM150" s="11" t="str">
        <f ca="1">BV!BK150</f>
        <v/>
      </c>
      <c r="BN150" s="11" t="str">
        <f ca="1">BV!BS150</f>
        <v/>
      </c>
      <c r="BO150" s="11" t="str">
        <f ca="1">BV!CA150</f>
        <v/>
      </c>
      <c r="BP150" s="433">
        <v>125</v>
      </c>
      <c r="BQ150" s="11" t="str">
        <f ca="1">IFERROR(YEAR(OFFSET(BV!$H150,,(COLUMN()-69)*8)),"")</f>
        <v/>
      </c>
      <c r="BR150" s="11" t="str">
        <f ca="1">IFERROR(YEAR(OFFSET(BV!$H150,,(COLUMN()-69)*8)),"")</f>
        <v/>
      </c>
      <c r="BS150" s="11" t="str">
        <f ca="1">IFERROR(YEAR(OFFSET(BV!$H150,,(COLUMN()-69)*8)),"")</f>
        <v/>
      </c>
      <c r="BT150" s="11" t="str">
        <f ca="1">IFERROR(YEAR(OFFSET(BV!$H150,,(COLUMN()-69)*8)),"")</f>
        <v/>
      </c>
      <c r="BU150" s="11" t="str">
        <f ca="1">IFERROR(YEAR(OFFSET(BV!$H150,,(COLUMN()-69)*8)),"")</f>
        <v/>
      </c>
      <c r="BV150" s="11" t="str">
        <f ca="1">IFERROR(YEAR(OFFSET(BV!$H150,,(COLUMN()-69)*8)),"")</f>
        <v/>
      </c>
      <c r="BW150" s="11" t="str">
        <f ca="1">IFERROR(YEAR(OFFSET(BV!$H150,,(COLUMN()-69)*8)),"")</f>
        <v/>
      </c>
      <c r="BX150" s="11" t="str">
        <f ca="1">IFERROR(YEAR(OFFSET(BV!$H150,,(COLUMN()-69)*8)),"")</f>
        <v/>
      </c>
      <c r="BY150" s="11" t="str">
        <f ca="1">IFERROR(YEAR(OFFSET(BV!$H150,,(COLUMN()-69)*8)),"")</f>
        <v/>
      </c>
      <c r="BZ150" s="11" t="str">
        <f ca="1">IFERROR(YEAR(OFFSET(BV!$H150,,(COLUMN()-69)*8)),"")</f>
        <v/>
      </c>
    </row>
    <row r="151" spans="1:78" x14ac:dyDescent="0.25">
      <c r="A151" s="433">
        <v>126</v>
      </c>
      <c r="B151" s="11" t="str">
        <f ca="1">BV!D151</f>
        <v/>
      </c>
      <c r="C151" s="11" t="str">
        <f ca="1">BV!L151</f>
        <v/>
      </c>
      <c r="D151" s="11" t="str">
        <f ca="1">BV!T151</f>
        <v/>
      </c>
      <c r="E151" s="11" t="str">
        <f ca="1">BV!AB151</f>
        <v/>
      </c>
      <c r="F151" s="11" t="str">
        <f ca="1">BV!AJ151</f>
        <v/>
      </c>
      <c r="G151" s="11" t="str">
        <f ca="1">BV!AR151</f>
        <v/>
      </c>
      <c r="H151" s="11" t="str">
        <f ca="1">BV!AZ151</f>
        <v/>
      </c>
      <c r="I151" s="11" t="str">
        <f ca="1">BV!BH151</f>
        <v/>
      </c>
      <c r="J151" s="11" t="str">
        <f ca="1">BV!BP151</f>
        <v/>
      </c>
      <c r="K151" s="11" t="str">
        <f ca="1">BV!BX151</f>
        <v/>
      </c>
      <c r="L151" s="308" t="s">
        <v>105</v>
      </c>
      <c r="M151" s="261">
        <v>1.3848409999999999E-6</v>
      </c>
      <c r="N151" s="309" t="str">
        <f t="shared" ca="1" si="112"/>
        <v/>
      </c>
      <c r="O151" s="24"/>
      <c r="P151" s="1"/>
      <c r="Q151" s="1"/>
      <c r="R151" s="1"/>
      <c r="S151" s="1"/>
      <c r="T151" s="1"/>
      <c r="U151" s="1"/>
      <c r="V151" s="317"/>
      <c r="W151" s="317"/>
      <c r="X151" s="317"/>
      <c r="Y151" s="317"/>
      <c r="AA151" s="620">
        <f ca="1">LARGE(OFFSET(BV!H$2,,AH151*8-8,430),AG151)</f>
        <v>44168.084000000003</v>
      </c>
      <c r="AB151" s="620"/>
      <c r="AC151" s="1">
        <f ca="1">INDEX(OFFSET(BV!A$2,,AH151*8-8,430),$AK151)</f>
        <v>59</v>
      </c>
      <c r="AD151" s="594">
        <f ca="1">INDEX(OFFSET(BV!C$2,,AH151*8-8,430),$AK151)</f>
        <v>22.43</v>
      </c>
      <c r="AE151" s="594"/>
      <c r="AF151" s="1">
        <f ca="1">INDEX(OFFSET(BV!D$2,,AH151*8-8,430),$AK151)</f>
        <v>2.6304057066428892</v>
      </c>
      <c r="AG151" s="1">
        <v>4</v>
      </c>
      <c r="AH151" s="1">
        <v>7</v>
      </c>
      <c r="AI151" s="315"/>
      <c r="AJ151" s="315"/>
      <c r="AK151" s="480">
        <f ca="1">MATCH(AA151,OFFSET(BV!H$2,,AH151*8-8,430),0)</f>
        <v>83</v>
      </c>
      <c r="AL151" s="315"/>
      <c r="AM151" s="315"/>
      <c r="AN151" s="433">
        <v>126</v>
      </c>
      <c r="AO151" s="11" t="str">
        <f ca="1">BV!C151</f>
        <v/>
      </c>
      <c r="AP151" s="11" t="str">
        <f ca="1">BV!K151</f>
        <v/>
      </c>
      <c r="AQ151" s="11" t="str">
        <f ca="1">BV!S151</f>
        <v/>
      </c>
      <c r="AR151" s="11" t="str">
        <f ca="1">BV!AA151</f>
        <v/>
      </c>
      <c r="AS151" s="11" t="str">
        <f ca="1">BV!AI151</f>
        <v/>
      </c>
      <c r="AT151" s="11" t="str">
        <f ca="1">BV!AQ151</f>
        <v/>
      </c>
      <c r="AU151" s="11" t="str">
        <f ca="1">BV!AY151</f>
        <v/>
      </c>
      <c r="AV151" s="11" t="str">
        <f ca="1">BV!BG151</f>
        <v/>
      </c>
      <c r="AW151" s="11" t="str">
        <f ca="1">BV!BO151</f>
        <v/>
      </c>
      <c r="AX151" s="11" t="str">
        <f ca="1">BV!BW151</f>
        <v/>
      </c>
      <c r="AY151" s="308" t="s">
        <v>105</v>
      </c>
      <c r="AZ151" s="311">
        <f t="shared" si="116"/>
        <v>5.8586000870952786</v>
      </c>
      <c r="BA151" s="261">
        <v>1.3848409999999999E-6</v>
      </c>
      <c r="BB151" s="56">
        <v>3.6432964520000002E-3</v>
      </c>
      <c r="BC151" s="56">
        <f t="shared" si="114"/>
        <v>3.8010659254472326E-4</v>
      </c>
      <c r="BD151" s="13" t="str">
        <f ca="1">IF(BV!H151="","",INT(NOW()-BV!H151))</f>
        <v/>
      </c>
      <c r="BE151" s="312">
        <f t="shared" si="115"/>
        <v>849.76735598396397</v>
      </c>
      <c r="BF151" s="11" t="str">
        <f ca="1">BV!G151</f>
        <v/>
      </c>
      <c r="BG151" s="11" t="str">
        <f ca="1">BV!O151</f>
        <v/>
      </c>
      <c r="BH151" s="11" t="str">
        <f ca="1">BV!W151</f>
        <v/>
      </c>
      <c r="BI151" s="11" t="str">
        <f ca="1">BV!AE151</f>
        <v/>
      </c>
      <c r="BJ151" s="11" t="str">
        <f ca="1">BV!AM151</f>
        <v/>
      </c>
      <c r="BK151" s="11" t="str">
        <f ca="1">BV!AU151</f>
        <v/>
      </c>
      <c r="BL151" s="11" t="str">
        <f ca="1">BV!BC151</f>
        <v/>
      </c>
      <c r="BM151" s="11" t="str">
        <f ca="1">BV!BK151</f>
        <v/>
      </c>
      <c r="BN151" s="11" t="str">
        <f ca="1">BV!BS151</f>
        <v/>
      </c>
      <c r="BO151" s="11" t="str">
        <f ca="1">BV!CA151</f>
        <v/>
      </c>
      <c r="BP151" s="433">
        <v>126</v>
      </c>
      <c r="BQ151" s="11" t="str">
        <f ca="1">IFERROR(YEAR(OFFSET(BV!$H151,,(COLUMN()-69)*8)),"")</f>
        <v/>
      </c>
      <c r="BR151" s="11" t="str">
        <f ca="1">IFERROR(YEAR(OFFSET(BV!$H151,,(COLUMN()-69)*8)),"")</f>
        <v/>
      </c>
      <c r="BS151" s="11" t="str">
        <f ca="1">IFERROR(YEAR(OFFSET(BV!$H151,,(COLUMN()-69)*8)),"")</f>
        <v/>
      </c>
      <c r="BT151" s="11" t="str">
        <f ca="1">IFERROR(YEAR(OFFSET(BV!$H151,,(COLUMN()-69)*8)),"")</f>
        <v/>
      </c>
      <c r="BU151" s="11" t="str">
        <f ca="1">IFERROR(YEAR(OFFSET(BV!$H151,,(COLUMN()-69)*8)),"")</f>
        <v/>
      </c>
      <c r="BV151" s="11" t="str">
        <f ca="1">IFERROR(YEAR(OFFSET(BV!$H151,,(COLUMN()-69)*8)),"")</f>
        <v/>
      </c>
      <c r="BW151" s="11" t="str">
        <f ca="1">IFERROR(YEAR(OFFSET(BV!$H151,,(COLUMN()-69)*8)),"")</f>
        <v/>
      </c>
      <c r="BX151" s="11" t="str">
        <f ca="1">IFERROR(YEAR(OFFSET(BV!$H151,,(COLUMN()-69)*8)),"")</f>
        <v/>
      </c>
      <c r="BY151" s="11" t="str">
        <f ca="1">IFERROR(YEAR(OFFSET(BV!$H151,,(COLUMN()-69)*8)),"")</f>
        <v/>
      </c>
      <c r="BZ151" s="11" t="str">
        <f ca="1">IFERROR(YEAR(OFFSET(BV!$H151,,(COLUMN()-69)*8)),"")</f>
        <v/>
      </c>
    </row>
    <row r="152" spans="1:78" x14ac:dyDescent="0.25">
      <c r="A152" s="433">
        <v>127</v>
      </c>
      <c r="B152" s="11" t="str">
        <f ca="1">BV!D152</f>
        <v/>
      </c>
      <c r="C152" s="11" t="str">
        <f ca="1">BV!L152</f>
        <v/>
      </c>
      <c r="D152" s="11" t="str">
        <f ca="1">BV!T152</f>
        <v/>
      </c>
      <c r="E152" s="11" t="str">
        <f ca="1">BV!AB152</f>
        <v/>
      </c>
      <c r="F152" s="11" t="str">
        <f ca="1">BV!AJ152</f>
        <v/>
      </c>
      <c r="G152" s="11" t="str">
        <f ca="1">BV!AR152</f>
        <v/>
      </c>
      <c r="H152" s="11" t="str">
        <f ca="1">BV!AZ152</f>
        <v/>
      </c>
      <c r="I152" s="11" t="str">
        <f ca="1">BV!BH152</f>
        <v/>
      </c>
      <c r="J152" s="11" t="str">
        <f ca="1">BV!BP152</f>
        <v/>
      </c>
      <c r="K152" s="11" t="str">
        <f ca="1">BV!BX152</f>
        <v/>
      </c>
      <c r="L152" s="308" t="s">
        <v>105</v>
      </c>
      <c r="M152" s="261">
        <v>1.043914E-6</v>
      </c>
      <c r="N152" s="309" t="str">
        <f t="shared" ca="1" si="112"/>
        <v/>
      </c>
      <c r="O152" s="64"/>
      <c r="P152" s="1"/>
      <c r="Q152" s="1"/>
      <c r="R152" s="1"/>
      <c r="S152" s="1"/>
      <c r="T152" s="1"/>
      <c r="U152" s="1"/>
      <c r="V152" s="317"/>
      <c r="W152" s="317"/>
      <c r="X152" s="317"/>
      <c r="Y152" s="317"/>
      <c r="AA152" s="620">
        <f ca="1">LARGE(OFFSET(BV!H$2,,AH152*8-8,430),AG152)</f>
        <v>44168.016000000003</v>
      </c>
      <c r="AB152" s="620"/>
      <c r="AC152" s="1">
        <f ca="1">INDEX(OFFSET(BV!A$2,,AH152*8-8,430),$AK152)</f>
        <v>16</v>
      </c>
      <c r="AD152" s="594">
        <f ca="1">INDEX(OFFSET(BV!C$2,,AH152*8-8,430),$AK152)</f>
        <v>4.51</v>
      </c>
      <c r="AE152" s="594"/>
      <c r="AF152" s="1">
        <f ca="1">INDEX(OFFSET(BV!D$2,,AH152*8-8,430),$AK152)</f>
        <v>3.5476718403547673</v>
      </c>
      <c r="AG152" s="1">
        <v>5</v>
      </c>
      <c r="AH152" s="1">
        <v>7</v>
      </c>
      <c r="AI152" s="315"/>
      <c r="AJ152" s="315"/>
      <c r="AK152" s="480">
        <f ca="1">MATCH(AA152,OFFSET(BV!H$2,,AH152*8-8,430),0)</f>
        <v>15</v>
      </c>
      <c r="AL152" s="315"/>
      <c r="AM152" s="315"/>
      <c r="AN152" s="433">
        <v>127</v>
      </c>
      <c r="AO152" s="11" t="str">
        <f ca="1">BV!C152</f>
        <v/>
      </c>
      <c r="AP152" s="11" t="str">
        <f ca="1">BV!K152</f>
        <v/>
      </c>
      <c r="AQ152" s="11" t="str">
        <f ca="1">BV!S152</f>
        <v/>
      </c>
      <c r="AR152" s="11" t="str">
        <f ca="1">BV!AA152</f>
        <v/>
      </c>
      <c r="AS152" s="11" t="str">
        <f ca="1">BV!AI152</f>
        <v/>
      </c>
      <c r="AT152" s="11" t="str">
        <f ca="1">BV!AQ152</f>
        <v/>
      </c>
      <c r="AU152" s="11" t="str">
        <f ca="1">BV!AY152</f>
        <v/>
      </c>
      <c r="AV152" s="11" t="str">
        <f ca="1">BV!BG152</f>
        <v/>
      </c>
      <c r="AW152" s="11" t="str">
        <f ca="1">BV!BO152</f>
        <v/>
      </c>
      <c r="AX152" s="11" t="str">
        <f ca="1">BV!BW152</f>
        <v/>
      </c>
      <c r="AY152" s="308" t="s">
        <v>105</v>
      </c>
      <c r="AZ152" s="311">
        <f t="shared" si="116"/>
        <v>5.9813352780232805</v>
      </c>
      <c r="BA152" s="261">
        <v>1.043914E-6</v>
      </c>
      <c r="BB152" s="56">
        <v>3.6432964520000002E-3</v>
      </c>
      <c r="BC152" s="56">
        <f t="shared" si="114"/>
        <v>2.8653007345228241E-4</v>
      </c>
      <c r="BD152" s="13" t="str">
        <f ca="1">IF(BV!H152="","",INT(NOW()-BV!H152))</f>
        <v/>
      </c>
      <c r="BE152" s="312">
        <f t="shared" si="115"/>
        <v>978.74067880413679</v>
      </c>
      <c r="BF152" s="11" t="str">
        <f ca="1">BV!G152</f>
        <v/>
      </c>
      <c r="BG152" s="11" t="str">
        <f ca="1">BV!O152</f>
        <v/>
      </c>
      <c r="BH152" s="11" t="str">
        <f ca="1">BV!W152</f>
        <v/>
      </c>
      <c r="BI152" s="11" t="str">
        <f ca="1">BV!AE152</f>
        <v/>
      </c>
      <c r="BJ152" s="11" t="str">
        <f ca="1">BV!AM152</f>
        <v/>
      </c>
      <c r="BK152" s="11" t="str">
        <f ca="1">BV!AU152</f>
        <v/>
      </c>
      <c r="BL152" s="11" t="str">
        <f ca="1">BV!BC152</f>
        <v/>
      </c>
      <c r="BM152" s="11" t="str">
        <f ca="1">BV!BK152</f>
        <v/>
      </c>
      <c r="BN152" s="11" t="str">
        <f ca="1">BV!BS152</f>
        <v/>
      </c>
      <c r="BO152" s="11" t="str">
        <f ca="1">BV!CA152</f>
        <v/>
      </c>
      <c r="BP152" s="433">
        <v>127</v>
      </c>
      <c r="BQ152" s="11" t="str">
        <f ca="1">IFERROR(YEAR(OFFSET(BV!$H152,,(COLUMN()-69)*8)),"")</f>
        <v/>
      </c>
      <c r="BR152" s="11" t="str">
        <f ca="1">IFERROR(YEAR(OFFSET(BV!$H152,,(COLUMN()-69)*8)),"")</f>
        <v/>
      </c>
      <c r="BS152" s="11" t="str">
        <f ca="1">IFERROR(YEAR(OFFSET(BV!$H152,,(COLUMN()-69)*8)),"")</f>
        <v/>
      </c>
      <c r="BT152" s="11" t="str">
        <f ca="1">IFERROR(YEAR(OFFSET(BV!$H152,,(COLUMN()-69)*8)),"")</f>
        <v/>
      </c>
      <c r="BU152" s="11" t="str">
        <f ca="1">IFERROR(YEAR(OFFSET(BV!$H152,,(COLUMN()-69)*8)),"")</f>
        <v/>
      </c>
      <c r="BV152" s="11" t="str">
        <f ca="1">IFERROR(YEAR(OFFSET(BV!$H152,,(COLUMN()-69)*8)),"")</f>
        <v/>
      </c>
      <c r="BW152" s="11" t="str">
        <f ca="1">IFERROR(YEAR(OFFSET(BV!$H152,,(COLUMN()-69)*8)),"")</f>
        <v/>
      </c>
      <c r="BX152" s="11" t="str">
        <f ca="1">IFERROR(YEAR(OFFSET(BV!$H152,,(COLUMN()-69)*8)),"")</f>
        <v/>
      </c>
      <c r="BY152" s="11" t="str">
        <f ca="1">IFERROR(YEAR(OFFSET(BV!$H152,,(COLUMN()-69)*8)),"")</f>
        <v/>
      </c>
      <c r="BZ152" s="11" t="str">
        <f ca="1">IFERROR(YEAR(OFFSET(BV!$H152,,(COLUMN()-69)*8)),"")</f>
        <v/>
      </c>
    </row>
    <row r="153" spans="1:78" x14ac:dyDescent="0.25">
      <c r="A153" s="433">
        <v>128</v>
      </c>
      <c r="B153" s="11" t="str">
        <f ca="1">BV!D153</f>
        <v/>
      </c>
      <c r="C153" s="11" t="str">
        <f ca="1">BV!L153</f>
        <v/>
      </c>
      <c r="D153" s="11" t="str">
        <f ca="1">BV!T153</f>
        <v/>
      </c>
      <c r="E153" s="11" t="str">
        <f ca="1">BV!AB153</f>
        <v/>
      </c>
      <c r="F153" s="11" t="str">
        <f ca="1">BV!AJ153</f>
        <v/>
      </c>
      <c r="G153" s="11" t="str">
        <f ca="1">BV!AR153</f>
        <v/>
      </c>
      <c r="H153" s="11" t="str">
        <f ca="1">BV!AZ153</f>
        <v/>
      </c>
      <c r="I153" s="11" t="str">
        <f ca="1">BV!BH153</f>
        <v/>
      </c>
      <c r="J153" s="11" t="str">
        <f ca="1">BV!BP153</f>
        <v/>
      </c>
      <c r="K153" s="11" t="str">
        <f ca="1">BV!BX153</f>
        <v/>
      </c>
      <c r="L153" s="27" t="s">
        <v>104</v>
      </c>
      <c r="M153" s="261">
        <v>7.8410400000000004E-7</v>
      </c>
      <c r="N153" s="313" t="str">
        <f t="shared" ca="1" si="112"/>
        <v/>
      </c>
      <c r="O153" s="317"/>
      <c r="P153" s="317"/>
      <c r="Q153" s="317"/>
      <c r="R153" s="317"/>
      <c r="S153" s="317"/>
      <c r="T153" s="317"/>
      <c r="U153" s="317"/>
      <c r="V153" s="317"/>
      <c r="W153" s="317"/>
      <c r="X153" s="317"/>
      <c r="Y153" s="317"/>
      <c r="AA153" s="621">
        <f ca="1">LARGE(OFFSET(BV!H$2,,AH153*8-8,430),AG153)</f>
        <v>44168.103000000003</v>
      </c>
      <c r="AB153" s="621"/>
      <c r="AC153" s="4">
        <f ca="1">INDEX(OFFSET(BV!A$2,,AH153*8-8,430),$AK153)</f>
        <v>78</v>
      </c>
      <c r="AD153" s="590">
        <f ca="1">INDEX(OFFSET(BV!C$2,,AH153*8-8,430),$AK153)</f>
        <v>28.68</v>
      </c>
      <c r="AE153" s="590"/>
      <c r="AF153" s="4">
        <f ca="1">INDEX(OFFSET(BV!D$2,,AH153*8-8,430),$AK153)</f>
        <v>2.7196652719665271</v>
      </c>
      <c r="AG153" s="4">
        <v>1</v>
      </c>
      <c r="AH153" s="4">
        <v>8</v>
      </c>
      <c r="AI153" s="315"/>
      <c r="AJ153" s="315"/>
      <c r="AK153" s="480">
        <f ca="1">MATCH(AA153,OFFSET(BV!H$2,,AH153*8-8,430),0)</f>
        <v>102</v>
      </c>
      <c r="AL153" s="315"/>
      <c r="AM153" s="315"/>
      <c r="AN153" s="433">
        <v>128</v>
      </c>
      <c r="AO153" s="11" t="str">
        <f ca="1">BV!C153</f>
        <v/>
      </c>
      <c r="AP153" s="11" t="str">
        <f ca="1">BV!K153</f>
        <v/>
      </c>
      <c r="AQ153" s="11" t="str">
        <f ca="1">BV!S153</f>
        <v/>
      </c>
      <c r="AR153" s="11" t="str">
        <f ca="1">BV!AA153</f>
        <v/>
      </c>
      <c r="AS153" s="11" t="str">
        <f ca="1">BV!AI153</f>
        <v/>
      </c>
      <c r="AT153" s="11" t="str">
        <f ca="1">BV!AQ153</f>
        <v/>
      </c>
      <c r="AU153" s="11" t="str">
        <f ca="1">BV!AY153</f>
        <v/>
      </c>
      <c r="AV153" s="11" t="str">
        <f ca="1">BV!BG153</f>
        <v/>
      </c>
      <c r="AW153" s="11" t="str">
        <f ca="1">BV!BO153</f>
        <v/>
      </c>
      <c r="AX153" s="11" t="str">
        <f ca="1">BV!BW153</f>
        <v/>
      </c>
      <c r="AY153" s="27" t="s">
        <v>104</v>
      </c>
      <c r="AZ153" s="23">
        <f t="shared" si="116"/>
        <v>6.1056263306438305</v>
      </c>
      <c r="BA153" s="261">
        <v>7.8410400000000004E-7</v>
      </c>
      <c r="BB153" s="56">
        <v>3.6432964520000002E-3</v>
      </c>
      <c r="BC153" s="56">
        <f t="shared" si="114"/>
        <v>2.1521828111724573E-4</v>
      </c>
      <c r="BD153" s="13" t="str">
        <f ca="1">IF(BV!H153="","",INT(NOW()-BV!H153))</f>
        <v/>
      </c>
      <c r="BE153" s="314">
        <f t="shared" si="115"/>
        <v>1129.3099779026143</v>
      </c>
      <c r="BF153" s="11" t="str">
        <f ca="1">BV!G153</f>
        <v/>
      </c>
      <c r="BG153" s="11" t="str">
        <f ca="1">BV!O153</f>
        <v/>
      </c>
      <c r="BH153" s="11" t="str">
        <f ca="1">BV!W153</f>
        <v/>
      </c>
      <c r="BI153" s="11" t="str">
        <f ca="1">BV!AE153</f>
        <v/>
      </c>
      <c r="BJ153" s="11" t="str">
        <f ca="1">BV!AM153</f>
        <v/>
      </c>
      <c r="BK153" s="11" t="str">
        <f ca="1">BV!AU153</f>
        <v/>
      </c>
      <c r="BL153" s="11" t="str">
        <f ca="1">BV!BC153</f>
        <v/>
      </c>
      <c r="BM153" s="11" t="str">
        <f ca="1">BV!BK153</f>
        <v/>
      </c>
      <c r="BN153" s="11" t="str">
        <f ca="1">BV!BS153</f>
        <v/>
      </c>
      <c r="BO153" s="11" t="str">
        <f ca="1">BV!CA153</f>
        <v/>
      </c>
      <c r="BP153" s="433">
        <v>128</v>
      </c>
      <c r="BQ153" s="11" t="str">
        <f ca="1">IFERROR(YEAR(OFFSET(BV!$H153,,(COLUMN()-69)*8)),"")</f>
        <v/>
      </c>
      <c r="BR153" s="11" t="str">
        <f ca="1">IFERROR(YEAR(OFFSET(BV!$H153,,(COLUMN()-69)*8)),"")</f>
        <v/>
      </c>
      <c r="BS153" s="11" t="str">
        <f ca="1">IFERROR(YEAR(OFFSET(BV!$H153,,(COLUMN()-69)*8)),"")</f>
        <v/>
      </c>
      <c r="BT153" s="11" t="str">
        <f ca="1">IFERROR(YEAR(OFFSET(BV!$H153,,(COLUMN()-69)*8)),"")</f>
        <v/>
      </c>
      <c r="BU153" s="11" t="str">
        <f ca="1">IFERROR(YEAR(OFFSET(BV!$H153,,(COLUMN()-69)*8)),"")</f>
        <v/>
      </c>
      <c r="BV153" s="11" t="str">
        <f ca="1">IFERROR(YEAR(OFFSET(BV!$H153,,(COLUMN()-69)*8)),"")</f>
        <v/>
      </c>
      <c r="BW153" s="11" t="str">
        <f ca="1">IFERROR(YEAR(OFFSET(BV!$H153,,(COLUMN()-69)*8)),"")</f>
        <v/>
      </c>
      <c r="BX153" s="11" t="str">
        <f ca="1">IFERROR(YEAR(OFFSET(BV!$H153,,(COLUMN()-69)*8)),"")</f>
        <v/>
      </c>
      <c r="BY153" s="11" t="str">
        <f ca="1">IFERROR(YEAR(OFFSET(BV!$H153,,(COLUMN()-69)*8)),"")</f>
        <v/>
      </c>
      <c r="BZ153" s="11" t="str">
        <f ca="1">IFERROR(YEAR(OFFSET(BV!$H153,,(COLUMN()-69)*8)),"")</f>
        <v/>
      </c>
    </row>
    <row r="154" spans="1:78" x14ac:dyDescent="0.25">
      <c r="A154" s="433">
        <v>129</v>
      </c>
      <c r="B154" s="11" t="str">
        <f ca="1">BV!D154</f>
        <v/>
      </c>
      <c r="C154" s="11" t="str">
        <f ca="1">BV!L154</f>
        <v/>
      </c>
      <c r="D154" s="11" t="str">
        <f ca="1">BV!T154</f>
        <v/>
      </c>
      <c r="E154" s="11" t="str">
        <f ca="1">BV!AB154</f>
        <v/>
      </c>
      <c r="F154" s="11" t="str">
        <f ca="1">BV!AJ154</f>
        <v/>
      </c>
      <c r="G154" s="11" t="str">
        <f ca="1">BV!AR154</f>
        <v/>
      </c>
      <c r="H154" s="11" t="str">
        <f ca="1">BV!AZ154</f>
        <v/>
      </c>
      <c r="I154" s="11" t="str">
        <f ca="1">BV!BH154</f>
        <v/>
      </c>
      <c r="J154" s="11" t="str">
        <f ca="1">BV!BP154</f>
        <v/>
      </c>
      <c r="K154" s="11" t="str">
        <f ca="1">BV!BX154</f>
        <v/>
      </c>
      <c r="L154" s="27" t="s">
        <v>104</v>
      </c>
      <c r="M154" s="261">
        <v>5.8763799999999998E-7</v>
      </c>
      <c r="N154" s="313" t="str">
        <f t="shared" ca="1" si="112"/>
        <v/>
      </c>
      <c r="O154" s="22" t="str">
        <f ca="1">OFFSET(Week!$FH1,COLUMN()-15,,)</f>
        <v>t.74</v>
      </c>
      <c r="P154" s="6">
        <f ca="1">OFFSET(Week!$FH1,COLUMN()-15,,)</f>
        <v>3215.13</v>
      </c>
      <c r="Q154" s="6">
        <f ca="1">OFFSET(Week!$FH1,COLUMN()-15,,)</f>
        <v>1817.07</v>
      </c>
      <c r="R154" s="6">
        <f ca="1">OFFSET(Week!$FH1,COLUMN()-15,,)</f>
        <v>4237.03</v>
      </c>
      <c r="S154" s="6">
        <f ca="1">OFFSET(Week!$FH1,COLUMN()-15,,)</f>
        <v>3567.9</v>
      </c>
      <c r="T154" s="6">
        <f ca="1">OFFSET(Week!$FH1,COLUMN()-15,,)</f>
        <v>2521.2600000000002</v>
      </c>
      <c r="U154" s="6">
        <f ca="1">OFFSET(Week!$FH1,COLUMN()-15,,)</f>
        <v>2583.3199999999997</v>
      </c>
      <c r="V154" s="6">
        <f ca="1">OFFSET(Week!$FH1,COLUMN()-15,,)</f>
        <v>3131.5299999999997</v>
      </c>
      <c r="W154" s="6">
        <f ca="1">OFFSET(Week!$FH1,COLUMN()-15,,)</f>
        <v>2948.9</v>
      </c>
      <c r="X154" s="6">
        <f ca="1">OFFSET(Week!$FH1,COLUMN()-15,,)</f>
        <v>3617.3600000000006</v>
      </c>
      <c r="Y154" s="6">
        <f ca="1">OFFSET(Week!$FH1,COLUMN()-15,,)</f>
        <v>2829.69</v>
      </c>
      <c r="Z154" s="6">
        <f ca="1">MIN(OFFSET(Week!$FH2,,,Arb!$AJ$13,1))</f>
        <v>1453.75</v>
      </c>
      <c r="AA154" s="621">
        <f ca="1">LARGE(OFFSET(BV!H$2,,AH154*8-8,430),AG154)</f>
        <v>44168.091</v>
      </c>
      <c r="AB154" s="621"/>
      <c r="AC154" s="4">
        <f ca="1">INDEX(OFFSET(BV!A$2,,AH154*8-8,430),$AK154)</f>
        <v>66</v>
      </c>
      <c r="AD154" s="590">
        <f ca="1">INDEX(OFFSET(BV!C$2,,AH154*8-8,430),$AK154)</f>
        <v>26.59</v>
      </c>
      <c r="AE154" s="590"/>
      <c r="AF154" s="4">
        <f ca="1">INDEX(OFFSET(BV!D$2,,AH154*8-8,430),$AK154)</f>
        <v>2.4821361414065439</v>
      </c>
      <c r="AG154" s="4">
        <v>2</v>
      </c>
      <c r="AH154" s="4">
        <v>8</v>
      </c>
      <c r="AI154" s="315"/>
      <c r="AJ154" s="315"/>
      <c r="AK154" s="480">
        <f ca="1">MATCH(AA154,OFFSET(BV!H$2,,AH154*8-8,430),0)</f>
        <v>90</v>
      </c>
      <c r="AL154" s="315"/>
      <c r="AM154" s="315"/>
      <c r="AN154" s="433">
        <v>129</v>
      </c>
      <c r="AO154" s="11" t="str">
        <f ca="1">BV!C154</f>
        <v/>
      </c>
      <c r="AP154" s="11" t="str">
        <f ca="1">BV!K154</f>
        <v/>
      </c>
      <c r="AQ154" s="11" t="str">
        <f ca="1">BV!S154</f>
        <v/>
      </c>
      <c r="AR154" s="11" t="str">
        <f ca="1">BV!AA154</f>
        <v/>
      </c>
      <c r="AS154" s="11" t="str">
        <f ca="1">BV!AI154</f>
        <v/>
      </c>
      <c r="AT154" s="11" t="str">
        <f ca="1">BV!AQ154</f>
        <v/>
      </c>
      <c r="AU154" s="11" t="str">
        <f ca="1">BV!AY154</f>
        <v/>
      </c>
      <c r="AV154" s="11" t="str">
        <f ca="1">BV!BG154</f>
        <v/>
      </c>
      <c r="AW154" s="11" t="str">
        <f ca="1">BV!BO154</f>
        <v/>
      </c>
      <c r="AX154" s="11" t="str">
        <f ca="1">BV!BW154</f>
        <v/>
      </c>
      <c r="AY154" s="27" t="s">
        <v>104</v>
      </c>
      <c r="AZ154" s="23">
        <f t="shared" si="116"/>
        <v>6.230890128033745</v>
      </c>
      <c r="BA154" s="261">
        <v>5.8763799999999998E-7</v>
      </c>
      <c r="BB154" s="56">
        <v>3.6432964520000002E-3</v>
      </c>
      <c r="BC154" s="56">
        <f t="shared" si="114"/>
        <v>1.612929410883965E-4</v>
      </c>
      <c r="BD154" s="13" t="str">
        <f ca="1">IF(BV!H154="","",INT(NOW()-BV!H154))</f>
        <v/>
      </c>
      <c r="BE154" s="314">
        <f t="shared" si="115"/>
        <v>1304.502945395194</v>
      </c>
      <c r="BF154" s="11" t="str">
        <f ca="1">BV!G154</f>
        <v/>
      </c>
      <c r="BG154" s="11" t="str">
        <f ca="1">BV!O154</f>
        <v/>
      </c>
      <c r="BH154" s="11" t="str">
        <f ca="1">BV!W154</f>
        <v/>
      </c>
      <c r="BI154" s="11" t="str">
        <f ca="1">BV!AE154</f>
        <v/>
      </c>
      <c r="BJ154" s="11" t="str">
        <f ca="1">BV!AM154</f>
        <v/>
      </c>
      <c r="BK154" s="11" t="str">
        <f ca="1">BV!AU154</f>
        <v/>
      </c>
      <c r="BL154" s="11" t="str">
        <f ca="1">BV!BC154</f>
        <v/>
      </c>
      <c r="BM154" s="11" t="str">
        <f ca="1">BV!BK154</f>
        <v/>
      </c>
      <c r="BN154" s="11" t="str">
        <f ca="1">BV!BS154</f>
        <v/>
      </c>
      <c r="BO154" s="11" t="str">
        <f ca="1">BV!CA154</f>
        <v/>
      </c>
      <c r="BP154" s="433">
        <v>129</v>
      </c>
      <c r="BQ154" s="11" t="str">
        <f ca="1">IFERROR(YEAR(OFFSET(BV!$H154,,(COLUMN()-69)*8)),"")</f>
        <v/>
      </c>
      <c r="BR154" s="11" t="str">
        <f ca="1">IFERROR(YEAR(OFFSET(BV!$H154,,(COLUMN()-69)*8)),"")</f>
        <v/>
      </c>
      <c r="BS154" s="11" t="str">
        <f ca="1">IFERROR(YEAR(OFFSET(BV!$H154,,(COLUMN()-69)*8)),"")</f>
        <v/>
      </c>
      <c r="BT154" s="11" t="str">
        <f ca="1">IFERROR(YEAR(OFFSET(BV!$H154,,(COLUMN()-69)*8)),"")</f>
        <v/>
      </c>
      <c r="BU154" s="11" t="str">
        <f ca="1">IFERROR(YEAR(OFFSET(BV!$H154,,(COLUMN()-69)*8)),"")</f>
        <v/>
      </c>
      <c r="BV154" s="11" t="str">
        <f ca="1">IFERROR(YEAR(OFFSET(BV!$H154,,(COLUMN()-69)*8)),"")</f>
        <v/>
      </c>
      <c r="BW154" s="11" t="str">
        <f ca="1">IFERROR(YEAR(OFFSET(BV!$H154,,(COLUMN()-69)*8)),"")</f>
        <v/>
      </c>
      <c r="BX154" s="11" t="str">
        <f ca="1">IFERROR(YEAR(OFFSET(BV!$H154,,(COLUMN()-69)*8)),"")</f>
        <v/>
      </c>
      <c r="BY154" s="11" t="str">
        <f ca="1">IFERROR(YEAR(OFFSET(BV!$H154,,(COLUMN()-69)*8)),"")</f>
        <v/>
      </c>
      <c r="BZ154" s="11" t="str">
        <f ca="1">IFERROR(YEAR(OFFSET(BV!$H154,,(COLUMN()-69)*8)),"")</f>
        <v/>
      </c>
    </row>
    <row r="155" spans="1:78" x14ac:dyDescent="0.25">
      <c r="A155" s="433">
        <v>130</v>
      </c>
      <c r="B155" s="11" t="str">
        <f ca="1">BV!D155</f>
        <v/>
      </c>
      <c r="C155" s="11" t="str">
        <f ca="1">BV!L155</f>
        <v/>
      </c>
      <c r="D155" s="11" t="str">
        <f ca="1">BV!T155</f>
        <v/>
      </c>
      <c r="E155" s="11" t="str">
        <f ca="1">BV!AB155</f>
        <v/>
      </c>
      <c r="F155" s="11" t="str">
        <f ca="1">BV!AJ155</f>
        <v/>
      </c>
      <c r="G155" s="11" t="str">
        <f ca="1">BV!AR155</f>
        <v/>
      </c>
      <c r="H155" s="11" t="str">
        <f ca="1">BV!AZ155</f>
        <v/>
      </c>
      <c r="I155" s="11" t="str">
        <f ca="1">BV!BH155</f>
        <v/>
      </c>
      <c r="J155" s="11" t="str">
        <f ca="1">BV!BP155</f>
        <v/>
      </c>
      <c r="K155" s="11" t="str">
        <f ca="1">BV!BX155</f>
        <v/>
      </c>
      <c r="L155" s="27" t="s">
        <v>104</v>
      </c>
      <c r="M155" s="261">
        <v>4.3746299999999998E-7</v>
      </c>
      <c r="N155" s="313" t="str">
        <f t="shared" ca="1" si="112"/>
        <v/>
      </c>
      <c r="O155" s="22" t="str">
        <f ca="1">OFFSET(Week!$FI1,COLUMN()-15,,)</f>
        <v>b.74</v>
      </c>
      <c r="P155" s="6">
        <f ca="1">OFFSET(Week!$FI1,COLUMN()-15,,)</f>
        <v>14.091816500674103</v>
      </c>
      <c r="Q155" s="6">
        <f ca="1">OFFSET(Week!$FI1,COLUMN()-15,,)</f>
        <v>202.44003653581558</v>
      </c>
      <c r="R155" s="6">
        <f ca="1">OFFSET(Week!$FI1,COLUMN()-15,,)</f>
        <v>1.7069701280227596</v>
      </c>
      <c r="S155" s="6">
        <f ca="1">OFFSET(Week!$FI1,COLUMN()-15,,)</f>
        <v>9.5658708572844215</v>
      </c>
      <c r="T155" s="6">
        <f ca="1">OFFSET(Week!$FI1,COLUMN()-15,,)</f>
        <v>27.84202256797214</v>
      </c>
      <c r="U155" s="6">
        <f ca="1">OFFSET(Week!$FI1,COLUMN()-15,,)</f>
        <v>23.363656855244709</v>
      </c>
      <c r="V155" s="6">
        <f ca="1">OFFSET(Week!$FI1,COLUMN()-15,,)</f>
        <v>50.146828794014766</v>
      </c>
      <c r="W155" s="6">
        <f ca="1">OFFSET(Week!$FI1,COLUMN()-15,,)</f>
        <v>17.03278465315746</v>
      </c>
      <c r="X155" s="6">
        <f ca="1">OFFSET(Week!$FI1,COLUMN()-15,,)</f>
        <v>47.965846600754148</v>
      </c>
      <c r="Y155" s="6">
        <f ca="1">OFFSET(Week!$FI1,COLUMN()-15,,)</f>
        <v>110.78120347245991</v>
      </c>
      <c r="Z155" s="6">
        <f ca="1">MAX(OFFSET(Week!$FI2,,,Arb!$AJ$13,1))</f>
        <v>229.22541127810422</v>
      </c>
      <c r="AA155" s="621">
        <f ca="1">LARGE(OFFSET(BV!H$2,,AH155*8-8,430),AG155)</f>
        <v>44168.023000000001</v>
      </c>
      <c r="AB155" s="621"/>
      <c r="AC155" s="4">
        <f ca="1">INDEX(OFFSET(BV!A$2,,AH155*8-8,430),$AK155)</f>
        <v>23</v>
      </c>
      <c r="AD155" s="590">
        <f ca="1">INDEX(OFFSET(BV!C$2,,AH155*8-8,430),$AK155)</f>
        <v>6.48</v>
      </c>
      <c r="AE155" s="590"/>
      <c r="AF155" s="4">
        <f ca="1">INDEX(OFFSET(BV!D$2,,AH155*8-8,430),$AK155)</f>
        <v>3.5493827160493825</v>
      </c>
      <c r="AG155" s="4">
        <v>3</v>
      </c>
      <c r="AH155" s="4">
        <v>8</v>
      </c>
      <c r="AI155" s="315"/>
      <c r="AJ155" s="315"/>
      <c r="AK155" s="480">
        <f ca="1">MATCH(AA155,OFFSET(BV!H$2,,AH155*8-8,430),0)</f>
        <v>22</v>
      </c>
      <c r="AL155" s="315"/>
      <c r="AM155" s="315"/>
      <c r="AN155" s="433">
        <v>130</v>
      </c>
      <c r="AO155" s="11" t="str">
        <f ca="1">BV!C155</f>
        <v/>
      </c>
      <c r="AP155" s="11" t="str">
        <f ca="1">BV!K155</f>
        <v/>
      </c>
      <c r="AQ155" s="11" t="str">
        <f ca="1">BV!S155</f>
        <v/>
      </c>
      <c r="AR155" s="11" t="str">
        <f ca="1">BV!AA155</f>
        <v/>
      </c>
      <c r="AS155" s="11" t="str">
        <f ca="1">BV!AI155</f>
        <v/>
      </c>
      <c r="AT155" s="11" t="str">
        <f ca="1">BV!AQ155</f>
        <v/>
      </c>
      <c r="AU155" s="11" t="str">
        <f ca="1">BV!AY155</f>
        <v/>
      </c>
      <c r="AV155" s="11" t="str">
        <f ca="1">BV!BG155</f>
        <v/>
      </c>
      <c r="AW155" s="11" t="str">
        <f ca="1">BV!BO155</f>
        <v/>
      </c>
      <c r="AX155" s="11" t="str">
        <f ca="1">BV!BW155</f>
        <v/>
      </c>
      <c r="AY155" s="27" t="s">
        <v>104</v>
      </c>
      <c r="AZ155" s="23">
        <f t="shared" si="116"/>
        <v>6.3590586730996188</v>
      </c>
      <c r="BA155" s="261">
        <v>4.3746299999999998E-7</v>
      </c>
      <c r="BB155" s="56">
        <v>3.6432964520000002E-3</v>
      </c>
      <c r="BC155" s="56">
        <f t="shared" si="114"/>
        <v>1.2007340214103443E-4</v>
      </c>
      <c r="BD155" s="13" t="str">
        <f ca="1">IF(BV!H155="","",INT(NOW()-BV!H155))</f>
        <v/>
      </c>
      <c r="BE155" s="314">
        <f t="shared" si="115"/>
        <v>1511.921826083046</v>
      </c>
      <c r="BF155" s="11" t="str">
        <f ca="1">BV!G155</f>
        <v/>
      </c>
      <c r="BG155" s="11" t="str">
        <f ca="1">BV!O155</f>
        <v/>
      </c>
      <c r="BH155" s="11" t="str">
        <f ca="1">BV!W155</f>
        <v/>
      </c>
      <c r="BI155" s="11" t="str">
        <f ca="1">BV!AE155</f>
        <v/>
      </c>
      <c r="BJ155" s="11" t="str">
        <f ca="1">BV!AM155</f>
        <v/>
      </c>
      <c r="BK155" s="11" t="str">
        <f ca="1">BV!AU155</f>
        <v/>
      </c>
      <c r="BL155" s="11" t="str">
        <f ca="1">BV!BC155</f>
        <v/>
      </c>
      <c r="BM155" s="11" t="str">
        <f ca="1">BV!BK155</f>
        <v/>
      </c>
      <c r="BN155" s="11" t="str">
        <f ca="1">BV!BS155</f>
        <v/>
      </c>
      <c r="BO155" s="11" t="str">
        <f ca="1">BV!CA155</f>
        <v/>
      </c>
      <c r="BP155" s="433">
        <v>130</v>
      </c>
      <c r="BQ155" s="11" t="str">
        <f ca="1">IFERROR(YEAR(OFFSET(BV!$H155,,(COLUMN()-69)*8)),"")</f>
        <v/>
      </c>
      <c r="BR155" s="11" t="str">
        <f ca="1">IFERROR(YEAR(OFFSET(BV!$H155,,(COLUMN()-69)*8)),"")</f>
        <v/>
      </c>
      <c r="BS155" s="11" t="str">
        <f ca="1">IFERROR(YEAR(OFFSET(BV!$H155,,(COLUMN()-69)*8)),"")</f>
        <v/>
      </c>
      <c r="BT155" s="11" t="str">
        <f ca="1">IFERROR(YEAR(OFFSET(BV!$H155,,(COLUMN()-69)*8)),"")</f>
        <v/>
      </c>
      <c r="BU155" s="11" t="str">
        <f ca="1">IFERROR(YEAR(OFFSET(BV!$H155,,(COLUMN()-69)*8)),"")</f>
        <v/>
      </c>
      <c r="BV155" s="11" t="str">
        <f ca="1">IFERROR(YEAR(OFFSET(BV!$H155,,(COLUMN()-69)*8)),"")</f>
        <v/>
      </c>
      <c r="BW155" s="11" t="str">
        <f ca="1">IFERROR(YEAR(OFFSET(BV!$H155,,(COLUMN()-69)*8)),"")</f>
        <v/>
      </c>
      <c r="BX155" s="11" t="str">
        <f ca="1">IFERROR(YEAR(OFFSET(BV!$H155,,(COLUMN()-69)*8)),"")</f>
        <v/>
      </c>
      <c r="BY155" s="11" t="str">
        <f ca="1">IFERROR(YEAR(OFFSET(BV!$H155,,(COLUMN()-69)*8)),"")</f>
        <v/>
      </c>
      <c r="BZ155" s="11" t="str">
        <f ca="1">IFERROR(YEAR(OFFSET(BV!$H155,,(COLUMN()-69)*8)),"")</f>
        <v/>
      </c>
    </row>
    <row r="156" spans="1:78" x14ac:dyDescent="0.25">
      <c r="A156" s="433">
        <v>131</v>
      </c>
      <c r="B156" s="11" t="str">
        <f ca="1">BV!D156</f>
        <v/>
      </c>
      <c r="C156" s="11" t="str">
        <f ca="1">BV!L156</f>
        <v/>
      </c>
      <c r="D156" s="11" t="str">
        <f ca="1">BV!T156</f>
        <v/>
      </c>
      <c r="E156" s="11" t="str">
        <f ca="1">BV!AB156</f>
        <v/>
      </c>
      <c r="F156" s="11" t="str">
        <f ca="1">BV!AJ156</f>
        <v/>
      </c>
      <c r="G156" s="11" t="str">
        <f ca="1">BV!AR156</f>
        <v/>
      </c>
      <c r="H156" s="11" t="str">
        <f ca="1">BV!AZ156</f>
        <v/>
      </c>
      <c r="I156" s="11" t="str">
        <f ca="1">BV!BH156</f>
        <v/>
      </c>
      <c r="J156" s="11" t="str">
        <f ca="1">BV!BP156</f>
        <v/>
      </c>
      <c r="K156" s="11" t="str">
        <f ca="1">BV!BX156</f>
        <v/>
      </c>
      <c r="L156" s="27" t="s">
        <v>104</v>
      </c>
      <c r="M156" s="261">
        <v>3.2587699999999997E-7</v>
      </c>
      <c r="N156" s="313" t="str">
        <f t="shared" ca="1" si="112"/>
        <v/>
      </c>
      <c r="O156" s="11" t="str">
        <f ca="1">OFFSET(Week!$IP1,COLUMN()-15,,)</f>
        <v>bpp.40</v>
      </c>
      <c r="P156" s="12">
        <f ca="1">OFFSET(Week!$IP1,COLUMN()-15,,)</f>
        <v>0</v>
      </c>
      <c r="Q156" s="742">
        <f ca="1">OFFSET(Week!$IP1,COLUMN()-15,,)</f>
        <v>0.50284832103664112</v>
      </c>
      <c r="R156" s="12">
        <f ca="1">OFFSET(Week!$IP1,COLUMN()-15,,)</f>
        <v>2.8445547732767653E-5</v>
      </c>
      <c r="S156" s="12">
        <f ca="1">OFFSET(Week!$IP1,COLUMN()-15,,)</f>
        <v>0</v>
      </c>
      <c r="T156" s="12">
        <f ca="1">OFFSET(Week!$IP1,COLUMN()-15,,)</f>
        <v>7.8407694677771778E-5</v>
      </c>
      <c r="U156" s="12">
        <f ca="1">OFFSET(Week!$IP1,COLUMN()-15,,)</f>
        <v>0</v>
      </c>
      <c r="V156" s="742">
        <f ca="1">OFFSET(Week!$IP1,COLUMN()-15,,)</f>
        <v>9.9414083488272159E-3</v>
      </c>
      <c r="W156" s="12">
        <f ca="1">OFFSET(Week!$IP1,COLUMN()-15,,)</f>
        <v>0</v>
      </c>
      <c r="X156" s="742">
        <f ca="1">OFFSET(Week!$IP1,COLUMN()-15,,)</f>
        <v>3.521987911699353E-3</v>
      </c>
      <c r="Y156" s="742">
        <f ca="1">OFFSET(Week!$IP1,COLUMN()-15,,)</f>
        <v>2.1614542362677323E-2</v>
      </c>
      <c r="Z156" s="52">
        <f ca="1">MAX(OFFSET(Week!$IP2,,,Arb!$AJ$13,1))</f>
        <v>0.51644366276159737</v>
      </c>
      <c r="AA156" s="621">
        <f ca="1">LARGE(OFFSET(BV!H$2,,AH156*8-8,430),AG156)</f>
        <v>44129.294999999998</v>
      </c>
      <c r="AB156" s="621"/>
      <c r="AC156" s="4">
        <f ca="1">INDEX(OFFSET(BV!A$2,,AH156*8-8,430),$AK156)</f>
        <v>153</v>
      </c>
      <c r="AD156" s="590">
        <f ca="1">INDEX(OFFSET(BV!C$2,,AH156*8-8,430),$AK156)</f>
        <v>73.010000000000005</v>
      </c>
      <c r="AE156" s="590"/>
      <c r="AF156" s="4">
        <f ca="1">INDEX(OFFSET(BV!D$2,,AH156*8-8,430),$AK156)</f>
        <v>2.0956033420079438</v>
      </c>
      <c r="AG156" s="4">
        <v>4</v>
      </c>
      <c r="AH156" s="4">
        <v>8</v>
      </c>
      <c r="AI156" s="315"/>
      <c r="AJ156" s="315"/>
      <c r="AK156" s="480">
        <f ca="1">MATCH(AA156,OFFSET(BV!H$2,,AH156*8-8,430),0)</f>
        <v>294</v>
      </c>
      <c r="AL156" s="315"/>
      <c r="AM156" s="315"/>
      <c r="AN156" s="433">
        <v>131</v>
      </c>
      <c r="AO156" s="11" t="str">
        <f ca="1">BV!C156</f>
        <v/>
      </c>
      <c r="AP156" s="11" t="str">
        <f ca="1">BV!K156</f>
        <v/>
      </c>
      <c r="AQ156" s="11" t="str">
        <f ca="1">BV!S156</f>
        <v/>
      </c>
      <c r="AR156" s="11" t="str">
        <f ca="1">BV!AA156</f>
        <v/>
      </c>
      <c r="AS156" s="11" t="str">
        <f ca="1">BV!AI156</f>
        <v/>
      </c>
      <c r="AT156" s="11" t="str">
        <f ca="1">BV!AQ156</f>
        <v/>
      </c>
      <c r="AU156" s="11" t="str">
        <f ca="1">BV!AY156</f>
        <v/>
      </c>
      <c r="AV156" s="11" t="str">
        <f ca="1">BV!BG156</f>
        <v/>
      </c>
      <c r="AW156" s="11" t="str">
        <f ca="1">BV!BO156</f>
        <v/>
      </c>
      <c r="AX156" s="11" t="str">
        <f ca="1">BV!BW156</f>
        <v/>
      </c>
      <c r="AY156" s="27" t="s">
        <v>104</v>
      </c>
      <c r="AZ156" s="23">
        <f t="shared" si="116"/>
        <v>6.4869462904264585</v>
      </c>
      <c r="BA156" s="261">
        <v>3.2587699999999997E-7</v>
      </c>
      <c r="BB156" s="56">
        <v>3.6432964520000002E-3</v>
      </c>
      <c r="BC156" s="56">
        <f t="shared" si="114"/>
        <v>8.9445644704841035E-5</v>
      </c>
      <c r="BD156" s="13" t="str">
        <f ca="1">IF(BV!H156="","",INT(NOW()-BV!H156))</f>
        <v/>
      </c>
      <c r="BE156" s="314">
        <f t="shared" si="115"/>
        <v>1751.7541103878361</v>
      </c>
      <c r="BF156" s="11" t="str">
        <f ca="1">BV!G156</f>
        <v/>
      </c>
      <c r="BG156" s="11" t="str">
        <f ca="1">BV!O156</f>
        <v/>
      </c>
      <c r="BH156" s="11" t="str">
        <f ca="1">BV!W156</f>
        <v/>
      </c>
      <c r="BI156" s="11" t="str">
        <f ca="1">BV!AE156</f>
        <v/>
      </c>
      <c r="BJ156" s="11" t="str">
        <f ca="1">BV!AM156</f>
        <v/>
      </c>
      <c r="BK156" s="11" t="str">
        <f ca="1">BV!AU156</f>
        <v/>
      </c>
      <c r="BL156" s="11" t="str">
        <f ca="1">BV!BC156</f>
        <v/>
      </c>
      <c r="BM156" s="11" t="str">
        <f ca="1">BV!BK156</f>
        <v/>
      </c>
      <c r="BN156" s="11" t="str">
        <f ca="1">BV!BS156</f>
        <v/>
      </c>
      <c r="BO156" s="11" t="str">
        <f ca="1">BV!CA156</f>
        <v/>
      </c>
      <c r="BP156" s="433">
        <v>131</v>
      </c>
      <c r="BQ156" s="11" t="str">
        <f ca="1">IFERROR(YEAR(OFFSET(BV!$H156,,(COLUMN()-69)*8)),"")</f>
        <v/>
      </c>
      <c r="BR156" s="11" t="str">
        <f ca="1">IFERROR(YEAR(OFFSET(BV!$H156,,(COLUMN()-69)*8)),"")</f>
        <v/>
      </c>
      <c r="BS156" s="11" t="str">
        <f ca="1">IFERROR(YEAR(OFFSET(BV!$H156,,(COLUMN()-69)*8)),"")</f>
        <v/>
      </c>
      <c r="BT156" s="11" t="str">
        <f ca="1">IFERROR(YEAR(OFFSET(BV!$H156,,(COLUMN()-69)*8)),"")</f>
        <v/>
      </c>
      <c r="BU156" s="11" t="str">
        <f ca="1">IFERROR(YEAR(OFFSET(BV!$H156,,(COLUMN()-69)*8)),"")</f>
        <v/>
      </c>
      <c r="BV156" s="11" t="str">
        <f ca="1">IFERROR(YEAR(OFFSET(BV!$H156,,(COLUMN()-69)*8)),"")</f>
        <v/>
      </c>
      <c r="BW156" s="11" t="str">
        <f ca="1">IFERROR(YEAR(OFFSET(BV!$H156,,(COLUMN()-69)*8)),"")</f>
        <v/>
      </c>
      <c r="BX156" s="11" t="str">
        <f ca="1">IFERROR(YEAR(OFFSET(BV!$H156,,(COLUMN()-69)*8)),"")</f>
        <v/>
      </c>
      <c r="BY156" s="11" t="str">
        <f ca="1">IFERROR(YEAR(OFFSET(BV!$H156,,(COLUMN()-69)*8)),"")</f>
        <v/>
      </c>
      <c r="BZ156" s="11" t="str">
        <f ca="1">IFERROR(YEAR(OFFSET(BV!$H156,,(COLUMN()-69)*8)),"")</f>
        <v/>
      </c>
    </row>
    <row r="157" spans="1:78" x14ac:dyDescent="0.25">
      <c r="A157" s="433">
        <v>132</v>
      </c>
      <c r="B157" s="11" t="str">
        <f ca="1">BV!D157</f>
        <v/>
      </c>
      <c r="C157" s="11" t="str">
        <f ca="1">BV!L157</f>
        <v/>
      </c>
      <c r="D157" s="11" t="str">
        <f ca="1">BV!T157</f>
        <v/>
      </c>
      <c r="E157" s="11" t="str">
        <f ca="1">BV!AB157</f>
        <v/>
      </c>
      <c r="F157" s="11" t="str">
        <f ca="1">BV!AJ157</f>
        <v/>
      </c>
      <c r="G157" s="11" t="str">
        <f ca="1">BV!AR157</f>
        <v/>
      </c>
      <c r="H157" s="11" t="str">
        <f ca="1">BV!AZ157</f>
        <v/>
      </c>
      <c r="I157" s="11" t="str">
        <f ca="1">BV!BH157</f>
        <v/>
      </c>
      <c r="J157" s="11" t="str">
        <f ca="1">BV!BP157</f>
        <v/>
      </c>
      <c r="K157" s="11" t="str">
        <f ca="1">BV!BX157</f>
        <v/>
      </c>
      <c r="L157" s="27" t="s">
        <v>104</v>
      </c>
      <c r="M157" s="261">
        <v>2.4133600000000001E-7</v>
      </c>
      <c r="N157" s="313" t="str">
        <f t="shared" ca="1" si="112"/>
        <v/>
      </c>
      <c r="O157" s="11" t="str">
        <f ca="1">OFFSET(Week!$IQ1,COLUMN()-15,,)</f>
        <v>ipp.24</v>
      </c>
      <c r="P157" s="12">
        <f ca="1">OFFSET(Week!$IQ1,COLUMN()-15,,)</f>
        <v>0</v>
      </c>
      <c r="Q157" s="742">
        <f ca="1">OFFSET(Week!$IQ1,COLUMN()-15,,)</f>
        <v>0.28822422525476143</v>
      </c>
      <c r="R157" s="12">
        <f ca="1">OFFSET(Week!$IQ1,COLUMN()-15,,)</f>
        <v>0</v>
      </c>
      <c r="S157" s="12">
        <f ca="1">OFFSET(Week!$IQ1,COLUMN()-15,,)</f>
        <v>0</v>
      </c>
      <c r="T157" s="12">
        <f ca="1">OFFSET(Week!$IQ1,COLUMN()-15,,)</f>
        <v>0</v>
      </c>
      <c r="U157" s="12">
        <f ca="1">OFFSET(Week!$IQ1,COLUMN()-15,,)</f>
        <v>0</v>
      </c>
      <c r="V157" s="742">
        <f ca="1">OFFSET(Week!$IQ1,COLUMN()-15,,)</f>
        <v>4.8446148461256302E-3</v>
      </c>
      <c r="W157" s="12">
        <f ca="1">OFFSET(Week!$IQ1,COLUMN()-15,,)</f>
        <v>0</v>
      </c>
      <c r="X157" s="742">
        <f ca="1">OFFSET(Week!$IQ1,COLUMN()-15,,)</f>
        <v>0.10850194838453912</v>
      </c>
      <c r="Y157" s="742">
        <f ca="1">OFFSET(Week!$IQ1,COLUMN()-15,,)</f>
        <v>0.96987134603742164</v>
      </c>
      <c r="Z157" s="52">
        <f ca="1">MAX(OFFSET(Week!$IQ2,,,Arb!$AJ$13,1))</f>
        <v>0.9781805400042427</v>
      </c>
      <c r="AA157" s="621">
        <f ca="1">LARGE(OFFSET(BV!H$2,,AH157*8-8,430),AG157)</f>
        <v>44117.29</v>
      </c>
      <c r="AB157" s="621"/>
      <c r="AC157" s="4">
        <f ca="1">INDEX(OFFSET(BV!A$2,,AH157*8-8,430),$AK157)</f>
        <v>148</v>
      </c>
      <c r="AD157" s="590">
        <f ca="1">INDEX(OFFSET(BV!C$2,,AH157*8-8,430),$AK157)</f>
        <v>70.930000000000007</v>
      </c>
      <c r="AE157" s="590"/>
      <c r="AF157" s="4">
        <f ca="1">INDEX(OFFSET(BV!D$2,,AH157*8-8,430),$AK157)</f>
        <v>2.0865642182433382</v>
      </c>
      <c r="AG157" s="4">
        <v>5</v>
      </c>
      <c r="AH157" s="4">
        <v>8</v>
      </c>
      <c r="AI157" s="315"/>
      <c r="AJ157" s="315"/>
      <c r="AK157" s="480">
        <f ca="1">MATCH(AA157,OFFSET(BV!H$2,,AH157*8-8,430),0)</f>
        <v>289</v>
      </c>
      <c r="AL157" s="315"/>
      <c r="AM157" s="315"/>
      <c r="AN157" s="433">
        <v>132</v>
      </c>
      <c r="AO157" s="11" t="str">
        <f ca="1">BV!C157</f>
        <v/>
      </c>
      <c r="AP157" s="11" t="str">
        <f ca="1">BV!K157</f>
        <v/>
      </c>
      <c r="AQ157" s="11" t="str">
        <f ca="1">BV!S157</f>
        <v/>
      </c>
      <c r="AR157" s="11" t="str">
        <f ca="1">BV!AA157</f>
        <v/>
      </c>
      <c r="AS157" s="11" t="str">
        <f ca="1">BV!AI157</f>
        <v/>
      </c>
      <c r="AT157" s="11" t="str">
        <f ca="1">BV!AQ157</f>
        <v/>
      </c>
      <c r="AU157" s="11" t="str">
        <f ca="1">BV!AY157</f>
        <v/>
      </c>
      <c r="AV157" s="11" t="str">
        <f ca="1">BV!BG157</f>
        <v/>
      </c>
      <c r="AW157" s="11" t="str">
        <f ca="1">BV!BO157</f>
        <v/>
      </c>
      <c r="AX157" s="11" t="str">
        <f ca="1">BV!BW157</f>
        <v/>
      </c>
      <c r="AY157" s="27" t="s">
        <v>104</v>
      </c>
      <c r="AZ157" s="23">
        <f t="shared" si="116"/>
        <v>6.617377889714974</v>
      </c>
      <c r="BA157" s="261">
        <v>2.4133600000000001E-7</v>
      </c>
      <c r="BB157" s="56">
        <v>3.6432964520000002E-3</v>
      </c>
      <c r="BC157" s="56">
        <f t="shared" si="114"/>
        <v>6.6241109714670012E-5</v>
      </c>
      <c r="BD157" s="13" t="str">
        <f ca="1">IF(BV!H157="","",INT(NOW()-BV!H157))</f>
        <v/>
      </c>
      <c r="BE157" s="314">
        <f t="shared" si="115"/>
        <v>2035.5836075183779</v>
      </c>
      <c r="BF157" s="11" t="str">
        <f ca="1">BV!G157</f>
        <v/>
      </c>
      <c r="BG157" s="11" t="str">
        <f ca="1">BV!O157</f>
        <v/>
      </c>
      <c r="BH157" s="11" t="str">
        <f ca="1">BV!W157</f>
        <v/>
      </c>
      <c r="BI157" s="11" t="str">
        <f ca="1">BV!AE157</f>
        <v/>
      </c>
      <c r="BJ157" s="11" t="str">
        <f ca="1">BV!AM157</f>
        <v/>
      </c>
      <c r="BK157" s="11" t="str">
        <f ca="1">BV!AU157</f>
        <v/>
      </c>
      <c r="BL157" s="11" t="str">
        <f ca="1">BV!BC157</f>
        <v/>
      </c>
      <c r="BM157" s="11" t="str">
        <f ca="1">BV!BK157</f>
        <v/>
      </c>
      <c r="BN157" s="11" t="str">
        <f ca="1">BV!BS157</f>
        <v/>
      </c>
      <c r="BO157" s="11" t="str">
        <f ca="1">BV!CA157</f>
        <v/>
      </c>
      <c r="BP157" s="433">
        <v>132</v>
      </c>
      <c r="BQ157" s="11" t="str">
        <f ca="1">IFERROR(YEAR(OFFSET(BV!$H157,,(COLUMN()-69)*8)),"")</f>
        <v/>
      </c>
      <c r="BR157" s="11" t="str">
        <f ca="1">IFERROR(YEAR(OFFSET(BV!$H157,,(COLUMN()-69)*8)),"")</f>
        <v/>
      </c>
      <c r="BS157" s="11" t="str">
        <f ca="1">IFERROR(YEAR(OFFSET(BV!$H157,,(COLUMN()-69)*8)),"")</f>
        <v/>
      </c>
      <c r="BT157" s="11" t="str">
        <f ca="1">IFERROR(YEAR(OFFSET(BV!$H157,,(COLUMN()-69)*8)),"")</f>
        <v/>
      </c>
      <c r="BU157" s="11" t="str">
        <f ca="1">IFERROR(YEAR(OFFSET(BV!$H157,,(COLUMN()-69)*8)),"")</f>
        <v/>
      </c>
      <c r="BV157" s="11" t="str">
        <f ca="1">IFERROR(YEAR(OFFSET(BV!$H157,,(COLUMN()-69)*8)),"")</f>
        <v/>
      </c>
      <c r="BW157" s="11" t="str">
        <f ca="1">IFERROR(YEAR(OFFSET(BV!$H157,,(COLUMN()-69)*8)),"")</f>
        <v/>
      </c>
      <c r="BX157" s="11" t="str">
        <f ca="1">IFERROR(YEAR(OFFSET(BV!$H157,,(COLUMN()-69)*8)),"")</f>
        <v/>
      </c>
      <c r="BY157" s="11" t="str">
        <f ca="1">IFERROR(YEAR(OFFSET(BV!$H157,,(COLUMN()-69)*8)),"")</f>
        <v/>
      </c>
      <c r="BZ157" s="11" t="str">
        <f ca="1">IFERROR(YEAR(OFFSET(BV!$H157,,(COLUMN()-69)*8)),"")</f>
        <v/>
      </c>
    </row>
    <row r="158" spans="1:78" x14ac:dyDescent="0.25">
      <c r="A158" s="433">
        <v>133</v>
      </c>
      <c r="B158" s="11" t="str">
        <f ca="1">BV!D158</f>
        <v/>
      </c>
      <c r="C158" s="11" t="str">
        <f ca="1">BV!L158</f>
        <v/>
      </c>
      <c r="D158" s="11" t="str">
        <f ca="1">BV!T158</f>
        <v/>
      </c>
      <c r="E158" s="11" t="str">
        <f ca="1">BV!AB158</f>
        <v/>
      </c>
      <c r="F158" s="11" t="str">
        <f ca="1">BV!AJ158</f>
        <v/>
      </c>
      <c r="G158" s="11" t="str">
        <f ca="1">BV!AR158</f>
        <v/>
      </c>
      <c r="H158" s="11" t="str">
        <f ca="1">BV!AZ158</f>
        <v/>
      </c>
      <c r="I158" s="11" t="str">
        <f ca="1">BV!BH158</f>
        <v/>
      </c>
      <c r="J158" s="11" t="str">
        <f ca="1">BV!BP158</f>
        <v/>
      </c>
      <c r="K158" s="11" t="str">
        <f ca="1">BV!BX158</f>
        <v/>
      </c>
      <c r="L158" s="27" t="s">
        <v>104</v>
      </c>
      <c r="M158" s="261">
        <v>1.7877300000000001E-7</v>
      </c>
      <c r="N158" s="313" t="str">
        <f t="shared" ca="1" si="112"/>
        <v/>
      </c>
      <c r="O158" s="11" t="str">
        <f ca="1">OFFSET(Week!$IR1,COLUMN()-15,,)</f>
        <v>epp.10</v>
      </c>
      <c r="P158" s="742">
        <f ca="1">OFFSET(Week!$IR1,COLUMN()-15,,)</f>
        <v>0.32486454645778584</v>
      </c>
      <c r="Q158" s="743">
        <f ca="1">OFFSET(Week!$IR1,COLUMN()-15,,)</f>
        <v>1.5808231366333088</v>
      </c>
      <c r="R158" s="12">
        <f ca="1">OFFSET(Week!$IR1,COLUMN()-15,,)</f>
        <v>0</v>
      </c>
      <c r="S158" s="742">
        <f ca="1">OFFSET(Week!$IR1,COLUMN()-15,,)</f>
        <v>0.11562920896974568</v>
      </c>
      <c r="T158" s="743">
        <f ca="1">OFFSET(Week!$IR1,COLUMN()-15,,)</f>
        <v>1.9562282358028504</v>
      </c>
      <c r="U158" s="743">
        <f ca="1">OFFSET(Week!$IR1,COLUMN()-15,,)</f>
        <v>1.5729346828359889</v>
      </c>
      <c r="V158" s="742">
        <f ca="1">OFFSET(Week!$IR1,COLUMN()-15,,)</f>
        <v>0.25134173805791338</v>
      </c>
      <c r="W158" s="742">
        <f ca="1">OFFSET(Week!$IR1,COLUMN()-15,,)</f>
        <v>0.54373545366234333</v>
      </c>
      <c r="X158" s="742">
        <f ca="1">OFFSET(Week!$IR1,COLUMN()-15,,)</f>
        <v>4.2982022870317075E-3</v>
      </c>
      <c r="Y158" s="742">
        <f ca="1">OFFSET(Week!$IR1,COLUMN()-15,,)</f>
        <v>4.4382431392773272E-2</v>
      </c>
      <c r="Z158" s="52">
        <f ca="1">MAX(OFFSET(Week!$IR2,,,Arb!$AJ$13,1))</f>
        <v>2.564602464759755</v>
      </c>
      <c r="AA158" s="620">
        <f ca="1">LARGE(OFFSET(BV!H$2,,AH158*8-8,430),AG158)</f>
        <v>44168.008999999998</v>
      </c>
      <c r="AB158" s="620"/>
      <c r="AC158" s="1">
        <f ca="1">INDEX(OFFSET(BV!A$2,,AH158*8-8,430),$AK158)</f>
        <v>9</v>
      </c>
      <c r="AD158" s="594">
        <f ca="1">INDEX(OFFSET(BV!C$2,,AH158*8-8,430),$AK158)</f>
        <v>3.19</v>
      </c>
      <c r="AE158" s="594"/>
      <c r="AF158" s="1">
        <f ca="1">INDEX(OFFSET(BV!D$2,,AH158*8-8,430),$AK158)</f>
        <v>2.8213166144200628</v>
      </c>
      <c r="AG158" s="1">
        <v>1</v>
      </c>
      <c r="AH158" s="1">
        <v>9</v>
      </c>
      <c r="AI158" s="315"/>
      <c r="AJ158" s="315"/>
      <c r="AK158" s="480">
        <f ca="1">MATCH(AA158,OFFSET(BV!H$2,,AH158*8-8,430),0)</f>
        <v>8</v>
      </c>
      <c r="AL158" s="315"/>
      <c r="AM158" s="315"/>
      <c r="AN158" s="433">
        <v>133</v>
      </c>
      <c r="AO158" s="11" t="str">
        <f ca="1">BV!C158</f>
        <v/>
      </c>
      <c r="AP158" s="11" t="str">
        <f ca="1">BV!K158</f>
        <v/>
      </c>
      <c r="AQ158" s="11" t="str">
        <f ca="1">BV!S158</f>
        <v/>
      </c>
      <c r="AR158" s="11" t="str">
        <f ca="1">BV!AA158</f>
        <v/>
      </c>
      <c r="AS158" s="11" t="str">
        <f ca="1">BV!AI158</f>
        <v/>
      </c>
      <c r="AT158" s="11" t="str">
        <f ca="1">BV!AQ158</f>
        <v/>
      </c>
      <c r="AU158" s="11" t="str">
        <f ca="1">BV!AY158</f>
        <v/>
      </c>
      <c r="AV158" s="11" t="str">
        <f ca="1">BV!BG158</f>
        <v/>
      </c>
      <c r="AW158" s="11" t="str">
        <f ca="1">BV!BO158</f>
        <v/>
      </c>
      <c r="AX158" s="11" t="str">
        <f ca="1">BV!BW158</f>
        <v/>
      </c>
      <c r="AY158" s="27" t="s">
        <v>104</v>
      </c>
      <c r="AZ158" s="23">
        <f t="shared" si="116"/>
        <v>6.7476980718737094</v>
      </c>
      <c r="BA158" s="261">
        <v>1.7877300000000001E-7</v>
      </c>
      <c r="BB158" s="56">
        <v>3.6432964520000002E-3</v>
      </c>
      <c r="BC158" s="56">
        <f t="shared" si="114"/>
        <v>4.9069023713912148E-5</v>
      </c>
      <c r="BD158" s="13" t="str">
        <f ca="1">IF(BV!H158="","",INT(NOW()-BV!H158))</f>
        <v/>
      </c>
      <c r="BE158" s="314">
        <f t="shared" si="115"/>
        <v>2365.0974287363802</v>
      </c>
      <c r="BF158" s="11" t="str">
        <f ca="1">BV!G158</f>
        <v/>
      </c>
      <c r="BG158" s="11" t="str">
        <f ca="1">BV!O158</f>
        <v/>
      </c>
      <c r="BH158" s="11" t="str">
        <f ca="1">BV!W158</f>
        <v/>
      </c>
      <c r="BI158" s="11" t="str">
        <f ca="1">BV!AE158</f>
        <v/>
      </c>
      <c r="BJ158" s="11" t="str">
        <f ca="1">BV!AM158</f>
        <v/>
      </c>
      <c r="BK158" s="11" t="str">
        <f ca="1">BV!AU158</f>
        <v/>
      </c>
      <c r="BL158" s="11" t="str">
        <f ca="1">BV!BC158</f>
        <v/>
      </c>
      <c r="BM158" s="11" t="str">
        <f ca="1">BV!BK158</f>
        <v/>
      </c>
      <c r="BN158" s="11" t="str">
        <f ca="1">BV!BS158</f>
        <v/>
      </c>
      <c r="BO158" s="11" t="str">
        <f ca="1">BV!CA158</f>
        <v/>
      </c>
      <c r="BP158" s="433">
        <v>133</v>
      </c>
      <c r="BQ158" s="11" t="str">
        <f ca="1">IFERROR(YEAR(OFFSET(BV!$H158,,(COLUMN()-69)*8)),"")</f>
        <v/>
      </c>
      <c r="BR158" s="11" t="str">
        <f ca="1">IFERROR(YEAR(OFFSET(BV!$H158,,(COLUMN()-69)*8)),"")</f>
        <v/>
      </c>
      <c r="BS158" s="11" t="str">
        <f ca="1">IFERROR(YEAR(OFFSET(BV!$H158,,(COLUMN()-69)*8)),"")</f>
        <v/>
      </c>
      <c r="BT158" s="11" t="str">
        <f ca="1">IFERROR(YEAR(OFFSET(BV!$H158,,(COLUMN()-69)*8)),"")</f>
        <v/>
      </c>
      <c r="BU158" s="11" t="str">
        <f ca="1">IFERROR(YEAR(OFFSET(BV!$H158,,(COLUMN()-69)*8)),"")</f>
        <v/>
      </c>
      <c r="BV158" s="11" t="str">
        <f ca="1">IFERROR(YEAR(OFFSET(BV!$H158,,(COLUMN()-69)*8)),"")</f>
        <v/>
      </c>
      <c r="BW158" s="11" t="str">
        <f ca="1">IFERROR(YEAR(OFFSET(BV!$H158,,(COLUMN()-69)*8)),"")</f>
        <v/>
      </c>
      <c r="BX158" s="11" t="str">
        <f ca="1">IFERROR(YEAR(OFFSET(BV!$H158,,(COLUMN()-69)*8)),"")</f>
        <v/>
      </c>
      <c r="BY158" s="11" t="str">
        <f ca="1">IFERROR(YEAR(OFFSET(BV!$H158,,(COLUMN()-69)*8)),"")</f>
        <v/>
      </c>
      <c r="BZ158" s="11" t="str">
        <f ca="1">IFERROR(YEAR(OFFSET(BV!$H158,,(COLUMN()-69)*8)),"")</f>
        <v/>
      </c>
    </row>
    <row r="159" spans="1:78" x14ac:dyDescent="0.25">
      <c r="A159" s="433">
        <v>134</v>
      </c>
      <c r="B159" s="11" t="str">
        <f ca="1">BV!D159</f>
        <v/>
      </c>
      <c r="C159" s="11" t="str">
        <f ca="1">BV!L159</f>
        <v/>
      </c>
      <c r="D159" s="11" t="str">
        <f ca="1">BV!T159</f>
        <v/>
      </c>
      <c r="E159" s="11" t="str">
        <f ca="1">BV!AB159</f>
        <v/>
      </c>
      <c r="F159" s="11" t="str">
        <f ca="1">BV!AJ159</f>
        <v/>
      </c>
      <c r="G159" s="11" t="str">
        <f ca="1">BV!AR159</f>
        <v/>
      </c>
      <c r="H159" s="11" t="str">
        <f ca="1">BV!AZ159</f>
        <v/>
      </c>
      <c r="I159" s="11" t="str">
        <f ca="1">BV!BH159</f>
        <v/>
      </c>
      <c r="J159" s="11" t="str">
        <f ca="1">BV!BP159</f>
        <v/>
      </c>
      <c r="K159" s="11" t="str">
        <f ca="1">BV!BX159</f>
        <v/>
      </c>
      <c r="L159" s="27" t="s">
        <v>104</v>
      </c>
      <c r="M159" s="261">
        <v>1.31608E-7</v>
      </c>
      <c r="N159" s="313" t="str">
        <f t="shared" ca="1" si="112"/>
        <v/>
      </c>
      <c r="O159" s="5" t="str">
        <f ca="1">OFFSET(Week!$IS1,COLUMN()-15,,)</f>
        <v>ppp.74</v>
      </c>
      <c r="P159" s="2">
        <f ca="1">OFFSET(Week!$IS1,COLUMN()-15,,)</f>
        <v>0</v>
      </c>
      <c r="Q159" s="690">
        <f ca="1">OFFSET(Week!$IS1,COLUMN()-15,,)</f>
        <v>0.61190441887767444</v>
      </c>
      <c r="R159" s="2">
        <f ca="1">OFFSET(Week!$IS1,COLUMN()-15,,)</f>
        <v>0</v>
      </c>
      <c r="S159" s="2">
        <f ca="1">OFFSET(Week!$IS1,COLUMN()-15,,)</f>
        <v>0</v>
      </c>
      <c r="T159" s="2">
        <f ca="1">OFFSET(Week!$IS1,COLUMN()-15,,)</f>
        <v>0</v>
      </c>
      <c r="U159" s="2">
        <f ca="1">OFFSET(Week!$IS1,COLUMN()-15,,)</f>
        <v>0</v>
      </c>
      <c r="V159" s="690">
        <f ca="1">OFFSET(Week!$IS1,COLUMN()-15,,)</f>
        <v>2.2960989196727274E-2</v>
      </c>
      <c r="W159" s="2">
        <f ca="1">OFFSET(Week!$IS1,COLUMN()-15,,)</f>
        <v>0</v>
      </c>
      <c r="X159" s="690">
        <f ca="1">OFFSET(Week!$IS1,COLUMN()-15,,)</f>
        <v>1.1798788501943436E-2</v>
      </c>
      <c r="Y159" s="690">
        <f ca="1">OFFSET(Week!$IS1,COLUMN()-15,,)</f>
        <v>9.7624110078509227E-2</v>
      </c>
      <c r="Z159" s="2">
        <f ca="1">MAX(OFFSET(Week!$IS2,,,Arb!$AJ$13,1))</f>
        <v>0.99599826750279996</v>
      </c>
      <c r="AA159" s="620">
        <f ca="1">LARGE(OFFSET(BV!H$2,,AH159*8-8,430),AG159)</f>
        <v>44167.328000000001</v>
      </c>
      <c r="AB159" s="620"/>
      <c r="AC159" s="1">
        <f ca="1">INDEX(OFFSET(BV!A$2,,AH159*8-8,430),$AK159)</f>
        <v>186</v>
      </c>
      <c r="AD159" s="594">
        <f ca="1">INDEX(OFFSET(BV!C$2,,AH159*8-8,430),$AK159)</f>
        <v>77.459999999999994</v>
      </c>
      <c r="AE159" s="594"/>
      <c r="AF159" s="1">
        <f ca="1">INDEX(OFFSET(BV!D$2,,AH159*8-8,430),$AK159)</f>
        <v>2.401239349341596</v>
      </c>
      <c r="AG159" s="1">
        <v>2</v>
      </c>
      <c r="AH159" s="1">
        <v>9</v>
      </c>
      <c r="AI159" s="315"/>
      <c r="AJ159" s="315"/>
      <c r="AK159" s="480">
        <f ca="1">MATCH(AA159,OFFSET(BV!H$2,,AH159*8-8,430),0)</f>
        <v>327</v>
      </c>
      <c r="AL159" s="315"/>
      <c r="AM159" s="315"/>
      <c r="AN159" s="433">
        <v>134</v>
      </c>
      <c r="AO159" s="11" t="str">
        <f ca="1">BV!C159</f>
        <v/>
      </c>
      <c r="AP159" s="11" t="str">
        <f ca="1">BV!K159</f>
        <v/>
      </c>
      <c r="AQ159" s="11" t="str">
        <f ca="1">BV!S159</f>
        <v/>
      </c>
      <c r="AR159" s="11" t="str">
        <f ca="1">BV!AA159</f>
        <v/>
      </c>
      <c r="AS159" s="11" t="str">
        <f ca="1">BV!AI159</f>
        <v/>
      </c>
      <c r="AT159" s="11" t="str">
        <f ca="1">BV!AQ159</f>
        <v/>
      </c>
      <c r="AU159" s="11" t="str">
        <f ca="1">BV!AY159</f>
        <v/>
      </c>
      <c r="AV159" s="11" t="str">
        <f ca="1">BV!BG159</f>
        <v/>
      </c>
      <c r="AW159" s="11" t="str">
        <f ca="1">BV!BO159</f>
        <v/>
      </c>
      <c r="AX159" s="11" t="str">
        <f ca="1">BV!BW159</f>
        <v/>
      </c>
      <c r="AY159" s="27" t="s">
        <v>104</v>
      </c>
      <c r="AZ159" s="23">
        <f t="shared" si="116"/>
        <v>6.88071771064413</v>
      </c>
      <c r="BA159" s="261">
        <v>1.31608E-7</v>
      </c>
      <c r="BB159" s="56">
        <v>3.6432964520000002E-3</v>
      </c>
      <c r="BC159" s="56">
        <f t="shared" si="114"/>
        <v>3.6123329993570338E-5</v>
      </c>
      <c r="BD159" s="13" t="str">
        <f ca="1">IF(BV!H159="","",INT(NOW()-BV!H159))</f>
        <v/>
      </c>
      <c r="BE159" s="314">
        <f t="shared" si="115"/>
        <v>2756.5054490129837</v>
      </c>
      <c r="BF159" s="11" t="str">
        <f ca="1">BV!G159</f>
        <v/>
      </c>
      <c r="BG159" s="11" t="str">
        <f ca="1">BV!O159</f>
        <v/>
      </c>
      <c r="BH159" s="11" t="str">
        <f ca="1">BV!W159</f>
        <v/>
      </c>
      <c r="BI159" s="11" t="str">
        <f ca="1">BV!AE159</f>
        <v/>
      </c>
      <c r="BJ159" s="11" t="str">
        <f ca="1">BV!AM159</f>
        <v/>
      </c>
      <c r="BK159" s="11" t="str">
        <f ca="1">BV!AU159</f>
        <v/>
      </c>
      <c r="BL159" s="11" t="str">
        <f ca="1">BV!BC159</f>
        <v/>
      </c>
      <c r="BM159" s="11" t="str">
        <f ca="1">BV!BK159</f>
        <v/>
      </c>
      <c r="BN159" s="11" t="str">
        <f ca="1">BV!BS159</f>
        <v/>
      </c>
      <c r="BO159" s="11" t="str">
        <f ca="1">BV!CA159</f>
        <v/>
      </c>
      <c r="BP159" s="433">
        <v>134</v>
      </c>
      <c r="BQ159" s="11" t="str">
        <f ca="1">IFERROR(YEAR(OFFSET(BV!$H159,,(COLUMN()-69)*8)),"")</f>
        <v/>
      </c>
      <c r="BR159" s="11" t="str">
        <f ca="1">IFERROR(YEAR(OFFSET(BV!$H159,,(COLUMN()-69)*8)),"")</f>
        <v/>
      </c>
      <c r="BS159" s="11" t="str">
        <f ca="1">IFERROR(YEAR(OFFSET(BV!$H159,,(COLUMN()-69)*8)),"")</f>
        <v/>
      </c>
      <c r="BT159" s="11" t="str">
        <f ca="1">IFERROR(YEAR(OFFSET(BV!$H159,,(COLUMN()-69)*8)),"")</f>
        <v/>
      </c>
      <c r="BU159" s="11" t="str">
        <f ca="1">IFERROR(YEAR(OFFSET(BV!$H159,,(COLUMN()-69)*8)),"")</f>
        <v/>
      </c>
      <c r="BV159" s="11" t="str">
        <f ca="1">IFERROR(YEAR(OFFSET(BV!$H159,,(COLUMN()-69)*8)),"")</f>
        <v/>
      </c>
      <c r="BW159" s="11" t="str">
        <f ca="1">IFERROR(YEAR(OFFSET(BV!$H159,,(COLUMN()-69)*8)),"")</f>
        <v/>
      </c>
      <c r="BX159" s="11" t="str">
        <f ca="1">IFERROR(YEAR(OFFSET(BV!$H159,,(COLUMN()-69)*8)),"")</f>
        <v/>
      </c>
      <c r="BY159" s="11" t="str">
        <f ca="1">IFERROR(YEAR(OFFSET(BV!$H159,,(COLUMN()-69)*8)),"")</f>
        <v/>
      </c>
      <c r="BZ159" s="11" t="str">
        <f ca="1">IFERROR(YEAR(OFFSET(BV!$H159,,(COLUMN()-69)*8)),"")</f>
        <v/>
      </c>
    </row>
    <row r="160" spans="1:78" x14ac:dyDescent="0.25">
      <c r="A160" s="433">
        <v>135</v>
      </c>
      <c r="B160" s="11" t="str">
        <f ca="1">BV!D160</f>
        <v/>
      </c>
      <c r="C160" s="11" t="str">
        <f ca="1">BV!L160</f>
        <v/>
      </c>
      <c r="D160" s="11" t="str">
        <f ca="1">BV!T160</f>
        <v/>
      </c>
      <c r="E160" s="11" t="str">
        <f ca="1">BV!AB160</f>
        <v/>
      </c>
      <c r="F160" s="11" t="str">
        <f ca="1">BV!AJ160</f>
        <v/>
      </c>
      <c r="G160" s="11" t="str">
        <f ca="1">BV!AR160</f>
        <v/>
      </c>
      <c r="H160" s="11" t="str">
        <f ca="1">BV!AZ160</f>
        <v/>
      </c>
      <c r="I160" s="11" t="str">
        <f ca="1">BV!BH160</f>
        <v/>
      </c>
      <c r="J160" s="11" t="str">
        <f ca="1">BV!BP160</f>
        <v/>
      </c>
      <c r="K160" s="11" t="str">
        <f ca="1">BV!BX160</f>
        <v/>
      </c>
      <c r="L160" s="327" t="s">
        <v>273</v>
      </c>
      <c r="M160" s="261">
        <v>9.7130999999999998E-8</v>
      </c>
      <c r="N160" s="328" t="str">
        <f t="shared" ca="1" si="112"/>
        <v/>
      </c>
      <c r="O160" s="4" t="str">
        <f ca="1">OFFSET(Week!$A1,COLUMN()-15,,)</f>
        <v>周期</v>
      </c>
      <c r="P160" s="329">
        <f ca="1">OFFSET(Week!$A1,COLUMN()-15,,)</f>
        <v>44172</v>
      </c>
      <c r="Q160" s="329">
        <f ca="1">OFFSET(Week!$A1,COLUMN()-15,,)</f>
        <v>44165</v>
      </c>
      <c r="R160" s="329">
        <f ca="1">OFFSET(Week!$A1,COLUMN()-15,,)</f>
        <v>44158</v>
      </c>
      <c r="S160" s="329">
        <f ca="1">OFFSET(Week!$A1,COLUMN()-15,,)</f>
        <v>44151</v>
      </c>
      <c r="T160" s="329">
        <f ca="1">OFFSET(Week!$A1,COLUMN()-15,,)</f>
        <v>44144</v>
      </c>
      <c r="U160" s="329">
        <f ca="1">OFFSET(Week!$A1,COLUMN()-15,,)</f>
        <v>44137</v>
      </c>
      <c r="V160" s="329">
        <f ca="1">OFFSET(Week!$A1,COLUMN()-15,,)</f>
        <v>44130</v>
      </c>
      <c r="W160" s="329">
        <f ca="1">OFFSET(Week!$A1,COLUMN()-15,,)</f>
        <v>44123</v>
      </c>
      <c r="X160" s="329">
        <f ca="1">OFFSET(Week!$A1,COLUMN()-15,,)</f>
        <v>44116</v>
      </c>
      <c r="Y160" s="329">
        <f ca="1">OFFSET(Week!$A1,COLUMN()-15,,)</f>
        <v>44109</v>
      </c>
      <c r="Z160" s="4" t="str">
        <f>IF(Arb!$AJ$28=1,"Best","最佳")</f>
        <v>最佳</v>
      </c>
      <c r="AA160" s="620">
        <f ca="1">LARGE(OFFSET(BV!H$2,,AH160*8-8,430),AG160)</f>
        <v>44150.311999999998</v>
      </c>
      <c r="AB160" s="620"/>
      <c r="AC160" s="1">
        <f ca="1">INDEX(OFFSET(BV!A$2,,AH160*8-8,430),$AK160)</f>
        <v>170</v>
      </c>
      <c r="AD160" s="594">
        <f ca="1">INDEX(OFFSET(BV!C$2,,AH160*8-8,430),$AK160)</f>
        <v>74.209999999999994</v>
      </c>
      <c r="AE160" s="594"/>
      <c r="AF160" s="1">
        <f ca="1">INDEX(OFFSET(BV!D$2,,AH160*8-8,430),$AK160)</f>
        <v>2.2907963886268701</v>
      </c>
      <c r="AG160" s="1">
        <v>3</v>
      </c>
      <c r="AH160" s="1">
        <v>9</v>
      </c>
      <c r="AI160" s="315"/>
      <c r="AJ160" s="315"/>
      <c r="AK160" s="480">
        <f ca="1">MATCH(AA160,OFFSET(BV!H$2,,AH160*8-8,430),0)</f>
        <v>311</v>
      </c>
      <c r="AL160" s="315"/>
      <c r="AM160" s="315"/>
      <c r="AN160" s="433">
        <v>135</v>
      </c>
      <c r="AO160" s="11" t="str">
        <f ca="1">BV!C160</f>
        <v/>
      </c>
      <c r="AP160" s="11" t="str">
        <f ca="1">BV!K160</f>
        <v/>
      </c>
      <c r="AQ160" s="11" t="str">
        <f ca="1">BV!S160</f>
        <v/>
      </c>
      <c r="AR160" s="11" t="str">
        <f ca="1">BV!AA160</f>
        <v/>
      </c>
      <c r="AS160" s="11" t="str">
        <f ca="1">BV!AI160</f>
        <v/>
      </c>
      <c r="AT160" s="11" t="str">
        <f ca="1">BV!AQ160</f>
        <v/>
      </c>
      <c r="AU160" s="11" t="str">
        <f ca="1">BV!AY160</f>
        <v/>
      </c>
      <c r="AV160" s="11" t="str">
        <f ca="1">BV!BG160</f>
        <v/>
      </c>
      <c r="AW160" s="11" t="str">
        <f ca="1">BV!BO160</f>
        <v/>
      </c>
      <c r="AX160" s="11" t="str">
        <f ca="1">BV!BW160</f>
        <v/>
      </c>
      <c r="AY160" s="327" t="s">
        <v>273</v>
      </c>
      <c r="AZ160" s="330">
        <f t="shared" si="116"/>
        <v>7.012642140016947</v>
      </c>
      <c r="BA160" s="261">
        <v>9.7130999999999998E-8</v>
      </c>
      <c r="BB160" s="56">
        <v>3.6432964520000002E-3</v>
      </c>
      <c r="BC160" s="56">
        <f t="shared" si="114"/>
        <v>2.6660196687173122E-5</v>
      </c>
      <c r="BD160" s="13" t="str">
        <f ca="1">IF(BV!H160="","",INT(NOW()-BV!H160))</f>
        <v/>
      </c>
      <c r="BE160" s="331">
        <f t="shared" si="115"/>
        <v>3208.6405670209078</v>
      </c>
      <c r="BF160" s="11" t="str">
        <f ca="1">BV!G160</f>
        <v/>
      </c>
      <c r="BG160" s="11" t="str">
        <f ca="1">BV!O160</f>
        <v/>
      </c>
      <c r="BH160" s="11" t="str">
        <f ca="1">BV!W160</f>
        <v/>
      </c>
      <c r="BI160" s="11" t="str">
        <f ca="1">BV!AE160</f>
        <v/>
      </c>
      <c r="BJ160" s="11" t="str">
        <f ca="1">BV!AM160</f>
        <v/>
      </c>
      <c r="BK160" s="11" t="str">
        <f ca="1">BV!AU160</f>
        <v/>
      </c>
      <c r="BL160" s="11" t="str">
        <f ca="1">BV!BC160</f>
        <v/>
      </c>
      <c r="BM160" s="11" t="str">
        <f ca="1">BV!BK160</f>
        <v/>
      </c>
      <c r="BN160" s="11" t="str">
        <f ca="1">BV!BS160</f>
        <v/>
      </c>
      <c r="BO160" s="11" t="str">
        <f ca="1">BV!CA160</f>
        <v/>
      </c>
      <c r="BP160" s="433">
        <v>135</v>
      </c>
      <c r="BQ160" s="11" t="str">
        <f ca="1">IFERROR(YEAR(OFFSET(BV!$H160,,(COLUMN()-69)*8)),"")</f>
        <v/>
      </c>
      <c r="BR160" s="11" t="str">
        <f ca="1">IFERROR(YEAR(OFFSET(BV!$H160,,(COLUMN()-69)*8)),"")</f>
        <v/>
      </c>
      <c r="BS160" s="11" t="str">
        <f ca="1">IFERROR(YEAR(OFFSET(BV!$H160,,(COLUMN()-69)*8)),"")</f>
        <v/>
      </c>
      <c r="BT160" s="11" t="str">
        <f ca="1">IFERROR(YEAR(OFFSET(BV!$H160,,(COLUMN()-69)*8)),"")</f>
        <v/>
      </c>
      <c r="BU160" s="11" t="str">
        <f ca="1">IFERROR(YEAR(OFFSET(BV!$H160,,(COLUMN()-69)*8)),"")</f>
        <v/>
      </c>
      <c r="BV160" s="11" t="str">
        <f ca="1">IFERROR(YEAR(OFFSET(BV!$H160,,(COLUMN()-69)*8)),"")</f>
        <v/>
      </c>
      <c r="BW160" s="11" t="str">
        <f ca="1">IFERROR(YEAR(OFFSET(BV!$H160,,(COLUMN()-69)*8)),"")</f>
        <v/>
      </c>
      <c r="BX160" s="11" t="str">
        <f ca="1">IFERROR(YEAR(OFFSET(BV!$H160,,(COLUMN()-69)*8)),"")</f>
        <v/>
      </c>
      <c r="BY160" s="11" t="str">
        <f ca="1">IFERROR(YEAR(OFFSET(BV!$H160,,(COLUMN()-69)*8)),"")</f>
        <v/>
      </c>
      <c r="BZ160" s="11" t="str">
        <f ca="1">IFERROR(YEAR(OFFSET(BV!$H160,,(COLUMN()-69)*8)),"")</f>
        <v/>
      </c>
    </row>
    <row r="161" spans="1:78" x14ac:dyDescent="0.25">
      <c r="A161" s="433">
        <v>136</v>
      </c>
      <c r="B161" s="11" t="str">
        <f ca="1">BV!D161</f>
        <v/>
      </c>
      <c r="C161" s="11" t="str">
        <f ca="1">BV!L161</f>
        <v/>
      </c>
      <c r="D161" s="11" t="str">
        <f ca="1">BV!T161</f>
        <v/>
      </c>
      <c r="E161" s="11" t="str">
        <f ca="1">BV!AB161</f>
        <v/>
      </c>
      <c r="F161" s="11" t="str">
        <f ca="1">BV!AJ161</f>
        <v/>
      </c>
      <c r="G161" s="11" t="str">
        <f ca="1">BV!AR161</f>
        <v/>
      </c>
      <c r="H161" s="11" t="str">
        <f ca="1">BV!AZ161</f>
        <v/>
      </c>
      <c r="I161" s="11" t="str">
        <f ca="1">BV!BH161</f>
        <v/>
      </c>
      <c r="J161" s="11" t="str">
        <f ca="1">BV!BP161</f>
        <v/>
      </c>
      <c r="K161" s="11" t="str">
        <f ca="1">BV!BX161</f>
        <v/>
      </c>
      <c r="L161" s="327" t="s">
        <v>273</v>
      </c>
      <c r="M161" s="261">
        <v>7.0955000000000002E-8</v>
      </c>
      <c r="N161" s="328" t="str">
        <f t="shared" ca="1" si="112"/>
        <v/>
      </c>
      <c r="O161" s="4" t="str">
        <f ca="1">OFFSET(Week!$ET1,COLUMN()-15,,)</f>
        <v>bt.20</v>
      </c>
      <c r="P161" s="707">
        <f ca="1">OFFSET(Week!$ET1,COLUMN()-15,,)</f>
        <v>200</v>
      </c>
      <c r="Q161" s="520">
        <f ca="1">OFFSET(Week!$ET1,COLUMN()-15,,)</f>
        <v>79.72999999999999</v>
      </c>
      <c r="R161" s="705">
        <f ca="1">OFFSET(Week!$ET1,COLUMN()-15,,)</f>
        <v>197.03</v>
      </c>
      <c r="S161" s="707">
        <f ca="1">OFFSET(Week!$ET1,COLUMN()-15,,)</f>
        <v>200</v>
      </c>
      <c r="T161" s="705">
        <f ca="1">OFFSET(Week!$ET1,COLUMN()-15,,)</f>
        <v>197.05</v>
      </c>
      <c r="U161" s="707">
        <f ca="1">OFFSET(Week!$ET1,COLUMN()-15,,)</f>
        <v>200</v>
      </c>
      <c r="V161" s="704">
        <f ca="1">OFFSET(Week!$ET1,COLUMN()-15,,)</f>
        <v>167.02</v>
      </c>
      <c r="W161" s="707">
        <f ca="1">OFFSET(Week!$ET1,COLUMN()-15,,)</f>
        <v>200</v>
      </c>
      <c r="X161" s="704">
        <f ca="1">OFFSET(Week!$ET1,COLUMN()-15,,)</f>
        <v>175.18</v>
      </c>
      <c r="Y161" s="702">
        <f ca="1">OFFSET(Week!$ET1,COLUMN()-15,,)</f>
        <v>148.39999999999998</v>
      </c>
      <c r="Z161" s="6">
        <f ca="1">MIN(OFFSET(Week!$ET2,,,Arb!$AJ$13,1))</f>
        <v>79.72999999999999</v>
      </c>
      <c r="AA161" s="620">
        <f ca="1">LARGE(OFFSET(BV!H$2,,AH161*8-8,430),AG161)</f>
        <v>44149.321000000004</v>
      </c>
      <c r="AB161" s="620"/>
      <c r="AC161" s="1">
        <f ca="1">INDEX(OFFSET(BV!A$2,,AH161*8-8,430),$AK161)</f>
        <v>179</v>
      </c>
      <c r="AD161" s="594">
        <f ca="1">INDEX(OFFSET(BV!C$2,,AH161*8-8,430),$AK161)</f>
        <v>76.52</v>
      </c>
      <c r="AE161" s="594"/>
      <c r="AF161" s="1">
        <f ca="1">INDEX(OFFSET(BV!D$2,,AH161*8-8,430),$AK161)</f>
        <v>2.3392577104025092</v>
      </c>
      <c r="AG161" s="1">
        <v>4</v>
      </c>
      <c r="AH161" s="1">
        <v>9</v>
      </c>
      <c r="AI161" s="315"/>
      <c r="AJ161" s="315"/>
      <c r="AK161" s="480">
        <f ca="1">MATCH(AA161,OFFSET(BV!H$2,,AH161*8-8,430),0)</f>
        <v>320</v>
      </c>
      <c r="AL161" s="315"/>
      <c r="AM161" s="315"/>
      <c r="AN161" s="433">
        <v>136</v>
      </c>
      <c r="AO161" s="11" t="str">
        <f ca="1">BV!C161</f>
        <v/>
      </c>
      <c r="AP161" s="11" t="str">
        <f ca="1">BV!K161</f>
        <v/>
      </c>
      <c r="AQ161" s="11" t="str">
        <f ca="1">BV!S161</f>
        <v/>
      </c>
      <c r="AR161" s="11" t="str">
        <f ca="1">BV!AA161</f>
        <v/>
      </c>
      <c r="AS161" s="11" t="str">
        <f ca="1">BV!AI161</f>
        <v/>
      </c>
      <c r="AT161" s="11" t="str">
        <f ca="1">BV!AQ161</f>
        <v/>
      </c>
      <c r="AU161" s="11" t="str">
        <f ca="1">BV!AY161</f>
        <v/>
      </c>
      <c r="AV161" s="11" t="str">
        <f ca="1">BV!BG161</f>
        <v/>
      </c>
      <c r="AW161" s="11" t="str">
        <f ca="1">BV!BO161</f>
        <v/>
      </c>
      <c r="AX161" s="11" t="str">
        <f ca="1">BV!BW161</f>
        <v/>
      </c>
      <c r="AY161" s="327" t="s">
        <v>273</v>
      </c>
      <c r="AZ161" s="330">
        <f t="shared" si="116"/>
        <v>7.1490169956131462</v>
      </c>
      <c r="BA161" s="261">
        <v>7.0955000000000002E-8</v>
      </c>
      <c r="BB161" s="56">
        <v>3.6432964520000002E-3</v>
      </c>
      <c r="BC161" s="56">
        <f t="shared" si="114"/>
        <v>1.9475494496487929E-5</v>
      </c>
      <c r="BD161" s="13" t="str">
        <f ca="1">IF(BV!H161="","",INT(NOW()-BV!H161))</f>
        <v/>
      </c>
      <c r="BE161" s="331">
        <f t="shared" si="115"/>
        <v>3754.1230006368901</v>
      </c>
      <c r="BF161" s="11" t="str">
        <f ca="1">BV!G161</f>
        <v/>
      </c>
      <c r="BG161" s="11" t="str">
        <f ca="1">BV!O161</f>
        <v/>
      </c>
      <c r="BH161" s="11" t="str">
        <f ca="1">BV!W161</f>
        <v/>
      </c>
      <c r="BI161" s="11" t="str">
        <f ca="1">BV!AE161</f>
        <v/>
      </c>
      <c r="BJ161" s="11" t="str">
        <f ca="1">BV!AM161</f>
        <v/>
      </c>
      <c r="BK161" s="11" t="str">
        <f ca="1">BV!AU161</f>
        <v/>
      </c>
      <c r="BL161" s="11" t="str">
        <f ca="1">BV!BC161</f>
        <v/>
      </c>
      <c r="BM161" s="11" t="str">
        <f ca="1">BV!BK161</f>
        <v/>
      </c>
      <c r="BN161" s="11" t="str">
        <f ca="1">BV!BS161</f>
        <v/>
      </c>
      <c r="BO161" s="11" t="str">
        <f ca="1">BV!CA161</f>
        <v/>
      </c>
      <c r="BP161" s="433">
        <v>136</v>
      </c>
      <c r="BQ161" s="11" t="str">
        <f ca="1">IFERROR(YEAR(OFFSET(BV!$H161,,(COLUMN()-69)*8)),"")</f>
        <v/>
      </c>
      <c r="BR161" s="11" t="str">
        <f ca="1">IFERROR(YEAR(OFFSET(BV!$H161,,(COLUMN()-69)*8)),"")</f>
        <v/>
      </c>
      <c r="BS161" s="11" t="str">
        <f ca="1">IFERROR(YEAR(OFFSET(BV!$H161,,(COLUMN()-69)*8)),"")</f>
        <v/>
      </c>
      <c r="BT161" s="11" t="str">
        <f ca="1">IFERROR(YEAR(OFFSET(BV!$H161,,(COLUMN()-69)*8)),"")</f>
        <v/>
      </c>
      <c r="BU161" s="11" t="str">
        <f ca="1">IFERROR(YEAR(OFFSET(BV!$H161,,(COLUMN()-69)*8)),"")</f>
        <v/>
      </c>
      <c r="BV161" s="11" t="str">
        <f ca="1">IFERROR(YEAR(OFFSET(BV!$H161,,(COLUMN()-69)*8)),"")</f>
        <v/>
      </c>
      <c r="BW161" s="11" t="str">
        <f ca="1">IFERROR(YEAR(OFFSET(BV!$H161,,(COLUMN()-69)*8)),"")</f>
        <v/>
      </c>
      <c r="BX161" s="11" t="str">
        <f ca="1">IFERROR(YEAR(OFFSET(BV!$H161,,(COLUMN()-69)*8)),"")</f>
        <v/>
      </c>
      <c r="BY161" s="11" t="str">
        <f ca="1">IFERROR(YEAR(OFFSET(BV!$H161,,(COLUMN()-69)*8)),"")</f>
        <v/>
      </c>
      <c r="BZ161" s="11" t="str">
        <f ca="1">IFERROR(YEAR(OFFSET(BV!$H161,,(COLUMN()-69)*8)),"")</f>
        <v/>
      </c>
    </row>
    <row r="162" spans="1:78" x14ac:dyDescent="0.25">
      <c r="A162" s="433">
        <v>137</v>
      </c>
      <c r="B162" s="11" t="str">
        <f ca="1">BV!D162</f>
        <v/>
      </c>
      <c r="C162" s="11" t="str">
        <f ca="1">BV!L162</f>
        <v/>
      </c>
      <c r="D162" s="11" t="str">
        <f ca="1">BV!T162</f>
        <v/>
      </c>
      <c r="E162" s="11" t="str">
        <f ca="1">BV!AB162</f>
        <v/>
      </c>
      <c r="F162" s="11" t="str">
        <f ca="1">BV!AJ162</f>
        <v/>
      </c>
      <c r="G162" s="11" t="str">
        <f ca="1">BV!AR162</f>
        <v/>
      </c>
      <c r="H162" s="11" t="str">
        <f ca="1">BV!AZ162</f>
        <v/>
      </c>
      <c r="I162" s="11" t="str">
        <f ca="1">BV!BH162</f>
        <v/>
      </c>
      <c r="J162" s="11" t="str">
        <f ca="1">BV!BP162</f>
        <v/>
      </c>
      <c r="K162" s="11" t="str">
        <f ca="1">BV!BX162</f>
        <v/>
      </c>
      <c r="L162" s="327" t="s">
        <v>273</v>
      </c>
      <c r="M162" s="261">
        <v>5.1990999999999999E-8</v>
      </c>
      <c r="N162" s="328" t="str">
        <f t="shared" ca="1" si="112"/>
        <v/>
      </c>
      <c r="O162" s="4" t="str">
        <f ca="1">OFFSET(Week!$EU1,COLUMN()-15,,)</f>
        <v>it.12</v>
      </c>
      <c r="P162" s="6">
        <f ca="1">OFFSET(Week!$EU1,COLUMN()-15,,)</f>
        <v>720</v>
      </c>
      <c r="Q162" s="704">
        <f ca="1">OFFSET(Week!$EU1,COLUMN()-15,,)</f>
        <v>281.93</v>
      </c>
      <c r="R162" s="6">
        <f ca="1">OFFSET(Week!$EU1,COLUMN()-15,,)</f>
        <v>720</v>
      </c>
      <c r="S162" s="6">
        <f ca="1">OFFSET(Week!$EU1,COLUMN()-15,,)</f>
        <v>720</v>
      </c>
      <c r="T162" s="6">
        <f ca="1">OFFSET(Week!$EU1,COLUMN()-15,,)</f>
        <v>720</v>
      </c>
      <c r="U162" s="6">
        <f ca="1">OFFSET(Week!$EU1,COLUMN()-15,,)</f>
        <v>720</v>
      </c>
      <c r="V162" s="6">
        <f ca="1">OFFSET(Week!$EU1,COLUMN()-15,,)</f>
        <v>608.12</v>
      </c>
      <c r="W162" s="6">
        <f ca="1">OFFSET(Week!$EU1,COLUMN()-15,,)</f>
        <v>720</v>
      </c>
      <c r="X162" s="705">
        <f ca="1">OFFSET(Week!$EU1,COLUMN()-15,,)</f>
        <v>291.25</v>
      </c>
      <c r="Y162" s="708">
        <f ca="1">OFFSET(Week!$EU1,COLUMN()-15,,)</f>
        <v>261.57000000000005</v>
      </c>
      <c r="Z162" s="6">
        <f ca="1">MIN(OFFSET(Week!$EU2,,,Arb!$AJ$13,1))</f>
        <v>251.24</v>
      </c>
      <c r="AA162" s="620">
        <f ca="1">LARGE(OFFSET(BV!H$2,,AH162*8-8,430),AG162)</f>
        <v>44147.305</v>
      </c>
      <c r="AB162" s="620"/>
      <c r="AC162" s="1">
        <f ca="1">INDEX(OFFSET(BV!A$2,,AH162*8-8,430),$AK162)</f>
        <v>163</v>
      </c>
      <c r="AD162" s="594">
        <f ca="1">INDEX(OFFSET(BV!C$2,,AH162*8-8,430),$AK162)</f>
        <v>71.98</v>
      </c>
      <c r="AE162" s="594"/>
      <c r="AF162" s="1">
        <f ca="1">INDEX(OFFSET(BV!D$2,,AH162*8-8,430),$AK162)</f>
        <v>2.2645179216449014</v>
      </c>
      <c r="AG162" s="1">
        <v>5</v>
      </c>
      <c r="AH162" s="1">
        <v>9</v>
      </c>
      <c r="AI162" s="315"/>
      <c r="AJ162" s="315"/>
      <c r="AK162" s="480">
        <f ca="1">MATCH(AA162,OFFSET(BV!H$2,,AH162*8-8,430),0)</f>
        <v>304</v>
      </c>
      <c r="AL162" s="315"/>
      <c r="AM162" s="315"/>
      <c r="AN162" s="433">
        <v>137</v>
      </c>
      <c r="AO162" s="11" t="str">
        <f ca="1">BV!C162</f>
        <v/>
      </c>
      <c r="AP162" s="11" t="str">
        <f ca="1">BV!K162</f>
        <v/>
      </c>
      <c r="AQ162" s="11" t="str">
        <f ca="1">BV!S162</f>
        <v/>
      </c>
      <c r="AR162" s="11" t="str">
        <f ca="1">BV!AA162</f>
        <v/>
      </c>
      <c r="AS162" s="11" t="str">
        <f ca="1">BV!AI162</f>
        <v/>
      </c>
      <c r="AT162" s="11" t="str">
        <f ca="1">BV!AQ162</f>
        <v/>
      </c>
      <c r="AU162" s="11" t="str">
        <f ca="1">BV!AY162</f>
        <v/>
      </c>
      <c r="AV162" s="11" t="str">
        <f ca="1">BV!BG162</f>
        <v/>
      </c>
      <c r="AW162" s="11" t="str">
        <f ca="1">BV!BO162</f>
        <v/>
      </c>
      <c r="AX162" s="11" t="str">
        <f ca="1">BV!BW162</f>
        <v/>
      </c>
      <c r="AY162" s="327" t="s">
        <v>273</v>
      </c>
      <c r="AZ162" s="330">
        <f t="shared" si="116"/>
        <v>7.284071829223369</v>
      </c>
      <c r="BA162" s="261">
        <v>5.1990999999999999E-8</v>
      </c>
      <c r="BB162" s="56">
        <v>3.6432964520000002E-3</v>
      </c>
      <c r="BC162" s="56">
        <f t="shared" si="114"/>
        <v>1.4270318291408694E-5</v>
      </c>
      <c r="BD162" s="13" t="str">
        <f ca="1">IF(BV!H162="","",INT(NOW()-BV!H162))</f>
        <v/>
      </c>
      <c r="BE162" s="331">
        <f t="shared" si="115"/>
        <v>4385.6696420621402</v>
      </c>
      <c r="BF162" s="11" t="str">
        <f ca="1">BV!G162</f>
        <v/>
      </c>
      <c r="BG162" s="11" t="str">
        <f ca="1">BV!O162</f>
        <v/>
      </c>
      <c r="BH162" s="11" t="str">
        <f ca="1">BV!W162</f>
        <v/>
      </c>
      <c r="BI162" s="11" t="str">
        <f ca="1">BV!AE162</f>
        <v/>
      </c>
      <c r="BJ162" s="11" t="str">
        <f ca="1">BV!AM162</f>
        <v/>
      </c>
      <c r="BK162" s="11" t="str">
        <f ca="1">BV!AU162</f>
        <v/>
      </c>
      <c r="BL162" s="11" t="str">
        <f ca="1">BV!BC162</f>
        <v/>
      </c>
      <c r="BM162" s="11" t="str">
        <f ca="1">BV!BK162</f>
        <v/>
      </c>
      <c r="BN162" s="11" t="str">
        <f ca="1">BV!BS162</f>
        <v/>
      </c>
      <c r="BO162" s="11" t="str">
        <f ca="1">BV!CA162</f>
        <v/>
      </c>
      <c r="BP162" s="433">
        <v>137</v>
      </c>
      <c r="BQ162" s="11" t="str">
        <f ca="1">IFERROR(YEAR(OFFSET(BV!$H162,,(COLUMN()-69)*8)),"")</f>
        <v/>
      </c>
      <c r="BR162" s="11" t="str">
        <f ca="1">IFERROR(YEAR(OFFSET(BV!$H162,,(COLUMN()-69)*8)),"")</f>
        <v/>
      </c>
      <c r="BS162" s="11" t="str">
        <f ca="1">IFERROR(YEAR(OFFSET(BV!$H162,,(COLUMN()-69)*8)),"")</f>
        <v/>
      </c>
      <c r="BT162" s="11" t="str">
        <f ca="1">IFERROR(YEAR(OFFSET(BV!$H162,,(COLUMN()-69)*8)),"")</f>
        <v/>
      </c>
      <c r="BU162" s="11" t="str">
        <f ca="1">IFERROR(YEAR(OFFSET(BV!$H162,,(COLUMN()-69)*8)),"")</f>
        <v/>
      </c>
      <c r="BV162" s="11" t="str">
        <f ca="1">IFERROR(YEAR(OFFSET(BV!$H162,,(COLUMN()-69)*8)),"")</f>
        <v/>
      </c>
      <c r="BW162" s="11" t="str">
        <f ca="1">IFERROR(YEAR(OFFSET(BV!$H162,,(COLUMN()-69)*8)),"")</f>
        <v/>
      </c>
      <c r="BX162" s="11" t="str">
        <f ca="1">IFERROR(YEAR(OFFSET(BV!$H162,,(COLUMN()-69)*8)),"")</f>
        <v/>
      </c>
      <c r="BY162" s="11" t="str">
        <f ca="1">IFERROR(YEAR(OFFSET(BV!$H162,,(COLUMN()-69)*8)),"")</f>
        <v/>
      </c>
      <c r="BZ162" s="11" t="str">
        <f ca="1">IFERROR(YEAR(OFFSET(BV!$H162,,(COLUMN()-69)*8)),"")</f>
        <v/>
      </c>
    </row>
    <row r="163" spans="1:78" x14ac:dyDescent="0.25">
      <c r="A163" s="433">
        <v>138</v>
      </c>
      <c r="B163" s="11" t="str">
        <f ca="1">BV!D163</f>
        <v/>
      </c>
      <c r="C163" s="11" t="str">
        <f ca="1">BV!L163</f>
        <v/>
      </c>
      <c r="D163" s="11" t="str">
        <f ca="1">BV!T163</f>
        <v/>
      </c>
      <c r="E163" s="11" t="str">
        <f ca="1">BV!AB163</f>
        <v/>
      </c>
      <c r="F163" s="11" t="str">
        <f ca="1">BV!AJ163</f>
        <v/>
      </c>
      <c r="G163" s="11" t="str">
        <f ca="1">BV!AR163</f>
        <v/>
      </c>
      <c r="H163" s="11" t="str">
        <f ca="1">BV!AZ163</f>
        <v/>
      </c>
      <c r="I163" s="11" t="str">
        <f ca="1">BV!BH163</f>
        <v/>
      </c>
      <c r="J163" s="11" t="str">
        <f ca="1">BV!BP163</f>
        <v/>
      </c>
      <c r="K163" s="11" t="str">
        <f ca="1">BV!BX163</f>
        <v/>
      </c>
      <c r="L163" s="327" t="s">
        <v>273</v>
      </c>
      <c r="M163" s="261">
        <v>3.8045000000000001E-8</v>
      </c>
      <c r="N163" s="328" t="str">
        <f t="shared" ca="1" si="112"/>
        <v/>
      </c>
      <c r="O163" s="4" t="str">
        <f ca="1">OFFSET(Week!$EV1,COLUMN()-15,,)</f>
        <v>et.5</v>
      </c>
      <c r="P163" s="708">
        <f ca="1">OFFSET(Week!$EV1,COLUMN()-15,,)</f>
        <v>334.21000000000004</v>
      </c>
      <c r="Q163" s="704">
        <f ca="1">OFFSET(Week!$EV1,COLUMN()-15,,)</f>
        <v>351.28999999999996</v>
      </c>
      <c r="R163" s="6">
        <f ca="1">OFFSET(Week!$EV1,COLUMN()-15,,)</f>
        <v>1200</v>
      </c>
      <c r="S163" s="6">
        <f ca="1">OFFSET(Week!$EV1,COLUMN()-15,,)</f>
        <v>527.9</v>
      </c>
      <c r="T163" s="708">
        <f ca="1">OFFSET(Week!$EV1,COLUMN()-15,,)</f>
        <v>336.81</v>
      </c>
      <c r="U163" s="708">
        <f ca="1">OFFSET(Week!$EV1,COLUMN()-15,,)</f>
        <v>344.67</v>
      </c>
      <c r="V163" s="704">
        <f ca="1">OFFSET(Week!$EV1,COLUMN()-15,,)</f>
        <v>363.7</v>
      </c>
      <c r="W163" s="704">
        <f ca="1">OFFSET(Week!$EV1,COLUMN()-15,,)</f>
        <v>360.08</v>
      </c>
      <c r="X163" s="6">
        <f ca="1">OFFSET(Week!$EV1,COLUMN()-15,,)</f>
        <v>1030.93</v>
      </c>
      <c r="Y163" s="6">
        <f ca="1">OFFSET(Week!$EV1,COLUMN()-15,,)</f>
        <v>715.45</v>
      </c>
      <c r="Z163" s="6">
        <f ca="1">MIN(OFFSET(Week!$EV2,,,Arb!$AJ$13,1))</f>
        <v>303.18</v>
      </c>
      <c r="AA163" s="621">
        <f ca="1">LARGE(OFFSET(BV!H$2,,AH163*8-8,430),AG163)</f>
        <v>44168.021000000001</v>
      </c>
      <c r="AB163" s="621"/>
      <c r="AC163" s="4">
        <f ca="1">INDEX(OFFSET(BV!A$2,,AH163*8-8,430),$AK163)</f>
        <v>21</v>
      </c>
      <c r="AD163" s="590">
        <f ca="1">INDEX(OFFSET(BV!C$2,,AH163*8-8,430),$AK163)</f>
        <v>5.73</v>
      </c>
      <c r="AE163" s="590"/>
      <c r="AF163" s="4">
        <f ca="1">INDEX(OFFSET(BV!D$2,,AH163*8-8,430),$AK163)</f>
        <v>3.664921465968586</v>
      </c>
      <c r="AG163" s="4">
        <v>1</v>
      </c>
      <c r="AH163" s="4">
        <v>10</v>
      </c>
      <c r="AI163" s="315"/>
      <c r="AJ163" s="315"/>
      <c r="AK163" s="480">
        <f ca="1">MATCH(AA163,OFFSET(BV!H$2,,AH163*8-8,430),0)</f>
        <v>20</v>
      </c>
      <c r="AL163" s="315"/>
      <c r="AM163" s="315"/>
      <c r="AN163" s="433">
        <v>138</v>
      </c>
      <c r="AO163" s="11" t="str">
        <f ca="1">BV!C163</f>
        <v/>
      </c>
      <c r="AP163" s="11" t="str">
        <f ca="1">BV!K163</f>
        <v/>
      </c>
      <c r="AQ163" s="11" t="str">
        <f ca="1">BV!S163</f>
        <v/>
      </c>
      <c r="AR163" s="11" t="str">
        <f ca="1">BV!AA163</f>
        <v/>
      </c>
      <c r="AS163" s="11" t="str">
        <f ca="1">BV!AI163</f>
        <v/>
      </c>
      <c r="AT163" s="11" t="str">
        <f ca="1">BV!AQ163</f>
        <v/>
      </c>
      <c r="AU163" s="11" t="str">
        <f ca="1">BV!AY163</f>
        <v/>
      </c>
      <c r="AV163" s="11" t="str">
        <f ca="1">BV!BG163</f>
        <v/>
      </c>
      <c r="AW163" s="11" t="str">
        <f ca="1">BV!BO163</f>
        <v/>
      </c>
      <c r="AX163" s="11" t="str">
        <f ca="1">BV!BW163</f>
        <v/>
      </c>
      <c r="AY163" s="327" t="s">
        <v>273</v>
      </c>
      <c r="AZ163" s="330">
        <f t="shared" si="116"/>
        <v>7.4197024115634296</v>
      </c>
      <c r="BA163" s="261">
        <v>3.8045000000000001E-8</v>
      </c>
      <c r="BB163" s="56">
        <v>3.6432964520000002E-3</v>
      </c>
      <c r="BC163" s="56">
        <f t="shared" si="114"/>
        <v>1.0442466184467385E-5</v>
      </c>
      <c r="BD163" s="13" t="str">
        <f ca="1">IF(BV!H163="","",INT(NOW()-BV!H163))</f>
        <v/>
      </c>
      <c r="BE163" s="331">
        <f t="shared" si="115"/>
        <v>5126.8570195782058</v>
      </c>
      <c r="BF163" s="11" t="str">
        <f ca="1">BV!G163</f>
        <v/>
      </c>
      <c r="BG163" s="11" t="str">
        <f ca="1">BV!O163</f>
        <v/>
      </c>
      <c r="BH163" s="11" t="str">
        <f ca="1">BV!W163</f>
        <v/>
      </c>
      <c r="BI163" s="11" t="str">
        <f ca="1">BV!AE163</f>
        <v/>
      </c>
      <c r="BJ163" s="11" t="str">
        <f ca="1">BV!AM163</f>
        <v/>
      </c>
      <c r="BK163" s="11" t="str">
        <f ca="1">BV!AU163</f>
        <v/>
      </c>
      <c r="BL163" s="11" t="str">
        <f ca="1">BV!BC163</f>
        <v/>
      </c>
      <c r="BM163" s="11" t="str">
        <f ca="1">BV!BK163</f>
        <v/>
      </c>
      <c r="BN163" s="11" t="str">
        <f ca="1">BV!BS163</f>
        <v/>
      </c>
      <c r="BO163" s="11" t="str">
        <f ca="1">BV!CA163</f>
        <v/>
      </c>
      <c r="BP163" s="433">
        <v>138</v>
      </c>
      <c r="BQ163" s="11" t="str">
        <f ca="1">IFERROR(YEAR(OFFSET(BV!$H163,,(COLUMN()-69)*8)),"")</f>
        <v/>
      </c>
      <c r="BR163" s="11" t="str">
        <f ca="1">IFERROR(YEAR(OFFSET(BV!$H163,,(COLUMN()-69)*8)),"")</f>
        <v/>
      </c>
      <c r="BS163" s="11" t="str">
        <f ca="1">IFERROR(YEAR(OFFSET(BV!$H163,,(COLUMN()-69)*8)),"")</f>
        <v/>
      </c>
      <c r="BT163" s="11" t="str">
        <f ca="1">IFERROR(YEAR(OFFSET(BV!$H163,,(COLUMN()-69)*8)),"")</f>
        <v/>
      </c>
      <c r="BU163" s="11" t="str">
        <f ca="1">IFERROR(YEAR(OFFSET(BV!$H163,,(COLUMN()-69)*8)),"")</f>
        <v/>
      </c>
      <c r="BV163" s="11" t="str">
        <f ca="1">IFERROR(YEAR(OFFSET(BV!$H163,,(COLUMN()-69)*8)),"")</f>
        <v/>
      </c>
      <c r="BW163" s="11" t="str">
        <f ca="1">IFERROR(YEAR(OFFSET(BV!$H163,,(COLUMN()-69)*8)),"")</f>
        <v/>
      </c>
      <c r="BX163" s="11" t="str">
        <f ca="1">IFERROR(YEAR(OFFSET(BV!$H163,,(COLUMN()-69)*8)),"")</f>
        <v/>
      </c>
      <c r="BY163" s="11" t="str">
        <f ca="1">IFERROR(YEAR(OFFSET(BV!$H163,,(COLUMN()-69)*8)),"")</f>
        <v/>
      </c>
      <c r="BZ163" s="11" t="str">
        <f ca="1">IFERROR(YEAR(OFFSET(BV!$H163,,(COLUMN()-69)*8)),"")</f>
        <v/>
      </c>
    </row>
    <row r="164" spans="1:78" x14ac:dyDescent="0.25">
      <c r="A164" s="433">
        <v>139</v>
      </c>
      <c r="B164" s="11" t="str">
        <f ca="1">BV!D164</f>
        <v/>
      </c>
      <c r="C164" s="11" t="str">
        <f ca="1">BV!L164</f>
        <v/>
      </c>
      <c r="D164" s="11" t="str">
        <f ca="1">BV!T164</f>
        <v/>
      </c>
      <c r="E164" s="11" t="str">
        <f ca="1">BV!AB164</f>
        <v/>
      </c>
      <c r="F164" s="11" t="str">
        <f ca="1">BV!AJ164</f>
        <v/>
      </c>
      <c r="G164" s="11" t="str">
        <f ca="1">BV!AR164</f>
        <v/>
      </c>
      <c r="H164" s="11" t="str">
        <f ca="1">BV!AZ164</f>
        <v/>
      </c>
      <c r="I164" s="11" t="str">
        <f ca="1">BV!BH164</f>
        <v/>
      </c>
      <c r="J164" s="11" t="str">
        <f ca="1">BV!BP164</f>
        <v/>
      </c>
      <c r="K164" s="11" t="str">
        <f ca="1">BV!BX164</f>
        <v/>
      </c>
      <c r="L164" s="327" t="s">
        <v>273</v>
      </c>
      <c r="M164" s="261">
        <v>2.7360000000000001E-8</v>
      </c>
      <c r="N164" s="328" t="str">
        <f t="shared" ca="1" si="112"/>
        <v/>
      </c>
      <c r="O164" s="22" t="str">
        <f ca="1">OFFSET(Week!$EZ1,COLUMN()-15,,)</f>
        <v>t.37</v>
      </c>
      <c r="P164" s="6">
        <f ca="1">OFFSET(Week!$EZ1,COLUMN()-15,,)</f>
        <v>1254.21</v>
      </c>
      <c r="Q164" s="702">
        <f ca="1">OFFSET(Week!$EZ1,COLUMN()-15,,)</f>
        <v>712.94999999999993</v>
      </c>
      <c r="R164" s="6">
        <f ca="1">OFFSET(Week!$EZ1,COLUMN()-15,,)</f>
        <v>2117.0299999999997</v>
      </c>
      <c r="S164" s="6">
        <f ca="1">OFFSET(Week!$EZ1,COLUMN()-15,,)</f>
        <v>1447.9</v>
      </c>
      <c r="T164" s="6">
        <f ca="1">OFFSET(Week!$EZ1,COLUMN()-15,,)</f>
        <v>1253.8599999999999</v>
      </c>
      <c r="U164" s="6">
        <f ca="1">OFFSET(Week!$EZ1,COLUMN()-15,,)</f>
        <v>1264.67</v>
      </c>
      <c r="V164" s="6">
        <f ca="1">OFFSET(Week!$EZ1,COLUMN()-15,,)</f>
        <v>1138.8399999999999</v>
      </c>
      <c r="W164" s="6">
        <f ca="1">OFFSET(Week!$EZ1,COLUMN()-15,,)</f>
        <v>1280.08</v>
      </c>
      <c r="X164" s="6">
        <f ca="1">OFFSET(Week!$EZ1,COLUMN()-15,,)</f>
        <v>1497.3600000000001</v>
      </c>
      <c r="Y164" s="6">
        <f ca="1">OFFSET(Week!$EZ1,COLUMN()-15,,)</f>
        <v>1125.42</v>
      </c>
      <c r="Z164" s="6">
        <f ca="1">MIN(OFFSET(Week!$EZ2,,,Arb!$AJ$13,1))</f>
        <v>679.42</v>
      </c>
      <c r="AA164" s="621">
        <f ca="1">LARGE(OFFSET(BV!H$2,,AH164*8-8,430),AG164)</f>
        <v>44168.014999999999</v>
      </c>
      <c r="AB164" s="621"/>
      <c r="AC164" s="4">
        <f ca="1">INDEX(OFFSET(BV!A$2,,AH164*8-8,430),$AK164)</f>
        <v>15</v>
      </c>
      <c r="AD164" s="590">
        <f ca="1">INDEX(OFFSET(BV!C$2,,AH164*8-8,430),$AK164)</f>
        <v>4.3</v>
      </c>
      <c r="AE164" s="590"/>
      <c r="AF164" s="4">
        <f ca="1">INDEX(OFFSET(BV!D$2,,AH164*8-8,430),$AK164)</f>
        <v>3.4883720930232558</v>
      </c>
      <c r="AG164" s="4">
        <v>2</v>
      </c>
      <c r="AH164" s="4">
        <v>10</v>
      </c>
      <c r="AI164" s="315"/>
      <c r="AJ164" s="315"/>
      <c r="AK164" s="480">
        <f ca="1">MATCH(AA164,OFFSET(BV!H$2,,AH164*8-8,430),0)</f>
        <v>14</v>
      </c>
      <c r="AL164" s="315"/>
      <c r="AM164" s="315"/>
      <c r="AN164" s="433">
        <v>139</v>
      </c>
      <c r="AO164" s="11" t="str">
        <f ca="1">BV!C164</f>
        <v/>
      </c>
      <c r="AP164" s="11" t="str">
        <f ca="1">BV!K164</f>
        <v/>
      </c>
      <c r="AQ164" s="11" t="str">
        <f ca="1">BV!S164</f>
        <v/>
      </c>
      <c r="AR164" s="11" t="str">
        <f ca="1">BV!AA164</f>
        <v/>
      </c>
      <c r="AS164" s="11" t="str">
        <f ca="1">BV!AI164</f>
        <v/>
      </c>
      <c r="AT164" s="11" t="str">
        <f ca="1">BV!AQ164</f>
        <v/>
      </c>
      <c r="AU164" s="11" t="str">
        <f ca="1">BV!AY164</f>
        <v/>
      </c>
      <c r="AV164" s="11" t="str">
        <f ca="1">BV!BG164</f>
        <v/>
      </c>
      <c r="AW164" s="11" t="str">
        <f ca="1">BV!BO164</f>
        <v/>
      </c>
      <c r="AX164" s="11" t="str">
        <f ca="1">BV!BW164</f>
        <v/>
      </c>
      <c r="AY164" s="327" t="s">
        <v>273</v>
      </c>
      <c r="AZ164" s="330">
        <f t="shared" si="116"/>
        <v>7.5628839069519209</v>
      </c>
      <c r="BA164" s="261">
        <v>2.7360000000000001E-8</v>
      </c>
      <c r="BB164" s="56">
        <v>3.6432964520000002E-3</v>
      </c>
      <c r="BC164" s="56">
        <f t="shared" si="114"/>
        <v>7.5096826076232786E-6</v>
      </c>
      <c r="BD164" s="13" t="str">
        <f ca="1">IF(BV!H164="","",INT(NOW()-BV!H164))</f>
        <v/>
      </c>
      <c r="BE164" s="331">
        <f t="shared" si="115"/>
        <v>6045.6354175834304</v>
      </c>
      <c r="BF164" s="11" t="str">
        <f ca="1">BV!G164</f>
        <v/>
      </c>
      <c r="BG164" s="11" t="str">
        <f ca="1">BV!O164</f>
        <v/>
      </c>
      <c r="BH164" s="11" t="str">
        <f ca="1">BV!W164</f>
        <v/>
      </c>
      <c r="BI164" s="11" t="str">
        <f ca="1">BV!AE164</f>
        <v/>
      </c>
      <c r="BJ164" s="11" t="str">
        <f ca="1">BV!AM164</f>
        <v/>
      </c>
      <c r="BK164" s="11" t="str">
        <f ca="1">BV!AU164</f>
        <v/>
      </c>
      <c r="BL164" s="11" t="str">
        <f ca="1">BV!BC164</f>
        <v/>
      </c>
      <c r="BM164" s="11" t="str">
        <f ca="1">BV!BK164</f>
        <v/>
      </c>
      <c r="BN164" s="11" t="str">
        <f ca="1">BV!BS164</f>
        <v/>
      </c>
      <c r="BO164" s="11" t="str">
        <f ca="1">BV!CA164</f>
        <v/>
      </c>
      <c r="BP164" s="433">
        <v>139</v>
      </c>
      <c r="BQ164" s="11" t="str">
        <f ca="1">IFERROR(YEAR(OFFSET(BV!$H164,,(COLUMN()-69)*8)),"")</f>
        <v/>
      </c>
      <c r="BR164" s="11" t="str">
        <f ca="1">IFERROR(YEAR(OFFSET(BV!$H164,,(COLUMN()-69)*8)),"")</f>
        <v/>
      </c>
      <c r="BS164" s="11" t="str">
        <f ca="1">IFERROR(YEAR(OFFSET(BV!$H164,,(COLUMN()-69)*8)),"")</f>
        <v/>
      </c>
      <c r="BT164" s="11" t="str">
        <f ca="1">IFERROR(YEAR(OFFSET(BV!$H164,,(COLUMN()-69)*8)),"")</f>
        <v/>
      </c>
      <c r="BU164" s="11" t="str">
        <f ca="1">IFERROR(YEAR(OFFSET(BV!$H164,,(COLUMN()-69)*8)),"")</f>
        <v/>
      </c>
      <c r="BV164" s="11" t="str">
        <f ca="1">IFERROR(YEAR(OFFSET(BV!$H164,,(COLUMN()-69)*8)),"")</f>
        <v/>
      </c>
      <c r="BW164" s="11" t="str">
        <f ca="1">IFERROR(YEAR(OFFSET(BV!$H164,,(COLUMN()-69)*8)),"")</f>
        <v/>
      </c>
      <c r="BX164" s="11" t="str">
        <f ca="1">IFERROR(YEAR(OFFSET(BV!$H164,,(COLUMN()-69)*8)),"")</f>
        <v/>
      </c>
      <c r="BY164" s="11" t="str">
        <f ca="1">IFERROR(YEAR(OFFSET(BV!$H164,,(COLUMN()-69)*8)),"")</f>
        <v/>
      </c>
      <c r="BZ164" s="11" t="str">
        <f ca="1">IFERROR(YEAR(OFFSET(BV!$H164,,(COLUMN()-69)*8)),"")</f>
        <v/>
      </c>
    </row>
    <row r="165" spans="1:78" x14ac:dyDescent="0.25">
      <c r="A165" s="433">
        <v>140</v>
      </c>
      <c r="B165" s="11" t="str">
        <f ca="1">BV!D165</f>
        <v/>
      </c>
      <c r="C165" s="11" t="str">
        <f ca="1">BV!L165</f>
        <v/>
      </c>
      <c r="D165" s="11" t="str">
        <f ca="1">BV!T165</f>
        <v/>
      </c>
      <c r="E165" s="11" t="str">
        <f ca="1">BV!AB165</f>
        <v/>
      </c>
      <c r="F165" s="11" t="str">
        <f ca="1">BV!AJ165</f>
        <v/>
      </c>
      <c r="G165" s="11" t="str">
        <f ca="1">BV!AR165</f>
        <v/>
      </c>
      <c r="H165" s="11" t="str">
        <f ca="1">BV!AZ165</f>
        <v/>
      </c>
      <c r="I165" s="11" t="str">
        <f ca="1">BV!BH165</f>
        <v/>
      </c>
      <c r="J165" s="11" t="str">
        <f ca="1">BV!BP165</f>
        <v/>
      </c>
      <c r="K165" s="11" t="str">
        <f ca="1">BV!BX165</f>
        <v/>
      </c>
      <c r="L165" s="327" t="s">
        <v>273</v>
      </c>
      <c r="M165" s="261">
        <v>2.0021000000000001E-8</v>
      </c>
      <c r="N165" s="328" t="str">
        <f t="shared" ca="1" si="112"/>
        <v/>
      </c>
      <c r="O165" s="4" t="str">
        <f ca="1">OFFSET(Week!$EW1,COLUMN()-15,,)</f>
        <v>bb.20</v>
      </c>
      <c r="P165" s="52">
        <f ca="1">OFFSET(Week!$EW1,COLUMN()-15,,)</f>
        <v>0</v>
      </c>
      <c r="Q165" s="735">
        <f ca="1">OFFSET(Week!$EW1,COLUMN()-15,,)</f>
        <v>73.53545432544</v>
      </c>
      <c r="R165" s="742">
        <f ca="1">OFFSET(Week!$EW1,COLUMN()-15,,)</f>
        <v>1.7069701280227596</v>
      </c>
      <c r="S165" s="52">
        <f ca="1">OFFSET(Week!$EW1,COLUMN()-15,,)</f>
        <v>0</v>
      </c>
      <c r="T165" s="742">
        <f ca="1">OFFSET(Week!$EW1,COLUMN()-15,,)</f>
        <v>2.8368794326241136</v>
      </c>
      <c r="U165" s="52">
        <f ca="1">OFFSET(Week!$EW1,COLUMN()-15,,)</f>
        <v>0</v>
      </c>
      <c r="V165" s="739">
        <f ca="1">OFFSET(Week!$EW1,COLUMN()-15,,)</f>
        <v>30.379776498179478</v>
      </c>
      <c r="W165" s="52">
        <f ca="1">OFFSET(Week!$EW1,COLUMN()-15,,)</f>
        <v>0</v>
      </c>
      <c r="X165" s="743">
        <f ca="1">OFFSET(Week!$EW1,COLUMN()-15,,)</f>
        <v>17.873696837297807</v>
      </c>
      <c r="Y165" s="732">
        <f ca="1">OFFSET(Week!$EW1,COLUMN()-15,,)</f>
        <v>41.72666362277652</v>
      </c>
      <c r="Z165" s="52">
        <f ca="1">MAX(OFFSET(Week!$EW2,,,Arb!$AJ$13,1))</f>
        <v>75.593621556331271</v>
      </c>
      <c r="AA165" s="621">
        <f ca="1">LARGE(OFFSET(BV!H$2,,AH165*8-8,430),AG165)</f>
        <v>44153.324000000001</v>
      </c>
      <c r="AB165" s="621"/>
      <c r="AC165" s="4">
        <f ca="1">INDEX(OFFSET(BV!A$2,,AH165*8-8,430),$AK165)</f>
        <v>182</v>
      </c>
      <c r="AD165" s="590">
        <f ca="1">INDEX(OFFSET(BV!C$2,,AH165*8-8,430),$AK165)</f>
        <v>78.47</v>
      </c>
      <c r="AE165" s="590"/>
      <c r="AF165" s="4">
        <f ca="1">INDEX(OFFSET(BV!D$2,,AH165*8-8,430),$AK165)</f>
        <v>2.3193577163247103</v>
      </c>
      <c r="AG165" s="4">
        <v>3</v>
      </c>
      <c r="AH165" s="4">
        <v>10</v>
      </c>
      <c r="AI165" s="315"/>
      <c r="AJ165" s="315"/>
      <c r="AK165" s="480">
        <f ca="1">MATCH(AA165,OFFSET(BV!H$2,,AH165*8-8,430),0)</f>
        <v>323</v>
      </c>
      <c r="AL165" s="315"/>
      <c r="AM165" s="315"/>
      <c r="AN165" s="433">
        <v>140</v>
      </c>
      <c r="AO165" s="11" t="str">
        <f ca="1">BV!C165</f>
        <v/>
      </c>
      <c r="AP165" s="11" t="str">
        <f ca="1">BV!K165</f>
        <v/>
      </c>
      <c r="AQ165" s="11" t="str">
        <f ca="1">BV!S165</f>
        <v/>
      </c>
      <c r="AR165" s="11" t="str">
        <f ca="1">BV!AA165</f>
        <v/>
      </c>
      <c r="AS165" s="11" t="str">
        <f ca="1">BV!AI165</f>
        <v/>
      </c>
      <c r="AT165" s="11" t="str">
        <f ca="1">BV!AQ165</f>
        <v/>
      </c>
      <c r="AU165" s="11" t="str">
        <f ca="1">BV!AY165</f>
        <v/>
      </c>
      <c r="AV165" s="11" t="str">
        <f ca="1">BV!BG165</f>
        <v/>
      </c>
      <c r="AW165" s="11" t="str">
        <f ca="1">BV!BO165</f>
        <v/>
      </c>
      <c r="AX165" s="11" t="str">
        <f ca="1">BV!BW165</f>
        <v/>
      </c>
      <c r="AY165" s="327" t="s">
        <v>273</v>
      </c>
      <c r="AZ165" s="330">
        <f t="shared" si="116"/>
        <v>7.6985142343674022</v>
      </c>
      <c r="BA165" s="261">
        <v>2.0021000000000001E-8</v>
      </c>
      <c r="BB165" s="56">
        <v>3.6432964520000002E-3</v>
      </c>
      <c r="BC165" s="56">
        <f t="shared" si="114"/>
        <v>5.4952980806734526E-6</v>
      </c>
      <c r="BD165" s="13" t="str">
        <f ca="1">IF(BV!H165="","",INT(NOW()-BV!H165))</f>
        <v/>
      </c>
      <c r="BE165" s="331">
        <f t="shared" si="115"/>
        <v>7067.3584221531783</v>
      </c>
      <c r="BF165" s="11" t="str">
        <f ca="1">BV!G165</f>
        <v/>
      </c>
      <c r="BG165" s="11" t="str">
        <f ca="1">BV!O165</f>
        <v/>
      </c>
      <c r="BH165" s="11" t="str">
        <f ca="1">BV!W165</f>
        <v/>
      </c>
      <c r="BI165" s="11" t="str">
        <f ca="1">BV!AE165</f>
        <v/>
      </c>
      <c r="BJ165" s="11" t="str">
        <f ca="1">BV!AM165</f>
        <v/>
      </c>
      <c r="BK165" s="11" t="str">
        <f ca="1">BV!AU165</f>
        <v/>
      </c>
      <c r="BL165" s="11" t="str">
        <f ca="1">BV!BC165</f>
        <v/>
      </c>
      <c r="BM165" s="11" t="str">
        <f ca="1">BV!BK165</f>
        <v/>
      </c>
      <c r="BN165" s="11" t="str">
        <f ca="1">BV!BS165</f>
        <v/>
      </c>
      <c r="BO165" s="11" t="str">
        <f ca="1">BV!CA165</f>
        <v/>
      </c>
      <c r="BP165" s="433">
        <v>140</v>
      </c>
      <c r="BQ165" s="11" t="str">
        <f ca="1">IFERROR(YEAR(OFFSET(BV!$H165,,(COLUMN()-69)*8)),"")</f>
        <v/>
      </c>
      <c r="BR165" s="11" t="str">
        <f ca="1">IFERROR(YEAR(OFFSET(BV!$H165,,(COLUMN()-69)*8)),"")</f>
        <v/>
      </c>
      <c r="BS165" s="11" t="str">
        <f ca="1">IFERROR(YEAR(OFFSET(BV!$H165,,(COLUMN()-69)*8)),"")</f>
        <v/>
      </c>
      <c r="BT165" s="11" t="str">
        <f ca="1">IFERROR(YEAR(OFFSET(BV!$H165,,(COLUMN()-69)*8)),"")</f>
        <v/>
      </c>
      <c r="BU165" s="11" t="str">
        <f ca="1">IFERROR(YEAR(OFFSET(BV!$H165,,(COLUMN()-69)*8)),"")</f>
        <v/>
      </c>
      <c r="BV165" s="11" t="str">
        <f ca="1">IFERROR(YEAR(OFFSET(BV!$H165,,(COLUMN()-69)*8)),"")</f>
        <v/>
      </c>
      <c r="BW165" s="11" t="str">
        <f ca="1">IFERROR(YEAR(OFFSET(BV!$H165,,(COLUMN()-69)*8)),"")</f>
        <v/>
      </c>
      <c r="BX165" s="11" t="str">
        <f ca="1">IFERROR(YEAR(OFFSET(BV!$H165,,(COLUMN()-69)*8)),"")</f>
        <v/>
      </c>
      <c r="BY165" s="11" t="str">
        <f ca="1">IFERROR(YEAR(OFFSET(BV!$H165,,(COLUMN()-69)*8)),"")</f>
        <v/>
      </c>
      <c r="BZ165" s="11" t="str">
        <f ca="1">IFERROR(YEAR(OFFSET(BV!$H165,,(COLUMN()-69)*8)),"")</f>
        <v/>
      </c>
    </row>
    <row r="166" spans="1:78" x14ac:dyDescent="0.25">
      <c r="A166" s="433">
        <v>141</v>
      </c>
      <c r="B166" s="11" t="str">
        <f ca="1">BV!D166</f>
        <v/>
      </c>
      <c r="C166" s="11" t="str">
        <f ca="1">BV!L166</f>
        <v/>
      </c>
      <c r="D166" s="11" t="str">
        <f ca="1">BV!T166</f>
        <v/>
      </c>
      <c r="E166" s="11" t="str">
        <f ca="1">BV!AB166</f>
        <v/>
      </c>
      <c r="F166" s="11" t="str">
        <f ca="1">BV!AJ166</f>
        <v/>
      </c>
      <c r="G166" s="11" t="str">
        <f ca="1">BV!AR166</f>
        <v/>
      </c>
      <c r="H166" s="11" t="str">
        <f ca="1">BV!AZ166</f>
        <v/>
      </c>
      <c r="I166" s="11" t="str">
        <f ca="1">BV!BH166</f>
        <v/>
      </c>
      <c r="J166" s="11" t="str">
        <f ca="1">BV!BP166</f>
        <v/>
      </c>
      <c r="K166" s="11" t="str">
        <f ca="1">BV!BX166</f>
        <v/>
      </c>
      <c r="L166" s="327" t="s">
        <v>273</v>
      </c>
      <c r="M166" s="261">
        <v>1.4475000000000001E-8</v>
      </c>
      <c r="N166" s="328" t="str">
        <f t="shared" ca="1" si="112"/>
        <v/>
      </c>
      <c r="O166" s="4" t="str">
        <f ca="1">OFFSET(Week!$EX1,COLUMN()-15,,)</f>
        <v>ib.12</v>
      </c>
      <c r="P166" s="52">
        <f ca="1">OFFSET(Week!$EX1,COLUMN()-15,,)</f>
        <v>0</v>
      </c>
      <c r="Q166" s="738">
        <f ca="1">OFFSET(Week!$EX1,COLUMN()-15,,)</f>
        <v>33.387143691639842</v>
      </c>
      <c r="R166" s="52">
        <f ca="1">OFFSET(Week!$EX1,COLUMN()-15,,)</f>
        <v>0</v>
      </c>
      <c r="S166" s="52">
        <f ca="1">OFFSET(Week!$EX1,COLUMN()-15,,)</f>
        <v>0</v>
      </c>
      <c r="T166" s="52">
        <f ca="1">OFFSET(Week!$EX1,COLUMN()-15,,)</f>
        <v>0</v>
      </c>
      <c r="U166" s="52">
        <f ca="1">OFFSET(Week!$EX1,COLUMN()-15,,)</f>
        <v>0</v>
      </c>
      <c r="V166" s="743">
        <f ca="1">OFFSET(Week!$EX1,COLUMN()-15,,)</f>
        <v>6.6299955490955913</v>
      </c>
      <c r="W166" s="52">
        <f ca="1">OFFSET(Week!$EX1,COLUMN()-15,,)</f>
        <v>0</v>
      </c>
      <c r="X166" s="731">
        <f ca="1">OFFSET(Week!$EX1,COLUMN()-15,,)</f>
        <v>28.005585545213005</v>
      </c>
      <c r="Y166" s="738">
        <f ca="1">OFFSET(Week!$EX1,COLUMN()-15,,)</f>
        <v>33.432476983584735</v>
      </c>
      <c r="Z166" s="52">
        <f ca="1">MAX(OFFSET(Week!$EX2,,,Arb!$AJ$13,1))</f>
        <v>33.613106062507299</v>
      </c>
      <c r="AA166" s="621">
        <f ca="1">LARGE(OFFSET(BV!H$2,,AH166*8-8,430),AG166)</f>
        <v>44146.313999999998</v>
      </c>
      <c r="AB166" s="621"/>
      <c r="AC166" s="4">
        <f ca="1">INDEX(OFFSET(BV!A$2,,AH166*8-8,430),$AK166)</f>
        <v>172</v>
      </c>
      <c r="AD166" s="590">
        <f ca="1">INDEX(OFFSET(BV!C$2,,AH166*8-8,430),$AK166)</f>
        <v>75.88</v>
      </c>
      <c r="AE166" s="590"/>
      <c r="AF166" s="4">
        <f ca="1">INDEX(OFFSET(BV!D$2,,AH166*8-8,430),$AK166)</f>
        <v>2.2667369530838166</v>
      </c>
      <c r="AG166" s="4">
        <v>4</v>
      </c>
      <c r="AH166" s="4">
        <v>10</v>
      </c>
      <c r="AI166" s="315"/>
      <c r="AJ166" s="315"/>
      <c r="AK166" s="480">
        <f ca="1">MATCH(AA166,OFFSET(BV!H$2,,AH166*8-8,430),0)</f>
        <v>313</v>
      </c>
      <c r="AL166" s="315"/>
      <c r="AM166" s="315"/>
      <c r="AN166" s="433">
        <v>141</v>
      </c>
      <c r="AO166" s="11" t="str">
        <f ca="1">BV!C166</f>
        <v/>
      </c>
      <c r="AP166" s="11" t="str">
        <f ca="1">BV!K166</f>
        <v/>
      </c>
      <c r="AQ166" s="11" t="str">
        <f ca="1">BV!S166</f>
        <v/>
      </c>
      <c r="AR166" s="11" t="str">
        <f ca="1">BV!AA166</f>
        <v/>
      </c>
      <c r="AS166" s="11" t="str">
        <f ca="1">BV!AI166</f>
        <v/>
      </c>
      <c r="AT166" s="11" t="str">
        <f ca="1">BV!AQ166</f>
        <v/>
      </c>
      <c r="AU166" s="11" t="str">
        <f ca="1">BV!AY166</f>
        <v/>
      </c>
      <c r="AV166" s="11" t="str">
        <f ca="1">BV!BG166</f>
        <v/>
      </c>
      <c r="AW166" s="11" t="str">
        <f ca="1">BV!BO166</f>
        <v/>
      </c>
      <c r="AX166" s="11" t="str">
        <f ca="1">BV!BW166</f>
        <v/>
      </c>
      <c r="AY166" s="327" t="s">
        <v>273</v>
      </c>
      <c r="AZ166" s="330">
        <f t="shared" si="116"/>
        <v>7.839381427600526</v>
      </c>
      <c r="BA166" s="261">
        <v>1.4475000000000001E-8</v>
      </c>
      <c r="BB166" s="56">
        <v>3.6432964520000002E-3</v>
      </c>
      <c r="BC166" s="56">
        <f t="shared" si="114"/>
        <v>3.973050283090167E-6</v>
      </c>
      <c r="BD166" s="13" t="str">
        <f ca="1">IF(BV!H166="","",INT(NOW()-BV!H166))</f>
        <v/>
      </c>
      <c r="BE166" s="331">
        <f t="shared" si="115"/>
        <v>8311.7163492338277</v>
      </c>
      <c r="BF166" s="11" t="str">
        <f ca="1">BV!G166</f>
        <v/>
      </c>
      <c r="BG166" s="11" t="str">
        <f ca="1">BV!O166</f>
        <v/>
      </c>
      <c r="BH166" s="11" t="str">
        <f ca="1">BV!W166</f>
        <v/>
      </c>
      <c r="BI166" s="11" t="str">
        <f ca="1">BV!AE166</f>
        <v/>
      </c>
      <c r="BJ166" s="11" t="str">
        <f ca="1">BV!AM166</f>
        <v/>
      </c>
      <c r="BK166" s="11" t="str">
        <f ca="1">BV!AU166</f>
        <v/>
      </c>
      <c r="BL166" s="11" t="str">
        <f ca="1">BV!BC166</f>
        <v/>
      </c>
      <c r="BM166" s="11" t="str">
        <f ca="1">BV!BK166</f>
        <v/>
      </c>
      <c r="BN166" s="11" t="str">
        <f ca="1">BV!BS166</f>
        <v/>
      </c>
      <c r="BO166" s="11" t="str">
        <f ca="1">BV!CA166</f>
        <v/>
      </c>
      <c r="BP166" s="433">
        <v>141</v>
      </c>
      <c r="BQ166" s="11" t="str">
        <f ca="1">IFERROR(YEAR(OFFSET(BV!$H166,,(COLUMN()-69)*8)),"")</f>
        <v/>
      </c>
      <c r="BR166" s="11" t="str">
        <f ca="1">IFERROR(YEAR(OFFSET(BV!$H166,,(COLUMN()-69)*8)),"")</f>
        <v/>
      </c>
      <c r="BS166" s="11" t="str">
        <f ca="1">IFERROR(YEAR(OFFSET(BV!$H166,,(COLUMN()-69)*8)),"")</f>
        <v/>
      </c>
      <c r="BT166" s="11" t="str">
        <f ca="1">IFERROR(YEAR(OFFSET(BV!$H166,,(COLUMN()-69)*8)),"")</f>
        <v/>
      </c>
      <c r="BU166" s="11" t="str">
        <f ca="1">IFERROR(YEAR(OFFSET(BV!$H166,,(COLUMN()-69)*8)),"")</f>
        <v/>
      </c>
      <c r="BV166" s="11" t="str">
        <f ca="1">IFERROR(YEAR(OFFSET(BV!$H166,,(COLUMN()-69)*8)),"")</f>
        <v/>
      </c>
      <c r="BW166" s="11" t="str">
        <f ca="1">IFERROR(YEAR(OFFSET(BV!$H166,,(COLUMN()-69)*8)),"")</f>
        <v/>
      </c>
      <c r="BX166" s="11" t="str">
        <f ca="1">IFERROR(YEAR(OFFSET(BV!$H166,,(COLUMN()-69)*8)),"")</f>
        <v/>
      </c>
      <c r="BY166" s="11" t="str">
        <f ca="1">IFERROR(YEAR(OFFSET(BV!$H166,,(COLUMN()-69)*8)),"")</f>
        <v/>
      </c>
      <c r="BZ166" s="11" t="str">
        <f ca="1">IFERROR(YEAR(OFFSET(BV!$H166,,(COLUMN()-69)*8)),"")</f>
        <v/>
      </c>
    </row>
    <row r="167" spans="1:78" x14ac:dyDescent="0.25">
      <c r="A167" s="433">
        <v>142</v>
      </c>
      <c r="B167" s="11" t="str">
        <f ca="1">BV!D167</f>
        <v/>
      </c>
      <c r="C167" s="11" t="str">
        <f ca="1">BV!L167</f>
        <v/>
      </c>
      <c r="D167" s="11" t="str">
        <f ca="1">BV!T167</f>
        <v/>
      </c>
      <c r="E167" s="11" t="str">
        <f ca="1">BV!AB167</f>
        <v/>
      </c>
      <c r="F167" s="11" t="str">
        <f ca="1">BV!AJ167</f>
        <v/>
      </c>
      <c r="G167" s="11" t="str">
        <f ca="1">BV!AR167</f>
        <v/>
      </c>
      <c r="H167" s="11" t="str">
        <f ca="1">BV!AZ167</f>
        <v/>
      </c>
      <c r="I167" s="11" t="str">
        <f ca="1">BV!BH167</f>
        <v/>
      </c>
      <c r="J167" s="11" t="str">
        <f ca="1">BV!BP167</f>
        <v/>
      </c>
      <c r="K167" s="11" t="str">
        <f ca="1">BV!BX167</f>
        <v/>
      </c>
      <c r="L167" s="327" t="s">
        <v>273</v>
      </c>
      <c r="M167" s="261">
        <v>1.0318E-8</v>
      </c>
      <c r="N167" s="328" t="str">
        <f t="shared" ca="1" si="112"/>
        <v/>
      </c>
      <c r="O167" s="4" t="str">
        <f ca="1">OFFSET(Week!$EY1,COLUMN()-15,,)</f>
        <v>eb.5</v>
      </c>
      <c r="P167" s="731">
        <f ca="1">OFFSET(Week!$EY1,COLUMN()-15,,)</f>
        <v>12.040991712444054</v>
      </c>
      <c r="Q167" s="730">
        <f ca="1">OFFSET(Week!$EY1,COLUMN()-15,,)</f>
        <v>12.770602223513313</v>
      </c>
      <c r="R167" s="52">
        <f ca="1">OFFSET(Week!$EY1,COLUMN()-15,,)</f>
        <v>0</v>
      </c>
      <c r="S167" s="739">
        <f ca="1">OFFSET(Week!$EY1,COLUMN()-15,,)</f>
        <v>9.5658708572844215</v>
      </c>
      <c r="T167" s="730">
        <f ca="1">OFFSET(Week!$EY1,COLUMN()-15,,)</f>
        <v>12.938366182351924</v>
      </c>
      <c r="U167" s="731">
        <f ca="1">OFFSET(Week!$EY1,COLUMN()-15,,)</f>
        <v>12.397722113539443</v>
      </c>
      <c r="V167" s="731">
        <f ca="1">OFFSET(Week!$EY1,COLUMN()-15,,)</f>
        <v>11.415519786938475</v>
      </c>
      <c r="W167" s="732">
        <f ca="1">OFFSET(Week!$EY1,COLUMN()-15,,)</f>
        <v>11.101692109716469</v>
      </c>
      <c r="X167" s="742">
        <f ca="1">OFFSET(Week!$EY1,COLUMN()-15,,)</f>
        <v>2.0865642182433382</v>
      </c>
      <c r="Y167" s="744">
        <f ca="1">OFFSET(Week!$EY1,COLUMN()-15,,)</f>
        <v>6.4012252390734909</v>
      </c>
      <c r="Z167" s="52">
        <f ca="1">MAX(OFFSET(Week!$EY2,,,Arb!$AJ$13,1))</f>
        <v>13.497995656876858</v>
      </c>
      <c r="AA167" s="315"/>
      <c r="AB167" s="315"/>
      <c r="AC167" s="315"/>
      <c r="AD167" s="315"/>
      <c r="AE167" s="315"/>
      <c r="AF167" s="315"/>
      <c r="AG167" s="315"/>
      <c r="AH167" s="315"/>
      <c r="AI167" s="315"/>
      <c r="AJ167" s="315"/>
      <c r="AK167" s="315"/>
      <c r="AL167" s="315"/>
      <c r="AM167" s="315"/>
      <c r="AN167" s="433">
        <v>142</v>
      </c>
      <c r="AO167" s="11" t="str">
        <f ca="1">BV!C167</f>
        <v/>
      </c>
      <c r="AP167" s="11" t="str">
        <f ca="1">BV!K167</f>
        <v/>
      </c>
      <c r="AQ167" s="11" t="str">
        <f ca="1">BV!S167</f>
        <v/>
      </c>
      <c r="AR167" s="11" t="str">
        <f ca="1">BV!AA167</f>
        <v/>
      </c>
      <c r="AS167" s="11" t="str">
        <f ca="1">BV!AI167</f>
        <v/>
      </c>
      <c r="AT167" s="11" t="str">
        <f ca="1">BV!AQ167</f>
        <v/>
      </c>
      <c r="AU167" s="11" t="str">
        <f ca="1">BV!AY167</f>
        <v/>
      </c>
      <c r="AV167" s="11" t="str">
        <f ca="1">BV!BG167</f>
        <v/>
      </c>
      <c r="AW167" s="11" t="str">
        <f ca="1">BV!BO167</f>
        <v/>
      </c>
      <c r="AX167" s="11" t="str">
        <f ca="1">BV!BW167</f>
        <v/>
      </c>
      <c r="AY167" s="327" t="s">
        <v>273</v>
      </c>
      <c r="AZ167" s="330">
        <f t="shared" si="116"/>
        <v>7.9864044764627105</v>
      </c>
      <c r="BA167" s="261">
        <v>1.0318E-8</v>
      </c>
      <c r="BB167" s="56">
        <v>3.6432964520000002E-3</v>
      </c>
      <c r="BC167" s="56">
        <f t="shared" si="114"/>
        <v>2.8320506266614398E-6</v>
      </c>
      <c r="BD167" s="13" t="str">
        <f ca="1">IF(BV!H167="","",INT(NOW()-BV!H167))</f>
        <v/>
      </c>
      <c r="BE167" s="331">
        <f t="shared" si="115"/>
        <v>9844.6943764531643</v>
      </c>
      <c r="BF167" s="11" t="str">
        <f ca="1">BV!G167</f>
        <v/>
      </c>
      <c r="BG167" s="11" t="str">
        <f ca="1">BV!O167</f>
        <v/>
      </c>
      <c r="BH167" s="11" t="str">
        <f ca="1">BV!W167</f>
        <v/>
      </c>
      <c r="BI167" s="11" t="str">
        <f ca="1">BV!AE167</f>
        <v/>
      </c>
      <c r="BJ167" s="11" t="str">
        <f ca="1">BV!AM167</f>
        <v/>
      </c>
      <c r="BK167" s="11" t="str">
        <f ca="1">BV!AU167</f>
        <v/>
      </c>
      <c r="BL167" s="11" t="str">
        <f ca="1">BV!BC167</f>
        <v/>
      </c>
      <c r="BM167" s="11" t="str">
        <f ca="1">BV!BK167</f>
        <v/>
      </c>
      <c r="BN167" s="11" t="str">
        <f ca="1">BV!BS167</f>
        <v/>
      </c>
      <c r="BO167" s="11" t="str">
        <f ca="1">BV!CA167</f>
        <v/>
      </c>
      <c r="BP167" s="433">
        <v>142</v>
      </c>
      <c r="BQ167" s="11" t="str">
        <f ca="1">IFERROR(YEAR(OFFSET(BV!$H167,,(COLUMN()-69)*8)),"")</f>
        <v/>
      </c>
      <c r="BR167" s="11" t="str">
        <f ca="1">IFERROR(YEAR(OFFSET(BV!$H167,,(COLUMN()-69)*8)),"")</f>
        <v/>
      </c>
      <c r="BS167" s="11" t="str">
        <f ca="1">IFERROR(YEAR(OFFSET(BV!$H167,,(COLUMN()-69)*8)),"")</f>
        <v/>
      </c>
      <c r="BT167" s="11" t="str">
        <f ca="1">IFERROR(YEAR(OFFSET(BV!$H167,,(COLUMN()-69)*8)),"")</f>
        <v/>
      </c>
      <c r="BU167" s="11" t="str">
        <f ca="1">IFERROR(YEAR(OFFSET(BV!$H167,,(COLUMN()-69)*8)),"")</f>
        <v/>
      </c>
      <c r="BV167" s="11" t="str">
        <f ca="1">IFERROR(YEAR(OFFSET(BV!$H167,,(COLUMN()-69)*8)),"")</f>
        <v/>
      </c>
      <c r="BW167" s="11" t="str">
        <f ca="1">IFERROR(YEAR(OFFSET(BV!$H167,,(COLUMN()-69)*8)),"")</f>
        <v/>
      </c>
      <c r="BX167" s="11" t="str">
        <f ca="1">IFERROR(YEAR(OFFSET(BV!$H167,,(COLUMN()-69)*8)),"")</f>
        <v/>
      </c>
      <c r="BY167" s="11" t="str">
        <f ca="1">IFERROR(YEAR(OFFSET(BV!$H167,,(COLUMN()-69)*8)),"")</f>
        <v/>
      </c>
      <c r="BZ167" s="11" t="str">
        <f ca="1">IFERROR(YEAR(OFFSET(BV!$H167,,(COLUMN()-69)*8)),"")</f>
        <v/>
      </c>
    </row>
    <row r="168" spans="1:78" hidden="1" x14ac:dyDescent="0.25">
      <c r="O168" s="24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315"/>
      <c r="AB168" s="315"/>
      <c r="AC168" s="315"/>
      <c r="AD168" s="315"/>
      <c r="AE168" s="315"/>
      <c r="AF168" s="315"/>
      <c r="AG168" s="315"/>
      <c r="AH168" s="315"/>
      <c r="AI168" s="315"/>
      <c r="AJ168" s="315"/>
      <c r="AK168" s="315"/>
      <c r="AL168" s="315"/>
      <c r="AM168" s="315"/>
    </row>
    <row r="169" spans="1:78" hidden="1" x14ac:dyDescent="0.25">
      <c r="O169" s="24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315"/>
      <c r="AB169" s="315"/>
      <c r="AC169" s="315"/>
      <c r="AD169" s="315"/>
      <c r="AE169" s="315"/>
      <c r="AF169" s="315"/>
      <c r="AG169" s="315"/>
      <c r="AH169" s="315"/>
      <c r="AI169" s="315"/>
      <c r="AJ169" s="315"/>
      <c r="AK169" s="315"/>
      <c r="AL169" s="315"/>
      <c r="AM169" s="315"/>
    </row>
    <row r="170" spans="1:78" hidden="1" x14ac:dyDescent="0.25">
      <c r="O170" s="24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6"/>
      <c r="AA170" s="315"/>
      <c r="AB170" s="315"/>
      <c r="AC170" s="315"/>
      <c r="AD170" s="315"/>
      <c r="AE170" s="315"/>
      <c r="AF170" s="315"/>
      <c r="AG170" s="315"/>
      <c r="AH170" s="315"/>
      <c r="AI170" s="315"/>
      <c r="AJ170" s="315"/>
      <c r="AK170" s="315"/>
      <c r="AL170" s="315"/>
      <c r="AM170" s="315"/>
    </row>
    <row r="171" spans="1:78" hidden="1" x14ac:dyDescent="0.25">
      <c r="O171" s="24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6"/>
      <c r="AA171" s="315"/>
      <c r="AB171" s="315"/>
      <c r="AC171" s="315"/>
      <c r="AD171" s="315"/>
      <c r="AE171" s="315"/>
      <c r="AF171" s="315"/>
      <c r="AG171" s="315"/>
      <c r="AH171" s="315"/>
      <c r="AI171" s="315"/>
      <c r="AJ171" s="315"/>
      <c r="AK171" s="315"/>
      <c r="AL171" s="315"/>
      <c r="AM171" s="315"/>
    </row>
    <row r="172" spans="1:78" hidden="1" x14ac:dyDescent="0.25">
      <c r="O172" s="24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6"/>
      <c r="AA172" s="315"/>
      <c r="AB172" s="315"/>
      <c r="AC172" s="315"/>
      <c r="AD172" s="315"/>
      <c r="AE172" s="315"/>
      <c r="AF172" s="315"/>
      <c r="AG172" s="315"/>
      <c r="AH172" s="315"/>
      <c r="AI172" s="315"/>
      <c r="AJ172" s="315"/>
      <c r="AK172" s="315"/>
      <c r="AL172" s="315"/>
      <c r="AM172" s="315"/>
    </row>
    <row r="173" spans="1:78" hidden="1" x14ac:dyDescent="0.25">
      <c r="O173" s="24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6"/>
      <c r="AA173" s="315"/>
      <c r="AB173" s="315"/>
      <c r="AC173" s="315"/>
      <c r="AD173" s="315"/>
      <c r="AE173" s="315"/>
      <c r="AF173" s="315"/>
      <c r="AG173" s="315"/>
      <c r="AH173" s="315"/>
      <c r="AI173" s="315"/>
      <c r="AJ173" s="315"/>
      <c r="AK173" s="315"/>
      <c r="AL173" s="315"/>
      <c r="AM173" s="315"/>
    </row>
    <row r="174" spans="1:78" hidden="1" x14ac:dyDescent="0.25">
      <c r="O174" s="24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6"/>
      <c r="AA174" s="315"/>
      <c r="AB174" s="315"/>
      <c r="AC174" s="315"/>
      <c r="AD174" s="315"/>
      <c r="AE174" s="315"/>
      <c r="AF174" s="315"/>
      <c r="AG174" s="315"/>
      <c r="AH174" s="315"/>
      <c r="AI174" s="315"/>
      <c r="AJ174" s="315"/>
      <c r="AK174" s="315"/>
      <c r="AL174" s="315"/>
      <c r="AM174" s="315"/>
    </row>
    <row r="175" spans="1:78" hidden="1" x14ac:dyDescent="0.25">
      <c r="O175" s="24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6"/>
      <c r="AA175" s="315"/>
      <c r="AB175" s="315"/>
      <c r="AC175" s="315"/>
      <c r="AD175" s="315"/>
      <c r="AE175" s="315"/>
      <c r="AF175" s="315"/>
      <c r="AG175" s="315"/>
      <c r="AH175" s="315"/>
      <c r="AI175" s="315"/>
      <c r="AJ175" s="315"/>
      <c r="AK175" s="315"/>
      <c r="AL175" s="315"/>
      <c r="AM175" s="315"/>
    </row>
    <row r="176" spans="1:78" hidden="1" x14ac:dyDescent="0.25">
      <c r="O176" s="24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6"/>
      <c r="AA176" s="315"/>
      <c r="AB176" s="315"/>
      <c r="AC176" s="315"/>
      <c r="AD176" s="315"/>
      <c r="AE176" s="315"/>
      <c r="AF176" s="315"/>
      <c r="AG176" s="315"/>
      <c r="AH176" s="315"/>
      <c r="AI176" s="315"/>
      <c r="AJ176" s="315"/>
      <c r="AK176" s="315"/>
      <c r="AL176" s="315"/>
      <c r="AM176" s="315"/>
    </row>
    <row r="177" spans="15:39" hidden="1" x14ac:dyDescent="0.25">
      <c r="O177" s="24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6"/>
      <c r="AA177" s="315"/>
      <c r="AB177" s="315"/>
      <c r="AC177" s="315"/>
      <c r="AD177" s="315"/>
      <c r="AE177" s="315"/>
      <c r="AF177" s="315"/>
      <c r="AG177" s="315"/>
      <c r="AH177" s="315"/>
      <c r="AI177" s="315"/>
      <c r="AJ177" s="315"/>
      <c r="AK177" s="315"/>
      <c r="AL177" s="315"/>
      <c r="AM177" s="315"/>
    </row>
    <row r="178" spans="15:39" hidden="1" x14ac:dyDescent="0.25">
      <c r="O178" s="24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6"/>
      <c r="AA178" s="315"/>
      <c r="AB178" s="315"/>
      <c r="AC178" s="315"/>
      <c r="AD178" s="315"/>
      <c r="AE178" s="315"/>
      <c r="AF178" s="315"/>
      <c r="AG178" s="315"/>
      <c r="AH178" s="315"/>
      <c r="AI178" s="315"/>
      <c r="AJ178" s="315"/>
      <c r="AK178" s="315"/>
      <c r="AL178" s="315"/>
      <c r="AM178" s="315"/>
    </row>
    <row r="179" spans="15:39" hidden="1" x14ac:dyDescent="0.25">
      <c r="O179" s="24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6"/>
      <c r="AA179" s="315"/>
      <c r="AB179" s="315"/>
      <c r="AC179" s="315"/>
      <c r="AD179" s="315"/>
      <c r="AE179" s="315"/>
      <c r="AF179" s="315"/>
      <c r="AG179" s="315"/>
      <c r="AH179" s="315"/>
      <c r="AI179" s="315"/>
      <c r="AJ179" s="315"/>
      <c r="AK179" s="315"/>
      <c r="AL179" s="315"/>
      <c r="AM179" s="315"/>
    </row>
    <row r="180" spans="15:39" hidden="1" x14ac:dyDescent="0.25">
      <c r="O180" s="24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6"/>
      <c r="AA180" s="315"/>
      <c r="AB180" s="315"/>
      <c r="AC180" s="315"/>
      <c r="AD180" s="315"/>
      <c r="AE180" s="315"/>
      <c r="AF180" s="315"/>
      <c r="AG180" s="315"/>
      <c r="AH180" s="315"/>
      <c r="AI180" s="315"/>
      <c r="AJ180" s="315"/>
      <c r="AK180" s="315"/>
      <c r="AL180" s="315"/>
      <c r="AM180" s="315"/>
    </row>
    <row r="181" spans="15:39" hidden="1" x14ac:dyDescent="0.25">
      <c r="O181" s="24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6"/>
      <c r="AA181" s="315"/>
      <c r="AB181" s="315"/>
      <c r="AC181" s="315"/>
      <c r="AD181" s="315"/>
      <c r="AE181" s="315"/>
      <c r="AF181" s="315"/>
      <c r="AG181" s="315"/>
      <c r="AH181" s="315"/>
      <c r="AI181" s="315"/>
      <c r="AJ181" s="315"/>
      <c r="AK181" s="315"/>
      <c r="AL181" s="315"/>
      <c r="AM181" s="315"/>
    </row>
    <row r="182" spans="15:39" hidden="1" x14ac:dyDescent="0.25">
      <c r="O182" s="24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6"/>
      <c r="AA182" s="315"/>
      <c r="AB182" s="315"/>
      <c r="AC182" s="315"/>
      <c r="AD182" s="315"/>
      <c r="AE182" s="315"/>
      <c r="AF182" s="315"/>
      <c r="AG182" s="315"/>
      <c r="AH182" s="315"/>
      <c r="AI182" s="315"/>
      <c r="AJ182" s="315"/>
      <c r="AK182" s="315"/>
      <c r="AL182" s="315"/>
      <c r="AM182" s="315"/>
    </row>
    <row r="183" spans="15:39" hidden="1" x14ac:dyDescent="0.25">
      <c r="O183" s="24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6"/>
      <c r="AA183" s="315"/>
      <c r="AB183" s="315"/>
      <c r="AC183" s="315"/>
      <c r="AD183" s="315"/>
      <c r="AE183" s="315"/>
      <c r="AF183" s="315"/>
      <c r="AG183" s="315"/>
      <c r="AH183" s="315"/>
      <c r="AI183" s="315"/>
      <c r="AJ183" s="315"/>
      <c r="AK183" s="315"/>
      <c r="AL183" s="315"/>
      <c r="AM183" s="315"/>
    </row>
    <row r="184" spans="15:39" hidden="1" x14ac:dyDescent="0.25">
      <c r="O184" s="24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6"/>
      <c r="AA184" s="315"/>
      <c r="AB184" s="315"/>
      <c r="AC184" s="315"/>
      <c r="AD184" s="315"/>
      <c r="AE184" s="315"/>
      <c r="AF184" s="315"/>
      <c r="AG184" s="315"/>
      <c r="AH184" s="315"/>
      <c r="AI184" s="315"/>
      <c r="AJ184" s="315"/>
      <c r="AK184" s="315"/>
      <c r="AL184" s="315"/>
      <c r="AM184" s="315"/>
    </row>
    <row r="185" spans="15:39" hidden="1" x14ac:dyDescent="0.25">
      <c r="O185" s="24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6"/>
      <c r="AA185" s="315"/>
      <c r="AB185" s="315"/>
      <c r="AC185" s="315"/>
      <c r="AD185" s="315"/>
      <c r="AE185" s="315"/>
      <c r="AF185" s="315"/>
      <c r="AG185" s="315"/>
      <c r="AH185" s="315"/>
      <c r="AI185" s="315"/>
      <c r="AJ185" s="315"/>
      <c r="AK185" s="315"/>
      <c r="AL185" s="315"/>
      <c r="AM185" s="315"/>
    </row>
    <row r="186" spans="15:39" hidden="1" x14ac:dyDescent="0.25">
      <c r="O186" s="24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6"/>
      <c r="AA186" s="315"/>
      <c r="AB186" s="315"/>
      <c r="AC186" s="315"/>
      <c r="AD186" s="315"/>
      <c r="AE186" s="315"/>
      <c r="AF186" s="315"/>
      <c r="AG186" s="315"/>
      <c r="AH186" s="315"/>
      <c r="AI186" s="315"/>
      <c r="AJ186" s="315"/>
      <c r="AK186" s="315"/>
      <c r="AL186" s="315"/>
      <c r="AM186" s="315"/>
    </row>
    <row r="187" spans="15:39" hidden="1" x14ac:dyDescent="0.25">
      <c r="O187" s="24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6"/>
      <c r="AA187" s="315"/>
      <c r="AB187" s="315"/>
      <c r="AC187" s="315"/>
      <c r="AD187" s="315"/>
      <c r="AE187" s="315"/>
      <c r="AF187" s="315"/>
      <c r="AG187" s="315"/>
      <c r="AH187" s="315"/>
      <c r="AI187" s="315"/>
      <c r="AJ187" s="315"/>
      <c r="AK187" s="315"/>
      <c r="AL187" s="315"/>
      <c r="AM187" s="315"/>
    </row>
    <row r="188" spans="15:39" hidden="1" x14ac:dyDescent="0.25">
      <c r="O188" s="24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6"/>
      <c r="AA188" s="315"/>
      <c r="AB188" s="315"/>
      <c r="AC188" s="315"/>
      <c r="AD188" s="315"/>
      <c r="AE188" s="315"/>
      <c r="AF188" s="315"/>
      <c r="AG188" s="315"/>
      <c r="AH188" s="315"/>
      <c r="AI188" s="315"/>
      <c r="AJ188" s="315"/>
      <c r="AK188" s="315"/>
      <c r="AL188" s="315"/>
      <c r="AM188" s="315"/>
    </row>
    <row r="189" spans="15:39" hidden="1" x14ac:dyDescent="0.25">
      <c r="O189" s="24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6"/>
      <c r="AA189" s="315"/>
      <c r="AB189" s="315"/>
      <c r="AC189" s="315"/>
      <c r="AD189" s="315"/>
      <c r="AE189" s="315"/>
      <c r="AF189" s="315"/>
      <c r="AG189" s="315"/>
      <c r="AH189" s="315"/>
      <c r="AI189" s="315"/>
      <c r="AJ189" s="315"/>
      <c r="AK189" s="315"/>
      <c r="AL189" s="315"/>
      <c r="AM189" s="315"/>
    </row>
    <row r="190" spans="15:39" hidden="1" x14ac:dyDescent="0.25">
      <c r="O190" s="24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6"/>
      <c r="AA190" s="315"/>
      <c r="AB190" s="315"/>
      <c r="AC190" s="315"/>
      <c r="AD190" s="315"/>
      <c r="AE190" s="315"/>
      <c r="AF190" s="315"/>
      <c r="AG190" s="315"/>
      <c r="AH190" s="315"/>
      <c r="AI190" s="315"/>
      <c r="AJ190" s="315"/>
      <c r="AK190" s="315"/>
      <c r="AL190" s="315"/>
      <c r="AM190" s="315"/>
    </row>
    <row r="191" spans="15:39" hidden="1" x14ac:dyDescent="0.25">
      <c r="O191" s="24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6"/>
      <c r="AA191" s="315"/>
      <c r="AB191" s="315"/>
      <c r="AC191" s="315"/>
      <c r="AD191" s="315"/>
      <c r="AE191" s="315"/>
      <c r="AF191" s="315"/>
      <c r="AG191" s="315"/>
      <c r="AH191" s="315"/>
      <c r="AI191" s="315"/>
      <c r="AJ191" s="315"/>
      <c r="AK191" s="315"/>
      <c r="AL191" s="315"/>
      <c r="AM191" s="315"/>
    </row>
    <row r="192" spans="15:39" hidden="1" x14ac:dyDescent="0.25">
      <c r="O192" s="24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6"/>
      <c r="AA192" s="315"/>
      <c r="AB192" s="315"/>
      <c r="AC192" s="315"/>
      <c r="AD192" s="315"/>
      <c r="AE192" s="315"/>
      <c r="AF192" s="315"/>
      <c r="AG192" s="315"/>
      <c r="AH192" s="315"/>
      <c r="AI192" s="315"/>
      <c r="AJ192" s="315"/>
      <c r="AK192" s="315"/>
      <c r="AL192" s="315"/>
      <c r="AM192" s="315"/>
    </row>
    <row r="193" spans="15:39" hidden="1" x14ac:dyDescent="0.25">
      <c r="O193" s="24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6"/>
      <c r="AA193" s="315"/>
      <c r="AB193" s="315"/>
      <c r="AC193" s="315"/>
      <c r="AD193" s="315"/>
      <c r="AE193" s="315"/>
      <c r="AF193" s="315"/>
      <c r="AG193" s="315"/>
      <c r="AH193" s="315"/>
      <c r="AI193" s="315"/>
      <c r="AJ193" s="315"/>
      <c r="AK193" s="315"/>
      <c r="AL193" s="315"/>
      <c r="AM193" s="315"/>
    </row>
    <row r="194" spans="15:39" hidden="1" x14ac:dyDescent="0.25">
      <c r="O194" s="24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6"/>
      <c r="AA194" s="315"/>
      <c r="AB194" s="315"/>
      <c r="AC194" s="315"/>
      <c r="AD194" s="315"/>
      <c r="AE194" s="315"/>
      <c r="AF194" s="315"/>
      <c r="AG194" s="315"/>
      <c r="AH194" s="315"/>
      <c r="AI194" s="315"/>
      <c r="AJ194" s="315"/>
      <c r="AK194" s="315"/>
      <c r="AL194" s="315"/>
      <c r="AM194" s="315"/>
    </row>
    <row r="195" spans="15:39" hidden="1" x14ac:dyDescent="0.25">
      <c r="O195" s="24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6"/>
      <c r="AA195" s="315"/>
      <c r="AB195" s="315"/>
      <c r="AC195" s="315"/>
      <c r="AD195" s="315"/>
      <c r="AE195" s="315"/>
      <c r="AF195" s="315"/>
      <c r="AG195" s="315"/>
      <c r="AH195" s="315"/>
      <c r="AI195" s="315"/>
      <c r="AJ195" s="315"/>
      <c r="AK195" s="315"/>
      <c r="AL195" s="315"/>
      <c r="AM195" s="315"/>
    </row>
    <row r="196" spans="15:39" hidden="1" x14ac:dyDescent="0.25">
      <c r="O196" s="24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6"/>
      <c r="AA196" s="315"/>
      <c r="AB196" s="315"/>
      <c r="AC196" s="315"/>
      <c r="AD196" s="315"/>
      <c r="AE196" s="315"/>
      <c r="AF196" s="315"/>
      <c r="AG196" s="315"/>
      <c r="AH196" s="315"/>
      <c r="AI196" s="315"/>
      <c r="AJ196" s="315"/>
      <c r="AK196" s="315"/>
      <c r="AL196" s="315"/>
      <c r="AM196" s="315"/>
    </row>
    <row r="197" spans="15:39" hidden="1" x14ac:dyDescent="0.25">
      <c r="O197" s="24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6"/>
      <c r="AA197" s="315"/>
      <c r="AB197" s="315"/>
      <c r="AC197" s="315"/>
      <c r="AD197" s="315"/>
      <c r="AE197" s="315"/>
      <c r="AF197" s="315"/>
      <c r="AG197" s="315"/>
      <c r="AH197" s="315"/>
      <c r="AI197" s="315"/>
      <c r="AJ197" s="315"/>
      <c r="AK197" s="315"/>
      <c r="AL197" s="315"/>
      <c r="AM197" s="315"/>
    </row>
    <row r="198" spans="15:39" hidden="1" x14ac:dyDescent="0.25">
      <c r="O198" s="24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6"/>
      <c r="AA198" s="315"/>
      <c r="AB198" s="315"/>
      <c r="AC198" s="315"/>
      <c r="AD198" s="315"/>
      <c r="AE198" s="315"/>
      <c r="AF198" s="315"/>
      <c r="AG198" s="315"/>
      <c r="AH198" s="315"/>
      <c r="AI198" s="315"/>
      <c r="AJ198" s="315"/>
      <c r="AK198" s="315"/>
      <c r="AL198" s="315"/>
      <c r="AM198" s="315"/>
    </row>
    <row r="199" spans="15:39" hidden="1" x14ac:dyDescent="0.25">
      <c r="O199" s="24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6"/>
      <c r="AA199" s="315"/>
      <c r="AB199" s="315"/>
      <c r="AC199" s="315"/>
      <c r="AD199" s="315"/>
      <c r="AE199" s="315"/>
      <c r="AF199" s="315"/>
      <c r="AG199" s="315"/>
      <c r="AH199" s="315"/>
      <c r="AI199" s="315"/>
      <c r="AJ199" s="315"/>
      <c r="AK199" s="315"/>
      <c r="AL199" s="315"/>
      <c r="AM199" s="315"/>
    </row>
    <row r="200" spans="15:39" hidden="1" x14ac:dyDescent="0.25">
      <c r="O200" s="24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6"/>
      <c r="AA200" s="315"/>
      <c r="AB200" s="315"/>
      <c r="AC200" s="315"/>
      <c r="AD200" s="315"/>
      <c r="AE200" s="315"/>
      <c r="AF200" s="315"/>
      <c r="AG200" s="315"/>
      <c r="AH200" s="315"/>
      <c r="AI200" s="315"/>
      <c r="AJ200" s="315"/>
      <c r="AK200" s="315"/>
      <c r="AL200" s="315"/>
      <c r="AM200" s="315"/>
    </row>
    <row r="201" spans="15:39" hidden="1" x14ac:dyDescent="0.25">
      <c r="O201" s="24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6"/>
      <c r="AA201" s="315"/>
      <c r="AB201" s="315"/>
      <c r="AC201" s="315"/>
      <c r="AD201" s="315"/>
      <c r="AE201" s="315"/>
      <c r="AF201" s="315"/>
      <c r="AG201" s="315"/>
      <c r="AH201" s="315"/>
      <c r="AI201" s="315"/>
      <c r="AJ201" s="315"/>
      <c r="AK201" s="315"/>
      <c r="AL201" s="315"/>
      <c r="AM201" s="315"/>
    </row>
    <row r="202" spans="15:39" hidden="1" x14ac:dyDescent="0.25">
      <c r="O202" s="24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6"/>
      <c r="AA202" s="315"/>
      <c r="AB202" s="315"/>
      <c r="AC202" s="315"/>
      <c r="AD202" s="315"/>
      <c r="AE202" s="315"/>
      <c r="AF202" s="315"/>
      <c r="AG202" s="315"/>
      <c r="AH202" s="315"/>
      <c r="AI202" s="315"/>
      <c r="AJ202" s="315"/>
      <c r="AK202" s="315"/>
      <c r="AL202" s="315"/>
      <c r="AM202" s="315"/>
    </row>
    <row r="203" spans="15:39" hidden="1" x14ac:dyDescent="0.25">
      <c r="O203" s="24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6"/>
      <c r="AA203" s="315"/>
      <c r="AB203" s="315"/>
      <c r="AC203" s="315"/>
      <c r="AD203" s="315"/>
      <c r="AE203" s="315"/>
      <c r="AF203" s="315"/>
      <c r="AG203" s="315"/>
      <c r="AH203" s="315"/>
      <c r="AI203" s="315"/>
      <c r="AJ203" s="315"/>
      <c r="AK203" s="315"/>
      <c r="AL203" s="315"/>
      <c r="AM203" s="315"/>
    </row>
    <row r="204" spans="15:39" hidden="1" x14ac:dyDescent="0.25">
      <c r="O204" s="24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6"/>
      <c r="AA204" s="315"/>
      <c r="AB204" s="315"/>
      <c r="AC204" s="315"/>
      <c r="AD204" s="315"/>
      <c r="AE204" s="315"/>
      <c r="AF204" s="315"/>
      <c r="AG204" s="315"/>
      <c r="AH204" s="315"/>
      <c r="AI204" s="315"/>
      <c r="AJ204" s="315"/>
      <c r="AK204" s="315"/>
      <c r="AL204" s="315"/>
      <c r="AM204" s="315"/>
    </row>
    <row r="205" spans="15:39" hidden="1" x14ac:dyDescent="0.25">
      <c r="O205" s="24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6"/>
      <c r="AA205" s="315"/>
      <c r="AB205" s="315"/>
      <c r="AC205" s="315"/>
      <c r="AD205" s="315"/>
      <c r="AE205" s="315"/>
      <c r="AF205" s="315"/>
      <c r="AG205" s="315"/>
      <c r="AH205" s="315"/>
      <c r="AI205" s="315"/>
      <c r="AJ205" s="315"/>
      <c r="AK205" s="315"/>
      <c r="AL205" s="315"/>
      <c r="AM205" s="315"/>
    </row>
    <row r="206" spans="15:39" hidden="1" x14ac:dyDescent="0.25">
      <c r="O206" s="24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6"/>
      <c r="AA206" s="315"/>
      <c r="AB206" s="315"/>
      <c r="AC206" s="315"/>
      <c r="AD206" s="315"/>
      <c r="AE206" s="315"/>
      <c r="AF206" s="315"/>
      <c r="AG206" s="315"/>
      <c r="AH206" s="315"/>
      <c r="AI206" s="315"/>
      <c r="AJ206" s="315"/>
      <c r="AK206" s="315"/>
      <c r="AL206" s="315"/>
      <c r="AM206" s="315"/>
    </row>
    <row r="207" spans="15:39" hidden="1" x14ac:dyDescent="0.25">
      <c r="O207" s="24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6"/>
      <c r="AA207" s="315"/>
      <c r="AB207" s="315"/>
      <c r="AC207" s="315"/>
      <c r="AD207" s="315"/>
      <c r="AE207" s="315"/>
      <c r="AF207" s="315"/>
      <c r="AG207" s="315"/>
      <c r="AH207" s="315"/>
      <c r="AI207" s="315"/>
      <c r="AJ207" s="315"/>
      <c r="AK207" s="315"/>
      <c r="AL207" s="315"/>
      <c r="AM207" s="315"/>
    </row>
    <row r="208" spans="15:39" hidden="1" x14ac:dyDescent="0.25">
      <c r="O208" s="24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6"/>
      <c r="AA208" s="315"/>
      <c r="AB208" s="315"/>
      <c r="AC208" s="315"/>
      <c r="AD208" s="315"/>
      <c r="AE208" s="315"/>
      <c r="AF208" s="315"/>
      <c r="AG208" s="315"/>
      <c r="AH208" s="315"/>
      <c r="AI208" s="315"/>
      <c r="AJ208" s="315"/>
      <c r="AK208" s="315"/>
      <c r="AL208" s="315"/>
      <c r="AM208" s="315"/>
    </row>
    <row r="209" spans="15:39" hidden="1" x14ac:dyDescent="0.25">
      <c r="O209" s="24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6"/>
      <c r="AA209" s="315"/>
      <c r="AB209" s="315"/>
      <c r="AC209" s="315"/>
      <c r="AD209" s="315"/>
      <c r="AE209" s="315"/>
      <c r="AF209" s="315"/>
      <c r="AG209" s="315"/>
      <c r="AH209" s="315"/>
      <c r="AI209" s="315"/>
      <c r="AJ209" s="315"/>
      <c r="AK209" s="315"/>
      <c r="AL209" s="315"/>
      <c r="AM209" s="315"/>
    </row>
    <row r="210" spans="15:39" hidden="1" x14ac:dyDescent="0.25">
      <c r="O210" s="24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6"/>
      <c r="AA210" s="315"/>
      <c r="AB210" s="315"/>
      <c r="AC210" s="315"/>
      <c r="AD210" s="315"/>
      <c r="AE210" s="315"/>
      <c r="AF210" s="315"/>
      <c r="AG210" s="315"/>
      <c r="AH210" s="315"/>
      <c r="AI210" s="315"/>
      <c r="AJ210" s="315"/>
      <c r="AK210" s="315"/>
      <c r="AL210" s="315"/>
      <c r="AM210" s="315"/>
    </row>
    <row r="211" spans="15:39" hidden="1" x14ac:dyDescent="0.25">
      <c r="O211" s="24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6"/>
      <c r="AA211" s="315"/>
      <c r="AB211" s="315"/>
      <c r="AC211" s="315"/>
      <c r="AD211" s="315"/>
      <c r="AE211" s="315"/>
      <c r="AF211" s="315"/>
      <c r="AG211" s="315"/>
      <c r="AH211" s="315"/>
      <c r="AI211" s="315"/>
      <c r="AJ211" s="315"/>
      <c r="AK211" s="315"/>
      <c r="AL211" s="315"/>
      <c r="AM211" s="315"/>
    </row>
    <row r="212" spans="15:39" hidden="1" x14ac:dyDescent="0.25">
      <c r="O212" s="24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6"/>
      <c r="AA212" s="315"/>
      <c r="AB212" s="315"/>
      <c r="AC212" s="315"/>
      <c r="AD212" s="315"/>
      <c r="AE212" s="315"/>
      <c r="AF212" s="315"/>
      <c r="AG212" s="315"/>
      <c r="AH212" s="315"/>
      <c r="AI212" s="315"/>
      <c r="AJ212" s="315"/>
      <c r="AK212" s="315"/>
      <c r="AL212" s="315"/>
      <c r="AM212" s="315"/>
    </row>
    <row r="213" spans="15:39" hidden="1" x14ac:dyDescent="0.25">
      <c r="O213" s="24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6"/>
      <c r="AA213" s="315"/>
      <c r="AB213" s="315"/>
      <c r="AC213" s="315"/>
      <c r="AD213" s="315"/>
      <c r="AE213" s="315"/>
      <c r="AF213" s="315"/>
      <c r="AG213" s="315"/>
      <c r="AH213" s="315"/>
      <c r="AI213" s="315"/>
      <c r="AJ213" s="315"/>
      <c r="AK213" s="315"/>
      <c r="AL213" s="315"/>
      <c r="AM213" s="315"/>
    </row>
    <row r="214" spans="15:39" hidden="1" x14ac:dyDescent="0.25">
      <c r="O214" s="24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6"/>
      <c r="AA214" s="315"/>
      <c r="AB214" s="315"/>
      <c r="AC214" s="315"/>
      <c r="AD214" s="315"/>
      <c r="AE214" s="315"/>
      <c r="AF214" s="315"/>
      <c r="AG214" s="315"/>
      <c r="AH214" s="315"/>
      <c r="AI214" s="315"/>
      <c r="AJ214" s="315"/>
      <c r="AK214" s="315"/>
      <c r="AL214" s="315"/>
      <c r="AM214" s="315"/>
    </row>
    <row r="215" spans="15:39" hidden="1" x14ac:dyDescent="0.25">
      <c r="O215" s="24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6"/>
      <c r="AA215" s="315"/>
      <c r="AB215" s="315"/>
      <c r="AC215" s="315"/>
      <c r="AD215" s="315"/>
      <c r="AE215" s="315"/>
      <c r="AF215" s="315"/>
      <c r="AG215" s="315"/>
      <c r="AH215" s="315"/>
      <c r="AI215" s="315"/>
      <c r="AJ215" s="315"/>
      <c r="AK215" s="315"/>
      <c r="AL215" s="315"/>
      <c r="AM215" s="315"/>
    </row>
    <row r="216" spans="15:39" hidden="1" x14ac:dyDescent="0.25">
      <c r="O216" s="24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6"/>
      <c r="AA216" s="315"/>
      <c r="AB216" s="315"/>
      <c r="AC216" s="315"/>
      <c r="AD216" s="315"/>
      <c r="AE216" s="315"/>
      <c r="AF216" s="315"/>
      <c r="AG216" s="315"/>
      <c r="AH216" s="315"/>
      <c r="AI216" s="315"/>
      <c r="AJ216" s="315"/>
      <c r="AK216" s="315"/>
      <c r="AL216" s="315"/>
      <c r="AM216" s="315"/>
    </row>
    <row r="217" spans="15:39" hidden="1" x14ac:dyDescent="0.25">
      <c r="O217" s="24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6"/>
      <c r="AA217" s="315"/>
      <c r="AB217" s="315"/>
      <c r="AC217" s="315"/>
      <c r="AD217" s="315"/>
      <c r="AE217" s="315"/>
      <c r="AF217" s="315"/>
      <c r="AG217" s="315"/>
      <c r="AH217" s="315"/>
      <c r="AI217" s="315"/>
      <c r="AJ217" s="315"/>
      <c r="AK217" s="315"/>
      <c r="AL217" s="315"/>
      <c r="AM217" s="315"/>
    </row>
    <row r="218" spans="15:39" hidden="1" x14ac:dyDescent="0.25">
      <c r="O218" s="24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6"/>
      <c r="AA218" s="315"/>
      <c r="AB218" s="315"/>
      <c r="AC218" s="315"/>
      <c r="AD218" s="315"/>
      <c r="AE218" s="315"/>
      <c r="AF218" s="315"/>
      <c r="AG218" s="315"/>
      <c r="AH218" s="315"/>
      <c r="AI218" s="315"/>
      <c r="AJ218" s="315"/>
      <c r="AK218" s="315"/>
      <c r="AL218" s="315"/>
      <c r="AM218" s="315"/>
    </row>
    <row r="219" spans="15:39" hidden="1" x14ac:dyDescent="0.25">
      <c r="O219" s="24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6"/>
      <c r="AA219" s="315"/>
      <c r="AB219" s="315"/>
      <c r="AC219" s="315"/>
      <c r="AD219" s="315"/>
      <c r="AE219" s="315"/>
      <c r="AF219" s="315"/>
      <c r="AG219" s="315"/>
      <c r="AH219" s="315"/>
      <c r="AI219" s="315"/>
      <c r="AJ219" s="315"/>
      <c r="AK219" s="315"/>
      <c r="AL219" s="315"/>
      <c r="AM219" s="315"/>
    </row>
    <row r="220" spans="15:39" hidden="1" x14ac:dyDescent="0.25">
      <c r="O220" s="24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6"/>
      <c r="AA220" s="315"/>
      <c r="AB220" s="315"/>
      <c r="AC220" s="315"/>
      <c r="AD220" s="315"/>
      <c r="AE220" s="315"/>
      <c r="AF220" s="315"/>
      <c r="AG220" s="315"/>
      <c r="AH220" s="315"/>
      <c r="AI220" s="315"/>
      <c r="AJ220" s="315"/>
      <c r="AK220" s="315"/>
      <c r="AL220" s="315"/>
      <c r="AM220" s="315"/>
    </row>
    <row r="221" spans="15:39" hidden="1" x14ac:dyDescent="0.25">
      <c r="O221" s="24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6"/>
      <c r="AA221" s="315"/>
      <c r="AB221" s="315"/>
      <c r="AC221" s="315"/>
      <c r="AD221" s="315"/>
      <c r="AE221" s="315"/>
      <c r="AF221" s="315"/>
      <c r="AG221" s="315"/>
      <c r="AH221" s="315"/>
      <c r="AI221" s="315"/>
      <c r="AJ221" s="315"/>
      <c r="AK221" s="315"/>
      <c r="AL221" s="315"/>
      <c r="AM221" s="315"/>
    </row>
    <row r="222" spans="15:39" hidden="1" x14ac:dyDescent="0.25">
      <c r="O222" s="24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6"/>
      <c r="AA222" s="315"/>
      <c r="AB222" s="315"/>
      <c r="AC222" s="315"/>
      <c r="AD222" s="315"/>
      <c r="AE222" s="315"/>
      <c r="AF222" s="315"/>
      <c r="AG222" s="315"/>
      <c r="AH222" s="315"/>
      <c r="AI222" s="315"/>
      <c r="AJ222" s="315"/>
      <c r="AK222" s="315"/>
      <c r="AL222" s="315"/>
      <c r="AM222" s="315"/>
    </row>
    <row r="223" spans="15:39" hidden="1" x14ac:dyDescent="0.25">
      <c r="O223" s="24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6"/>
      <c r="AA223" s="315"/>
      <c r="AB223" s="315"/>
      <c r="AC223" s="315"/>
      <c r="AD223" s="315"/>
      <c r="AE223" s="315"/>
      <c r="AF223" s="315"/>
      <c r="AG223" s="315"/>
      <c r="AH223" s="315"/>
      <c r="AI223" s="315"/>
      <c r="AJ223" s="315"/>
      <c r="AK223" s="315"/>
      <c r="AL223" s="315"/>
      <c r="AM223" s="315"/>
    </row>
    <row r="224" spans="15:39" hidden="1" x14ac:dyDescent="0.25">
      <c r="O224" s="24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6"/>
      <c r="AA224" s="315"/>
      <c r="AB224" s="315"/>
      <c r="AC224" s="315"/>
      <c r="AD224" s="315"/>
      <c r="AE224" s="315"/>
      <c r="AF224" s="315"/>
      <c r="AG224" s="315"/>
      <c r="AH224" s="315"/>
      <c r="AI224" s="315"/>
      <c r="AJ224" s="315"/>
      <c r="AK224" s="315"/>
      <c r="AL224" s="315"/>
      <c r="AM224" s="315"/>
    </row>
    <row r="225" spans="15:39" hidden="1" x14ac:dyDescent="0.25">
      <c r="O225" s="24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6"/>
      <c r="AA225" s="315"/>
      <c r="AB225" s="315"/>
      <c r="AC225" s="315"/>
      <c r="AD225" s="315"/>
      <c r="AE225" s="315"/>
      <c r="AF225" s="315"/>
      <c r="AG225" s="315"/>
      <c r="AH225" s="315"/>
      <c r="AI225" s="315"/>
      <c r="AJ225" s="315"/>
      <c r="AK225" s="315"/>
      <c r="AL225" s="315"/>
      <c r="AM225" s="315"/>
    </row>
    <row r="226" spans="15:39" hidden="1" x14ac:dyDescent="0.25">
      <c r="O226" s="24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6"/>
      <c r="AA226" s="315"/>
      <c r="AB226" s="315"/>
      <c r="AC226" s="315"/>
      <c r="AD226" s="315"/>
      <c r="AE226" s="315"/>
      <c r="AF226" s="315"/>
      <c r="AG226" s="315"/>
      <c r="AH226" s="315"/>
      <c r="AI226" s="315"/>
      <c r="AJ226" s="315"/>
      <c r="AK226" s="315"/>
      <c r="AL226" s="315"/>
      <c r="AM226" s="315"/>
    </row>
    <row r="227" spans="15:39" hidden="1" x14ac:dyDescent="0.25">
      <c r="O227" s="24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6"/>
      <c r="AA227" s="315"/>
      <c r="AB227" s="315"/>
      <c r="AC227" s="315"/>
      <c r="AD227" s="315"/>
      <c r="AE227" s="315"/>
      <c r="AF227" s="315"/>
      <c r="AG227" s="315"/>
      <c r="AH227" s="315"/>
      <c r="AI227" s="315"/>
      <c r="AJ227" s="315"/>
      <c r="AK227" s="315"/>
      <c r="AL227" s="315"/>
      <c r="AM227" s="315"/>
    </row>
    <row r="228" spans="15:39" hidden="1" x14ac:dyDescent="0.25">
      <c r="O228" s="24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6"/>
      <c r="AA228" s="315"/>
      <c r="AB228" s="315"/>
      <c r="AC228" s="315"/>
      <c r="AD228" s="315"/>
      <c r="AE228" s="315"/>
      <c r="AF228" s="315"/>
      <c r="AG228" s="315"/>
      <c r="AH228" s="315"/>
      <c r="AI228" s="315"/>
      <c r="AJ228" s="315"/>
      <c r="AK228" s="315"/>
      <c r="AL228" s="315"/>
      <c r="AM228" s="315"/>
    </row>
    <row r="229" spans="15:39" hidden="1" x14ac:dyDescent="0.25">
      <c r="O229" s="24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6"/>
      <c r="AA229" s="315"/>
      <c r="AB229" s="315"/>
      <c r="AC229" s="315"/>
      <c r="AD229" s="315"/>
      <c r="AE229" s="315"/>
      <c r="AF229" s="315"/>
      <c r="AG229" s="315"/>
      <c r="AH229" s="315"/>
      <c r="AI229" s="315"/>
      <c r="AJ229" s="315"/>
      <c r="AK229" s="315"/>
      <c r="AL229" s="315"/>
      <c r="AM229" s="315"/>
    </row>
    <row r="230" spans="15:39" hidden="1" x14ac:dyDescent="0.25">
      <c r="O230" s="24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6"/>
      <c r="AA230" s="315"/>
      <c r="AB230" s="315"/>
      <c r="AC230" s="315"/>
      <c r="AD230" s="315"/>
      <c r="AE230" s="315"/>
      <c r="AF230" s="315"/>
      <c r="AG230" s="315"/>
      <c r="AH230" s="315"/>
      <c r="AI230" s="315"/>
      <c r="AJ230" s="315"/>
      <c r="AK230" s="315"/>
      <c r="AL230" s="315"/>
      <c r="AM230" s="315"/>
    </row>
    <row r="231" spans="15:39" hidden="1" x14ac:dyDescent="0.25">
      <c r="O231" s="24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6"/>
      <c r="AA231" s="315"/>
      <c r="AB231" s="315"/>
      <c r="AC231" s="315"/>
      <c r="AD231" s="315"/>
      <c r="AE231" s="315"/>
      <c r="AF231" s="315"/>
      <c r="AG231" s="315"/>
      <c r="AH231" s="315"/>
      <c r="AI231" s="315"/>
      <c r="AJ231" s="315"/>
      <c r="AK231" s="315"/>
      <c r="AL231" s="315"/>
      <c r="AM231" s="315"/>
    </row>
    <row r="232" spans="15:39" hidden="1" x14ac:dyDescent="0.25">
      <c r="O232" s="24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6"/>
      <c r="AA232" s="315"/>
      <c r="AB232" s="315"/>
      <c r="AC232" s="315"/>
      <c r="AD232" s="315"/>
      <c r="AE232" s="315"/>
      <c r="AF232" s="315"/>
      <c r="AG232" s="315"/>
      <c r="AH232" s="315"/>
      <c r="AI232" s="315"/>
      <c r="AJ232" s="315"/>
      <c r="AK232" s="315"/>
      <c r="AL232" s="315"/>
      <c r="AM232" s="315"/>
    </row>
    <row r="233" spans="15:39" hidden="1" x14ac:dyDescent="0.25">
      <c r="O233" s="24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6"/>
      <c r="AA233" s="315"/>
      <c r="AB233" s="315"/>
      <c r="AC233" s="315"/>
      <c r="AD233" s="315"/>
      <c r="AE233" s="315"/>
      <c r="AF233" s="315"/>
      <c r="AG233" s="315"/>
      <c r="AH233" s="315"/>
      <c r="AI233" s="315"/>
      <c r="AJ233" s="315"/>
      <c r="AK233" s="315"/>
      <c r="AL233" s="315"/>
      <c r="AM233" s="315"/>
    </row>
    <row r="234" spans="15:39" hidden="1" x14ac:dyDescent="0.25">
      <c r="O234" s="24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6"/>
      <c r="AA234" s="315"/>
      <c r="AB234" s="315"/>
      <c r="AC234" s="315"/>
      <c r="AD234" s="315"/>
      <c r="AE234" s="315"/>
      <c r="AF234" s="315"/>
      <c r="AG234" s="315"/>
      <c r="AH234" s="315"/>
      <c r="AI234" s="315"/>
      <c r="AJ234" s="315"/>
      <c r="AK234" s="315"/>
      <c r="AL234" s="315"/>
      <c r="AM234" s="315"/>
    </row>
    <row r="235" spans="15:39" hidden="1" x14ac:dyDescent="0.25">
      <c r="O235" s="24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6"/>
      <c r="AA235" s="315"/>
      <c r="AB235" s="315"/>
      <c r="AC235" s="315"/>
      <c r="AD235" s="315"/>
      <c r="AE235" s="315"/>
      <c r="AF235" s="315"/>
      <c r="AG235" s="315"/>
      <c r="AH235" s="315"/>
      <c r="AI235" s="315"/>
      <c r="AJ235" s="315"/>
      <c r="AK235" s="315"/>
      <c r="AL235" s="315"/>
      <c r="AM235" s="315"/>
    </row>
    <row r="236" spans="15:39" hidden="1" x14ac:dyDescent="0.25">
      <c r="O236" s="24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6"/>
      <c r="AA236" s="315"/>
      <c r="AB236" s="315"/>
      <c r="AC236" s="315"/>
      <c r="AD236" s="315"/>
      <c r="AE236" s="315"/>
      <c r="AF236" s="315"/>
      <c r="AG236" s="315"/>
      <c r="AH236" s="315"/>
      <c r="AI236" s="315"/>
      <c r="AJ236" s="315"/>
      <c r="AK236" s="315"/>
      <c r="AL236" s="315"/>
      <c r="AM236" s="315"/>
    </row>
    <row r="237" spans="15:39" hidden="1" x14ac:dyDescent="0.25">
      <c r="O237" s="24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6"/>
      <c r="AA237" s="315"/>
      <c r="AB237" s="315"/>
      <c r="AC237" s="315"/>
      <c r="AD237" s="315"/>
      <c r="AE237" s="315"/>
      <c r="AF237" s="315"/>
      <c r="AG237" s="315"/>
      <c r="AH237" s="315"/>
      <c r="AI237" s="315"/>
      <c r="AJ237" s="315"/>
      <c r="AK237" s="315"/>
      <c r="AL237" s="315"/>
      <c r="AM237" s="315"/>
    </row>
    <row r="238" spans="15:39" hidden="1" x14ac:dyDescent="0.25">
      <c r="O238" s="24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6"/>
      <c r="AA238" s="315"/>
      <c r="AB238" s="315"/>
      <c r="AC238" s="315"/>
      <c r="AD238" s="315"/>
      <c r="AE238" s="315"/>
      <c r="AF238" s="315"/>
      <c r="AG238" s="315"/>
      <c r="AH238" s="315"/>
      <c r="AI238" s="315"/>
      <c r="AJ238" s="315"/>
      <c r="AK238" s="315"/>
      <c r="AL238" s="315"/>
      <c r="AM238" s="315"/>
    </row>
    <row r="239" spans="15:39" hidden="1" x14ac:dyDescent="0.25">
      <c r="O239" s="24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6"/>
      <c r="AA239" s="315"/>
      <c r="AB239" s="315"/>
      <c r="AC239" s="315"/>
      <c r="AD239" s="315"/>
      <c r="AE239" s="315"/>
      <c r="AF239" s="315"/>
      <c r="AG239" s="315"/>
      <c r="AH239" s="315"/>
      <c r="AI239" s="315"/>
      <c r="AJ239" s="315"/>
      <c r="AK239" s="315"/>
      <c r="AL239" s="315"/>
      <c r="AM239" s="315"/>
    </row>
    <row r="240" spans="15:39" hidden="1" x14ac:dyDescent="0.25">
      <c r="O240" s="24"/>
      <c r="Z240" s="6"/>
      <c r="AA240" s="315"/>
      <c r="AB240" s="315"/>
      <c r="AC240" s="315"/>
      <c r="AD240" s="315"/>
      <c r="AE240" s="315"/>
      <c r="AF240" s="315"/>
      <c r="AG240" s="315"/>
      <c r="AH240" s="315"/>
      <c r="AI240" s="315"/>
      <c r="AJ240" s="315"/>
      <c r="AK240" s="315"/>
      <c r="AL240" s="315"/>
      <c r="AM240" s="315"/>
    </row>
    <row r="241" spans="1:78" hidden="1" x14ac:dyDescent="0.25">
      <c r="O241" s="24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315"/>
      <c r="AB241" s="315"/>
      <c r="AC241" s="315"/>
      <c r="AD241" s="315"/>
      <c r="AE241" s="315"/>
      <c r="AF241" s="315"/>
      <c r="AG241" s="315"/>
      <c r="AH241" s="315"/>
      <c r="AI241" s="315"/>
      <c r="AJ241" s="315"/>
      <c r="AK241" s="315"/>
      <c r="AL241" s="315"/>
      <c r="AM241" s="315"/>
    </row>
    <row r="242" spans="1:78" x14ac:dyDescent="0.25">
      <c r="A242" s="433">
        <v>100</v>
      </c>
      <c r="B242" s="11" t="str">
        <f ca="1">BV!D242</f>
        <v/>
      </c>
      <c r="C242" s="11" t="str">
        <f ca="1">BV!L242</f>
        <v/>
      </c>
      <c r="D242" s="11" t="str">
        <f ca="1">BV!T242</f>
        <v/>
      </c>
      <c r="E242" s="11" t="str">
        <f ca="1">BV!AB242</f>
        <v/>
      </c>
      <c r="F242" s="11" t="str">
        <f ca="1">BV!AJ242</f>
        <v/>
      </c>
      <c r="G242" s="11" t="str">
        <f ca="1">BV!AR242</f>
        <v/>
      </c>
      <c r="H242" s="11" t="str">
        <f ca="1">BV!AZ242</f>
        <v/>
      </c>
      <c r="I242" s="11" t="str">
        <f ca="1">BV!BH242</f>
        <v/>
      </c>
      <c r="J242" s="11" t="str">
        <f ca="1">BV!BP242</f>
        <v/>
      </c>
      <c r="K242" s="11" t="str">
        <f ca="1">BV!BX242</f>
        <v/>
      </c>
      <c r="L242" s="308" t="s">
        <v>105</v>
      </c>
      <c r="M242" s="261">
        <v>3.4387600000000002E-6</v>
      </c>
      <c r="N242" s="309" t="str">
        <f t="shared" ref="N242:N305" ca="1" si="117">IF(B242&lt;&gt;"",(1/M242)^0.5,"")</f>
        <v/>
      </c>
      <c r="O242" s="22" t="str">
        <f ca="1">OFFSET(Week!$FA1,COLUMN()-15,,)</f>
        <v>b.37</v>
      </c>
      <c r="P242" s="742">
        <f ca="1">OFFSET(Week!$FA1,COLUMN()-15,,)</f>
        <v>12.040991712444054</v>
      </c>
      <c r="Q242" s="737">
        <f ca="1">OFFSET(Week!$FA1,COLUMN()-15,,)</f>
        <v>119.69320024059316</v>
      </c>
      <c r="R242" s="742">
        <f ca="1">OFFSET(Week!$FA1,COLUMN()-15,,)</f>
        <v>1.7069701280227596</v>
      </c>
      <c r="S242" s="742">
        <f ca="1">OFFSET(Week!$FA1,COLUMN()-15,,)</f>
        <v>9.5658708572844215</v>
      </c>
      <c r="T242" s="742">
        <f ca="1">OFFSET(Week!$FA1,COLUMN()-15,,)</f>
        <v>15.775245614976038</v>
      </c>
      <c r="U242" s="742">
        <f ca="1">OFFSET(Week!$FA1,COLUMN()-15,,)</f>
        <v>12.397722113539443</v>
      </c>
      <c r="V242" s="744">
        <f ca="1">OFFSET(Week!$FA1,COLUMN()-15,,)</f>
        <v>48.425291834213546</v>
      </c>
      <c r="W242" s="742">
        <f ca="1">OFFSET(Week!$FA1,COLUMN()-15,,)</f>
        <v>11.101692109716469</v>
      </c>
      <c r="X242" s="744">
        <f ca="1">OFFSET(Week!$FA1,COLUMN()-15,,)</f>
        <v>47.965846600754148</v>
      </c>
      <c r="Y242" s="732">
        <f ca="1">OFFSET(Week!$FA1,COLUMN()-15,,)</f>
        <v>81.56036584543476</v>
      </c>
      <c r="Z242" s="52">
        <f ca="1">MAX(OFFSET(Week!$FA2,,,Arb!$AJ$13,1))</f>
        <v>121.60978497323435</v>
      </c>
      <c r="AA242" s="590" t="str">
        <f>AA97</f>
        <v>日期</v>
      </c>
      <c r="AB242" s="590"/>
      <c r="AC242" s="4" t="s">
        <v>288</v>
      </c>
      <c r="AD242" s="590" t="s">
        <v>6</v>
      </c>
      <c r="AE242" s="590"/>
      <c r="AF242" s="4" t="s">
        <v>103</v>
      </c>
      <c r="AG242" s="4" t="str">
        <f>AG97</f>
        <v>编号</v>
      </c>
      <c r="AH242" s="4" t="str">
        <f>AH97</f>
        <v>排位</v>
      </c>
      <c r="AI242" s="599" t="s">
        <v>37</v>
      </c>
      <c r="AJ242" s="599"/>
      <c r="AK242" s="315"/>
      <c r="AL242" s="315"/>
      <c r="AM242" s="315"/>
      <c r="AN242" s="433">
        <v>100</v>
      </c>
      <c r="AO242" s="11" t="str">
        <f ca="1">BV!C242</f>
        <v/>
      </c>
      <c r="AP242" s="11" t="str">
        <f ca="1">BV!K242</f>
        <v/>
      </c>
      <c r="AQ242" s="11" t="str">
        <f ca="1">BV!S242</f>
        <v/>
      </c>
      <c r="AR242" s="11" t="str">
        <f ca="1">BV!AA242</f>
        <v/>
      </c>
      <c r="AS242" s="11" t="str">
        <f ca="1">BV!AI242</f>
        <v/>
      </c>
      <c r="AT242" s="11" t="str">
        <f ca="1">BV!AQ242</f>
        <v/>
      </c>
      <c r="AU242" s="11" t="str">
        <f ca="1">BV!AY242</f>
        <v/>
      </c>
      <c r="AV242" s="11" t="str">
        <f ca="1">BV!BG242</f>
        <v/>
      </c>
      <c r="AW242" s="11" t="str">
        <f ca="1">BV!BO242</f>
        <v/>
      </c>
      <c r="AX242" s="11" t="str">
        <f ca="1">BV!BW242</f>
        <v/>
      </c>
      <c r="AY242" s="308" t="s">
        <v>105</v>
      </c>
      <c r="AZ242" s="311">
        <f t="shared" ref="AZ242:AZ273" si="118">0-LOG10(M242)</f>
        <v>5.4635981336612192</v>
      </c>
      <c r="BA242" s="261">
        <v>3.4387600000000002E-6</v>
      </c>
      <c r="BB242" s="268">
        <v>8.4533589190000005E-3</v>
      </c>
      <c r="BC242" s="268">
        <f t="shared" ref="BC242:BC305" si="119">BA242/BB242</f>
        <v>4.0679214415833561E-4</v>
      </c>
      <c r="BD242" s="269" t="str">
        <f ca="1">IF(BV!H242="","",INT(NOW()-BV!H242))</f>
        <v/>
      </c>
      <c r="BE242" s="312">
        <f t="shared" ref="BE242:BE305" si="120">1/M242^0.5</f>
        <v>539.26106717903133</v>
      </c>
      <c r="BF242" s="11" t="str">
        <f ca="1">BV!G242</f>
        <v/>
      </c>
      <c r="BG242" s="11" t="str">
        <f ca="1">BV!O242</f>
        <v/>
      </c>
      <c r="BH242" s="11" t="str">
        <f ca="1">BV!W242</f>
        <v/>
      </c>
      <c r="BI242" s="11" t="str">
        <f ca="1">BV!AE242</f>
        <v/>
      </c>
      <c r="BJ242" s="11" t="str">
        <f ca="1">BV!AM242</f>
        <v/>
      </c>
      <c r="BK242" s="11" t="str">
        <f ca="1">BV!AU242</f>
        <v/>
      </c>
      <c r="BL242" s="11" t="str">
        <f ca="1">BV!BC242</f>
        <v/>
      </c>
      <c r="BM242" s="11" t="str">
        <f ca="1">BV!BK242</f>
        <v/>
      </c>
      <c r="BN242" s="11" t="str">
        <f ca="1">BV!BS242</f>
        <v/>
      </c>
      <c r="BO242" s="11" t="str">
        <f ca="1">BV!CA242</f>
        <v/>
      </c>
      <c r="BP242" s="433">
        <v>100</v>
      </c>
      <c r="BQ242" s="11" t="str">
        <f ca="1">IFERROR(YEAR(OFFSET(BV!$H242,,(COLUMN()-69)*8)),"")</f>
        <v/>
      </c>
      <c r="BR242" s="11" t="str">
        <f ca="1">IFERROR(YEAR(OFFSET(BV!$H242,,(COLUMN()-69)*8)),"")</f>
        <v/>
      </c>
      <c r="BS242" s="11" t="str">
        <f ca="1">IFERROR(YEAR(OFFSET(BV!$H242,,(COLUMN()-69)*8)),"")</f>
        <v/>
      </c>
      <c r="BT242" s="11" t="str">
        <f ca="1">IFERROR(YEAR(OFFSET(BV!$H242,,(COLUMN()-69)*8)),"")</f>
        <v/>
      </c>
      <c r="BU242" s="11" t="str">
        <f ca="1">IFERROR(YEAR(OFFSET(BV!$H242,,(COLUMN()-69)*8)),"")</f>
        <v/>
      </c>
      <c r="BV242" s="11" t="str">
        <f ca="1">IFERROR(YEAR(OFFSET(BV!$H242,,(COLUMN()-69)*8)),"")</f>
        <v/>
      </c>
      <c r="BW242" s="11" t="str">
        <f ca="1">IFERROR(YEAR(OFFSET(BV!$H242,,(COLUMN()-69)*8)),"")</f>
        <v/>
      </c>
      <c r="BX242" s="11" t="str">
        <f ca="1">IFERROR(YEAR(OFFSET(BV!$H242,,(COLUMN()-69)*8)),"")</f>
        <v/>
      </c>
      <c r="BY242" s="11" t="str">
        <f ca="1">IFERROR(YEAR(OFFSET(BV!$H242,,(COLUMN()-69)*8)),"")</f>
        <v/>
      </c>
      <c r="BZ242" s="11" t="str">
        <f ca="1">IFERROR(YEAR(OFFSET(BV!$H242,,(COLUMN()-69)*8)),"")</f>
        <v/>
      </c>
    </row>
    <row r="243" spans="1:78" x14ac:dyDescent="0.25">
      <c r="A243" s="433">
        <v>101</v>
      </c>
      <c r="B243" s="11" t="str">
        <f ca="1">BV!D243</f>
        <v/>
      </c>
      <c r="C243" s="11" t="str">
        <f ca="1">BV!L243</f>
        <v/>
      </c>
      <c r="D243" s="11" t="str">
        <f ca="1">BV!T243</f>
        <v/>
      </c>
      <c r="E243" s="11" t="str">
        <f ca="1">BV!AB243</f>
        <v/>
      </c>
      <c r="F243" s="11" t="str">
        <f ca="1">BV!AJ243</f>
        <v/>
      </c>
      <c r="G243" s="11" t="str">
        <f ca="1">BV!AR243</f>
        <v/>
      </c>
      <c r="H243" s="11" t="str">
        <f ca="1">BV!AZ243</f>
        <v/>
      </c>
      <c r="I243" s="11" t="str">
        <f ca="1">BV!BH243</f>
        <v/>
      </c>
      <c r="J243" s="11" t="str">
        <f ca="1">BV!BP243</f>
        <v/>
      </c>
      <c r="K243" s="11" t="str">
        <f ca="1">BV!BX243</f>
        <v/>
      </c>
      <c r="L243" s="308" t="s">
        <v>105</v>
      </c>
      <c r="M243" s="261">
        <v>4.525779E-6</v>
      </c>
      <c r="N243" s="309" t="str">
        <f t="shared" ca="1" si="117"/>
        <v/>
      </c>
      <c r="O243" s="4" t="str">
        <f ca="1">OFFSET(Week!$II1,COLUMN()-15,,)</f>
        <v>bs.20</v>
      </c>
      <c r="P243" s="51">
        <f ca="1">OFFSET(Week!$II1,COLUMN()-15,,)/20</f>
        <v>0</v>
      </c>
      <c r="Q243" s="755">
        <f ca="1">OFFSET(Week!$II1,COLUMN()-15,,)/20</f>
        <v>59.193619953029085</v>
      </c>
      <c r="R243" s="756">
        <f ca="1">OFFSET(Week!$II1,COLUMN()-15,,)/20</f>
        <v>1.0308112668755658</v>
      </c>
      <c r="S243" s="51">
        <f ca="1">OFFSET(Week!$II1,COLUMN()-15,,)/20</f>
        <v>0</v>
      </c>
      <c r="T243" s="756">
        <f ca="1">OFFSET(Week!$II1,COLUMN()-15,,)/20</f>
        <v>1.7097415265481799</v>
      </c>
      <c r="U243" s="51">
        <f ca="1">OFFSET(Week!$II1,COLUMN()-15,,)/20</f>
        <v>0</v>
      </c>
      <c r="V243" s="757">
        <f ca="1">OFFSET(Week!$II1,COLUMN()-15,,)/20</f>
        <v>18.712013529024226</v>
      </c>
      <c r="W243" s="51">
        <f ca="1">OFFSET(Week!$II1,COLUMN()-15,,)/20</f>
        <v>0</v>
      </c>
      <c r="X243" s="756">
        <f ca="1">OFFSET(Week!$II1,COLUMN()-15,,)/20</f>
        <v>11.518093668257299</v>
      </c>
      <c r="Y243" s="758">
        <f ca="1">OFFSET(Week!$II1,COLUMN()-15,,)/20</f>
        <v>28.11758286076353</v>
      </c>
      <c r="Z243" s="51">
        <f ca="1">MAX(OFFSET(Week!II2,,,Arb!$AJ$13,1))/20</f>
        <v>59.193619953029085</v>
      </c>
      <c r="AA243" s="620">
        <f ca="1">LARGE(Time!J$2:J$201,AG243)</f>
        <v>44168.171999999999</v>
      </c>
      <c r="AB243" s="620"/>
      <c r="AC243" s="11">
        <f ca="1">INDEX(Time!C$2:C$201,AH243)</f>
        <v>15</v>
      </c>
      <c r="AD243" s="597">
        <f ca="1">INDEX(Time!D$2:D$201,AH243)</f>
        <v>4.3</v>
      </c>
      <c r="AE243" s="597"/>
      <c r="AF243" s="11">
        <f ca="1">INDEX(Time!E$2:E$201,AH243)</f>
        <v>3.4883720930232558</v>
      </c>
      <c r="AG243" s="11">
        <v>1</v>
      </c>
      <c r="AH243" s="1">
        <f ca="1">MATCH(AA243,Time!J$2:J$201,0)</f>
        <v>171</v>
      </c>
      <c r="AI243" s="589">
        <f ca="1">47.299/(AD243^1.7/AC243)</f>
        <v>59.435626311843862</v>
      </c>
      <c r="AJ243" s="589"/>
      <c r="AL243" s="315"/>
      <c r="AM243" s="315"/>
      <c r="AN243" s="433">
        <v>101</v>
      </c>
      <c r="AO243" s="11" t="str">
        <f ca="1">BV!C243</f>
        <v/>
      </c>
      <c r="AP243" s="11" t="str">
        <f ca="1">BV!K243</f>
        <v/>
      </c>
      <c r="AQ243" s="11" t="str">
        <f ca="1">BV!S243</f>
        <v/>
      </c>
      <c r="AR243" s="11" t="str">
        <f ca="1">BV!AA243</f>
        <v/>
      </c>
      <c r="AS243" s="11" t="str">
        <f ca="1">BV!AI243</f>
        <v/>
      </c>
      <c r="AT243" s="11" t="str">
        <f ca="1">BV!AQ243</f>
        <v/>
      </c>
      <c r="AU243" s="11" t="str">
        <f ca="1">BV!AY243</f>
        <v/>
      </c>
      <c r="AV243" s="11" t="str">
        <f ca="1">BV!BG243</f>
        <v/>
      </c>
      <c r="AW243" s="11" t="str">
        <f ca="1">BV!BO243</f>
        <v/>
      </c>
      <c r="AX243" s="11" t="str">
        <f ca="1">BV!BW243</f>
        <v/>
      </c>
      <c r="AY243" s="308" t="s">
        <v>105</v>
      </c>
      <c r="AZ243" s="311">
        <f t="shared" si="118"/>
        <v>5.3443066570591204</v>
      </c>
      <c r="BA243" s="261">
        <v>4.525779E-6</v>
      </c>
      <c r="BB243" s="268">
        <v>8.4533589190000005E-3</v>
      </c>
      <c r="BC243" s="268">
        <f t="shared" si="119"/>
        <v>5.3538233066476515E-4</v>
      </c>
      <c r="BD243" s="269" t="str">
        <f ca="1">IF(BV!H243="","",INT(NOW()-BV!H243))</f>
        <v/>
      </c>
      <c r="BE243" s="312">
        <f t="shared" si="120"/>
        <v>470.06003494228895</v>
      </c>
      <c r="BF243" s="11" t="str">
        <f ca="1">BV!G243</f>
        <v/>
      </c>
      <c r="BG243" s="11" t="str">
        <f ca="1">BV!O243</f>
        <v/>
      </c>
      <c r="BH243" s="11" t="str">
        <f ca="1">BV!W243</f>
        <v/>
      </c>
      <c r="BI243" s="11" t="str">
        <f ca="1">BV!AE243</f>
        <v/>
      </c>
      <c r="BJ243" s="11" t="str">
        <f ca="1">BV!AM243</f>
        <v/>
      </c>
      <c r="BK243" s="11" t="str">
        <f ca="1">BV!AU243</f>
        <v/>
      </c>
      <c r="BL243" s="11" t="str">
        <f ca="1">BV!BC243</f>
        <v/>
      </c>
      <c r="BM243" s="11" t="str">
        <f ca="1">BV!BK243</f>
        <v/>
      </c>
      <c r="BN243" s="11" t="str">
        <f ca="1">BV!BS243</f>
        <v/>
      </c>
      <c r="BO243" s="11" t="str">
        <f ca="1">BV!CA243</f>
        <v/>
      </c>
      <c r="BP243" s="433">
        <v>101</v>
      </c>
      <c r="BQ243" s="11" t="str">
        <f ca="1">IFERROR(YEAR(OFFSET(BV!$H243,,(COLUMN()-69)*8)),"")</f>
        <v/>
      </c>
      <c r="BR243" s="11" t="str">
        <f ca="1">IFERROR(YEAR(OFFSET(BV!$H243,,(COLUMN()-69)*8)),"")</f>
        <v/>
      </c>
      <c r="BS243" s="11" t="str">
        <f ca="1">IFERROR(YEAR(OFFSET(BV!$H243,,(COLUMN()-69)*8)),"")</f>
        <v/>
      </c>
      <c r="BT243" s="11" t="str">
        <f ca="1">IFERROR(YEAR(OFFSET(BV!$H243,,(COLUMN()-69)*8)),"")</f>
        <v/>
      </c>
      <c r="BU243" s="11" t="str">
        <f ca="1">IFERROR(YEAR(OFFSET(BV!$H243,,(COLUMN()-69)*8)),"")</f>
        <v/>
      </c>
      <c r="BV243" s="11" t="str">
        <f ca="1">IFERROR(YEAR(OFFSET(BV!$H243,,(COLUMN()-69)*8)),"")</f>
        <v/>
      </c>
      <c r="BW243" s="11" t="str">
        <f ca="1">IFERROR(YEAR(OFFSET(BV!$H243,,(COLUMN()-69)*8)),"")</f>
        <v/>
      </c>
      <c r="BX243" s="11" t="str">
        <f ca="1">IFERROR(YEAR(OFFSET(BV!$H243,,(COLUMN()-69)*8)),"")</f>
        <v/>
      </c>
      <c r="BY243" s="11" t="str">
        <f ca="1">IFERROR(YEAR(OFFSET(BV!$H243,,(COLUMN()-69)*8)),"")</f>
        <v/>
      </c>
      <c r="BZ243" s="11" t="str">
        <f ca="1">IFERROR(YEAR(OFFSET(BV!$H243,,(COLUMN()-69)*8)),"")</f>
        <v/>
      </c>
    </row>
    <row r="244" spans="1:78" x14ac:dyDescent="0.25">
      <c r="A244" s="433">
        <v>102</v>
      </c>
      <c r="B244" s="11" t="str">
        <f ca="1">BV!D244</f>
        <v/>
      </c>
      <c r="C244" s="11" t="str">
        <f ca="1">BV!L244</f>
        <v/>
      </c>
      <c r="D244" s="11" t="str">
        <f ca="1">BV!T244</f>
        <v/>
      </c>
      <c r="E244" s="11" t="str">
        <f ca="1">BV!AB244</f>
        <v/>
      </c>
      <c r="F244" s="11" t="str">
        <f ca="1">BV!AJ244</f>
        <v/>
      </c>
      <c r="G244" s="11" t="str">
        <f ca="1">BV!AR244</f>
        <v/>
      </c>
      <c r="H244" s="11" t="str">
        <f ca="1">BV!AZ244</f>
        <v/>
      </c>
      <c r="I244" s="11" t="str">
        <f ca="1">BV!BH244</f>
        <v/>
      </c>
      <c r="J244" s="11" t="str">
        <f ca="1">BV!BP244</f>
        <v/>
      </c>
      <c r="K244" s="11" t="str">
        <f ca="1">BV!BX244</f>
        <v/>
      </c>
      <c r="L244" s="308" t="s">
        <v>105</v>
      </c>
      <c r="M244" s="261">
        <v>5.9260880000000004E-6</v>
      </c>
      <c r="N244" s="309" t="str">
        <f t="shared" ca="1" si="117"/>
        <v/>
      </c>
      <c r="O244" s="4" t="str">
        <f ca="1">OFFSET(Week!$IJ1,COLUMN()-15,,)</f>
        <v>is.12</v>
      </c>
      <c r="P244" s="51">
        <f ca="1">OFFSET(Week!$IJ1,COLUMN()-15,,)/12</f>
        <v>0</v>
      </c>
      <c r="Q244" s="759">
        <f ca="1">OFFSET(Week!$IJ1,COLUMN()-15,,)/12</f>
        <v>45.876007723523848</v>
      </c>
      <c r="R244" s="51">
        <f ca="1">OFFSET(Week!$IJ1,COLUMN()-15,,)/12</f>
        <v>0</v>
      </c>
      <c r="S244" s="51">
        <f ca="1">OFFSET(Week!$IJ1,COLUMN()-15,,)/12</f>
        <v>0</v>
      </c>
      <c r="T244" s="51">
        <f ca="1">OFFSET(Week!$IJ1,COLUMN()-15,,)/12</f>
        <v>0</v>
      </c>
      <c r="U244" s="51">
        <f ca="1">OFFSET(Week!$IJ1,COLUMN()-15,,)/12</f>
        <v>0</v>
      </c>
      <c r="V244" s="756">
        <f ca="1">OFFSET(Week!$IJ1,COLUMN()-15,,)/12</f>
        <v>9.5688611014673732</v>
      </c>
      <c r="W244" s="51">
        <f ca="1">OFFSET(Week!$IJ1,COLUMN()-15,,)/12</f>
        <v>0</v>
      </c>
      <c r="X244" s="759">
        <f ca="1">OFFSET(Week!$IJ1,COLUMN()-15,,)/12</f>
        <v>38.630322081626097</v>
      </c>
      <c r="Y244" s="759">
        <f ca="1">OFFSET(Week!$IJ1,COLUMN()-15,,)/12</f>
        <v>47.670421706932217</v>
      </c>
      <c r="Z244" s="51">
        <f ca="1">MAX(OFFSET(Week!IJ2,,,Arb!$AJ$13,1))/12</f>
        <v>47.670421706932217</v>
      </c>
      <c r="AA244" s="620">
        <f ca="1">LARGE(Time!J$2:J$201,AG244)</f>
        <v>44168.144</v>
      </c>
      <c r="AB244" s="620"/>
      <c r="AC244" s="11">
        <f ca="1">INDEX(Time!C$2:C$201,AH244)</f>
        <v>11</v>
      </c>
      <c r="AD244" s="597">
        <f ca="1">INDEX(Time!D$2:D$201,AH244)</f>
        <v>4.1900000000000004</v>
      </c>
      <c r="AE244" s="597"/>
      <c r="AF244" s="11">
        <f ca="1">INDEX(Time!E$2:E$201,AH244)</f>
        <v>2.6252983293556085</v>
      </c>
      <c r="AG244" s="11">
        <v>2</v>
      </c>
      <c r="AH244" s="1">
        <f ca="1">MATCH(AA244,Time!J$2:J$201,0)</f>
        <v>143</v>
      </c>
      <c r="AI244" s="589">
        <f t="shared" ref="AI244:AI252" ca="1" si="121">47.299/(AD244^1.7/AC244)</f>
        <v>45.549205388541807</v>
      </c>
      <c r="AJ244" s="589"/>
      <c r="AL244" s="315"/>
      <c r="AM244" s="315"/>
      <c r="AN244" s="433">
        <v>102</v>
      </c>
      <c r="AO244" s="11" t="str">
        <f ca="1">BV!C244</f>
        <v/>
      </c>
      <c r="AP244" s="11" t="str">
        <f ca="1">BV!K244</f>
        <v/>
      </c>
      <c r="AQ244" s="11" t="str">
        <f ca="1">BV!S244</f>
        <v/>
      </c>
      <c r="AR244" s="11" t="str">
        <f ca="1">BV!AA244</f>
        <v/>
      </c>
      <c r="AS244" s="11" t="str">
        <f ca="1">BV!AI244</f>
        <v/>
      </c>
      <c r="AT244" s="11" t="str">
        <f ca="1">BV!AQ244</f>
        <v/>
      </c>
      <c r="AU244" s="11" t="str">
        <f ca="1">BV!AY244</f>
        <v/>
      </c>
      <c r="AV244" s="11" t="str">
        <f ca="1">BV!BG244</f>
        <v/>
      </c>
      <c r="AW244" s="11" t="str">
        <f ca="1">BV!BO244</f>
        <v/>
      </c>
      <c r="AX244" s="11" t="str">
        <f ca="1">BV!BW244</f>
        <v/>
      </c>
      <c r="AY244" s="308" t="s">
        <v>105</v>
      </c>
      <c r="AZ244" s="311">
        <f t="shared" si="118"/>
        <v>5.2272319037114103</v>
      </c>
      <c r="BA244" s="261">
        <v>5.9260880000000004E-6</v>
      </c>
      <c r="BB244" s="268">
        <v>8.4533589190000005E-3</v>
      </c>
      <c r="BC244" s="268">
        <f t="shared" si="119"/>
        <v>7.0103352487262344E-4</v>
      </c>
      <c r="BD244" s="269" t="str">
        <f ca="1">IF(BV!H244="","",INT(NOW()-BV!H244))</f>
        <v/>
      </c>
      <c r="BE244" s="312">
        <f t="shared" si="120"/>
        <v>410.78630066462216</v>
      </c>
      <c r="BF244" s="11" t="str">
        <f ca="1">BV!G244</f>
        <v/>
      </c>
      <c r="BG244" s="11" t="str">
        <f ca="1">BV!O244</f>
        <v/>
      </c>
      <c r="BH244" s="11" t="str">
        <f ca="1">BV!W244</f>
        <v/>
      </c>
      <c r="BI244" s="11" t="str">
        <f ca="1">BV!AE244</f>
        <v/>
      </c>
      <c r="BJ244" s="11" t="str">
        <f ca="1">BV!AM244</f>
        <v/>
      </c>
      <c r="BK244" s="11" t="str">
        <f ca="1">BV!AU244</f>
        <v/>
      </c>
      <c r="BL244" s="11" t="str">
        <f ca="1">BV!BC244</f>
        <v/>
      </c>
      <c r="BM244" s="11" t="str">
        <f ca="1">BV!BK244</f>
        <v/>
      </c>
      <c r="BN244" s="11" t="str">
        <f ca="1">BV!BS244</f>
        <v/>
      </c>
      <c r="BO244" s="11" t="str">
        <f ca="1">BV!CA244</f>
        <v/>
      </c>
      <c r="BP244" s="433">
        <v>102</v>
      </c>
      <c r="BQ244" s="11" t="str">
        <f ca="1">IFERROR(YEAR(OFFSET(BV!$H244,,(COLUMN()-69)*8)),"")</f>
        <v/>
      </c>
      <c r="BR244" s="11" t="str">
        <f ca="1">IFERROR(YEAR(OFFSET(BV!$H244,,(COLUMN()-69)*8)),"")</f>
        <v/>
      </c>
      <c r="BS244" s="11" t="str">
        <f ca="1">IFERROR(YEAR(OFFSET(BV!$H244,,(COLUMN()-69)*8)),"")</f>
        <v/>
      </c>
      <c r="BT244" s="11" t="str">
        <f ca="1">IFERROR(YEAR(OFFSET(BV!$H244,,(COLUMN()-69)*8)),"")</f>
        <v/>
      </c>
      <c r="BU244" s="11" t="str">
        <f ca="1">IFERROR(YEAR(OFFSET(BV!$H244,,(COLUMN()-69)*8)),"")</f>
        <v/>
      </c>
      <c r="BV244" s="11" t="str">
        <f ca="1">IFERROR(YEAR(OFFSET(BV!$H244,,(COLUMN()-69)*8)),"")</f>
        <v/>
      </c>
      <c r="BW244" s="11" t="str">
        <f ca="1">IFERROR(YEAR(OFFSET(BV!$H244,,(COLUMN()-69)*8)),"")</f>
        <v/>
      </c>
      <c r="BX244" s="11" t="str">
        <f ca="1">IFERROR(YEAR(OFFSET(BV!$H244,,(COLUMN()-69)*8)),"")</f>
        <v/>
      </c>
      <c r="BY244" s="11" t="str">
        <f ca="1">IFERROR(YEAR(OFFSET(BV!$H244,,(COLUMN()-69)*8)),"")</f>
        <v/>
      </c>
      <c r="BZ244" s="11" t="str">
        <f ca="1">IFERROR(YEAR(OFFSET(BV!$H244,,(COLUMN()-69)*8)),"")</f>
        <v/>
      </c>
    </row>
    <row r="245" spans="1:78" x14ac:dyDescent="0.25">
      <c r="A245" s="433">
        <v>103</v>
      </c>
      <c r="B245" s="11" t="str">
        <f ca="1">BV!D245</f>
        <v/>
      </c>
      <c r="C245" s="11" t="str">
        <f ca="1">BV!L245</f>
        <v/>
      </c>
      <c r="D245" s="11" t="str">
        <f ca="1">BV!T245</f>
        <v/>
      </c>
      <c r="E245" s="11" t="str">
        <f ca="1">BV!AB245</f>
        <v/>
      </c>
      <c r="F245" s="11" t="str">
        <f ca="1">BV!AJ245</f>
        <v/>
      </c>
      <c r="G245" s="11" t="str">
        <f ca="1">BV!AR245</f>
        <v/>
      </c>
      <c r="H245" s="11" t="str">
        <f ca="1">BV!AZ245</f>
        <v/>
      </c>
      <c r="I245" s="11" t="str">
        <f ca="1">BV!BH245</f>
        <v/>
      </c>
      <c r="J245" s="11" t="str">
        <f ca="1">BV!BP245</f>
        <v/>
      </c>
      <c r="K245" s="11" t="str">
        <f ca="1">BV!BX245</f>
        <v/>
      </c>
      <c r="L245" s="308" t="s">
        <v>105</v>
      </c>
      <c r="M245" s="261">
        <v>7.7136369999999997E-6</v>
      </c>
      <c r="N245" s="309" t="str">
        <f t="shared" ca="1" si="117"/>
        <v/>
      </c>
      <c r="O245" s="4" t="str">
        <f ca="1">OFFSET(Week!$IK1,COLUMN()-15,,)</f>
        <v>es.5</v>
      </c>
      <c r="P245" s="760">
        <f ca="1">OFFSET(Week!$IK1,COLUMN()-15,,)/5</f>
        <v>54.029791321511411</v>
      </c>
      <c r="Q245" s="755">
        <f ca="1">OFFSET(Week!$IK1,COLUMN()-15,,)/5</f>
        <v>56.520157473813086</v>
      </c>
      <c r="R245" s="51">
        <f ca="1">OFFSET(Week!$IK1,COLUMN()-15,,)/5</f>
        <v>0</v>
      </c>
      <c r="S245" s="759">
        <f ca="1">OFFSET(Week!$IK1,COLUMN()-15,,)/5</f>
        <v>41.772612898422928</v>
      </c>
      <c r="T245" s="760">
        <f ca="1">OFFSET(Week!$IK1,COLUMN()-15,,)/5</f>
        <v>55.8324687602789</v>
      </c>
      <c r="U245" s="760">
        <f ca="1">OFFSET(Week!$IK1,COLUMN()-15,,)/5</f>
        <v>54.154311869132435</v>
      </c>
      <c r="V245" s="759">
        <f ca="1">OFFSET(Week!$IK1,COLUMN()-15,,)/5</f>
        <v>49.478562425525297</v>
      </c>
      <c r="W245" s="759">
        <f ca="1">OFFSET(Week!$IK1,COLUMN()-15,,)/5</f>
        <v>48.333490990044005</v>
      </c>
      <c r="X245" s="756">
        <f ca="1">OFFSET(Week!$IK1,COLUMN()-15,,)/5</f>
        <v>9.1911749893617376</v>
      </c>
      <c r="Y245" s="758">
        <f ca="1">OFFSET(Week!$IK1,COLUMN()-15,,)/5</f>
        <v>26.56126758120206</v>
      </c>
      <c r="Z245" s="51">
        <f ca="1">MAX(OFFSET(Week!$IK2,,,Arb!$AJ$13,1))/5</f>
        <v>62.817480303090612</v>
      </c>
      <c r="AA245" s="620">
        <f ca="1">LARGE(Time!J$2:J$201,AG245)</f>
        <v>44168.131999999998</v>
      </c>
      <c r="AB245" s="620"/>
      <c r="AC245" s="11">
        <f ca="1">INDEX(Time!C$2:C$201,AH245)</f>
        <v>11</v>
      </c>
      <c r="AD245" s="597">
        <f ca="1">INDEX(Time!D$2:D$201,AH245)</f>
        <v>4.13</v>
      </c>
      <c r="AE245" s="597"/>
      <c r="AF245" s="11">
        <f ca="1">INDEX(Time!E$2:E$201,AH245)</f>
        <v>2.6634382566585959</v>
      </c>
      <c r="AG245" s="11">
        <v>3</v>
      </c>
      <c r="AH245" s="1">
        <f ca="1">MATCH(AA245,Time!J$2:J$201,0)</f>
        <v>131</v>
      </c>
      <c r="AI245" s="589">
        <f t="shared" ca="1" si="121"/>
        <v>46.679861227632038</v>
      </c>
      <c r="AJ245" s="589"/>
      <c r="AL245" s="315"/>
      <c r="AM245" s="315"/>
      <c r="AN245" s="433">
        <v>103</v>
      </c>
      <c r="AO245" s="11" t="str">
        <f ca="1">BV!C245</f>
        <v/>
      </c>
      <c r="AP245" s="11" t="str">
        <f ca="1">BV!K245</f>
        <v/>
      </c>
      <c r="AQ245" s="11" t="str">
        <f ca="1">BV!S245</f>
        <v/>
      </c>
      <c r="AR245" s="11" t="str">
        <f ca="1">BV!AA245</f>
        <v/>
      </c>
      <c r="AS245" s="11" t="str">
        <f ca="1">BV!AI245</f>
        <v/>
      </c>
      <c r="AT245" s="11" t="str">
        <f ca="1">BV!AQ245</f>
        <v/>
      </c>
      <c r="AU245" s="11" t="str">
        <f ca="1">BV!AY245</f>
        <v/>
      </c>
      <c r="AV245" s="11" t="str">
        <f ca="1">BV!BG245</f>
        <v/>
      </c>
      <c r="AW245" s="11" t="str">
        <f ca="1">BV!BO245</f>
        <v/>
      </c>
      <c r="AX245" s="11" t="str">
        <f ca="1">BV!BW245</f>
        <v/>
      </c>
      <c r="AY245" s="308" t="s">
        <v>105</v>
      </c>
      <c r="AZ245" s="311">
        <f t="shared" si="118"/>
        <v>5.1127408026758774</v>
      </c>
      <c r="BA245" s="261">
        <v>7.7136369999999997E-6</v>
      </c>
      <c r="BB245" s="268">
        <v>8.4533589190000005E-3</v>
      </c>
      <c r="BC245" s="268">
        <f t="shared" si="119"/>
        <v>9.1249372869553881E-4</v>
      </c>
      <c r="BD245" s="269" t="str">
        <f ca="1">IF(BV!H245="","",INT(NOW()-BV!H245))</f>
        <v/>
      </c>
      <c r="BE245" s="312">
        <f t="shared" si="120"/>
        <v>360.05628926325306</v>
      </c>
      <c r="BF245" s="11" t="str">
        <f ca="1">BV!G245</f>
        <v/>
      </c>
      <c r="BG245" s="11" t="str">
        <f ca="1">BV!O245</f>
        <v/>
      </c>
      <c r="BH245" s="11" t="str">
        <f ca="1">BV!W245</f>
        <v/>
      </c>
      <c r="BI245" s="11" t="str">
        <f ca="1">BV!AE245</f>
        <v/>
      </c>
      <c r="BJ245" s="11" t="str">
        <f ca="1">BV!AM245</f>
        <v/>
      </c>
      <c r="BK245" s="11" t="str">
        <f ca="1">BV!AU245</f>
        <v/>
      </c>
      <c r="BL245" s="11" t="str">
        <f ca="1">BV!BC245</f>
        <v/>
      </c>
      <c r="BM245" s="11" t="str">
        <f ca="1">BV!BK245</f>
        <v/>
      </c>
      <c r="BN245" s="11" t="str">
        <f ca="1">BV!BS245</f>
        <v/>
      </c>
      <c r="BO245" s="11" t="str">
        <f ca="1">BV!CA245</f>
        <v/>
      </c>
      <c r="BP245" s="433">
        <v>103</v>
      </c>
      <c r="BQ245" s="11" t="str">
        <f ca="1">IFERROR(YEAR(OFFSET(BV!$H245,,(COLUMN()-69)*8)),"")</f>
        <v/>
      </c>
      <c r="BR245" s="11" t="str">
        <f ca="1">IFERROR(YEAR(OFFSET(BV!$H245,,(COLUMN()-69)*8)),"")</f>
        <v/>
      </c>
      <c r="BS245" s="11" t="str">
        <f ca="1">IFERROR(YEAR(OFFSET(BV!$H245,,(COLUMN()-69)*8)),"")</f>
        <v/>
      </c>
      <c r="BT245" s="11" t="str">
        <f ca="1">IFERROR(YEAR(OFFSET(BV!$H245,,(COLUMN()-69)*8)),"")</f>
        <v/>
      </c>
      <c r="BU245" s="11" t="str">
        <f ca="1">IFERROR(YEAR(OFFSET(BV!$H245,,(COLUMN()-69)*8)),"")</f>
        <v/>
      </c>
      <c r="BV245" s="11" t="str">
        <f ca="1">IFERROR(YEAR(OFFSET(BV!$H245,,(COLUMN()-69)*8)),"")</f>
        <v/>
      </c>
      <c r="BW245" s="11" t="str">
        <f ca="1">IFERROR(YEAR(OFFSET(BV!$H245,,(COLUMN()-69)*8)),"")</f>
        <v/>
      </c>
      <c r="BX245" s="11" t="str">
        <f ca="1">IFERROR(YEAR(OFFSET(BV!$H245,,(COLUMN()-69)*8)),"")</f>
        <v/>
      </c>
      <c r="BY245" s="11" t="str">
        <f ca="1">IFERROR(YEAR(OFFSET(BV!$H245,,(COLUMN()-69)*8)),"")</f>
        <v/>
      </c>
      <c r="BZ245" s="11" t="str">
        <f ca="1">IFERROR(YEAR(OFFSET(BV!$H245,,(COLUMN()-69)*8)),"")</f>
        <v/>
      </c>
    </row>
    <row r="246" spans="1:78" x14ac:dyDescent="0.25">
      <c r="A246" s="433">
        <v>104</v>
      </c>
      <c r="B246" s="11" t="str">
        <f ca="1">BV!D246</f>
        <v/>
      </c>
      <c r="C246" s="11" t="str">
        <f ca="1">BV!L246</f>
        <v/>
      </c>
      <c r="D246" s="11" t="str">
        <f ca="1">BV!T246</f>
        <v/>
      </c>
      <c r="E246" s="11" t="str">
        <f ca="1">BV!AB246</f>
        <v/>
      </c>
      <c r="F246" s="11" t="str">
        <f ca="1">BV!AJ246</f>
        <v/>
      </c>
      <c r="G246" s="11" t="str">
        <f ca="1">BV!AR246</f>
        <v/>
      </c>
      <c r="H246" s="11" t="str">
        <f ca="1">BV!AZ246</f>
        <v/>
      </c>
      <c r="I246" s="11" t="str">
        <f ca="1">BV!BH246</f>
        <v/>
      </c>
      <c r="J246" s="11" t="str">
        <f ca="1">BV!BP246</f>
        <v/>
      </c>
      <c r="K246" s="11" t="str">
        <f ca="1">BV!BX246</f>
        <v/>
      </c>
      <c r="L246" s="308" t="s">
        <v>105</v>
      </c>
      <c r="M246" s="261">
        <v>9.9748300000000002E-6</v>
      </c>
      <c r="N246" s="309" t="str">
        <f t="shared" ca="1" si="117"/>
        <v/>
      </c>
      <c r="O246" s="1" t="str">
        <f ca="1">OFFSET(Week!$IL1,COLUMN()-15,,)</f>
        <v>bpp.20</v>
      </c>
      <c r="P246" s="2">
        <f ca="1">OFFSET(Week!$IL1,COLUMN()-15,,)</f>
        <v>0</v>
      </c>
      <c r="Q246" s="690">
        <f ca="1">OFFSET(Week!$IL1,COLUMN()-15,,)</f>
        <v>0.70082963512983165</v>
      </c>
      <c r="R246" s="2">
        <f ca="1">OFFSET(Week!$IL1,COLUMN()-15,,)</f>
        <v>1.1463975857829512E-4</v>
      </c>
      <c r="S246" s="2">
        <f ca="1">OFFSET(Week!$IL1,COLUMN()-15,,)</f>
        <v>0</v>
      </c>
      <c r="T246" s="2">
        <f ca="1">OFFSET(Week!$IL1,COLUMN()-15,,)</f>
        <v>3.1597843361389779E-4</v>
      </c>
      <c r="U246" s="2">
        <f ca="1">OFFSET(Week!$IL1,COLUMN()-15,,)</f>
        <v>0</v>
      </c>
      <c r="V246" s="690">
        <f ca="1">OFFSET(Week!$IL1,COLUMN()-15,,)</f>
        <v>4.3691721855904239E-2</v>
      </c>
      <c r="W246" s="2">
        <f ca="1">OFFSET(Week!$IL1,COLUMN()-15,,)</f>
        <v>0</v>
      </c>
      <c r="X246" s="690">
        <f ca="1">OFFSET(Week!$IL1,COLUMN()-15,,)</f>
        <v>1.5085962149918518E-2</v>
      </c>
      <c r="Y246" s="690">
        <f ca="1">OFFSET(Week!$IL1,COLUMN()-15,,)</f>
        <v>0.10148930672718032</v>
      </c>
      <c r="Z246" s="52">
        <f ca="1">MAX(OFFSET(Week!$IL2,,,Arb!$AJ$13,1))</f>
        <v>0.70082963512983165</v>
      </c>
      <c r="AA246" s="620">
        <f ca="1">LARGE(Time!J$2:J$201,AG246)</f>
        <v>44168.118000000002</v>
      </c>
      <c r="AB246" s="620"/>
      <c r="AC246" s="11">
        <f ca="1">INDEX(Time!C$2:C$201,AH246)</f>
        <v>10</v>
      </c>
      <c r="AD246" s="597">
        <f ca="1">INDEX(Time!D$2:D$201,AH246)</f>
        <v>4.08</v>
      </c>
      <c r="AE246" s="597"/>
      <c r="AF246" s="11">
        <f ca="1">INDEX(Time!E$2:E$201,AH246)</f>
        <v>2.4509803921568629</v>
      </c>
      <c r="AG246" s="11">
        <v>4</v>
      </c>
      <c r="AH246" s="1">
        <f ca="1">MATCH(AA246,Time!J$2:J$201,0)</f>
        <v>117</v>
      </c>
      <c r="AI246" s="589">
        <f t="shared" ca="1" si="121"/>
        <v>43.324113177104742</v>
      </c>
      <c r="AJ246" s="589"/>
      <c r="AL246" s="315"/>
      <c r="AM246" s="315"/>
      <c r="AN246" s="433">
        <v>104</v>
      </c>
      <c r="AO246" s="11" t="str">
        <f ca="1">BV!C246</f>
        <v/>
      </c>
      <c r="AP246" s="11" t="str">
        <f ca="1">BV!K246</f>
        <v/>
      </c>
      <c r="AQ246" s="11" t="str">
        <f ca="1">BV!S246</f>
        <v/>
      </c>
      <c r="AR246" s="11" t="str">
        <f ca="1">BV!AA246</f>
        <v/>
      </c>
      <c r="AS246" s="11" t="str">
        <f ca="1">BV!AI246</f>
        <v/>
      </c>
      <c r="AT246" s="11" t="str">
        <f ca="1">BV!AQ246</f>
        <v/>
      </c>
      <c r="AU246" s="11" t="str">
        <f ca="1">BV!AY246</f>
        <v/>
      </c>
      <c r="AV246" s="11" t="str">
        <f ca="1">BV!BG246</f>
        <v/>
      </c>
      <c r="AW246" s="11" t="str">
        <f ca="1">BV!BO246</f>
        <v/>
      </c>
      <c r="AX246" s="11" t="str">
        <f ca="1">BV!BW246</f>
        <v/>
      </c>
      <c r="AY246" s="308" t="s">
        <v>105</v>
      </c>
      <c r="AZ246" s="311">
        <f t="shared" si="118"/>
        <v>5.001094497214253</v>
      </c>
      <c r="BA246" s="261">
        <v>9.9748300000000002E-6</v>
      </c>
      <c r="BB246" s="268">
        <v>8.4533589190000005E-3</v>
      </c>
      <c r="BC246" s="268">
        <f t="shared" si="119"/>
        <v>1.1799842045722559E-3</v>
      </c>
      <c r="BD246" s="269" t="str">
        <f ca="1">IF(BV!H246="","",INT(NOW()-BV!H246))</f>
        <v/>
      </c>
      <c r="BE246" s="312">
        <f t="shared" si="120"/>
        <v>316.62649151250116</v>
      </c>
      <c r="BF246" s="11" t="str">
        <f ca="1">BV!G246</f>
        <v/>
      </c>
      <c r="BG246" s="11" t="str">
        <f ca="1">BV!O246</f>
        <v/>
      </c>
      <c r="BH246" s="11" t="str">
        <f ca="1">BV!W246</f>
        <v/>
      </c>
      <c r="BI246" s="11" t="str">
        <f ca="1">BV!AE246</f>
        <v/>
      </c>
      <c r="BJ246" s="11" t="str">
        <f ca="1">BV!AM246</f>
        <v/>
      </c>
      <c r="BK246" s="11" t="str">
        <f ca="1">BV!AU246</f>
        <v/>
      </c>
      <c r="BL246" s="11" t="str">
        <f ca="1">BV!BC246</f>
        <v/>
      </c>
      <c r="BM246" s="11" t="str">
        <f ca="1">BV!BK246</f>
        <v/>
      </c>
      <c r="BN246" s="11" t="str">
        <f ca="1">BV!BS246</f>
        <v/>
      </c>
      <c r="BO246" s="11" t="str">
        <f ca="1">BV!CA246</f>
        <v/>
      </c>
      <c r="BP246" s="433">
        <v>104</v>
      </c>
      <c r="BQ246" s="11" t="str">
        <f ca="1">IFERROR(YEAR(OFFSET(BV!$H246,,(COLUMN()-69)*8)),"")</f>
        <v/>
      </c>
      <c r="BR246" s="11" t="str">
        <f ca="1">IFERROR(YEAR(OFFSET(BV!$H246,,(COLUMN()-69)*8)),"")</f>
        <v/>
      </c>
      <c r="BS246" s="11" t="str">
        <f ca="1">IFERROR(YEAR(OFFSET(BV!$H246,,(COLUMN()-69)*8)),"")</f>
        <v/>
      </c>
      <c r="BT246" s="11" t="str">
        <f ca="1">IFERROR(YEAR(OFFSET(BV!$H246,,(COLUMN()-69)*8)),"")</f>
        <v/>
      </c>
      <c r="BU246" s="11" t="str">
        <f ca="1">IFERROR(YEAR(OFFSET(BV!$H246,,(COLUMN()-69)*8)),"")</f>
        <v/>
      </c>
      <c r="BV246" s="11" t="str">
        <f ca="1">IFERROR(YEAR(OFFSET(BV!$H246,,(COLUMN()-69)*8)),"")</f>
        <v/>
      </c>
      <c r="BW246" s="11" t="str">
        <f ca="1">IFERROR(YEAR(OFFSET(BV!$H246,,(COLUMN()-69)*8)),"")</f>
        <v/>
      </c>
      <c r="BX246" s="11" t="str">
        <f ca="1">IFERROR(YEAR(OFFSET(BV!$H246,,(COLUMN()-69)*8)),"")</f>
        <v/>
      </c>
      <c r="BY246" s="11" t="str">
        <f ca="1">IFERROR(YEAR(OFFSET(BV!$H246,,(COLUMN()-69)*8)),"")</f>
        <v/>
      </c>
      <c r="BZ246" s="11" t="str">
        <f ca="1">IFERROR(YEAR(OFFSET(BV!$H246,,(COLUMN()-69)*8)),"")</f>
        <v/>
      </c>
    </row>
    <row r="247" spans="1:78" x14ac:dyDescent="0.25">
      <c r="A247" s="433">
        <v>105</v>
      </c>
      <c r="B247" s="11" t="str">
        <f ca="1">BV!D247</f>
        <v/>
      </c>
      <c r="C247" s="11" t="str">
        <f ca="1">BV!L247</f>
        <v/>
      </c>
      <c r="D247" s="11" t="str">
        <f ca="1">BV!T247</f>
        <v/>
      </c>
      <c r="E247" s="11" t="str">
        <f ca="1">BV!AB247</f>
        <v/>
      </c>
      <c r="F247" s="11" t="str">
        <f ca="1">BV!AJ247</f>
        <v/>
      </c>
      <c r="G247" s="11" t="str">
        <f ca="1">BV!AR247</f>
        <v/>
      </c>
      <c r="H247" s="11" t="str">
        <f ca="1">BV!AZ247</f>
        <v/>
      </c>
      <c r="I247" s="11" t="str">
        <f ca="1">BV!BH247</f>
        <v/>
      </c>
      <c r="J247" s="11" t="str">
        <f ca="1">BV!BP247</f>
        <v/>
      </c>
      <c r="K247" s="11" t="str">
        <f ca="1">BV!BX247</f>
        <v/>
      </c>
      <c r="L247" s="64" t="s">
        <v>66</v>
      </c>
      <c r="M247" s="261">
        <v>1.2838155E-5</v>
      </c>
      <c r="N247" s="262" t="str">
        <f t="shared" ca="1" si="117"/>
        <v/>
      </c>
      <c r="O247" s="1" t="str">
        <f ca="1">OFFSET(Week!$IM1,COLUMN()-15,,)</f>
        <v>ipp.12</v>
      </c>
      <c r="P247" s="2">
        <f ca="1">OFFSET(Week!$IM1,COLUMN()-15,,)</f>
        <v>0</v>
      </c>
      <c r="Q247" s="682">
        <f ca="1">OFFSET(Week!$IM1,COLUMN()-15,,)</f>
        <v>1.1019875115117264</v>
      </c>
      <c r="R247" s="2">
        <f ca="1">OFFSET(Week!$IM1,COLUMN()-15,,)</f>
        <v>0</v>
      </c>
      <c r="S247" s="2">
        <f ca="1">OFFSET(Week!$IM1,COLUMN()-15,,)</f>
        <v>0</v>
      </c>
      <c r="T247" s="2">
        <f ca="1">OFFSET(Week!$IM1,COLUMN()-15,,)</f>
        <v>0</v>
      </c>
      <c r="U247" s="2">
        <f ca="1">OFFSET(Week!$IM1,COLUMN()-15,,)</f>
        <v>0</v>
      </c>
      <c r="V247" s="690">
        <f ca="1">OFFSET(Week!$IM1,COLUMN()-15,,)</f>
        <v>2.1161053309992673E-2</v>
      </c>
      <c r="W247" s="2">
        <f ca="1">OFFSET(Week!$IM1,COLUMN()-15,,)</f>
        <v>0</v>
      </c>
      <c r="X247" s="690">
        <f ca="1">OFFSET(Week!$IM1,COLUMN()-15,,)</f>
        <v>0.75345988191495417</v>
      </c>
      <c r="Y247" s="682">
        <f ca="1">OFFSET(Week!$IM1,COLUMN()-15,,)</f>
        <v>1.2358981907695537</v>
      </c>
      <c r="Z247" s="52">
        <f ca="1">MAX(OFFSET(Week!$IM2,,,Arb!$AJ$13,1))</f>
        <v>1.247971055610207</v>
      </c>
      <c r="AA247" s="620">
        <f ca="1">LARGE(Time!J$2:J$201,AG247)</f>
        <v>44168.116000000002</v>
      </c>
      <c r="AB247" s="620"/>
      <c r="AC247" s="11">
        <f ca="1">INDEX(Time!C$2:C$201,AH247)</f>
        <v>10</v>
      </c>
      <c r="AD247" s="597">
        <f ca="1">INDEX(Time!D$2:D$201,AH247)</f>
        <v>4.07</v>
      </c>
      <c r="AE247" s="597"/>
      <c r="AF247" s="11">
        <f ca="1">INDEX(Time!E$2:E$201,AH247)</f>
        <v>2.4570024570024569</v>
      </c>
      <c r="AG247" s="11">
        <v>5</v>
      </c>
      <c r="AH247" s="1">
        <f ca="1">MATCH(AA247,Time!J$2:J$201,0)</f>
        <v>115</v>
      </c>
      <c r="AI247" s="589">
        <f t="shared" ca="1" si="121"/>
        <v>43.505229425473317</v>
      </c>
      <c r="AJ247" s="589"/>
      <c r="AL247" s="315"/>
      <c r="AM247" s="315"/>
      <c r="AN247" s="433">
        <v>105</v>
      </c>
      <c r="AO247" s="11" t="str">
        <f ca="1">BV!C247</f>
        <v/>
      </c>
      <c r="AP247" s="11" t="str">
        <f ca="1">BV!K247</f>
        <v/>
      </c>
      <c r="AQ247" s="11" t="str">
        <f ca="1">BV!S247</f>
        <v/>
      </c>
      <c r="AR247" s="11" t="str">
        <f ca="1">BV!AA247</f>
        <v/>
      </c>
      <c r="AS247" s="11" t="str">
        <f ca="1">BV!AI247</f>
        <v/>
      </c>
      <c r="AT247" s="11" t="str">
        <f ca="1">BV!AQ247</f>
        <v/>
      </c>
      <c r="AU247" s="11" t="str">
        <f ca="1">BV!AY247</f>
        <v/>
      </c>
      <c r="AV247" s="11" t="str">
        <f ca="1">BV!BG247</f>
        <v/>
      </c>
      <c r="AW247" s="11" t="str">
        <f ca="1">BV!BO247</f>
        <v/>
      </c>
      <c r="AX247" s="11" t="str">
        <f ca="1">BV!BW247</f>
        <v/>
      </c>
      <c r="AY247" s="64" t="s">
        <v>66</v>
      </c>
      <c r="AZ247" s="38">
        <f t="shared" si="118"/>
        <v>4.8914973852151986</v>
      </c>
      <c r="BA247" s="261">
        <v>1.2838155E-5</v>
      </c>
      <c r="BB247" s="268">
        <v>8.4533589190000005E-3</v>
      </c>
      <c r="BC247" s="268">
        <f t="shared" si="119"/>
        <v>1.5187045910406824E-3</v>
      </c>
      <c r="BD247" s="269" t="str">
        <f ca="1">IF(BV!H247="","",INT(NOW()-BV!H247))</f>
        <v/>
      </c>
      <c r="BE247" s="270">
        <f t="shared" si="120"/>
        <v>279.09283846002722</v>
      </c>
      <c r="BF247" s="11" t="str">
        <f ca="1">BV!G247</f>
        <v/>
      </c>
      <c r="BG247" s="11" t="str">
        <f ca="1">BV!O247</f>
        <v/>
      </c>
      <c r="BH247" s="11" t="str">
        <f ca="1">BV!W247</f>
        <v/>
      </c>
      <c r="BI247" s="11" t="str">
        <f ca="1">BV!AE247</f>
        <v/>
      </c>
      <c r="BJ247" s="11" t="str">
        <f ca="1">BV!AM247</f>
        <v/>
      </c>
      <c r="BK247" s="11" t="str">
        <f ca="1">BV!AU247</f>
        <v/>
      </c>
      <c r="BL247" s="11" t="str">
        <f ca="1">BV!BC247</f>
        <v/>
      </c>
      <c r="BM247" s="11" t="str">
        <f ca="1">BV!BK247</f>
        <v/>
      </c>
      <c r="BN247" s="11" t="str">
        <f ca="1">BV!BS247</f>
        <v/>
      </c>
      <c r="BO247" s="11" t="str">
        <f ca="1">BV!CA247</f>
        <v/>
      </c>
      <c r="BP247" s="433">
        <v>105</v>
      </c>
      <c r="BQ247" s="11" t="str">
        <f ca="1">IFERROR(YEAR(OFFSET(BV!$H247,,(COLUMN()-69)*8)),"")</f>
        <v/>
      </c>
      <c r="BR247" s="11" t="str">
        <f ca="1">IFERROR(YEAR(OFFSET(BV!$H247,,(COLUMN()-69)*8)),"")</f>
        <v/>
      </c>
      <c r="BS247" s="11" t="str">
        <f ca="1">IFERROR(YEAR(OFFSET(BV!$H247,,(COLUMN()-69)*8)),"")</f>
        <v/>
      </c>
      <c r="BT247" s="11" t="str">
        <f ca="1">IFERROR(YEAR(OFFSET(BV!$H247,,(COLUMN()-69)*8)),"")</f>
        <v/>
      </c>
      <c r="BU247" s="11" t="str">
        <f ca="1">IFERROR(YEAR(OFFSET(BV!$H247,,(COLUMN()-69)*8)),"")</f>
        <v/>
      </c>
      <c r="BV247" s="11" t="str">
        <f ca="1">IFERROR(YEAR(OFFSET(BV!$H247,,(COLUMN()-69)*8)),"")</f>
        <v/>
      </c>
      <c r="BW247" s="11" t="str">
        <f ca="1">IFERROR(YEAR(OFFSET(BV!$H247,,(COLUMN()-69)*8)),"")</f>
        <v/>
      </c>
      <c r="BX247" s="11" t="str">
        <f ca="1">IFERROR(YEAR(OFFSET(BV!$H247,,(COLUMN()-69)*8)),"")</f>
        <v/>
      </c>
      <c r="BY247" s="11" t="str">
        <f ca="1">IFERROR(YEAR(OFFSET(BV!$H247,,(COLUMN()-69)*8)),"")</f>
        <v/>
      </c>
      <c r="BZ247" s="11" t="str">
        <f ca="1">IFERROR(YEAR(OFFSET(BV!$H247,,(COLUMN()-69)*8)),"")</f>
        <v/>
      </c>
    </row>
    <row r="248" spans="1:78" x14ac:dyDescent="0.25">
      <c r="A248" s="433">
        <v>106</v>
      </c>
      <c r="B248" s="11" t="str">
        <f ca="1">BV!D248</f>
        <v/>
      </c>
      <c r="C248" s="11" t="str">
        <f ca="1">BV!L248</f>
        <v/>
      </c>
      <c r="D248" s="11" t="str">
        <f ca="1">BV!T248</f>
        <v/>
      </c>
      <c r="E248" s="11" t="str">
        <f ca="1">BV!AB248</f>
        <v/>
      </c>
      <c r="F248" s="11" t="str">
        <f ca="1">BV!AJ248</f>
        <v/>
      </c>
      <c r="G248" s="11" t="str">
        <f ca="1">BV!AR248</f>
        <v/>
      </c>
      <c r="H248" s="11" t="str">
        <f ca="1">BV!AZ248</f>
        <v/>
      </c>
      <c r="I248" s="11" t="str">
        <f ca="1">BV!BH248</f>
        <v/>
      </c>
      <c r="J248" s="11" t="str">
        <f ca="1">BV!BP248</f>
        <v/>
      </c>
      <c r="K248" s="11" t="str">
        <f ca="1">BV!BX248</f>
        <v/>
      </c>
      <c r="L248" s="64" t="s">
        <v>66</v>
      </c>
      <c r="M248" s="261">
        <v>1.6436043000000001E-5</v>
      </c>
      <c r="N248" s="262" t="str">
        <f t="shared" ca="1" si="117"/>
        <v/>
      </c>
      <c r="O248" s="1" t="str">
        <f ca="1">OFFSET(Week!$IN1,COLUMN()-15,,)</f>
        <v>epp.5</v>
      </c>
      <c r="P248" s="682">
        <f ca="1">OFFSET(Week!$IN1,COLUMN()-15,,)</f>
        <v>1.946597257794203</v>
      </c>
      <c r="Q248" s="680">
        <f ca="1">OFFSET(Week!$IN1,COLUMN()-15,,)</f>
        <v>2.0547025213026275</v>
      </c>
      <c r="R248" s="2">
        <f ca="1">OFFSET(Week!$IN1,COLUMN()-15,,)</f>
        <v>0</v>
      </c>
      <c r="S248" s="690">
        <f ca="1">OFFSET(Week!$IN1,COLUMN()-15,,)</f>
        <v>0.75694529334655658</v>
      </c>
      <c r="T248" s="680">
        <f ca="1">OFFSET(Week!$IN1,COLUMN()-15,,)</f>
        <v>2.1447727967851691</v>
      </c>
      <c r="U248" s="682">
        <f ca="1">OFFSET(Week!$IN1,COLUMN()-15,,)</f>
        <v>1.9479215185640022</v>
      </c>
      <c r="V248" s="682">
        <f ca="1">OFFSET(Week!$IN1,COLUMN()-15,,)</f>
        <v>1.5529928743410903</v>
      </c>
      <c r="W248" s="682">
        <f ca="1">OFFSET(Week!$IN1,COLUMN()-15,,)</f>
        <v>1.4901786701822473</v>
      </c>
      <c r="X248" s="690">
        <f ca="1">OFFSET(Week!$IN1,COLUMN()-15,,)</f>
        <v>1.860259848526602E-2</v>
      </c>
      <c r="Y248" s="690">
        <f ca="1">OFFSET(Week!$IN1,COLUMN()-15,,)</f>
        <v>0.23764715413037263</v>
      </c>
      <c r="Z248" s="52">
        <f ca="1">MAX(OFFSET(Week!$IN2,,,Arb!$AJ$13,1))</f>
        <v>2.7897783168626393</v>
      </c>
      <c r="AA248" s="620">
        <f ca="1">LARGE(Time!J$2:J$201,AG248)</f>
        <v>44168.107000000004</v>
      </c>
      <c r="AB248" s="620"/>
      <c r="AC248" s="11">
        <f ca="1">INDEX(Time!C$2:C$201,AH248)</f>
        <v>15</v>
      </c>
      <c r="AD248" s="597">
        <f ca="1">INDEX(Time!D$2:D$201,AH248)</f>
        <v>4.03</v>
      </c>
      <c r="AE248" s="597"/>
      <c r="AF248" s="11">
        <f ca="1">INDEX(Time!E$2:E$201,AH248)</f>
        <v>3.7220843672456572</v>
      </c>
      <c r="AG248" s="11">
        <v>6</v>
      </c>
      <c r="AH248" s="1">
        <f ca="1">MATCH(AA248,Time!J$2:J$201,0)</f>
        <v>106</v>
      </c>
      <c r="AI248" s="589">
        <f t="shared" ca="1" si="121"/>
        <v>66.362790514966761</v>
      </c>
      <c r="AJ248" s="589"/>
      <c r="AL248" s="315"/>
      <c r="AM248" s="315"/>
      <c r="AN248" s="433">
        <v>106</v>
      </c>
      <c r="AO248" s="11" t="str">
        <f ca="1">BV!C248</f>
        <v/>
      </c>
      <c r="AP248" s="11" t="str">
        <f ca="1">BV!K248</f>
        <v/>
      </c>
      <c r="AQ248" s="11" t="str">
        <f ca="1">BV!S248</f>
        <v/>
      </c>
      <c r="AR248" s="11" t="str">
        <f ca="1">BV!AA248</f>
        <v/>
      </c>
      <c r="AS248" s="11" t="str">
        <f ca="1">BV!AI248</f>
        <v/>
      </c>
      <c r="AT248" s="11" t="str">
        <f ca="1">BV!AQ248</f>
        <v/>
      </c>
      <c r="AU248" s="11" t="str">
        <f ca="1">BV!AY248</f>
        <v/>
      </c>
      <c r="AV248" s="11" t="str">
        <f ca="1">BV!BG248</f>
        <v/>
      </c>
      <c r="AW248" s="11" t="str">
        <f ca="1">BV!BO248</f>
        <v/>
      </c>
      <c r="AX248" s="11" t="str">
        <f ca="1">BV!BW248</f>
        <v/>
      </c>
      <c r="AY248" s="64" t="s">
        <v>66</v>
      </c>
      <c r="AZ248" s="38">
        <f t="shared" si="118"/>
        <v>4.7842027312068147</v>
      </c>
      <c r="BA248" s="261">
        <v>1.6436043000000001E-5</v>
      </c>
      <c r="BB248" s="268">
        <v>8.4533589190000005E-3</v>
      </c>
      <c r="BC248" s="268">
        <f t="shared" si="119"/>
        <v>1.9443209684446145E-3</v>
      </c>
      <c r="BD248" s="269" t="str">
        <f ca="1">IF(BV!H248="","",INT(NOW()-BV!H248))</f>
        <v/>
      </c>
      <c r="BE248" s="270">
        <f t="shared" si="120"/>
        <v>246.66149852109524</v>
      </c>
      <c r="BF248" s="11" t="str">
        <f ca="1">BV!G248</f>
        <v/>
      </c>
      <c r="BG248" s="11" t="str">
        <f ca="1">BV!O248</f>
        <v/>
      </c>
      <c r="BH248" s="11" t="str">
        <f ca="1">BV!W248</f>
        <v/>
      </c>
      <c r="BI248" s="11" t="str">
        <f ca="1">BV!AE248</f>
        <v/>
      </c>
      <c r="BJ248" s="11" t="str">
        <f ca="1">BV!AM248</f>
        <v/>
      </c>
      <c r="BK248" s="11" t="str">
        <f ca="1">BV!AU248</f>
        <v/>
      </c>
      <c r="BL248" s="11" t="str">
        <f ca="1">BV!BC248</f>
        <v/>
      </c>
      <c r="BM248" s="11" t="str">
        <f ca="1">BV!BK248</f>
        <v/>
      </c>
      <c r="BN248" s="11" t="str">
        <f ca="1">BV!BS248</f>
        <v/>
      </c>
      <c r="BO248" s="11" t="str">
        <f ca="1">BV!CA248</f>
        <v/>
      </c>
      <c r="BP248" s="433">
        <v>106</v>
      </c>
      <c r="BQ248" s="11" t="str">
        <f ca="1">IFERROR(YEAR(OFFSET(BV!$H248,,(COLUMN()-69)*8)),"")</f>
        <v/>
      </c>
      <c r="BR248" s="11" t="str">
        <f ca="1">IFERROR(YEAR(OFFSET(BV!$H248,,(COLUMN()-69)*8)),"")</f>
        <v/>
      </c>
      <c r="BS248" s="11" t="str">
        <f ca="1">IFERROR(YEAR(OFFSET(BV!$H248,,(COLUMN()-69)*8)),"")</f>
        <v/>
      </c>
      <c r="BT248" s="11" t="str">
        <f ca="1">IFERROR(YEAR(OFFSET(BV!$H248,,(COLUMN()-69)*8)),"")</f>
        <v/>
      </c>
      <c r="BU248" s="11" t="str">
        <f ca="1">IFERROR(YEAR(OFFSET(BV!$H248,,(COLUMN()-69)*8)),"")</f>
        <v/>
      </c>
      <c r="BV248" s="11" t="str">
        <f ca="1">IFERROR(YEAR(OFFSET(BV!$H248,,(COLUMN()-69)*8)),"")</f>
        <v/>
      </c>
      <c r="BW248" s="11" t="str">
        <f ca="1">IFERROR(YEAR(OFFSET(BV!$H248,,(COLUMN()-69)*8)),"")</f>
        <v/>
      </c>
      <c r="BX248" s="11" t="str">
        <f ca="1">IFERROR(YEAR(OFFSET(BV!$H248,,(COLUMN()-69)*8)),"")</f>
        <v/>
      </c>
      <c r="BY248" s="11" t="str">
        <f ca="1">IFERROR(YEAR(OFFSET(BV!$H248,,(COLUMN()-69)*8)),"")</f>
        <v/>
      </c>
      <c r="BZ248" s="11" t="str">
        <f ca="1">IFERROR(YEAR(OFFSET(BV!$H248,,(COLUMN()-69)*8)),"")</f>
        <v/>
      </c>
    </row>
    <row r="249" spans="1:78" x14ac:dyDescent="0.25">
      <c r="A249" s="433">
        <v>107</v>
      </c>
      <c r="B249" s="11" t="str">
        <f ca="1">BV!D249</f>
        <v/>
      </c>
      <c r="C249" s="11" t="str">
        <f ca="1">BV!L249</f>
        <v/>
      </c>
      <c r="D249" s="11" t="str">
        <f ca="1">BV!T249</f>
        <v/>
      </c>
      <c r="E249" s="11" t="str">
        <f ca="1">BV!AB249</f>
        <v/>
      </c>
      <c r="F249" s="11" t="str">
        <f ca="1">BV!AJ249</f>
        <v/>
      </c>
      <c r="G249" s="11" t="str">
        <f ca="1">BV!AR249</f>
        <v/>
      </c>
      <c r="H249" s="11" t="str">
        <f ca="1">BV!AZ249</f>
        <v/>
      </c>
      <c r="I249" s="11" t="str">
        <f ca="1">BV!BH249</f>
        <v/>
      </c>
      <c r="J249" s="11" t="str">
        <f ca="1">BV!BP249</f>
        <v/>
      </c>
      <c r="K249" s="11" t="str">
        <f ca="1">BV!BX249</f>
        <v/>
      </c>
      <c r="L249" s="64" t="s">
        <v>66</v>
      </c>
      <c r="M249" s="261">
        <v>2.0916621999999999E-5</v>
      </c>
      <c r="N249" s="262" t="str">
        <f t="shared" ca="1" si="117"/>
        <v/>
      </c>
      <c r="O249" s="1" t="str">
        <f ca="1">OFFSET(Week!$IO1,COLUMN()-15,,)</f>
        <v>ppp.37</v>
      </c>
      <c r="P249" s="2">
        <f ca="1">OFFSET(Week!$IO1,COLUMN()-15,,)</f>
        <v>0</v>
      </c>
      <c r="Q249" s="682">
        <f ca="1">OFFSET(Week!$IO1,COLUMN()-15,,)</f>
        <v>1.1663960177538146</v>
      </c>
      <c r="R249" s="2">
        <f ca="1">OFFSET(Week!$IO1,COLUMN()-15,,)</f>
        <v>0</v>
      </c>
      <c r="S249" s="2">
        <f ca="1">OFFSET(Week!$IO1,COLUMN()-15,,)</f>
        <v>0</v>
      </c>
      <c r="T249" s="2">
        <f ca="1">OFFSET(Week!$IO1,COLUMN()-15,,)</f>
        <v>0</v>
      </c>
      <c r="U249" s="2">
        <f ca="1">OFFSET(Week!$IO1,COLUMN()-15,,)</f>
        <v>0</v>
      </c>
      <c r="V249" s="690">
        <f ca="1">OFFSET(Week!$IO1,COLUMN()-15,,)</f>
        <v>0.11281546423575084</v>
      </c>
      <c r="W249" s="2">
        <f ca="1">OFFSET(Week!$IO1,COLUMN()-15,,)</f>
        <v>0</v>
      </c>
      <c r="X249" s="690">
        <f ca="1">OFFSET(Week!$IO1,COLUMN()-15,,)</f>
        <v>5.9575667885633427E-2</v>
      </c>
      <c r="Y249" s="690">
        <f ca="1">OFFSET(Week!$IO1,COLUMN()-15,,)</f>
        <v>0.31005961260256643</v>
      </c>
      <c r="Z249" s="52">
        <f ca="1">MAX(OFFSET(Week!$IO2,,,Arb!$AJ$13,1))</f>
        <v>1.2294696784574373</v>
      </c>
      <c r="AA249" s="620">
        <f ca="1">LARGE(Time!J$2:J$201,AG249)</f>
        <v>44168.065999999999</v>
      </c>
      <c r="AB249" s="620"/>
      <c r="AC249" s="11">
        <f ca="1">INDEX(Time!C$2:C$201,AH249)</f>
        <v>11</v>
      </c>
      <c r="AD249" s="597">
        <f ca="1">INDEX(Time!D$2:D$201,AH249)</f>
        <v>3.8</v>
      </c>
      <c r="AE249" s="597"/>
      <c r="AF249" s="11">
        <f ca="1">INDEX(Time!E$2:E$201,AH249)</f>
        <v>2.8947368421052633</v>
      </c>
      <c r="AG249" s="11">
        <v>7</v>
      </c>
      <c r="AH249" s="1">
        <f ca="1">MATCH(AA249,Time!J$2:J$201,0)</f>
        <v>65</v>
      </c>
      <c r="AI249" s="589">
        <f t="shared" ca="1" si="121"/>
        <v>53.77897615352893</v>
      </c>
      <c r="AJ249" s="589"/>
      <c r="AL249" s="315"/>
      <c r="AM249" s="315"/>
      <c r="AN249" s="433">
        <v>107</v>
      </c>
      <c r="AO249" s="11" t="str">
        <f ca="1">BV!C249</f>
        <v/>
      </c>
      <c r="AP249" s="11" t="str">
        <f ca="1">BV!K249</f>
        <v/>
      </c>
      <c r="AQ249" s="11" t="str">
        <f ca="1">BV!S249</f>
        <v/>
      </c>
      <c r="AR249" s="11" t="str">
        <f ca="1">BV!AA249</f>
        <v/>
      </c>
      <c r="AS249" s="11" t="str">
        <f ca="1">BV!AI249</f>
        <v/>
      </c>
      <c r="AT249" s="11" t="str">
        <f ca="1">BV!AQ249</f>
        <v/>
      </c>
      <c r="AU249" s="11" t="str">
        <f ca="1">BV!AY249</f>
        <v/>
      </c>
      <c r="AV249" s="11" t="str">
        <f ca="1">BV!BG249</f>
        <v/>
      </c>
      <c r="AW249" s="11" t="str">
        <f ca="1">BV!BO249</f>
        <v/>
      </c>
      <c r="AX249" s="11" t="str">
        <f ca="1">BV!BW249</f>
        <v/>
      </c>
      <c r="AY249" s="64" t="s">
        <v>66</v>
      </c>
      <c r="AZ249" s="38">
        <f t="shared" si="118"/>
        <v>4.6795084519852752</v>
      </c>
      <c r="BA249" s="261">
        <v>2.0916621999999999E-5</v>
      </c>
      <c r="BB249" s="268">
        <v>8.4533589190000005E-3</v>
      </c>
      <c r="BC249" s="268">
        <f t="shared" si="119"/>
        <v>2.4743563121385074E-3</v>
      </c>
      <c r="BD249" s="269" t="str">
        <f ca="1">IF(BV!H249="","",INT(NOW()-BV!H249))</f>
        <v/>
      </c>
      <c r="BE249" s="270">
        <f t="shared" si="120"/>
        <v>218.65238858534025</v>
      </c>
      <c r="BF249" s="11" t="str">
        <f ca="1">BV!G249</f>
        <v/>
      </c>
      <c r="BG249" s="11" t="str">
        <f ca="1">BV!O249</f>
        <v/>
      </c>
      <c r="BH249" s="11" t="str">
        <f ca="1">BV!W249</f>
        <v/>
      </c>
      <c r="BI249" s="11" t="str">
        <f ca="1">BV!AE249</f>
        <v/>
      </c>
      <c r="BJ249" s="11" t="str">
        <f ca="1">BV!AM249</f>
        <v/>
      </c>
      <c r="BK249" s="11" t="str">
        <f ca="1">BV!AU249</f>
        <v/>
      </c>
      <c r="BL249" s="11" t="str">
        <f ca="1">BV!BC249</f>
        <v/>
      </c>
      <c r="BM249" s="11" t="str">
        <f ca="1">BV!BK249</f>
        <v/>
      </c>
      <c r="BN249" s="11" t="str">
        <f ca="1">BV!BS249</f>
        <v/>
      </c>
      <c r="BO249" s="11" t="str">
        <f ca="1">BV!CA249</f>
        <v/>
      </c>
      <c r="BP249" s="433">
        <v>107</v>
      </c>
      <c r="BQ249" s="11" t="str">
        <f ca="1">IFERROR(YEAR(OFFSET(BV!$H249,,(COLUMN()-69)*8)),"")</f>
        <v/>
      </c>
      <c r="BR249" s="11" t="str">
        <f ca="1">IFERROR(YEAR(OFFSET(BV!$H249,,(COLUMN()-69)*8)),"")</f>
        <v/>
      </c>
      <c r="BS249" s="11" t="str">
        <f ca="1">IFERROR(YEAR(OFFSET(BV!$H249,,(COLUMN()-69)*8)),"")</f>
        <v/>
      </c>
      <c r="BT249" s="11" t="str">
        <f ca="1">IFERROR(YEAR(OFFSET(BV!$H249,,(COLUMN()-69)*8)),"")</f>
        <v/>
      </c>
      <c r="BU249" s="11" t="str">
        <f ca="1">IFERROR(YEAR(OFFSET(BV!$H249,,(COLUMN()-69)*8)),"")</f>
        <v/>
      </c>
      <c r="BV249" s="11" t="str">
        <f ca="1">IFERROR(YEAR(OFFSET(BV!$H249,,(COLUMN()-69)*8)),"")</f>
        <v/>
      </c>
      <c r="BW249" s="11" t="str">
        <f ca="1">IFERROR(YEAR(OFFSET(BV!$H249,,(COLUMN()-69)*8)),"")</f>
        <v/>
      </c>
      <c r="BX249" s="11" t="str">
        <f ca="1">IFERROR(YEAR(OFFSET(BV!$H249,,(COLUMN()-69)*8)),"")</f>
        <v/>
      </c>
      <c r="BY249" s="11" t="str">
        <f ca="1">IFERROR(YEAR(OFFSET(BV!$H249,,(COLUMN()-69)*8)),"")</f>
        <v/>
      </c>
      <c r="BZ249" s="11" t="str">
        <f ca="1">IFERROR(YEAR(OFFSET(BV!$H249,,(COLUMN()-69)*8)),"")</f>
        <v/>
      </c>
    </row>
    <row r="250" spans="1:78" x14ac:dyDescent="0.25">
      <c r="A250" s="433">
        <v>108</v>
      </c>
      <c r="B250" s="11" t="str">
        <f ca="1">BV!D250</f>
        <v/>
      </c>
      <c r="C250" s="11" t="str">
        <f ca="1">BV!L250</f>
        <v/>
      </c>
      <c r="D250" s="11" t="str">
        <f ca="1">BV!T250</f>
        <v/>
      </c>
      <c r="E250" s="11" t="str">
        <f ca="1">BV!AB250</f>
        <v/>
      </c>
      <c r="F250" s="11" t="str">
        <f ca="1">BV!AJ250</f>
        <v/>
      </c>
      <c r="G250" s="11" t="str">
        <f ca="1">BV!AR250</f>
        <v/>
      </c>
      <c r="H250" s="11" t="str">
        <f ca="1">BV!AZ250</f>
        <v/>
      </c>
      <c r="I250" s="11" t="str">
        <f ca="1">BV!BH250</f>
        <v/>
      </c>
      <c r="J250" s="11" t="str">
        <f ca="1">BV!BP250</f>
        <v/>
      </c>
      <c r="K250" s="11" t="str">
        <f ca="1">BV!BX250</f>
        <v/>
      </c>
      <c r="L250" s="64" t="s">
        <v>66</v>
      </c>
      <c r="M250" s="261">
        <v>2.6509366000000001E-5</v>
      </c>
      <c r="N250" s="262" t="str">
        <f t="shared" ca="1" si="117"/>
        <v/>
      </c>
      <c r="O250" s="4"/>
      <c r="P250" s="15"/>
      <c r="Q250" s="15"/>
      <c r="R250" s="15"/>
      <c r="S250" s="257"/>
      <c r="T250" s="257"/>
      <c r="U250" s="257"/>
      <c r="V250" s="257"/>
      <c r="W250" s="257"/>
      <c r="X250" s="257"/>
      <c r="Y250" s="257"/>
      <c r="Z250" s="257"/>
      <c r="AA250" s="620">
        <f ca="1">LARGE(Time!J$2:J$201,AG250)</f>
        <v>44168.053</v>
      </c>
      <c r="AB250" s="620"/>
      <c r="AC250" s="11">
        <f ca="1">INDEX(Time!C$2:C$201,AH250)</f>
        <v>11</v>
      </c>
      <c r="AD250" s="597">
        <f ca="1">INDEX(Time!D$2:D$201,AH250)</f>
        <v>3.67</v>
      </c>
      <c r="AE250" s="597"/>
      <c r="AF250" s="11">
        <f ca="1">INDEX(Time!E$2:E$201,AH250)</f>
        <v>2.9972752043596729</v>
      </c>
      <c r="AG250" s="11">
        <v>8</v>
      </c>
      <c r="AH250" s="1">
        <f ca="1">MATCH(AA250,Time!J$2:J$201,0)</f>
        <v>52</v>
      </c>
      <c r="AI250" s="589">
        <f t="shared" ca="1" si="121"/>
        <v>57.057446914571834</v>
      </c>
      <c r="AJ250" s="589"/>
      <c r="AL250" s="315"/>
      <c r="AM250" s="315"/>
      <c r="AN250" s="433">
        <v>108</v>
      </c>
      <c r="AO250" s="11" t="str">
        <f ca="1">BV!C250</f>
        <v/>
      </c>
      <c r="AP250" s="11" t="str">
        <f ca="1">BV!K250</f>
        <v/>
      </c>
      <c r="AQ250" s="11" t="str">
        <f ca="1">BV!S250</f>
        <v/>
      </c>
      <c r="AR250" s="11" t="str">
        <f ca="1">BV!AA250</f>
        <v/>
      </c>
      <c r="AS250" s="11" t="str">
        <f ca="1">BV!AI250</f>
        <v/>
      </c>
      <c r="AT250" s="11" t="str">
        <f ca="1">BV!AQ250</f>
        <v/>
      </c>
      <c r="AU250" s="11" t="str">
        <f ca="1">BV!AY250</f>
        <v/>
      </c>
      <c r="AV250" s="11" t="str">
        <f ca="1">BV!BG250</f>
        <v/>
      </c>
      <c r="AW250" s="11" t="str">
        <f ca="1">BV!BO250</f>
        <v/>
      </c>
      <c r="AX250" s="11" t="str">
        <f ca="1">BV!BW250</f>
        <v/>
      </c>
      <c r="AY250" s="64" t="s">
        <v>66</v>
      </c>
      <c r="AZ250" s="38">
        <f t="shared" si="118"/>
        <v>4.5766006587623442</v>
      </c>
      <c r="BA250" s="261">
        <v>2.6509366000000001E-5</v>
      </c>
      <c r="BB250" s="268">
        <v>8.4533589190000005E-3</v>
      </c>
      <c r="BC250" s="268">
        <f t="shared" si="119"/>
        <v>3.1359565178779793E-3</v>
      </c>
      <c r="BD250" s="269" t="str">
        <f ca="1">IF(BV!H250="","",INT(NOW()-BV!H250))</f>
        <v/>
      </c>
      <c r="BE250" s="270">
        <f t="shared" si="120"/>
        <v>194.22285302734537</v>
      </c>
      <c r="BF250" s="11" t="str">
        <f ca="1">BV!G250</f>
        <v/>
      </c>
      <c r="BG250" s="11" t="str">
        <f ca="1">BV!O250</f>
        <v/>
      </c>
      <c r="BH250" s="11" t="str">
        <f ca="1">BV!W250</f>
        <v/>
      </c>
      <c r="BI250" s="11" t="str">
        <f ca="1">BV!AE250</f>
        <v/>
      </c>
      <c r="BJ250" s="11" t="str">
        <f ca="1">BV!AM250</f>
        <v/>
      </c>
      <c r="BK250" s="11" t="str">
        <f ca="1">BV!AU250</f>
        <v/>
      </c>
      <c r="BL250" s="11" t="str">
        <f ca="1">BV!BC250</f>
        <v/>
      </c>
      <c r="BM250" s="11" t="str">
        <f ca="1">BV!BK250</f>
        <v/>
      </c>
      <c r="BN250" s="11" t="str">
        <f ca="1">BV!BS250</f>
        <v/>
      </c>
      <c r="BO250" s="11" t="str">
        <f ca="1">BV!CA250</f>
        <v/>
      </c>
      <c r="BP250" s="433">
        <v>108</v>
      </c>
      <c r="BQ250" s="11" t="str">
        <f ca="1">IFERROR(YEAR(OFFSET(BV!$H250,,(COLUMN()-69)*8)),"")</f>
        <v/>
      </c>
      <c r="BR250" s="11" t="str">
        <f ca="1">IFERROR(YEAR(OFFSET(BV!$H250,,(COLUMN()-69)*8)),"")</f>
        <v/>
      </c>
      <c r="BS250" s="11" t="str">
        <f ca="1">IFERROR(YEAR(OFFSET(BV!$H250,,(COLUMN()-69)*8)),"")</f>
        <v/>
      </c>
      <c r="BT250" s="11" t="str">
        <f ca="1">IFERROR(YEAR(OFFSET(BV!$H250,,(COLUMN()-69)*8)),"")</f>
        <v/>
      </c>
      <c r="BU250" s="11" t="str">
        <f ca="1">IFERROR(YEAR(OFFSET(BV!$H250,,(COLUMN()-69)*8)),"")</f>
        <v/>
      </c>
      <c r="BV250" s="11" t="str">
        <f ca="1">IFERROR(YEAR(OFFSET(BV!$H250,,(COLUMN()-69)*8)),"")</f>
        <v/>
      </c>
      <c r="BW250" s="11" t="str">
        <f ca="1">IFERROR(YEAR(OFFSET(BV!$H250,,(COLUMN()-69)*8)),"")</f>
        <v/>
      </c>
      <c r="BX250" s="11" t="str">
        <f ca="1">IFERROR(YEAR(OFFSET(BV!$H250,,(COLUMN()-69)*8)),"")</f>
        <v/>
      </c>
      <c r="BY250" s="11" t="str">
        <f ca="1">IFERROR(YEAR(OFFSET(BV!$H250,,(COLUMN()-69)*8)),"")</f>
        <v/>
      </c>
      <c r="BZ250" s="11" t="str">
        <f ca="1">IFERROR(YEAR(OFFSET(BV!$H250,,(COLUMN()-69)*8)),"")</f>
        <v/>
      </c>
    </row>
    <row r="251" spans="1:78" x14ac:dyDescent="0.25">
      <c r="A251" s="433">
        <v>109</v>
      </c>
      <c r="B251" s="11" t="str">
        <f ca="1">BV!D251</f>
        <v/>
      </c>
      <c r="C251" s="11" t="str">
        <f ca="1">BV!L251</f>
        <v/>
      </c>
      <c r="D251" s="11" t="str">
        <f ca="1">BV!T251</f>
        <v/>
      </c>
      <c r="E251" s="11" t="str">
        <f ca="1">BV!AB251</f>
        <v/>
      </c>
      <c r="F251" s="11" t="str">
        <f ca="1">BV!AJ251</f>
        <v/>
      </c>
      <c r="G251" s="11" t="str">
        <f ca="1">BV!AR251</f>
        <v/>
      </c>
      <c r="H251" s="11" t="str">
        <f ca="1">BV!AZ251</f>
        <v/>
      </c>
      <c r="I251" s="11" t="str">
        <f ca="1">BV!BH251</f>
        <v/>
      </c>
      <c r="J251" s="11" t="str">
        <f ca="1">BV!BP251</f>
        <v/>
      </c>
      <c r="K251" s="11" t="str">
        <f ca="1">BV!BX251</f>
        <v/>
      </c>
      <c r="L251" s="64" t="s">
        <v>66</v>
      </c>
      <c r="M251" s="261">
        <v>3.3390911000000003E-5</v>
      </c>
      <c r="N251" s="262" t="str">
        <f t="shared" ca="1" si="117"/>
        <v/>
      </c>
      <c r="O251" s="263"/>
      <c r="P251" s="1"/>
      <c r="Q251" s="1"/>
      <c r="R251" s="1"/>
      <c r="S251" s="257"/>
      <c r="T251" s="257"/>
      <c r="U251" s="257"/>
      <c r="V251" s="257"/>
      <c r="W251" s="257"/>
      <c r="X251" s="257"/>
      <c r="Y251" s="257"/>
      <c r="Z251" s="257"/>
      <c r="AA251" s="620">
        <f ca="1">LARGE(Time!J$2:J$201,AG251)</f>
        <v>44168.050999999999</v>
      </c>
      <c r="AB251" s="620"/>
      <c r="AC251" s="11">
        <f ca="1">INDEX(Time!C$2:C$201,AH251)</f>
        <v>11</v>
      </c>
      <c r="AD251" s="597">
        <f ca="1">INDEX(Time!D$2:D$201,AH251)</f>
        <v>3.66</v>
      </c>
      <c r="AE251" s="597"/>
      <c r="AF251" s="11">
        <f ca="1">INDEX(Time!E$2:E$201,AH251)</f>
        <v>3.0054644808743167</v>
      </c>
      <c r="AG251" s="11">
        <v>9</v>
      </c>
      <c r="AH251" s="1">
        <f ca="1">MATCH(AA251,Time!J$2:J$201,0)</f>
        <v>50</v>
      </c>
      <c r="AI251" s="589">
        <f t="shared" ca="1" si="121"/>
        <v>57.322721208994295</v>
      </c>
      <c r="AJ251" s="589"/>
      <c r="AL251" s="315"/>
      <c r="AM251" s="315"/>
      <c r="AN251" s="433">
        <v>109</v>
      </c>
      <c r="AO251" s="11" t="str">
        <f ca="1">BV!C251</f>
        <v/>
      </c>
      <c r="AP251" s="11" t="str">
        <f ca="1">BV!K251</f>
        <v/>
      </c>
      <c r="AQ251" s="11" t="str">
        <f ca="1">BV!S251</f>
        <v/>
      </c>
      <c r="AR251" s="11" t="str">
        <f ca="1">BV!AA251</f>
        <v/>
      </c>
      <c r="AS251" s="11" t="str">
        <f ca="1">BV!AI251</f>
        <v/>
      </c>
      <c r="AT251" s="11" t="str">
        <f ca="1">BV!AQ251</f>
        <v/>
      </c>
      <c r="AU251" s="11" t="str">
        <f ca="1">BV!AY251</f>
        <v/>
      </c>
      <c r="AV251" s="11" t="str">
        <f ca="1">BV!BG251</f>
        <v/>
      </c>
      <c r="AW251" s="11" t="str">
        <f ca="1">BV!BO251</f>
        <v/>
      </c>
      <c r="AX251" s="11" t="str">
        <f ca="1">BV!BW251</f>
        <v/>
      </c>
      <c r="AY251" s="64" t="s">
        <v>66</v>
      </c>
      <c r="AZ251" s="38">
        <f t="shared" si="118"/>
        <v>4.4763717319825913</v>
      </c>
      <c r="BA251" s="261">
        <v>3.3390911000000003E-5</v>
      </c>
      <c r="BB251" s="268">
        <v>8.4533589190000005E-3</v>
      </c>
      <c r="BC251" s="268">
        <f t="shared" si="119"/>
        <v>3.9500169482866365E-3</v>
      </c>
      <c r="BD251" s="269" t="str">
        <f ca="1">IF(BV!H251="","",INT(NOW()-BV!H251))</f>
        <v/>
      </c>
      <c r="BE251" s="270">
        <f t="shared" si="120"/>
        <v>173.0556831072619</v>
      </c>
      <c r="BF251" s="11" t="str">
        <f ca="1">BV!G251</f>
        <v/>
      </c>
      <c r="BG251" s="11" t="str">
        <f ca="1">BV!O251</f>
        <v/>
      </c>
      <c r="BH251" s="11" t="str">
        <f ca="1">BV!W251</f>
        <v/>
      </c>
      <c r="BI251" s="11" t="str">
        <f ca="1">BV!AE251</f>
        <v/>
      </c>
      <c r="BJ251" s="11" t="str">
        <f ca="1">BV!AM251</f>
        <v/>
      </c>
      <c r="BK251" s="11" t="str">
        <f ca="1">BV!AU251</f>
        <v/>
      </c>
      <c r="BL251" s="11" t="str">
        <f ca="1">BV!BC251</f>
        <v/>
      </c>
      <c r="BM251" s="11" t="str">
        <f ca="1">BV!BK251</f>
        <v/>
      </c>
      <c r="BN251" s="11" t="str">
        <f ca="1">BV!BS251</f>
        <v/>
      </c>
      <c r="BO251" s="11" t="str">
        <f ca="1">BV!CA251</f>
        <v/>
      </c>
      <c r="BP251" s="433">
        <v>109</v>
      </c>
      <c r="BQ251" s="11" t="str">
        <f ca="1">IFERROR(YEAR(OFFSET(BV!$H251,,(COLUMN()-69)*8)),"")</f>
        <v/>
      </c>
      <c r="BR251" s="11" t="str">
        <f ca="1">IFERROR(YEAR(OFFSET(BV!$H251,,(COLUMN()-69)*8)),"")</f>
        <v/>
      </c>
      <c r="BS251" s="11" t="str">
        <f ca="1">IFERROR(YEAR(OFFSET(BV!$H251,,(COLUMN()-69)*8)),"")</f>
        <v/>
      </c>
      <c r="BT251" s="11" t="str">
        <f ca="1">IFERROR(YEAR(OFFSET(BV!$H251,,(COLUMN()-69)*8)),"")</f>
        <v/>
      </c>
      <c r="BU251" s="11" t="str">
        <f ca="1">IFERROR(YEAR(OFFSET(BV!$H251,,(COLUMN()-69)*8)),"")</f>
        <v/>
      </c>
      <c r="BV251" s="11" t="str">
        <f ca="1">IFERROR(YEAR(OFFSET(BV!$H251,,(COLUMN()-69)*8)),"")</f>
        <v/>
      </c>
      <c r="BW251" s="11" t="str">
        <f ca="1">IFERROR(YEAR(OFFSET(BV!$H251,,(COLUMN()-69)*8)),"")</f>
        <v/>
      </c>
      <c r="BX251" s="11" t="str">
        <f ca="1">IFERROR(YEAR(OFFSET(BV!$H251,,(COLUMN()-69)*8)),"")</f>
        <v/>
      </c>
      <c r="BY251" s="11" t="str">
        <f ca="1">IFERROR(YEAR(OFFSET(BV!$H251,,(COLUMN()-69)*8)),"")</f>
        <v/>
      </c>
      <c r="BZ251" s="11" t="str">
        <f ca="1">IFERROR(YEAR(OFFSET(BV!$H251,,(COLUMN()-69)*8)),"")</f>
        <v/>
      </c>
    </row>
    <row r="252" spans="1:78" x14ac:dyDescent="0.25">
      <c r="A252" s="433">
        <v>110</v>
      </c>
      <c r="B252" s="11" t="str">
        <f ca="1">BV!D252</f>
        <v/>
      </c>
      <c r="C252" s="11" t="str">
        <f ca="1">BV!L252</f>
        <v/>
      </c>
      <c r="D252" s="11" t="str">
        <f ca="1">BV!T252</f>
        <v/>
      </c>
      <c r="E252" s="11" t="str">
        <f ca="1">BV!AB252</f>
        <v/>
      </c>
      <c r="F252" s="11" t="str">
        <f ca="1">BV!AJ252</f>
        <v/>
      </c>
      <c r="G252" s="11" t="str">
        <f ca="1">BV!AR252</f>
        <v/>
      </c>
      <c r="H252" s="11" t="str">
        <f ca="1">BV!AZ252</f>
        <v/>
      </c>
      <c r="I252" s="11" t="str">
        <f ca="1">BV!BH252</f>
        <v/>
      </c>
      <c r="J252" s="11" t="str">
        <f ca="1">BV!BP252</f>
        <v/>
      </c>
      <c r="K252" s="11" t="str">
        <f ca="1">BV!BX252</f>
        <v/>
      </c>
      <c r="L252" s="64" t="s">
        <v>66</v>
      </c>
      <c r="M252" s="261">
        <v>4.1861286E-5</v>
      </c>
      <c r="N252" s="262" t="str">
        <f t="shared" ca="1" si="117"/>
        <v/>
      </c>
      <c r="O252" s="31"/>
      <c r="P252" s="1"/>
      <c r="Q252" s="1"/>
      <c r="R252" s="1"/>
      <c r="S252" s="257"/>
      <c r="T252" s="257"/>
      <c r="U252" s="257"/>
      <c r="V252" s="257"/>
      <c r="W252" s="257"/>
      <c r="X252" s="257"/>
      <c r="Y252" s="257"/>
      <c r="Z252" s="257"/>
      <c r="AA252" s="620">
        <f ca="1">LARGE(Time!J$2:J$201,AG252)</f>
        <v>44168.042999999998</v>
      </c>
      <c r="AB252" s="620"/>
      <c r="AC252" s="11">
        <f ca="1">INDEX(Time!C$2:C$201,AH252)</f>
        <v>11</v>
      </c>
      <c r="AD252" s="597">
        <f ca="1">INDEX(Time!D$2:D$201,AH252)</f>
        <v>3.59</v>
      </c>
      <c r="AE252" s="597"/>
      <c r="AF252" s="11">
        <f ca="1">INDEX(Time!E$2:E$201,AH252)</f>
        <v>3.0640668523676879</v>
      </c>
      <c r="AG252" s="11">
        <v>10</v>
      </c>
      <c r="AH252" s="1">
        <f ca="1">MATCH(AA252,Time!J$2:J$201,0)</f>
        <v>42</v>
      </c>
      <c r="AI252" s="589">
        <f t="shared" ca="1" si="121"/>
        <v>59.235775910526051</v>
      </c>
      <c r="AJ252" s="589"/>
      <c r="AL252" s="315"/>
      <c r="AM252" s="315"/>
      <c r="AN252" s="433">
        <v>110</v>
      </c>
      <c r="AO252" s="11" t="str">
        <f ca="1">BV!C252</f>
        <v/>
      </c>
      <c r="AP252" s="11" t="str">
        <f ca="1">BV!K252</f>
        <v/>
      </c>
      <c r="AQ252" s="11" t="str">
        <f ca="1">BV!S252</f>
        <v/>
      </c>
      <c r="AR252" s="11" t="str">
        <f ca="1">BV!AA252</f>
        <v/>
      </c>
      <c r="AS252" s="11" t="str">
        <f ca="1">BV!AI252</f>
        <v/>
      </c>
      <c r="AT252" s="11" t="str">
        <f ca="1">BV!AQ252</f>
        <v/>
      </c>
      <c r="AU252" s="11" t="str">
        <f ca="1">BV!AY252</f>
        <v/>
      </c>
      <c r="AV252" s="11" t="str">
        <f ca="1">BV!BG252</f>
        <v/>
      </c>
      <c r="AW252" s="11" t="str">
        <f ca="1">BV!BO252</f>
        <v/>
      </c>
      <c r="AX252" s="11" t="str">
        <f ca="1">BV!BW252</f>
        <v/>
      </c>
      <c r="AY252" s="64" t="s">
        <v>66</v>
      </c>
      <c r="AZ252" s="38">
        <f t="shared" si="118"/>
        <v>4.3781874340449933</v>
      </c>
      <c r="BA252" s="261">
        <v>4.1861286E-5</v>
      </c>
      <c r="BB252" s="268">
        <v>8.4533589190000005E-3</v>
      </c>
      <c r="BC252" s="268">
        <f t="shared" si="119"/>
        <v>4.9520298855300505E-3</v>
      </c>
      <c r="BD252" s="269" t="str">
        <f ca="1">IF(BV!H252="","",INT(NOW()-BV!H252))</f>
        <v/>
      </c>
      <c r="BE252" s="270">
        <f t="shared" si="120"/>
        <v>154.55879281672756</v>
      </c>
      <c r="BF252" s="11" t="str">
        <f ca="1">BV!G252</f>
        <v/>
      </c>
      <c r="BG252" s="11" t="str">
        <f ca="1">BV!O252</f>
        <v/>
      </c>
      <c r="BH252" s="11" t="str">
        <f ca="1">BV!W252</f>
        <v/>
      </c>
      <c r="BI252" s="11" t="str">
        <f ca="1">BV!AE252</f>
        <v/>
      </c>
      <c r="BJ252" s="11" t="str">
        <f ca="1">BV!AM252</f>
        <v/>
      </c>
      <c r="BK252" s="11" t="str">
        <f ca="1">BV!AU252</f>
        <v/>
      </c>
      <c r="BL252" s="11" t="str">
        <f ca="1">BV!BC252</f>
        <v/>
      </c>
      <c r="BM252" s="11" t="str">
        <f ca="1">BV!BK252</f>
        <v/>
      </c>
      <c r="BN252" s="11" t="str">
        <f ca="1">BV!BS252</f>
        <v/>
      </c>
      <c r="BO252" s="11" t="str">
        <f ca="1">BV!CA252</f>
        <v/>
      </c>
      <c r="BP252" s="433">
        <v>110</v>
      </c>
      <c r="BQ252" s="11" t="str">
        <f ca="1">IFERROR(YEAR(OFFSET(BV!$H252,,(COLUMN()-69)*8)),"")</f>
        <v/>
      </c>
      <c r="BR252" s="11" t="str">
        <f ca="1">IFERROR(YEAR(OFFSET(BV!$H252,,(COLUMN()-69)*8)),"")</f>
        <v/>
      </c>
      <c r="BS252" s="11" t="str">
        <f ca="1">IFERROR(YEAR(OFFSET(BV!$H252,,(COLUMN()-69)*8)),"")</f>
        <v/>
      </c>
      <c r="BT252" s="11" t="str">
        <f ca="1">IFERROR(YEAR(OFFSET(BV!$H252,,(COLUMN()-69)*8)),"")</f>
        <v/>
      </c>
      <c r="BU252" s="11" t="str">
        <f ca="1">IFERROR(YEAR(OFFSET(BV!$H252,,(COLUMN()-69)*8)),"")</f>
        <v/>
      </c>
      <c r="BV252" s="11" t="str">
        <f ca="1">IFERROR(YEAR(OFFSET(BV!$H252,,(COLUMN()-69)*8)),"")</f>
        <v/>
      </c>
      <c r="BW252" s="11" t="str">
        <f ca="1">IFERROR(YEAR(OFFSET(BV!$H252,,(COLUMN()-69)*8)),"")</f>
        <v/>
      </c>
      <c r="BX252" s="11" t="str">
        <f ca="1">IFERROR(YEAR(OFFSET(BV!$H252,,(COLUMN()-69)*8)),"")</f>
        <v/>
      </c>
      <c r="BY252" s="11" t="str">
        <f ca="1">IFERROR(YEAR(OFFSET(BV!$H252,,(COLUMN()-69)*8)),"")</f>
        <v/>
      </c>
      <c r="BZ252" s="11" t="str">
        <f ca="1">IFERROR(YEAR(OFFSET(BV!$H252,,(COLUMN()-69)*8)),"")</f>
        <v/>
      </c>
    </row>
    <row r="253" spans="1:78" x14ac:dyDescent="0.25">
      <c r="A253" s="433">
        <v>111</v>
      </c>
      <c r="B253" s="11" t="str">
        <f ca="1">BV!D253</f>
        <v/>
      </c>
      <c r="C253" s="11" t="str">
        <f ca="1">BV!L253</f>
        <v/>
      </c>
      <c r="D253" s="11" t="str">
        <f ca="1">BV!T253</f>
        <v/>
      </c>
      <c r="E253" s="11" t="str">
        <f ca="1">BV!AB253</f>
        <v/>
      </c>
      <c r="F253" s="11" t="str">
        <f ca="1">BV!AJ253</f>
        <v/>
      </c>
      <c r="G253" s="11" t="str">
        <f ca="1">BV!AR253</f>
        <v/>
      </c>
      <c r="H253" s="11" t="str">
        <f ca="1">BV!AZ253</f>
        <v/>
      </c>
      <c r="I253" s="11" t="str">
        <f ca="1">BV!BH253</f>
        <v/>
      </c>
      <c r="J253" s="11" t="str">
        <f ca="1">BV!BP253</f>
        <v/>
      </c>
      <c r="K253" s="11" t="str">
        <f ca="1">BV!BX253</f>
        <v/>
      </c>
      <c r="L253" s="64" t="s">
        <v>66</v>
      </c>
      <c r="M253" s="261">
        <v>5.2214489999999999E-5</v>
      </c>
      <c r="N253" s="262" t="str">
        <f t="shared" ca="1" si="117"/>
        <v/>
      </c>
      <c r="O253" s="31"/>
      <c r="P253" s="1"/>
      <c r="Q253" s="1"/>
      <c r="R253" s="1"/>
      <c r="S253" s="257"/>
      <c r="T253" s="257"/>
      <c r="U253" s="257"/>
      <c r="V253" s="257"/>
      <c r="W253" s="257"/>
      <c r="X253" s="257"/>
      <c r="Y253" s="257"/>
      <c r="Z253" s="257"/>
      <c r="AA253" s="620">
        <f ca="1">LARGE(Time!T$2:T$201,AG253)</f>
        <v>44168.142</v>
      </c>
      <c r="AB253" s="620"/>
      <c r="AC253" s="11">
        <f ca="1">INDEX(Time!M$2:M$201,AH253)</f>
        <v>65</v>
      </c>
      <c r="AD253" s="597">
        <f ca="1">INDEX(Time!N$2:N$201,AH253)</f>
        <v>23.13</v>
      </c>
      <c r="AE253" s="597"/>
      <c r="AF253" s="11">
        <f ca="1">INDEX(Time!O$2:O$201,AH253)</f>
        <v>2.8102031993082579</v>
      </c>
      <c r="AG253" s="11">
        <v>1</v>
      </c>
      <c r="AH253" s="1">
        <f ca="1">MATCH(AA253,Time!T$2:T$201,0)</f>
        <v>141</v>
      </c>
      <c r="AI253" s="589">
        <f ca="1">153.73/(AD253^1.7/AC253)</f>
        <v>47.926245504251376</v>
      </c>
      <c r="AJ253" s="589"/>
      <c r="AL253" s="315"/>
      <c r="AM253" s="315"/>
      <c r="AN253" s="433">
        <v>111</v>
      </c>
      <c r="AO253" s="11" t="str">
        <f ca="1">BV!C253</f>
        <v/>
      </c>
      <c r="AP253" s="11" t="str">
        <f ca="1">BV!K253</f>
        <v/>
      </c>
      <c r="AQ253" s="11" t="str">
        <f ca="1">BV!S253</f>
        <v/>
      </c>
      <c r="AR253" s="11" t="str">
        <f ca="1">BV!AA253</f>
        <v/>
      </c>
      <c r="AS253" s="11" t="str">
        <f ca="1">BV!AI253</f>
        <v/>
      </c>
      <c r="AT253" s="11" t="str">
        <f ca="1">BV!AQ253</f>
        <v/>
      </c>
      <c r="AU253" s="11" t="str">
        <f ca="1">BV!AY253</f>
        <v/>
      </c>
      <c r="AV253" s="11" t="str">
        <f ca="1">BV!BG253</f>
        <v/>
      </c>
      <c r="AW253" s="11" t="str">
        <f ca="1">BV!BO253</f>
        <v/>
      </c>
      <c r="AX253" s="11" t="str">
        <f ca="1">BV!BW253</f>
        <v/>
      </c>
      <c r="AY253" s="64" t="s">
        <v>66</v>
      </c>
      <c r="AZ253" s="38">
        <f t="shared" si="118"/>
        <v>4.2822089595688198</v>
      </c>
      <c r="BA253" s="261">
        <v>5.2214489999999999E-5</v>
      </c>
      <c r="BB253" s="268">
        <v>8.4533589190000005E-3</v>
      </c>
      <c r="BC253" s="268">
        <f t="shared" si="119"/>
        <v>6.1767742858571031E-3</v>
      </c>
      <c r="BD253" s="269" t="str">
        <f ca="1">IF(BV!H253="","",INT(NOW()-BV!H253))</f>
        <v/>
      </c>
      <c r="BE253" s="270">
        <f t="shared" si="120"/>
        <v>138.38992685488643</v>
      </c>
      <c r="BF253" s="11" t="str">
        <f ca="1">BV!G253</f>
        <v/>
      </c>
      <c r="BG253" s="11" t="str">
        <f ca="1">BV!O253</f>
        <v/>
      </c>
      <c r="BH253" s="11" t="str">
        <f ca="1">BV!W253</f>
        <v/>
      </c>
      <c r="BI253" s="11" t="str">
        <f ca="1">BV!AE253</f>
        <v/>
      </c>
      <c r="BJ253" s="11" t="str">
        <f ca="1">BV!AM253</f>
        <v/>
      </c>
      <c r="BK253" s="11" t="str">
        <f ca="1">BV!AU253</f>
        <v/>
      </c>
      <c r="BL253" s="11" t="str">
        <f ca="1">BV!BC253</f>
        <v/>
      </c>
      <c r="BM253" s="11" t="str">
        <f ca="1">BV!BK253</f>
        <v/>
      </c>
      <c r="BN253" s="11" t="str">
        <f ca="1">BV!BS253</f>
        <v/>
      </c>
      <c r="BO253" s="11" t="str">
        <f ca="1">BV!CA253</f>
        <v/>
      </c>
      <c r="BP253" s="433">
        <v>111</v>
      </c>
      <c r="BQ253" s="11" t="str">
        <f ca="1">IFERROR(YEAR(OFFSET(BV!$H253,,(COLUMN()-69)*8)),"")</f>
        <v/>
      </c>
      <c r="BR253" s="11" t="str">
        <f ca="1">IFERROR(YEAR(OFFSET(BV!$H253,,(COLUMN()-69)*8)),"")</f>
        <v/>
      </c>
      <c r="BS253" s="11" t="str">
        <f ca="1">IFERROR(YEAR(OFFSET(BV!$H253,,(COLUMN()-69)*8)),"")</f>
        <v/>
      </c>
      <c r="BT253" s="11" t="str">
        <f ca="1">IFERROR(YEAR(OFFSET(BV!$H253,,(COLUMN()-69)*8)),"")</f>
        <v/>
      </c>
      <c r="BU253" s="11" t="str">
        <f ca="1">IFERROR(YEAR(OFFSET(BV!$H253,,(COLUMN()-69)*8)),"")</f>
        <v/>
      </c>
      <c r="BV253" s="11" t="str">
        <f ca="1">IFERROR(YEAR(OFFSET(BV!$H253,,(COLUMN()-69)*8)),"")</f>
        <v/>
      </c>
      <c r="BW253" s="11" t="str">
        <f ca="1">IFERROR(YEAR(OFFSET(BV!$H253,,(COLUMN()-69)*8)),"")</f>
        <v/>
      </c>
      <c r="BX253" s="11" t="str">
        <f ca="1">IFERROR(YEAR(OFFSET(BV!$H253,,(COLUMN()-69)*8)),"")</f>
        <v/>
      </c>
      <c r="BY253" s="11" t="str">
        <f ca="1">IFERROR(YEAR(OFFSET(BV!$H253,,(COLUMN()-69)*8)),"")</f>
        <v/>
      </c>
      <c r="BZ253" s="11" t="str">
        <f ca="1">IFERROR(YEAR(OFFSET(BV!$H253,,(COLUMN()-69)*8)),"")</f>
        <v/>
      </c>
    </row>
    <row r="254" spans="1:78" x14ac:dyDescent="0.25">
      <c r="A254" s="433">
        <v>112</v>
      </c>
      <c r="B254" s="11" t="str">
        <f ca="1">BV!D254</f>
        <v/>
      </c>
      <c r="C254" s="11" t="str">
        <f ca="1">BV!L254</f>
        <v/>
      </c>
      <c r="D254" s="11" t="str">
        <f ca="1">BV!T254</f>
        <v/>
      </c>
      <c r="E254" s="11" t="str">
        <f ca="1">BV!AB254</f>
        <v/>
      </c>
      <c r="F254" s="11" t="str">
        <f ca="1">BV!AJ254</f>
        <v/>
      </c>
      <c r="G254" s="11" t="str">
        <f ca="1">BV!AR254</f>
        <v/>
      </c>
      <c r="H254" s="11" t="str">
        <f ca="1">BV!AZ254</f>
        <v/>
      </c>
      <c r="I254" s="11" t="str">
        <f ca="1">BV!BH254</f>
        <v/>
      </c>
      <c r="J254" s="11" t="str">
        <f ca="1">BV!BP254</f>
        <v/>
      </c>
      <c r="K254" s="11" t="str">
        <f ca="1">BV!BX254</f>
        <v/>
      </c>
      <c r="L254" s="64" t="s">
        <v>66</v>
      </c>
      <c r="M254" s="261">
        <v>6.4788371999999995E-5</v>
      </c>
      <c r="N254" s="262" t="str">
        <f t="shared" ca="1" si="117"/>
        <v/>
      </c>
      <c r="O254" s="31"/>
      <c r="P254" s="1"/>
      <c r="Q254" s="1"/>
      <c r="R254" s="1"/>
      <c r="S254" s="257"/>
      <c r="T254" s="257"/>
      <c r="U254" s="257"/>
      <c r="V254" s="257"/>
      <c r="W254" s="257"/>
      <c r="X254" s="257"/>
      <c r="Y254" s="257"/>
      <c r="Z254" s="257"/>
      <c r="AA254" s="620">
        <f ca="1">LARGE(Time!T$2:T$201,AG254)</f>
        <v>44168.133000000002</v>
      </c>
      <c r="AB254" s="620"/>
      <c r="AC254" s="11">
        <f ca="1">INDEX(Time!M$2:M$201,AH254)</f>
        <v>65</v>
      </c>
      <c r="AD254" s="597">
        <f ca="1">INDEX(Time!N$2:N$201,AH254)</f>
        <v>22.95</v>
      </c>
      <c r="AE254" s="597"/>
      <c r="AF254" s="11">
        <f ca="1">INDEX(Time!O$2:O$201,AH254)</f>
        <v>2.8322440087145972</v>
      </c>
      <c r="AG254" s="11">
        <v>2</v>
      </c>
      <c r="AH254" s="1">
        <f ca="1">MATCH(AA254,Time!T$2:T$201,0)</f>
        <v>132</v>
      </c>
      <c r="AI254" s="589">
        <f t="shared" ref="AI254:AI262" ca="1" si="122">153.73/(AD254^1.7/AC254)</f>
        <v>48.567014901888967</v>
      </c>
      <c r="AJ254" s="589"/>
      <c r="AL254" s="315"/>
      <c r="AM254" s="315"/>
      <c r="AN254" s="433">
        <v>112</v>
      </c>
      <c r="AO254" s="11" t="str">
        <f ca="1">BV!C254</f>
        <v/>
      </c>
      <c r="AP254" s="11" t="str">
        <f ca="1">BV!K254</f>
        <v/>
      </c>
      <c r="AQ254" s="11" t="str">
        <f ca="1">BV!S254</f>
        <v/>
      </c>
      <c r="AR254" s="11" t="str">
        <f ca="1">BV!AA254</f>
        <v/>
      </c>
      <c r="AS254" s="11" t="str">
        <f ca="1">BV!AI254</f>
        <v/>
      </c>
      <c r="AT254" s="11" t="str">
        <f ca="1">BV!AQ254</f>
        <v/>
      </c>
      <c r="AU254" s="11" t="str">
        <f ca="1">BV!AY254</f>
        <v/>
      </c>
      <c r="AV254" s="11" t="str">
        <f ca="1">BV!BG254</f>
        <v/>
      </c>
      <c r="AW254" s="11" t="str">
        <f ca="1">BV!BO254</f>
        <v/>
      </c>
      <c r="AX254" s="11" t="str">
        <f ca="1">BV!BW254</f>
        <v/>
      </c>
      <c r="AY254" s="64" t="s">
        <v>66</v>
      </c>
      <c r="AZ254" s="38">
        <f t="shared" si="118"/>
        <v>4.1885029328544823</v>
      </c>
      <c r="BA254" s="261">
        <v>6.4788371999999995E-5</v>
      </c>
      <c r="BB254" s="268">
        <v>8.4533589190000005E-3</v>
      </c>
      <c r="BC254" s="268">
        <f t="shared" si="119"/>
        <v>7.6642163926554548E-3</v>
      </c>
      <c r="BD254" s="269" t="str">
        <f ca="1">IF(BV!H254="","",INT(NOW()-BV!H254))</f>
        <v/>
      </c>
      <c r="BE254" s="270">
        <f t="shared" si="120"/>
        <v>124.23714608292161</v>
      </c>
      <c r="BF254" s="11" t="str">
        <f ca="1">BV!G254</f>
        <v/>
      </c>
      <c r="BG254" s="11" t="str">
        <f ca="1">BV!O254</f>
        <v/>
      </c>
      <c r="BH254" s="11" t="str">
        <f ca="1">BV!W254</f>
        <v/>
      </c>
      <c r="BI254" s="11" t="str">
        <f ca="1">BV!AE254</f>
        <v/>
      </c>
      <c r="BJ254" s="11" t="str">
        <f ca="1">BV!AM254</f>
        <v/>
      </c>
      <c r="BK254" s="11" t="str">
        <f ca="1">BV!AU254</f>
        <v/>
      </c>
      <c r="BL254" s="11" t="str">
        <f ca="1">BV!BC254</f>
        <v/>
      </c>
      <c r="BM254" s="11" t="str">
        <f ca="1">BV!BK254</f>
        <v/>
      </c>
      <c r="BN254" s="11" t="str">
        <f ca="1">BV!BS254</f>
        <v/>
      </c>
      <c r="BO254" s="11" t="str">
        <f ca="1">BV!CA254</f>
        <v/>
      </c>
      <c r="BP254" s="433">
        <v>112</v>
      </c>
      <c r="BQ254" s="11" t="str">
        <f ca="1">IFERROR(YEAR(OFFSET(BV!$H254,,(COLUMN()-69)*8)),"")</f>
        <v/>
      </c>
      <c r="BR254" s="11" t="str">
        <f ca="1">IFERROR(YEAR(OFFSET(BV!$H254,,(COLUMN()-69)*8)),"")</f>
        <v/>
      </c>
      <c r="BS254" s="11" t="str">
        <f ca="1">IFERROR(YEAR(OFFSET(BV!$H254,,(COLUMN()-69)*8)),"")</f>
        <v/>
      </c>
      <c r="BT254" s="11" t="str">
        <f ca="1">IFERROR(YEAR(OFFSET(BV!$H254,,(COLUMN()-69)*8)),"")</f>
        <v/>
      </c>
      <c r="BU254" s="11" t="str">
        <f ca="1">IFERROR(YEAR(OFFSET(BV!$H254,,(COLUMN()-69)*8)),"")</f>
        <v/>
      </c>
      <c r="BV254" s="11" t="str">
        <f ca="1">IFERROR(YEAR(OFFSET(BV!$H254,,(COLUMN()-69)*8)),"")</f>
        <v/>
      </c>
      <c r="BW254" s="11" t="str">
        <f ca="1">IFERROR(YEAR(OFFSET(BV!$H254,,(COLUMN()-69)*8)),"")</f>
        <v/>
      </c>
      <c r="BX254" s="11" t="str">
        <f ca="1">IFERROR(YEAR(OFFSET(BV!$H254,,(COLUMN()-69)*8)),"")</f>
        <v/>
      </c>
      <c r="BY254" s="11" t="str">
        <f ca="1">IFERROR(YEAR(OFFSET(BV!$H254,,(COLUMN()-69)*8)),"")</f>
        <v/>
      </c>
      <c r="BZ254" s="11" t="str">
        <f ca="1">IFERROR(YEAR(OFFSET(BV!$H254,,(COLUMN()-69)*8)),"")</f>
        <v/>
      </c>
    </row>
    <row r="255" spans="1:78" x14ac:dyDescent="0.25">
      <c r="A255" s="433">
        <v>113</v>
      </c>
      <c r="B255" s="11" t="str">
        <f ca="1">BV!D255</f>
        <v/>
      </c>
      <c r="C255" s="11" t="str">
        <f ca="1">BV!L255</f>
        <v/>
      </c>
      <c r="D255" s="11" t="str">
        <f ca="1">BV!T255</f>
        <v/>
      </c>
      <c r="E255" s="11" t="str">
        <f ca="1">BV!AB255</f>
        <v/>
      </c>
      <c r="F255" s="11" t="str">
        <f ca="1">BV!AJ255</f>
        <v/>
      </c>
      <c r="G255" s="11" t="str">
        <f ca="1">BV!AR255</f>
        <v/>
      </c>
      <c r="H255" s="11" t="str">
        <f ca="1">BV!AZ255</f>
        <v/>
      </c>
      <c r="I255" s="11" t="str">
        <f ca="1">BV!BH255</f>
        <v/>
      </c>
      <c r="J255" s="11" t="str">
        <f ca="1">BV!BP255</f>
        <v/>
      </c>
      <c r="K255" s="11" t="str">
        <f ca="1">BV!BX255</f>
        <v/>
      </c>
      <c r="L255" s="64" t="s">
        <v>66</v>
      </c>
      <c r="M255" s="261">
        <v>8.0038656000000003E-5</v>
      </c>
      <c r="N255" s="262" t="str">
        <f t="shared" ca="1" si="117"/>
        <v/>
      </c>
      <c r="O255" s="326"/>
      <c r="P255" s="1"/>
      <c r="Q255" s="1"/>
      <c r="R255" s="1"/>
      <c r="S255" s="257"/>
      <c r="T255" s="257"/>
      <c r="U255" s="257"/>
      <c r="V255" s="257"/>
      <c r="W255" s="257"/>
      <c r="X255" s="257"/>
      <c r="Y255" s="257"/>
      <c r="Z255" s="257"/>
      <c r="AA255" s="620">
        <f ca="1">LARGE(Time!T$2:T$201,AG255)</f>
        <v>44168.127</v>
      </c>
      <c r="AB255" s="620"/>
      <c r="AC255" s="11">
        <f ca="1">INDEX(Time!M$2:M$201,AH255)</f>
        <v>65</v>
      </c>
      <c r="AD255" s="597">
        <f ca="1">INDEX(Time!N$2:N$201,AH255)</f>
        <v>22.84</v>
      </c>
      <c r="AE255" s="597"/>
      <c r="AF255" s="11">
        <f ca="1">INDEX(Time!O$2:O$201,AH255)</f>
        <v>2.8458844133099825</v>
      </c>
      <c r="AG255" s="11">
        <v>3</v>
      </c>
      <c r="AH255" s="1">
        <f ca="1">MATCH(AA255,Time!T$2:T$201,0)</f>
        <v>126</v>
      </c>
      <c r="AI255" s="589">
        <f t="shared" ca="1" si="122"/>
        <v>48.965321970813221</v>
      </c>
      <c r="AJ255" s="589"/>
      <c r="AL255" s="315"/>
      <c r="AM255" s="315"/>
      <c r="AN255" s="433">
        <v>113</v>
      </c>
      <c r="AO255" s="11" t="str">
        <f ca="1">BV!C255</f>
        <v/>
      </c>
      <c r="AP255" s="11" t="str">
        <f ca="1">BV!K255</f>
        <v/>
      </c>
      <c r="AQ255" s="11" t="str">
        <f ca="1">BV!S255</f>
        <v/>
      </c>
      <c r="AR255" s="11" t="str">
        <f ca="1">BV!AA255</f>
        <v/>
      </c>
      <c r="AS255" s="11" t="str">
        <f ca="1">BV!AI255</f>
        <v/>
      </c>
      <c r="AT255" s="11" t="str">
        <f ca="1">BV!AQ255</f>
        <v/>
      </c>
      <c r="AU255" s="11" t="str">
        <f ca="1">BV!AY255</f>
        <v/>
      </c>
      <c r="AV255" s="11" t="str">
        <f ca="1">BV!BG255</f>
        <v/>
      </c>
      <c r="AW255" s="11" t="str">
        <f ca="1">BV!BO255</f>
        <v/>
      </c>
      <c r="AX255" s="11" t="str">
        <f ca="1">BV!BW255</f>
        <v/>
      </c>
      <c r="AY255" s="64" t="s">
        <v>66</v>
      </c>
      <c r="AZ255" s="38">
        <f t="shared" si="118"/>
        <v>4.0967002125980985</v>
      </c>
      <c r="BA255" s="261">
        <v>8.0038656000000003E-5</v>
      </c>
      <c r="BB255" s="268">
        <v>8.4533589190000005E-3</v>
      </c>
      <c r="BC255" s="268">
        <f t="shared" si="119"/>
        <v>9.4682666105780668E-3</v>
      </c>
      <c r="BD255" s="269" t="str">
        <f ca="1">IF(BV!H255="","",INT(NOW()-BV!H255))</f>
        <v/>
      </c>
      <c r="BE255" s="270">
        <f t="shared" si="120"/>
        <v>111.77639695892174</v>
      </c>
      <c r="BF255" s="11" t="str">
        <f ca="1">BV!G255</f>
        <v/>
      </c>
      <c r="BG255" s="11" t="str">
        <f ca="1">BV!O255</f>
        <v/>
      </c>
      <c r="BH255" s="11" t="str">
        <f ca="1">BV!W255</f>
        <v/>
      </c>
      <c r="BI255" s="11" t="str">
        <f ca="1">BV!AE255</f>
        <v/>
      </c>
      <c r="BJ255" s="11" t="str">
        <f ca="1">BV!AM255</f>
        <v/>
      </c>
      <c r="BK255" s="11" t="str">
        <f ca="1">BV!AU255</f>
        <v/>
      </c>
      <c r="BL255" s="11" t="str">
        <f ca="1">BV!BC255</f>
        <v/>
      </c>
      <c r="BM255" s="11" t="str">
        <f ca="1">BV!BK255</f>
        <v/>
      </c>
      <c r="BN255" s="11" t="str">
        <f ca="1">BV!BS255</f>
        <v/>
      </c>
      <c r="BO255" s="11" t="str">
        <f ca="1">BV!CA255</f>
        <v/>
      </c>
      <c r="BP255" s="433">
        <v>113</v>
      </c>
      <c r="BQ255" s="11" t="str">
        <f ca="1">IFERROR(YEAR(OFFSET(BV!$H255,,(COLUMN()-69)*8)),"")</f>
        <v/>
      </c>
      <c r="BR255" s="11" t="str">
        <f ca="1">IFERROR(YEAR(OFFSET(BV!$H255,,(COLUMN()-69)*8)),"")</f>
        <v/>
      </c>
      <c r="BS255" s="11" t="str">
        <f ca="1">IFERROR(YEAR(OFFSET(BV!$H255,,(COLUMN()-69)*8)),"")</f>
        <v/>
      </c>
      <c r="BT255" s="11" t="str">
        <f ca="1">IFERROR(YEAR(OFFSET(BV!$H255,,(COLUMN()-69)*8)),"")</f>
        <v/>
      </c>
      <c r="BU255" s="11" t="str">
        <f ca="1">IFERROR(YEAR(OFFSET(BV!$H255,,(COLUMN()-69)*8)),"")</f>
        <v/>
      </c>
      <c r="BV255" s="11" t="str">
        <f ca="1">IFERROR(YEAR(OFFSET(BV!$H255,,(COLUMN()-69)*8)),"")</f>
        <v/>
      </c>
      <c r="BW255" s="11" t="str">
        <f ca="1">IFERROR(YEAR(OFFSET(BV!$H255,,(COLUMN()-69)*8)),"")</f>
        <v/>
      </c>
      <c r="BX255" s="11" t="str">
        <f ca="1">IFERROR(YEAR(OFFSET(BV!$H255,,(COLUMN()-69)*8)),"")</f>
        <v/>
      </c>
      <c r="BY255" s="11" t="str">
        <f ca="1">IFERROR(YEAR(OFFSET(BV!$H255,,(COLUMN()-69)*8)),"")</f>
        <v/>
      </c>
      <c r="BZ255" s="11" t="str">
        <f ca="1">IFERROR(YEAR(OFFSET(BV!$H255,,(COLUMN()-69)*8)),"")</f>
        <v/>
      </c>
    </row>
    <row r="256" spans="1:78" x14ac:dyDescent="0.25">
      <c r="A256" s="433">
        <v>114</v>
      </c>
      <c r="B256" s="11" t="str">
        <f ca="1">BV!D256</f>
        <v/>
      </c>
      <c r="C256" s="11" t="str">
        <f ca="1">BV!L256</f>
        <v/>
      </c>
      <c r="D256" s="11" t="str">
        <f ca="1">BV!T256</f>
        <v/>
      </c>
      <c r="E256" s="11" t="str">
        <f ca="1">BV!AB256</f>
        <v/>
      </c>
      <c r="F256" s="11" t="str">
        <f ca="1">BV!AJ256</f>
        <v/>
      </c>
      <c r="G256" s="11" t="str">
        <f ca="1">BV!AR256</f>
        <v/>
      </c>
      <c r="H256" s="11" t="str">
        <f ca="1">BV!AZ256</f>
        <v/>
      </c>
      <c r="I256" s="11" t="str">
        <f ca="1">BV!BH256</f>
        <v/>
      </c>
      <c r="J256" s="11" t="str">
        <f ca="1">BV!BP256</f>
        <v/>
      </c>
      <c r="K256" s="11" t="str">
        <f ca="1">BV!BX256</f>
        <v/>
      </c>
      <c r="L256" s="64" t="s">
        <v>66</v>
      </c>
      <c r="M256" s="261">
        <v>9.8365907000000005E-5</v>
      </c>
      <c r="N256" s="262" t="str">
        <f t="shared" ca="1" si="117"/>
        <v/>
      </c>
      <c r="O256" s="4"/>
      <c r="P256" s="256"/>
      <c r="Q256" s="256"/>
      <c r="R256" s="256"/>
      <c r="S256" s="256"/>
      <c r="T256" s="256"/>
      <c r="U256" s="256"/>
      <c r="V256" s="256"/>
      <c r="W256" s="257"/>
      <c r="X256" s="257"/>
      <c r="Y256" s="257"/>
      <c r="Z256" s="257"/>
      <c r="AA256" s="620">
        <f ca="1">LARGE(Time!T$2:T$201,AG256)</f>
        <v>44168.125999999997</v>
      </c>
      <c r="AB256" s="620"/>
      <c r="AC256" s="11">
        <f ca="1">INDEX(Time!M$2:M$201,AH256)</f>
        <v>53</v>
      </c>
      <c r="AD256" s="597">
        <f ca="1">INDEX(Time!N$2:N$201,AH256)</f>
        <v>22.82</v>
      </c>
      <c r="AE256" s="597"/>
      <c r="AF256" s="11">
        <f ca="1">INDEX(Time!O$2:O$201,AH256)</f>
        <v>2.3225241016652061</v>
      </c>
      <c r="AG256" s="11">
        <v>4</v>
      </c>
      <c r="AH256" s="1">
        <f ca="1">MATCH(AA256,Time!T$2:T$201,0)</f>
        <v>125</v>
      </c>
      <c r="AI256" s="589">
        <f t="shared" ca="1" si="122"/>
        <v>39.985074418355794</v>
      </c>
      <c r="AJ256" s="589"/>
      <c r="AL256" s="315"/>
      <c r="AM256" s="315"/>
      <c r="AN256" s="433">
        <v>114</v>
      </c>
      <c r="AO256" s="11" t="str">
        <f ca="1">BV!C256</f>
        <v/>
      </c>
      <c r="AP256" s="11" t="str">
        <f ca="1">BV!K256</f>
        <v/>
      </c>
      <c r="AQ256" s="11" t="str">
        <f ca="1">BV!S256</f>
        <v/>
      </c>
      <c r="AR256" s="11" t="str">
        <f ca="1">BV!AA256</f>
        <v/>
      </c>
      <c r="AS256" s="11" t="str">
        <f ca="1">BV!AI256</f>
        <v/>
      </c>
      <c r="AT256" s="11" t="str">
        <f ca="1">BV!AQ256</f>
        <v/>
      </c>
      <c r="AU256" s="11" t="str">
        <f ca="1">BV!AY256</f>
        <v/>
      </c>
      <c r="AV256" s="11" t="str">
        <f ca="1">BV!BG256</f>
        <v/>
      </c>
      <c r="AW256" s="11" t="str">
        <f ca="1">BV!BO256</f>
        <v/>
      </c>
      <c r="AX256" s="11" t="str">
        <f ca="1">BV!BW256</f>
        <v/>
      </c>
      <c r="AY256" s="64" t="s">
        <v>66</v>
      </c>
      <c r="AZ256" s="38">
        <f t="shared" si="118"/>
        <v>4.0071553992046098</v>
      </c>
      <c r="BA256" s="261">
        <v>9.8365907000000005E-5</v>
      </c>
      <c r="BB256" s="268">
        <v>8.4533589190000005E-3</v>
      </c>
      <c r="BC256" s="268">
        <f t="shared" si="119"/>
        <v>1.1636310245730854E-2</v>
      </c>
      <c r="BD256" s="269" t="str">
        <f ca="1">IF(BV!H256="","",INT(NOW()-BV!H256))</f>
        <v/>
      </c>
      <c r="BE256" s="270">
        <f t="shared" si="120"/>
        <v>100.82719831145371</v>
      </c>
      <c r="BF256" s="11" t="str">
        <f ca="1">BV!G256</f>
        <v/>
      </c>
      <c r="BG256" s="11" t="str">
        <f ca="1">BV!O256</f>
        <v/>
      </c>
      <c r="BH256" s="11" t="str">
        <f ca="1">BV!W256</f>
        <v/>
      </c>
      <c r="BI256" s="11" t="str">
        <f ca="1">BV!AE256</f>
        <v/>
      </c>
      <c r="BJ256" s="11" t="str">
        <f ca="1">BV!AM256</f>
        <v/>
      </c>
      <c r="BK256" s="11" t="str">
        <f ca="1">BV!AU256</f>
        <v/>
      </c>
      <c r="BL256" s="11" t="str">
        <f ca="1">BV!BC256</f>
        <v/>
      </c>
      <c r="BM256" s="11" t="str">
        <f ca="1">BV!BK256</f>
        <v/>
      </c>
      <c r="BN256" s="11" t="str">
        <f ca="1">BV!BS256</f>
        <v/>
      </c>
      <c r="BO256" s="11" t="str">
        <f ca="1">BV!CA256</f>
        <v/>
      </c>
      <c r="BP256" s="433">
        <v>114</v>
      </c>
      <c r="BQ256" s="11" t="str">
        <f ca="1">IFERROR(YEAR(OFFSET(BV!$H256,,(COLUMN()-69)*8)),"")</f>
        <v/>
      </c>
      <c r="BR256" s="11" t="str">
        <f ca="1">IFERROR(YEAR(OFFSET(BV!$H256,,(COLUMN()-69)*8)),"")</f>
        <v/>
      </c>
      <c r="BS256" s="11" t="str">
        <f ca="1">IFERROR(YEAR(OFFSET(BV!$H256,,(COLUMN()-69)*8)),"")</f>
        <v/>
      </c>
      <c r="BT256" s="11" t="str">
        <f ca="1">IFERROR(YEAR(OFFSET(BV!$H256,,(COLUMN()-69)*8)),"")</f>
        <v/>
      </c>
      <c r="BU256" s="11" t="str">
        <f ca="1">IFERROR(YEAR(OFFSET(BV!$H256,,(COLUMN()-69)*8)),"")</f>
        <v/>
      </c>
      <c r="BV256" s="11" t="str">
        <f ca="1">IFERROR(YEAR(OFFSET(BV!$H256,,(COLUMN()-69)*8)),"")</f>
        <v/>
      </c>
      <c r="BW256" s="11" t="str">
        <f ca="1">IFERROR(YEAR(OFFSET(BV!$H256,,(COLUMN()-69)*8)),"")</f>
        <v/>
      </c>
      <c r="BX256" s="11" t="str">
        <f ca="1">IFERROR(YEAR(OFFSET(BV!$H256,,(COLUMN()-69)*8)),"")</f>
        <v/>
      </c>
      <c r="BY256" s="11" t="str">
        <f ca="1">IFERROR(YEAR(OFFSET(BV!$H256,,(COLUMN()-69)*8)),"")</f>
        <v/>
      </c>
      <c r="BZ256" s="11" t="str">
        <f ca="1">IFERROR(YEAR(OFFSET(BV!$H256,,(COLUMN()-69)*8)),"")</f>
        <v/>
      </c>
    </row>
    <row r="257" spans="1:78" x14ac:dyDescent="0.25">
      <c r="A257" s="433">
        <v>115</v>
      </c>
      <c r="B257" s="11" t="str">
        <f ca="1">BV!D257</f>
        <v/>
      </c>
      <c r="C257" s="11" t="str">
        <f ca="1">BV!L257</f>
        <v/>
      </c>
      <c r="D257" s="11" t="str">
        <f ca="1">BV!T257</f>
        <v/>
      </c>
      <c r="E257" s="11" t="str">
        <f ca="1">BV!AB257</f>
        <v/>
      </c>
      <c r="F257" s="11" t="str">
        <f ca="1">BV!AJ257</f>
        <v/>
      </c>
      <c r="G257" s="11" t="str">
        <f ca="1">BV!AR257</f>
        <v/>
      </c>
      <c r="H257" s="11" t="str">
        <f ca="1">BV!AZ257</f>
        <v/>
      </c>
      <c r="I257" s="11" t="str">
        <f ca="1">BV!BH257</f>
        <v/>
      </c>
      <c r="J257" s="11" t="str">
        <f ca="1">BV!BP257</f>
        <v/>
      </c>
      <c r="K257" s="11" t="str">
        <f ca="1">BV!BX257</f>
        <v/>
      </c>
      <c r="L257" s="271" t="s">
        <v>67</v>
      </c>
      <c r="M257" s="261">
        <v>1.20335279E-4</v>
      </c>
      <c r="N257" s="272" t="str">
        <f t="shared" ca="1" si="117"/>
        <v/>
      </c>
      <c r="O257" s="36"/>
      <c r="P257" s="1"/>
      <c r="Q257" s="1"/>
      <c r="R257" s="1"/>
      <c r="S257" s="1"/>
      <c r="T257" s="1"/>
      <c r="U257" s="1"/>
      <c r="V257" s="1"/>
      <c r="W257" s="257"/>
      <c r="X257" s="257"/>
      <c r="Y257" s="257"/>
      <c r="Z257" s="257"/>
      <c r="AA257" s="620">
        <f ca="1">LARGE(Time!T$2:T$201,AG257)</f>
        <v>44168.103000000003</v>
      </c>
      <c r="AB257" s="620"/>
      <c r="AC257" s="11">
        <f ca="1">INDEX(Time!M$2:M$201,AH257)</f>
        <v>59</v>
      </c>
      <c r="AD257" s="597">
        <f ca="1">INDEX(Time!N$2:N$201,AH257)</f>
        <v>22.43</v>
      </c>
      <c r="AE257" s="597"/>
      <c r="AF257" s="11">
        <f ca="1">INDEX(Time!O$2:O$201,AH257)</f>
        <v>2.6304057066428892</v>
      </c>
      <c r="AG257" s="11">
        <v>5</v>
      </c>
      <c r="AH257" s="1">
        <f ca="1">MATCH(AA257,Time!T$2:T$201,0)</f>
        <v>102</v>
      </c>
      <c r="AI257" s="589">
        <f t="shared" ca="1" si="122"/>
        <v>45.835383957364648</v>
      </c>
      <c r="AJ257" s="589"/>
      <c r="AL257" s="315"/>
      <c r="AM257" s="315"/>
      <c r="AN257" s="433">
        <v>115</v>
      </c>
      <c r="AO257" s="11" t="str">
        <f ca="1">BV!C257</f>
        <v/>
      </c>
      <c r="AP257" s="11" t="str">
        <f ca="1">BV!K257</f>
        <v/>
      </c>
      <c r="AQ257" s="11" t="str">
        <f ca="1">BV!S257</f>
        <v/>
      </c>
      <c r="AR257" s="11" t="str">
        <f ca="1">BV!AA257</f>
        <v/>
      </c>
      <c r="AS257" s="11" t="str">
        <f ca="1">BV!AI257</f>
        <v/>
      </c>
      <c r="AT257" s="11" t="str">
        <f ca="1">BV!AQ257</f>
        <v/>
      </c>
      <c r="AU257" s="11" t="str">
        <f ca="1">BV!AY257</f>
        <v/>
      </c>
      <c r="AV257" s="11" t="str">
        <f ca="1">BV!BG257</f>
        <v/>
      </c>
      <c r="AW257" s="11" t="str">
        <f ca="1">BV!BO257</f>
        <v/>
      </c>
      <c r="AX257" s="11" t="str">
        <f ca="1">BV!BW257</f>
        <v/>
      </c>
      <c r="AY257" s="271" t="s">
        <v>67</v>
      </c>
      <c r="AZ257" s="274">
        <f t="shared" si="118"/>
        <v>3.9196070307741233</v>
      </c>
      <c r="BA257" s="261">
        <v>1.20335279E-4</v>
      </c>
      <c r="BB257" s="268">
        <v>8.4533589190000005E-3</v>
      </c>
      <c r="BC257" s="268">
        <f t="shared" si="119"/>
        <v>1.4235202852860198E-2</v>
      </c>
      <c r="BD257" s="269" t="str">
        <f ca="1">IF(BV!H257="","",INT(NOW()-BV!H257))</f>
        <v/>
      </c>
      <c r="BE257" s="275">
        <f t="shared" si="120"/>
        <v>91.159831841869448</v>
      </c>
      <c r="BF257" s="11" t="str">
        <f ca="1">BV!G257</f>
        <v/>
      </c>
      <c r="BG257" s="11" t="str">
        <f ca="1">BV!O257</f>
        <v/>
      </c>
      <c r="BH257" s="11" t="str">
        <f ca="1">BV!W257</f>
        <v/>
      </c>
      <c r="BI257" s="11" t="str">
        <f ca="1">BV!AE257</f>
        <v/>
      </c>
      <c r="BJ257" s="11" t="str">
        <f ca="1">BV!AM257</f>
        <v/>
      </c>
      <c r="BK257" s="11" t="str">
        <f ca="1">BV!AU257</f>
        <v/>
      </c>
      <c r="BL257" s="11" t="str">
        <f ca="1">BV!BC257</f>
        <v/>
      </c>
      <c r="BM257" s="11" t="str">
        <f ca="1">BV!BK257</f>
        <v/>
      </c>
      <c r="BN257" s="11" t="str">
        <f ca="1">BV!BS257</f>
        <v/>
      </c>
      <c r="BO257" s="11" t="str">
        <f ca="1">BV!CA257</f>
        <v/>
      </c>
      <c r="BP257" s="433">
        <v>115</v>
      </c>
      <c r="BQ257" s="11" t="str">
        <f ca="1">IFERROR(YEAR(OFFSET(BV!$H257,,(COLUMN()-69)*8)),"")</f>
        <v/>
      </c>
      <c r="BR257" s="11" t="str">
        <f ca="1">IFERROR(YEAR(OFFSET(BV!$H257,,(COLUMN()-69)*8)),"")</f>
        <v/>
      </c>
      <c r="BS257" s="11" t="str">
        <f ca="1">IFERROR(YEAR(OFFSET(BV!$H257,,(COLUMN()-69)*8)),"")</f>
        <v/>
      </c>
      <c r="BT257" s="11" t="str">
        <f ca="1">IFERROR(YEAR(OFFSET(BV!$H257,,(COLUMN()-69)*8)),"")</f>
        <v/>
      </c>
      <c r="BU257" s="11" t="str">
        <f ca="1">IFERROR(YEAR(OFFSET(BV!$H257,,(COLUMN()-69)*8)),"")</f>
        <v/>
      </c>
      <c r="BV257" s="11" t="str">
        <f ca="1">IFERROR(YEAR(OFFSET(BV!$H257,,(COLUMN()-69)*8)),"")</f>
        <v/>
      </c>
      <c r="BW257" s="11" t="str">
        <f ca="1">IFERROR(YEAR(OFFSET(BV!$H257,,(COLUMN()-69)*8)),"")</f>
        <v/>
      </c>
      <c r="BX257" s="11" t="str">
        <f ca="1">IFERROR(YEAR(OFFSET(BV!$H257,,(COLUMN()-69)*8)),"")</f>
        <v/>
      </c>
      <c r="BY257" s="11" t="str">
        <f ca="1">IFERROR(YEAR(OFFSET(BV!$H257,,(COLUMN()-69)*8)),"")</f>
        <v/>
      </c>
      <c r="BZ257" s="11" t="str">
        <f ca="1">IFERROR(YEAR(OFFSET(BV!$H257,,(COLUMN()-69)*8)),"")</f>
        <v/>
      </c>
    </row>
    <row r="258" spans="1:78" x14ac:dyDescent="0.25">
      <c r="A258" s="433">
        <v>116</v>
      </c>
      <c r="B258" s="11" t="str">
        <f ca="1">BV!D258</f>
        <v/>
      </c>
      <c r="C258" s="11" t="str">
        <f ca="1">BV!L258</f>
        <v/>
      </c>
      <c r="D258" s="11" t="str">
        <f ca="1">BV!T258</f>
        <v/>
      </c>
      <c r="E258" s="11" t="str">
        <f ca="1">BV!AB258</f>
        <v/>
      </c>
      <c r="F258" s="11" t="str">
        <f ca="1">BV!AJ258</f>
        <v/>
      </c>
      <c r="G258" s="11" t="str">
        <f ca="1">BV!AR258</f>
        <v/>
      </c>
      <c r="H258" s="11" t="str">
        <f ca="1">BV!AZ258</f>
        <v/>
      </c>
      <c r="I258" s="11" t="str">
        <f ca="1">BV!BH258</f>
        <v/>
      </c>
      <c r="J258" s="11" t="str">
        <f ca="1">BV!BP258</f>
        <v/>
      </c>
      <c r="K258" s="11" t="str">
        <f ca="1">BV!BX258</f>
        <v/>
      </c>
      <c r="L258" s="271" t="s">
        <v>67</v>
      </c>
      <c r="M258" s="261">
        <v>1.4650118100000001E-4</v>
      </c>
      <c r="N258" s="272" t="str">
        <f t="shared" ca="1" si="117"/>
        <v/>
      </c>
      <c r="O258" s="36"/>
      <c r="P258" s="1"/>
      <c r="Q258" s="1"/>
      <c r="R258" s="1"/>
      <c r="S258" s="1"/>
      <c r="T258" s="1"/>
      <c r="U258" s="1"/>
      <c r="V258" s="1"/>
      <c r="W258" s="257"/>
      <c r="X258" s="257"/>
      <c r="Y258" s="257"/>
      <c r="Z258" s="257"/>
      <c r="AA258" s="620">
        <f ca="1">LARGE(Time!T$2:T$201,AG258)</f>
        <v>44168.097000000002</v>
      </c>
      <c r="AB258" s="620"/>
      <c r="AC258" s="11">
        <f ca="1">INDEX(Time!M$2:M$201,AH258)</f>
        <v>59</v>
      </c>
      <c r="AD258" s="597">
        <f ca="1">INDEX(Time!N$2:N$201,AH258)</f>
        <v>22.2</v>
      </c>
      <c r="AE258" s="597"/>
      <c r="AF258" s="11">
        <f ca="1">INDEX(Time!O$2:O$201,AH258)</f>
        <v>2.6576576576576576</v>
      </c>
      <c r="AG258" s="11">
        <v>6</v>
      </c>
      <c r="AH258" s="1">
        <f ca="1">MATCH(AA258,Time!T$2:T$201,0)</f>
        <v>96</v>
      </c>
      <c r="AI258" s="589">
        <f t="shared" ca="1" si="122"/>
        <v>46.645589098552172</v>
      </c>
      <c r="AJ258" s="589"/>
      <c r="AL258" s="315"/>
      <c r="AM258" s="315"/>
      <c r="AN258" s="433">
        <v>116</v>
      </c>
      <c r="AO258" s="11" t="str">
        <f ca="1">BV!C258</f>
        <v/>
      </c>
      <c r="AP258" s="11" t="str">
        <f ca="1">BV!K258</f>
        <v/>
      </c>
      <c r="AQ258" s="11" t="str">
        <f ca="1">BV!S258</f>
        <v/>
      </c>
      <c r="AR258" s="11" t="str">
        <f ca="1">BV!AA258</f>
        <v/>
      </c>
      <c r="AS258" s="11" t="str">
        <f ca="1">BV!AI258</f>
        <v/>
      </c>
      <c r="AT258" s="11" t="str">
        <f ca="1">BV!AQ258</f>
        <v/>
      </c>
      <c r="AU258" s="11" t="str">
        <f ca="1">BV!AY258</f>
        <v/>
      </c>
      <c r="AV258" s="11" t="str">
        <f ca="1">BV!BG258</f>
        <v/>
      </c>
      <c r="AW258" s="11" t="str">
        <f ca="1">BV!BO258</f>
        <v/>
      </c>
      <c r="AX258" s="11" t="str">
        <f ca="1">BV!BW258</f>
        <v/>
      </c>
      <c r="AY258" s="271" t="s">
        <v>67</v>
      </c>
      <c r="AZ258" s="274">
        <f t="shared" si="118"/>
        <v>3.8341588742879211</v>
      </c>
      <c r="BA258" s="261">
        <v>1.4650118100000001E-4</v>
      </c>
      <c r="BB258" s="268">
        <v>8.4533589190000005E-3</v>
      </c>
      <c r="BC258" s="268">
        <f t="shared" si="119"/>
        <v>1.7330528894345176E-2</v>
      </c>
      <c r="BD258" s="269" t="str">
        <f ca="1">IF(BV!H258="","",INT(NOW()-BV!H258))</f>
        <v/>
      </c>
      <c r="BE258" s="275">
        <f t="shared" si="120"/>
        <v>82.618905464469961</v>
      </c>
      <c r="BF258" s="11" t="str">
        <f ca="1">BV!G258</f>
        <v/>
      </c>
      <c r="BG258" s="11" t="str">
        <f ca="1">BV!O258</f>
        <v/>
      </c>
      <c r="BH258" s="11" t="str">
        <f ca="1">BV!W258</f>
        <v/>
      </c>
      <c r="BI258" s="11" t="str">
        <f ca="1">BV!AE258</f>
        <v/>
      </c>
      <c r="BJ258" s="11" t="str">
        <f ca="1">BV!AM258</f>
        <v/>
      </c>
      <c r="BK258" s="11" t="str">
        <f ca="1">BV!AU258</f>
        <v/>
      </c>
      <c r="BL258" s="11" t="str">
        <f ca="1">BV!BC258</f>
        <v/>
      </c>
      <c r="BM258" s="11" t="str">
        <f ca="1">BV!BK258</f>
        <v/>
      </c>
      <c r="BN258" s="11" t="str">
        <f ca="1">BV!BS258</f>
        <v/>
      </c>
      <c r="BO258" s="11" t="str">
        <f ca="1">BV!CA258</f>
        <v/>
      </c>
      <c r="BP258" s="433">
        <v>116</v>
      </c>
      <c r="BQ258" s="11" t="str">
        <f ca="1">IFERROR(YEAR(OFFSET(BV!$H258,,(COLUMN()-69)*8)),"")</f>
        <v/>
      </c>
      <c r="BR258" s="11" t="str">
        <f ca="1">IFERROR(YEAR(OFFSET(BV!$H258,,(COLUMN()-69)*8)),"")</f>
        <v/>
      </c>
      <c r="BS258" s="11" t="str">
        <f ca="1">IFERROR(YEAR(OFFSET(BV!$H258,,(COLUMN()-69)*8)),"")</f>
        <v/>
      </c>
      <c r="BT258" s="11" t="str">
        <f ca="1">IFERROR(YEAR(OFFSET(BV!$H258,,(COLUMN()-69)*8)),"")</f>
        <v/>
      </c>
      <c r="BU258" s="11" t="str">
        <f ca="1">IFERROR(YEAR(OFFSET(BV!$H258,,(COLUMN()-69)*8)),"")</f>
        <v/>
      </c>
      <c r="BV258" s="11" t="str">
        <f ca="1">IFERROR(YEAR(OFFSET(BV!$H258,,(COLUMN()-69)*8)),"")</f>
        <v/>
      </c>
      <c r="BW258" s="11" t="str">
        <f ca="1">IFERROR(YEAR(OFFSET(BV!$H258,,(COLUMN()-69)*8)),"")</f>
        <v/>
      </c>
      <c r="BX258" s="11" t="str">
        <f ca="1">IFERROR(YEAR(OFFSET(BV!$H258,,(COLUMN()-69)*8)),"")</f>
        <v/>
      </c>
      <c r="BY258" s="11" t="str">
        <f ca="1">IFERROR(YEAR(OFFSET(BV!$H258,,(COLUMN()-69)*8)),"")</f>
        <v/>
      </c>
      <c r="BZ258" s="11" t="str">
        <f ca="1">IFERROR(YEAR(OFFSET(BV!$H258,,(COLUMN()-69)*8)),"")</f>
        <v/>
      </c>
    </row>
    <row r="259" spans="1:78" x14ac:dyDescent="0.25">
      <c r="A259" s="433">
        <v>117</v>
      </c>
      <c r="B259" s="11" t="str">
        <f ca="1">BV!D259</f>
        <v/>
      </c>
      <c r="C259" s="11" t="str">
        <f ca="1">BV!L259</f>
        <v/>
      </c>
      <c r="D259" s="11" t="str">
        <f ca="1">BV!T259</f>
        <v/>
      </c>
      <c r="E259" s="11" t="str">
        <f ca="1">BV!AB259</f>
        <v/>
      </c>
      <c r="F259" s="11" t="str">
        <f ca="1">BV!AJ259</f>
        <v/>
      </c>
      <c r="G259" s="11" t="str">
        <f ca="1">BV!AR259</f>
        <v/>
      </c>
      <c r="H259" s="11" t="str">
        <f ca="1">BV!AZ259</f>
        <v/>
      </c>
      <c r="I259" s="11" t="str">
        <f ca="1">BV!BH259</f>
        <v/>
      </c>
      <c r="J259" s="11" t="str">
        <f ca="1">BV!BP259</f>
        <v/>
      </c>
      <c r="K259" s="11" t="str">
        <f ca="1">BV!BX259</f>
        <v/>
      </c>
      <c r="L259" s="271" t="s">
        <v>67</v>
      </c>
      <c r="M259" s="261">
        <v>1.7754582100000001E-4</v>
      </c>
      <c r="N259" s="272" t="str">
        <f t="shared" ca="1" si="117"/>
        <v/>
      </c>
      <c r="O259" s="36"/>
      <c r="P259" s="1"/>
      <c r="Q259" s="1"/>
      <c r="R259" s="1"/>
      <c r="S259" s="1"/>
      <c r="T259" s="1"/>
      <c r="U259" s="1"/>
      <c r="V259" s="1"/>
      <c r="W259" s="257"/>
      <c r="X259" s="257"/>
      <c r="Y259" s="257"/>
      <c r="Z259" s="257"/>
      <c r="AA259" s="620">
        <f ca="1">LARGE(Time!T$2:T$201,AG259)</f>
        <v>44168.002</v>
      </c>
      <c r="AB259" s="620"/>
      <c r="AC259" s="11">
        <f ca="1">INDEX(Time!M$2:M$201,AH259)</f>
        <v>30</v>
      </c>
      <c r="AD259" s="597">
        <f ca="1">INDEX(Time!N$2:N$201,AH259)</f>
        <v>13.41</v>
      </c>
      <c r="AE259" s="597"/>
      <c r="AF259" s="11">
        <f ca="1">INDEX(Time!O$2:O$201,AH259)</f>
        <v>2.2371364653243848</v>
      </c>
      <c r="AG259" s="11">
        <v>7</v>
      </c>
      <c r="AH259" s="1">
        <f ca="1">MATCH(AA259,Time!T$2:T$201,0)</f>
        <v>1</v>
      </c>
      <c r="AI259" s="589">
        <f t="shared" ca="1" si="122"/>
        <v>55.879300319657631</v>
      </c>
      <c r="AJ259" s="589"/>
      <c r="AL259" s="315"/>
      <c r="AM259" s="315"/>
      <c r="AN259" s="433">
        <v>117</v>
      </c>
      <c r="AO259" s="11" t="str">
        <f ca="1">BV!C259</f>
        <v/>
      </c>
      <c r="AP259" s="11" t="str">
        <f ca="1">BV!K259</f>
        <v/>
      </c>
      <c r="AQ259" s="11" t="str">
        <f ca="1">BV!S259</f>
        <v/>
      </c>
      <c r="AR259" s="11" t="str">
        <f ca="1">BV!AA259</f>
        <v/>
      </c>
      <c r="AS259" s="11" t="str">
        <f ca="1">BV!AI259</f>
        <v/>
      </c>
      <c r="AT259" s="11" t="str">
        <f ca="1">BV!AQ259</f>
        <v/>
      </c>
      <c r="AU259" s="11" t="str">
        <f ca="1">BV!AY259</f>
        <v/>
      </c>
      <c r="AV259" s="11" t="str">
        <f ca="1">BV!BG259</f>
        <v/>
      </c>
      <c r="AW259" s="11" t="str">
        <f ca="1">BV!BO259</f>
        <v/>
      </c>
      <c r="AX259" s="11" t="str">
        <f ca="1">BV!BW259</f>
        <v/>
      </c>
      <c r="AY259" s="271" t="s">
        <v>67</v>
      </c>
      <c r="AZ259" s="274">
        <f t="shared" si="118"/>
        <v>3.7506895454857059</v>
      </c>
      <c r="BA259" s="261">
        <v>1.7754582100000001E-4</v>
      </c>
      <c r="BB259" s="268">
        <v>8.4533589190000005E-3</v>
      </c>
      <c r="BC259" s="268">
        <f t="shared" si="119"/>
        <v>2.1002990965040318E-2</v>
      </c>
      <c r="BD259" s="269" t="str">
        <f ca="1">IF(BV!H259="","",INT(NOW()-BV!H259))</f>
        <v/>
      </c>
      <c r="BE259" s="275">
        <f t="shared" si="120"/>
        <v>75.048976314664401</v>
      </c>
      <c r="BF259" s="11" t="str">
        <f ca="1">BV!G259</f>
        <v/>
      </c>
      <c r="BG259" s="11" t="str">
        <f ca="1">BV!O259</f>
        <v/>
      </c>
      <c r="BH259" s="11" t="str">
        <f ca="1">BV!W259</f>
        <v/>
      </c>
      <c r="BI259" s="11" t="str">
        <f ca="1">BV!AE259</f>
        <v/>
      </c>
      <c r="BJ259" s="11" t="str">
        <f ca="1">BV!AM259</f>
        <v/>
      </c>
      <c r="BK259" s="11" t="str">
        <f ca="1">BV!AU259</f>
        <v/>
      </c>
      <c r="BL259" s="11" t="str">
        <f ca="1">BV!BC259</f>
        <v/>
      </c>
      <c r="BM259" s="11" t="str">
        <f ca="1">BV!BK259</f>
        <v/>
      </c>
      <c r="BN259" s="11" t="str">
        <f ca="1">BV!BS259</f>
        <v/>
      </c>
      <c r="BO259" s="11" t="str">
        <f ca="1">BV!CA259</f>
        <v/>
      </c>
      <c r="BP259" s="433">
        <v>117</v>
      </c>
      <c r="BQ259" s="11" t="str">
        <f ca="1">IFERROR(YEAR(OFFSET(BV!$H259,,(COLUMN()-69)*8)),"")</f>
        <v/>
      </c>
      <c r="BR259" s="11" t="str">
        <f ca="1">IFERROR(YEAR(OFFSET(BV!$H259,,(COLUMN()-69)*8)),"")</f>
        <v/>
      </c>
      <c r="BS259" s="11" t="str">
        <f ca="1">IFERROR(YEAR(OFFSET(BV!$H259,,(COLUMN()-69)*8)),"")</f>
        <v/>
      </c>
      <c r="BT259" s="11" t="str">
        <f ca="1">IFERROR(YEAR(OFFSET(BV!$H259,,(COLUMN()-69)*8)),"")</f>
        <v/>
      </c>
      <c r="BU259" s="11" t="str">
        <f ca="1">IFERROR(YEAR(OFFSET(BV!$H259,,(COLUMN()-69)*8)),"")</f>
        <v/>
      </c>
      <c r="BV259" s="11" t="str">
        <f ca="1">IFERROR(YEAR(OFFSET(BV!$H259,,(COLUMN()-69)*8)),"")</f>
        <v/>
      </c>
      <c r="BW259" s="11" t="str">
        <f ca="1">IFERROR(YEAR(OFFSET(BV!$H259,,(COLUMN()-69)*8)),"")</f>
        <v/>
      </c>
      <c r="BX259" s="11" t="str">
        <f ca="1">IFERROR(YEAR(OFFSET(BV!$H259,,(COLUMN()-69)*8)),"")</f>
        <v/>
      </c>
      <c r="BY259" s="11" t="str">
        <f ca="1">IFERROR(YEAR(OFFSET(BV!$H259,,(COLUMN()-69)*8)),"")</f>
        <v/>
      </c>
      <c r="BZ259" s="11" t="str">
        <f ca="1">IFERROR(YEAR(OFFSET(BV!$H259,,(COLUMN()-69)*8)),"")</f>
        <v/>
      </c>
    </row>
    <row r="260" spans="1:78" x14ac:dyDescent="0.25">
      <c r="A260" s="433">
        <v>118</v>
      </c>
      <c r="B260" s="11" t="str">
        <f ca="1">BV!D260</f>
        <v/>
      </c>
      <c r="C260" s="11" t="str">
        <f ca="1">BV!L260</f>
        <v/>
      </c>
      <c r="D260" s="11" t="str">
        <f ca="1">BV!T260</f>
        <v/>
      </c>
      <c r="E260" s="11" t="str">
        <f ca="1">BV!AB260</f>
        <v/>
      </c>
      <c r="F260" s="11" t="str">
        <f ca="1">BV!AJ260</f>
        <v/>
      </c>
      <c r="G260" s="11" t="str">
        <f ca="1">BV!AR260</f>
        <v/>
      </c>
      <c r="H260" s="11" t="str">
        <f ca="1">BV!AZ260</f>
        <v/>
      </c>
      <c r="I260" s="11" t="str">
        <f ca="1">BV!BH260</f>
        <v/>
      </c>
      <c r="J260" s="11" t="str">
        <f ca="1">BV!BP260</f>
        <v/>
      </c>
      <c r="K260" s="11" t="str">
        <f ca="1">BV!BX260</f>
        <v/>
      </c>
      <c r="L260" s="271" t="s">
        <v>67</v>
      </c>
      <c r="M260" s="261">
        <v>2.1417423199999999E-4</v>
      </c>
      <c r="N260" s="272" t="str">
        <f t="shared" ca="1" si="117"/>
        <v/>
      </c>
      <c r="O260" s="36"/>
      <c r="P260" s="1"/>
      <c r="Q260" s="1"/>
      <c r="R260" s="1"/>
      <c r="S260" s="1"/>
      <c r="T260" s="1"/>
      <c r="U260" s="1"/>
      <c r="V260" s="1"/>
      <c r="W260" s="257"/>
      <c r="X260" s="257"/>
      <c r="Y260" s="257"/>
      <c r="Z260" s="257"/>
      <c r="AA260" s="620">
        <f ca="1">LARGE(Time!T$2:T$201,AG260)</f>
        <v>44133.195</v>
      </c>
      <c r="AB260" s="620"/>
      <c r="AC260" s="11">
        <f ca="1">INDEX(Time!M$2:M$201,AH260)</f>
        <v>58</v>
      </c>
      <c r="AD260" s="597">
        <f ca="1">INDEX(Time!N$2:N$201,AH260)</f>
        <v>24.18</v>
      </c>
      <c r="AE260" s="597"/>
      <c r="AF260" s="11">
        <f ca="1">INDEX(Time!O$2:O$201,AH260)</f>
        <v>2.3986765922249793</v>
      </c>
      <c r="AG260" s="11">
        <v>8</v>
      </c>
      <c r="AH260" s="1">
        <f ca="1">MATCH(AA260,Time!T$2:T$201,0)</f>
        <v>194</v>
      </c>
      <c r="AI260" s="589">
        <f t="shared" ca="1" si="122"/>
        <v>39.656183605141493</v>
      </c>
      <c r="AJ260" s="589"/>
      <c r="AL260" s="315"/>
      <c r="AM260" s="315"/>
      <c r="AN260" s="433">
        <v>118</v>
      </c>
      <c r="AO260" s="11" t="str">
        <f ca="1">BV!C260</f>
        <v/>
      </c>
      <c r="AP260" s="11" t="str">
        <f ca="1">BV!K260</f>
        <v/>
      </c>
      <c r="AQ260" s="11" t="str">
        <f ca="1">BV!S260</f>
        <v/>
      </c>
      <c r="AR260" s="11" t="str">
        <f ca="1">BV!AA260</f>
        <v/>
      </c>
      <c r="AS260" s="11" t="str">
        <f ca="1">BV!AI260</f>
        <v/>
      </c>
      <c r="AT260" s="11" t="str">
        <f ca="1">BV!AQ260</f>
        <v/>
      </c>
      <c r="AU260" s="11" t="str">
        <f ca="1">BV!AY260</f>
        <v/>
      </c>
      <c r="AV260" s="11" t="str">
        <f ca="1">BV!BG260</f>
        <v/>
      </c>
      <c r="AW260" s="11" t="str">
        <f ca="1">BV!BO260</f>
        <v/>
      </c>
      <c r="AX260" s="11" t="str">
        <f ca="1">BV!BW260</f>
        <v/>
      </c>
      <c r="AY260" s="271" t="s">
        <v>67</v>
      </c>
      <c r="AZ260" s="274">
        <f t="shared" si="118"/>
        <v>3.6692327817459445</v>
      </c>
      <c r="BA260" s="261">
        <v>2.1417423199999999E-4</v>
      </c>
      <c r="BB260" s="268">
        <v>8.4533589190000005E-3</v>
      </c>
      <c r="BC260" s="268">
        <f t="shared" si="119"/>
        <v>2.5335991769924276E-2</v>
      </c>
      <c r="BD260" s="269" t="str">
        <f ca="1">IF(BV!H260="","",INT(NOW()-BV!H260))</f>
        <v/>
      </c>
      <c r="BE260" s="275">
        <f t="shared" si="120"/>
        <v>68.330781986247615</v>
      </c>
      <c r="BF260" s="11" t="str">
        <f ca="1">BV!G260</f>
        <v/>
      </c>
      <c r="BG260" s="11" t="str">
        <f ca="1">BV!O260</f>
        <v/>
      </c>
      <c r="BH260" s="11" t="str">
        <f ca="1">BV!W260</f>
        <v/>
      </c>
      <c r="BI260" s="11" t="str">
        <f ca="1">BV!AE260</f>
        <v/>
      </c>
      <c r="BJ260" s="11" t="str">
        <f ca="1">BV!AM260</f>
        <v/>
      </c>
      <c r="BK260" s="11" t="str">
        <f ca="1">BV!AU260</f>
        <v/>
      </c>
      <c r="BL260" s="11" t="str">
        <f ca="1">BV!BC260</f>
        <v/>
      </c>
      <c r="BM260" s="11" t="str">
        <f ca="1">BV!BK260</f>
        <v/>
      </c>
      <c r="BN260" s="11" t="str">
        <f ca="1">BV!BS260</f>
        <v/>
      </c>
      <c r="BO260" s="11" t="str">
        <f ca="1">BV!CA260</f>
        <v/>
      </c>
      <c r="BP260" s="433">
        <v>118</v>
      </c>
      <c r="BQ260" s="11" t="str">
        <f ca="1">IFERROR(YEAR(OFFSET(BV!$H260,,(COLUMN()-69)*8)),"")</f>
        <v/>
      </c>
      <c r="BR260" s="11" t="str">
        <f ca="1">IFERROR(YEAR(OFFSET(BV!$H260,,(COLUMN()-69)*8)),"")</f>
        <v/>
      </c>
      <c r="BS260" s="11" t="str">
        <f ca="1">IFERROR(YEAR(OFFSET(BV!$H260,,(COLUMN()-69)*8)),"")</f>
        <v/>
      </c>
      <c r="BT260" s="11" t="str">
        <f ca="1">IFERROR(YEAR(OFFSET(BV!$H260,,(COLUMN()-69)*8)),"")</f>
        <v/>
      </c>
      <c r="BU260" s="11" t="str">
        <f ca="1">IFERROR(YEAR(OFFSET(BV!$H260,,(COLUMN()-69)*8)),"")</f>
        <v/>
      </c>
      <c r="BV260" s="11" t="str">
        <f ca="1">IFERROR(YEAR(OFFSET(BV!$H260,,(COLUMN()-69)*8)),"")</f>
        <v/>
      </c>
      <c r="BW260" s="11" t="str">
        <f ca="1">IFERROR(YEAR(OFFSET(BV!$H260,,(COLUMN()-69)*8)),"")</f>
        <v/>
      </c>
      <c r="BX260" s="11" t="str">
        <f ca="1">IFERROR(YEAR(OFFSET(BV!$H260,,(COLUMN()-69)*8)),"")</f>
        <v/>
      </c>
      <c r="BY260" s="11" t="str">
        <f ca="1">IFERROR(YEAR(OFFSET(BV!$H260,,(COLUMN()-69)*8)),"")</f>
        <v/>
      </c>
      <c r="BZ260" s="11" t="str">
        <f ca="1">IFERROR(YEAR(OFFSET(BV!$H260,,(COLUMN()-69)*8)),"")</f>
        <v/>
      </c>
    </row>
    <row r="261" spans="1:78" x14ac:dyDescent="0.25">
      <c r="A261" s="433">
        <v>119</v>
      </c>
      <c r="B261" s="11" t="str">
        <f ca="1">BV!D261</f>
        <v/>
      </c>
      <c r="C261" s="11" t="str">
        <f ca="1">BV!L261</f>
        <v/>
      </c>
      <c r="D261" s="11" t="str">
        <f ca="1">BV!T261</f>
        <v/>
      </c>
      <c r="E261" s="11" t="str">
        <f ca="1">BV!AB261</f>
        <v/>
      </c>
      <c r="F261" s="11" t="str">
        <f ca="1">BV!AJ261</f>
        <v/>
      </c>
      <c r="G261" s="11" t="str">
        <f ca="1">BV!AR261</f>
        <v/>
      </c>
      <c r="H261" s="11" t="str">
        <f ca="1">BV!AZ261</f>
        <v/>
      </c>
      <c r="I261" s="11" t="str">
        <f ca="1">BV!BH261</f>
        <v/>
      </c>
      <c r="J261" s="11" t="str">
        <f ca="1">BV!BP261</f>
        <v/>
      </c>
      <c r="K261" s="11" t="str">
        <f ca="1">BV!BX261</f>
        <v/>
      </c>
      <c r="L261" s="271" t="s">
        <v>67</v>
      </c>
      <c r="M261" s="261">
        <v>2.5718228799999999E-4</v>
      </c>
      <c r="N261" s="272" t="str">
        <f t="shared" ca="1" si="117"/>
        <v/>
      </c>
      <c r="O261" s="36"/>
      <c r="P261" s="1"/>
      <c r="Q261" s="1"/>
      <c r="R261" s="1"/>
      <c r="S261" s="1"/>
      <c r="T261" s="1"/>
      <c r="U261" s="1"/>
      <c r="V261" s="1"/>
      <c r="W261" s="257"/>
      <c r="X261" s="257"/>
      <c r="Y261" s="257"/>
      <c r="Z261" s="257"/>
      <c r="AA261" s="620">
        <f ca="1">LARGE(Time!T$2:T$201,AG261)</f>
        <v>44133.186999999998</v>
      </c>
      <c r="AB261" s="620"/>
      <c r="AC261" s="11">
        <f ca="1">INDEX(Time!M$2:M$201,AH261)</f>
        <v>51</v>
      </c>
      <c r="AD261" s="597">
        <f ca="1">INDEX(Time!N$2:N$201,AH261)</f>
        <v>24</v>
      </c>
      <c r="AE261" s="597"/>
      <c r="AF261" s="11">
        <f ca="1">INDEX(Time!O$2:O$201,AH261)</f>
        <v>2.125</v>
      </c>
      <c r="AG261" s="11">
        <v>9</v>
      </c>
      <c r="AH261" s="1">
        <f ca="1">MATCH(AA261,Time!T$2:T$201,0)</f>
        <v>186</v>
      </c>
      <c r="AI261" s="589">
        <f t="shared" ca="1" si="122"/>
        <v>35.315852344748009</v>
      </c>
      <c r="AJ261" s="589"/>
      <c r="AL261" s="315"/>
      <c r="AM261" s="315"/>
      <c r="AN261" s="433">
        <v>119</v>
      </c>
      <c r="AO261" s="11" t="str">
        <f ca="1">BV!C261</f>
        <v/>
      </c>
      <c r="AP261" s="11" t="str">
        <f ca="1">BV!K261</f>
        <v/>
      </c>
      <c r="AQ261" s="11" t="str">
        <f ca="1">BV!S261</f>
        <v/>
      </c>
      <c r="AR261" s="11" t="str">
        <f ca="1">BV!AA261</f>
        <v/>
      </c>
      <c r="AS261" s="11" t="str">
        <f ca="1">BV!AI261</f>
        <v/>
      </c>
      <c r="AT261" s="11" t="str">
        <f ca="1">BV!AQ261</f>
        <v/>
      </c>
      <c r="AU261" s="11" t="str">
        <f ca="1">BV!AY261</f>
        <v/>
      </c>
      <c r="AV261" s="11" t="str">
        <f ca="1">BV!BG261</f>
        <v/>
      </c>
      <c r="AW261" s="11" t="str">
        <f ca="1">BV!BO261</f>
        <v/>
      </c>
      <c r="AX261" s="11" t="str">
        <f ca="1">BV!BW261</f>
        <v/>
      </c>
      <c r="AY261" s="271" t="s">
        <v>67</v>
      </c>
      <c r="AZ261" s="274">
        <f t="shared" si="118"/>
        <v>3.5897589443354398</v>
      </c>
      <c r="BA261" s="261">
        <v>2.5718228799999999E-4</v>
      </c>
      <c r="BB261" s="268">
        <v>8.4533589190000005E-3</v>
      </c>
      <c r="BC261" s="268">
        <f t="shared" si="119"/>
        <v>3.0423680156529267E-2</v>
      </c>
      <c r="BD261" s="269" t="str">
        <f ca="1">IF(BV!H261="","",INT(NOW()-BV!H261))</f>
        <v/>
      </c>
      <c r="BE261" s="275">
        <f t="shared" si="120"/>
        <v>62.356175712220939</v>
      </c>
      <c r="BF261" s="11" t="str">
        <f ca="1">BV!G261</f>
        <v/>
      </c>
      <c r="BG261" s="11" t="str">
        <f ca="1">BV!O261</f>
        <v/>
      </c>
      <c r="BH261" s="11" t="str">
        <f ca="1">BV!W261</f>
        <v/>
      </c>
      <c r="BI261" s="11" t="str">
        <f ca="1">BV!AE261</f>
        <v/>
      </c>
      <c r="BJ261" s="11" t="str">
        <f ca="1">BV!AM261</f>
        <v/>
      </c>
      <c r="BK261" s="11" t="str">
        <f ca="1">BV!AU261</f>
        <v/>
      </c>
      <c r="BL261" s="11" t="str">
        <f ca="1">BV!BC261</f>
        <v/>
      </c>
      <c r="BM261" s="11" t="str">
        <f ca="1">BV!BK261</f>
        <v/>
      </c>
      <c r="BN261" s="11" t="str">
        <f ca="1">BV!BS261</f>
        <v/>
      </c>
      <c r="BO261" s="11" t="str">
        <f ca="1">BV!CA261</f>
        <v/>
      </c>
      <c r="BP261" s="433">
        <v>119</v>
      </c>
      <c r="BQ261" s="11" t="str">
        <f ca="1">IFERROR(YEAR(OFFSET(BV!$H261,,(COLUMN()-69)*8)),"")</f>
        <v/>
      </c>
      <c r="BR261" s="11" t="str">
        <f ca="1">IFERROR(YEAR(OFFSET(BV!$H261,,(COLUMN()-69)*8)),"")</f>
        <v/>
      </c>
      <c r="BS261" s="11" t="str">
        <f ca="1">IFERROR(YEAR(OFFSET(BV!$H261,,(COLUMN()-69)*8)),"")</f>
        <v/>
      </c>
      <c r="BT261" s="11" t="str">
        <f ca="1">IFERROR(YEAR(OFFSET(BV!$H261,,(COLUMN()-69)*8)),"")</f>
        <v/>
      </c>
      <c r="BU261" s="11" t="str">
        <f ca="1">IFERROR(YEAR(OFFSET(BV!$H261,,(COLUMN()-69)*8)),"")</f>
        <v/>
      </c>
      <c r="BV261" s="11" t="str">
        <f ca="1">IFERROR(YEAR(OFFSET(BV!$H261,,(COLUMN()-69)*8)),"")</f>
        <v/>
      </c>
      <c r="BW261" s="11" t="str">
        <f ca="1">IFERROR(YEAR(OFFSET(BV!$H261,,(COLUMN()-69)*8)),"")</f>
        <v/>
      </c>
      <c r="BX261" s="11" t="str">
        <f ca="1">IFERROR(YEAR(OFFSET(BV!$H261,,(COLUMN()-69)*8)),"")</f>
        <v/>
      </c>
      <c r="BY261" s="11" t="str">
        <f ca="1">IFERROR(YEAR(OFFSET(BV!$H261,,(COLUMN()-69)*8)),"")</f>
        <v/>
      </c>
      <c r="BZ261" s="11" t="str">
        <f ca="1">IFERROR(YEAR(OFFSET(BV!$H261,,(COLUMN()-69)*8)),"")</f>
        <v/>
      </c>
    </row>
    <row r="262" spans="1:78" x14ac:dyDescent="0.25">
      <c r="A262" s="433">
        <v>120</v>
      </c>
      <c r="B262" s="11" t="str">
        <f ca="1">BV!D262</f>
        <v/>
      </c>
      <c r="C262" s="11" t="str">
        <f ca="1">BV!L262</f>
        <v/>
      </c>
      <c r="D262" s="11" t="str">
        <f ca="1">BV!T262</f>
        <v/>
      </c>
      <c r="E262" s="11" t="str">
        <f ca="1">BV!AB262</f>
        <v/>
      </c>
      <c r="F262" s="11" t="str">
        <f ca="1">BV!AJ262</f>
        <v/>
      </c>
      <c r="G262" s="11" t="str">
        <f ca="1">BV!AR262</f>
        <v/>
      </c>
      <c r="H262" s="11" t="str">
        <f ca="1">BV!AZ262</f>
        <v/>
      </c>
      <c r="I262" s="11" t="str">
        <f ca="1">BV!BH262</f>
        <v/>
      </c>
      <c r="J262" s="11" t="str">
        <f ca="1">BV!BP262</f>
        <v/>
      </c>
      <c r="K262" s="11" t="str">
        <f ca="1">BV!BX262</f>
        <v/>
      </c>
      <c r="L262" s="271" t="s">
        <v>67</v>
      </c>
      <c r="M262" s="261">
        <v>3.0750857699999998E-4</v>
      </c>
      <c r="N262" s="272" t="str">
        <f t="shared" ca="1" si="117"/>
        <v/>
      </c>
      <c r="O262" s="36"/>
      <c r="P262" s="1"/>
      <c r="Q262" s="1"/>
      <c r="R262" s="1"/>
      <c r="S262" s="1"/>
      <c r="T262" s="1"/>
      <c r="U262" s="1"/>
      <c r="V262" s="1"/>
      <c r="W262" s="257"/>
      <c r="X262" s="257"/>
      <c r="Y262" s="257"/>
      <c r="Z262" s="257"/>
      <c r="AA262" s="620">
        <f ca="1">LARGE(Time!T$2:T$201,AG262)</f>
        <v>44133.025999999998</v>
      </c>
      <c r="AB262" s="620"/>
      <c r="AC262" s="11">
        <f ca="1">INDEX(Time!M$2:M$201,AH262)</f>
        <v>42</v>
      </c>
      <c r="AD262" s="597">
        <f ca="1">INDEX(Time!N$2:N$201,AH262)</f>
        <v>19.940000000000001</v>
      </c>
      <c r="AE262" s="597"/>
      <c r="AF262" s="11">
        <f ca="1">INDEX(Time!O$2:O$201,AH262)</f>
        <v>2.1063189568706115</v>
      </c>
      <c r="AG262" s="11">
        <v>10</v>
      </c>
      <c r="AH262" s="1">
        <f ca="1">MATCH(AA262,Time!T$2:T$201,0)</f>
        <v>25</v>
      </c>
      <c r="AI262" s="589">
        <f t="shared" ca="1" si="122"/>
        <v>39.85429726771897</v>
      </c>
      <c r="AJ262" s="589"/>
      <c r="AL262" s="315"/>
      <c r="AM262" s="315"/>
      <c r="AN262" s="433">
        <v>120</v>
      </c>
      <c r="AO262" s="11" t="str">
        <f ca="1">BV!C262</f>
        <v/>
      </c>
      <c r="AP262" s="11" t="str">
        <f ca="1">BV!K262</f>
        <v/>
      </c>
      <c r="AQ262" s="11" t="str">
        <f ca="1">BV!S262</f>
        <v/>
      </c>
      <c r="AR262" s="11" t="str">
        <f ca="1">BV!AA262</f>
        <v/>
      </c>
      <c r="AS262" s="11" t="str">
        <f ca="1">BV!AI262</f>
        <v/>
      </c>
      <c r="AT262" s="11" t="str">
        <f ca="1">BV!AQ262</f>
        <v/>
      </c>
      <c r="AU262" s="11" t="str">
        <f ca="1">BV!AY262</f>
        <v/>
      </c>
      <c r="AV262" s="11" t="str">
        <f ca="1">BV!BG262</f>
        <v/>
      </c>
      <c r="AW262" s="11" t="str">
        <f ca="1">BV!BO262</f>
        <v/>
      </c>
      <c r="AX262" s="11" t="str">
        <f ca="1">BV!BW262</f>
        <v/>
      </c>
      <c r="AY262" s="271" t="s">
        <v>67</v>
      </c>
      <c r="AZ262" s="274">
        <f t="shared" si="118"/>
        <v>3.5121427664192217</v>
      </c>
      <c r="BA262" s="261">
        <v>3.0750857699999998E-4</v>
      </c>
      <c r="BB262" s="268">
        <v>8.4533589190000005E-3</v>
      </c>
      <c r="BC262" s="268">
        <f t="shared" si="119"/>
        <v>3.637708749226716E-2</v>
      </c>
      <c r="BD262" s="269" t="str">
        <f ca="1">IF(BV!H262="","",INT(NOW()-BV!H262))</f>
        <v/>
      </c>
      <c r="BE262" s="275">
        <f t="shared" si="120"/>
        <v>57.025799555492974</v>
      </c>
      <c r="BF262" s="11" t="str">
        <f ca="1">BV!G262</f>
        <v/>
      </c>
      <c r="BG262" s="11" t="str">
        <f ca="1">BV!O262</f>
        <v/>
      </c>
      <c r="BH262" s="11" t="str">
        <f ca="1">BV!W262</f>
        <v/>
      </c>
      <c r="BI262" s="11" t="str">
        <f ca="1">BV!AE262</f>
        <v/>
      </c>
      <c r="BJ262" s="11" t="str">
        <f ca="1">BV!AM262</f>
        <v/>
      </c>
      <c r="BK262" s="11" t="str">
        <f ca="1">BV!AU262</f>
        <v/>
      </c>
      <c r="BL262" s="11" t="str">
        <f ca="1">BV!BC262</f>
        <v/>
      </c>
      <c r="BM262" s="11" t="str">
        <f ca="1">BV!BK262</f>
        <v/>
      </c>
      <c r="BN262" s="11" t="str">
        <f ca="1">BV!BS262</f>
        <v/>
      </c>
      <c r="BO262" s="11" t="str">
        <f ca="1">BV!CA262</f>
        <v/>
      </c>
      <c r="BP262" s="433">
        <v>120</v>
      </c>
      <c r="BQ262" s="11" t="str">
        <f ca="1">IFERROR(YEAR(OFFSET(BV!$H262,,(COLUMN()-69)*8)),"")</f>
        <v/>
      </c>
      <c r="BR262" s="11" t="str">
        <f ca="1">IFERROR(YEAR(OFFSET(BV!$H262,,(COLUMN()-69)*8)),"")</f>
        <v/>
      </c>
      <c r="BS262" s="11" t="str">
        <f ca="1">IFERROR(YEAR(OFFSET(BV!$H262,,(COLUMN()-69)*8)),"")</f>
        <v/>
      </c>
      <c r="BT262" s="11" t="str">
        <f ca="1">IFERROR(YEAR(OFFSET(BV!$H262,,(COLUMN()-69)*8)),"")</f>
        <v/>
      </c>
      <c r="BU262" s="11" t="str">
        <f ca="1">IFERROR(YEAR(OFFSET(BV!$H262,,(COLUMN()-69)*8)),"")</f>
        <v/>
      </c>
      <c r="BV262" s="11" t="str">
        <f ca="1">IFERROR(YEAR(OFFSET(BV!$H262,,(COLUMN()-69)*8)),"")</f>
        <v/>
      </c>
      <c r="BW262" s="11" t="str">
        <f ca="1">IFERROR(YEAR(OFFSET(BV!$H262,,(COLUMN()-69)*8)),"")</f>
        <v/>
      </c>
      <c r="BX262" s="11" t="str">
        <f ca="1">IFERROR(YEAR(OFFSET(BV!$H262,,(COLUMN()-69)*8)),"")</f>
        <v/>
      </c>
      <c r="BY262" s="11" t="str">
        <f ca="1">IFERROR(YEAR(OFFSET(BV!$H262,,(COLUMN()-69)*8)),"")</f>
        <v/>
      </c>
      <c r="BZ262" s="11" t="str">
        <f ca="1">IFERROR(YEAR(OFFSET(BV!$H262,,(COLUMN()-69)*8)),"")</f>
        <v/>
      </c>
    </row>
    <row r="263" spans="1:78" x14ac:dyDescent="0.25">
      <c r="A263" s="433">
        <v>121</v>
      </c>
      <c r="B263" s="11" t="str">
        <f ca="1">BV!D263</f>
        <v/>
      </c>
      <c r="C263" s="11" t="str">
        <f ca="1">BV!L263</f>
        <v/>
      </c>
      <c r="D263" s="11" t="str">
        <f ca="1">BV!T263</f>
        <v/>
      </c>
      <c r="E263" s="11" t="str">
        <f ca="1">BV!AB263</f>
        <v/>
      </c>
      <c r="F263" s="11" t="str">
        <f ca="1">BV!AJ263</f>
        <v/>
      </c>
      <c r="G263" s="11" t="str">
        <f ca="1">BV!AR263</f>
        <v/>
      </c>
      <c r="H263" s="11" t="str">
        <f ca="1">BV!AZ263</f>
        <v/>
      </c>
      <c r="I263" s="11" t="str">
        <f ca="1">BV!BH263</f>
        <v/>
      </c>
      <c r="J263" s="11" t="str">
        <f ca="1">BV!BP263</f>
        <v/>
      </c>
      <c r="K263" s="11" t="str">
        <f ca="1">BV!BX263</f>
        <v/>
      </c>
      <c r="L263" s="271" t="s">
        <v>67</v>
      </c>
      <c r="M263" s="261">
        <v>3.6596697800000001E-4</v>
      </c>
      <c r="N263" s="272" t="str">
        <f t="shared" ca="1" si="117"/>
        <v/>
      </c>
      <c r="O263" s="36"/>
      <c r="P263" s="1"/>
      <c r="Q263" s="1"/>
      <c r="R263" s="1"/>
      <c r="S263" s="1"/>
      <c r="T263" s="1"/>
      <c r="U263" s="1"/>
      <c r="V263" s="1"/>
      <c r="W263" s="257"/>
      <c r="X263" s="257"/>
      <c r="Y263" s="257"/>
      <c r="Z263" s="257"/>
      <c r="AA263" s="620">
        <f ca="1">LARGE(Time!AD$2:AD$201,AG263)</f>
        <v>44177.17</v>
      </c>
      <c r="AB263" s="620"/>
      <c r="AC263" s="11">
        <f ca="1">INDEX(Time!W$2:W$201,AH263)</f>
        <v>165</v>
      </c>
      <c r="AD263" s="597">
        <f ca="1">INDEX(Time!X$2:X$201,AH263)</f>
        <v>69.09</v>
      </c>
      <c r="AE263" s="597"/>
      <c r="AF263" s="11">
        <f ca="1">INDEX(Time!Y$2:Y$201,AH263)</f>
        <v>2.3881893182805034</v>
      </c>
      <c r="AG263" s="11">
        <v>1</v>
      </c>
      <c r="AH263" s="1">
        <f ca="1">MATCH(AA263,Time!AD$2:AD$201,0)</f>
        <v>169</v>
      </c>
      <c r="AI263" s="589">
        <f ca="1">435.001/(AD263^1.7/AC263)</f>
        <v>53.575763889923095</v>
      </c>
      <c r="AJ263" s="589"/>
      <c r="AL263" s="315"/>
      <c r="AM263" s="315"/>
      <c r="AN263" s="433">
        <v>121</v>
      </c>
      <c r="AO263" s="11" t="str">
        <f ca="1">BV!C263</f>
        <v/>
      </c>
      <c r="AP263" s="11" t="str">
        <f ca="1">BV!K263</f>
        <v/>
      </c>
      <c r="AQ263" s="11" t="str">
        <f ca="1">BV!S263</f>
        <v/>
      </c>
      <c r="AR263" s="11" t="str">
        <f ca="1">BV!AA263</f>
        <v/>
      </c>
      <c r="AS263" s="11" t="str">
        <f ca="1">BV!AI263</f>
        <v/>
      </c>
      <c r="AT263" s="11" t="str">
        <f ca="1">BV!AQ263</f>
        <v/>
      </c>
      <c r="AU263" s="11" t="str">
        <f ca="1">BV!AY263</f>
        <v/>
      </c>
      <c r="AV263" s="11" t="str">
        <f ca="1">BV!BG263</f>
        <v/>
      </c>
      <c r="AW263" s="11" t="str">
        <f ca="1">BV!BO263</f>
        <v/>
      </c>
      <c r="AX263" s="11" t="str">
        <f ca="1">BV!BW263</f>
        <v/>
      </c>
      <c r="AY263" s="271" t="s">
        <v>67</v>
      </c>
      <c r="AZ263" s="274">
        <f t="shared" si="118"/>
        <v>3.436558100177677</v>
      </c>
      <c r="BA263" s="261">
        <v>3.6596697800000001E-4</v>
      </c>
      <c r="BB263" s="268">
        <v>8.4533589190000005E-3</v>
      </c>
      <c r="BC263" s="268">
        <f t="shared" si="119"/>
        <v>4.3292492547245646E-2</v>
      </c>
      <c r="BD263" s="269" t="str">
        <f ca="1">IF(BV!H263="","",INT(NOW()-BV!H263))</f>
        <v/>
      </c>
      <c r="BE263" s="275">
        <f t="shared" si="120"/>
        <v>52.273195551664827</v>
      </c>
      <c r="BF263" s="11" t="str">
        <f ca="1">BV!G263</f>
        <v/>
      </c>
      <c r="BG263" s="11" t="str">
        <f ca="1">BV!O263</f>
        <v/>
      </c>
      <c r="BH263" s="11" t="str">
        <f ca="1">BV!W263</f>
        <v/>
      </c>
      <c r="BI263" s="11" t="str">
        <f ca="1">BV!AE263</f>
        <v/>
      </c>
      <c r="BJ263" s="11" t="str">
        <f ca="1">BV!AM263</f>
        <v/>
      </c>
      <c r="BK263" s="11" t="str">
        <f ca="1">BV!AU263</f>
        <v/>
      </c>
      <c r="BL263" s="11" t="str">
        <f ca="1">BV!BC263</f>
        <v/>
      </c>
      <c r="BM263" s="11" t="str">
        <f ca="1">BV!BK263</f>
        <v/>
      </c>
      <c r="BN263" s="11" t="str">
        <f ca="1">BV!BS263</f>
        <v/>
      </c>
      <c r="BO263" s="11" t="str">
        <f ca="1">BV!CA263</f>
        <v/>
      </c>
      <c r="BP263" s="433">
        <v>121</v>
      </c>
      <c r="BQ263" s="11" t="str">
        <f ca="1">IFERROR(YEAR(OFFSET(BV!$H263,,(COLUMN()-69)*8)),"")</f>
        <v/>
      </c>
      <c r="BR263" s="11" t="str">
        <f ca="1">IFERROR(YEAR(OFFSET(BV!$H263,,(COLUMN()-69)*8)),"")</f>
        <v/>
      </c>
      <c r="BS263" s="11" t="str">
        <f ca="1">IFERROR(YEAR(OFFSET(BV!$H263,,(COLUMN()-69)*8)),"")</f>
        <v/>
      </c>
      <c r="BT263" s="11" t="str">
        <f ca="1">IFERROR(YEAR(OFFSET(BV!$H263,,(COLUMN()-69)*8)),"")</f>
        <v/>
      </c>
      <c r="BU263" s="11" t="str">
        <f ca="1">IFERROR(YEAR(OFFSET(BV!$H263,,(COLUMN()-69)*8)),"")</f>
        <v/>
      </c>
      <c r="BV263" s="11" t="str">
        <f ca="1">IFERROR(YEAR(OFFSET(BV!$H263,,(COLUMN()-69)*8)),"")</f>
        <v/>
      </c>
      <c r="BW263" s="11" t="str">
        <f ca="1">IFERROR(YEAR(OFFSET(BV!$H263,,(COLUMN()-69)*8)),"")</f>
        <v/>
      </c>
      <c r="BX263" s="11" t="str">
        <f ca="1">IFERROR(YEAR(OFFSET(BV!$H263,,(COLUMN()-69)*8)),"")</f>
        <v/>
      </c>
      <c r="BY263" s="11" t="str">
        <f ca="1">IFERROR(YEAR(OFFSET(BV!$H263,,(COLUMN()-69)*8)),"")</f>
        <v/>
      </c>
      <c r="BZ263" s="11" t="str">
        <f ca="1">IFERROR(YEAR(OFFSET(BV!$H263,,(COLUMN()-69)*8)),"")</f>
        <v/>
      </c>
    </row>
    <row r="264" spans="1:78" x14ac:dyDescent="0.25">
      <c r="A264" s="433">
        <v>122</v>
      </c>
      <c r="B264" s="11" t="str">
        <f ca="1">BV!D264</f>
        <v/>
      </c>
      <c r="C264" s="11" t="str">
        <f ca="1">BV!L264</f>
        <v/>
      </c>
      <c r="D264" s="11" t="str">
        <f ca="1">BV!T264</f>
        <v/>
      </c>
      <c r="E264" s="11" t="str">
        <f ca="1">BV!AB264</f>
        <v/>
      </c>
      <c r="F264" s="11" t="str">
        <f ca="1">BV!AJ264</f>
        <v/>
      </c>
      <c r="G264" s="11" t="str">
        <f ca="1">BV!AR264</f>
        <v/>
      </c>
      <c r="H264" s="11" t="str">
        <f ca="1">BV!AZ264</f>
        <v/>
      </c>
      <c r="I264" s="11" t="str">
        <f ca="1">BV!BH264</f>
        <v/>
      </c>
      <c r="J264" s="11" t="str">
        <f ca="1">BV!BP264</f>
        <v/>
      </c>
      <c r="K264" s="11" t="str">
        <f ca="1">BV!BX264</f>
        <v/>
      </c>
      <c r="L264" s="271" t="s">
        <v>67</v>
      </c>
      <c r="M264" s="261">
        <v>4.3372149400000001E-4</v>
      </c>
      <c r="N264" s="272" t="str">
        <f t="shared" ca="1" si="117"/>
        <v/>
      </c>
      <c r="O264" s="36"/>
      <c r="P264" s="1"/>
      <c r="Q264" s="1"/>
      <c r="R264" s="1"/>
      <c r="S264" s="1"/>
      <c r="T264" s="1"/>
      <c r="U264" s="1"/>
      <c r="V264" s="1"/>
      <c r="W264" s="257"/>
      <c r="X264" s="257"/>
      <c r="Y264" s="257"/>
      <c r="Z264" s="257"/>
      <c r="AA264" s="620">
        <f ca="1">LARGE(Time!AD$2:AD$201,AG264)</f>
        <v>44177.142999999996</v>
      </c>
      <c r="AB264" s="620"/>
      <c r="AC264" s="11">
        <f ca="1">INDEX(Time!W$2:W$201,AH264)</f>
        <v>181</v>
      </c>
      <c r="AD264" s="597">
        <f ca="1">INDEX(Time!X$2:X$201,AH264)</f>
        <v>68.349999999999994</v>
      </c>
      <c r="AE264" s="597"/>
      <c r="AF264" s="11">
        <f ca="1">INDEX(Time!Y$2:Y$201,AH264)</f>
        <v>2.6481346013167522</v>
      </c>
      <c r="AG264" s="11">
        <v>2</v>
      </c>
      <c r="AH264" s="1">
        <f ca="1">MATCH(AA264,Time!AD$2:AD$201,0)</f>
        <v>142</v>
      </c>
      <c r="AI264" s="589">
        <f t="shared" ref="AI264:AI272" ca="1" si="123">435.001/(AD264^1.7/AC264)</f>
        <v>59.856779701767664</v>
      </c>
      <c r="AJ264" s="589"/>
      <c r="AL264" s="315"/>
      <c r="AM264" s="315"/>
      <c r="AN264" s="433">
        <v>122</v>
      </c>
      <c r="AO264" s="11" t="str">
        <f ca="1">BV!C264</f>
        <v/>
      </c>
      <c r="AP264" s="11" t="str">
        <f ca="1">BV!K264</f>
        <v/>
      </c>
      <c r="AQ264" s="11" t="str">
        <f ca="1">BV!S264</f>
        <v/>
      </c>
      <c r="AR264" s="11" t="str">
        <f ca="1">BV!AA264</f>
        <v/>
      </c>
      <c r="AS264" s="11" t="str">
        <f ca="1">BV!AI264</f>
        <v/>
      </c>
      <c r="AT264" s="11" t="str">
        <f ca="1">BV!AQ264</f>
        <v/>
      </c>
      <c r="AU264" s="11" t="str">
        <f ca="1">BV!AY264</f>
        <v/>
      </c>
      <c r="AV264" s="11" t="str">
        <f ca="1">BV!BG264</f>
        <v/>
      </c>
      <c r="AW264" s="11" t="str">
        <f ca="1">BV!BO264</f>
        <v/>
      </c>
      <c r="AX264" s="11" t="str">
        <f ca="1">BV!BW264</f>
        <v/>
      </c>
      <c r="AY264" s="271" t="s">
        <v>67</v>
      </c>
      <c r="AZ264" s="274">
        <f t="shared" si="118"/>
        <v>3.3627890549222803</v>
      </c>
      <c r="BA264" s="261">
        <v>4.3372149400000001E-4</v>
      </c>
      <c r="BB264" s="268">
        <v>8.4533589190000005E-3</v>
      </c>
      <c r="BC264" s="268">
        <f t="shared" si="119"/>
        <v>5.1307592420470366E-2</v>
      </c>
      <c r="BD264" s="269" t="str">
        <f ca="1">IF(BV!H264="","",INT(NOW()-BV!H264))</f>
        <v/>
      </c>
      <c r="BE264" s="275">
        <f t="shared" si="120"/>
        <v>48.016945236711912</v>
      </c>
      <c r="BF264" s="11" t="str">
        <f ca="1">BV!G264</f>
        <v/>
      </c>
      <c r="BG264" s="11" t="str">
        <f ca="1">BV!O264</f>
        <v/>
      </c>
      <c r="BH264" s="11" t="str">
        <f ca="1">BV!W264</f>
        <v/>
      </c>
      <c r="BI264" s="11" t="str">
        <f ca="1">BV!AE264</f>
        <v/>
      </c>
      <c r="BJ264" s="11" t="str">
        <f ca="1">BV!AM264</f>
        <v/>
      </c>
      <c r="BK264" s="11" t="str">
        <f ca="1">BV!AU264</f>
        <v/>
      </c>
      <c r="BL264" s="11" t="str">
        <f ca="1">BV!BC264</f>
        <v/>
      </c>
      <c r="BM264" s="11" t="str">
        <f ca="1">BV!BK264</f>
        <v/>
      </c>
      <c r="BN264" s="11" t="str">
        <f ca="1">BV!BS264</f>
        <v/>
      </c>
      <c r="BO264" s="11" t="str">
        <f ca="1">BV!CA264</f>
        <v/>
      </c>
      <c r="BP264" s="433">
        <v>122</v>
      </c>
      <c r="BQ264" s="11" t="str">
        <f ca="1">IFERROR(YEAR(OFFSET(BV!$H264,,(COLUMN()-69)*8)),"")</f>
        <v/>
      </c>
      <c r="BR264" s="11" t="str">
        <f ca="1">IFERROR(YEAR(OFFSET(BV!$H264,,(COLUMN()-69)*8)),"")</f>
        <v/>
      </c>
      <c r="BS264" s="11" t="str">
        <f ca="1">IFERROR(YEAR(OFFSET(BV!$H264,,(COLUMN()-69)*8)),"")</f>
        <v/>
      </c>
      <c r="BT264" s="11" t="str">
        <f ca="1">IFERROR(YEAR(OFFSET(BV!$H264,,(COLUMN()-69)*8)),"")</f>
        <v/>
      </c>
      <c r="BU264" s="11" t="str">
        <f ca="1">IFERROR(YEAR(OFFSET(BV!$H264,,(COLUMN()-69)*8)),"")</f>
        <v/>
      </c>
      <c r="BV264" s="11" t="str">
        <f ca="1">IFERROR(YEAR(OFFSET(BV!$H264,,(COLUMN()-69)*8)),"")</f>
        <v/>
      </c>
      <c r="BW264" s="11" t="str">
        <f ca="1">IFERROR(YEAR(OFFSET(BV!$H264,,(COLUMN()-69)*8)),"")</f>
        <v/>
      </c>
      <c r="BX264" s="11" t="str">
        <f ca="1">IFERROR(YEAR(OFFSET(BV!$H264,,(COLUMN()-69)*8)),"")</f>
        <v/>
      </c>
      <c r="BY264" s="11" t="str">
        <f ca="1">IFERROR(YEAR(OFFSET(BV!$H264,,(COLUMN()-69)*8)),"")</f>
        <v/>
      </c>
      <c r="BZ264" s="11" t="str">
        <f ca="1">IFERROR(YEAR(OFFSET(BV!$H264,,(COLUMN()-69)*8)),"")</f>
        <v/>
      </c>
    </row>
    <row r="265" spans="1:78" x14ac:dyDescent="0.25">
      <c r="A265" s="433">
        <v>123</v>
      </c>
      <c r="B265" s="11" t="str">
        <f ca="1">BV!D265</f>
        <v/>
      </c>
      <c r="C265" s="11" t="str">
        <f ca="1">BV!L265</f>
        <v/>
      </c>
      <c r="D265" s="11" t="str">
        <f ca="1">BV!T265</f>
        <v/>
      </c>
      <c r="E265" s="11" t="str">
        <f ca="1">BV!AB265</f>
        <v/>
      </c>
      <c r="F265" s="11" t="str">
        <f ca="1">BV!AJ265</f>
        <v/>
      </c>
      <c r="G265" s="11" t="str">
        <f ca="1">BV!AR265</f>
        <v/>
      </c>
      <c r="H265" s="11" t="str">
        <f ca="1">BV!AZ265</f>
        <v/>
      </c>
      <c r="I265" s="11" t="str">
        <f ca="1">BV!BH265</f>
        <v/>
      </c>
      <c r="J265" s="11" t="str">
        <f ca="1">BV!BP265</f>
        <v/>
      </c>
      <c r="K265" s="11" t="str">
        <f ca="1">BV!BX265</f>
        <v/>
      </c>
      <c r="L265" s="271" t="s">
        <v>67</v>
      </c>
      <c r="M265" s="261">
        <v>5.11735986E-4</v>
      </c>
      <c r="N265" s="272" t="str">
        <f t="shared" ca="1" si="117"/>
        <v/>
      </c>
      <c r="O265" s="62"/>
      <c r="P265" s="1"/>
      <c r="Q265" s="1"/>
      <c r="R265" s="1"/>
      <c r="S265" s="1"/>
      <c r="T265" s="1"/>
      <c r="U265" s="1"/>
      <c r="V265" s="1"/>
      <c r="W265" s="257"/>
      <c r="X265" s="257"/>
      <c r="Y265" s="257"/>
      <c r="Z265" s="257"/>
      <c r="AA265" s="620">
        <f ca="1">LARGE(Time!AD$2:AD$201,AG265)</f>
        <v>44177.103000000003</v>
      </c>
      <c r="AB265" s="620"/>
      <c r="AC265" s="11">
        <f ca="1">INDEX(Time!W$2:W$201,AH265)</f>
        <v>138</v>
      </c>
      <c r="AD265" s="597">
        <f ca="1">INDEX(Time!X$2:X$201,AH265)</f>
        <v>67.290000000000006</v>
      </c>
      <c r="AE265" s="597"/>
      <c r="AF265" s="11">
        <f ca="1">INDEX(Time!Y$2:Y$201,AH265)</f>
        <v>2.0508247882300488</v>
      </c>
      <c r="AG265" s="11">
        <v>3</v>
      </c>
      <c r="AH265" s="1">
        <f ca="1">MATCH(AA265,Time!AD$2:AD$201,0)</f>
        <v>102</v>
      </c>
      <c r="AI265" s="589">
        <f t="shared" ca="1" si="123"/>
        <v>46.865520375679957</v>
      </c>
      <c r="AJ265" s="589"/>
      <c r="AL265" s="315"/>
      <c r="AM265" s="315"/>
      <c r="AN265" s="433">
        <v>123</v>
      </c>
      <c r="AO265" s="11" t="str">
        <f ca="1">BV!C265</f>
        <v/>
      </c>
      <c r="AP265" s="11" t="str">
        <f ca="1">BV!K265</f>
        <v/>
      </c>
      <c r="AQ265" s="11" t="str">
        <f ca="1">BV!S265</f>
        <v/>
      </c>
      <c r="AR265" s="11" t="str">
        <f ca="1">BV!AA265</f>
        <v/>
      </c>
      <c r="AS265" s="11" t="str">
        <f ca="1">BV!AI265</f>
        <v/>
      </c>
      <c r="AT265" s="11" t="str">
        <f ca="1">BV!AQ265</f>
        <v/>
      </c>
      <c r="AU265" s="11" t="str">
        <f ca="1">BV!AY265</f>
        <v/>
      </c>
      <c r="AV265" s="11" t="str">
        <f ca="1">BV!BG265</f>
        <v/>
      </c>
      <c r="AW265" s="11" t="str">
        <f ca="1">BV!BO265</f>
        <v/>
      </c>
      <c r="AX265" s="11" t="str">
        <f ca="1">BV!BW265</f>
        <v/>
      </c>
      <c r="AY265" s="271" t="s">
        <v>67</v>
      </c>
      <c r="AZ265" s="274">
        <f t="shared" si="118"/>
        <v>3.2909540417503704</v>
      </c>
      <c r="BA265" s="261">
        <v>5.11735986E-4</v>
      </c>
      <c r="BB265" s="268">
        <v>8.4533589190000005E-3</v>
      </c>
      <c r="BC265" s="268">
        <f t="shared" si="119"/>
        <v>6.0536408178506203E-2</v>
      </c>
      <c r="BD265" s="269" t="str">
        <f ca="1">IF(BV!H265="","",INT(NOW()-BV!H265))</f>
        <v/>
      </c>
      <c r="BE265" s="275">
        <f t="shared" si="120"/>
        <v>44.205572647377394</v>
      </c>
      <c r="BF265" s="11" t="str">
        <f ca="1">BV!G265</f>
        <v/>
      </c>
      <c r="BG265" s="11" t="str">
        <f ca="1">BV!O265</f>
        <v/>
      </c>
      <c r="BH265" s="11" t="str">
        <f ca="1">BV!W265</f>
        <v/>
      </c>
      <c r="BI265" s="11" t="str">
        <f ca="1">BV!AE265</f>
        <v/>
      </c>
      <c r="BJ265" s="11" t="str">
        <f ca="1">BV!AM265</f>
        <v/>
      </c>
      <c r="BK265" s="11" t="str">
        <f ca="1">BV!AU265</f>
        <v/>
      </c>
      <c r="BL265" s="11" t="str">
        <f ca="1">BV!BC265</f>
        <v/>
      </c>
      <c r="BM265" s="11" t="str">
        <f ca="1">BV!BK265</f>
        <v/>
      </c>
      <c r="BN265" s="11" t="str">
        <f ca="1">BV!BS265</f>
        <v/>
      </c>
      <c r="BO265" s="11" t="str">
        <f ca="1">BV!CA265</f>
        <v/>
      </c>
      <c r="BP265" s="433">
        <v>123</v>
      </c>
      <c r="BQ265" s="11" t="str">
        <f ca="1">IFERROR(YEAR(OFFSET(BV!$H265,,(COLUMN()-69)*8)),"")</f>
        <v/>
      </c>
      <c r="BR265" s="11" t="str">
        <f ca="1">IFERROR(YEAR(OFFSET(BV!$H265,,(COLUMN()-69)*8)),"")</f>
        <v/>
      </c>
      <c r="BS265" s="11" t="str">
        <f ca="1">IFERROR(YEAR(OFFSET(BV!$H265,,(COLUMN()-69)*8)),"")</f>
        <v/>
      </c>
      <c r="BT265" s="11" t="str">
        <f ca="1">IFERROR(YEAR(OFFSET(BV!$H265,,(COLUMN()-69)*8)),"")</f>
        <v/>
      </c>
      <c r="BU265" s="11" t="str">
        <f ca="1">IFERROR(YEAR(OFFSET(BV!$H265,,(COLUMN()-69)*8)),"")</f>
        <v/>
      </c>
      <c r="BV265" s="11" t="str">
        <f ca="1">IFERROR(YEAR(OFFSET(BV!$H265,,(COLUMN()-69)*8)),"")</f>
        <v/>
      </c>
      <c r="BW265" s="11" t="str">
        <f ca="1">IFERROR(YEAR(OFFSET(BV!$H265,,(COLUMN()-69)*8)),"")</f>
        <v/>
      </c>
      <c r="BX265" s="11" t="str">
        <f ca="1">IFERROR(YEAR(OFFSET(BV!$H265,,(COLUMN()-69)*8)),"")</f>
        <v/>
      </c>
      <c r="BY265" s="11" t="str">
        <f ca="1">IFERROR(YEAR(OFFSET(BV!$H265,,(COLUMN()-69)*8)),"")</f>
        <v/>
      </c>
      <c r="BZ265" s="11" t="str">
        <f ca="1">IFERROR(YEAR(OFFSET(BV!$H265,,(COLUMN()-69)*8)),"")</f>
        <v/>
      </c>
    </row>
    <row r="266" spans="1:78" x14ac:dyDescent="0.25">
      <c r="A266" s="433">
        <v>124</v>
      </c>
      <c r="B266" s="11" t="str">
        <f ca="1">BV!D266</f>
        <v/>
      </c>
      <c r="C266" s="11" t="str">
        <f ca="1">BV!L266</f>
        <v/>
      </c>
      <c r="D266" s="11" t="str">
        <f ca="1">BV!T266</f>
        <v/>
      </c>
      <c r="E266" s="11" t="str">
        <f ca="1">BV!AB266</f>
        <v/>
      </c>
      <c r="F266" s="11" t="str">
        <f ca="1">BV!AJ266</f>
        <v/>
      </c>
      <c r="G266" s="11" t="str">
        <f ca="1">BV!AR266</f>
        <v/>
      </c>
      <c r="H266" s="11" t="str">
        <f ca="1">BV!AZ266</f>
        <v/>
      </c>
      <c r="I266" s="11" t="str">
        <f ca="1">BV!BH266</f>
        <v/>
      </c>
      <c r="J266" s="11" t="str">
        <f ca="1">BV!BP266</f>
        <v/>
      </c>
      <c r="K266" s="11" t="str">
        <f ca="1">BV!BX266</f>
        <v/>
      </c>
      <c r="L266" s="271" t="s">
        <v>67</v>
      </c>
      <c r="M266" s="261">
        <v>6.0124358299999995E-4</v>
      </c>
      <c r="N266" s="272" t="str">
        <f t="shared" ca="1" si="117"/>
        <v/>
      </c>
      <c r="O266" s="4"/>
      <c r="P266" s="256"/>
      <c r="Q266" s="256"/>
      <c r="R266" s="256"/>
      <c r="S266" s="256"/>
      <c r="T266" s="256"/>
      <c r="U266" s="256"/>
      <c r="V266" s="256"/>
      <c r="W266" s="257"/>
      <c r="X266" s="257"/>
      <c r="Y266" s="257"/>
      <c r="Z266" s="257"/>
      <c r="AA266" s="620">
        <f ca="1">LARGE(Time!AD$2:AD$201,AG266)</f>
        <v>44177.002</v>
      </c>
      <c r="AB266" s="620"/>
      <c r="AC266" s="11">
        <f ca="1">INDEX(Time!W$2:W$201,AH266)</f>
        <v>125</v>
      </c>
      <c r="AD266" s="597">
        <f ca="1">INDEX(Time!X$2:X$201,AH266)</f>
        <v>57.36</v>
      </c>
      <c r="AE266" s="597"/>
      <c r="AF266" s="11">
        <f ca="1">INDEX(Time!Y$2:Y$201,AH266)</f>
        <v>2.179218967921897</v>
      </c>
      <c r="AG266" s="11">
        <v>4</v>
      </c>
      <c r="AH266" s="1">
        <f ca="1">MATCH(AA266,Time!AD$2:AD$201,0)</f>
        <v>1</v>
      </c>
      <c r="AI266" s="589">
        <f t="shared" ca="1" si="123"/>
        <v>55.688398152649079</v>
      </c>
      <c r="AJ266" s="589"/>
      <c r="AL266" s="315"/>
      <c r="AM266" s="315"/>
      <c r="AN266" s="433">
        <v>124</v>
      </c>
      <c r="AO266" s="11" t="str">
        <f ca="1">BV!C266</f>
        <v/>
      </c>
      <c r="AP266" s="11" t="str">
        <f ca="1">BV!K266</f>
        <v/>
      </c>
      <c r="AQ266" s="11" t="str">
        <f ca="1">BV!S266</f>
        <v/>
      </c>
      <c r="AR266" s="11" t="str">
        <f ca="1">BV!AA266</f>
        <v/>
      </c>
      <c r="AS266" s="11" t="str">
        <f ca="1">BV!AI266</f>
        <v/>
      </c>
      <c r="AT266" s="11" t="str">
        <f ca="1">BV!AQ266</f>
        <v/>
      </c>
      <c r="AU266" s="11" t="str">
        <f ca="1">BV!AY266</f>
        <v/>
      </c>
      <c r="AV266" s="11" t="str">
        <f ca="1">BV!BG266</f>
        <v/>
      </c>
      <c r="AW266" s="11" t="str">
        <f ca="1">BV!BO266</f>
        <v/>
      </c>
      <c r="AX266" s="11" t="str">
        <f ca="1">BV!BW266</f>
        <v/>
      </c>
      <c r="AY266" s="271" t="s">
        <v>67</v>
      </c>
      <c r="AZ266" s="274">
        <f t="shared" si="118"/>
        <v>3.2209495457658246</v>
      </c>
      <c r="BA266" s="261">
        <v>6.0124358299999995E-4</v>
      </c>
      <c r="BB266" s="268">
        <v>8.4533589190000005E-3</v>
      </c>
      <c r="BC266" s="268">
        <f t="shared" si="119"/>
        <v>7.112481426153909E-2</v>
      </c>
      <c r="BD266" s="269" t="str">
        <f ca="1">IF(BV!H266="","",INT(NOW()-BV!H266))</f>
        <v/>
      </c>
      <c r="BE266" s="275">
        <f t="shared" si="120"/>
        <v>40.782587146375803</v>
      </c>
      <c r="BF266" s="11" t="str">
        <f ca="1">BV!G266</f>
        <v/>
      </c>
      <c r="BG266" s="11" t="str">
        <f ca="1">BV!O266</f>
        <v/>
      </c>
      <c r="BH266" s="11" t="str">
        <f ca="1">BV!W266</f>
        <v/>
      </c>
      <c r="BI266" s="11" t="str">
        <f ca="1">BV!AE266</f>
        <v/>
      </c>
      <c r="BJ266" s="11" t="str">
        <f ca="1">BV!AM266</f>
        <v/>
      </c>
      <c r="BK266" s="11" t="str">
        <f ca="1">BV!AU266</f>
        <v/>
      </c>
      <c r="BL266" s="11" t="str">
        <f ca="1">BV!BC266</f>
        <v/>
      </c>
      <c r="BM266" s="11" t="str">
        <f ca="1">BV!BK266</f>
        <v/>
      </c>
      <c r="BN266" s="11" t="str">
        <f ca="1">BV!BS266</f>
        <v/>
      </c>
      <c r="BO266" s="11" t="str">
        <f ca="1">BV!CA266</f>
        <v/>
      </c>
      <c r="BP266" s="433">
        <v>124</v>
      </c>
      <c r="BQ266" s="11" t="str">
        <f ca="1">IFERROR(YEAR(OFFSET(BV!$H266,,(COLUMN()-69)*8)),"")</f>
        <v/>
      </c>
      <c r="BR266" s="11" t="str">
        <f ca="1">IFERROR(YEAR(OFFSET(BV!$H266,,(COLUMN()-69)*8)),"")</f>
        <v/>
      </c>
      <c r="BS266" s="11" t="str">
        <f ca="1">IFERROR(YEAR(OFFSET(BV!$H266,,(COLUMN()-69)*8)),"")</f>
        <v/>
      </c>
      <c r="BT266" s="11" t="str">
        <f ca="1">IFERROR(YEAR(OFFSET(BV!$H266,,(COLUMN()-69)*8)),"")</f>
        <v/>
      </c>
      <c r="BU266" s="11" t="str">
        <f ca="1">IFERROR(YEAR(OFFSET(BV!$H266,,(COLUMN()-69)*8)),"")</f>
        <v/>
      </c>
      <c r="BV266" s="11" t="str">
        <f ca="1">IFERROR(YEAR(OFFSET(BV!$H266,,(COLUMN()-69)*8)),"")</f>
        <v/>
      </c>
      <c r="BW266" s="11" t="str">
        <f ca="1">IFERROR(YEAR(OFFSET(BV!$H266,,(COLUMN()-69)*8)),"")</f>
        <v/>
      </c>
      <c r="BX266" s="11" t="str">
        <f ca="1">IFERROR(YEAR(OFFSET(BV!$H266,,(COLUMN()-69)*8)),"")</f>
        <v/>
      </c>
      <c r="BY266" s="11" t="str">
        <f ca="1">IFERROR(YEAR(OFFSET(BV!$H266,,(COLUMN()-69)*8)),"")</f>
        <v/>
      </c>
      <c r="BZ266" s="11" t="str">
        <f ca="1">IFERROR(YEAR(OFFSET(BV!$H266,,(COLUMN()-69)*8)),"")</f>
        <v/>
      </c>
    </row>
    <row r="267" spans="1:78" x14ac:dyDescent="0.25">
      <c r="A267" s="433">
        <v>125</v>
      </c>
      <c r="B267" s="300">
        <f ca="1">BV!D267</f>
        <v>2.179218967921897</v>
      </c>
      <c r="C267" s="301">
        <f ca="1">BV!L267</f>
        <v>1.999040460578922</v>
      </c>
      <c r="D267" s="11" t="str">
        <f ca="1">BV!T267</f>
        <v/>
      </c>
      <c r="E267" s="11" t="str">
        <f ca="1">BV!AB267</f>
        <v/>
      </c>
      <c r="F267" s="11" t="str">
        <f ca="1">BV!AJ267</f>
        <v/>
      </c>
      <c r="G267" s="11" t="str">
        <f ca="1">BV!AR267</f>
        <v/>
      </c>
      <c r="H267" s="11" t="str">
        <f ca="1">BV!AZ267</f>
        <v/>
      </c>
      <c r="I267" s="11" t="str">
        <f ca="1">BV!BH267</f>
        <v/>
      </c>
      <c r="J267" s="11" t="str">
        <f ca="1">BV!BP267</f>
        <v/>
      </c>
      <c r="K267" s="11" t="str">
        <f ca="1">BV!BX267</f>
        <v/>
      </c>
      <c r="L267" s="271" t="s">
        <v>67</v>
      </c>
      <c r="M267" s="261">
        <v>7.0346891899999997E-4</v>
      </c>
      <c r="N267" s="272">
        <f t="shared" ca="1" si="117"/>
        <v>37.703141935890137</v>
      </c>
      <c r="O267" s="24"/>
      <c r="P267" s="1"/>
      <c r="Q267" s="1"/>
      <c r="R267" s="1"/>
      <c r="S267" s="1"/>
      <c r="T267" s="1"/>
      <c r="U267" s="1"/>
      <c r="V267" s="1"/>
      <c r="W267" s="257"/>
      <c r="X267" s="257"/>
      <c r="Y267" s="257"/>
      <c r="Z267" s="257"/>
      <c r="AA267" s="620">
        <f ca="1">LARGE(Time!AD$2:AD$201,AG267)</f>
        <v>44167.050999999999</v>
      </c>
      <c r="AB267" s="620"/>
      <c r="AC267" s="11">
        <f ca="1">INDEX(Time!W$2:W$201,AH267)</f>
        <v>166</v>
      </c>
      <c r="AD267" s="597">
        <f ca="1">INDEX(Time!X$2:X$201,AH267)</f>
        <v>65.510000000000005</v>
      </c>
      <c r="AE267" s="597"/>
      <c r="AF267" s="11">
        <f ca="1">INDEX(Time!Y$2:Y$201,AH267)</f>
        <v>2.533964280262555</v>
      </c>
      <c r="AG267" s="11">
        <v>5</v>
      </c>
      <c r="AH267" s="1">
        <f ca="1">MATCH(AA267,Time!AD$2:AD$201,0)</f>
        <v>50</v>
      </c>
      <c r="AI267" s="589">
        <f t="shared" ca="1" si="123"/>
        <v>59.003180759393466</v>
      </c>
      <c r="AJ267" s="589"/>
      <c r="AL267" s="315"/>
      <c r="AM267" s="315"/>
      <c r="AN267" s="433">
        <v>125</v>
      </c>
      <c r="AO267" s="552">
        <f ca="1">BV!C267</f>
        <v>57.36</v>
      </c>
      <c r="AP267" s="298">
        <f ca="1">BV!K267</f>
        <v>62.53</v>
      </c>
      <c r="AQ267" s="11" t="str">
        <f ca="1">BV!S267</f>
        <v/>
      </c>
      <c r="AR267" s="11" t="str">
        <f ca="1">BV!AA267</f>
        <v/>
      </c>
      <c r="AS267" s="11" t="str">
        <f ca="1">BV!AI267</f>
        <v/>
      </c>
      <c r="AT267" s="11" t="str">
        <f ca="1">BV!AQ267</f>
        <v/>
      </c>
      <c r="AU267" s="11" t="str">
        <f ca="1">BV!AY267</f>
        <v/>
      </c>
      <c r="AV267" s="11" t="str">
        <f ca="1">BV!BG267</f>
        <v/>
      </c>
      <c r="AW267" s="11" t="str">
        <f ca="1">BV!BO267</f>
        <v/>
      </c>
      <c r="AX267" s="11" t="str">
        <f ca="1">BV!BW267</f>
        <v/>
      </c>
      <c r="AY267" s="271" t="s">
        <v>67</v>
      </c>
      <c r="AZ267" s="274">
        <f t="shared" si="118"/>
        <v>3.1527550860117257</v>
      </c>
      <c r="BA267" s="261">
        <v>7.0346891899999997E-4</v>
      </c>
      <c r="BB267" s="268">
        <v>8.4533589190000005E-3</v>
      </c>
      <c r="BC267" s="268">
        <f t="shared" si="119"/>
        <v>8.3217680183774526E-2</v>
      </c>
      <c r="BD267" s="269">
        <f ca="1">IF(BV!H267="","",INT(NOW()-BV!H267))</f>
        <v>3</v>
      </c>
      <c r="BE267" s="275">
        <f t="shared" si="120"/>
        <v>37.703141935890137</v>
      </c>
      <c r="BF267" s="300">
        <f ca="1">BV!G267</f>
        <v>55.688398152649079</v>
      </c>
      <c r="BG267" s="301">
        <f ca="1">BV!O267</f>
        <v>48.089464341202515</v>
      </c>
      <c r="BH267" s="11" t="str">
        <f ca="1">BV!W267</f>
        <v/>
      </c>
      <c r="BI267" s="11" t="str">
        <f ca="1">BV!AE267</f>
        <v/>
      </c>
      <c r="BJ267" s="11" t="str">
        <f ca="1">BV!AM267</f>
        <v/>
      </c>
      <c r="BK267" s="11" t="str">
        <f ca="1">BV!AU267</f>
        <v/>
      </c>
      <c r="BL267" s="11" t="str">
        <f ca="1">BV!BC267</f>
        <v/>
      </c>
      <c r="BM267" s="11" t="str">
        <f ca="1">BV!BK267</f>
        <v/>
      </c>
      <c r="BN267" s="11" t="str">
        <f ca="1">BV!BS267</f>
        <v/>
      </c>
      <c r="BO267" s="11" t="str">
        <f ca="1">BV!CA267</f>
        <v/>
      </c>
      <c r="BP267" s="433">
        <v>125</v>
      </c>
      <c r="BQ267" s="11">
        <f ca="1">IFERROR(YEAR(OFFSET(BV!$H267,,(COLUMN()-69)*8)),"")</f>
        <v>2020</v>
      </c>
      <c r="BR267" s="11">
        <f ca="1">IFERROR(YEAR(OFFSET(BV!$H267,,(COLUMN()-69)*8)),"")</f>
        <v>2020</v>
      </c>
      <c r="BS267" s="11" t="str">
        <f ca="1">IFERROR(YEAR(OFFSET(BV!$H267,,(COLUMN()-69)*8)),"")</f>
        <v/>
      </c>
      <c r="BT267" s="11" t="str">
        <f ca="1">IFERROR(YEAR(OFFSET(BV!$H267,,(COLUMN()-69)*8)),"")</f>
        <v/>
      </c>
      <c r="BU267" s="11" t="str">
        <f ca="1">IFERROR(YEAR(OFFSET(BV!$H267,,(COLUMN()-69)*8)),"")</f>
        <v/>
      </c>
      <c r="BV267" s="11" t="str">
        <f ca="1">IFERROR(YEAR(OFFSET(BV!$H267,,(COLUMN()-69)*8)),"")</f>
        <v/>
      </c>
      <c r="BW267" s="11" t="str">
        <f ca="1">IFERROR(YEAR(OFFSET(BV!$H267,,(COLUMN()-69)*8)),"")</f>
        <v/>
      </c>
      <c r="BX267" s="11" t="str">
        <f ca="1">IFERROR(YEAR(OFFSET(BV!$H267,,(COLUMN()-69)*8)),"")</f>
        <v/>
      </c>
      <c r="BY267" s="11" t="str">
        <f ca="1">IFERROR(YEAR(OFFSET(BV!$H267,,(COLUMN()-69)*8)),"")</f>
        <v/>
      </c>
      <c r="BZ267" s="11" t="str">
        <f ca="1">IFERROR(YEAR(OFFSET(BV!$H267,,(COLUMN()-69)*8)),"")</f>
        <v/>
      </c>
    </row>
    <row r="268" spans="1:78" x14ac:dyDescent="0.25">
      <c r="A268" s="433">
        <v>126</v>
      </c>
      <c r="B268" s="301">
        <f ca="1">BV!D268</f>
        <v>1.8775145283862316</v>
      </c>
      <c r="C268" s="301">
        <f ca="1">BV!L268</f>
        <v>1.5224746254229096</v>
      </c>
      <c r="D268" s="11" t="str">
        <f ca="1">BV!T268</f>
        <v/>
      </c>
      <c r="E268" s="11" t="str">
        <f ca="1">BV!AB268</f>
        <v/>
      </c>
      <c r="F268" s="11" t="str">
        <f ca="1">BV!AJ268</f>
        <v/>
      </c>
      <c r="G268" s="11" t="str">
        <f ca="1">BV!AR268</f>
        <v/>
      </c>
      <c r="H268" s="11" t="str">
        <f ca="1">BV!AZ268</f>
        <v/>
      </c>
      <c r="I268" s="11" t="str">
        <f ca="1">BV!BH268</f>
        <v/>
      </c>
      <c r="J268" s="11" t="str">
        <f ca="1">BV!BP268</f>
        <v/>
      </c>
      <c r="K268" s="11" t="str">
        <f ca="1">BV!BX268</f>
        <v/>
      </c>
      <c r="L268" s="271" t="s">
        <v>67</v>
      </c>
      <c r="M268" s="261">
        <v>8.1968798899999999E-4</v>
      </c>
      <c r="N268" s="272">
        <f t="shared" ca="1" si="117"/>
        <v>34.92816052455418</v>
      </c>
      <c r="O268" s="24"/>
      <c r="P268" s="1"/>
      <c r="Q268" s="1"/>
      <c r="R268" s="1"/>
      <c r="S268" s="1"/>
      <c r="T268" s="1"/>
      <c r="U268" s="1"/>
      <c r="V268" s="1"/>
      <c r="W268" s="257"/>
      <c r="X268" s="257"/>
      <c r="Y268" s="257"/>
      <c r="Z268" s="257"/>
      <c r="AA268" s="620">
        <f ca="1">LARGE(Time!AD$2:AD$201,AG268)</f>
        <v>44167.004999999997</v>
      </c>
      <c r="AB268" s="620"/>
      <c r="AC268" s="11">
        <f ca="1">INDEX(Time!W$2:W$201,AH268)</f>
        <v>150</v>
      </c>
      <c r="AD268" s="597">
        <f ca="1">INDEX(Time!X$2:X$201,AH268)</f>
        <v>59.06</v>
      </c>
      <c r="AE268" s="597"/>
      <c r="AF268" s="11">
        <f ca="1">INDEX(Time!Y$2:Y$201,AH268)</f>
        <v>2.5397900440230274</v>
      </c>
      <c r="AG268" s="11">
        <v>6</v>
      </c>
      <c r="AH268" s="1">
        <f ca="1">MATCH(AA268,Time!AD$2:AD$201,0)</f>
        <v>4</v>
      </c>
      <c r="AI268" s="589">
        <f t="shared" ca="1" si="123"/>
        <v>63.589097601777183</v>
      </c>
      <c r="AJ268" s="589"/>
      <c r="AL268" s="315"/>
      <c r="AM268" s="315"/>
      <c r="AN268" s="433">
        <v>126</v>
      </c>
      <c r="AO268" s="300">
        <f ca="1">BV!C268</f>
        <v>67.11</v>
      </c>
      <c r="AP268" s="660">
        <f ca="1">BV!K268</f>
        <v>82.76</v>
      </c>
      <c r="AQ268" s="11" t="str">
        <f ca="1">BV!S268</f>
        <v/>
      </c>
      <c r="AR268" s="11" t="str">
        <f ca="1">BV!AA268</f>
        <v/>
      </c>
      <c r="AS268" s="11" t="str">
        <f ca="1">BV!AI268</f>
        <v/>
      </c>
      <c r="AT268" s="11" t="str">
        <f ca="1">BV!AQ268</f>
        <v/>
      </c>
      <c r="AU268" s="11" t="str">
        <f ca="1">BV!AY268</f>
        <v/>
      </c>
      <c r="AV268" s="11" t="str">
        <f ca="1">BV!BG268</f>
        <v/>
      </c>
      <c r="AW268" s="11" t="str">
        <f ca="1">BV!BO268</f>
        <v/>
      </c>
      <c r="AX268" s="11" t="str">
        <f ca="1">BV!BW268</f>
        <v/>
      </c>
      <c r="AY268" s="271" t="s">
        <v>67</v>
      </c>
      <c r="AZ268" s="274">
        <f t="shared" si="118"/>
        <v>3.0863514286430855</v>
      </c>
      <c r="BA268" s="261">
        <v>8.1968798899999999E-4</v>
      </c>
      <c r="BB268" s="268">
        <v>8.4533589190000005E-3</v>
      </c>
      <c r="BC268" s="268">
        <f t="shared" si="119"/>
        <v>9.6965951269104039E-2</v>
      </c>
      <c r="BD268" s="269">
        <f ca="1">IF(BV!H268="","",INT(NOW()-BV!H268))</f>
        <v>177</v>
      </c>
      <c r="BE268" s="275">
        <f t="shared" si="120"/>
        <v>34.928160524554187</v>
      </c>
      <c r="BF268" s="301">
        <f ca="1">BV!G268</f>
        <v>42.985550648789086</v>
      </c>
      <c r="BG268" s="302">
        <f ca="1">BV!O268</f>
        <v>30.099964338798774</v>
      </c>
      <c r="BH268" s="11" t="str">
        <f ca="1">BV!W268</f>
        <v/>
      </c>
      <c r="BI268" s="11" t="str">
        <f ca="1">BV!AE268</f>
        <v/>
      </c>
      <c r="BJ268" s="11" t="str">
        <f ca="1">BV!AM268</f>
        <v/>
      </c>
      <c r="BK268" s="11" t="str">
        <f ca="1">BV!AU268</f>
        <v/>
      </c>
      <c r="BL268" s="11" t="str">
        <f ca="1">BV!BC268</f>
        <v/>
      </c>
      <c r="BM268" s="11" t="str">
        <f ca="1">BV!BK268</f>
        <v/>
      </c>
      <c r="BN268" s="11" t="str">
        <f ca="1">BV!BS268</f>
        <v/>
      </c>
      <c r="BO268" s="11" t="str">
        <f ca="1">BV!CA268</f>
        <v/>
      </c>
      <c r="BP268" s="433">
        <v>126</v>
      </c>
      <c r="BQ268" s="11">
        <f ca="1">IFERROR(YEAR(OFFSET(BV!$H268,,(COLUMN()-69)*8)),"")</f>
        <v>2020</v>
      </c>
      <c r="BR268" s="11">
        <f ca="1">IFERROR(YEAR(OFFSET(BV!$H268,,(COLUMN()-69)*8)),"")</f>
        <v>2019</v>
      </c>
      <c r="BS268" s="11" t="str">
        <f ca="1">IFERROR(YEAR(OFFSET(BV!$H268,,(COLUMN()-69)*8)),"")</f>
        <v/>
      </c>
      <c r="BT268" s="11" t="str">
        <f ca="1">IFERROR(YEAR(OFFSET(BV!$H268,,(COLUMN()-69)*8)),"")</f>
        <v/>
      </c>
      <c r="BU268" s="11" t="str">
        <f ca="1">IFERROR(YEAR(OFFSET(BV!$H268,,(COLUMN()-69)*8)),"")</f>
        <v/>
      </c>
      <c r="BV268" s="11" t="str">
        <f ca="1">IFERROR(YEAR(OFFSET(BV!$H268,,(COLUMN()-69)*8)),"")</f>
        <v/>
      </c>
      <c r="BW268" s="11" t="str">
        <f ca="1">IFERROR(YEAR(OFFSET(BV!$H268,,(COLUMN()-69)*8)),"")</f>
        <v/>
      </c>
      <c r="BX268" s="11" t="str">
        <f ca="1">IFERROR(YEAR(OFFSET(BV!$H268,,(COLUMN()-69)*8)),"")</f>
        <v/>
      </c>
      <c r="BY268" s="11" t="str">
        <f ca="1">IFERROR(YEAR(OFFSET(BV!$H268,,(COLUMN()-69)*8)),"")</f>
        <v/>
      </c>
      <c r="BZ268" s="11" t="str">
        <f ca="1">IFERROR(YEAR(OFFSET(BV!$H268,,(COLUMN()-69)*8)),"")</f>
        <v/>
      </c>
    </row>
    <row r="269" spans="1:78" x14ac:dyDescent="0.25">
      <c r="A269" s="433">
        <v>127</v>
      </c>
      <c r="B269" s="301">
        <f ca="1">BV!D269</f>
        <v>1.5180492469519484</v>
      </c>
      <c r="C269" s="11" t="str">
        <f ca="1">BV!L269</f>
        <v/>
      </c>
      <c r="D269" s="11" t="str">
        <f ca="1">BV!T269</f>
        <v/>
      </c>
      <c r="E269" s="11" t="str">
        <f ca="1">BV!AB269</f>
        <v/>
      </c>
      <c r="F269" s="11" t="str">
        <f ca="1">BV!AJ269</f>
        <v/>
      </c>
      <c r="G269" s="11" t="str">
        <f ca="1">BV!AR269</f>
        <v/>
      </c>
      <c r="H269" s="11" t="str">
        <f ca="1">BV!AZ269</f>
        <v/>
      </c>
      <c r="I269" s="11" t="str">
        <f ca="1">BV!BH269</f>
        <v/>
      </c>
      <c r="J269" s="11" t="str">
        <f ca="1">BV!BP269</f>
        <v/>
      </c>
      <c r="K269" s="11" t="str">
        <f ca="1">BV!BX269</f>
        <v/>
      </c>
      <c r="L269" s="271" t="s">
        <v>67</v>
      </c>
      <c r="M269" s="261">
        <v>9.5111070900000001E-4</v>
      </c>
      <c r="N269" s="272">
        <f t="shared" ca="1" si="117"/>
        <v>32.425334441932002</v>
      </c>
      <c r="O269" s="24"/>
      <c r="P269" s="1"/>
      <c r="Q269" s="1"/>
      <c r="R269" s="1"/>
      <c r="S269" s="1"/>
      <c r="T269" s="1"/>
      <c r="U269" s="1"/>
      <c r="V269" s="1"/>
      <c r="W269" s="257"/>
      <c r="X269" s="257"/>
      <c r="Y269" s="257"/>
      <c r="Z269" s="257"/>
      <c r="AA269" s="620">
        <f ca="1">LARGE(Time!AD$2:AD$201,AG269)</f>
        <v>44153.124000000003</v>
      </c>
      <c r="AB269" s="620"/>
      <c r="AC269" s="11">
        <f ca="1">INDEX(Time!W$2:W$201,AH269)</f>
        <v>156</v>
      </c>
      <c r="AD269" s="597">
        <f ca="1">INDEX(Time!X$2:X$201,AH269)</f>
        <v>67.89</v>
      </c>
      <c r="AE269" s="597"/>
      <c r="AF269" s="11">
        <f ca="1">INDEX(Time!Y$2:Y$201,AH269)</f>
        <v>2.2978347326557667</v>
      </c>
      <c r="AG269" s="11">
        <v>7</v>
      </c>
      <c r="AH269" s="1">
        <f ca="1">MATCH(AA269,Time!AD$2:AD$201,0)</f>
        <v>123</v>
      </c>
      <c r="AI269" s="589">
        <f t="shared" ca="1" si="123"/>
        <v>52.184914822725894</v>
      </c>
      <c r="AJ269" s="589"/>
      <c r="AL269" s="315"/>
      <c r="AM269" s="315"/>
      <c r="AN269" s="433">
        <v>127</v>
      </c>
      <c r="AO269" s="660">
        <f ca="1">BV!C269</f>
        <v>83.66</v>
      </c>
      <c r="AP269" s="11" t="str">
        <f ca="1">BV!K269</f>
        <v/>
      </c>
      <c r="AQ269" s="11" t="str">
        <f ca="1">BV!S269</f>
        <v/>
      </c>
      <c r="AR269" s="11" t="str">
        <f ca="1">BV!AA269</f>
        <v/>
      </c>
      <c r="AS269" s="11" t="str">
        <f ca="1">BV!AI269</f>
        <v/>
      </c>
      <c r="AT269" s="11" t="str">
        <f ca="1">BV!AQ269</f>
        <v/>
      </c>
      <c r="AU269" s="11" t="str">
        <f ca="1">BV!AY269</f>
        <v/>
      </c>
      <c r="AV269" s="11" t="str">
        <f ca="1">BV!BG269</f>
        <v/>
      </c>
      <c r="AW269" s="11" t="str">
        <f ca="1">BV!BO269</f>
        <v/>
      </c>
      <c r="AX269" s="11" t="str">
        <f ca="1">BV!BW269</f>
        <v/>
      </c>
      <c r="AY269" s="271" t="s">
        <v>67</v>
      </c>
      <c r="AZ269" s="274">
        <f t="shared" si="118"/>
        <v>3.0217689283733939</v>
      </c>
      <c r="BA269" s="261">
        <v>9.5111070900000001E-4</v>
      </c>
      <c r="BB269" s="268">
        <v>8.4533589190000005E-3</v>
      </c>
      <c r="BC269" s="268">
        <f t="shared" si="119"/>
        <v>0.11251275594867474</v>
      </c>
      <c r="BD269" s="269">
        <f ca="1">IF(BV!H269="","",INT(NOW()-BV!H269))</f>
        <v>394</v>
      </c>
      <c r="BE269" s="275">
        <f t="shared" si="120"/>
        <v>32.425334441932002</v>
      </c>
      <c r="BF269" s="302">
        <f ca="1">BV!G269</f>
        <v>29.786097987393021</v>
      </c>
      <c r="BG269" s="11" t="str">
        <f ca="1">BV!O269</f>
        <v/>
      </c>
      <c r="BH269" s="11" t="str">
        <f ca="1">BV!W269</f>
        <v/>
      </c>
      <c r="BI269" s="11" t="str">
        <f ca="1">BV!AE269</f>
        <v/>
      </c>
      <c r="BJ269" s="11" t="str">
        <f ca="1">BV!AM269</f>
        <v/>
      </c>
      <c r="BK269" s="11" t="str">
        <f ca="1">BV!AU269</f>
        <v/>
      </c>
      <c r="BL269" s="11" t="str">
        <f ca="1">BV!BC269</f>
        <v/>
      </c>
      <c r="BM269" s="11" t="str">
        <f ca="1">BV!BK269</f>
        <v/>
      </c>
      <c r="BN269" s="11" t="str">
        <f ca="1">BV!BS269</f>
        <v/>
      </c>
      <c r="BO269" s="11" t="str">
        <f ca="1">BV!CA269</f>
        <v/>
      </c>
      <c r="BP269" s="433">
        <v>127</v>
      </c>
      <c r="BQ269" s="11">
        <f ca="1">IFERROR(YEAR(OFFSET(BV!$H269,,(COLUMN()-69)*8)),"")</f>
        <v>2019</v>
      </c>
      <c r="BR269" s="11" t="str">
        <f ca="1">IFERROR(YEAR(OFFSET(BV!$H269,,(COLUMN()-69)*8)),"")</f>
        <v/>
      </c>
      <c r="BS269" s="11" t="str">
        <f ca="1">IFERROR(YEAR(OFFSET(BV!$H269,,(COLUMN()-69)*8)),"")</f>
        <v/>
      </c>
      <c r="BT269" s="11" t="str">
        <f ca="1">IFERROR(YEAR(OFFSET(BV!$H269,,(COLUMN()-69)*8)),"")</f>
        <v/>
      </c>
      <c r="BU269" s="11" t="str">
        <f ca="1">IFERROR(YEAR(OFFSET(BV!$H269,,(COLUMN()-69)*8)),"")</f>
        <v/>
      </c>
      <c r="BV269" s="11" t="str">
        <f ca="1">IFERROR(YEAR(OFFSET(BV!$H269,,(COLUMN()-69)*8)),"")</f>
        <v/>
      </c>
      <c r="BW269" s="11" t="str">
        <f ca="1">IFERROR(YEAR(OFFSET(BV!$H269,,(COLUMN()-69)*8)),"")</f>
        <v/>
      </c>
      <c r="BX269" s="11" t="str">
        <f ca="1">IFERROR(YEAR(OFFSET(BV!$H269,,(COLUMN()-69)*8)),"")</f>
        <v/>
      </c>
      <c r="BY269" s="11" t="str">
        <f ca="1">IFERROR(YEAR(OFFSET(BV!$H269,,(COLUMN()-69)*8)),"")</f>
        <v/>
      </c>
      <c r="BZ269" s="11" t="str">
        <f ca="1">IFERROR(YEAR(OFFSET(BV!$H269,,(COLUMN()-69)*8)),"")</f>
        <v/>
      </c>
    </row>
    <row r="270" spans="1:78" x14ac:dyDescent="0.25">
      <c r="A270" s="433">
        <v>128</v>
      </c>
      <c r="B270" s="301">
        <f ca="1">BV!D270</f>
        <v>1.9494364910143163</v>
      </c>
      <c r="C270" s="301">
        <f ca="1">BV!L270</f>
        <v>1.7515051997810618</v>
      </c>
      <c r="D270" s="301">
        <f ca="1">BV!T270</f>
        <v>1.7391304347826089</v>
      </c>
      <c r="E270" s="11" t="str">
        <f ca="1">BV!AB270</f>
        <v/>
      </c>
      <c r="F270" s="11" t="str">
        <f ca="1">BV!AJ270</f>
        <v/>
      </c>
      <c r="G270" s="11" t="str">
        <f ca="1">BV!AR270</f>
        <v/>
      </c>
      <c r="H270" s="11" t="str">
        <f ca="1">BV!AZ270</f>
        <v/>
      </c>
      <c r="I270" s="11" t="str">
        <f ca="1">BV!BH270</f>
        <v/>
      </c>
      <c r="J270" s="11" t="str">
        <f ca="1">BV!BP270</f>
        <v/>
      </c>
      <c r="K270" s="11" t="str">
        <f ca="1">BV!BX270</f>
        <v/>
      </c>
      <c r="L270" s="62" t="s">
        <v>64</v>
      </c>
      <c r="M270" s="261">
        <v>1.0991268420000001E-3</v>
      </c>
      <c r="N270" s="277">
        <f t="shared" ca="1" si="117"/>
        <v>30.163108270432787</v>
      </c>
      <c r="O270" s="24"/>
      <c r="P270" s="1"/>
      <c r="Q270" s="1"/>
      <c r="R270" s="1"/>
      <c r="S270" s="1"/>
      <c r="T270" s="1"/>
      <c r="U270" s="1"/>
      <c r="V270" s="1"/>
      <c r="W270" s="257"/>
      <c r="X270" s="257"/>
      <c r="Y270" s="257"/>
      <c r="Z270" s="257"/>
      <c r="AA270" s="620">
        <f ca="1">LARGE(Time!AD$2:AD$201,AG270)</f>
        <v>44153.063999999998</v>
      </c>
      <c r="AB270" s="620"/>
      <c r="AC270" s="11">
        <f ca="1">INDEX(Time!W$2:W$201,AH270)</f>
        <v>151</v>
      </c>
      <c r="AD270" s="597">
        <f ca="1">INDEX(Time!X$2:X$201,AH270)</f>
        <v>65.91</v>
      </c>
      <c r="AE270" s="597"/>
      <c r="AF270" s="11">
        <f ca="1">INDEX(Time!Y$2:Y$201,AH270)</f>
        <v>2.2910028827188591</v>
      </c>
      <c r="AG270" s="11">
        <v>8</v>
      </c>
      <c r="AH270" s="1">
        <f ca="1">MATCH(AA270,Time!AD$2:AD$201,0)</f>
        <v>63</v>
      </c>
      <c r="AI270" s="589">
        <f t="shared" ca="1" si="123"/>
        <v>53.119010063496226</v>
      </c>
      <c r="AJ270" s="589"/>
      <c r="AL270" s="315"/>
      <c r="AM270" s="315"/>
      <c r="AN270" s="433">
        <v>128</v>
      </c>
      <c r="AO270" s="299">
        <f ca="1">BV!C270</f>
        <v>65.66</v>
      </c>
      <c r="AP270" s="301">
        <f ca="1">BV!K270</f>
        <v>73.08</v>
      </c>
      <c r="AQ270" s="301">
        <f ca="1">BV!S270</f>
        <v>73.599999999999994</v>
      </c>
      <c r="AR270" s="11" t="str">
        <f ca="1">BV!AA270</f>
        <v/>
      </c>
      <c r="AS270" s="11" t="str">
        <f ca="1">BV!AI270</f>
        <v/>
      </c>
      <c r="AT270" s="11" t="str">
        <f ca="1">BV!AQ270</f>
        <v/>
      </c>
      <c r="AU270" s="11" t="str">
        <f ca="1">BV!AY270</f>
        <v/>
      </c>
      <c r="AV270" s="11" t="str">
        <f ca="1">BV!BG270</f>
        <v/>
      </c>
      <c r="AW270" s="11" t="str">
        <f ca="1">BV!BO270</f>
        <v/>
      </c>
      <c r="AX270" s="11" t="str">
        <f ca="1">BV!BW270</f>
        <v/>
      </c>
      <c r="AY270" s="62" t="s">
        <v>3</v>
      </c>
      <c r="AZ270" s="37">
        <f t="shared" si="118"/>
        <v>2.9589521860096535</v>
      </c>
      <c r="BA270" s="261">
        <v>1.0991268420000001E-3</v>
      </c>
      <c r="BB270" s="268">
        <v>8.4533589190000005E-3</v>
      </c>
      <c r="BC270" s="268">
        <f t="shared" si="119"/>
        <v>0.13002249786526543</v>
      </c>
      <c r="BD270" s="269">
        <f ca="1">IF(BV!H270="","",INT(NOW()-BV!H270))</f>
        <v>191</v>
      </c>
      <c r="BE270" s="279">
        <f t="shared" si="120"/>
        <v>30.16310827043279</v>
      </c>
      <c r="BF270" s="301">
        <f ca="1">BV!G270</f>
        <v>45.319877961179841</v>
      </c>
      <c r="BG270" s="301">
        <f ca="1">BV!O270</f>
        <v>37.778325937898636</v>
      </c>
      <c r="BH270" s="302">
        <f ca="1">BV!W270</f>
        <v>37.325698233427772</v>
      </c>
      <c r="BI270" s="11" t="str">
        <f ca="1">BV!AE270</f>
        <v/>
      </c>
      <c r="BJ270" s="11" t="str">
        <f ca="1">BV!AM270</f>
        <v/>
      </c>
      <c r="BK270" s="11" t="str">
        <f ca="1">BV!AU270</f>
        <v/>
      </c>
      <c r="BL270" s="11" t="str">
        <f ca="1">BV!BC270</f>
        <v/>
      </c>
      <c r="BM270" s="11" t="str">
        <f ca="1">BV!BK270</f>
        <v/>
      </c>
      <c r="BN270" s="11" t="str">
        <f ca="1">BV!BS270</f>
        <v/>
      </c>
      <c r="BO270" s="11" t="str">
        <f ca="1">BV!CA270</f>
        <v/>
      </c>
      <c r="BP270" s="433">
        <v>128</v>
      </c>
      <c r="BQ270" s="11">
        <f ca="1">IFERROR(YEAR(OFFSET(BV!$H270,,(COLUMN()-69)*8)),"")</f>
        <v>2020</v>
      </c>
      <c r="BR270" s="11">
        <f ca="1">IFERROR(YEAR(OFFSET(BV!$H270,,(COLUMN()-69)*8)),"")</f>
        <v>2019</v>
      </c>
      <c r="BS270" s="11">
        <f ca="1">IFERROR(YEAR(OFFSET(BV!$H270,,(COLUMN()-69)*8)),"")</f>
        <v>2019</v>
      </c>
      <c r="BT270" s="11" t="str">
        <f ca="1">IFERROR(YEAR(OFFSET(BV!$H270,,(COLUMN()-69)*8)),"")</f>
        <v/>
      </c>
      <c r="BU270" s="11" t="str">
        <f ca="1">IFERROR(YEAR(OFFSET(BV!$H270,,(COLUMN()-69)*8)),"")</f>
        <v/>
      </c>
      <c r="BV270" s="11" t="str">
        <f ca="1">IFERROR(YEAR(OFFSET(BV!$H270,,(COLUMN()-69)*8)),"")</f>
        <v/>
      </c>
      <c r="BW270" s="11" t="str">
        <f ca="1">IFERROR(YEAR(OFFSET(BV!$H270,,(COLUMN()-69)*8)),"")</f>
        <v/>
      </c>
      <c r="BX270" s="11" t="str">
        <f ca="1">IFERROR(YEAR(OFFSET(BV!$H270,,(COLUMN()-69)*8)),"")</f>
        <v/>
      </c>
      <c r="BY270" s="11" t="str">
        <f ca="1">IFERROR(YEAR(OFFSET(BV!$H270,,(COLUMN()-69)*8)),"")</f>
        <v/>
      </c>
      <c r="BZ270" s="11" t="str">
        <f ca="1">IFERROR(YEAR(OFFSET(BV!$H270,,(COLUMN()-69)*8)),"")</f>
        <v/>
      </c>
    </row>
    <row r="271" spans="1:78" x14ac:dyDescent="0.25">
      <c r="A271" s="433">
        <v>129</v>
      </c>
      <c r="B271" s="11" t="str">
        <f ca="1">BV!D271</f>
        <v/>
      </c>
      <c r="C271" s="11" t="str">
        <f ca="1">BV!L271</f>
        <v/>
      </c>
      <c r="D271" s="11" t="str">
        <f ca="1">BV!T271</f>
        <v/>
      </c>
      <c r="E271" s="11" t="str">
        <f ca="1">BV!AB271</f>
        <v/>
      </c>
      <c r="F271" s="11" t="str">
        <f ca="1">BV!AJ271</f>
        <v/>
      </c>
      <c r="G271" s="11" t="str">
        <f ca="1">BV!AR271</f>
        <v/>
      </c>
      <c r="H271" s="11" t="str">
        <f ca="1">BV!AZ271</f>
        <v/>
      </c>
      <c r="I271" s="11" t="str">
        <f ca="1">BV!BH271</f>
        <v/>
      </c>
      <c r="J271" s="11" t="str">
        <f ca="1">BV!BP271</f>
        <v/>
      </c>
      <c r="K271" s="11" t="str">
        <f ca="1">BV!BX271</f>
        <v/>
      </c>
      <c r="L271" s="62" t="s">
        <v>64</v>
      </c>
      <c r="M271" s="261">
        <v>1.2651101389999999E-3</v>
      </c>
      <c r="N271" s="277" t="str">
        <f t="shared" ca="1" si="117"/>
        <v/>
      </c>
      <c r="O271" s="24"/>
      <c r="P271" s="1"/>
      <c r="Q271" s="1"/>
      <c r="R271" s="1"/>
      <c r="S271" s="1"/>
      <c r="T271" s="1"/>
      <c r="U271" s="1"/>
      <c r="V271" s="1"/>
      <c r="W271" s="257"/>
      <c r="X271" s="257"/>
      <c r="Y271" s="257"/>
      <c r="Z271" s="257"/>
      <c r="AA271" s="620">
        <f ca="1">LARGE(Time!AD$2:AD$201,AG271)</f>
        <v>44150.184000000001</v>
      </c>
      <c r="AB271" s="620"/>
      <c r="AC271" s="11">
        <f ca="1">INDEX(Time!W$2:W$201,AH271)</f>
        <v>160</v>
      </c>
      <c r="AD271" s="597">
        <f ca="1">INDEX(Time!X$2:X$201,AH271)</f>
        <v>69.319999999999993</v>
      </c>
      <c r="AE271" s="597"/>
      <c r="AF271" s="11">
        <f ca="1">INDEX(Time!Y$2:Y$201,AH271)</f>
        <v>2.3081361800346221</v>
      </c>
      <c r="AG271" s="11">
        <v>9</v>
      </c>
      <c r="AH271" s="1">
        <f ca="1">MATCH(AA271,Time!AD$2:AD$201,0)</f>
        <v>183</v>
      </c>
      <c r="AI271" s="589">
        <f t="shared" ca="1" si="123"/>
        <v>51.659559200643848</v>
      </c>
      <c r="AJ271" s="589"/>
      <c r="AL271" s="315"/>
      <c r="AM271" s="315"/>
      <c r="AN271" s="433">
        <v>129</v>
      </c>
      <c r="AO271" s="11" t="str">
        <f ca="1">BV!C271</f>
        <v/>
      </c>
      <c r="AP271" s="11" t="str">
        <f ca="1">BV!K271</f>
        <v/>
      </c>
      <c r="AQ271" s="11" t="str">
        <f ca="1">BV!S271</f>
        <v/>
      </c>
      <c r="AR271" s="11" t="str">
        <f ca="1">BV!AA271</f>
        <v/>
      </c>
      <c r="AS271" s="11" t="str">
        <f ca="1">BV!AI271</f>
        <v/>
      </c>
      <c r="AT271" s="11" t="str">
        <f ca="1">BV!AQ271</f>
        <v/>
      </c>
      <c r="AU271" s="11" t="str">
        <f ca="1">BV!AY271</f>
        <v/>
      </c>
      <c r="AV271" s="11" t="str">
        <f ca="1">BV!BG271</f>
        <v/>
      </c>
      <c r="AW271" s="11" t="str">
        <f ca="1">BV!BO271</f>
        <v/>
      </c>
      <c r="AX271" s="11" t="str">
        <f ca="1">BV!BW271</f>
        <v/>
      </c>
      <c r="AY271" s="62" t="s">
        <v>3</v>
      </c>
      <c r="AZ271" s="37">
        <f t="shared" si="118"/>
        <v>2.8978716636757125</v>
      </c>
      <c r="BA271" s="261">
        <v>1.2651101389999999E-3</v>
      </c>
      <c r="BB271" s="268">
        <v>8.4533589190000005E-3</v>
      </c>
      <c r="BC271" s="268">
        <f t="shared" si="119"/>
        <v>0.14965768650335004</v>
      </c>
      <c r="BD271" s="269" t="str">
        <f ca="1">IF(BV!H271="","",INT(NOW()-BV!H271))</f>
        <v/>
      </c>
      <c r="BE271" s="279">
        <f t="shared" si="120"/>
        <v>28.114853952811742</v>
      </c>
      <c r="BF271" s="11" t="str">
        <f ca="1">BV!G271</f>
        <v/>
      </c>
      <c r="BG271" s="11" t="str">
        <f ca="1">BV!O271</f>
        <v/>
      </c>
      <c r="BH271" s="11" t="str">
        <f ca="1">BV!W271</f>
        <v/>
      </c>
      <c r="BI271" s="11" t="str">
        <f ca="1">BV!AE271</f>
        <v/>
      </c>
      <c r="BJ271" s="11" t="str">
        <f ca="1">BV!AM271</f>
        <v/>
      </c>
      <c r="BK271" s="11" t="str">
        <f ca="1">BV!AU271</f>
        <v/>
      </c>
      <c r="BL271" s="11" t="str">
        <f ca="1">BV!BC271</f>
        <v/>
      </c>
      <c r="BM271" s="11" t="str">
        <f ca="1">BV!BK271</f>
        <v/>
      </c>
      <c r="BN271" s="11" t="str">
        <f ca="1">BV!BS271</f>
        <v/>
      </c>
      <c r="BO271" s="11" t="str">
        <f ca="1">BV!CA271</f>
        <v/>
      </c>
      <c r="BP271" s="433">
        <v>129</v>
      </c>
      <c r="BQ271" s="11" t="str">
        <f ca="1">IFERROR(YEAR(OFFSET(BV!$H271,,(COLUMN()-69)*8)),"")</f>
        <v/>
      </c>
      <c r="BR271" s="11" t="str">
        <f ca="1">IFERROR(YEAR(OFFSET(BV!$H271,,(COLUMN()-69)*8)),"")</f>
        <v/>
      </c>
      <c r="BS271" s="11" t="str">
        <f ca="1">IFERROR(YEAR(OFFSET(BV!$H271,,(COLUMN()-69)*8)),"")</f>
        <v/>
      </c>
      <c r="BT271" s="11" t="str">
        <f ca="1">IFERROR(YEAR(OFFSET(BV!$H271,,(COLUMN()-69)*8)),"")</f>
        <v/>
      </c>
      <c r="BU271" s="11" t="str">
        <f ca="1">IFERROR(YEAR(OFFSET(BV!$H271,,(COLUMN()-69)*8)),"")</f>
        <v/>
      </c>
      <c r="BV271" s="11" t="str">
        <f ca="1">IFERROR(YEAR(OFFSET(BV!$H271,,(COLUMN()-69)*8)),"")</f>
        <v/>
      </c>
      <c r="BW271" s="11" t="str">
        <f ca="1">IFERROR(YEAR(OFFSET(BV!$H271,,(COLUMN()-69)*8)),"")</f>
        <v/>
      </c>
      <c r="BX271" s="11" t="str">
        <f ca="1">IFERROR(YEAR(OFFSET(BV!$H271,,(COLUMN()-69)*8)),"")</f>
        <v/>
      </c>
      <c r="BY271" s="11" t="str">
        <f ca="1">IFERROR(YEAR(OFFSET(BV!$H271,,(COLUMN()-69)*8)),"")</f>
        <v/>
      </c>
      <c r="BZ271" s="11" t="str">
        <f ca="1">IFERROR(YEAR(OFFSET(BV!$H271,,(COLUMN()-69)*8)),"")</f>
        <v/>
      </c>
    </row>
    <row r="272" spans="1:78" x14ac:dyDescent="0.25">
      <c r="A272" s="433">
        <v>130</v>
      </c>
      <c r="B272" s="300">
        <f ca="1">BV!D272</f>
        <v>2.0520915548539858</v>
      </c>
      <c r="C272" s="301">
        <f ca="1">BV!L272</f>
        <v>1.8683529749928141</v>
      </c>
      <c r="D272" s="301">
        <f ca="1">BV!T272</f>
        <v>1.6997907949790794</v>
      </c>
      <c r="E272" s="11" t="str">
        <f ca="1">BV!AB272</f>
        <v/>
      </c>
      <c r="F272" s="11" t="str">
        <f ca="1">BV!AJ272</f>
        <v/>
      </c>
      <c r="G272" s="11" t="str">
        <f ca="1">BV!AR272</f>
        <v/>
      </c>
      <c r="H272" s="11" t="str">
        <f ca="1">BV!AZ272</f>
        <v/>
      </c>
      <c r="I272" s="11" t="str">
        <f ca="1">BV!BH272</f>
        <v/>
      </c>
      <c r="J272" s="11" t="str">
        <f ca="1">BV!BP272</f>
        <v/>
      </c>
      <c r="K272" s="11" t="str">
        <f ca="1">BV!BX272</f>
        <v/>
      </c>
      <c r="L272" s="62" t="s">
        <v>64</v>
      </c>
      <c r="M272" s="261">
        <v>1.4504337479999999E-3</v>
      </c>
      <c r="N272" s="277">
        <f t="shared" ca="1" si="117"/>
        <v>26.257359597594242</v>
      </c>
      <c r="O272" s="24"/>
      <c r="P272" s="1"/>
      <c r="Q272" s="1"/>
      <c r="R272" s="1"/>
      <c r="S272" s="1"/>
      <c r="T272" s="1"/>
      <c r="U272" s="1"/>
      <c r="V272" s="1"/>
      <c r="W272" s="257"/>
      <c r="X272" s="257"/>
      <c r="Y272" s="257"/>
      <c r="Z272" s="257"/>
      <c r="AA272" s="620">
        <f ca="1">LARGE(Time!AD$2:AD$201,AG272)</f>
        <v>44149.192999999999</v>
      </c>
      <c r="AB272" s="620"/>
      <c r="AC272" s="11">
        <f ca="1">INDEX(Time!W$2:W$201,AH272)</f>
        <v>188</v>
      </c>
      <c r="AD272" s="597">
        <f ca="1">INDEX(Time!X$2:X$201,AH272)</f>
        <v>69.58</v>
      </c>
      <c r="AE272" s="597"/>
      <c r="AF272" s="11">
        <f ca="1">INDEX(Time!Y$2:Y$201,AH272)</f>
        <v>2.7019258407588387</v>
      </c>
      <c r="AG272" s="11">
        <v>10</v>
      </c>
      <c r="AH272" s="1">
        <f ca="1">MATCH(AA272,Time!AD$2:AD$201,0)</f>
        <v>192</v>
      </c>
      <c r="AI272" s="589">
        <f t="shared" ca="1" si="123"/>
        <v>60.314895969909593</v>
      </c>
      <c r="AJ272" s="589"/>
      <c r="AL272" s="315"/>
      <c r="AM272" s="315"/>
      <c r="AN272" s="433">
        <v>130</v>
      </c>
      <c r="AO272" s="298">
        <f ca="1">BV!C272</f>
        <v>63.35</v>
      </c>
      <c r="AP272" s="301">
        <f ca="1">BV!K272</f>
        <v>69.58</v>
      </c>
      <c r="AQ272" s="302">
        <f ca="1">BV!S272</f>
        <v>76.48</v>
      </c>
      <c r="AR272" s="11" t="str">
        <f ca="1">BV!AA272</f>
        <v/>
      </c>
      <c r="AS272" s="11" t="str">
        <f ca="1">BV!AI272</f>
        <v/>
      </c>
      <c r="AT272" s="11" t="str">
        <f ca="1">BV!AQ272</f>
        <v/>
      </c>
      <c r="AU272" s="11" t="str">
        <f ca="1">BV!AY272</f>
        <v/>
      </c>
      <c r="AV272" s="11" t="str">
        <f ca="1">BV!BG272</f>
        <v/>
      </c>
      <c r="AW272" s="11" t="str">
        <f ca="1">BV!BO272</f>
        <v/>
      </c>
      <c r="AX272" s="11" t="str">
        <f ca="1">BV!BW272</f>
        <v/>
      </c>
      <c r="AY272" s="62" t="s">
        <v>3</v>
      </c>
      <c r="AZ272" s="37">
        <f t="shared" si="118"/>
        <v>2.838502103838318</v>
      </c>
      <c r="BA272" s="261">
        <v>1.4504337479999999E-3</v>
      </c>
      <c r="BB272" s="56">
        <v>2.6629438405999999E-2</v>
      </c>
      <c r="BC272" s="56">
        <f t="shared" si="119"/>
        <v>5.4467305163791821E-2</v>
      </c>
      <c r="BD272" s="13">
        <f ca="1">IF(BV!H272="","",INT(NOW()-BV!H272))</f>
        <v>281</v>
      </c>
      <c r="BE272" s="279">
        <f t="shared" si="120"/>
        <v>26.257359597594242</v>
      </c>
      <c r="BF272" s="301">
        <f ca="1">BV!G272</f>
        <v>48.91751140843941</v>
      </c>
      <c r="BG272" s="301">
        <f ca="1">BV!O272</f>
        <v>41.707108915363015</v>
      </c>
      <c r="BH272" s="302">
        <f ca="1">BV!W272</f>
        <v>35.51421445521116</v>
      </c>
      <c r="BI272" s="11" t="str">
        <f ca="1">BV!AE272</f>
        <v/>
      </c>
      <c r="BJ272" s="11" t="str">
        <f ca="1">BV!AM272</f>
        <v/>
      </c>
      <c r="BK272" s="11" t="str">
        <f ca="1">BV!AU272</f>
        <v/>
      </c>
      <c r="BL272" s="11" t="str">
        <f ca="1">BV!BC272</f>
        <v/>
      </c>
      <c r="BM272" s="11" t="str">
        <f ca="1">BV!BK272</f>
        <v/>
      </c>
      <c r="BN272" s="11" t="str">
        <f ca="1">BV!BS272</f>
        <v/>
      </c>
      <c r="BO272" s="11" t="str">
        <f ca="1">BV!CA272</f>
        <v/>
      </c>
      <c r="BP272" s="433">
        <v>130</v>
      </c>
      <c r="BQ272" s="11">
        <f ca="1">IFERROR(YEAR(OFFSET(BV!$H272,,(COLUMN()-69)*8)),"")</f>
        <v>2020</v>
      </c>
      <c r="BR272" s="11">
        <f ca="1">IFERROR(YEAR(OFFSET(BV!$H272,,(COLUMN()-69)*8)),"")</f>
        <v>2020</v>
      </c>
      <c r="BS272" s="11">
        <f ca="1">IFERROR(YEAR(OFFSET(BV!$H272,,(COLUMN()-69)*8)),"")</f>
        <v>2019</v>
      </c>
      <c r="BT272" s="11" t="str">
        <f ca="1">IFERROR(YEAR(OFFSET(BV!$H272,,(COLUMN()-69)*8)),"")</f>
        <v/>
      </c>
      <c r="BU272" s="11" t="str">
        <f ca="1">IFERROR(YEAR(OFFSET(BV!$H272,,(COLUMN()-69)*8)),"")</f>
        <v/>
      </c>
      <c r="BV272" s="11" t="str">
        <f ca="1">IFERROR(YEAR(OFFSET(BV!$H272,,(COLUMN()-69)*8)),"")</f>
        <v/>
      </c>
      <c r="BW272" s="11" t="str">
        <f ca="1">IFERROR(YEAR(OFFSET(BV!$H272,,(COLUMN()-69)*8)),"")</f>
        <v/>
      </c>
      <c r="BX272" s="11" t="str">
        <f ca="1">IFERROR(YEAR(OFFSET(BV!$H272,,(COLUMN()-69)*8)),"")</f>
        <v/>
      </c>
      <c r="BY272" s="11" t="str">
        <f ca="1">IFERROR(YEAR(OFFSET(BV!$H272,,(COLUMN()-69)*8)),"")</f>
        <v/>
      </c>
      <c r="BZ272" s="11" t="str">
        <f ca="1">IFERROR(YEAR(OFFSET(BV!$H272,,(COLUMN()-69)*8)),"")</f>
        <v/>
      </c>
    </row>
    <row r="273" spans="1:78" x14ac:dyDescent="0.25">
      <c r="A273" s="433">
        <v>131</v>
      </c>
      <c r="B273" s="300">
        <f ca="1">BV!D273</f>
        <v>2.1081429031219825</v>
      </c>
      <c r="C273" s="300">
        <f ca="1">BV!L273</f>
        <v>2.0876494023904382</v>
      </c>
      <c r="D273" s="301">
        <f ca="1">BV!T273</f>
        <v>1.8658310781939895</v>
      </c>
      <c r="E273" s="301">
        <f ca="1">BV!AB273</f>
        <v>1.8505438621274191</v>
      </c>
      <c r="F273" s="301">
        <f ca="1">BV!AJ273</f>
        <v>1.7478318879252834</v>
      </c>
      <c r="G273" s="301">
        <f ca="1">BV!AR273</f>
        <v>1.7378615017245955</v>
      </c>
      <c r="H273" s="11" t="str">
        <f ca="1">BV!AZ273</f>
        <v/>
      </c>
      <c r="I273" s="11" t="str">
        <f ca="1">BV!BH273</f>
        <v/>
      </c>
      <c r="J273" s="11" t="str">
        <f ca="1">BV!BP273</f>
        <v/>
      </c>
      <c r="K273" s="11" t="str">
        <f ca="1">BV!BX273</f>
        <v/>
      </c>
      <c r="L273" s="62" t="s">
        <v>64</v>
      </c>
      <c r="M273" s="261">
        <v>1.6563648540000001E-3</v>
      </c>
      <c r="N273" s="277">
        <f t="shared" ca="1" si="117"/>
        <v>24.570952741800859</v>
      </c>
      <c r="O273" s="24"/>
      <c r="P273" s="1"/>
      <c r="Q273" s="1"/>
      <c r="R273" s="1"/>
      <c r="S273" s="1"/>
      <c r="T273" s="1"/>
      <c r="U273" s="1"/>
      <c r="V273" s="1"/>
      <c r="W273" s="257"/>
      <c r="X273" s="257"/>
      <c r="Y273" s="257"/>
      <c r="Z273" s="257"/>
      <c r="AA273" s="620">
        <f ca="1">LARGE(Bvs!J$2:J$201,AG273)</f>
        <v>44168.2</v>
      </c>
      <c r="AB273" s="620"/>
      <c r="AC273" s="11">
        <f ca="1">INDEX(Bvs!C$2:C$201,AH273)</f>
        <v>15</v>
      </c>
      <c r="AD273" s="597">
        <f ca="1">INDEX(Bvs!D$2:D$201,AH273)</f>
        <v>4.3</v>
      </c>
      <c r="AE273" s="597"/>
      <c r="AF273" s="11">
        <f ca="1">INDEX(Bvs!E$2:E$201,AH273)</f>
        <v>3.4883720930232558</v>
      </c>
      <c r="AG273" s="1">
        <v>1</v>
      </c>
      <c r="AH273" s="1">
        <f ca="1">MATCH(AA273,Bvs!J$2:J$201,0)</f>
        <v>199</v>
      </c>
      <c r="AI273" s="589">
        <f ca="1">47.299/(AD273^1.7/AC273)</f>
        <v>59.435626311843862</v>
      </c>
      <c r="AJ273" s="589"/>
      <c r="AL273" s="315"/>
      <c r="AM273" s="315"/>
      <c r="AN273" s="433">
        <v>131</v>
      </c>
      <c r="AO273" s="298">
        <f ca="1">BV!C273</f>
        <v>62.14</v>
      </c>
      <c r="AP273" s="298">
        <f ca="1">BV!K273</f>
        <v>62.75</v>
      </c>
      <c r="AQ273" s="301">
        <f ca="1">BV!S273</f>
        <v>70.209999999999994</v>
      </c>
      <c r="AR273" s="301">
        <f ca="1">BV!AA273</f>
        <v>70.790000000000006</v>
      </c>
      <c r="AS273" s="302">
        <f ca="1">BV!AI273</f>
        <v>74.95</v>
      </c>
      <c r="AT273" s="302">
        <f ca="1">BV!AQ273</f>
        <v>75.38</v>
      </c>
      <c r="AU273" s="11" t="str">
        <f ca="1">BV!AY273</f>
        <v/>
      </c>
      <c r="AV273" s="11" t="str">
        <f ca="1">BV!BG273</f>
        <v/>
      </c>
      <c r="AW273" s="11" t="str">
        <f ca="1">BV!BO273</f>
        <v/>
      </c>
      <c r="AX273" s="11" t="str">
        <f ca="1">BV!BW273</f>
        <v/>
      </c>
      <c r="AY273" s="62" t="s">
        <v>3</v>
      </c>
      <c r="AZ273" s="37">
        <f t="shared" si="118"/>
        <v>2.7808439932600955</v>
      </c>
      <c r="BA273" s="261">
        <v>1.6563648540000001E-3</v>
      </c>
      <c r="BB273" s="56">
        <v>2.6629438405999999E-2</v>
      </c>
      <c r="BC273" s="56">
        <f t="shared" si="119"/>
        <v>6.2200517665697258E-2</v>
      </c>
      <c r="BD273" s="13">
        <f ca="1">IF(BV!H273="","",INT(NOW()-BV!H273))</f>
        <v>135</v>
      </c>
      <c r="BE273" s="279">
        <f t="shared" si="120"/>
        <v>24.570952741800859</v>
      </c>
      <c r="BF273" s="300">
        <f ca="1">BV!G273</f>
        <v>50.936655738123498</v>
      </c>
      <c r="BG273" s="300">
        <f ca="1">BV!O273</f>
        <v>50.097748678164024</v>
      </c>
      <c r="BH273" s="301">
        <f ca="1">BV!W273</f>
        <v>41.388844019417661</v>
      </c>
      <c r="BI273" s="301">
        <f ca="1">BV!AE273</f>
        <v>40.81401314596733</v>
      </c>
      <c r="BJ273" s="302">
        <f ca="1">BV!AM273</f>
        <v>37.038191070842906</v>
      </c>
      <c r="BK273" s="302">
        <f ca="1">BV!AU273</f>
        <v>36.679729538200924</v>
      </c>
      <c r="BL273" s="11" t="str">
        <f ca="1">BV!BC273</f>
        <v/>
      </c>
      <c r="BM273" s="11" t="str">
        <f ca="1">BV!BK273</f>
        <v/>
      </c>
      <c r="BN273" s="11" t="str">
        <f ca="1">BV!BS273</f>
        <v/>
      </c>
      <c r="BO273" s="11" t="str">
        <f ca="1">BV!CA273</f>
        <v/>
      </c>
      <c r="BP273" s="433">
        <v>131</v>
      </c>
      <c r="BQ273" s="11">
        <f ca="1">IFERROR(YEAR(OFFSET(BV!$H273,,(COLUMN()-69)*8)),"")</f>
        <v>2020</v>
      </c>
      <c r="BR273" s="11">
        <f ca="1">IFERROR(YEAR(OFFSET(BV!$H273,,(COLUMN()-69)*8)),"")</f>
        <v>2020</v>
      </c>
      <c r="BS273" s="11">
        <f ca="1">IFERROR(YEAR(OFFSET(BV!$H273,,(COLUMN()-69)*8)),"")</f>
        <v>2019</v>
      </c>
      <c r="BT273" s="11">
        <f ca="1">IFERROR(YEAR(OFFSET(BV!$H273,,(COLUMN()-69)*8)),"")</f>
        <v>2020</v>
      </c>
      <c r="BU273" s="11">
        <f ca="1">IFERROR(YEAR(OFFSET(BV!$H273,,(COLUMN()-69)*8)),"")</f>
        <v>2019</v>
      </c>
      <c r="BV273" s="11">
        <f ca="1">IFERROR(YEAR(OFFSET(BV!$H273,,(COLUMN()-69)*8)),"")</f>
        <v>2020</v>
      </c>
      <c r="BW273" s="11" t="str">
        <f ca="1">IFERROR(YEAR(OFFSET(BV!$H273,,(COLUMN()-69)*8)),"")</f>
        <v/>
      </c>
      <c r="BX273" s="11" t="str">
        <f ca="1">IFERROR(YEAR(OFFSET(BV!$H273,,(COLUMN()-69)*8)),"")</f>
        <v/>
      </c>
      <c r="BY273" s="11" t="str">
        <f ca="1">IFERROR(YEAR(OFFSET(BV!$H273,,(COLUMN()-69)*8)),"")</f>
        <v/>
      </c>
      <c r="BZ273" s="11" t="str">
        <f ca="1">IFERROR(YEAR(OFFSET(BV!$H273,,(COLUMN()-69)*8)),"")</f>
        <v/>
      </c>
    </row>
    <row r="274" spans="1:78" x14ac:dyDescent="0.25">
      <c r="A274" s="433">
        <v>132</v>
      </c>
      <c r="B274" s="301">
        <f ca="1">BV!D274</f>
        <v>1.9660411081322609</v>
      </c>
      <c r="C274" s="301">
        <f ca="1">BV!L274</f>
        <v>1.9383259911894275</v>
      </c>
      <c r="D274" s="11" t="str">
        <f ca="1">BV!T274</f>
        <v/>
      </c>
      <c r="E274" s="11" t="str">
        <f ca="1">BV!AB274</f>
        <v/>
      </c>
      <c r="F274" s="11" t="str">
        <f ca="1">BV!AJ274</f>
        <v/>
      </c>
      <c r="G274" s="11" t="str">
        <f ca="1">BV!AR274</f>
        <v/>
      </c>
      <c r="H274" s="11" t="str">
        <f ca="1">BV!AZ274</f>
        <v/>
      </c>
      <c r="I274" s="11" t="str">
        <f ca="1">BV!BH274</f>
        <v/>
      </c>
      <c r="J274" s="11" t="str">
        <f ca="1">BV!BP274</f>
        <v/>
      </c>
      <c r="K274" s="11" t="str">
        <f ca="1">BV!BX274</f>
        <v/>
      </c>
      <c r="L274" s="62" t="s">
        <v>64</v>
      </c>
      <c r="M274" s="261">
        <v>1.884190158E-3</v>
      </c>
      <c r="N274" s="277">
        <f t="shared" ca="1" si="117"/>
        <v>23.037621279031772</v>
      </c>
      <c r="O274" s="24"/>
      <c r="P274" s="1"/>
      <c r="Q274" s="1"/>
      <c r="R274" s="1"/>
      <c r="S274" s="1"/>
      <c r="T274" s="1"/>
      <c r="U274" s="1"/>
      <c r="V274" s="1"/>
      <c r="W274" s="257"/>
      <c r="X274" s="257"/>
      <c r="Y274" s="257"/>
      <c r="Z274" s="257"/>
      <c r="AA274" s="620">
        <f ca="1">LARGE(Bvs!J$2:J$201,AG274)</f>
        <v>44168.171999999999</v>
      </c>
      <c r="AB274" s="620"/>
      <c r="AC274" s="11">
        <f ca="1">INDEX(Bvs!C$2:C$201,AH274)</f>
        <v>24</v>
      </c>
      <c r="AD274" s="597">
        <f ca="1">INDEX(Bvs!D$2:D$201,AH274)</f>
        <v>6.78</v>
      </c>
      <c r="AE274" s="597"/>
      <c r="AF274" s="11">
        <f ca="1">INDEX(Bvs!E$2:E$201,AH274)</f>
        <v>3.5398230088495573</v>
      </c>
      <c r="AG274" s="1">
        <v>2</v>
      </c>
      <c r="AH274" s="1">
        <f ca="1">MATCH(AA274,Bvs!J$2:J$201,0)</f>
        <v>171</v>
      </c>
      <c r="AI274" s="589">
        <f t="shared" ref="AI274:AI282" ca="1" si="124">47.299/(AD274^1.7/AC274)</f>
        <v>43.850315363150834</v>
      </c>
      <c r="AJ274" s="589"/>
      <c r="AL274" s="315"/>
      <c r="AM274" s="315"/>
      <c r="AN274" s="433">
        <v>132</v>
      </c>
      <c r="AO274" s="300">
        <f ca="1">BV!C274</f>
        <v>67.14</v>
      </c>
      <c r="AP274" s="300">
        <f ca="1">BV!K274</f>
        <v>68.099999999999994</v>
      </c>
      <c r="AQ274" s="11" t="str">
        <f ca="1">BV!S274</f>
        <v/>
      </c>
      <c r="AR274" s="11" t="str">
        <f ca="1">BV!AA274</f>
        <v/>
      </c>
      <c r="AS274" s="11" t="str">
        <f ca="1">BV!AI274</f>
        <v/>
      </c>
      <c r="AT274" s="11" t="str">
        <f ca="1">BV!AQ274</f>
        <v/>
      </c>
      <c r="AU274" s="11" t="str">
        <f ca="1">BV!AY274</f>
        <v/>
      </c>
      <c r="AV274" s="11" t="str">
        <f ca="1">BV!BG274</f>
        <v/>
      </c>
      <c r="AW274" s="11" t="str">
        <f ca="1">BV!BO274</f>
        <v/>
      </c>
      <c r="AX274" s="11" t="str">
        <f ca="1">BV!BW274</f>
        <v/>
      </c>
      <c r="AY274" s="62" t="s">
        <v>3</v>
      </c>
      <c r="AZ274" s="37">
        <f t="shared" ref="AZ274:AZ305" si="125">0-LOG10(M274)</f>
        <v>2.7248752690576792</v>
      </c>
      <c r="BA274" s="261">
        <v>1.884190158E-3</v>
      </c>
      <c r="BB274" s="56">
        <v>2.6629438405999999E-2</v>
      </c>
      <c r="BC274" s="56">
        <f t="shared" si="119"/>
        <v>7.0755910405360431E-2</v>
      </c>
      <c r="BD274" s="13">
        <f ca="1">IF(BV!H274="","",INT(NOW()-BV!H274))</f>
        <v>224</v>
      </c>
      <c r="BE274" s="279">
        <f t="shared" si="120"/>
        <v>23.037621279031772</v>
      </c>
      <c r="BF274" s="301">
        <f ca="1">BV!G274</f>
        <v>44.998280003022401</v>
      </c>
      <c r="BG274" s="301">
        <f ca="1">BV!O274</f>
        <v>43.925235266687075</v>
      </c>
      <c r="BH274" s="11" t="str">
        <f ca="1">BV!W274</f>
        <v/>
      </c>
      <c r="BI274" s="11" t="str">
        <f ca="1">BV!AE274</f>
        <v/>
      </c>
      <c r="BJ274" s="11" t="str">
        <f ca="1">BV!AM274</f>
        <v/>
      </c>
      <c r="BK274" s="11" t="str">
        <f ca="1">BV!AU274</f>
        <v/>
      </c>
      <c r="BL274" s="11" t="str">
        <f ca="1">BV!BC274</f>
        <v/>
      </c>
      <c r="BM274" s="11" t="str">
        <f ca="1">BV!BK274</f>
        <v/>
      </c>
      <c r="BN274" s="11" t="str">
        <f ca="1">BV!BS274</f>
        <v/>
      </c>
      <c r="BO274" s="11" t="str">
        <f ca="1">BV!CA274</f>
        <v/>
      </c>
      <c r="BP274" s="433">
        <v>132</v>
      </c>
      <c r="BQ274" s="11">
        <f ca="1">IFERROR(YEAR(OFFSET(BV!$H274,,(COLUMN()-69)*8)),"")</f>
        <v>2020</v>
      </c>
      <c r="BR274" s="11">
        <f ca="1">IFERROR(YEAR(OFFSET(BV!$H274,,(COLUMN()-69)*8)),"")</f>
        <v>2020</v>
      </c>
      <c r="BS274" s="11" t="str">
        <f ca="1">IFERROR(YEAR(OFFSET(BV!$H274,,(COLUMN()-69)*8)),"")</f>
        <v/>
      </c>
      <c r="BT274" s="11" t="str">
        <f ca="1">IFERROR(YEAR(OFFSET(BV!$H274,,(COLUMN()-69)*8)),"")</f>
        <v/>
      </c>
      <c r="BU274" s="11" t="str">
        <f ca="1">IFERROR(YEAR(OFFSET(BV!$H274,,(COLUMN()-69)*8)),"")</f>
        <v/>
      </c>
      <c r="BV274" s="11" t="str">
        <f ca="1">IFERROR(YEAR(OFFSET(BV!$H274,,(COLUMN()-69)*8)),"")</f>
        <v/>
      </c>
      <c r="BW274" s="11" t="str">
        <f ca="1">IFERROR(YEAR(OFFSET(BV!$H274,,(COLUMN()-69)*8)),"")</f>
        <v/>
      </c>
      <c r="BX274" s="11" t="str">
        <f ca="1">IFERROR(YEAR(OFFSET(BV!$H274,,(COLUMN()-69)*8)),"")</f>
        <v/>
      </c>
      <c r="BY274" s="11" t="str">
        <f ca="1">IFERROR(YEAR(OFFSET(BV!$H274,,(COLUMN()-69)*8)),"")</f>
        <v/>
      </c>
      <c r="BZ274" s="11" t="str">
        <f ca="1">IFERROR(YEAR(OFFSET(BV!$H274,,(COLUMN()-69)*8)),"")</f>
        <v/>
      </c>
    </row>
    <row r="275" spans="1:78" x14ac:dyDescent="0.25">
      <c r="A275" s="433">
        <v>133</v>
      </c>
      <c r="B275" s="301">
        <f ca="1">BV!D275</f>
        <v>1.9815256257449343</v>
      </c>
      <c r="C275" s="301">
        <f ca="1">BV!L275</f>
        <v>1.933139534883721</v>
      </c>
      <c r="D275" s="301">
        <f ca="1">BV!T275</f>
        <v>1.9230769230769231</v>
      </c>
      <c r="E275" s="11" t="str">
        <f ca="1">BV!AB275</f>
        <v/>
      </c>
      <c r="F275" s="11" t="str">
        <f ca="1">BV!AJ275</f>
        <v/>
      </c>
      <c r="G275" s="11" t="str">
        <f ca="1">BV!AR275</f>
        <v/>
      </c>
      <c r="H275" s="11" t="str">
        <f ca="1">BV!AZ275</f>
        <v/>
      </c>
      <c r="I275" s="11" t="str">
        <f ca="1">BV!BH275</f>
        <v/>
      </c>
      <c r="J275" s="11" t="str">
        <f ca="1">BV!BP275</f>
        <v/>
      </c>
      <c r="K275" s="11" t="str">
        <f ca="1">BV!BX275</f>
        <v/>
      </c>
      <c r="L275" s="62" t="s">
        <v>64</v>
      </c>
      <c r="M275" s="261">
        <v>2.1351280800000001E-3</v>
      </c>
      <c r="N275" s="277">
        <f t="shared" ca="1" si="117"/>
        <v>21.641533632582128</v>
      </c>
      <c r="O275" s="24"/>
      <c r="P275" s="1"/>
      <c r="Q275" s="1"/>
      <c r="R275" s="1"/>
      <c r="S275" s="1"/>
      <c r="T275" s="1"/>
      <c r="U275" s="1"/>
      <c r="V275" s="1"/>
      <c r="W275" s="257"/>
      <c r="X275" s="257"/>
      <c r="Y275" s="257"/>
      <c r="Z275" s="257"/>
      <c r="AA275" s="620">
        <f ca="1">LARGE(Bvs!J$2:J$201,AG275)</f>
        <v>44168.167999999998</v>
      </c>
      <c r="AB275" s="620"/>
      <c r="AC275" s="11">
        <f ca="1">INDEX(Bvs!C$2:C$201,AH275)</f>
        <v>16</v>
      </c>
      <c r="AD275" s="597">
        <f ca="1">INDEX(Bvs!D$2:D$201,AH275)</f>
        <v>4.51</v>
      </c>
      <c r="AE275" s="597"/>
      <c r="AF275" s="11">
        <f ca="1">INDEX(Bvs!E$2:E$201,AH275)</f>
        <v>3.5476718403547673</v>
      </c>
      <c r="AG275" s="1">
        <v>3</v>
      </c>
      <c r="AH275" s="1">
        <f ca="1">MATCH(AA275,Bvs!J$2:J$201,0)</f>
        <v>167</v>
      </c>
      <c r="AI275" s="589">
        <f t="shared" ca="1" si="124"/>
        <v>58.46175120764368</v>
      </c>
      <c r="AJ275" s="589"/>
      <c r="AL275" s="315"/>
      <c r="AM275" s="315"/>
      <c r="AN275" s="433">
        <v>133</v>
      </c>
      <c r="AO275" s="300">
        <f ca="1">BV!C275</f>
        <v>67.12</v>
      </c>
      <c r="AP275" s="300">
        <f ca="1">BV!K275</f>
        <v>68.8</v>
      </c>
      <c r="AQ275" s="301">
        <f ca="1">BV!S275</f>
        <v>69.16</v>
      </c>
      <c r="AR275" s="11" t="str">
        <f ca="1">BV!AA275</f>
        <v/>
      </c>
      <c r="AS275" s="11" t="str">
        <f ca="1">BV!AI275</f>
        <v/>
      </c>
      <c r="AT275" s="11" t="str">
        <f ca="1">BV!AQ275</f>
        <v/>
      </c>
      <c r="AU275" s="11" t="str">
        <f ca="1">BV!AY275</f>
        <v/>
      </c>
      <c r="AV275" s="11" t="str">
        <f ca="1">BV!BG275</f>
        <v/>
      </c>
      <c r="AW275" s="11" t="str">
        <f ca="1">BV!BO275</f>
        <v/>
      </c>
      <c r="AX275" s="11" t="str">
        <f ca="1">BV!BW275</f>
        <v/>
      </c>
      <c r="AY275" s="62" t="s">
        <v>3</v>
      </c>
      <c r="AZ275" s="37">
        <f t="shared" si="125"/>
        <v>2.6705760678198303</v>
      </c>
      <c r="BA275" s="261">
        <v>2.1351280800000001E-3</v>
      </c>
      <c r="BB275" s="56">
        <v>2.6629438405999999E-2</v>
      </c>
      <c r="BC275" s="56">
        <f t="shared" si="119"/>
        <v>8.0179238008974488E-2</v>
      </c>
      <c r="BD275" s="13">
        <f ca="1">IF(BV!H275="","",INT(NOW()-BV!H275))</f>
        <v>369</v>
      </c>
      <c r="BE275" s="279">
        <f t="shared" si="120"/>
        <v>21.641533632582128</v>
      </c>
      <c r="BF275" s="301">
        <f ca="1">BV!G275</f>
        <v>45.362145264321946</v>
      </c>
      <c r="BG275" s="301">
        <f ca="1">BV!O275</f>
        <v>43.495221946941875</v>
      </c>
      <c r="BH275" s="301">
        <f ca="1">BV!W275</f>
        <v>43.111032325009504</v>
      </c>
      <c r="BI275" s="11" t="str">
        <f ca="1">BV!AE275</f>
        <v/>
      </c>
      <c r="BJ275" s="11" t="str">
        <f ca="1">BV!AM275</f>
        <v/>
      </c>
      <c r="BK275" s="11" t="str">
        <f ca="1">BV!AU275</f>
        <v/>
      </c>
      <c r="BL275" s="11" t="str">
        <f ca="1">BV!BC275</f>
        <v/>
      </c>
      <c r="BM275" s="11" t="str">
        <f ca="1">BV!BK275</f>
        <v/>
      </c>
      <c r="BN275" s="11" t="str">
        <f ca="1">BV!BS275</f>
        <v/>
      </c>
      <c r="BO275" s="11" t="str">
        <f ca="1">BV!CA275</f>
        <v/>
      </c>
      <c r="BP275" s="433">
        <v>133</v>
      </c>
      <c r="BQ275" s="11">
        <f ca="1">IFERROR(YEAR(OFFSET(BV!$H275,,(COLUMN()-69)*8)),"")</f>
        <v>2019</v>
      </c>
      <c r="BR275" s="11">
        <f ca="1">IFERROR(YEAR(OFFSET(BV!$H275,,(COLUMN()-69)*8)),"")</f>
        <v>2020</v>
      </c>
      <c r="BS275" s="11">
        <f ca="1">IFERROR(YEAR(OFFSET(BV!$H275,,(COLUMN()-69)*8)),"")</f>
        <v>2020</v>
      </c>
      <c r="BT275" s="11" t="str">
        <f ca="1">IFERROR(YEAR(OFFSET(BV!$H275,,(COLUMN()-69)*8)),"")</f>
        <v/>
      </c>
      <c r="BU275" s="11" t="str">
        <f ca="1">IFERROR(YEAR(OFFSET(BV!$H275,,(COLUMN()-69)*8)),"")</f>
        <v/>
      </c>
      <c r="BV275" s="11" t="str">
        <f ca="1">IFERROR(YEAR(OFFSET(BV!$H275,,(COLUMN()-69)*8)),"")</f>
        <v/>
      </c>
      <c r="BW275" s="11" t="str">
        <f ca="1">IFERROR(YEAR(OFFSET(BV!$H275,,(COLUMN()-69)*8)),"")</f>
        <v/>
      </c>
      <c r="BX275" s="11" t="str">
        <f ca="1">IFERROR(YEAR(OFFSET(BV!$H275,,(COLUMN()-69)*8)),"")</f>
        <v/>
      </c>
      <c r="BY275" s="11" t="str">
        <f ca="1">IFERROR(YEAR(OFFSET(BV!$H275,,(COLUMN()-69)*8)),"")</f>
        <v/>
      </c>
      <c r="BZ275" s="11" t="str">
        <f ca="1">IFERROR(YEAR(OFFSET(BV!$H275,,(COLUMN()-69)*8)),"")</f>
        <v/>
      </c>
    </row>
    <row r="276" spans="1:78" x14ac:dyDescent="0.25">
      <c r="A276" s="433">
        <v>134</v>
      </c>
      <c r="B276" s="301">
        <f ca="1">BV!D276</f>
        <v>1.9616454399063095</v>
      </c>
      <c r="C276" s="11" t="str">
        <f ca="1">BV!L276</f>
        <v/>
      </c>
      <c r="D276" s="11" t="str">
        <f ca="1">BV!T276</f>
        <v/>
      </c>
      <c r="E276" s="11" t="str">
        <f ca="1">BV!AB276</f>
        <v/>
      </c>
      <c r="F276" s="11" t="str">
        <f ca="1">BV!AJ276</f>
        <v/>
      </c>
      <c r="G276" s="11" t="str">
        <f ca="1">BV!AR276</f>
        <v/>
      </c>
      <c r="H276" s="11" t="str">
        <f ca="1">BV!AZ276</f>
        <v/>
      </c>
      <c r="I276" s="11" t="str">
        <f ca="1">BV!BH276</f>
        <v/>
      </c>
      <c r="J276" s="11" t="str">
        <f ca="1">BV!BP276</f>
        <v/>
      </c>
      <c r="K276" s="11" t="str">
        <f ca="1">BV!BX276</f>
        <v/>
      </c>
      <c r="L276" s="62" t="s">
        <v>64</v>
      </c>
      <c r="M276" s="261">
        <v>2.4104484030000001E-3</v>
      </c>
      <c r="N276" s="277">
        <f t="shared" ca="1" si="117"/>
        <v>20.368126341265409</v>
      </c>
      <c r="O276" s="24"/>
      <c r="P276" s="1"/>
      <c r="Q276" s="1"/>
      <c r="R276" s="1"/>
      <c r="S276" s="1"/>
      <c r="T276" s="1"/>
      <c r="U276" s="1"/>
      <c r="V276" s="1"/>
      <c r="W276" s="257"/>
      <c r="X276" s="257"/>
      <c r="Y276" s="257"/>
      <c r="Z276" s="257"/>
      <c r="AA276" s="620">
        <f ca="1">LARGE(Bvs!J$2:J$201,AG276)</f>
        <v>44168.165000000001</v>
      </c>
      <c r="AB276" s="620"/>
      <c r="AC276" s="11">
        <f ca="1">INDEX(Bvs!C$2:C$201,AH276)</f>
        <v>23</v>
      </c>
      <c r="AD276" s="597">
        <f ca="1">INDEX(Bvs!D$2:D$201,AH276)</f>
        <v>6.48</v>
      </c>
      <c r="AE276" s="597"/>
      <c r="AF276" s="11">
        <f ca="1">INDEX(Bvs!E$2:E$201,AH276)</f>
        <v>3.5493827160493825</v>
      </c>
      <c r="AG276" s="1">
        <v>4</v>
      </c>
      <c r="AH276" s="1">
        <f ca="1">MATCH(AA276,Bvs!J$2:J$201,0)</f>
        <v>164</v>
      </c>
      <c r="AI276" s="589">
        <f t="shared" ca="1" si="124"/>
        <v>45.383949256682769</v>
      </c>
      <c r="AJ276" s="589"/>
      <c r="AL276" s="315"/>
      <c r="AM276" s="315"/>
      <c r="AN276" s="433">
        <v>134</v>
      </c>
      <c r="AO276" s="300">
        <f ca="1">BV!C276</f>
        <v>68.31</v>
      </c>
      <c r="AP276" s="11" t="str">
        <f ca="1">BV!K276</f>
        <v/>
      </c>
      <c r="AQ276" s="11" t="str">
        <f ca="1">BV!S276</f>
        <v/>
      </c>
      <c r="AR276" s="11" t="str">
        <f ca="1">BV!AA276</f>
        <v/>
      </c>
      <c r="AS276" s="11" t="str">
        <f ca="1">BV!AI276</f>
        <v/>
      </c>
      <c r="AT276" s="11" t="str">
        <f ca="1">BV!AQ276</f>
        <v/>
      </c>
      <c r="AU276" s="11" t="str">
        <f ca="1">BV!AY276</f>
        <v/>
      </c>
      <c r="AV276" s="11" t="str">
        <f ca="1">BV!BG276</f>
        <v/>
      </c>
      <c r="AW276" s="11" t="str">
        <f ca="1">BV!BO276</f>
        <v/>
      </c>
      <c r="AX276" s="11" t="str">
        <f ca="1">BV!BW276</f>
        <v/>
      </c>
      <c r="AY276" s="62" t="s">
        <v>3</v>
      </c>
      <c r="AZ276" s="37">
        <f t="shared" si="125"/>
        <v>2.6179021603984447</v>
      </c>
      <c r="BA276" s="261">
        <v>2.4104484030000001E-3</v>
      </c>
      <c r="BB276" s="56">
        <v>2.6629438405999999E-2</v>
      </c>
      <c r="BC276" s="56">
        <f t="shared" si="119"/>
        <v>9.0518183907959959E-2</v>
      </c>
      <c r="BD276" s="13">
        <f ca="1">IF(BV!H276="","",INT(NOW()-BV!H276))</f>
        <v>375</v>
      </c>
      <c r="BE276" s="279">
        <f t="shared" si="120"/>
        <v>20.368126341265409</v>
      </c>
      <c r="BF276" s="301">
        <f ca="1">BV!G276</f>
        <v>44.357980802754334</v>
      </c>
      <c r="BG276" s="11" t="str">
        <f ca="1">BV!O276</f>
        <v/>
      </c>
      <c r="BH276" s="11" t="str">
        <f ca="1">BV!W276</f>
        <v/>
      </c>
      <c r="BI276" s="11" t="str">
        <f ca="1">BV!AE276</f>
        <v/>
      </c>
      <c r="BJ276" s="11" t="str">
        <f ca="1">BV!AM276</f>
        <v/>
      </c>
      <c r="BK276" s="11" t="str">
        <f ca="1">BV!AU276</f>
        <v/>
      </c>
      <c r="BL276" s="11" t="str">
        <f ca="1">BV!BC276</f>
        <v/>
      </c>
      <c r="BM276" s="11" t="str">
        <f ca="1">BV!BK276</f>
        <v/>
      </c>
      <c r="BN276" s="11" t="str">
        <f ca="1">BV!BS276</f>
        <v/>
      </c>
      <c r="BO276" s="11" t="str">
        <f ca="1">BV!CA276</f>
        <v/>
      </c>
      <c r="BP276" s="433">
        <v>134</v>
      </c>
      <c r="BQ276" s="11">
        <f ca="1">IFERROR(YEAR(OFFSET(BV!$H276,,(COLUMN()-69)*8)),"")</f>
        <v>2019</v>
      </c>
      <c r="BR276" s="11" t="str">
        <f ca="1">IFERROR(YEAR(OFFSET(BV!$H276,,(COLUMN()-69)*8)),"")</f>
        <v/>
      </c>
      <c r="BS276" s="11" t="str">
        <f ca="1">IFERROR(YEAR(OFFSET(BV!$H276,,(COLUMN()-69)*8)),"")</f>
        <v/>
      </c>
      <c r="BT276" s="11" t="str">
        <f ca="1">IFERROR(YEAR(OFFSET(BV!$H276,,(COLUMN()-69)*8)),"")</f>
        <v/>
      </c>
      <c r="BU276" s="11" t="str">
        <f ca="1">IFERROR(YEAR(OFFSET(BV!$H276,,(COLUMN()-69)*8)),"")</f>
        <v/>
      </c>
      <c r="BV276" s="11" t="str">
        <f ca="1">IFERROR(YEAR(OFFSET(BV!$H276,,(COLUMN()-69)*8)),"")</f>
        <v/>
      </c>
      <c r="BW276" s="11" t="str">
        <f ca="1">IFERROR(YEAR(OFFSET(BV!$H276,,(COLUMN()-69)*8)),"")</f>
        <v/>
      </c>
      <c r="BX276" s="11" t="str">
        <f ca="1">IFERROR(YEAR(OFFSET(BV!$H276,,(COLUMN()-69)*8)),"")</f>
        <v/>
      </c>
      <c r="BY276" s="11" t="str">
        <f ca="1">IFERROR(YEAR(OFFSET(BV!$H276,,(COLUMN()-69)*8)),"")</f>
        <v/>
      </c>
      <c r="BZ276" s="11" t="str">
        <f ca="1">IFERROR(YEAR(OFFSET(BV!$H276,,(COLUMN()-69)*8)),"")</f>
        <v/>
      </c>
    </row>
    <row r="277" spans="1:78" x14ac:dyDescent="0.25">
      <c r="A277" s="433">
        <v>135</v>
      </c>
      <c r="B277" s="300">
        <f ca="1">BV!D277</f>
        <v>2.1479713603818613</v>
      </c>
      <c r="C277" s="300">
        <f ca="1">BV!L277</f>
        <v>2.0224719101123596</v>
      </c>
      <c r="D277" s="300">
        <f ca="1">BV!T277</f>
        <v>2.0038592845480183</v>
      </c>
      <c r="E277" s="301">
        <f ca="1">BV!AB277</f>
        <v>1.9165247018739353</v>
      </c>
      <c r="F277" s="11" t="str">
        <f ca="1">BV!AJ277</f>
        <v/>
      </c>
      <c r="G277" s="11" t="str">
        <f ca="1">BV!AR277</f>
        <v/>
      </c>
      <c r="H277" s="11" t="str">
        <f ca="1">BV!AZ277</f>
        <v/>
      </c>
      <c r="I277" s="11" t="str">
        <f ca="1">BV!BH277</f>
        <v/>
      </c>
      <c r="J277" s="11" t="str">
        <f ca="1">BV!BP277</f>
        <v/>
      </c>
      <c r="K277" s="11" t="str">
        <f ca="1">BV!BX277</f>
        <v/>
      </c>
      <c r="L277" s="62" t="s">
        <v>64</v>
      </c>
      <c r="M277" s="261">
        <v>2.7109427859999999E-3</v>
      </c>
      <c r="N277" s="277">
        <f t="shared" ca="1" si="117"/>
        <v>19.206128225890183</v>
      </c>
      <c r="O277" s="24"/>
      <c r="P277" s="1"/>
      <c r="Q277" s="1"/>
      <c r="R277" s="1"/>
      <c r="S277" s="1"/>
      <c r="T277" s="1"/>
      <c r="U277" s="1"/>
      <c r="V277" s="1"/>
      <c r="W277" s="257"/>
      <c r="X277" s="257"/>
      <c r="Y277" s="257"/>
      <c r="Z277" s="257"/>
      <c r="AA277" s="620">
        <f ca="1">LARGE(Bvs!J$2:J$201,AG277)</f>
        <v>44168.148999999998</v>
      </c>
      <c r="AB277" s="620"/>
      <c r="AC277" s="11">
        <f ca="1">INDEX(Bvs!C$2:C$201,AH277)</f>
        <v>20</v>
      </c>
      <c r="AD277" s="597">
        <f ca="1">INDEX(Bvs!D$2:D$201,AH277)</f>
        <v>5.58</v>
      </c>
      <c r="AE277" s="597"/>
      <c r="AF277" s="11">
        <f ca="1">INDEX(Bvs!E$2:E$201,AH277)</f>
        <v>3.5842293906810037</v>
      </c>
      <c r="AG277" s="1">
        <v>5</v>
      </c>
      <c r="AH277" s="1">
        <f ca="1">MATCH(AA277,Bvs!J$2:J$201,0)</f>
        <v>148</v>
      </c>
      <c r="AI277" s="589">
        <f t="shared" ca="1" si="124"/>
        <v>50.886644765490423</v>
      </c>
      <c r="AJ277" s="589"/>
      <c r="AL277" s="315"/>
      <c r="AM277" s="315"/>
      <c r="AN277" s="433">
        <v>135</v>
      </c>
      <c r="AO277" s="298">
        <f ca="1">BV!C277</f>
        <v>62.85</v>
      </c>
      <c r="AP277" s="300">
        <f ca="1">BV!K277</f>
        <v>66.75</v>
      </c>
      <c r="AQ277" s="300">
        <f ca="1">BV!S277</f>
        <v>67.37</v>
      </c>
      <c r="AR277" s="301">
        <f ca="1">BV!AA277</f>
        <v>70.44</v>
      </c>
      <c r="AS277" s="11" t="str">
        <f ca="1">BV!AI277</f>
        <v/>
      </c>
      <c r="AT277" s="11" t="str">
        <f ca="1">BV!AQ277</f>
        <v/>
      </c>
      <c r="AU277" s="11" t="str">
        <f ca="1">BV!AY277</f>
        <v/>
      </c>
      <c r="AV277" s="11" t="str">
        <f ca="1">BV!BG277</f>
        <v/>
      </c>
      <c r="AW277" s="11" t="str">
        <f ca="1">BV!BO277</f>
        <v/>
      </c>
      <c r="AX277" s="11" t="str">
        <f ca="1">BV!BW277</f>
        <v/>
      </c>
      <c r="AY277" s="62" t="s">
        <v>3</v>
      </c>
      <c r="AZ277" s="37">
        <f t="shared" si="125"/>
        <v>2.5668796480361467</v>
      </c>
      <c r="BA277" s="261">
        <v>2.7109427859999999E-3</v>
      </c>
      <c r="BB277" s="56">
        <v>2.6629438405999999E-2</v>
      </c>
      <c r="BC277" s="56">
        <f t="shared" si="119"/>
        <v>0.10180247681788081</v>
      </c>
      <c r="BD277" s="13">
        <f ca="1">IF(BV!H277="","",INT(NOW()-BV!H277))</f>
        <v>177</v>
      </c>
      <c r="BE277" s="279">
        <f t="shared" si="120"/>
        <v>19.206128225890183</v>
      </c>
      <c r="BF277" s="300">
        <f ca="1">BV!G277</f>
        <v>51.487884049331576</v>
      </c>
      <c r="BG277" s="301">
        <f ca="1">BV!O277</f>
        <v>46.479009542891312</v>
      </c>
      <c r="BH277" s="301">
        <f ca="1">BV!W277</f>
        <v>45.754192319477518</v>
      </c>
      <c r="BI277" s="301">
        <f ca="1">BV!AE277</f>
        <v>42.41613898307078</v>
      </c>
      <c r="BJ277" s="11" t="str">
        <f ca="1">BV!AM277</f>
        <v/>
      </c>
      <c r="BK277" s="11" t="str">
        <f ca="1">BV!AU277</f>
        <v/>
      </c>
      <c r="BL277" s="11" t="str">
        <f ca="1">BV!BC277</f>
        <v/>
      </c>
      <c r="BM277" s="11" t="str">
        <f ca="1">BV!BK277</f>
        <v/>
      </c>
      <c r="BN277" s="11" t="str">
        <f ca="1">BV!BS277</f>
        <v/>
      </c>
      <c r="BO277" s="11" t="str">
        <f ca="1">BV!CA277</f>
        <v/>
      </c>
      <c r="BP277" s="433">
        <v>135</v>
      </c>
      <c r="BQ277" s="11">
        <f ca="1">IFERROR(YEAR(OFFSET(BV!$H277,,(COLUMN()-69)*8)),"")</f>
        <v>2020</v>
      </c>
      <c r="BR277" s="11">
        <f ca="1">IFERROR(YEAR(OFFSET(BV!$H277,,(COLUMN()-69)*8)),"")</f>
        <v>2020</v>
      </c>
      <c r="BS277" s="11">
        <f ca="1">IFERROR(YEAR(OFFSET(BV!$H277,,(COLUMN()-69)*8)),"")</f>
        <v>2020</v>
      </c>
      <c r="BT277" s="11">
        <f ca="1">IFERROR(YEAR(OFFSET(BV!$H277,,(COLUMN()-69)*8)),"")</f>
        <v>2019</v>
      </c>
      <c r="BU277" s="11" t="str">
        <f ca="1">IFERROR(YEAR(OFFSET(BV!$H277,,(COLUMN()-69)*8)),"")</f>
        <v/>
      </c>
      <c r="BV277" s="11" t="str">
        <f ca="1">IFERROR(YEAR(OFFSET(BV!$H277,,(COLUMN()-69)*8)),"")</f>
        <v/>
      </c>
      <c r="BW277" s="11" t="str">
        <f ca="1">IFERROR(YEAR(OFFSET(BV!$H277,,(COLUMN()-69)*8)),"")</f>
        <v/>
      </c>
      <c r="BX277" s="11" t="str">
        <f ca="1">IFERROR(YEAR(OFFSET(BV!$H277,,(COLUMN()-69)*8)),"")</f>
        <v/>
      </c>
      <c r="BY277" s="11" t="str">
        <f ca="1">IFERROR(YEAR(OFFSET(BV!$H277,,(COLUMN()-69)*8)),"")</f>
        <v/>
      </c>
      <c r="BZ277" s="11" t="str">
        <f ca="1">IFERROR(YEAR(OFFSET(BV!$H277,,(COLUMN()-69)*8)),"")</f>
        <v/>
      </c>
    </row>
    <row r="278" spans="1:78" x14ac:dyDescent="0.25">
      <c r="A278" s="433">
        <v>136</v>
      </c>
      <c r="B278" s="300">
        <f ca="1">BV!D278</f>
        <v>2.0466516177577123</v>
      </c>
      <c r="C278" s="301">
        <f ca="1">BV!L278</f>
        <v>1.9475869969926967</v>
      </c>
      <c r="D278" s="11" t="str">
        <f ca="1">BV!T278</f>
        <v/>
      </c>
      <c r="E278" s="11" t="str">
        <f ca="1">BV!AB278</f>
        <v/>
      </c>
      <c r="F278" s="11" t="str">
        <f ca="1">BV!AJ278</f>
        <v/>
      </c>
      <c r="G278" s="11" t="str">
        <f ca="1">BV!AR278</f>
        <v/>
      </c>
      <c r="H278" s="11" t="str">
        <f ca="1">BV!AZ278</f>
        <v/>
      </c>
      <c r="I278" s="11" t="str">
        <f ca="1">BV!BH278</f>
        <v/>
      </c>
      <c r="J278" s="11" t="str">
        <f ca="1">BV!BP278</f>
        <v/>
      </c>
      <c r="K278" s="11" t="str">
        <f ca="1">BV!BX278</f>
        <v/>
      </c>
      <c r="L278" s="62" t="s">
        <v>64</v>
      </c>
      <c r="M278" s="261">
        <v>3.0376807440000001E-3</v>
      </c>
      <c r="N278" s="277">
        <f t="shared" ca="1" si="117"/>
        <v>18.143828656108525</v>
      </c>
      <c r="O278" s="64"/>
      <c r="P278" s="1"/>
      <c r="Q278" s="1"/>
      <c r="R278" s="1"/>
      <c r="S278" s="1"/>
      <c r="T278" s="1"/>
      <c r="U278" s="1"/>
      <c r="V278" s="1"/>
      <c r="W278" s="257"/>
      <c r="X278" s="257"/>
      <c r="Y278" s="257"/>
      <c r="Z278" s="257"/>
      <c r="AA278" s="620">
        <f ca="1">LARGE(Bvs!J$2:J$201,AG278)</f>
        <v>44168.13</v>
      </c>
      <c r="AB278" s="620"/>
      <c r="AC278" s="11">
        <f ca="1">INDEX(Bvs!C$2:C$201,AH278)</f>
        <v>25</v>
      </c>
      <c r="AD278" s="597">
        <f ca="1">INDEX(Bvs!D$2:D$201,AH278)</f>
        <v>6.87</v>
      </c>
      <c r="AE278" s="597"/>
      <c r="AF278" s="11">
        <f ca="1">INDEX(Bvs!E$2:E$201,AH278)</f>
        <v>3.6390101892285296</v>
      </c>
      <c r="AG278" s="1">
        <v>6</v>
      </c>
      <c r="AH278" s="1">
        <f ca="1">MATCH(AA278,Bvs!J$2:J$201,0)</f>
        <v>129</v>
      </c>
      <c r="AI278" s="589">
        <f t="shared" ca="1" si="124"/>
        <v>44.66481244051338</v>
      </c>
      <c r="AJ278" s="589"/>
      <c r="AL278" s="315"/>
      <c r="AM278" s="315"/>
      <c r="AN278" s="433">
        <v>136</v>
      </c>
      <c r="AO278" s="299">
        <f ca="1">BV!C278</f>
        <v>66.45</v>
      </c>
      <c r="AP278" s="301">
        <f ca="1">BV!K278</f>
        <v>69.83</v>
      </c>
      <c r="AQ278" s="11" t="str">
        <f ca="1">BV!S278</f>
        <v/>
      </c>
      <c r="AR278" s="11" t="str">
        <f ca="1">BV!AA278</f>
        <v/>
      </c>
      <c r="AS278" s="11" t="str">
        <f ca="1">BV!AI278</f>
        <v/>
      </c>
      <c r="AT278" s="11" t="str">
        <f ca="1">BV!AQ278</f>
        <v/>
      </c>
      <c r="AU278" s="11" t="str">
        <f ca="1">BV!AY278</f>
        <v/>
      </c>
      <c r="AV278" s="11" t="str">
        <f ca="1">BV!BG278</f>
        <v/>
      </c>
      <c r="AW278" s="11" t="str">
        <f ca="1">BV!BO278</f>
        <v/>
      </c>
      <c r="AX278" s="11" t="str">
        <f ca="1">BV!BW278</f>
        <v/>
      </c>
      <c r="AY278" s="62" t="s">
        <v>3</v>
      </c>
      <c r="AZ278" s="37">
        <f t="shared" si="125"/>
        <v>2.5174578718178271</v>
      </c>
      <c r="BA278" s="261">
        <v>3.0376807440000001E-3</v>
      </c>
      <c r="BB278" s="56">
        <v>2.6629438405999999E-2</v>
      </c>
      <c r="BC278" s="56">
        <f t="shared" si="119"/>
        <v>0.11407227962102147</v>
      </c>
      <c r="BD278" s="13">
        <f ca="1">IF(BV!H278="","",INT(NOW()-BV!H278))</f>
        <v>96</v>
      </c>
      <c r="BE278" s="279">
        <f t="shared" si="120"/>
        <v>18.143828656108525</v>
      </c>
      <c r="BF278" s="301">
        <f ca="1">BV!G278</f>
        <v>47.183232267314224</v>
      </c>
      <c r="BG278" s="301">
        <f ca="1">BV!O278</f>
        <v>43.366831467417207</v>
      </c>
      <c r="BH278" s="11" t="str">
        <f ca="1">BV!W278</f>
        <v/>
      </c>
      <c r="BI278" s="11" t="str">
        <f ca="1">BV!AE278</f>
        <v/>
      </c>
      <c r="BJ278" s="11" t="str">
        <f ca="1">BV!AM278</f>
        <v/>
      </c>
      <c r="BK278" s="11" t="str">
        <f ca="1">BV!AU278</f>
        <v/>
      </c>
      <c r="BL278" s="11" t="str">
        <f ca="1">BV!BC278</f>
        <v/>
      </c>
      <c r="BM278" s="11" t="str">
        <f ca="1">BV!BK278</f>
        <v/>
      </c>
      <c r="BN278" s="11" t="str">
        <f ca="1">BV!BS278</f>
        <v/>
      </c>
      <c r="BO278" s="11" t="str">
        <f ca="1">BV!CA278</f>
        <v/>
      </c>
      <c r="BP278" s="433">
        <v>136</v>
      </c>
      <c r="BQ278" s="11">
        <f ca="1">IFERROR(YEAR(OFFSET(BV!$H278,,(COLUMN()-69)*8)),"")</f>
        <v>2020</v>
      </c>
      <c r="BR278" s="11">
        <f ca="1">IFERROR(YEAR(OFFSET(BV!$H278,,(COLUMN()-69)*8)),"")</f>
        <v>2020</v>
      </c>
      <c r="BS278" s="11" t="str">
        <f ca="1">IFERROR(YEAR(OFFSET(BV!$H278,,(COLUMN()-69)*8)),"")</f>
        <v/>
      </c>
      <c r="BT278" s="11" t="str">
        <f ca="1">IFERROR(YEAR(OFFSET(BV!$H278,,(COLUMN()-69)*8)),"")</f>
        <v/>
      </c>
      <c r="BU278" s="11" t="str">
        <f ca="1">IFERROR(YEAR(OFFSET(BV!$H278,,(COLUMN()-69)*8)),"")</f>
        <v/>
      </c>
      <c r="BV278" s="11" t="str">
        <f ca="1">IFERROR(YEAR(OFFSET(BV!$H278,,(COLUMN()-69)*8)),"")</f>
        <v/>
      </c>
      <c r="BW278" s="11" t="str">
        <f ca="1">IFERROR(YEAR(OFFSET(BV!$H278,,(COLUMN()-69)*8)),"")</f>
        <v/>
      </c>
      <c r="BX278" s="11" t="str">
        <f ca="1">IFERROR(YEAR(OFFSET(BV!$H278,,(COLUMN()-69)*8)),"")</f>
        <v/>
      </c>
      <c r="BY278" s="11" t="str">
        <f ca="1">IFERROR(YEAR(OFFSET(BV!$H278,,(COLUMN()-69)*8)),"")</f>
        <v/>
      </c>
      <c r="BZ278" s="11" t="str">
        <f ca="1">IFERROR(YEAR(OFFSET(BV!$H278,,(COLUMN()-69)*8)),"")</f>
        <v/>
      </c>
    </row>
    <row r="279" spans="1:78" x14ac:dyDescent="0.25">
      <c r="A279" s="433">
        <v>137</v>
      </c>
      <c r="B279" s="300">
        <f ca="1">BV!D279</f>
        <v>2.1279900590245417</v>
      </c>
      <c r="C279" s="300">
        <f ca="1">BV!L279</f>
        <v>2.0776463451622686</v>
      </c>
      <c r="D279" s="300">
        <f ca="1">BV!T279</f>
        <v>2.0763867838739012</v>
      </c>
      <c r="E279" s="300">
        <f ca="1">BV!AB279</f>
        <v>2.0754431146795937</v>
      </c>
      <c r="F279" s="11" t="str">
        <f ca="1">BV!AJ279</f>
        <v/>
      </c>
      <c r="G279" s="11" t="str">
        <f ca="1">BV!AR279</f>
        <v/>
      </c>
      <c r="H279" s="11" t="str">
        <f ca="1">BV!AZ279</f>
        <v/>
      </c>
      <c r="I279" s="11" t="str">
        <f ca="1">BV!BH279</f>
        <v/>
      </c>
      <c r="J279" s="11" t="str">
        <f ca="1">BV!BP279</f>
        <v/>
      </c>
      <c r="K279" s="11" t="str">
        <f ca="1">BV!BX279</f>
        <v/>
      </c>
      <c r="L279" s="62" t="s">
        <v>64</v>
      </c>
      <c r="M279" s="261">
        <v>3.3912384020000001E-3</v>
      </c>
      <c r="N279" s="277">
        <f t="shared" ca="1" si="117"/>
        <v>17.171998396566607</v>
      </c>
      <c r="O279" s="4" t="str">
        <f t="shared" ref="O279:Y279" si="126">O1</f>
        <v>分段</v>
      </c>
      <c r="P279" s="4" t="str">
        <f t="shared" si="126"/>
        <v>1st</v>
      </c>
      <c r="Q279" s="4" t="str">
        <f t="shared" si="126"/>
        <v>2nd</v>
      </c>
      <c r="R279" s="4" t="str">
        <f t="shared" si="126"/>
        <v>3rd</v>
      </c>
      <c r="S279" s="4" t="str">
        <f t="shared" si="126"/>
        <v>4th</v>
      </c>
      <c r="T279" s="4" t="str">
        <f t="shared" si="126"/>
        <v>5th</v>
      </c>
      <c r="U279" s="4" t="str">
        <f t="shared" si="126"/>
        <v>6th</v>
      </c>
      <c r="V279" s="4" t="str">
        <f t="shared" si="126"/>
        <v>7th</v>
      </c>
      <c r="W279" s="49" t="str">
        <f t="shared" si="126"/>
        <v>8th</v>
      </c>
      <c r="X279" s="4" t="str">
        <f t="shared" si="126"/>
        <v>9th</v>
      </c>
      <c r="Y279" s="4" t="str">
        <f t="shared" si="126"/>
        <v>10th</v>
      </c>
      <c r="Z279" s="332" t="str">
        <f>Z1</f>
        <v>求和</v>
      </c>
      <c r="AA279" s="620">
        <f ca="1">LARGE(Bvs!J$2:J$201,AG279)</f>
        <v>44168.118999999999</v>
      </c>
      <c r="AB279" s="620"/>
      <c r="AC279" s="11">
        <f ca="1">INDEX(Bvs!C$2:C$201,AH279)</f>
        <v>21</v>
      </c>
      <c r="AD279" s="597">
        <f ca="1">INDEX(Bvs!D$2:D$201,AH279)</f>
        <v>5.73</v>
      </c>
      <c r="AE279" s="597"/>
      <c r="AF279" s="11">
        <f ca="1">INDEX(Bvs!E$2:E$201,AH279)</f>
        <v>3.664921465968586</v>
      </c>
      <c r="AG279" s="1">
        <v>7</v>
      </c>
      <c r="AH279" s="1">
        <f ca="1">MATCH(AA279,Bvs!J$2:J$201,0)</f>
        <v>118</v>
      </c>
      <c r="AI279" s="589">
        <f t="shared" ca="1" si="124"/>
        <v>51.075002472529874</v>
      </c>
      <c r="AJ279" s="589"/>
      <c r="AL279" s="315"/>
      <c r="AM279" s="315"/>
      <c r="AN279" s="433">
        <v>137</v>
      </c>
      <c r="AO279" s="299">
        <f ca="1">BV!C279</f>
        <v>64.38</v>
      </c>
      <c r="AP279" s="299">
        <f ca="1">BV!K279</f>
        <v>65.94</v>
      </c>
      <c r="AQ279" s="299">
        <f ca="1">BV!S279</f>
        <v>65.98</v>
      </c>
      <c r="AR279" s="299">
        <f ca="1">BV!AA279</f>
        <v>66.010000000000005</v>
      </c>
      <c r="AS279" s="11" t="str">
        <f ca="1">BV!AI279</f>
        <v/>
      </c>
      <c r="AT279" s="11" t="str">
        <f ca="1">BV!AQ279</f>
        <v/>
      </c>
      <c r="AU279" s="11" t="str">
        <f ca="1">BV!AY279</f>
        <v/>
      </c>
      <c r="AV279" s="11" t="str">
        <f ca="1">BV!BG279</f>
        <v/>
      </c>
      <c r="AW279" s="11" t="str">
        <f ca="1">BV!BO279</f>
        <v/>
      </c>
      <c r="AX279" s="11" t="str">
        <f ca="1">BV!BW279</f>
        <v/>
      </c>
      <c r="AY279" s="62" t="s">
        <v>3</v>
      </c>
      <c r="AZ279" s="37">
        <f t="shared" si="125"/>
        <v>2.4696416785104107</v>
      </c>
      <c r="BA279" s="261">
        <v>3.3912384020000001E-3</v>
      </c>
      <c r="BB279" s="56">
        <v>2.6629438405999999E-2</v>
      </c>
      <c r="BC279" s="56">
        <f t="shared" si="119"/>
        <v>0.1273492272084831</v>
      </c>
      <c r="BD279" s="13">
        <f ca="1">IF(BV!H279="","",INT(NOW()-BV!H279))</f>
        <v>126</v>
      </c>
      <c r="BE279" s="279">
        <f t="shared" si="120"/>
        <v>17.171998396566607</v>
      </c>
      <c r="BF279" s="300">
        <f ca="1">BV!G279</f>
        <v>50.157302240020655</v>
      </c>
      <c r="BG279" s="301">
        <f ca="1">BV!O279</f>
        <v>48.156799911410012</v>
      </c>
      <c r="BH279" s="301">
        <f ca="1">BV!W279</f>
        <v>48.107179306439846</v>
      </c>
      <c r="BI279" s="301">
        <f ca="1">BV!AE279</f>
        <v>48.070017120985227</v>
      </c>
      <c r="BJ279" s="11" t="str">
        <f ca="1">BV!AM279</f>
        <v/>
      </c>
      <c r="BK279" s="11" t="str">
        <f ca="1">BV!AU279</f>
        <v/>
      </c>
      <c r="BL279" s="11" t="str">
        <f ca="1">BV!BC279</f>
        <v/>
      </c>
      <c r="BM279" s="11" t="str">
        <f ca="1">BV!BK279</f>
        <v/>
      </c>
      <c r="BN279" s="11" t="str">
        <f ca="1">BV!BS279</f>
        <v/>
      </c>
      <c r="BO279" s="11" t="str">
        <f ca="1">BV!CA279</f>
        <v/>
      </c>
      <c r="BP279" s="433">
        <v>137</v>
      </c>
      <c r="BQ279" s="11">
        <f ca="1">IFERROR(YEAR(OFFSET(BV!$H279,,(COLUMN()-69)*8)),"")</f>
        <v>2020</v>
      </c>
      <c r="BR279" s="11">
        <f ca="1">IFERROR(YEAR(OFFSET(BV!$H279,,(COLUMN()-69)*8)),"")</f>
        <v>2020</v>
      </c>
      <c r="BS279" s="11">
        <f ca="1">IFERROR(YEAR(OFFSET(BV!$H279,,(COLUMN()-69)*8)),"")</f>
        <v>2020</v>
      </c>
      <c r="BT279" s="11">
        <f ca="1">IFERROR(YEAR(OFFSET(BV!$H279,,(COLUMN()-69)*8)),"")</f>
        <v>2020</v>
      </c>
      <c r="BU279" s="11" t="str">
        <f ca="1">IFERROR(YEAR(OFFSET(BV!$H279,,(COLUMN()-69)*8)),"")</f>
        <v/>
      </c>
      <c r="BV279" s="11" t="str">
        <f ca="1">IFERROR(YEAR(OFFSET(BV!$H279,,(COLUMN()-69)*8)),"")</f>
        <v/>
      </c>
      <c r="BW279" s="11" t="str">
        <f ca="1">IFERROR(YEAR(OFFSET(BV!$H279,,(COLUMN()-69)*8)),"")</f>
        <v/>
      </c>
      <c r="BX279" s="11" t="str">
        <f ca="1">IFERROR(YEAR(OFFSET(BV!$H279,,(COLUMN()-69)*8)),"")</f>
        <v/>
      </c>
      <c r="BY279" s="11" t="str">
        <f ca="1">IFERROR(YEAR(OFFSET(BV!$H279,,(COLUMN()-69)*8)),"")</f>
        <v/>
      </c>
      <c r="BZ279" s="11" t="str">
        <f ca="1">IFERROR(YEAR(OFFSET(BV!$H279,,(COLUMN()-69)*8)),"")</f>
        <v/>
      </c>
    </row>
    <row r="280" spans="1:78" x14ac:dyDescent="0.25">
      <c r="A280" s="433">
        <v>138</v>
      </c>
      <c r="B280" s="300">
        <f ca="1">BV!D280</f>
        <v>2.2279625443978044</v>
      </c>
      <c r="C280" s="300">
        <f ca="1">BV!L280</f>
        <v>2.0966271649954424</v>
      </c>
      <c r="D280" s="300">
        <f ca="1">BV!T280</f>
        <v>2.0508247882300488</v>
      </c>
      <c r="E280" s="300">
        <f ca="1">BV!AB280</f>
        <v>2.0438388625592419</v>
      </c>
      <c r="F280" s="300">
        <f ca="1">BV!AJ280</f>
        <v>2.0423264762468554</v>
      </c>
      <c r="G280" s="301">
        <f ca="1">BV!AR280</f>
        <v>1.9414743950478335</v>
      </c>
      <c r="H280" s="301">
        <f ca="1">BV!AZ280</f>
        <v>1.6027874564459932</v>
      </c>
      <c r="I280" s="11" t="str">
        <f ca="1">BV!BH280</f>
        <v/>
      </c>
      <c r="J280" s="11" t="str">
        <f ca="1">BV!BP280</f>
        <v/>
      </c>
      <c r="K280" s="11" t="str">
        <f ca="1">BV!BX280</f>
        <v/>
      </c>
      <c r="L280" s="62" t="s">
        <v>64</v>
      </c>
      <c r="M280" s="261">
        <v>3.7721446389999999E-3</v>
      </c>
      <c r="N280" s="277">
        <f t="shared" ca="1" si="117"/>
        <v>16.281928059789969</v>
      </c>
      <c r="O280" s="263" t="s">
        <v>11</v>
      </c>
      <c r="P280" s="297">
        <f t="shared" ref="P280:Y280" ca="1" si="127">COUNTIF(B2:B9,"&gt;0")</f>
        <v>7</v>
      </c>
      <c r="Q280" s="297">
        <f t="shared" ca="1" si="127"/>
        <v>7</v>
      </c>
      <c r="R280" s="299">
        <f t="shared" ca="1" si="127"/>
        <v>6</v>
      </c>
      <c r="S280" s="301">
        <f t="shared" ca="1" si="127"/>
        <v>5</v>
      </c>
      <c r="T280" s="301">
        <f t="shared" ca="1" si="127"/>
        <v>5</v>
      </c>
      <c r="U280" s="301">
        <f t="shared" ca="1" si="127"/>
        <v>5</v>
      </c>
      <c r="V280" s="301">
        <f t="shared" ca="1" si="127"/>
        <v>5</v>
      </c>
      <c r="W280" s="710">
        <f t="shared" ca="1" si="127"/>
        <v>4</v>
      </c>
      <c r="X280" s="301">
        <f t="shared" ca="1" si="127"/>
        <v>4</v>
      </c>
      <c r="Y280" s="302">
        <f t="shared" ca="1" si="127"/>
        <v>3</v>
      </c>
      <c r="Z280" s="213">
        <f t="shared" ref="Z280:Z306" ca="1" si="128">SUM(P280:Y280)</f>
        <v>51</v>
      </c>
      <c r="AA280" s="620">
        <f ca="1">LARGE(Bvs!J$2:J$201,AG280)</f>
        <v>44168.108</v>
      </c>
      <c r="AB280" s="620"/>
      <c r="AC280" s="11">
        <f ca="1">INDEX(Bvs!C$2:C$201,AH280)</f>
        <v>24</v>
      </c>
      <c r="AD280" s="597">
        <f ca="1">INDEX(Bvs!D$2:D$201,AH280)</f>
        <v>6.52</v>
      </c>
      <c r="AE280" s="597"/>
      <c r="AF280" s="11">
        <f ca="1">INDEX(Bvs!E$2:E$201,AH280)</f>
        <v>3.6809815950920246</v>
      </c>
      <c r="AG280" s="1">
        <v>8</v>
      </c>
      <c r="AH280" s="1">
        <f ca="1">MATCH(AA280,Bvs!J$2:J$201,0)</f>
        <v>107</v>
      </c>
      <c r="AI280" s="589">
        <f t="shared" ca="1" si="124"/>
        <v>46.864316557658505</v>
      </c>
      <c r="AJ280" s="589"/>
      <c r="AL280" s="315"/>
      <c r="AM280" s="315"/>
      <c r="AN280" s="433">
        <v>138</v>
      </c>
      <c r="AO280" s="298">
        <f ca="1">BV!C280</f>
        <v>61.94</v>
      </c>
      <c r="AP280" s="299">
        <f ca="1">BV!K280</f>
        <v>65.819999999999993</v>
      </c>
      <c r="AQ280" s="300">
        <f ca="1">BV!S280</f>
        <v>67.290000000000006</v>
      </c>
      <c r="AR280" s="300">
        <f ca="1">BV!AA280</f>
        <v>67.52</v>
      </c>
      <c r="AS280" s="300">
        <f ca="1">BV!AI280</f>
        <v>67.569999999999993</v>
      </c>
      <c r="AT280" s="301">
        <f ca="1">BV!AQ280</f>
        <v>71.08</v>
      </c>
      <c r="AU280" s="659">
        <f ca="1">BV!AY280</f>
        <v>86.1</v>
      </c>
      <c r="AV280" s="11" t="str">
        <f ca="1">BV!BG280</f>
        <v/>
      </c>
      <c r="AW280" s="11" t="str">
        <f ca="1">BV!BO280</f>
        <v/>
      </c>
      <c r="AX280" s="11" t="str">
        <f ca="1">BV!BW280</f>
        <v/>
      </c>
      <c r="AY280" s="62" t="s">
        <v>3</v>
      </c>
      <c r="AZ280" s="37">
        <f t="shared" si="125"/>
        <v>2.4234116630409535</v>
      </c>
      <c r="BA280" s="261">
        <v>3.7721446389999999E-3</v>
      </c>
      <c r="BB280" s="56">
        <v>2.6629438405999999E-2</v>
      </c>
      <c r="BC280" s="56">
        <f t="shared" si="119"/>
        <v>0.14165318026947504</v>
      </c>
      <c r="BD280" s="13">
        <f ca="1">IF(BV!H280="","",INT(NOW()-BV!H280))</f>
        <v>192</v>
      </c>
      <c r="BE280" s="279">
        <f t="shared" si="120"/>
        <v>16.281928059789969</v>
      </c>
      <c r="BF280" s="300">
        <f ca="1">BV!G280</f>
        <v>53.95333565158824</v>
      </c>
      <c r="BG280" s="301">
        <f ca="1">BV!O280</f>
        <v>48.658750123741243</v>
      </c>
      <c r="BH280" s="301">
        <f ca="1">BV!W280</f>
        <v>46.865520375679957</v>
      </c>
      <c r="BI280" s="301">
        <f ca="1">BV!AE280</f>
        <v>46.594451597182733</v>
      </c>
      <c r="BJ280" s="301">
        <f ca="1">BV!AM280</f>
        <v>46.53585306869504</v>
      </c>
      <c r="BK280" s="301">
        <f ca="1">BV!AU280</f>
        <v>42.697134468081224</v>
      </c>
      <c r="BL280" s="302">
        <f ca="1">BV!BC280</f>
        <v>30.822224845564712</v>
      </c>
      <c r="BM280" s="11" t="str">
        <f ca="1">BV!BK280</f>
        <v/>
      </c>
      <c r="BN280" s="11" t="str">
        <f ca="1">BV!BS280</f>
        <v/>
      </c>
      <c r="BO280" s="11" t="str">
        <f ca="1">BV!CA280</f>
        <v/>
      </c>
      <c r="BP280" s="433">
        <v>138</v>
      </c>
      <c r="BQ280" s="11">
        <f ca="1">IFERROR(YEAR(OFFSET(BV!$H280,,(COLUMN()-69)*8)),"")</f>
        <v>2020</v>
      </c>
      <c r="BR280" s="11">
        <f ca="1">IFERROR(YEAR(OFFSET(BV!$H280,,(COLUMN()-69)*8)),"")</f>
        <v>2020</v>
      </c>
      <c r="BS280" s="11">
        <f ca="1">IFERROR(YEAR(OFFSET(BV!$H280,,(COLUMN()-69)*8)),"")</f>
        <v>2020</v>
      </c>
      <c r="BT280" s="11">
        <f ca="1">IFERROR(YEAR(OFFSET(BV!$H280,,(COLUMN()-69)*8)),"")</f>
        <v>2020</v>
      </c>
      <c r="BU280" s="11">
        <f ca="1">IFERROR(YEAR(OFFSET(BV!$H280,,(COLUMN()-69)*8)),"")</f>
        <v>2019</v>
      </c>
      <c r="BV280" s="11">
        <f ca="1">IFERROR(YEAR(OFFSET(BV!$H280,,(COLUMN()-69)*8)),"")</f>
        <v>2020</v>
      </c>
      <c r="BW280" s="11">
        <f ca="1">IFERROR(YEAR(OFFSET(BV!$H280,,(COLUMN()-69)*8)),"")</f>
        <v>2019</v>
      </c>
      <c r="BX280" s="11" t="str">
        <f ca="1">IFERROR(YEAR(OFFSET(BV!$H280,,(COLUMN()-69)*8)),"")</f>
        <v/>
      </c>
      <c r="BY280" s="11" t="str">
        <f ca="1">IFERROR(YEAR(OFFSET(BV!$H280,,(COLUMN()-69)*8)),"")</f>
        <v/>
      </c>
      <c r="BZ280" s="11" t="str">
        <f ca="1">IFERROR(YEAR(OFFSET(BV!$H280,,(COLUMN()-69)*8)),"")</f>
        <v/>
      </c>
    </row>
    <row r="281" spans="1:78" x14ac:dyDescent="0.25">
      <c r="A281" s="433">
        <v>139</v>
      </c>
      <c r="B281" s="300">
        <f ca="1">BV!D281</f>
        <v>2.2354454808620137</v>
      </c>
      <c r="C281" s="300">
        <f ca="1">BV!L281</f>
        <v>2.1185794848346289</v>
      </c>
      <c r="D281" s="300">
        <f ca="1">BV!T281</f>
        <v>2.0721526535480024</v>
      </c>
      <c r="E281" s="300">
        <f ca="1">BV!AB281</f>
        <v>2.0592592592592593</v>
      </c>
      <c r="F281" s="300">
        <f ca="1">BV!AJ281</f>
        <v>2.0194682551213132</v>
      </c>
      <c r="G281" s="301">
        <f ca="1">BV!AR281</f>
        <v>1.8824485373781148</v>
      </c>
      <c r="H281" s="301">
        <f ca="1">BV!AZ281</f>
        <v>1.8523454157782515</v>
      </c>
      <c r="I281" s="301">
        <f ca="1">BV!BH281</f>
        <v>1.5962333486449243</v>
      </c>
      <c r="J281" s="11" t="str">
        <f ca="1">BV!BP281</f>
        <v/>
      </c>
      <c r="K281" s="11" t="str">
        <f ca="1">BV!BX281</f>
        <v/>
      </c>
      <c r="L281" s="62" t="s">
        <v>64</v>
      </c>
      <c r="M281" s="261">
        <v>4.1808665920000003E-3</v>
      </c>
      <c r="N281" s="277">
        <f t="shared" ca="1" si="117"/>
        <v>15.465602551325235</v>
      </c>
      <c r="O281" s="31" t="s">
        <v>12</v>
      </c>
      <c r="P281" s="555">
        <f t="shared" ref="P281:Y281" ca="1" si="129">COUNTIF(B10:B19,"&gt;0")</f>
        <v>10</v>
      </c>
      <c r="Q281" s="555">
        <f t="shared" ca="1" si="129"/>
        <v>10</v>
      </c>
      <c r="R281" s="555">
        <f t="shared" ca="1" si="129"/>
        <v>10</v>
      </c>
      <c r="S281" s="555">
        <f t="shared" ca="1" si="129"/>
        <v>10</v>
      </c>
      <c r="T281" s="555">
        <f t="shared" ca="1" si="129"/>
        <v>10</v>
      </c>
      <c r="U281" s="555">
        <f t="shared" ca="1" si="129"/>
        <v>10</v>
      </c>
      <c r="V281" s="555">
        <f t="shared" ca="1" si="129"/>
        <v>10</v>
      </c>
      <c r="W281" s="711">
        <f t="shared" ca="1" si="129"/>
        <v>10</v>
      </c>
      <c r="X281" s="555">
        <f t="shared" ca="1" si="129"/>
        <v>10</v>
      </c>
      <c r="Y281" s="555">
        <f t="shared" ca="1" si="129"/>
        <v>10</v>
      </c>
      <c r="Z281" s="213">
        <f t="shared" ca="1" si="128"/>
        <v>100</v>
      </c>
      <c r="AA281" s="620">
        <f ca="1">LARGE(Bvs!J$2:J$201,AG281)</f>
        <v>44168.093000000001</v>
      </c>
      <c r="AB281" s="620"/>
      <c r="AC281" s="11">
        <f ca="1">INDEX(Bvs!C$2:C$201,AH281)</f>
        <v>15</v>
      </c>
      <c r="AD281" s="597">
        <f ca="1">INDEX(Bvs!D$2:D$201,AH281)</f>
        <v>4.03</v>
      </c>
      <c r="AE281" s="597"/>
      <c r="AF281" s="11">
        <f ca="1">INDEX(Bvs!E$2:E$201,AH281)</f>
        <v>3.7220843672456572</v>
      </c>
      <c r="AG281" s="1">
        <v>9</v>
      </c>
      <c r="AH281" s="1">
        <f ca="1">MATCH(AA281,Bvs!J$2:J$201,0)</f>
        <v>92</v>
      </c>
      <c r="AI281" s="589">
        <f t="shared" ca="1" si="124"/>
        <v>66.362790514966761</v>
      </c>
      <c r="AJ281" s="589"/>
      <c r="AL281" s="315"/>
      <c r="AM281" s="315"/>
      <c r="AN281" s="433">
        <v>139</v>
      </c>
      <c r="AO281" s="298">
        <f ca="1">BV!C281</f>
        <v>62.18</v>
      </c>
      <c r="AP281" s="299">
        <f ca="1">BV!K281</f>
        <v>65.61</v>
      </c>
      <c r="AQ281" s="300">
        <f ca="1">BV!S281</f>
        <v>67.08</v>
      </c>
      <c r="AR281" s="300">
        <f ca="1">BV!AA281</f>
        <v>67.5</v>
      </c>
      <c r="AS281" s="300">
        <f ca="1">BV!AI281</f>
        <v>68.83</v>
      </c>
      <c r="AT281" s="301">
        <f ca="1">BV!AQ281</f>
        <v>73.84</v>
      </c>
      <c r="AU281" s="302">
        <f ca="1">BV!AY281</f>
        <v>75.040000000000006</v>
      </c>
      <c r="AV281" s="659">
        <f ca="1">BV!BG281</f>
        <v>87.08</v>
      </c>
      <c r="AW281" s="11" t="str">
        <f ca="1">BV!BO281</f>
        <v/>
      </c>
      <c r="AX281" s="11" t="str">
        <f ca="1">BV!BW281</f>
        <v/>
      </c>
      <c r="AY281" s="62" t="s">
        <v>3</v>
      </c>
      <c r="AZ281" s="37">
        <f t="shared" si="125"/>
        <v>2.3787336902067282</v>
      </c>
      <c r="BA281" s="261">
        <v>4.1808665920000003E-3</v>
      </c>
      <c r="BB281" s="56">
        <v>2.6629438405999999E-2</v>
      </c>
      <c r="BC281" s="56">
        <f t="shared" si="119"/>
        <v>0.15700168093135566</v>
      </c>
      <c r="BD281" s="13">
        <f ca="1">IF(BV!H281="","",INT(NOW()-BV!H281))</f>
        <v>114</v>
      </c>
      <c r="BE281" s="279">
        <f t="shared" si="120"/>
        <v>15.465602551325233</v>
      </c>
      <c r="BF281" s="300">
        <f ca="1">BV!G281</f>
        <v>53.988198435863083</v>
      </c>
      <c r="BG281" s="301">
        <f ca="1">BV!O281</f>
        <v>49.278331118457011</v>
      </c>
      <c r="BH281" s="301">
        <f ca="1">BV!W281</f>
        <v>47.456626626841356</v>
      </c>
      <c r="BI281" s="301">
        <f ca="1">BV!AE281</f>
        <v>46.955734871095238</v>
      </c>
      <c r="BJ281" s="301">
        <f ca="1">BV!AM281</f>
        <v>45.423735607616997</v>
      </c>
      <c r="BK281" s="301">
        <f ca="1">BV!AU281</f>
        <v>40.309664727299364</v>
      </c>
      <c r="BL281" s="301">
        <f ca="1">BV!BC281</f>
        <v>39.219969577550437</v>
      </c>
      <c r="BM281" s="302">
        <f ca="1">BV!BK281</f>
        <v>30.453957755031663</v>
      </c>
      <c r="BN281" s="11" t="str">
        <f ca="1">BV!BS281</f>
        <v/>
      </c>
      <c r="BO281" s="11" t="str">
        <f ca="1">BV!CA281</f>
        <v/>
      </c>
      <c r="BP281" s="433">
        <v>139</v>
      </c>
      <c r="BQ281" s="11">
        <f ca="1">IFERROR(YEAR(OFFSET(BV!$H281,,(COLUMN()-69)*8)),"")</f>
        <v>2020</v>
      </c>
      <c r="BR281" s="11">
        <f ca="1">IFERROR(YEAR(OFFSET(BV!$H281,,(COLUMN()-69)*8)),"")</f>
        <v>2020</v>
      </c>
      <c r="BS281" s="11">
        <f ca="1">IFERROR(YEAR(OFFSET(BV!$H281,,(COLUMN()-69)*8)),"")</f>
        <v>2020</v>
      </c>
      <c r="BT281" s="11">
        <f ca="1">IFERROR(YEAR(OFFSET(BV!$H281,,(COLUMN()-69)*8)),"")</f>
        <v>2020</v>
      </c>
      <c r="BU281" s="11">
        <f ca="1">IFERROR(YEAR(OFFSET(BV!$H281,,(COLUMN()-69)*8)),"")</f>
        <v>2019</v>
      </c>
      <c r="BV281" s="11">
        <f ca="1">IFERROR(YEAR(OFFSET(BV!$H281,,(COLUMN()-69)*8)),"")</f>
        <v>2020</v>
      </c>
      <c r="BW281" s="11">
        <f ca="1">IFERROR(YEAR(OFFSET(BV!$H281,,(COLUMN()-69)*8)),"")</f>
        <v>2019</v>
      </c>
      <c r="BX281" s="11">
        <f ca="1">IFERROR(YEAR(OFFSET(BV!$H281,,(COLUMN()-69)*8)),"")</f>
        <v>2019</v>
      </c>
      <c r="BY281" s="11" t="str">
        <f ca="1">IFERROR(YEAR(OFFSET(BV!$H281,,(COLUMN()-69)*8)),"")</f>
        <v/>
      </c>
      <c r="BZ281" s="11" t="str">
        <f ca="1">IFERROR(YEAR(OFFSET(BV!$H281,,(COLUMN()-69)*8)),"")</f>
        <v/>
      </c>
    </row>
    <row r="282" spans="1:78" x14ac:dyDescent="0.25">
      <c r="A282" s="433">
        <v>140</v>
      </c>
      <c r="B282" s="299">
        <f ca="1">BV!D282</f>
        <v>2.2849681736575809</v>
      </c>
      <c r="C282" s="301">
        <f ca="1">BV!L282</f>
        <v>1.8983050847457628</v>
      </c>
      <c r="D282" s="11" t="str">
        <f ca="1">BV!T282</f>
        <v/>
      </c>
      <c r="E282" s="11" t="str">
        <f ca="1">BV!AB282</f>
        <v/>
      </c>
      <c r="F282" s="11" t="str">
        <f ca="1">BV!AJ282</f>
        <v/>
      </c>
      <c r="G282" s="11" t="str">
        <f ca="1">BV!AR282</f>
        <v/>
      </c>
      <c r="H282" s="11" t="str">
        <f ca="1">BV!AZ282</f>
        <v/>
      </c>
      <c r="I282" s="11" t="str">
        <f ca="1">BV!BH282</f>
        <v/>
      </c>
      <c r="J282" s="11" t="str">
        <f ca="1">BV!BP282</f>
        <v/>
      </c>
      <c r="K282" s="11" t="str">
        <f ca="1">BV!BX282</f>
        <v/>
      </c>
      <c r="L282" s="62" t="s">
        <v>64</v>
      </c>
      <c r="M282" s="261">
        <v>4.6173366579999996E-3</v>
      </c>
      <c r="N282" s="277">
        <f t="shared" ca="1" si="117"/>
        <v>14.716489657917528</v>
      </c>
      <c r="O282" s="31" t="s">
        <v>13</v>
      </c>
      <c r="P282" s="555">
        <f t="shared" ref="P282:Y282" ca="1" si="130">COUNTIF(B20:B29,"&gt;0")</f>
        <v>10</v>
      </c>
      <c r="Q282" s="555">
        <f t="shared" ca="1" si="130"/>
        <v>10</v>
      </c>
      <c r="R282" s="555">
        <f t="shared" ca="1" si="130"/>
        <v>10</v>
      </c>
      <c r="S282" s="555">
        <f t="shared" ca="1" si="130"/>
        <v>10</v>
      </c>
      <c r="T282" s="555">
        <f t="shared" ca="1" si="130"/>
        <v>10</v>
      </c>
      <c r="U282" s="555">
        <f t="shared" ca="1" si="130"/>
        <v>10</v>
      </c>
      <c r="V282" s="555">
        <f t="shared" ca="1" si="130"/>
        <v>10</v>
      </c>
      <c r="W282" s="711">
        <f t="shared" ca="1" si="130"/>
        <v>10</v>
      </c>
      <c r="X282" s="555">
        <f t="shared" ca="1" si="130"/>
        <v>10</v>
      </c>
      <c r="Y282" s="555">
        <f t="shared" ca="1" si="130"/>
        <v>10</v>
      </c>
      <c r="Z282" s="213">
        <f t="shared" ca="1" si="128"/>
        <v>100</v>
      </c>
      <c r="AA282" s="620">
        <f ca="1">LARGE(Bvs!J$2:J$201,AG282)</f>
        <v>44168.072</v>
      </c>
      <c r="AB282" s="620"/>
      <c r="AC282" s="11">
        <f ca="1">INDEX(Bvs!C$2:C$201,AH282)</f>
        <v>27</v>
      </c>
      <c r="AD282" s="597">
        <f ca="1">INDEX(Bvs!D$2:D$201,AH282)</f>
        <v>7.13</v>
      </c>
      <c r="AE282" s="597"/>
      <c r="AF282" s="11">
        <f ca="1">INDEX(Bvs!E$2:E$201,AH282)</f>
        <v>3.7868162692847127</v>
      </c>
      <c r="AG282" s="1">
        <v>10</v>
      </c>
      <c r="AH282" s="1">
        <f ca="1">MATCH(AA282,Bvs!J$2:J$201,0)</f>
        <v>71</v>
      </c>
      <c r="AI282" s="589">
        <f t="shared" ca="1" si="124"/>
        <v>45.285954132315617</v>
      </c>
      <c r="AJ282" s="589"/>
      <c r="AL282" s="315"/>
      <c r="AM282" s="315"/>
      <c r="AN282" s="433">
        <v>140</v>
      </c>
      <c r="AO282" s="297">
        <f ca="1">BV!C282</f>
        <v>61.27</v>
      </c>
      <c r="AP282" s="301">
        <f ca="1">BV!K282</f>
        <v>73.75</v>
      </c>
      <c r="AQ282" s="11" t="str">
        <f ca="1">BV!S282</f>
        <v/>
      </c>
      <c r="AR282" s="11" t="str">
        <f ca="1">BV!AA282</f>
        <v/>
      </c>
      <c r="AS282" s="11" t="str">
        <f ca="1">BV!AI282</f>
        <v/>
      </c>
      <c r="AT282" s="11" t="str">
        <f ca="1">BV!AQ282</f>
        <v/>
      </c>
      <c r="AU282" s="11" t="str">
        <f ca="1">BV!AY282</f>
        <v/>
      </c>
      <c r="AV282" s="11" t="str">
        <f ca="1">BV!BG282</f>
        <v/>
      </c>
      <c r="AW282" s="11" t="str">
        <f ca="1">BV!BO282</f>
        <v/>
      </c>
      <c r="AX282" s="11" t="str">
        <f ca="1">BV!BW282</f>
        <v/>
      </c>
      <c r="AY282" s="62" t="s">
        <v>3</v>
      </c>
      <c r="AZ282" s="37">
        <f t="shared" si="125"/>
        <v>2.3356084591327675</v>
      </c>
      <c r="BA282" s="261">
        <v>4.6173366579999996E-3</v>
      </c>
      <c r="BB282" s="268">
        <v>7.0097060775999989E-2</v>
      </c>
      <c r="BC282" s="268">
        <f t="shared" si="119"/>
        <v>6.5870617211112731E-2</v>
      </c>
      <c r="BD282" s="269">
        <f ca="1">IF(BV!H282="","",INT(NOW()-BV!H282))</f>
        <v>116</v>
      </c>
      <c r="BE282" s="279">
        <f t="shared" si="120"/>
        <v>14.716489657917528</v>
      </c>
      <c r="BF282" s="300">
        <f ca="1">BV!G282</f>
        <v>55.756678511405411</v>
      </c>
      <c r="BG282" s="301">
        <f ca="1">BV!O282</f>
        <v>40.683925381897623</v>
      </c>
      <c r="BH282" s="11" t="str">
        <f ca="1">BV!W282</f>
        <v/>
      </c>
      <c r="BI282" s="11" t="str">
        <f ca="1">BV!AE282</f>
        <v/>
      </c>
      <c r="BJ282" s="11" t="str">
        <f ca="1">BV!AM282</f>
        <v/>
      </c>
      <c r="BK282" s="11" t="str">
        <f ca="1">BV!AU282</f>
        <v/>
      </c>
      <c r="BL282" s="11" t="str">
        <f ca="1">BV!BC282</f>
        <v/>
      </c>
      <c r="BM282" s="11" t="str">
        <f ca="1">BV!BK282</f>
        <v/>
      </c>
      <c r="BN282" s="11" t="str">
        <f ca="1">BV!BS282</f>
        <v/>
      </c>
      <c r="BO282" s="11" t="str">
        <f ca="1">BV!CA282</f>
        <v/>
      </c>
      <c r="BP282" s="433">
        <v>140</v>
      </c>
      <c r="BQ282" s="11">
        <f ca="1">IFERROR(YEAR(OFFSET(BV!$H282,,(COLUMN()-69)*8)),"")</f>
        <v>2020</v>
      </c>
      <c r="BR282" s="11">
        <f ca="1">IFERROR(YEAR(OFFSET(BV!$H282,,(COLUMN()-69)*8)),"")</f>
        <v>2020</v>
      </c>
      <c r="BS282" s="11" t="str">
        <f ca="1">IFERROR(YEAR(OFFSET(BV!$H282,,(COLUMN()-69)*8)),"")</f>
        <v/>
      </c>
      <c r="BT282" s="11" t="str">
        <f ca="1">IFERROR(YEAR(OFFSET(BV!$H282,,(COLUMN()-69)*8)),"")</f>
        <v/>
      </c>
      <c r="BU282" s="11" t="str">
        <f ca="1">IFERROR(YEAR(OFFSET(BV!$H282,,(COLUMN()-69)*8)),"")</f>
        <v/>
      </c>
      <c r="BV282" s="11" t="str">
        <f ca="1">IFERROR(YEAR(OFFSET(BV!$H282,,(COLUMN()-69)*8)),"")</f>
        <v/>
      </c>
      <c r="BW282" s="11" t="str">
        <f ca="1">IFERROR(YEAR(OFFSET(BV!$H282,,(COLUMN()-69)*8)),"")</f>
        <v/>
      </c>
      <c r="BX282" s="11" t="str">
        <f ca="1">IFERROR(YEAR(OFFSET(BV!$H282,,(COLUMN()-69)*8)),"")</f>
        <v/>
      </c>
      <c r="BY282" s="11" t="str">
        <f ca="1">IFERROR(YEAR(OFFSET(BV!$H282,,(COLUMN()-69)*8)),"")</f>
        <v/>
      </c>
      <c r="BZ282" s="11" t="str">
        <f ca="1">IFERROR(YEAR(OFFSET(BV!$H282,,(COLUMN()-69)*8)),"")</f>
        <v/>
      </c>
    </row>
    <row r="283" spans="1:78" x14ac:dyDescent="0.25">
      <c r="A283" s="433">
        <v>141</v>
      </c>
      <c r="B283" s="299">
        <f ca="1">BV!D283</f>
        <v>2.4185248713550602</v>
      </c>
      <c r="C283" s="299">
        <f ca="1">BV!L283</f>
        <v>2.3259650280435502</v>
      </c>
      <c r="D283" s="299">
        <f ca="1">BV!T283</f>
        <v>2.2767640884870013</v>
      </c>
      <c r="E283" s="300">
        <f ca="1">BV!AB283</f>
        <v>2.1133093525179856</v>
      </c>
      <c r="F283" s="300">
        <f ca="1">BV!AJ283</f>
        <v>2.0550940096195891</v>
      </c>
      <c r="G283" s="300">
        <f ca="1">BV!AR283</f>
        <v>2.052401746724891</v>
      </c>
      <c r="H283" s="301">
        <f ca="1">BV!AZ283</f>
        <v>1.7863930064614213</v>
      </c>
      <c r="I283" s="301">
        <f ca="1">BV!BH283</f>
        <v>1.7689123071132857</v>
      </c>
      <c r="J283" s="11" t="str">
        <f ca="1">BV!BP283</f>
        <v/>
      </c>
      <c r="K283" s="11" t="str">
        <f ca="1">BV!BX283</f>
        <v/>
      </c>
      <c r="L283" s="62" t="s">
        <v>64</v>
      </c>
      <c r="M283" s="261">
        <v>5.081623847E-3</v>
      </c>
      <c r="N283" s="277">
        <f t="shared" ca="1" si="117"/>
        <v>14.028096435770992</v>
      </c>
      <c r="O283" s="31" t="s">
        <v>14</v>
      </c>
      <c r="P283" s="555">
        <f t="shared" ref="P283:Y283" ca="1" si="131">COUNTIF(B30:B54,"&gt;0")</f>
        <v>10</v>
      </c>
      <c r="Q283" s="552">
        <f t="shared" ca="1" si="131"/>
        <v>8</v>
      </c>
      <c r="R283" s="301">
        <f t="shared" ca="1" si="131"/>
        <v>5</v>
      </c>
      <c r="S283" s="301">
        <f t="shared" ca="1" si="131"/>
        <v>4</v>
      </c>
      <c r="T283" s="302">
        <f t="shared" ca="1" si="131"/>
        <v>3</v>
      </c>
      <c r="U283" s="660">
        <f t="shared" ca="1" si="131"/>
        <v>2</v>
      </c>
      <c r="V283" s="660">
        <f t="shared" ca="1" si="131"/>
        <v>2</v>
      </c>
      <c r="W283" s="712">
        <f t="shared" ca="1" si="131"/>
        <v>1</v>
      </c>
      <c r="X283" s="659">
        <f t="shared" ca="1" si="131"/>
        <v>1</v>
      </c>
      <c r="Y283" s="659">
        <f t="shared" ca="1" si="131"/>
        <v>1</v>
      </c>
      <c r="Z283" s="213">
        <f t="shared" ca="1" si="128"/>
        <v>37</v>
      </c>
      <c r="AA283" s="620">
        <f ca="1">LARGE(Bvs!T$2:T$201,AG283)</f>
        <v>44168.144999999997</v>
      </c>
      <c r="AB283" s="620"/>
      <c r="AC283" s="11">
        <f ca="1">INDEX(Bvs!M$2:M$201,AH283)</f>
        <v>59</v>
      </c>
      <c r="AD283" s="597">
        <f ca="1">INDEX(Bvs!N$2:N$201,AH283)</f>
        <v>22.43</v>
      </c>
      <c r="AE283" s="597"/>
      <c r="AF283" s="11">
        <f ca="1">INDEX(Bvs!O$2:O$201,AH283)</f>
        <v>2.6304057066428892</v>
      </c>
      <c r="AG283" s="1">
        <v>1</v>
      </c>
      <c r="AH283" s="1">
        <f ca="1">MATCH(AA283,Bvs!T$2:T$201,0)</f>
        <v>144</v>
      </c>
      <c r="AI283" s="589">
        <f ca="1">153.73/(AD283^1.7/AC283)</f>
        <v>45.835383957364648</v>
      </c>
      <c r="AJ283" s="589"/>
      <c r="AL283" s="315"/>
      <c r="AM283" s="315"/>
      <c r="AN283" s="433">
        <v>141</v>
      </c>
      <c r="AO283" s="552">
        <f ca="1">BV!C283</f>
        <v>58.3</v>
      </c>
      <c r="AP283" s="297">
        <f ca="1">BV!K283</f>
        <v>60.62</v>
      </c>
      <c r="AQ283" s="298">
        <f ca="1">BV!S283</f>
        <v>61.93</v>
      </c>
      <c r="AR283" s="300">
        <f ca="1">BV!AA283</f>
        <v>66.72</v>
      </c>
      <c r="AS283" s="300">
        <f ca="1">BV!AI283</f>
        <v>68.61</v>
      </c>
      <c r="AT283" s="300">
        <f ca="1">BV!AQ283</f>
        <v>68.7</v>
      </c>
      <c r="AU283" s="302">
        <f ca="1">BV!AY283</f>
        <v>78.930000000000007</v>
      </c>
      <c r="AV283" s="660">
        <f ca="1">BV!BG283</f>
        <v>79.709999999999994</v>
      </c>
      <c r="AW283" s="11" t="str">
        <f ca="1">BV!BO283</f>
        <v/>
      </c>
      <c r="AX283" s="11" t="str">
        <f ca="1">BV!BW283</f>
        <v/>
      </c>
      <c r="AY283" s="62" t="s">
        <v>3</v>
      </c>
      <c r="AZ283" s="37">
        <f t="shared" si="125"/>
        <v>2.2939974855308836</v>
      </c>
      <c r="BA283" s="261">
        <v>5.081623847E-3</v>
      </c>
      <c r="BB283" s="268">
        <v>7.0097060775999989E-2</v>
      </c>
      <c r="BC283" s="268">
        <f t="shared" si="119"/>
        <v>7.2494107324109935E-2</v>
      </c>
      <c r="BD283" s="269">
        <f ca="1">IF(BV!H283="","",INT(NOW()-BV!H283))</f>
        <v>81</v>
      </c>
      <c r="BE283" s="279">
        <f t="shared" si="120"/>
        <v>14.028096435770992</v>
      </c>
      <c r="BF283" s="299">
        <f ca="1">BV!G283</f>
        <v>61.104447962744707</v>
      </c>
      <c r="BG283" s="299">
        <f ca="1">BV!O283</f>
        <v>57.182387409197396</v>
      </c>
      <c r="BH283" s="300">
        <f ca="1">BV!W283</f>
        <v>55.141367450588682</v>
      </c>
      <c r="BI283" s="301">
        <f ca="1">BV!AE283</f>
        <v>48.581856182768504</v>
      </c>
      <c r="BJ283" s="301">
        <f ca="1">BV!AM283</f>
        <v>46.32876840241989</v>
      </c>
      <c r="BK283" s="301">
        <f ca="1">BV!AU283</f>
        <v>46.225638110643942</v>
      </c>
      <c r="BL283" s="302">
        <f ca="1">BV!BC283</f>
        <v>36.508819735579856</v>
      </c>
      <c r="BM283" s="302">
        <f ca="1">BV!BK283</f>
        <v>35.903566571927961</v>
      </c>
      <c r="BN283" s="11" t="str">
        <f ca="1">BV!BS283</f>
        <v/>
      </c>
      <c r="BO283" s="11" t="str">
        <f ca="1">BV!CA283</f>
        <v/>
      </c>
      <c r="BP283" s="433">
        <v>141</v>
      </c>
      <c r="BQ283" s="11">
        <f ca="1">IFERROR(YEAR(OFFSET(BV!$H283,,(COLUMN()-69)*8)),"")</f>
        <v>2020</v>
      </c>
      <c r="BR283" s="11">
        <f ca="1">IFERROR(YEAR(OFFSET(BV!$H283,,(COLUMN()-69)*8)),"")</f>
        <v>2020</v>
      </c>
      <c r="BS283" s="11">
        <f ca="1">IFERROR(YEAR(OFFSET(BV!$H283,,(COLUMN()-69)*8)),"")</f>
        <v>2020</v>
      </c>
      <c r="BT283" s="11">
        <f ca="1">IFERROR(YEAR(OFFSET(BV!$H283,,(COLUMN()-69)*8)),"")</f>
        <v>2019</v>
      </c>
      <c r="BU283" s="11">
        <f ca="1">IFERROR(YEAR(OFFSET(BV!$H283,,(COLUMN()-69)*8)),"")</f>
        <v>2020</v>
      </c>
      <c r="BV283" s="11">
        <f ca="1">IFERROR(YEAR(OFFSET(BV!$H283,,(COLUMN()-69)*8)),"")</f>
        <v>2020</v>
      </c>
      <c r="BW283" s="11">
        <f ca="1">IFERROR(YEAR(OFFSET(BV!$H283,,(COLUMN()-69)*8)),"")</f>
        <v>2020</v>
      </c>
      <c r="BX283" s="11">
        <f ca="1">IFERROR(YEAR(OFFSET(BV!$H283,,(COLUMN()-69)*8)),"")</f>
        <v>2019</v>
      </c>
      <c r="BY283" s="11" t="str">
        <f ca="1">IFERROR(YEAR(OFFSET(BV!$H283,,(COLUMN()-69)*8)),"")</f>
        <v/>
      </c>
      <c r="BZ283" s="11" t="str">
        <f ca="1">IFERROR(YEAR(OFFSET(BV!$H283,,(COLUMN()-69)*8)),"")</f>
        <v/>
      </c>
    </row>
    <row r="284" spans="1:78" x14ac:dyDescent="0.25">
      <c r="A284" s="433">
        <v>142</v>
      </c>
      <c r="B284" s="299">
        <f ca="1">BV!D284</f>
        <v>2.4063718013895952</v>
      </c>
      <c r="C284" s="300">
        <f ca="1">BV!L284</f>
        <v>2.1836075657388898</v>
      </c>
      <c r="D284" s="300">
        <f ca="1">BV!T284</f>
        <v>2.1040154096903247</v>
      </c>
      <c r="E284" s="300">
        <f ca="1">BV!AB284</f>
        <v>2.0854751064767219</v>
      </c>
      <c r="F284" s="300">
        <f ca="1">BV!AJ284</f>
        <v>2.0672586985005097</v>
      </c>
      <c r="G284" s="300">
        <f ca="1">BV!AR284</f>
        <v>2.0176186416595625</v>
      </c>
      <c r="H284" s="301">
        <f ca="1">BV!AZ284</f>
        <v>1.952963828909366</v>
      </c>
      <c r="I284" s="301">
        <f ca="1">BV!BH284</f>
        <v>1.9256848386221861</v>
      </c>
      <c r="J284" s="301">
        <f ca="1">BV!BP284</f>
        <v>1.9109137397389315</v>
      </c>
      <c r="K284" s="301">
        <f ca="1">BV!BX284</f>
        <v>1.596761497807264</v>
      </c>
      <c r="L284" s="62" t="s">
        <v>64</v>
      </c>
      <c r="M284" s="261">
        <v>5.5729825889999996E-3</v>
      </c>
      <c r="N284" s="277">
        <f t="shared" ca="1" si="117"/>
        <v>13.395414505154893</v>
      </c>
      <c r="O284" s="36" t="s">
        <v>15</v>
      </c>
      <c r="P284" s="299">
        <f t="shared" ref="P284:Y284" ca="1" si="132">COUNTIF(B55:B64,"&gt;0")</f>
        <v>6</v>
      </c>
      <c r="Q284" s="301">
        <f t="shared" ca="1" si="132"/>
        <v>5</v>
      </c>
      <c r="R284" s="659">
        <f t="shared" ca="1" si="132"/>
        <v>1</v>
      </c>
      <c r="S284" s="11">
        <f t="shared" ca="1" si="132"/>
        <v>0</v>
      </c>
      <c r="T284" s="11">
        <f t="shared" ca="1" si="132"/>
        <v>0</v>
      </c>
      <c r="U284" s="11">
        <f t="shared" ca="1" si="132"/>
        <v>0</v>
      </c>
      <c r="V284" s="11">
        <f t="shared" ca="1" si="132"/>
        <v>0</v>
      </c>
      <c r="W284" s="92">
        <f t="shared" ca="1" si="132"/>
        <v>0</v>
      </c>
      <c r="X284" s="11">
        <f t="shared" ca="1" si="132"/>
        <v>0</v>
      </c>
      <c r="Y284" s="11">
        <f t="shared" ca="1" si="132"/>
        <v>0</v>
      </c>
      <c r="Z284" s="213">
        <f t="shared" ca="1" si="128"/>
        <v>12</v>
      </c>
      <c r="AA284" s="620">
        <f ca="1">LARGE(Bvs!T$2:T$201,AG284)</f>
        <v>44168.131999999998</v>
      </c>
      <c r="AB284" s="620"/>
      <c r="AC284" s="11">
        <f ca="1">INDEX(Bvs!M$2:M$201,AH284)</f>
        <v>59</v>
      </c>
      <c r="AD284" s="597">
        <f ca="1">INDEX(Bvs!N$2:N$201,AH284)</f>
        <v>22.2</v>
      </c>
      <c r="AE284" s="597"/>
      <c r="AF284" s="11">
        <f ca="1">INDEX(Bvs!O$2:O$201,AH284)</f>
        <v>2.6576576576576576</v>
      </c>
      <c r="AG284" s="1">
        <v>2</v>
      </c>
      <c r="AH284" s="1">
        <f ca="1">MATCH(AA284,Bvs!T$2:T$201,0)</f>
        <v>131</v>
      </c>
      <c r="AI284" s="589">
        <f t="shared" ref="AI284:AI292" ca="1" si="133">153.73/(AD284^1.7/AC284)</f>
        <v>46.645589098552172</v>
      </c>
      <c r="AJ284" s="589"/>
      <c r="AL284" s="315"/>
      <c r="AM284" s="315"/>
      <c r="AN284" s="433">
        <v>142</v>
      </c>
      <c r="AO284" s="297">
        <f ca="1">BV!C284</f>
        <v>59.01</v>
      </c>
      <c r="AP284" s="299">
        <f ca="1">BV!K284</f>
        <v>65.03</v>
      </c>
      <c r="AQ284" s="300">
        <f ca="1">BV!S284</f>
        <v>67.489999999999995</v>
      </c>
      <c r="AR284" s="300">
        <f ca="1">BV!AA284</f>
        <v>68.09</v>
      </c>
      <c r="AS284" s="300">
        <f ca="1">BV!AI284</f>
        <v>68.69</v>
      </c>
      <c r="AT284" s="301">
        <f ca="1">BV!AQ284</f>
        <v>70.38</v>
      </c>
      <c r="AU284" s="301">
        <f ca="1">BV!AY284</f>
        <v>72.709999999999994</v>
      </c>
      <c r="AV284" s="301">
        <f ca="1">BV!BG284</f>
        <v>73.739999999999995</v>
      </c>
      <c r="AW284" s="302">
        <f ca="1">BV!BO284</f>
        <v>74.31</v>
      </c>
      <c r="AX284" s="659">
        <f ca="1">BV!BW284</f>
        <v>88.93</v>
      </c>
      <c r="AY284" s="62" t="s">
        <v>3</v>
      </c>
      <c r="AZ284" s="37">
        <f t="shared" si="125"/>
        <v>2.2539123137557566</v>
      </c>
      <c r="BA284" s="261">
        <v>5.5729825889999996E-3</v>
      </c>
      <c r="BB284" s="268">
        <v>7.0097060775999989E-2</v>
      </c>
      <c r="BC284" s="268">
        <f t="shared" si="119"/>
        <v>7.9503798409021054E-2</v>
      </c>
      <c r="BD284" s="269">
        <f ca="1">IF(BV!H284="","",INT(NOW()-BV!H284))</f>
        <v>81</v>
      </c>
      <c r="BE284" s="279">
        <f t="shared" si="120"/>
        <v>13.395414505154895</v>
      </c>
      <c r="BF284" s="299">
        <f ca="1">BV!G284</f>
        <v>60.284415548871479</v>
      </c>
      <c r="BG284" s="300">
        <f ca="1">BV!O284</f>
        <v>51.107568323773911</v>
      </c>
      <c r="BH284" s="301">
        <f ca="1">BV!W284</f>
        <v>47.981251538267855</v>
      </c>
      <c r="BI284" s="301">
        <f ca="1">BV!AE284</f>
        <v>47.264702823156227</v>
      </c>
      <c r="BJ284" s="301">
        <f ca="1">BV!AM284</f>
        <v>46.565001563671935</v>
      </c>
      <c r="BK284" s="301">
        <f ca="1">BV!AU284</f>
        <v>44.68017376613151</v>
      </c>
      <c r="BL284" s="301">
        <f ca="1">BV!BC284</f>
        <v>42.273533819689739</v>
      </c>
      <c r="BM284" s="301">
        <f ca="1">BV!BK284</f>
        <v>41.274638018247757</v>
      </c>
      <c r="BN284" s="301">
        <f ca="1">BV!BS284</f>
        <v>40.737864141358742</v>
      </c>
      <c r="BO284" s="302">
        <f ca="1">BV!CA284</f>
        <v>30.019019488751589</v>
      </c>
      <c r="BP284" s="433">
        <v>142</v>
      </c>
      <c r="BQ284" s="11">
        <f ca="1">IFERROR(YEAR(OFFSET(BV!$H284,,(COLUMN()-69)*8)),"")</f>
        <v>2020</v>
      </c>
      <c r="BR284" s="11">
        <f ca="1">IFERROR(YEAR(OFFSET(BV!$H284,,(COLUMN()-69)*8)),"")</f>
        <v>2020</v>
      </c>
      <c r="BS284" s="11">
        <f ca="1">IFERROR(YEAR(OFFSET(BV!$H284,,(COLUMN()-69)*8)),"")</f>
        <v>2020</v>
      </c>
      <c r="BT284" s="11">
        <f ca="1">IFERROR(YEAR(OFFSET(BV!$H284,,(COLUMN()-69)*8)),"")</f>
        <v>2019</v>
      </c>
      <c r="BU284" s="11">
        <f ca="1">IFERROR(YEAR(OFFSET(BV!$H284,,(COLUMN()-69)*8)),"")</f>
        <v>2020</v>
      </c>
      <c r="BV284" s="11">
        <f ca="1">IFERROR(YEAR(OFFSET(BV!$H284,,(COLUMN()-69)*8)),"")</f>
        <v>2020</v>
      </c>
      <c r="BW284" s="11">
        <f ca="1">IFERROR(YEAR(OFFSET(BV!$H284,,(COLUMN()-69)*8)),"")</f>
        <v>2019</v>
      </c>
      <c r="BX284" s="11">
        <f ca="1">IFERROR(YEAR(OFFSET(BV!$H284,,(COLUMN()-69)*8)),"")</f>
        <v>2020</v>
      </c>
      <c r="BY284" s="11">
        <f ca="1">IFERROR(YEAR(OFFSET(BV!$H284,,(COLUMN()-69)*8)),"")</f>
        <v>2020</v>
      </c>
      <c r="BZ284" s="11">
        <f ca="1">IFERROR(YEAR(OFFSET(BV!$H284,,(COLUMN()-69)*8)),"")</f>
        <v>2019</v>
      </c>
    </row>
    <row r="285" spans="1:78" x14ac:dyDescent="0.25">
      <c r="A285" s="433">
        <v>143</v>
      </c>
      <c r="B285" s="299">
        <f ca="1">BV!D285</f>
        <v>2.2901985906470212</v>
      </c>
      <c r="C285" s="300">
        <f ca="1">BV!L285</f>
        <v>2.2417306787897791</v>
      </c>
      <c r="D285" s="300">
        <f ca="1">BV!T285</f>
        <v>2.1855418003973712</v>
      </c>
      <c r="E285" s="300">
        <f ca="1">BV!AB285</f>
        <v>2.1429641840251761</v>
      </c>
      <c r="F285" s="300">
        <f ca="1">BV!AJ285</f>
        <v>2.0643857369712721</v>
      </c>
      <c r="G285" s="300">
        <f ca="1">BV!AR285</f>
        <v>2.0047665778774708</v>
      </c>
      <c r="H285" s="301">
        <f ca="1">BV!AZ285</f>
        <v>1.973775017253278</v>
      </c>
      <c r="I285" s="301">
        <f ca="1">BV!BH285</f>
        <v>1.8877887788778878</v>
      </c>
      <c r="J285" s="11" t="str">
        <f ca="1">BV!BP285</f>
        <v/>
      </c>
      <c r="K285" s="11" t="str">
        <f ca="1">BV!BX285</f>
        <v/>
      </c>
      <c r="L285" s="62" t="s">
        <v>64</v>
      </c>
      <c r="M285" s="261">
        <v>6.0909099919999998E-3</v>
      </c>
      <c r="N285" s="277">
        <f t="shared" ca="1" si="117"/>
        <v>12.813238473895263</v>
      </c>
      <c r="O285" s="36" t="s">
        <v>16</v>
      </c>
      <c r="P285" s="555">
        <f t="shared" ref="P285:Y285" ca="1" si="134">COUNTIF(B65:B74,"&gt;0")</f>
        <v>10</v>
      </c>
      <c r="Q285" s="553">
        <f t="shared" ca="1" si="134"/>
        <v>9</v>
      </c>
      <c r="R285" s="552">
        <f t="shared" ca="1" si="134"/>
        <v>8</v>
      </c>
      <c r="S285" s="552">
        <f t="shared" ca="1" si="134"/>
        <v>8</v>
      </c>
      <c r="T285" s="301">
        <f t="shared" ca="1" si="134"/>
        <v>5</v>
      </c>
      <c r="U285" s="301">
        <f t="shared" ca="1" si="134"/>
        <v>5</v>
      </c>
      <c r="V285" s="301">
        <f t="shared" ca="1" si="134"/>
        <v>4</v>
      </c>
      <c r="W285" s="713">
        <f t="shared" ca="1" si="134"/>
        <v>2</v>
      </c>
      <c r="X285" s="659">
        <f t="shared" ca="1" si="134"/>
        <v>1</v>
      </c>
      <c r="Y285" s="659">
        <f t="shared" ca="1" si="134"/>
        <v>1</v>
      </c>
      <c r="Z285" s="213">
        <f t="shared" ca="1" si="128"/>
        <v>53</v>
      </c>
      <c r="AA285" s="620">
        <f ca="1">LARGE(Bvs!T$2:T$201,AG285)</f>
        <v>44168.095999999998</v>
      </c>
      <c r="AB285" s="620"/>
      <c r="AC285" s="11">
        <f ca="1">INDEX(Bvs!M$2:M$201,AH285)</f>
        <v>78</v>
      </c>
      <c r="AD285" s="597">
        <f ca="1">INDEX(Bvs!N$2:N$201,AH285)</f>
        <v>28.68</v>
      </c>
      <c r="AE285" s="597"/>
      <c r="AF285" s="11">
        <f ca="1">INDEX(Bvs!O$2:O$201,AH285)</f>
        <v>2.7196652719665271</v>
      </c>
      <c r="AG285" s="1">
        <v>3</v>
      </c>
      <c r="AH285" s="1">
        <f ca="1">MATCH(AA285,Bvs!T$2:T$201,0)</f>
        <v>95</v>
      </c>
      <c r="AI285" s="589">
        <f t="shared" ca="1" si="133"/>
        <v>39.899612691577083</v>
      </c>
      <c r="AJ285" s="589"/>
      <c r="AL285" s="315"/>
      <c r="AM285" s="315"/>
      <c r="AN285" s="433">
        <v>143</v>
      </c>
      <c r="AO285" s="298">
        <f ca="1">BV!C285</f>
        <v>62.44</v>
      </c>
      <c r="AP285" s="298">
        <f ca="1">BV!K285</f>
        <v>63.79</v>
      </c>
      <c r="AQ285" s="299">
        <f ca="1">BV!S285</f>
        <v>65.430000000000007</v>
      </c>
      <c r="AR285" s="300">
        <f ca="1">BV!AA285</f>
        <v>66.73</v>
      </c>
      <c r="AS285" s="301">
        <f ca="1">BV!AI285</f>
        <v>69.27</v>
      </c>
      <c r="AT285" s="301">
        <f ca="1">BV!AQ285</f>
        <v>71.33</v>
      </c>
      <c r="AU285" s="301">
        <f ca="1">BV!AY285</f>
        <v>72.45</v>
      </c>
      <c r="AV285" s="302">
        <f ca="1">BV!BG285</f>
        <v>75.75</v>
      </c>
      <c r="AW285" s="11" t="str">
        <f ca="1">BV!BO285</f>
        <v/>
      </c>
      <c r="AX285" s="11" t="str">
        <f ca="1">BV!BW285</f>
        <v/>
      </c>
      <c r="AY285" s="62" t="s">
        <v>3</v>
      </c>
      <c r="AZ285" s="37">
        <f t="shared" si="125"/>
        <v>2.215317818207748</v>
      </c>
      <c r="BA285" s="261">
        <v>6.0909099919999998E-3</v>
      </c>
      <c r="BB285" s="268">
        <v>7.0097060775999989E-2</v>
      </c>
      <c r="BC285" s="268">
        <f t="shared" si="119"/>
        <v>8.6892516242070755E-2</v>
      </c>
      <c r="BD285" s="269">
        <f ca="1">IF(BV!H285="","",INT(NOW()-BV!H285))</f>
        <v>122</v>
      </c>
      <c r="BE285" s="279">
        <f t="shared" si="120"/>
        <v>12.813238473895264</v>
      </c>
      <c r="BF285" s="300">
        <f ca="1">BV!G285</f>
        <v>55.149219737623696</v>
      </c>
      <c r="BG285" s="300">
        <f ca="1">BV!O285</f>
        <v>53.179820749139488</v>
      </c>
      <c r="BH285" s="300">
        <f ca="1">BV!W285</f>
        <v>50.933735455289209</v>
      </c>
      <c r="BI285" s="301">
        <f ca="1">BV!AE285</f>
        <v>49.258409013787642</v>
      </c>
      <c r="BJ285" s="301">
        <f ca="1">BV!AM285</f>
        <v>46.227400640514027</v>
      </c>
      <c r="BK285" s="301">
        <f ca="1">BV!AU285</f>
        <v>43.980839206967012</v>
      </c>
      <c r="BL285" s="301">
        <f ca="1">BV!BC285</f>
        <v>42.83127770930713</v>
      </c>
      <c r="BM285" s="301">
        <f ca="1">BV!BK285</f>
        <v>39.707798522394484</v>
      </c>
      <c r="BN285" s="11" t="str">
        <f ca="1">BV!BS285</f>
        <v/>
      </c>
      <c r="BO285" s="11" t="str">
        <f ca="1">BV!CA285</f>
        <v/>
      </c>
      <c r="BP285" s="433">
        <v>143</v>
      </c>
      <c r="BQ285" s="11">
        <f ca="1">IFERROR(YEAR(OFFSET(BV!$H285,,(COLUMN()-69)*8)),"")</f>
        <v>2020</v>
      </c>
      <c r="BR285" s="11">
        <f ca="1">IFERROR(YEAR(OFFSET(BV!$H285,,(COLUMN()-69)*8)),"")</f>
        <v>2020</v>
      </c>
      <c r="BS285" s="11">
        <f ca="1">IFERROR(YEAR(OFFSET(BV!$H285,,(COLUMN()-69)*8)),"")</f>
        <v>2020</v>
      </c>
      <c r="BT285" s="11">
        <f ca="1">IFERROR(YEAR(OFFSET(BV!$H285,,(COLUMN()-69)*8)),"")</f>
        <v>2020</v>
      </c>
      <c r="BU285" s="11">
        <f ca="1">IFERROR(YEAR(OFFSET(BV!$H285,,(COLUMN()-69)*8)),"")</f>
        <v>2020</v>
      </c>
      <c r="BV285" s="11">
        <f ca="1">IFERROR(YEAR(OFFSET(BV!$H285,,(COLUMN()-69)*8)),"")</f>
        <v>2020</v>
      </c>
      <c r="BW285" s="11">
        <f ca="1">IFERROR(YEAR(OFFSET(BV!$H285,,(COLUMN()-69)*8)),"")</f>
        <v>2020</v>
      </c>
      <c r="BX285" s="11">
        <f ca="1">IFERROR(YEAR(OFFSET(BV!$H285,,(COLUMN()-69)*8)),"")</f>
        <v>2020</v>
      </c>
      <c r="BY285" s="11" t="str">
        <f ca="1">IFERROR(YEAR(OFFSET(BV!$H285,,(COLUMN()-69)*8)),"")</f>
        <v/>
      </c>
      <c r="BZ285" s="11" t="str">
        <f ca="1">IFERROR(YEAR(OFFSET(BV!$H285,,(COLUMN()-69)*8)),"")</f>
        <v/>
      </c>
    </row>
    <row r="286" spans="1:78" x14ac:dyDescent="0.25">
      <c r="A286" s="433">
        <v>144</v>
      </c>
      <c r="B286" s="299">
        <f ca="1">BV!D286</f>
        <v>2.2634391700723042</v>
      </c>
      <c r="C286" s="300">
        <f ca="1">BV!L286</f>
        <v>2.1683481403403104</v>
      </c>
      <c r="D286" s="300">
        <f ca="1">BV!T286</f>
        <v>2.1444527177959789</v>
      </c>
      <c r="E286" s="300">
        <f ca="1">BV!AB286</f>
        <v>2.0665901262916186</v>
      </c>
      <c r="F286" s="301">
        <f ca="1">BV!AJ286</f>
        <v>1.9851116625310172</v>
      </c>
      <c r="G286" s="301">
        <f ca="1">BV!AR286</f>
        <v>1.9274528175612369</v>
      </c>
      <c r="H286" s="301">
        <f ca="1">BV!AZ286</f>
        <v>1.8262523779327839</v>
      </c>
      <c r="I286" s="11" t="str">
        <f ca="1">BV!BH286</f>
        <v/>
      </c>
      <c r="J286" s="11" t="str">
        <f ca="1">BV!BP286</f>
        <v/>
      </c>
      <c r="K286" s="11" t="str">
        <f ca="1">BV!BX286</f>
        <v/>
      </c>
      <c r="L286" s="62" t="s">
        <v>64</v>
      </c>
      <c r="M286" s="261">
        <v>6.6345388010000004E-3</v>
      </c>
      <c r="N286" s="277">
        <f t="shared" ca="1" si="117"/>
        <v>12.277067138425801</v>
      </c>
      <c r="O286" s="36" t="s">
        <v>17</v>
      </c>
      <c r="P286" s="555">
        <f t="shared" ref="P286:Y286" ca="1" si="135">COUNTIF(B75:B84,"&gt;0")</f>
        <v>10</v>
      </c>
      <c r="Q286" s="555">
        <f t="shared" ca="1" si="135"/>
        <v>10</v>
      </c>
      <c r="R286" s="555">
        <f t="shared" ca="1" si="135"/>
        <v>10</v>
      </c>
      <c r="S286" s="555">
        <f t="shared" ca="1" si="135"/>
        <v>10</v>
      </c>
      <c r="T286" s="555">
        <f t="shared" ca="1" si="135"/>
        <v>10</v>
      </c>
      <c r="U286" s="555">
        <f t="shared" ca="1" si="135"/>
        <v>10</v>
      </c>
      <c r="V286" s="555">
        <f t="shared" ca="1" si="135"/>
        <v>10</v>
      </c>
      <c r="W286" s="711">
        <f t="shared" ca="1" si="135"/>
        <v>10</v>
      </c>
      <c r="X286" s="555">
        <f t="shared" ca="1" si="135"/>
        <v>10</v>
      </c>
      <c r="Y286" s="553">
        <f t="shared" ca="1" si="135"/>
        <v>9</v>
      </c>
      <c r="Z286" s="213">
        <f t="shared" ca="1" si="128"/>
        <v>99</v>
      </c>
      <c r="AA286" s="620">
        <f ca="1">LARGE(Bvs!T$2:T$201,AG286)</f>
        <v>44168.087</v>
      </c>
      <c r="AB286" s="620"/>
      <c r="AC286" s="11">
        <f ca="1">INDEX(Bvs!M$2:M$201,AH286)</f>
        <v>75</v>
      </c>
      <c r="AD286" s="597">
        <f ca="1">INDEX(Bvs!N$2:N$201,AH286)</f>
        <v>27.28</v>
      </c>
      <c r="AE286" s="597"/>
      <c r="AF286" s="11">
        <f ca="1">INDEX(Bvs!O$2:O$201,AH286)</f>
        <v>2.7492668621700878</v>
      </c>
      <c r="AG286" s="1">
        <v>4</v>
      </c>
      <c r="AH286" s="1">
        <f ca="1">MATCH(AA286,Bvs!T$2:T$201,0)</f>
        <v>86</v>
      </c>
      <c r="AI286" s="589">
        <f t="shared" ca="1" si="133"/>
        <v>41.77192296354594</v>
      </c>
      <c r="AJ286" s="589"/>
      <c r="AL286" s="315"/>
      <c r="AM286" s="315"/>
      <c r="AN286" s="433">
        <v>144</v>
      </c>
      <c r="AO286" s="298">
        <f ca="1">BV!C286</f>
        <v>63.62</v>
      </c>
      <c r="AP286" s="299">
        <f ca="1">BV!K286</f>
        <v>66.41</v>
      </c>
      <c r="AQ286" s="300">
        <f ca="1">BV!S286</f>
        <v>67.150000000000006</v>
      </c>
      <c r="AR286" s="301">
        <f ca="1">BV!AA286</f>
        <v>69.680000000000007</v>
      </c>
      <c r="AS286" s="301">
        <f ca="1">BV!AI286</f>
        <v>72.540000000000006</v>
      </c>
      <c r="AT286" s="302">
        <f ca="1">BV!AQ286</f>
        <v>74.709999999999994</v>
      </c>
      <c r="AU286" s="302">
        <f ca="1">BV!AY286</f>
        <v>78.849999999999994</v>
      </c>
      <c r="AV286" s="11" t="str">
        <f ca="1">BV!BG286</f>
        <v/>
      </c>
      <c r="AW286" s="11" t="str">
        <f ca="1">BV!BO286</f>
        <v/>
      </c>
      <c r="AX286" s="11" t="str">
        <f ca="1">BV!BW286</f>
        <v/>
      </c>
      <c r="AY286" s="62" t="s">
        <v>3</v>
      </c>
      <c r="AZ286" s="37">
        <f t="shared" si="125"/>
        <v>2.1781892616680278</v>
      </c>
      <c r="BA286" s="261">
        <v>6.6345388010000004E-3</v>
      </c>
      <c r="BB286" s="268">
        <v>7.0097060775999989E-2</v>
      </c>
      <c r="BC286" s="268">
        <f t="shared" si="119"/>
        <v>9.4647888621195234E-2</v>
      </c>
      <c r="BD286" s="269">
        <f ca="1">IF(BV!H286="","",INT(NOW()-BV!H286))</f>
        <v>271</v>
      </c>
      <c r="BE286" s="279">
        <f t="shared" si="120"/>
        <v>12.277067138425801</v>
      </c>
      <c r="BF286" s="300">
        <f ca="1">BV!G286</f>
        <v>53.795198865476351</v>
      </c>
      <c r="BG286" s="300">
        <f ca="1">BV!O286</f>
        <v>50.009882138688681</v>
      </c>
      <c r="BH286" s="301">
        <f ca="1">BV!W286</f>
        <v>49.076605775109584</v>
      </c>
      <c r="BI286" s="301">
        <f ca="1">BV!AE286</f>
        <v>46.08598838369322</v>
      </c>
      <c r="BJ286" s="301">
        <f ca="1">BV!AM286</f>
        <v>43.039865978211019</v>
      </c>
      <c r="BK286" s="301">
        <f ca="1">BV!AU286</f>
        <v>40.936329111646089</v>
      </c>
      <c r="BL286" s="302">
        <f ca="1">BV!BC286</f>
        <v>37.349935949974558</v>
      </c>
      <c r="BM286" s="11" t="str">
        <f ca="1">BV!BK286</f>
        <v/>
      </c>
      <c r="BN286" s="11" t="str">
        <f ca="1">BV!BS286</f>
        <v/>
      </c>
      <c r="BO286" s="11" t="str">
        <f ca="1">BV!CA286</f>
        <v/>
      </c>
      <c r="BP286" s="433">
        <v>144</v>
      </c>
      <c r="BQ286" s="11">
        <f ca="1">IFERROR(YEAR(OFFSET(BV!$H286,,(COLUMN()-69)*8)),"")</f>
        <v>2020</v>
      </c>
      <c r="BR286" s="11">
        <f ca="1">IFERROR(YEAR(OFFSET(BV!$H286,,(COLUMN()-69)*8)),"")</f>
        <v>2020</v>
      </c>
      <c r="BS286" s="11">
        <f ca="1">IFERROR(YEAR(OFFSET(BV!$H286,,(COLUMN()-69)*8)),"")</f>
        <v>2020</v>
      </c>
      <c r="BT286" s="11">
        <f ca="1">IFERROR(YEAR(OFFSET(BV!$H286,,(COLUMN()-69)*8)),"")</f>
        <v>2020</v>
      </c>
      <c r="BU286" s="11">
        <f ca="1">IFERROR(YEAR(OFFSET(BV!$H286,,(COLUMN()-69)*8)),"")</f>
        <v>2019</v>
      </c>
      <c r="BV286" s="11">
        <f ca="1">IFERROR(YEAR(OFFSET(BV!$H286,,(COLUMN()-69)*8)),"")</f>
        <v>2020</v>
      </c>
      <c r="BW286" s="11">
        <f ca="1">IFERROR(YEAR(OFFSET(BV!$H286,,(COLUMN()-69)*8)),"")</f>
        <v>2019</v>
      </c>
      <c r="BX286" s="11" t="str">
        <f ca="1">IFERROR(YEAR(OFFSET(BV!$H286,,(COLUMN()-69)*8)),"")</f>
        <v/>
      </c>
      <c r="BY286" s="11" t="str">
        <f ca="1">IFERROR(YEAR(OFFSET(BV!$H286,,(COLUMN()-69)*8)),"")</f>
        <v/>
      </c>
      <c r="BZ286" s="11" t="str">
        <f ca="1">IFERROR(YEAR(OFFSET(BV!$H286,,(COLUMN()-69)*8)),"")</f>
        <v/>
      </c>
    </row>
    <row r="287" spans="1:78" x14ac:dyDescent="0.25">
      <c r="A287" s="433">
        <v>145</v>
      </c>
      <c r="B287" s="299">
        <f ca="1">BV!D287</f>
        <v>2.3443815683104283</v>
      </c>
      <c r="C287" s="300">
        <f ca="1">BV!L287</f>
        <v>2.2449295556587705</v>
      </c>
      <c r="D287" s="300">
        <f ca="1">BV!T287</f>
        <v>2.1538918597742129</v>
      </c>
      <c r="E287" s="300">
        <f ca="1">BV!AB287</f>
        <v>2.1516545481525449</v>
      </c>
      <c r="F287" s="300">
        <f ca="1">BV!AJ287</f>
        <v>2.0962845164088475</v>
      </c>
      <c r="G287" s="300">
        <f ca="1">BV!AR287</f>
        <v>2.0655270655270654</v>
      </c>
      <c r="H287" s="300">
        <f ca="1">BV!AZ287</f>
        <v>2.0319506726457401</v>
      </c>
      <c r="I287" s="301">
        <f ca="1">BV!BH287</f>
        <v>1.9854854169519376</v>
      </c>
      <c r="J287" s="11" t="str">
        <f ca="1">BV!BP287</f>
        <v/>
      </c>
      <c r="K287" s="11" t="str">
        <f ca="1">BV!BX287</f>
        <v/>
      </c>
      <c r="L287" s="62" t="s">
        <v>64</v>
      </c>
      <c r="M287" s="261">
        <v>7.201577721E-3</v>
      </c>
      <c r="N287" s="277">
        <f t="shared" ca="1" si="117"/>
        <v>11.783822008312555</v>
      </c>
      <c r="O287" s="36" t="s">
        <v>18</v>
      </c>
      <c r="P287" s="555">
        <f t="shared" ref="P287:Y287" ca="1" si="136">COUNTIF(B85:B94,"&gt;0")</f>
        <v>10</v>
      </c>
      <c r="Q287" s="555">
        <f t="shared" ca="1" si="136"/>
        <v>10</v>
      </c>
      <c r="R287" s="555">
        <f t="shared" ca="1" si="136"/>
        <v>10</v>
      </c>
      <c r="S287" s="555">
        <f t="shared" ca="1" si="136"/>
        <v>10</v>
      </c>
      <c r="T287" s="555">
        <f t="shared" ca="1" si="136"/>
        <v>10</v>
      </c>
      <c r="U287" s="555">
        <f t="shared" ca="1" si="136"/>
        <v>10</v>
      </c>
      <c r="V287" s="555">
        <f t="shared" ca="1" si="136"/>
        <v>10</v>
      </c>
      <c r="W287" s="711">
        <f t="shared" ca="1" si="136"/>
        <v>10</v>
      </c>
      <c r="X287" s="553">
        <f t="shared" ca="1" si="136"/>
        <v>9</v>
      </c>
      <c r="Y287" s="553">
        <f t="shared" ca="1" si="136"/>
        <v>9</v>
      </c>
      <c r="Z287" s="213">
        <f t="shared" ca="1" si="128"/>
        <v>98</v>
      </c>
      <c r="AA287" s="620">
        <f ca="1">LARGE(Bvs!T$2:T$201,AG287)</f>
        <v>44168.082999999999</v>
      </c>
      <c r="AB287" s="620"/>
      <c r="AC287" s="11">
        <f ca="1">INDEX(Bvs!M$2:M$201,AH287)</f>
        <v>78</v>
      </c>
      <c r="AD287" s="597">
        <f ca="1">INDEX(Bvs!N$2:N$201,AH287)</f>
        <v>28.3</v>
      </c>
      <c r="AE287" s="597"/>
      <c r="AF287" s="11">
        <f ca="1">INDEX(Bvs!O$2:O$201,AH287)</f>
        <v>2.7561837455830389</v>
      </c>
      <c r="AG287" s="1">
        <v>5</v>
      </c>
      <c r="AH287" s="1">
        <f ca="1">MATCH(AA287,Bvs!T$2:T$201,0)</f>
        <v>82</v>
      </c>
      <c r="AI287" s="589">
        <f t="shared" ca="1" si="133"/>
        <v>40.814670004188038</v>
      </c>
      <c r="AJ287" s="589"/>
      <c r="AL287" s="315"/>
      <c r="AM287" s="315"/>
      <c r="AN287" s="433">
        <v>145</v>
      </c>
      <c r="AO287" s="298">
        <f ca="1">BV!C287</f>
        <v>61.85</v>
      </c>
      <c r="AP287" s="299">
        <f ca="1">BV!K287</f>
        <v>64.59</v>
      </c>
      <c r="AQ287" s="300">
        <f ca="1">BV!S287</f>
        <v>67.319999999999993</v>
      </c>
      <c r="AR287" s="300">
        <f ca="1">BV!AA287</f>
        <v>67.39</v>
      </c>
      <c r="AS287" s="301">
        <f ca="1">BV!AI287</f>
        <v>69.17</v>
      </c>
      <c r="AT287" s="301">
        <f ca="1">BV!AQ287</f>
        <v>70.2</v>
      </c>
      <c r="AU287" s="301">
        <f ca="1">BV!AY287</f>
        <v>71.36</v>
      </c>
      <c r="AV287" s="301">
        <f ca="1">BV!BG287</f>
        <v>73.03</v>
      </c>
      <c r="AW287" s="11" t="str">
        <f ca="1">BV!BO287</f>
        <v/>
      </c>
      <c r="AX287" s="11" t="str">
        <f ca="1">BV!BW287</f>
        <v/>
      </c>
      <c r="AY287" s="62" t="s">
        <v>3</v>
      </c>
      <c r="AZ287" s="37">
        <f t="shared" si="125"/>
        <v>2.142572347948938</v>
      </c>
      <c r="BA287" s="261">
        <v>7.201577721E-3</v>
      </c>
      <c r="BB287" s="268">
        <v>7.0097060775999989E-2</v>
      </c>
      <c r="BC287" s="268">
        <f t="shared" si="119"/>
        <v>0.10273722808454323</v>
      </c>
      <c r="BD287" s="269">
        <f ca="1">IF(BV!H287="","",INT(NOW()-BV!H287))</f>
        <v>110</v>
      </c>
      <c r="BE287" s="279">
        <f t="shared" si="120"/>
        <v>11.783822008312555</v>
      </c>
      <c r="BF287" s="299">
        <f ca="1">BV!G287</f>
        <v>56.830406280413207</v>
      </c>
      <c r="BG287" s="300">
        <f ca="1">BV!O287</f>
        <v>52.793113300025908</v>
      </c>
      <c r="BH287" s="301">
        <f ca="1">BV!W287</f>
        <v>49.20545761639319</v>
      </c>
      <c r="BI287" s="301">
        <f ca="1">BV!AE287</f>
        <v>49.118600212405255</v>
      </c>
      <c r="BJ287" s="301">
        <f ca="1">BV!AM287</f>
        <v>46.989198677022266</v>
      </c>
      <c r="BK287" s="301">
        <f ca="1">BV!AU287</f>
        <v>45.823173904518107</v>
      </c>
      <c r="BL287" s="301">
        <f ca="1">BV!BC287</f>
        <v>44.564088419437198</v>
      </c>
      <c r="BM287" s="301">
        <f ca="1">BV!BK287</f>
        <v>42.845581995937387</v>
      </c>
      <c r="BN287" s="11" t="str">
        <f ca="1">BV!BS287</f>
        <v/>
      </c>
      <c r="BO287" s="11" t="str">
        <f ca="1">BV!CA287</f>
        <v/>
      </c>
      <c r="BP287" s="433">
        <v>145</v>
      </c>
      <c r="BQ287" s="11">
        <f ca="1">IFERROR(YEAR(OFFSET(BV!$H287,,(COLUMN()-69)*8)),"")</f>
        <v>2020</v>
      </c>
      <c r="BR287" s="11">
        <f ca="1">IFERROR(YEAR(OFFSET(BV!$H287,,(COLUMN()-69)*8)),"")</f>
        <v>2020</v>
      </c>
      <c r="BS287" s="11">
        <f ca="1">IFERROR(YEAR(OFFSET(BV!$H287,,(COLUMN()-69)*8)),"")</f>
        <v>2020</v>
      </c>
      <c r="BT287" s="11">
        <f ca="1">IFERROR(YEAR(OFFSET(BV!$H287,,(COLUMN()-69)*8)),"")</f>
        <v>2020</v>
      </c>
      <c r="BU287" s="11">
        <f ca="1">IFERROR(YEAR(OFFSET(BV!$H287,,(COLUMN()-69)*8)),"")</f>
        <v>2020</v>
      </c>
      <c r="BV287" s="11">
        <f ca="1">IFERROR(YEAR(OFFSET(BV!$H287,,(COLUMN()-69)*8)),"")</f>
        <v>2020</v>
      </c>
      <c r="BW287" s="11">
        <f ca="1">IFERROR(YEAR(OFFSET(BV!$H287,,(COLUMN()-69)*8)),"")</f>
        <v>2020</v>
      </c>
      <c r="BX287" s="11">
        <f ca="1">IFERROR(YEAR(OFFSET(BV!$H287,,(COLUMN()-69)*8)),"")</f>
        <v>2020</v>
      </c>
      <c r="BY287" s="11" t="str">
        <f ca="1">IFERROR(YEAR(OFFSET(BV!$H287,,(COLUMN()-69)*8)),"")</f>
        <v/>
      </c>
      <c r="BZ287" s="11" t="str">
        <f ca="1">IFERROR(YEAR(OFFSET(BV!$H287,,(COLUMN()-69)*8)),"")</f>
        <v/>
      </c>
    </row>
    <row r="288" spans="1:78" x14ac:dyDescent="0.25">
      <c r="A288" s="433">
        <v>146</v>
      </c>
      <c r="B288" s="299">
        <f ca="1">BV!D288</f>
        <v>2.467466621598783</v>
      </c>
      <c r="C288" s="299">
        <f ca="1">BV!L288</f>
        <v>2.2695476449556971</v>
      </c>
      <c r="D288" s="300">
        <f ca="1">BV!T288</f>
        <v>2.2430480872637886</v>
      </c>
      <c r="E288" s="300">
        <f ca="1">BV!AB288</f>
        <v>2.2365196078431371</v>
      </c>
      <c r="F288" s="300">
        <f ca="1">BV!AJ288</f>
        <v>2.2111161593215205</v>
      </c>
      <c r="G288" s="300">
        <f ca="1">BV!AR288</f>
        <v>2.161361954108068</v>
      </c>
      <c r="H288" s="300">
        <f ca="1">BV!AZ288</f>
        <v>2.117169373549884</v>
      </c>
      <c r="I288" s="300">
        <f ca="1">BV!BH288</f>
        <v>2.0566276940414143</v>
      </c>
      <c r="J288" s="301">
        <f ca="1">BV!BP288</f>
        <v>1.9953532868662021</v>
      </c>
      <c r="K288" s="301">
        <f ca="1">BV!BX288</f>
        <v>1.9934462042599674</v>
      </c>
      <c r="L288" s="62" t="s">
        <v>64</v>
      </c>
      <c r="M288" s="261">
        <v>7.7915574360000002E-3</v>
      </c>
      <c r="N288" s="277">
        <f t="shared" ca="1" si="117"/>
        <v>11.328903090449987</v>
      </c>
      <c r="O288" s="36" t="s">
        <v>19</v>
      </c>
      <c r="P288" s="555">
        <f t="shared" ref="P288:Y288" ca="1" si="137">COUNTIF(B95:B104,"&gt;0")</f>
        <v>10</v>
      </c>
      <c r="Q288" s="555">
        <f t="shared" ca="1" si="137"/>
        <v>10</v>
      </c>
      <c r="R288" s="555">
        <f t="shared" ca="1" si="137"/>
        <v>10</v>
      </c>
      <c r="S288" s="555">
        <f t="shared" ca="1" si="137"/>
        <v>10</v>
      </c>
      <c r="T288" s="553">
        <f t="shared" ca="1" si="137"/>
        <v>9</v>
      </c>
      <c r="U288" s="553">
        <f t="shared" ca="1" si="137"/>
        <v>9</v>
      </c>
      <c r="V288" s="553">
        <f t="shared" ca="1" si="137"/>
        <v>9</v>
      </c>
      <c r="W288" s="545">
        <f t="shared" ca="1" si="137"/>
        <v>8</v>
      </c>
      <c r="X288" s="552">
        <f t="shared" ca="1" si="137"/>
        <v>8</v>
      </c>
      <c r="Y288" s="297">
        <f t="shared" ca="1" si="137"/>
        <v>7</v>
      </c>
      <c r="Z288" s="213">
        <f t="shared" ca="1" si="128"/>
        <v>90</v>
      </c>
      <c r="AA288" s="620">
        <f ca="1">LARGE(Bvs!T$2:T$201,AG288)</f>
        <v>44168.063000000002</v>
      </c>
      <c r="AB288" s="620"/>
      <c r="AC288" s="11">
        <f ca="1">INDEX(Bvs!M$2:M$201,AH288)</f>
        <v>65</v>
      </c>
      <c r="AD288" s="597">
        <f ca="1">INDEX(Bvs!N$2:N$201,AH288)</f>
        <v>23.13</v>
      </c>
      <c r="AE288" s="597"/>
      <c r="AF288" s="11">
        <f ca="1">INDEX(Bvs!O$2:O$201,AH288)</f>
        <v>2.8102031993082579</v>
      </c>
      <c r="AG288" s="1">
        <v>6</v>
      </c>
      <c r="AH288" s="1">
        <f ca="1">MATCH(AA288,Bvs!T$2:T$201,0)</f>
        <v>62</v>
      </c>
      <c r="AI288" s="589">
        <f t="shared" ca="1" si="133"/>
        <v>47.926245504251376</v>
      </c>
      <c r="AJ288" s="589"/>
      <c r="AL288" s="315"/>
      <c r="AM288" s="315"/>
      <c r="AN288" s="433">
        <v>146</v>
      </c>
      <c r="AO288" s="297">
        <f ca="1">BV!C288</f>
        <v>59.17</v>
      </c>
      <c r="AP288" s="299">
        <f ca="1">BV!K288</f>
        <v>64.33</v>
      </c>
      <c r="AQ288" s="299">
        <f ca="1">BV!S288</f>
        <v>65.09</v>
      </c>
      <c r="AR288" s="299">
        <f ca="1">BV!AA288</f>
        <v>65.28</v>
      </c>
      <c r="AS288" s="299">
        <f ca="1">BV!AI288</f>
        <v>66.03</v>
      </c>
      <c r="AT288" s="300">
        <f ca="1">BV!AQ288</f>
        <v>67.55</v>
      </c>
      <c r="AU288" s="300">
        <f ca="1">BV!AY288</f>
        <v>68.959999999999994</v>
      </c>
      <c r="AV288" s="301">
        <f ca="1">BV!BG288</f>
        <v>70.989999999999995</v>
      </c>
      <c r="AW288" s="301">
        <f ca="1">BV!BO288</f>
        <v>73.17</v>
      </c>
      <c r="AX288" s="301">
        <f ca="1">BV!BW288</f>
        <v>73.239999999999995</v>
      </c>
      <c r="AY288" s="62" t="s">
        <v>3</v>
      </c>
      <c r="AZ288" s="37">
        <f t="shared" si="125"/>
        <v>2.1083757235526437</v>
      </c>
      <c r="BA288" s="261">
        <v>7.7915574360000002E-3</v>
      </c>
      <c r="BB288" s="268">
        <v>7.0097060775999989E-2</v>
      </c>
      <c r="BC288" s="268">
        <f t="shared" si="119"/>
        <v>0.111153839401319</v>
      </c>
      <c r="BD288" s="269">
        <f ca="1">IF(BV!H288="","",INT(NOW()-BV!H288))</f>
        <v>116</v>
      </c>
      <c r="BE288" s="279">
        <f t="shared" si="120"/>
        <v>11.328903090449987</v>
      </c>
      <c r="BF288" s="299">
        <f ca="1">BV!G288</f>
        <v>61.697908674639912</v>
      </c>
      <c r="BG288" s="300">
        <f ca="1">BV!O288</f>
        <v>53.522953882747565</v>
      </c>
      <c r="BH288" s="300">
        <f ca="1">BV!W288</f>
        <v>52.464900009243571</v>
      </c>
      <c r="BI288" s="300">
        <f ca="1">BV!AE288</f>
        <v>52.205572576508935</v>
      </c>
      <c r="BJ288" s="300">
        <f ca="1">BV!AM288</f>
        <v>51.20152611290581</v>
      </c>
      <c r="BK288" s="301">
        <f ca="1">BV!AU288</f>
        <v>49.25836703156557</v>
      </c>
      <c r="BL288" s="301">
        <f ca="1">BV!BC288</f>
        <v>47.558459795202104</v>
      </c>
      <c r="BM288" s="301">
        <f ca="1">BV!BK288</f>
        <v>45.269730766977119</v>
      </c>
      <c r="BN288" s="301">
        <f ca="1">BV!BS288</f>
        <v>43.000837838579066</v>
      </c>
      <c r="BO288" s="301">
        <f ca="1">BV!CA288</f>
        <v>42.930993658021379</v>
      </c>
      <c r="BP288" s="433">
        <v>146</v>
      </c>
      <c r="BQ288" s="11">
        <f ca="1">IFERROR(YEAR(OFFSET(BV!$H288,,(COLUMN()-69)*8)),"")</f>
        <v>2020</v>
      </c>
      <c r="BR288" s="11">
        <f ca="1">IFERROR(YEAR(OFFSET(BV!$H288,,(COLUMN()-69)*8)),"")</f>
        <v>2020</v>
      </c>
      <c r="BS288" s="11">
        <f ca="1">IFERROR(YEAR(OFFSET(BV!$H288,,(COLUMN()-69)*8)),"")</f>
        <v>2020</v>
      </c>
      <c r="BT288" s="11">
        <f ca="1">IFERROR(YEAR(OFFSET(BV!$H288,,(COLUMN()-69)*8)),"")</f>
        <v>2019</v>
      </c>
      <c r="BU288" s="11">
        <f ca="1">IFERROR(YEAR(OFFSET(BV!$H288,,(COLUMN()-69)*8)),"")</f>
        <v>2020</v>
      </c>
      <c r="BV288" s="11">
        <f ca="1">IFERROR(YEAR(OFFSET(BV!$H288,,(COLUMN()-69)*8)),"")</f>
        <v>2020</v>
      </c>
      <c r="BW288" s="11">
        <f ca="1">IFERROR(YEAR(OFFSET(BV!$H288,,(COLUMN()-69)*8)),"")</f>
        <v>2020</v>
      </c>
      <c r="BX288" s="11">
        <f ca="1">IFERROR(YEAR(OFFSET(BV!$H288,,(COLUMN()-69)*8)),"")</f>
        <v>2020</v>
      </c>
      <c r="BY288" s="11">
        <f ca="1">IFERROR(YEAR(OFFSET(BV!$H288,,(COLUMN()-69)*8)),"")</f>
        <v>2020</v>
      </c>
      <c r="BZ288" s="11">
        <f ca="1">IFERROR(YEAR(OFFSET(BV!$H288,,(COLUMN()-69)*8)),"")</f>
        <v>2019</v>
      </c>
    </row>
    <row r="289" spans="1:78" x14ac:dyDescent="0.25">
      <c r="A289" s="433">
        <v>147</v>
      </c>
      <c r="B289" s="299">
        <f ca="1">BV!D289</f>
        <v>2.4386197743861975</v>
      </c>
      <c r="C289" s="299">
        <f ca="1">BV!L289</f>
        <v>2.2990303409446358</v>
      </c>
      <c r="D289" s="300">
        <f ca="1">BV!T289</f>
        <v>2.2082018927444795</v>
      </c>
      <c r="E289" s="300">
        <f ca="1">BV!AB289</f>
        <v>2.2082018927444795</v>
      </c>
      <c r="F289" s="300">
        <f ca="1">BV!AJ289</f>
        <v>2.0516399162595951</v>
      </c>
      <c r="G289" s="300">
        <f ca="1">BV!AR289</f>
        <v>2.0482095583112723</v>
      </c>
      <c r="H289" s="301">
        <f ca="1">BV!AZ289</f>
        <v>1.9584332533972821</v>
      </c>
      <c r="I289" s="301">
        <f ca="1">BV!BH289</f>
        <v>1.9337016574585637</v>
      </c>
      <c r="J289" s="301">
        <f ca="1">BV!BP289</f>
        <v>1.8685648913181645</v>
      </c>
      <c r="K289" s="301">
        <f ca="1">BV!BX289</f>
        <v>1.8023540951446788</v>
      </c>
      <c r="L289" s="62" t="s">
        <v>64</v>
      </c>
      <c r="M289" s="261">
        <v>8.4021305939999992E-3</v>
      </c>
      <c r="N289" s="277">
        <f t="shared" ca="1" si="117"/>
        <v>10.909511043641198</v>
      </c>
      <c r="O289" s="36" t="s">
        <v>20</v>
      </c>
      <c r="P289" s="555">
        <f t="shared" ref="P289:Y289" ca="1" si="138">COUNTIF(B105:B114,"&gt;0")</f>
        <v>10</v>
      </c>
      <c r="Q289" s="553">
        <f t="shared" ca="1" si="138"/>
        <v>9</v>
      </c>
      <c r="R289" s="552">
        <f t="shared" ca="1" si="138"/>
        <v>8</v>
      </c>
      <c r="S289" s="299">
        <f t="shared" ca="1" si="138"/>
        <v>6</v>
      </c>
      <c r="T289" s="301">
        <f t="shared" ca="1" si="138"/>
        <v>4</v>
      </c>
      <c r="U289" s="660">
        <f t="shared" ca="1" si="138"/>
        <v>2</v>
      </c>
      <c r="V289" s="659">
        <f t="shared" ca="1" si="138"/>
        <v>1</v>
      </c>
      <c r="W289" s="712">
        <f t="shared" ca="1" si="138"/>
        <v>1</v>
      </c>
      <c r="X289" s="11">
        <f t="shared" ca="1" si="138"/>
        <v>0</v>
      </c>
      <c r="Y289" s="11">
        <f t="shared" ca="1" si="138"/>
        <v>0</v>
      </c>
      <c r="Z289" s="213">
        <f t="shared" ca="1" si="128"/>
        <v>41</v>
      </c>
      <c r="AA289" s="620">
        <f ca="1">LARGE(Bvs!T$2:T$201,AG289)</f>
        <v>44168.057999999997</v>
      </c>
      <c r="AB289" s="620"/>
      <c r="AC289" s="11">
        <f ca="1">INDEX(Bvs!M$2:M$201,AH289)</f>
        <v>65</v>
      </c>
      <c r="AD289" s="597">
        <f ca="1">INDEX(Bvs!N$2:N$201,AH289)</f>
        <v>22.95</v>
      </c>
      <c r="AE289" s="597"/>
      <c r="AF289" s="11">
        <f ca="1">INDEX(Bvs!O$2:O$201,AH289)</f>
        <v>2.8322440087145972</v>
      </c>
      <c r="AG289" s="1">
        <v>7</v>
      </c>
      <c r="AH289" s="1">
        <f ca="1">MATCH(AA289,Bvs!T$2:T$201,0)</f>
        <v>57</v>
      </c>
      <c r="AI289" s="589">
        <f t="shared" ca="1" si="133"/>
        <v>48.567014901888967</v>
      </c>
      <c r="AJ289" s="589"/>
      <c r="AL289" s="315"/>
      <c r="AM289" s="315"/>
      <c r="AN289" s="433">
        <v>147</v>
      </c>
      <c r="AO289" s="297">
        <f ca="1">BV!C289</f>
        <v>60.28</v>
      </c>
      <c r="AP289" s="298">
        <f ca="1">BV!K289</f>
        <v>63.94</v>
      </c>
      <c r="AQ289" s="300">
        <f ca="1">BV!S289</f>
        <v>66.569999999999993</v>
      </c>
      <c r="AR289" s="300">
        <f ca="1">BV!AA289</f>
        <v>66.569999999999993</v>
      </c>
      <c r="AS289" s="301">
        <f ca="1">BV!AI289</f>
        <v>71.650000000000006</v>
      </c>
      <c r="AT289" s="301">
        <f ca="1">BV!AQ289</f>
        <v>71.77</v>
      </c>
      <c r="AU289" s="302">
        <f ca="1">BV!AY289</f>
        <v>75.06</v>
      </c>
      <c r="AV289" s="302">
        <f ca="1">BV!BG289</f>
        <v>76.02</v>
      </c>
      <c r="AW289" s="302">
        <f ca="1">BV!BO289</f>
        <v>78.67</v>
      </c>
      <c r="AX289" s="660">
        <f ca="1">BV!BW289</f>
        <v>81.56</v>
      </c>
      <c r="AY289" s="62" t="s">
        <v>3</v>
      </c>
      <c r="AZ289" s="37">
        <f t="shared" si="125"/>
        <v>2.0756105725227592</v>
      </c>
      <c r="BA289" s="261">
        <v>8.4021305939999992E-3</v>
      </c>
      <c r="BB289" s="268">
        <v>7.0097060775999989E-2</v>
      </c>
      <c r="BC289" s="268">
        <f t="shared" si="119"/>
        <v>0.11986423540424311</v>
      </c>
      <c r="BD289" s="269">
        <f ca="1">IF(BV!H289="","",INT(NOW()-BV!H289))</f>
        <v>119</v>
      </c>
      <c r="BE289" s="279">
        <f t="shared" si="120"/>
        <v>10.909511043641199</v>
      </c>
      <c r="BF289" s="299">
        <f ca="1">BV!G289</f>
        <v>60.18843843684688</v>
      </c>
      <c r="BG289" s="300">
        <f ca="1">BV!O289</f>
        <v>54.449527548247843</v>
      </c>
      <c r="BH289" s="300">
        <f ca="1">BV!W289</f>
        <v>50.843336578672591</v>
      </c>
      <c r="BI289" s="300">
        <f ca="1">BV!AE289</f>
        <v>50.843336578672591</v>
      </c>
      <c r="BJ289" s="301">
        <f ca="1">BV!AM289</f>
        <v>44.868345873771261</v>
      </c>
      <c r="BK289" s="301">
        <f ca="1">BV!AU289</f>
        <v>44.740886138253053</v>
      </c>
      <c r="BL289" s="301">
        <f ca="1">BV!BC289</f>
        <v>41.458447783491451</v>
      </c>
      <c r="BM289" s="301">
        <f ca="1">BV!BK289</f>
        <v>40.572355215408678</v>
      </c>
      <c r="BN289" s="301">
        <f ca="1">BV!BS289</f>
        <v>38.276483758814116</v>
      </c>
      <c r="BO289" s="302">
        <f ca="1">BV!CA289</f>
        <v>35.999487743754536</v>
      </c>
      <c r="BP289" s="433">
        <v>147</v>
      </c>
      <c r="BQ289" s="11">
        <f ca="1">IFERROR(YEAR(OFFSET(BV!$H289,,(COLUMN()-69)*8)),"")</f>
        <v>2020</v>
      </c>
      <c r="BR289" s="11">
        <f ca="1">IFERROR(YEAR(OFFSET(BV!$H289,,(COLUMN()-69)*8)),"")</f>
        <v>2020</v>
      </c>
      <c r="BS289" s="11">
        <f ca="1">IFERROR(YEAR(OFFSET(BV!$H289,,(COLUMN()-69)*8)),"")</f>
        <v>2020</v>
      </c>
      <c r="BT289" s="11">
        <f ca="1">IFERROR(YEAR(OFFSET(BV!$H289,,(COLUMN()-69)*8)),"")</f>
        <v>2020</v>
      </c>
      <c r="BU289" s="11">
        <f ca="1">IFERROR(YEAR(OFFSET(BV!$H289,,(COLUMN()-69)*8)),"")</f>
        <v>2020</v>
      </c>
      <c r="BV289" s="11">
        <f ca="1">IFERROR(YEAR(OFFSET(BV!$H289,,(COLUMN()-69)*8)),"")</f>
        <v>2020</v>
      </c>
      <c r="BW289" s="11">
        <f ca="1">IFERROR(YEAR(OFFSET(BV!$H289,,(COLUMN()-69)*8)),"")</f>
        <v>2019</v>
      </c>
      <c r="BX289" s="11">
        <f ca="1">IFERROR(YEAR(OFFSET(BV!$H289,,(COLUMN()-69)*8)),"")</f>
        <v>2020</v>
      </c>
      <c r="BY289" s="11">
        <f ca="1">IFERROR(YEAR(OFFSET(BV!$H289,,(COLUMN()-69)*8)),"")</f>
        <v>2020</v>
      </c>
      <c r="BZ289" s="11">
        <f ca="1">IFERROR(YEAR(OFFSET(BV!$H289,,(COLUMN()-69)*8)),"")</f>
        <v>2019</v>
      </c>
    </row>
    <row r="290" spans="1:78" x14ac:dyDescent="0.25">
      <c r="A290" s="433">
        <v>148</v>
      </c>
      <c r="B290" s="299">
        <f ca="1">BV!D290</f>
        <v>2.2598870056497176</v>
      </c>
      <c r="C290" s="299">
        <f ca="1">BV!L290</f>
        <v>2.2595419847328246</v>
      </c>
      <c r="D290" s="300">
        <f ca="1">BV!T290</f>
        <v>2.2465088038858534</v>
      </c>
      <c r="E290" s="300">
        <f ca="1">BV!AB290</f>
        <v>2.1958456973293767</v>
      </c>
      <c r="F290" s="300">
        <f ca="1">BV!AJ290</f>
        <v>2.1780721118469462</v>
      </c>
      <c r="G290" s="300">
        <f ca="1">BV!AR290</f>
        <v>2.1430640023168257</v>
      </c>
      <c r="H290" s="300">
        <f ca="1">BV!AZ290</f>
        <v>2.1043651357884259</v>
      </c>
      <c r="I290" s="300">
        <f ca="1">BV!BH290</f>
        <v>2.0865642182433382</v>
      </c>
      <c r="J290" s="300">
        <f ca="1">BV!BP290</f>
        <v>2.0391292367043263</v>
      </c>
      <c r="K290" s="300">
        <f ca="1">BV!BX290</f>
        <v>2.0149761742682095</v>
      </c>
      <c r="L290" s="62" t="s">
        <v>64</v>
      </c>
      <c r="M290" s="261">
        <v>9.0302170059999992E-3</v>
      </c>
      <c r="N290" s="277">
        <f t="shared" ca="1" si="117"/>
        <v>10.523274678363697</v>
      </c>
      <c r="O290" s="36" t="s">
        <v>21</v>
      </c>
      <c r="P290" s="297">
        <f t="shared" ref="P290:Y290" ca="1" si="139">COUNTIF(B115:B124,"&gt;0")</f>
        <v>7</v>
      </c>
      <c r="Q290" s="302">
        <f t="shared" ca="1" si="139"/>
        <v>3</v>
      </c>
      <c r="R290" s="11">
        <f t="shared" ca="1" si="139"/>
        <v>0</v>
      </c>
      <c r="S290" s="11">
        <f t="shared" ca="1" si="139"/>
        <v>0</v>
      </c>
      <c r="T290" s="11">
        <f t="shared" ca="1" si="139"/>
        <v>0</v>
      </c>
      <c r="U290" s="11">
        <f t="shared" ca="1" si="139"/>
        <v>0</v>
      </c>
      <c r="V290" s="11">
        <f t="shared" ca="1" si="139"/>
        <v>0</v>
      </c>
      <c r="W290" s="92">
        <f t="shared" ca="1" si="139"/>
        <v>0</v>
      </c>
      <c r="X290" s="11">
        <f t="shared" ca="1" si="139"/>
        <v>0</v>
      </c>
      <c r="Y290" s="11">
        <f t="shared" ca="1" si="139"/>
        <v>0</v>
      </c>
      <c r="Z290" s="213">
        <f t="shared" ca="1" si="128"/>
        <v>10</v>
      </c>
      <c r="AA290" s="620">
        <f ca="1">LARGE(Bvs!T$2:T$201,AG290)</f>
        <v>44168.052000000003</v>
      </c>
      <c r="AB290" s="620"/>
      <c r="AC290" s="11">
        <f ca="1">INDEX(Bvs!M$2:M$201,AH290)</f>
        <v>65</v>
      </c>
      <c r="AD290" s="597">
        <f ca="1">INDEX(Bvs!N$2:N$201,AH290)</f>
        <v>22.84</v>
      </c>
      <c r="AE290" s="597"/>
      <c r="AF290" s="11">
        <f ca="1">INDEX(Bvs!O$2:O$201,AH290)</f>
        <v>2.8458844133099825</v>
      </c>
      <c r="AG290" s="1">
        <v>8</v>
      </c>
      <c r="AH290" s="1">
        <f ca="1">MATCH(AA290,Bvs!T$2:T$201,0)</f>
        <v>51</v>
      </c>
      <c r="AI290" s="589">
        <f t="shared" ca="1" si="133"/>
        <v>48.965321970813221</v>
      </c>
      <c r="AJ290" s="589"/>
      <c r="AL290" s="315"/>
      <c r="AM290" s="315"/>
      <c r="AN290" s="433">
        <v>148</v>
      </c>
      <c r="AO290" s="299">
        <f ca="1">BV!C290</f>
        <v>65.489999999999995</v>
      </c>
      <c r="AP290" s="299">
        <f ca="1">BV!K290</f>
        <v>65.5</v>
      </c>
      <c r="AQ290" s="299">
        <f ca="1">BV!S290</f>
        <v>65.88</v>
      </c>
      <c r="AR290" s="300">
        <f ca="1">BV!AA290</f>
        <v>67.400000000000006</v>
      </c>
      <c r="AS290" s="300">
        <f ca="1">BV!AI290</f>
        <v>67.95</v>
      </c>
      <c r="AT290" s="301">
        <f ca="1">BV!AQ290</f>
        <v>69.06</v>
      </c>
      <c r="AU290" s="301">
        <f ca="1">BV!AY290</f>
        <v>70.33</v>
      </c>
      <c r="AV290" s="301">
        <f ca="1">BV!BG290</f>
        <v>70.930000000000007</v>
      </c>
      <c r="AW290" s="301">
        <f ca="1">BV!BO290</f>
        <v>72.58</v>
      </c>
      <c r="AX290" s="301">
        <f ca="1">BV!BW290</f>
        <v>73.45</v>
      </c>
      <c r="AY290" s="62" t="s">
        <v>3</v>
      </c>
      <c r="AZ290" s="37">
        <f t="shared" si="125"/>
        <v>2.0443018129892705</v>
      </c>
      <c r="BA290" s="261">
        <v>9.0302170059999992E-3</v>
      </c>
      <c r="BB290" s="268">
        <v>7.0097060775999989E-2</v>
      </c>
      <c r="BC290" s="268">
        <f t="shared" si="119"/>
        <v>0.12882447432220706</v>
      </c>
      <c r="BD290" s="269">
        <f ca="1">IF(BV!H290="","",INT(NOW()-BV!H290))</f>
        <v>291</v>
      </c>
      <c r="BE290" s="279">
        <f t="shared" si="120"/>
        <v>10.523274678363697</v>
      </c>
      <c r="BF290" s="300">
        <f ca="1">BV!G290</f>
        <v>52.632559124605919</v>
      </c>
      <c r="BG290" s="300">
        <f ca="1">BV!O290</f>
        <v>52.618899495703054</v>
      </c>
      <c r="BH290" s="300">
        <f ca="1">BV!W290</f>
        <v>52.103976210912577</v>
      </c>
      <c r="BI290" s="300">
        <f ca="1">BV!AE290</f>
        <v>50.122202482168163</v>
      </c>
      <c r="BJ290" s="301">
        <f ca="1">BV!AM290</f>
        <v>49.434470521184203</v>
      </c>
      <c r="BK290" s="301">
        <f ca="1">BV!AU290</f>
        <v>48.091330768548346</v>
      </c>
      <c r="BL290" s="301">
        <f ca="1">BV!BC290</f>
        <v>46.624364048330044</v>
      </c>
      <c r="BM290" s="301">
        <f ca="1">BV!BK290</f>
        <v>45.955874946808692</v>
      </c>
      <c r="BN290" s="301">
        <f ca="1">BV!BS290</f>
        <v>44.193981765711698</v>
      </c>
      <c r="BO290" s="301">
        <f ca="1">BV!CA290</f>
        <v>43.307778861180182</v>
      </c>
      <c r="BP290" s="433">
        <v>148</v>
      </c>
      <c r="BQ290" s="11">
        <f ca="1">IFERROR(YEAR(OFFSET(BV!$H290,,(COLUMN()-69)*8)),"")</f>
        <v>2020</v>
      </c>
      <c r="BR290" s="11">
        <f ca="1">IFERROR(YEAR(OFFSET(BV!$H290,,(COLUMN()-69)*8)),"")</f>
        <v>2020</v>
      </c>
      <c r="BS290" s="11">
        <f ca="1">IFERROR(YEAR(OFFSET(BV!$H290,,(COLUMN()-69)*8)),"")</f>
        <v>2020</v>
      </c>
      <c r="BT290" s="11">
        <f ca="1">IFERROR(YEAR(OFFSET(BV!$H290,,(COLUMN()-69)*8)),"")</f>
        <v>2020</v>
      </c>
      <c r="BU290" s="11">
        <f ca="1">IFERROR(YEAR(OFFSET(BV!$H290,,(COLUMN()-69)*8)),"")</f>
        <v>2020</v>
      </c>
      <c r="BV290" s="11">
        <f ca="1">IFERROR(YEAR(OFFSET(BV!$H290,,(COLUMN()-69)*8)),"")</f>
        <v>2020</v>
      </c>
      <c r="BW290" s="11">
        <f ca="1">IFERROR(YEAR(OFFSET(BV!$H290,,(COLUMN()-69)*8)),"")</f>
        <v>2020</v>
      </c>
      <c r="BX290" s="11">
        <f ca="1">IFERROR(YEAR(OFFSET(BV!$H290,,(COLUMN()-69)*8)),"")</f>
        <v>2020</v>
      </c>
      <c r="BY290" s="11">
        <f ca="1">IFERROR(YEAR(OFFSET(BV!$H290,,(COLUMN()-69)*8)),"")</f>
        <v>2020</v>
      </c>
      <c r="BZ290" s="11">
        <f ca="1">IFERROR(YEAR(OFFSET(BV!$H290,,(COLUMN()-69)*8)),"")</f>
        <v>2020</v>
      </c>
    </row>
    <row r="291" spans="1:78" x14ac:dyDescent="0.25">
      <c r="A291" s="433">
        <v>149</v>
      </c>
      <c r="B291" s="300">
        <f ca="1">BV!D291</f>
        <v>2.2416127576350235</v>
      </c>
      <c r="C291" s="300">
        <f ca="1">BV!L291</f>
        <v>2.2159428911362284</v>
      </c>
      <c r="D291" s="300">
        <f ca="1">BV!T291</f>
        <v>2.1898883009994119</v>
      </c>
      <c r="E291" s="300">
        <f ca="1">BV!AB291</f>
        <v>2.15007215007215</v>
      </c>
      <c r="F291" s="300">
        <f ca="1">BV!AJ291</f>
        <v>2.0680083275503125</v>
      </c>
      <c r="G291" s="301">
        <f ca="1">BV!AR291</f>
        <v>1.9156595525842119</v>
      </c>
      <c r="H291" s="301">
        <f ca="1">BV!AZ291</f>
        <v>1.8806007825318691</v>
      </c>
      <c r="I291" s="11" t="str">
        <f ca="1">BV!BH291</f>
        <v/>
      </c>
      <c r="J291" s="11" t="str">
        <f ca="1">BV!BP291</f>
        <v/>
      </c>
      <c r="K291" s="11" t="str">
        <f ca="1">BV!BX291</f>
        <v/>
      </c>
      <c r="L291" s="62" t="s">
        <v>64</v>
      </c>
      <c r="M291" s="261">
        <v>9.6741861320000008E-3</v>
      </c>
      <c r="N291" s="277">
        <f t="shared" ca="1" si="117"/>
        <v>10.166998992156037</v>
      </c>
      <c r="O291" s="36" t="s">
        <v>22</v>
      </c>
      <c r="P291" s="11">
        <f ca="1">COUNTIF(B125:B167,"&gt;0")</f>
        <v>0</v>
      </c>
      <c r="Q291" s="11">
        <f t="shared" ref="Q291:Y291" ca="1" si="140">COUNTIF(C125:C167,"&gt;0")</f>
        <v>0</v>
      </c>
      <c r="R291" s="11">
        <f t="shared" ca="1" si="140"/>
        <v>0</v>
      </c>
      <c r="S291" s="11">
        <f t="shared" ca="1" si="140"/>
        <v>0</v>
      </c>
      <c r="T291" s="11">
        <f t="shared" ca="1" si="140"/>
        <v>0</v>
      </c>
      <c r="U291" s="11">
        <f t="shared" ca="1" si="140"/>
        <v>0</v>
      </c>
      <c r="V291" s="11">
        <f t="shared" ca="1" si="140"/>
        <v>0</v>
      </c>
      <c r="W291" s="11">
        <f t="shared" ca="1" si="140"/>
        <v>0</v>
      </c>
      <c r="X291" s="11">
        <f t="shared" ca="1" si="140"/>
        <v>0</v>
      </c>
      <c r="Y291" s="11">
        <f t="shared" ca="1" si="140"/>
        <v>0</v>
      </c>
      <c r="Z291" s="213">
        <f t="shared" ca="1" si="128"/>
        <v>0</v>
      </c>
      <c r="AA291" s="620">
        <f ca="1">LARGE(Bvs!T$2:T$201,AG291)</f>
        <v>44168.04</v>
      </c>
      <c r="AB291" s="620"/>
      <c r="AC291" s="11">
        <f ca="1">INDEX(Bvs!M$2:M$201,AH291)</f>
        <v>72</v>
      </c>
      <c r="AD291" s="597">
        <f ca="1">INDEX(Bvs!N$2:N$201,AH291)</f>
        <v>25</v>
      </c>
      <c r="AE291" s="597"/>
      <c r="AF291" s="11">
        <f ca="1">INDEX(Bvs!O$2:O$201,AH291)</f>
        <v>2.88</v>
      </c>
      <c r="AG291" s="1">
        <v>9</v>
      </c>
      <c r="AH291" s="1">
        <f ca="1">MATCH(AA291,Bvs!T$2:T$201,0)</f>
        <v>39</v>
      </c>
      <c r="AI291" s="589">
        <f t="shared" ca="1" si="133"/>
        <v>46.515008951538213</v>
      </c>
      <c r="AJ291" s="589"/>
      <c r="AL291" s="315"/>
      <c r="AM291" s="315"/>
      <c r="AN291" s="433">
        <v>149</v>
      </c>
      <c r="AO291" s="299">
        <f ca="1">BV!C291</f>
        <v>66.47</v>
      </c>
      <c r="AP291" s="300">
        <f ca="1">BV!K291</f>
        <v>67.239999999999995</v>
      </c>
      <c r="AQ291" s="300">
        <f ca="1">BV!S291</f>
        <v>68.040000000000006</v>
      </c>
      <c r="AR291" s="301">
        <f ca="1">BV!AA291</f>
        <v>69.3</v>
      </c>
      <c r="AS291" s="301">
        <f ca="1">BV!AI291</f>
        <v>72.05</v>
      </c>
      <c r="AT291" s="302">
        <f ca="1">BV!AQ291</f>
        <v>77.78</v>
      </c>
      <c r="AU291" s="660">
        <f ca="1">BV!AY291</f>
        <v>79.23</v>
      </c>
      <c r="AV291" s="11" t="str">
        <f ca="1">BV!BG291</f>
        <v/>
      </c>
      <c r="AW291" s="11" t="str">
        <f ca="1">BV!BO291</f>
        <v/>
      </c>
      <c r="AX291" s="11" t="str">
        <f ca="1">BV!BW291</f>
        <v/>
      </c>
      <c r="AY291" s="62" t="s">
        <v>3</v>
      </c>
      <c r="AZ291" s="37">
        <f t="shared" si="125"/>
        <v>2.0143855610117711</v>
      </c>
      <c r="BA291" s="261">
        <v>9.6741861320000008E-3</v>
      </c>
      <c r="BB291" s="268">
        <v>7.0097060775999989E-2</v>
      </c>
      <c r="BC291" s="268">
        <f t="shared" si="119"/>
        <v>0.13801129498017803</v>
      </c>
      <c r="BD291" s="269">
        <f ca="1">IF(BV!H291="","",INT(NOW()-BV!H291))</f>
        <v>86</v>
      </c>
      <c r="BE291" s="279">
        <f t="shared" si="120"/>
        <v>10.166998992156037</v>
      </c>
      <c r="BF291" s="300">
        <f ca="1">BV!G291</f>
        <v>51.666955326039968</v>
      </c>
      <c r="BG291" s="300">
        <f ca="1">BV!O291</f>
        <v>50.665160834427702</v>
      </c>
      <c r="BH291" s="301">
        <f ca="1">BV!W291</f>
        <v>49.656625767549052</v>
      </c>
      <c r="BI291" s="301">
        <f ca="1">BV!AE291</f>
        <v>48.131569642795711</v>
      </c>
      <c r="BJ291" s="301">
        <f ca="1">BV!AM291</f>
        <v>45.050410122214956</v>
      </c>
      <c r="BK291" s="301">
        <f ca="1">BV!AU291</f>
        <v>39.554967112870955</v>
      </c>
      <c r="BL291" s="301">
        <f ca="1">BV!BC291</f>
        <v>38.332232060307639</v>
      </c>
      <c r="BM291" s="11" t="str">
        <f ca="1">BV!BK291</f>
        <v/>
      </c>
      <c r="BN291" s="11" t="str">
        <f ca="1">BV!BS291</f>
        <v/>
      </c>
      <c r="BO291" s="11" t="str">
        <f ca="1">BV!CA291</f>
        <v/>
      </c>
      <c r="BP291" s="433">
        <v>149</v>
      </c>
      <c r="BQ291" s="11">
        <f ca="1">IFERROR(YEAR(OFFSET(BV!$H291,,(COLUMN()-69)*8)),"")</f>
        <v>2020</v>
      </c>
      <c r="BR291" s="11">
        <f ca="1">IFERROR(YEAR(OFFSET(BV!$H291,,(COLUMN()-69)*8)),"")</f>
        <v>2020</v>
      </c>
      <c r="BS291" s="11">
        <f ca="1">IFERROR(YEAR(OFFSET(BV!$H291,,(COLUMN()-69)*8)),"")</f>
        <v>2020</v>
      </c>
      <c r="BT291" s="11">
        <f ca="1">IFERROR(YEAR(OFFSET(BV!$H291,,(COLUMN()-69)*8)),"")</f>
        <v>2020</v>
      </c>
      <c r="BU291" s="11">
        <f ca="1">IFERROR(YEAR(OFFSET(BV!$H291,,(COLUMN()-69)*8)),"")</f>
        <v>2020</v>
      </c>
      <c r="BV291" s="11">
        <f ca="1">IFERROR(YEAR(OFFSET(BV!$H291,,(COLUMN()-69)*8)),"")</f>
        <v>2020</v>
      </c>
      <c r="BW291" s="11">
        <f ca="1">IFERROR(YEAR(OFFSET(BV!$H291,,(COLUMN()-69)*8)),"")</f>
        <v>2019</v>
      </c>
      <c r="BX291" s="11" t="str">
        <f ca="1">IFERROR(YEAR(OFFSET(BV!$H291,,(COLUMN()-69)*8)),"")</f>
        <v/>
      </c>
      <c r="BY291" s="11" t="str">
        <f ca="1">IFERROR(YEAR(OFFSET(BV!$H291,,(COLUMN()-69)*8)),"")</f>
        <v/>
      </c>
      <c r="BZ291" s="11" t="str">
        <f ca="1">IFERROR(YEAR(OFFSET(BV!$H291,,(COLUMN()-69)*8)),"")</f>
        <v/>
      </c>
    </row>
    <row r="292" spans="1:78" x14ac:dyDescent="0.25">
      <c r="A292" s="433">
        <v>150</v>
      </c>
      <c r="B292" s="298">
        <f ca="1">BV!D292</f>
        <v>2.5397900440230274</v>
      </c>
      <c r="C292" s="299">
        <f ca="1">BV!L292</f>
        <v>2.3263027295285359</v>
      </c>
      <c r="D292" s="299">
        <f ca="1">BV!T292</f>
        <v>2.255639097744361</v>
      </c>
      <c r="E292" s="300">
        <f ca="1">BV!AB292</f>
        <v>2.1255491001842146</v>
      </c>
      <c r="F292" s="300">
        <f ca="1">BV!AJ292</f>
        <v>2.0804438280166435</v>
      </c>
      <c r="G292" s="300">
        <f ca="1">BV!AR292</f>
        <v>2.0689655172413794</v>
      </c>
      <c r="H292" s="300">
        <f ca="1">BV!AZ292</f>
        <v>2.0500205002050018</v>
      </c>
      <c r="I292" s="300">
        <f ca="1">BV!BH292</f>
        <v>2.0048115477145152</v>
      </c>
      <c r="J292" s="301">
        <f ca="1">BV!BP292</f>
        <v>1.9775873434410021</v>
      </c>
      <c r="K292" s="301">
        <f ca="1">BV!BX292</f>
        <v>1.9623233908948194</v>
      </c>
      <c r="L292" s="15" t="s">
        <v>102</v>
      </c>
      <c r="M292" s="261">
        <v>1.033057907E-2</v>
      </c>
      <c r="N292" s="282">
        <f t="shared" ca="1" si="117"/>
        <v>9.8386988354722735</v>
      </c>
      <c r="O292" s="24" t="s">
        <v>35</v>
      </c>
      <c r="P292" s="301">
        <f t="shared" ref="P292:Y292" ca="1" si="141">COUNTIF(B242:B271,"&gt;0")</f>
        <v>4</v>
      </c>
      <c r="Q292" s="302">
        <f t="shared" ca="1" si="141"/>
        <v>3</v>
      </c>
      <c r="R292" s="659">
        <f t="shared" ca="1" si="141"/>
        <v>1</v>
      </c>
      <c r="S292" s="11">
        <f t="shared" ca="1" si="141"/>
        <v>0</v>
      </c>
      <c r="T292" s="11">
        <f t="shared" ca="1" si="141"/>
        <v>0</v>
      </c>
      <c r="U292" s="11">
        <f t="shared" ca="1" si="141"/>
        <v>0</v>
      </c>
      <c r="V292" s="11">
        <f t="shared" ca="1" si="141"/>
        <v>0</v>
      </c>
      <c r="W292" s="92">
        <f t="shared" ca="1" si="141"/>
        <v>0</v>
      </c>
      <c r="X292" s="11">
        <f t="shared" ca="1" si="141"/>
        <v>0</v>
      </c>
      <c r="Y292" s="11">
        <f t="shared" ca="1" si="141"/>
        <v>0</v>
      </c>
      <c r="Z292" s="213">
        <f t="shared" ca="1" si="128"/>
        <v>8</v>
      </c>
      <c r="AA292" s="620">
        <f ca="1">LARGE(Bvs!T$2:T$201,AG292)</f>
        <v>44168.025999999998</v>
      </c>
      <c r="AB292" s="620"/>
      <c r="AC292" s="11">
        <f ca="1">INDEX(Bvs!M$2:M$201,AH292)</f>
        <v>89</v>
      </c>
      <c r="AD292" s="597">
        <f ca="1">INDEX(Bvs!N$2:N$201,AH292)</f>
        <v>30.26</v>
      </c>
      <c r="AE292" s="597"/>
      <c r="AF292" s="11">
        <f ca="1">INDEX(Bvs!O$2:O$201,AH292)</f>
        <v>2.9411764705882351</v>
      </c>
      <c r="AG292" s="1">
        <v>10</v>
      </c>
      <c r="AH292" s="1">
        <f ca="1">MATCH(AA292,Bvs!T$2:T$201,0)</f>
        <v>25</v>
      </c>
      <c r="AI292" s="589">
        <f t="shared" ca="1" si="133"/>
        <v>41.559610011653078</v>
      </c>
      <c r="AJ292" s="589"/>
      <c r="AL292" s="315"/>
      <c r="AM292" s="315"/>
      <c r="AN292" s="433">
        <v>150</v>
      </c>
      <c r="AO292" s="297">
        <f ca="1">BV!C292</f>
        <v>59.06</v>
      </c>
      <c r="AP292" s="299">
        <f ca="1">BV!K292</f>
        <v>64.48</v>
      </c>
      <c r="AQ292" s="300">
        <f ca="1">BV!S292</f>
        <v>66.5</v>
      </c>
      <c r="AR292" s="301">
        <f ca="1">BV!AA292</f>
        <v>70.569999999999993</v>
      </c>
      <c r="AS292" s="301">
        <f ca="1">BV!AI292</f>
        <v>72.099999999999994</v>
      </c>
      <c r="AT292" s="301">
        <f ca="1">BV!AQ292</f>
        <v>72.5</v>
      </c>
      <c r="AU292" s="301">
        <f ca="1">BV!AY292</f>
        <v>73.17</v>
      </c>
      <c r="AV292" s="302">
        <f ca="1">BV!BG292</f>
        <v>74.819999999999993</v>
      </c>
      <c r="AW292" s="302">
        <f ca="1">BV!BO292</f>
        <v>75.849999999999994</v>
      </c>
      <c r="AX292" s="302">
        <f ca="1">BV!BW292</f>
        <v>76.44</v>
      </c>
      <c r="AY292" s="15" t="s">
        <v>65</v>
      </c>
      <c r="AZ292" s="258">
        <f t="shared" si="125"/>
        <v>1.9858753338669153</v>
      </c>
      <c r="BA292" s="261">
        <v>1.033057907E-2</v>
      </c>
      <c r="BB292" s="56">
        <v>0.13319492362099999</v>
      </c>
      <c r="BC292" s="56">
        <f t="shared" si="119"/>
        <v>7.7559855804979372E-2</v>
      </c>
      <c r="BD292" s="13">
        <f ca="1">IF(BV!H292="","",INT(NOW()-BV!H292))</f>
        <v>13</v>
      </c>
      <c r="BE292" s="260">
        <f t="shared" si="120"/>
        <v>9.8386988354722735</v>
      </c>
      <c r="BF292" s="298">
        <f ca="1">BV!G292</f>
        <v>63.589097601777183</v>
      </c>
      <c r="BG292" s="300">
        <f ca="1">BV!O292</f>
        <v>54.772046152311567</v>
      </c>
      <c r="BH292" s="300">
        <f ca="1">BV!W292</f>
        <v>51.973829497912256</v>
      </c>
      <c r="BI292" s="301">
        <f ca="1">BV!AE292</f>
        <v>46.981547184011589</v>
      </c>
      <c r="BJ292" s="301">
        <f ca="1">BV!AM292</f>
        <v>45.299307651386336</v>
      </c>
      <c r="BK292" s="301">
        <f ca="1">BV!AU292</f>
        <v>44.875252290712758</v>
      </c>
      <c r="BL292" s="301">
        <f ca="1">BV!BC292</f>
        <v>44.178942984841512</v>
      </c>
      <c r="BM292" s="301">
        <f ca="1">BV!BK292</f>
        <v>42.535487812936211</v>
      </c>
      <c r="BN292" s="301">
        <f ca="1">BV!BS292</f>
        <v>41.558227834233435</v>
      </c>
      <c r="BO292" s="301">
        <f ca="1">BV!CA292</f>
        <v>41.014399858376542</v>
      </c>
      <c r="BP292" s="433">
        <v>150</v>
      </c>
      <c r="BQ292" s="11">
        <f ca="1">IFERROR(YEAR(OFFSET(BV!$H292,,(COLUMN()-69)*8)),"")</f>
        <v>2020</v>
      </c>
      <c r="BR292" s="11">
        <f ca="1">IFERROR(YEAR(OFFSET(BV!$H292,,(COLUMN()-69)*8)),"")</f>
        <v>2020</v>
      </c>
      <c r="BS292" s="11">
        <f ca="1">IFERROR(YEAR(OFFSET(BV!$H292,,(COLUMN()-69)*8)),"")</f>
        <v>2020</v>
      </c>
      <c r="BT292" s="11">
        <f ca="1">IFERROR(YEAR(OFFSET(BV!$H292,,(COLUMN()-69)*8)),"")</f>
        <v>2020</v>
      </c>
      <c r="BU292" s="11">
        <f ca="1">IFERROR(YEAR(OFFSET(BV!$H292,,(COLUMN()-69)*8)),"")</f>
        <v>2020</v>
      </c>
      <c r="BV292" s="11">
        <f ca="1">IFERROR(YEAR(OFFSET(BV!$H292,,(COLUMN()-69)*8)),"")</f>
        <v>2019</v>
      </c>
      <c r="BW292" s="11">
        <f ca="1">IFERROR(YEAR(OFFSET(BV!$H292,,(COLUMN()-69)*8)),"")</f>
        <v>2019</v>
      </c>
      <c r="BX292" s="11">
        <f ca="1">IFERROR(YEAR(OFFSET(BV!$H292,,(COLUMN()-69)*8)),"")</f>
        <v>2020</v>
      </c>
      <c r="BY292" s="11">
        <f ca="1">IFERROR(YEAR(OFFSET(BV!$H292,,(COLUMN()-69)*8)),"")</f>
        <v>2019</v>
      </c>
      <c r="BZ292" s="11">
        <f ca="1">IFERROR(YEAR(OFFSET(BV!$H292,,(COLUMN()-69)*8)),"")</f>
        <v>2020</v>
      </c>
    </row>
    <row r="293" spans="1:78" x14ac:dyDescent="0.25">
      <c r="A293" s="433">
        <v>151</v>
      </c>
      <c r="B293" s="299">
        <f ca="1">BV!D293</f>
        <v>2.4323453608247423</v>
      </c>
      <c r="C293" s="299">
        <f ca="1">BV!L293</f>
        <v>2.3730944523023729</v>
      </c>
      <c r="D293" s="299">
        <f ca="1">BV!T293</f>
        <v>2.3273736128236746</v>
      </c>
      <c r="E293" s="299">
        <f ca="1">BV!AB293</f>
        <v>2.2910028827188591</v>
      </c>
      <c r="F293" s="300">
        <f ca="1">BV!AJ293</f>
        <v>2.2124542124542126</v>
      </c>
      <c r="G293" s="300">
        <f ca="1">BV!AR293</f>
        <v>2.2018081073199185</v>
      </c>
      <c r="H293" s="300">
        <f ca="1">BV!AZ293</f>
        <v>2.1808203350664357</v>
      </c>
      <c r="I293" s="300">
        <f ca="1">BV!BH293</f>
        <v>2.1315640880858271</v>
      </c>
      <c r="J293" s="301">
        <f ca="1">BV!BP293</f>
        <v>1.9986763732627399</v>
      </c>
      <c r="K293" s="301">
        <f ca="1">BV!BX293</f>
        <v>1.9546925566343043</v>
      </c>
      <c r="L293" s="15" t="s">
        <v>102</v>
      </c>
      <c r="M293" s="261">
        <v>1.0996668984999999E-2</v>
      </c>
      <c r="N293" s="282">
        <f t="shared" ca="1" si="117"/>
        <v>9.5360698559488934</v>
      </c>
      <c r="O293" s="24" t="s">
        <v>23</v>
      </c>
      <c r="P293" s="555">
        <f t="shared" ref="P293:Y293" ca="1" si="142">COUNTIF(B272:B281,"&gt;0")</f>
        <v>10</v>
      </c>
      <c r="Q293" s="553">
        <f t="shared" ca="1" si="142"/>
        <v>9</v>
      </c>
      <c r="R293" s="297">
        <f t="shared" ca="1" si="142"/>
        <v>7</v>
      </c>
      <c r="S293" s="301">
        <f t="shared" ca="1" si="142"/>
        <v>5</v>
      </c>
      <c r="T293" s="302">
        <f t="shared" ca="1" si="142"/>
        <v>3</v>
      </c>
      <c r="U293" s="302">
        <f t="shared" ca="1" si="142"/>
        <v>3</v>
      </c>
      <c r="V293" s="660">
        <f t="shared" ca="1" si="142"/>
        <v>2</v>
      </c>
      <c r="W293" s="712">
        <f t="shared" ca="1" si="142"/>
        <v>1</v>
      </c>
      <c r="X293" s="11">
        <f t="shared" ca="1" si="142"/>
        <v>0</v>
      </c>
      <c r="Y293" s="11">
        <f t="shared" ca="1" si="142"/>
        <v>0</v>
      </c>
      <c r="Z293" s="213">
        <f t="shared" ca="1" si="128"/>
        <v>40</v>
      </c>
      <c r="AA293" s="620">
        <f ca="1">LARGE(Bvs!AD$2:AD$201,AG293)</f>
        <v>44177.182999999997</v>
      </c>
      <c r="AB293" s="620"/>
      <c r="AC293" s="11">
        <f ca="1">INDEX(Bvs!W$2:W$201,AH293)</f>
        <v>176</v>
      </c>
      <c r="AD293" s="597">
        <f ca="1">INDEX(Bvs!X$2:X$201,AH293)</f>
        <v>72.12</v>
      </c>
      <c r="AE293" s="597"/>
      <c r="AF293" s="11">
        <f ca="1">INDEX(Bvs!Y$2:Y$201,AH293)</f>
        <v>2.4403771491957849</v>
      </c>
      <c r="AG293" s="1">
        <v>1</v>
      </c>
      <c r="AH293" s="1">
        <f ca="1">MATCH(AA293,Bvs!AD$2:AD$201,0)</f>
        <v>182</v>
      </c>
      <c r="AI293" s="589">
        <f ca="1">435.001/(AD293^1.7/AC293)</f>
        <v>53.126132666850523</v>
      </c>
      <c r="AJ293" s="589"/>
      <c r="AL293" s="315"/>
      <c r="AM293" s="315"/>
      <c r="AN293" s="433">
        <v>151</v>
      </c>
      <c r="AO293" s="298">
        <f ca="1">BV!C293</f>
        <v>62.08</v>
      </c>
      <c r="AP293" s="298">
        <f ca="1">BV!K293</f>
        <v>63.63</v>
      </c>
      <c r="AQ293" s="299">
        <f ca="1">BV!S293</f>
        <v>64.88</v>
      </c>
      <c r="AR293" s="299">
        <f ca="1">BV!AA293</f>
        <v>65.91</v>
      </c>
      <c r="AS293" s="300">
        <f ca="1">BV!AI293</f>
        <v>68.25</v>
      </c>
      <c r="AT293" s="300">
        <f ca="1">BV!AQ293</f>
        <v>68.58</v>
      </c>
      <c r="AU293" s="301">
        <f ca="1">BV!AY293</f>
        <v>69.239999999999995</v>
      </c>
      <c r="AV293" s="301">
        <f ca="1">BV!BG293</f>
        <v>70.84</v>
      </c>
      <c r="AW293" s="302">
        <f ca="1">BV!BO293</f>
        <v>75.55</v>
      </c>
      <c r="AX293" s="302">
        <f ca="1">BV!BW293</f>
        <v>77.25</v>
      </c>
      <c r="AY293" s="15" t="s">
        <v>65</v>
      </c>
      <c r="AZ293" s="258">
        <f t="shared" si="125"/>
        <v>1.958738847615731</v>
      </c>
      <c r="BA293" s="261">
        <v>1.0996668984999999E-2</v>
      </c>
      <c r="BB293" s="56">
        <v>0.13319492362099999</v>
      </c>
      <c r="BC293" s="56">
        <f t="shared" si="119"/>
        <v>8.2560721430273973E-2</v>
      </c>
      <c r="BD293" s="13">
        <f ca="1">IF(BV!H293="","",INT(NOW()-BV!H293))</f>
        <v>126</v>
      </c>
      <c r="BE293" s="260">
        <f t="shared" si="120"/>
        <v>9.5360698559488934</v>
      </c>
      <c r="BF293" s="299">
        <f ca="1">BV!G293</f>
        <v>58.809745311628042</v>
      </c>
      <c r="BG293" s="299">
        <f ca="1">BV!O293</f>
        <v>56.395172983111586</v>
      </c>
      <c r="BH293" s="300">
        <f ca="1">BV!W293</f>
        <v>54.560554143863811</v>
      </c>
      <c r="BI293" s="300">
        <f ca="1">BV!AE293</f>
        <v>53.119010063496226</v>
      </c>
      <c r="BJ293" s="300">
        <f ca="1">BV!AM293</f>
        <v>50.060212396885589</v>
      </c>
      <c r="BK293" s="301">
        <f ca="1">BV!AU293</f>
        <v>49.651398476551627</v>
      </c>
      <c r="BL293" s="301">
        <f ca="1">BV!BC293</f>
        <v>48.849508900675296</v>
      </c>
      <c r="BM293" s="301">
        <f ca="1">BV!BK293</f>
        <v>46.988725257625291</v>
      </c>
      <c r="BN293" s="301">
        <f ca="1">BV!BS293</f>
        <v>42.118083948505387</v>
      </c>
      <c r="BO293" s="301">
        <f ca="1">BV!CA293</f>
        <v>40.554567378068512</v>
      </c>
      <c r="BP293" s="433">
        <v>151</v>
      </c>
      <c r="BQ293" s="11">
        <f ca="1">IFERROR(YEAR(OFFSET(BV!$H293,,(COLUMN()-69)*8)),"")</f>
        <v>2020</v>
      </c>
      <c r="BR293" s="11">
        <f ca="1">IFERROR(YEAR(OFFSET(BV!$H293,,(COLUMN()-69)*8)),"")</f>
        <v>2020</v>
      </c>
      <c r="BS293" s="11">
        <f ca="1">IFERROR(YEAR(OFFSET(BV!$H293,,(COLUMN()-69)*8)),"")</f>
        <v>2020</v>
      </c>
      <c r="BT293" s="11">
        <f ca="1">IFERROR(YEAR(OFFSET(BV!$H293,,(COLUMN()-69)*8)),"")</f>
        <v>2020</v>
      </c>
      <c r="BU293" s="11">
        <f ca="1">IFERROR(YEAR(OFFSET(BV!$H293,,(COLUMN()-69)*8)),"")</f>
        <v>2020</v>
      </c>
      <c r="BV293" s="11">
        <f ca="1">IFERROR(YEAR(OFFSET(BV!$H293,,(COLUMN()-69)*8)),"")</f>
        <v>2020</v>
      </c>
      <c r="BW293" s="11">
        <f ca="1">IFERROR(YEAR(OFFSET(BV!$H293,,(COLUMN()-69)*8)),"")</f>
        <v>2019</v>
      </c>
      <c r="BX293" s="11">
        <f ca="1">IFERROR(YEAR(OFFSET(BV!$H293,,(COLUMN()-69)*8)),"")</f>
        <v>2020</v>
      </c>
      <c r="BY293" s="11">
        <f ca="1">IFERROR(YEAR(OFFSET(BV!$H293,,(COLUMN()-69)*8)),"")</f>
        <v>2020</v>
      </c>
      <c r="BZ293" s="11">
        <f ca="1">IFERROR(YEAR(OFFSET(BV!$H293,,(COLUMN()-69)*8)),"")</f>
        <v>2020</v>
      </c>
    </row>
    <row r="294" spans="1:78" x14ac:dyDescent="0.25">
      <c r="A294" s="433">
        <v>152</v>
      </c>
      <c r="B294" s="298">
        <f ca="1">BV!D294</f>
        <v>2.5140588819053922</v>
      </c>
      <c r="C294" s="299">
        <f ca="1">BV!L294</f>
        <v>2.3445935523677313</v>
      </c>
      <c r="D294" s="299">
        <f ca="1">BV!T294</f>
        <v>2.3061750872401761</v>
      </c>
      <c r="E294" s="299">
        <f ca="1">BV!AB294</f>
        <v>2.2683181614684376</v>
      </c>
      <c r="F294" s="300">
        <f ca="1">BV!AJ294</f>
        <v>2.237597526865891</v>
      </c>
      <c r="G294" s="300">
        <f ca="1">BV!AR294</f>
        <v>2.1952628538417103</v>
      </c>
      <c r="H294" s="300">
        <f ca="1">BV!AZ294</f>
        <v>2.1754687276370399</v>
      </c>
      <c r="I294" s="300">
        <f ca="1">BV!BH294</f>
        <v>2.0974196219125156</v>
      </c>
      <c r="J294" s="300">
        <f ca="1">BV!BP294</f>
        <v>2.0833333333333335</v>
      </c>
      <c r="K294" s="300">
        <f ca="1">BV!BX294</f>
        <v>2.0632550563322924</v>
      </c>
      <c r="L294" s="15" t="s">
        <v>102</v>
      </c>
      <c r="M294" s="261">
        <v>1.1668490416E-2</v>
      </c>
      <c r="N294" s="282">
        <f t="shared" ca="1" si="117"/>
        <v>9.2574774552148149</v>
      </c>
      <c r="O294" s="24" t="s">
        <v>24</v>
      </c>
      <c r="P294" s="555">
        <f t="shared" ref="P294:Y294" ca="1" si="143">COUNTIF(B282:B291,"&gt;0")</f>
        <v>10</v>
      </c>
      <c r="Q294" s="555">
        <f t="shared" ca="1" si="143"/>
        <v>10</v>
      </c>
      <c r="R294" s="553">
        <f t="shared" ca="1" si="143"/>
        <v>9</v>
      </c>
      <c r="S294" s="553">
        <f t="shared" ca="1" si="143"/>
        <v>9</v>
      </c>
      <c r="T294" s="553">
        <f t="shared" ca="1" si="143"/>
        <v>9</v>
      </c>
      <c r="U294" s="553">
        <f t="shared" ca="1" si="143"/>
        <v>9</v>
      </c>
      <c r="V294" s="553">
        <f t="shared" ca="1" si="143"/>
        <v>9</v>
      </c>
      <c r="W294" s="714">
        <f t="shared" ca="1" si="143"/>
        <v>7</v>
      </c>
      <c r="X294" s="301">
        <f t="shared" ca="1" si="143"/>
        <v>4</v>
      </c>
      <c r="Y294" s="301">
        <f t="shared" ca="1" si="143"/>
        <v>4</v>
      </c>
      <c r="Z294" s="213">
        <f t="shared" ca="1" si="128"/>
        <v>80</v>
      </c>
      <c r="AA294" s="620">
        <f ca="1">LARGE(Bvs!AD$2:AD$201,AG294)</f>
        <v>44177.031999999999</v>
      </c>
      <c r="AB294" s="620"/>
      <c r="AC294" s="11">
        <f ca="1">INDEX(Bvs!W$2:W$201,AH294)</f>
        <v>181</v>
      </c>
      <c r="AD294" s="597">
        <f ca="1">INDEX(Bvs!X$2:X$201,AH294)</f>
        <v>68.349999999999994</v>
      </c>
      <c r="AE294" s="597"/>
      <c r="AF294" s="11">
        <f ca="1">INDEX(Bvs!Y$2:Y$201,AH294)</f>
        <v>2.6481346013167522</v>
      </c>
      <c r="AG294" s="1">
        <v>2</v>
      </c>
      <c r="AH294" s="1">
        <f ca="1">MATCH(AA294,Bvs!AD$2:AD$201,0)</f>
        <v>31</v>
      </c>
      <c r="AI294" s="589">
        <f t="shared" ref="AI294:AI302" ca="1" si="144">435.001/(AD294^1.7/AC294)</f>
        <v>59.856779701767664</v>
      </c>
      <c r="AJ294" s="589"/>
      <c r="AL294" s="315"/>
      <c r="AM294" s="315"/>
      <c r="AN294" s="433">
        <v>152</v>
      </c>
      <c r="AO294" s="297">
        <f ca="1">BV!C294</f>
        <v>60.46</v>
      </c>
      <c r="AP294" s="299">
        <f ca="1">BV!K294</f>
        <v>64.83</v>
      </c>
      <c r="AQ294" s="299">
        <f ca="1">BV!S294</f>
        <v>65.91</v>
      </c>
      <c r="AR294" s="300">
        <f ca="1">BV!AA294</f>
        <v>67.010000000000005</v>
      </c>
      <c r="AS294" s="300">
        <f ca="1">BV!AI294</f>
        <v>67.930000000000007</v>
      </c>
      <c r="AT294" s="301">
        <f ca="1">BV!AQ294</f>
        <v>69.239999999999995</v>
      </c>
      <c r="AU294" s="301">
        <f ca="1">BV!AY294</f>
        <v>69.87</v>
      </c>
      <c r="AV294" s="301">
        <f ca="1">BV!BG294</f>
        <v>72.47</v>
      </c>
      <c r="AW294" s="301">
        <f ca="1">BV!BO294</f>
        <v>72.959999999999994</v>
      </c>
      <c r="AX294" s="301">
        <f ca="1">BV!BW294</f>
        <v>73.67</v>
      </c>
      <c r="AY294" s="15" t="s">
        <v>65</v>
      </c>
      <c r="AZ294" s="258">
        <f t="shared" si="125"/>
        <v>1.9329853261661094</v>
      </c>
      <c r="BA294" s="261">
        <v>1.1668490416E-2</v>
      </c>
      <c r="BB294" s="56">
        <v>0.13319492362099999</v>
      </c>
      <c r="BC294" s="56">
        <f t="shared" si="119"/>
        <v>8.7604618094921927E-2</v>
      </c>
      <c r="BD294" s="13">
        <f ca="1">IF(BV!H294="","",INT(NOW()-BV!H294))</f>
        <v>121</v>
      </c>
      <c r="BE294" s="260">
        <f t="shared" si="120"/>
        <v>9.2574774552148149</v>
      </c>
      <c r="BF294" s="299">
        <f ca="1">BV!G294</f>
        <v>61.921005564456401</v>
      </c>
      <c r="BG294" s="300">
        <f ca="1">BV!O294</f>
        <v>54.993911008375406</v>
      </c>
      <c r="BH294" s="300">
        <f ca="1">BV!W294</f>
        <v>53.47079158709554</v>
      </c>
      <c r="BI294" s="300">
        <f ca="1">BV!AE294</f>
        <v>51.987207848706461</v>
      </c>
      <c r="BJ294" s="300">
        <f ca="1">BV!AM294</f>
        <v>50.795951337996165</v>
      </c>
      <c r="BK294" s="301">
        <f ca="1">BV!AU294</f>
        <v>49.173015582136721</v>
      </c>
      <c r="BL294" s="301">
        <f ca="1">BV!BC294</f>
        <v>48.421649499630753</v>
      </c>
      <c r="BM294" s="301">
        <f ca="1">BV!BK294</f>
        <v>45.505595184153108</v>
      </c>
      <c r="BN294" s="301">
        <f ca="1">BV!BS294</f>
        <v>44.987270095361431</v>
      </c>
      <c r="BO294" s="301">
        <f ca="1">BV!CA294</f>
        <v>44.252692966486734</v>
      </c>
      <c r="BP294" s="433">
        <v>152</v>
      </c>
      <c r="BQ294" s="11">
        <f ca="1">IFERROR(YEAR(OFFSET(BV!$H294,,(COLUMN()-69)*8)),"")</f>
        <v>2020</v>
      </c>
      <c r="BR294" s="11">
        <f ca="1">IFERROR(YEAR(OFFSET(BV!$H294,,(COLUMN()-69)*8)),"")</f>
        <v>2020</v>
      </c>
      <c r="BS294" s="11">
        <f ca="1">IFERROR(YEAR(OFFSET(BV!$H294,,(COLUMN()-69)*8)),"")</f>
        <v>2020</v>
      </c>
      <c r="BT294" s="11">
        <f ca="1">IFERROR(YEAR(OFFSET(BV!$H294,,(COLUMN()-69)*8)),"")</f>
        <v>2020</v>
      </c>
      <c r="BU294" s="11">
        <f ca="1">IFERROR(YEAR(OFFSET(BV!$H294,,(COLUMN()-69)*8)),"")</f>
        <v>2020</v>
      </c>
      <c r="BV294" s="11">
        <f ca="1">IFERROR(YEAR(OFFSET(BV!$H294,,(COLUMN()-69)*8)),"")</f>
        <v>2019</v>
      </c>
      <c r="BW294" s="11">
        <f ca="1">IFERROR(YEAR(OFFSET(BV!$H294,,(COLUMN()-69)*8)),"")</f>
        <v>2020</v>
      </c>
      <c r="BX294" s="11">
        <f ca="1">IFERROR(YEAR(OFFSET(BV!$H294,,(COLUMN()-69)*8)),"")</f>
        <v>2019</v>
      </c>
      <c r="BY294" s="11">
        <f ca="1">IFERROR(YEAR(OFFSET(BV!$H294,,(COLUMN()-69)*8)),"")</f>
        <v>2020</v>
      </c>
      <c r="BZ294" s="11">
        <f ca="1">IFERROR(YEAR(OFFSET(BV!$H294,,(COLUMN()-69)*8)),"")</f>
        <v>2019</v>
      </c>
    </row>
    <row r="295" spans="1:78" x14ac:dyDescent="0.25">
      <c r="A295" s="433">
        <v>153</v>
      </c>
      <c r="B295" s="299">
        <f ca="1">BV!D295</f>
        <v>2.3287671232876712</v>
      </c>
      <c r="C295" s="300">
        <f ca="1">BV!L295</f>
        <v>2.2222222222222223</v>
      </c>
      <c r="D295" s="300">
        <f ca="1">BV!T295</f>
        <v>2.2087483759203121</v>
      </c>
      <c r="E295" s="300">
        <f ca="1">BV!AB295</f>
        <v>2.1625441696113072</v>
      </c>
      <c r="F295" s="300">
        <f ca="1">BV!AJ295</f>
        <v>2.1324041811846688</v>
      </c>
      <c r="G295" s="300">
        <f ca="1">BV!AR295</f>
        <v>2.1223470661672907</v>
      </c>
      <c r="H295" s="300">
        <f ca="1">BV!AZ295</f>
        <v>2.1051183269124931</v>
      </c>
      <c r="I295" s="300">
        <f ca="1">BV!BH295</f>
        <v>2.0956033420079438</v>
      </c>
      <c r="J295" s="300">
        <f ca="1">BV!BP295</f>
        <v>2.044634504877723</v>
      </c>
      <c r="K295" s="301">
        <f ca="1">BV!BX295</f>
        <v>1.975213013168087</v>
      </c>
      <c r="L295" s="15" t="s">
        <v>102</v>
      </c>
      <c r="M295" s="261">
        <v>1.2342652403999999E-2</v>
      </c>
      <c r="N295" s="282">
        <f t="shared" ca="1" si="117"/>
        <v>9.0011034016246931</v>
      </c>
      <c r="O295" s="24" t="s">
        <v>25</v>
      </c>
      <c r="P295" s="555">
        <f t="shared" ref="P295:Y295" ca="1" si="145">COUNTIF(B292:B301,"&gt;0")</f>
        <v>10</v>
      </c>
      <c r="Q295" s="555">
        <f t="shared" ca="1" si="145"/>
        <v>10</v>
      </c>
      <c r="R295" s="555">
        <f t="shared" ca="1" si="145"/>
        <v>10</v>
      </c>
      <c r="S295" s="555">
        <f t="shared" ca="1" si="145"/>
        <v>10</v>
      </c>
      <c r="T295" s="555">
        <f t="shared" ca="1" si="145"/>
        <v>10</v>
      </c>
      <c r="U295" s="555">
        <f t="shared" ca="1" si="145"/>
        <v>10</v>
      </c>
      <c r="V295" s="555">
        <f t="shared" ca="1" si="145"/>
        <v>10</v>
      </c>
      <c r="W295" s="711">
        <f t="shared" ca="1" si="145"/>
        <v>10</v>
      </c>
      <c r="X295" s="555">
        <f t="shared" ca="1" si="145"/>
        <v>10</v>
      </c>
      <c r="Y295" s="555">
        <f t="shared" ca="1" si="145"/>
        <v>10</v>
      </c>
      <c r="Z295" s="213">
        <f t="shared" ca="1" si="128"/>
        <v>100</v>
      </c>
      <c r="AA295" s="620">
        <f ca="1">LARGE(Bvs!AD$2:AD$201,AG295)</f>
        <v>44167.095999999998</v>
      </c>
      <c r="AB295" s="620"/>
      <c r="AC295" s="11">
        <f ca="1">INDEX(Bvs!W$2:W$201,AH295)</f>
        <v>166</v>
      </c>
      <c r="AD295" s="597">
        <f ca="1">INDEX(Bvs!X$2:X$201,AH295)</f>
        <v>65.510000000000005</v>
      </c>
      <c r="AE295" s="597"/>
      <c r="AF295" s="11">
        <f ca="1">INDEX(Bvs!Y$2:Y$201,AH295)</f>
        <v>2.533964280262555</v>
      </c>
      <c r="AG295" s="1">
        <v>3</v>
      </c>
      <c r="AH295" s="1">
        <f ca="1">MATCH(AA295,Bvs!AD$2:AD$201,0)</f>
        <v>95</v>
      </c>
      <c r="AI295" s="589">
        <f t="shared" ca="1" si="144"/>
        <v>59.003180759393466</v>
      </c>
      <c r="AJ295" s="589"/>
      <c r="AL295" s="315"/>
      <c r="AM295" s="315"/>
      <c r="AN295" s="433">
        <v>153</v>
      </c>
      <c r="AO295" s="299">
        <f ca="1">BV!C295</f>
        <v>65.7</v>
      </c>
      <c r="AP295" s="300">
        <f ca="1">BV!K295</f>
        <v>68.849999999999994</v>
      </c>
      <c r="AQ295" s="301">
        <f ca="1">BV!S295</f>
        <v>69.27</v>
      </c>
      <c r="AR295" s="301">
        <f ca="1">BV!AA295</f>
        <v>70.75</v>
      </c>
      <c r="AS295" s="301">
        <f ca="1">BV!AI295</f>
        <v>71.75</v>
      </c>
      <c r="AT295" s="301">
        <f ca="1">BV!AQ295</f>
        <v>72.09</v>
      </c>
      <c r="AU295" s="301">
        <f ca="1">BV!AY295</f>
        <v>72.680000000000007</v>
      </c>
      <c r="AV295" s="301">
        <f ca="1">BV!BG295</f>
        <v>73.010000000000005</v>
      </c>
      <c r="AW295" s="302">
        <f ca="1">BV!BO295</f>
        <v>74.83</v>
      </c>
      <c r="AX295" s="302">
        <f ca="1">BV!BW295</f>
        <v>77.459999999999994</v>
      </c>
      <c r="AY295" s="15" t="s">
        <v>65</v>
      </c>
      <c r="AZ295" s="258">
        <f t="shared" si="125"/>
        <v>1.9085915015151496</v>
      </c>
      <c r="BA295" s="261">
        <v>1.2342652403999999E-2</v>
      </c>
      <c r="BB295" s="56">
        <v>0.13319492362099999</v>
      </c>
      <c r="BC295" s="56">
        <f t="shared" si="119"/>
        <v>9.2666087178520762E-2</v>
      </c>
      <c r="BD295" s="13">
        <f ca="1">IF(BV!H295="","",INT(NOW()-BV!H295))</f>
        <v>128</v>
      </c>
      <c r="BE295" s="260">
        <f t="shared" si="120"/>
        <v>9.0011034016246931</v>
      </c>
      <c r="BF295" s="300">
        <f ca="1">BV!G295</f>
        <v>54.11536074521193</v>
      </c>
      <c r="BG295" s="301">
        <f ca="1">BV!O295</f>
        <v>49.974099865685901</v>
      </c>
      <c r="BH295" s="301">
        <f ca="1">BV!W295</f>
        <v>49.46008599999054</v>
      </c>
      <c r="BI295" s="301">
        <f ca="1">BV!AE295</f>
        <v>47.714099405535706</v>
      </c>
      <c r="BJ295" s="301">
        <f ca="1">BV!AM295</f>
        <v>46.589113522464281</v>
      </c>
      <c r="BK295" s="301">
        <f ca="1">BV!AU295</f>
        <v>46.216190296715624</v>
      </c>
      <c r="BL295" s="301">
        <f ca="1">BV!BC295</f>
        <v>45.580210284451567</v>
      </c>
      <c r="BM295" s="301">
        <f ca="1">BV!BK295</f>
        <v>45.230531777831501</v>
      </c>
      <c r="BN295" s="301">
        <f ca="1">BV!BS295</f>
        <v>43.376341483930979</v>
      </c>
      <c r="BO295" s="301">
        <f ca="1">BV!CA295</f>
        <v>40.90250897837489</v>
      </c>
      <c r="BP295" s="433">
        <v>153</v>
      </c>
      <c r="BQ295" s="11">
        <f ca="1">IFERROR(YEAR(OFFSET(BV!$H295,,(COLUMN()-69)*8)),"")</f>
        <v>2020</v>
      </c>
      <c r="BR295" s="11">
        <f ca="1">IFERROR(YEAR(OFFSET(BV!$H295,,(COLUMN()-69)*8)),"")</f>
        <v>2020</v>
      </c>
      <c r="BS295" s="11">
        <f ca="1">IFERROR(YEAR(OFFSET(BV!$H295,,(COLUMN()-69)*8)),"")</f>
        <v>2020</v>
      </c>
      <c r="BT295" s="11">
        <f ca="1">IFERROR(YEAR(OFFSET(BV!$H295,,(COLUMN()-69)*8)),"")</f>
        <v>2020</v>
      </c>
      <c r="BU295" s="11">
        <f ca="1">IFERROR(YEAR(OFFSET(BV!$H295,,(COLUMN()-69)*8)),"")</f>
        <v>2020</v>
      </c>
      <c r="BV295" s="11">
        <f ca="1">IFERROR(YEAR(OFFSET(BV!$H295,,(COLUMN()-69)*8)),"")</f>
        <v>2019</v>
      </c>
      <c r="BW295" s="11">
        <f ca="1">IFERROR(YEAR(OFFSET(BV!$H295,,(COLUMN()-69)*8)),"")</f>
        <v>2020</v>
      </c>
      <c r="BX295" s="11">
        <f ca="1">IFERROR(YEAR(OFFSET(BV!$H295,,(COLUMN()-69)*8)),"")</f>
        <v>2020</v>
      </c>
      <c r="BY295" s="11">
        <f ca="1">IFERROR(YEAR(OFFSET(BV!$H295,,(COLUMN()-69)*8)),"")</f>
        <v>2020</v>
      </c>
      <c r="BZ295" s="11">
        <f ca="1">IFERROR(YEAR(OFFSET(BV!$H295,,(COLUMN()-69)*8)),"")</f>
        <v>2020</v>
      </c>
    </row>
    <row r="296" spans="1:78" x14ac:dyDescent="0.25">
      <c r="A296" s="433">
        <v>154</v>
      </c>
      <c r="B296" s="298">
        <f ca="1">BV!D296</f>
        <v>2.5349794238683128</v>
      </c>
      <c r="C296" s="299">
        <f ca="1">BV!L296</f>
        <v>2.3203254482446889</v>
      </c>
      <c r="D296" s="299">
        <f ca="1">BV!T296</f>
        <v>2.2961085433129567</v>
      </c>
      <c r="E296" s="299">
        <f ca="1">BV!AB296</f>
        <v>2.2879215569751894</v>
      </c>
      <c r="F296" s="300">
        <f ca="1">BV!AJ296</f>
        <v>2.1868787276341948</v>
      </c>
      <c r="G296" s="300">
        <f ca="1">BV!AR296</f>
        <v>2.1739130434782608</v>
      </c>
      <c r="H296" s="300">
        <f ca="1">BV!AZ296</f>
        <v>2.1650499086180233</v>
      </c>
      <c r="I296" s="300">
        <f ca="1">BV!BH296</f>
        <v>2.150237363864842</v>
      </c>
      <c r="J296" s="300">
        <f ca="1">BV!BP296</f>
        <v>2.0782726045883941</v>
      </c>
      <c r="K296" s="300">
        <f ca="1">BV!BX296</f>
        <v>2.0774315391879132</v>
      </c>
      <c r="L296" s="15" t="s">
        <v>102</v>
      </c>
      <c r="M296" s="261">
        <v>1.3015910546000001E-2</v>
      </c>
      <c r="N296" s="282">
        <f t="shared" ca="1" si="117"/>
        <v>8.7652180100025205</v>
      </c>
      <c r="O296" s="24" t="s">
        <v>26</v>
      </c>
      <c r="P296" s="555">
        <f t="shared" ref="P296:Y296" ca="1" si="146">COUNTIF(B302:B311,"&gt;0")</f>
        <v>10</v>
      </c>
      <c r="Q296" s="555">
        <f t="shared" ca="1" si="146"/>
        <v>10</v>
      </c>
      <c r="R296" s="555">
        <f t="shared" ca="1" si="146"/>
        <v>10</v>
      </c>
      <c r="S296" s="555">
        <f t="shared" ca="1" si="146"/>
        <v>10</v>
      </c>
      <c r="T296" s="555">
        <f t="shared" ca="1" si="146"/>
        <v>10</v>
      </c>
      <c r="U296" s="555">
        <f t="shared" ca="1" si="146"/>
        <v>10</v>
      </c>
      <c r="V296" s="555">
        <f t="shared" ca="1" si="146"/>
        <v>10</v>
      </c>
      <c r="W296" s="711">
        <f t="shared" ca="1" si="146"/>
        <v>10</v>
      </c>
      <c r="X296" s="555">
        <f t="shared" ca="1" si="146"/>
        <v>10</v>
      </c>
      <c r="Y296" s="555">
        <f t="shared" ca="1" si="146"/>
        <v>10</v>
      </c>
      <c r="Z296" s="213">
        <f t="shared" ca="1" si="128"/>
        <v>100</v>
      </c>
      <c r="AA296" s="620">
        <f ca="1">LARGE(Bvs!AD$2:AD$201,AG296)</f>
        <v>44167.09</v>
      </c>
      <c r="AB296" s="620"/>
      <c r="AC296" s="11">
        <f ca="1">INDEX(Bvs!W$2:W$201,AH296)</f>
        <v>150</v>
      </c>
      <c r="AD296" s="597">
        <f ca="1">INDEX(Bvs!X$2:X$201,AH296)</f>
        <v>59.06</v>
      </c>
      <c r="AE296" s="597"/>
      <c r="AF296" s="11">
        <f ca="1">INDEX(Bvs!Y$2:Y$201,AH296)</f>
        <v>2.5397900440230274</v>
      </c>
      <c r="AG296" s="1">
        <v>4</v>
      </c>
      <c r="AH296" s="1">
        <f ca="1">MATCH(AA296,Bvs!AD$2:AD$201,0)</f>
        <v>89</v>
      </c>
      <c r="AI296" s="589">
        <f t="shared" ca="1" si="144"/>
        <v>63.589097601777183</v>
      </c>
      <c r="AJ296" s="589"/>
      <c r="AL296" s="315"/>
      <c r="AM296" s="315"/>
      <c r="AN296" s="433">
        <v>154</v>
      </c>
      <c r="AO296" s="297">
        <f ca="1">BV!C296</f>
        <v>60.75</v>
      </c>
      <c r="AP296" s="299">
        <f ca="1">BV!K296</f>
        <v>66.37</v>
      </c>
      <c r="AQ296" s="300">
        <f ca="1">BV!S296</f>
        <v>67.069999999999993</v>
      </c>
      <c r="AR296" s="300">
        <f ca="1">BV!AA296</f>
        <v>67.31</v>
      </c>
      <c r="AS296" s="301">
        <f ca="1">BV!AI296</f>
        <v>70.42</v>
      </c>
      <c r="AT296" s="301">
        <f ca="1">BV!AQ296</f>
        <v>70.84</v>
      </c>
      <c r="AU296" s="301">
        <f ca="1">BV!AY296</f>
        <v>71.13</v>
      </c>
      <c r="AV296" s="301">
        <f ca="1">BV!BG296</f>
        <v>71.62</v>
      </c>
      <c r="AW296" s="302">
        <f ca="1">BV!BO296</f>
        <v>74.099999999999994</v>
      </c>
      <c r="AX296" s="302">
        <f ca="1">BV!BW296</f>
        <v>74.13</v>
      </c>
      <c r="AY296" s="15" t="s">
        <v>65</v>
      </c>
      <c r="AZ296" s="258">
        <f t="shared" si="125"/>
        <v>1.885525444821665</v>
      </c>
      <c r="BA296" s="261">
        <v>1.3015910546000001E-2</v>
      </c>
      <c r="BB296" s="56">
        <v>0.13319492362099999</v>
      </c>
      <c r="BC296" s="56">
        <f t="shared" si="119"/>
        <v>9.7720770372872273E-2</v>
      </c>
      <c r="BD296" s="13">
        <f ca="1">IF(BV!H296="","",INT(NOW()-BV!H296))</f>
        <v>119</v>
      </c>
      <c r="BE296" s="260">
        <f t="shared" si="120"/>
        <v>8.7652180100025205</v>
      </c>
      <c r="BF296" s="299">
        <f ca="1">BV!G296</f>
        <v>62.227491807794657</v>
      </c>
      <c r="BG296" s="300">
        <f ca="1">BV!O296</f>
        <v>53.537598468425607</v>
      </c>
      <c r="BH296" s="300">
        <f ca="1">BV!W296</f>
        <v>52.591172746893875</v>
      </c>
      <c r="BI296" s="300">
        <f ca="1">BV!AE296</f>
        <v>52.272788981387791</v>
      </c>
      <c r="BJ296" s="301">
        <f ca="1">BV!AM296</f>
        <v>48.409181638912301</v>
      </c>
      <c r="BK296" s="301">
        <f ca="1">BV!AU296</f>
        <v>47.922276090558249</v>
      </c>
      <c r="BL296" s="301">
        <f ca="1">BV!BC296</f>
        <v>47.590602319508328</v>
      </c>
      <c r="BM296" s="301">
        <f ca="1">BV!BK296</f>
        <v>47.038410497763415</v>
      </c>
      <c r="BN296" s="301">
        <f ca="1">BV!BS296</f>
        <v>44.393565041496821</v>
      </c>
      <c r="BO296" s="301">
        <f ca="1">BV!CA296</f>
        <v>44.363027457332841</v>
      </c>
      <c r="BP296" s="433">
        <v>154</v>
      </c>
      <c r="BQ296" s="11">
        <f ca="1">IFERROR(YEAR(OFFSET(BV!$H296,,(COLUMN()-69)*8)),"")</f>
        <v>2020</v>
      </c>
      <c r="BR296" s="11">
        <f ca="1">IFERROR(YEAR(OFFSET(BV!$H296,,(COLUMN()-69)*8)),"")</f>
        <v>2020</v>
      </c>
      <c r="BS296" s="11">
        <f ca="1">IFERROR(YEAR(OFFSET(BV!$H296,,(COLUMN()-69)*8)),"")</f>
        <v>2020</v>
      </c>
      <c r="BT296" s="11">
        <f ca="1">IFERROR(YEAR(OFFSET(BV!$H296,,(COLUMN()-69)*8)),"")</f>
        <v>2020</v>
      </c>
      <c r="BU296" s="11">
        <f ca="1">IFERROR(YEAR(OFFSET(BV!$H296,,(COLUMN()-69)*8)),"")</f>
        <v>2020</v>
      </c>
      <c r="BV296" s="11">
        <f ca="1">IFERROR(YEAR(OFFSET(BV!$H296,,(COLUMN()-69)*8)),"")</f>
        <v>2020</v>
      </c>
      <c r="BW296" s="11">
        <f ca="1">IFERROR(YEAR(OFFSET(BV!$H296,,(COLUMN()-69)*8)),"")</f>
        <v>2020</v>
      </c>
      <c r="BX296" s="11">
        <f ca="1">IFERROR(YEAR(OFFSET(BV!$H296,,(COLUMN()-69)*8)),"")</f>
        <v>2020</v>
      </c>
      <c r="BY296" s="11">
        <f ca="1">IFERROR(YEAR(OFFSET(BV!$H296,,(COLUMN()-69)*8)),"")</f>
        <v>2020</v>
      </c>
      <c r="BZ296" s="11">
        <f ca="1">IFERROR(YEAR(OFFSET(BV!$H296,,(COLUMN()-69)*8)),"")</f>
        <v>2020</v>
      </c>
    </row>
    <row r="297" spans="1:78" x14ac:dyDescent="0.25">
      <c r="A297" s="433">
        <v>155</v>
      </c>
      <c r="B297" s="299">
        <f ca="1">BV!D297</f>
        <v>2.4184740209080977</v>
      </c>
      <c r="C297" s="299">
        <f ca="1">BV!L297</f>
        <v>2.3835153006304783</v>
      </c>
      <c r="D297" s="299">
        <f ca="1">BV!T297</f>
        <v>2.3375056552556175</v>
      </c>
      <c r="E297" s="299">
        <f ca="1">BV!AB297</f>
        <v>2.3234897316744116</v>
      </c>
      <c r="F297" s="299">
        <f ca="1">BV!AJ297</f>
        <v>2.3017523017523018</v>
      </c>
      <c r="G297" s="299">
        <f ca="1">BV!AR297</f>
        <v>2.2538897775192672</v>
      </c>
      <c r="H297" s="300">
        <f ca="1">BV!AZ297</f>
        <v>2.2496371552975325</v>
      </c>
      <c r="I297" s="300">
        <f ca="1">BV!BH297</f>
        <v>2.0766345123258305</v>
      </c>
      <c r="J297" s="300">
        <f ca="1">BV!BP297</f>
        <v>2.0606221749534699</v>
      </c>
      <c r="K297" s="300">
        <f ca="1">BV!BX297</f>
        <v>2.0567940552016983</v>
      </c>
      <c r="L297" s="15" t="s">
        <v>102</v>
      </c>
      <c r="M297" s="261">
        <v>1.3683310226000001E-2</v>
      </c>
      <c r="N297" s="282">
        <f t="shared" ca="1" si="117"/>
        <v>8.5487853646018603</v>
      </c>
      <c r="O297" s="24" t="s">
        <v>27</v>
      </c>
      <c r="P297" s="555">
        <f t="shared" ref="P297:Y297" ca="1" si="147">COUNTIF(B312:B321,"&gt;0")</f>
        <v>10</v>
      </c>
      <c r="Q297" s="555">
        <f t="shared" ca="1" si="147"/>
        <v>10</v>
      </c>
      <c r="R297" s="555">
        <f t="shared" ca="1" si="147"/>
        <v>10</v>
      </c>
      <c r="S297" s="555">
        <f t="shared" ca="1" si="147"/>
        <v>10</v>
      </c>
      <c r="T297" s="555">
        <f t="shared" ca="1" si="147"/>
        <v>10</v>
      </c>
      <c r="U297" s="555">
        <f t="shared" ca="1" si="147"/>
        <v>10</v>
      </c>
      <c r="V297" s="555">
        <f t="shared" ca="1" si="147"/>
        <v>10</v>
      </c>
      <c r="W297" s="711">
        <f t="shared" ca="1" si="147"/>
        <v>10</v>
      </c>
      <c r="X297" s="555">
        <f t="shared" ca="1" si="147"/>
        <v>10</v>
      </c>
      <c r="Y297" s="555">
        <f t="shared" ca="1" si="147"/>
        <v>10</v>
      </c>
      <c r="Z297" s="213">
        <f t="shared" ca="1" si="128"/>
        <v>100</v>
      </c>
      <c r="AA297" s="620">
        <f ca="1">LARGE(Bvs!AD$2:AD$201,AG297)</f>
        <v>44167.072</v>
      </c>
      <c r="AB297" s="620"/>
      <c r="AC297" s="11">
        <f ca="1">INDEX(Bvs!W$2:W$201,AH297)</f>
        <v>193</v>
      </c>
      <c r="AD297" s="597">
        <f ca="1">INDEX(Bvs!X$2:X$201,AH297)</f>
        <v>75.45</v>
      </c>
      <c r="AE297" s="597"/>
      <c r="AF297" s="11">
        <f ca="1">INDEX(Bvs!Y$2:Y$201,AH297)</f>
        <v>2.5579854208084822</v>
      </c>
      <c r="AG297" s="1">
        <v>5</v>
      </c>
      <c r="AH297" s="1">
        <f ca="1">MATCH(AA297,Bvs!AD$2:AD$201,0)</f>
        <v>71</v>
      </c>
      <c r="AI297" s="589">
        <f t="shared" ca="1" si="144"/>
        <v>53.954397766405052</v>
      </c>
      <c r="AJ297" s="589"/>
      <c r="AL297" s="315"/>
      <c r="AM297" s="315"/>
      <c r="AN297" s="433">
        <v>155</v>
      </c>
      <c r="AO297" s="299">
        <f ca="1">BV!C297</f>
        <v>64.09</v>
      </c>
      <c r="AP297" s="299">
        <f ca="1">BV!K297</f>
        <v>65.03</v>
      </c>
      <c r="AQ297" s="299">
        <f ca="1">BV!S297</f>
        <v>66.31</v>
      </c>
      <c r="AR297" s="300">
        <f ca="1">BV!AA297</f>
        <v>66.709999999999994</v>
      </c>
      <c r="AS297" s="300">
        <f ca="1">BV!AI297</f>
        <v>67.34</v>
      </c>
      <c r="AT297" s="300">
        <f ca="1">BV!AQ297</f>
        <v>68.77</v>
      </c>
      <c r="AU297" s="300">
        <f ca="1">BV!AY297</f>
        <v>68.900000000000006</v>
      </c>
      <c r="AV297" s="302">
        <f ca="1">BV!BG297</f>
        <v>74.64</v>
      </c>
      <c r="AW297" s="302">
        <f ca="1">BV!BO297</f>
        <v>75.22</v>
      </c>
      <c r="AX297" s="302">
        <f ca="1">BV!BW297</f>
        <v>75.36</v>
      </c>
      <c r="AY297" s="15" t="s">
        <v>65</v>
      </c>
      <c r="AZ297" s="258">
        <f t="shared" si="125"/>
        <v>1.8638088266670652</v>
      </c>
      <c r="BA297" s="261">
        <v>1.3683310226000001E-2</v>
      </c>
      <c r="BB297" s="56">
        <v>0.13319492362099999</v>
      </c>
      <c r="BC297" s="56">
        <f t="shared" si="119"/>
        <v>0.10273146944349942</v>
      </c>
      <c r="BD297" s="13">
        <f ca="1">IF(BV!H297="","",INT(NOW()-BV!H297))</f>
        <v>119</v>
      </c>
      <c r="BE297" s="260">
        <f t="shared" si="120"/>
        <v>8.5487853646018603</v>
      </c>
      <c r="BF297" s="299">
        <f ca="1">BV!G297</f>
        <v>57.184521549131375</v>
      </c>
      <c r="BG297" s="300">
        <f ca="1">BV!O297</f>
        <v>55.786430212570117</v>
      </c>
      <c r="BH297" s="300">
        <f ca="1">BV!W297</f>
        <v>53.968159334778214</v>
      </c>
      <c r="BI297" s="300">
        <f ca="1">BV!AE297</f>
        <v>53.419196876275407</v>
      </c>
      <c r="BJ297" s="300">
        <f ca="1">BV!AM297</f>
        <v>52.572382982638572</v>
      </c>
      <c r="BK297" s="300">
        <f ca="1">BV!AU297</f>
        <v>50.727517822210082</v>
      </c>
      <c r="BL297" s="300">
        <f ca="1">BV!BC297</f>
        <v>50.564914386872495</v>
      </c>
      <c r="BM297" s="301">
        <f ca="1">BV!BK297</f>
        <v>44.13368401398359</v>
      </c>
      <c r="BN297" s="301">
        <f ca="1">BV!BS297</f>
        <v>43.556732626806792</v>
      </c>
      <c r="BO297" s="301">
        <f ca="1">BV!CA297</f>
        <v>43.419262341712233</v>
      </c>
      <c r="BP297" s="433">
        <v>155</v>
      </c>
      <c r="BQ297" s="11">
        <f ca="1">IFERROR(YEAR(OFFSET(BV!$H297,,(COLUMN()-69)*8)),"")</f>
        <v>2020</v>
      </c>
      <c r="BR297" s="11">
        <f ca="1">IFERROR(YEAR(OFFSET(BV!$H297,,(COLUMN()-69)*8)),"")</f>
        <v>2020</v>
      </c>
      <c r="BS297" s="11">
        <f ca="1">IFERROR(YEAR(OFFSET(BV!$H297,,(COLUMN()-69)*8)),"")</f>
        <v>2020</v>
      </c>
      <c r="BT297" s="11">
        <f ca="1">IFERROR(YEAR(OFFSET(BV!$H297,,(COLUMN()-69)*8)),"")</f>
        <v>2020</v>
      </c>
      <c r="BU297" s="11">
        <f ca="1">IFERROR(YEAR(OFFSET(BV!$H297,,(COLUMN()-69)*8)),"")</f>
        <v>2020</v>
      </c>
      <c r="BV297" s="11">
        <f ca="1">IFERROR(YEAR(OFFSET(BV!$H297,,(COLUMN()-69)*8)),"")</f>
        <v>2020</v>
      </c>
      <c r="BW297" s="11">
        <f ca="1">IFERROR(YEAR(OFFSET(BV!$H297,,(COLUMN()-69)*8)),"")</f>
        <v>2020</v>
      </c>
      <c r="BX297" s="11">
        <f ca="1">IFERROR(YEAR(OFFSET(BV!$H297,,(COLUMN()-69)*8)),"")</f>
        <v>2020</v>
      </c>
      <c r="BY297" s="11">
        <f ca="1">IFERROR(YEAR(OFFSET(BV!$H297,,(COLUMN()-69)*8)),"")</f>
        <v>2020</v>
      </c>
      <c r="BZ297" s="11">
        <f ca="1">IFERROR(YEAR(OFFSET(BV!$H297,,(COLUMN()-69)*8)),"")</f>
        <v>2020</v>
      </c>
    </row>
    <row r="298" spans="1:78" x14ac:dyDescent="0.25">
      <c r="A298" s="433">
        <v>156</v>
      </c>
      <c r="B298" s="299">
        <f ca="1">BV!D298</f>
        <v>2.4133663366336635</v>
      </c>
      <c r="C298" s="299">
        <f ca="1">BV!L298</f>
        <v>2.3469234241010981</v>
      </c>
      <c r="D298" s="299">
        <f ca="1">BV!T298</f>
        <v>2.3138534559477901</v>
      </c>
      <c r="E298" s="299">
        <f ca="1">BV!AB298</f>
        <v>2.3083752589523527</v>
      </c>
      <c r="F298" s="299">
        <f ca="1">BV!AJ298</f>
        <v>2.2978347326557667</v>
      </c>
      <c r="G298" s="300">
        <f ca="1">BV!AR298</f>
        <v>2.1763392857142856</v>
      </c>
      <c r="H298" s="300">
        <f ca="1">BV!AZ298</f>
        <v>2.1158280211582801</v>
      </c>
      <c r="I298" s="300">
        <f ca="1">BV!BH298</f>
        <v>2.1146807645384302</v>
      </c>
      <c r="J298" s="300">
        <f ca="1">BV!BP298</f>
        <v>2.1098187719772787</v>
      </c>
      <c r="K298" s="300">
        <f ca="1">BV!BX298</f>
        <v>2.1018593371059016</v>
      </c>
      <c r="L298" s="15" t="s">
        <v>102</v>
      </c>
      <c r="M298" s="261">
        <v>1.434145731E-2</v>
      </c>
      <c r="N298" s="282">
        <f t="shared" ca="1" si="117"/>
        <v>8.3503245947134932</v>
      </c>
      <c r="O298" s="24" t="s">
        <v>28</v>
      </c>
      <c r="P298" s="555">
        <f t="shared" ref="P298:Y298" ca="1" si="148">COUNTIF(B322:B331,"&gt;0")</f>
        <v>10</v>
      </c>
      <c r="Q298" s="555">
        <f t="shared" ca="1" si="148"/>
        <v>10</v>
      </c>
      <c r="R298" s="555">
        <f t="shared" ca="1" si="148"/>
        <v>10</v>
      </c>
      <c r="S298" s="555">
        <f t="shared" ca="1" si="148"/>
        <v>10</v>
      </c>
      <c r="T298" s="555">
        <f t="shared" ca="1" si="148"/>
        <v>10</v>
      </c>
      <c r="U298" s="555">
        <f t="shared" ca="1" si="148"/>
        <v>10</v>
      </c>
      <c r="V298" s="555">
        <f t="shared" ca="1" si="148"/>
        <v>10</v>
      </c>
      <c r="W298" s="711">
        <f t="shared" ca="1" si="148"/>
        <v>10</v>
      </c>
      <c r="X298" s="555">
        <f t="shared" ca="1" si="148"/>
        <v>10</v>
      </c>
      <c r="Y298" s="553">
        <f t="shared" ca="1" si="148"/>
        <v>9</v>
      </c>
      <c r="Z298" s="213">
        <f t="shared" ca="1" si="128"/>
        <v>99</v>
      </c>
      <c r="AA298" s="620">
        <f ca="1">LARGE(Bvs!AD$2:AD$201,AG298)</f>
        <v>44167.012000000002</v>
      </c>
      <c r="AB298" s="620"/>
      <c r="AC298" s="11">
        <f ca="1">INDEX(Bvs!W$2:W$201,AH298)</f>
        <v>214</v>
      </c>
      <c r="AD298" s="597">
        <f ca="1">INDEX(Bvs!X$2:X$201,AH298)</f>
        <v>78.17</v>
      </c>
      <c r="AE298" s="597"/>
      <c r="AF298" s="11">
        <f ca="1">INDEX(Bvs!Y$2:Y$201,AH298)</f>
        <v>2.7376231290776514</v>
      </c>
      <c r="AG298" s="1">
        <v>6</v>
      </c>
      <c r="AH298" s="1">
        <f ca="1">MATCH(AA298,Bvs!AD$2:AD$201,0)</f>
        <v>11</v>
      </c>
      <c r="AI298" s="589">
        <f t="shared" ca="1" si="144"/>
        <v>56.329492483465359</v>
      </c>
      <c r="AJ298" s="589"/>
      <c r="AL298" s="315"/>
      <c r="AM298" s="315"/>
      <c r="AN298" s="433">
        <v>156</v>
      </c>
      <c r="AO298" s="299">
        <f ca="1">BV!C298</f>
        <v>64.64</v>
      </c>
      <c r="AP298" s="299">
        <f ca="1">BV!K298</f>
        <v>66.47</v>
      </c>
      <c r="AQ298" s="300">
        <f ca="1">BV!S298</f>
        <v>67.42</v>
      </c>
      <c r="AR298" s="300">
        <f ca="1">BV!AA298</f>
        <v>67.58</v>
      </c>
      <c r="AS298" s="300">
        <f ca="1">BV!AI298</f>
        <v>67.89</v>
      </c>
      <c r="AT298" s="301">
        <f ca="1">BV!AQ298</f>
        <v>71.680000000000007</v>
      </c>
      <c r="AU298" s="301">
        <f ca="1">BV!AY298</f>
        <v>73.73</v>
      </c>
      <c r="AV298" s="301">
        <f ca="1">BV!BG298</f>
        <v>73.77</v>
      </c>
      <c r="AW298" s="301">
        <f ca="1">BV!BO298</f>
        <v>73.94</v>
      </c>
      <c r="AX298" s="302">
        <f ca="1">BV!BW298</f>
        <v>74.22</v>
      </c>
      <c r="AY298" s="15" t="s">
        <v>65</v>
      </c>
      <c r="AZ298" s="258">
        <f t="shared" si="125"/>
        <v>1.8434067155068437</v>
      </c>
      <c r="BA298" s="261">
        <v>1.434145731E-2</v>
      </c>
      <c r="BB298" s="56">
        <v>0.13319492362099999</v>
      </c>
      <c r="BC298" s="56">
        <f t="shared" si="119"/>
        <v>0.10767270193275499</v>
      </c>
      <c r="BD298" s="13">
        <f ca="1">IF(BV!H298="","",INT(NOW()-BV!H298))</f>
        <v>105</v>
      </c>
      <c r="BE298" s="260">
        <f t="shared" si="120"/>
        <v>8.3503245947134914</v>
      </c>
      <c r="BF298" s="299">
        <f ca="1">BV!G298</f>
        <v>56.72344021772664</v>
      </c>
      <c r="BG298" s="300">
        <f ca="1">BV!O298</f>
        <v>54.094261952095543</v>
      </c>
      <c r="BH298" s="300">
        <f ca="1">BV!W298</f>
        <v>52.804870486267923</v>
      </c>
      <c r="BI298" s="300">
        <f ca="1">BV!AE298</f>
        <v>52.592514461554273</v>
      </c>
      <c r="BJ298" s="300">
        <f ca="1">BV!AM298</f>
        <v>52.184914822725894</v>
      </c>
      <c r="BK298" s="301">
        <f ca="1">BV!AU298</f>
        <v>47.581514285097398</v>
      </c>
      <c r="BL298" s="301">
        <f ca="1">BV!BC298</f>
        <v>45.35442402765846</v>
      </c>
      <c r="BM298" s="301">
        <f ca="1">BV!BK298</f>
        <v>45.312624983271341</v>
      </c>
      <c r="BN298" s="301">
        <f ca="1">BV!BS298</f>
        <v>45.135659764403115</v>
      </c>
      <c r="BO298" s="301">
        <f ca="1">BV!CA298</f>
        <v>44.846570635778612</v>
      </c>
      <c r="BP298" s="433">
        <v>156</v>
      </c>
      <c r="BQ298" s="11">
        <f ca="1">IFERROR(YEAR(OFFSET(BV!$H298,,(COLUMN()-69)*8)),"")</f>
        <v>2020</v>
      </c>
      <c r="BR298" s="11">
        <f ca="1">IFERROR(YEAR(OFFSET(BV!$H298,,(COLUMN()-69)*8)),"")</f>
        <v>2020</v>
      </c>
      <c r="BS298" s="11">
        <f ca="1">IFERROR(YEAR(OFFSET(BV!$H298,,(COLUMN()-69)*8)),"")</f>
        <v>2020</v>
      </c>
      <c r="BT298" s="11">
        <f ca="1">IFERROR(YEAR(OFFSET(BV!$H298,,(COLUMN()-69)*8)),"")</f>
        <v>2020</v>
      </c>
      <c r="BU298" s="11">
        <f ca="1">IFERROR(YEAR(OFFSET(BV!$H298,,(COLUMN()-69)*8)),"")</f>
        <v>2020</v>
      </c>
      <c r="BV298" s="11">
        <f ca="1">IFERROR(YEAR(OFFSET(BV!$H298,,(COLUMN()-69)*8)),"")</f>
        <v>2020</v>
      </c>
      <c r="BW298" s="11">
        <f ca="1">IFERROR(YEAR(OFFSET(BV!$H298,,(COLUMN()-69)*8)),"")</f>
        <v>2020</v>
      </c>
      <c r="BX298" s="11">
        <f ca="1">IFERROR(YEAR(OFFSET(BV!$H298,,(COLUMN()-69)*8)),"")</f>
        <v>2019</v>
      </c>
      <c r="BY298" s="11">
        <f ca="1">IFERROR(YEAR(OFFSET(BV!$H298,,(COLUMN()-69)*8)),"")</f>
        <v>2019</v>
      </c>
      <c r="BZ298" s="11">
        <f ca="1">IFERROR(YEAR(OFFSET(BV!$H298,,(COLUMN()-69)*8)),"")</f>
        <v>2020</v>
      </c>
    </row>
    <row r="299" spans="1:78" x14ac:dyDescent="0.25">
      <c r="A299" s="433">
        <v>157</v>
      </c>
      <c r="B299" s="299">
        <f ca="1">BV!D299</f>
        <v>2.3954836740921572</v>
      </c>
      <c r="C299" s="299">
        <f ca="1">BV!L299</f>
        <v>2.3903775883069427</v>
      </c>
      <c r="D299" s="299">
        <f ca="1">BV!T299</f>
        <v>2.3787878787878789</v>
      </c>
      <c r="E299" s="299">
        <f ca="1">BV!AB299</f>
        <v>2.3331847228414322</v>
      </c>
      <c r="F299" s="299">
        <f ca="1">BV!AJ299</f>
        <v>2.3112027086706903</v>
      </c>
      <c r="G299" s="299">
        <f ca="1">BV!AR299</f>
        <v>2.2990188900278223</v>
      </c>
      <c r="H299" s="299">
        <f ca="1">BV!AZ299</f>
        <v>2.2963287991809271</v>
      </c>
      <c r="I299" s="299">
        <f ca="1">BV!BH299</f>
        <v>2.2655122655122657</v>
      </c>
      <c r="J299" s="299">
        <f ca="1">BV!BP299</f>
        <v>2.2602936942124967</v>
      </c>
      <c r="K299" s="300">
        <f ca="1">BV!BX299</f>
        <v>2.2473518465502433</v>
      </c>
      <c r="L299" s="15" t="s">
        <v>102</v>
      </c>
      <c r="M299" s="261">
        <v>1.4985933655E-2</v>
      </c>
      <c r="N299" s="282">
        <f t="shared" ca="1" si="117"/>
        <v>8.1687968781442919</v>
      </c>
      <c r="O299" s="24" t="s">
        <v>29</v>
      </c>
      <c r="P299" s="555">
        <f t="shared" ref="P299:Y299" ca="1" si="149">COUNTIF(B332:B341,"&gt;0")</f>
        <v>10</v>
      </c>
      <c r="Q299" s="555">
        <f t="shared" ca="1" si="149"/>
        <v>10</v>
      </c>
      <c r="R299" s="555">
        <f t="shared" ca="1" si="149"/>
        <v>10</v>
      </c>
      <c r="S299" s="555">
        <f t="shared" ca="1" si="149"/>
        <v>10</v>
      </c>
      <c r="T299" s="555">
        <f t="shared" ca="1" si="149"/>
        <v>10</v>
      </c>
      <c r="U299" s="555">
        <f t="shared" ca="1" si="149"/>
        <v>10</v>
      </c>
      <c r="V299" s="552">
        <f t="shared" ca="1" si="149"/>
        <v>8</v>
      </c>
      <c r="W299" s="545">
        <f t="shared" ca="1" si="149"/>
        <v>8</v>
      </c>
      <c r="X299" s="301">
        <f t="shared" ca="1" si="149"/>
        <v>5</v>
      </c>
      <c r="Y299" s="301">
        <f t="shared" ca="1" si="149"/>
        <v>4</v>
      </c>
      <c r="Z299" s="213">
        <f t="shared" ca="1" si="128"/>
        <v>85</v>
      </c>
      <c r="AA299" s="620">
        <f ca="1">LARGE(Bvs!AD$2:AD$201,AG299)</f>
        <v>44154.029000000002</v>
      </c>
      <c r="AB299" s="620"/>
      <c r="AC299" s="11">
        <f ca="1">INDEX(Bvs!W$2:W$201,AH299)</f>
        <v>201</v>
      </c>
      <c r="AD299" s="597">
        <f ca="1">INDEX(Bvs!X$2:X$201,AH299)</f>
        <v>75.63</v>
      </c>
      <c r="AE299" s="597"/>
      <c r="AF299" s="11">
        <f ca="1">INDEX(Bvs!Y$2:Y$201,AH299)</f>
        <v>2.6576755255850855</v>
      </c>
      <c r="AG299" s="1">
        <v>7</v>
      </c>
      <c r="AH299" s="1">
        <f ca="1">MATCH(AA299,Bvs!AD$2:AD$201,0)</f>
        <v>28</v>
      </c>
      <c r="AI299" s="589">
        <f t="shared" ca="1" si="144"/>
        <v>55.963689979838989</v>
      </c>
      <c r="AJ299" s="589"/>
      <c r="AL299" s="315"/>
      <c r="AM299" s="315"/>
      <c r="AN299" s="433">
        <v>157</v>
      </c>
      <c r="AO299" s="299">
        <f ca="1">BV!C299</f>
        <v>65.540000000000006</v>
      </c>
      <c r="AP299" s="299">
        <f ca="1">BV!K299</f>
        <v>65.680000000000007</v>
      </c>
      <c r="AQ299" s="299">
        <f ca="1">BV!S299</f>
        <v>66</v>
      </c>
      <c r="AR299" s="300">
        <f ca="1">BV!AA299</f>
        <v>67.290000000000006</v>
      </c>
      <c r="AS299" s="300">
        <f ca="1">BV!AI299</f>
        <v>67.930000000000007</v>
      </c>
      <c r="AT299" s="300">
        <f ca="1">BV!AQ299</f>
        <v>68.290000000000006</v>
      </c>
      <c r="AU299" s="300">
        <f ca="1">BV!AY299</f>
        <v>68.37</v>
      </c>
      <c r="AV299" s="301">
        <f ca="1">BV!BG299</f>
        <v>69.3</v>
      </c>
      <c r="AW299" s="301">
        <f ca="1">BV!BO299</f>
        <v>69.459999999999994</v>
      </c>
      <c r="AX299" s="301">
        <f ca="1">BV!BW299</f>
        <v>69.86</v>
      </c>
      <c r="AY299" s="15" t="s">
        <v>65</v>
      </c>
      <c r="AZ299" s="258">
        <f t="shared" si="125"/>
        <v>1.8243161944211677</v>
      </c>
      <c r="BA299" s="261">
        <v>1.4985933655E-2</v>
      </c>
      <c r="BB299" s="56">
        <v>0.13319492362099999</v>
      </c>
      <c r="BC299" s="56">
        <f t="shared" si="119"/>
        <v>0.11251129733473764</v>
      </c>
      <c r="BD299" s="13">
        <f ca="1">IF(BV!H299="","",INT(NOW()-BV!H299))</f>
        <v>119</v>
      </c>
      <c r="BE299" s="260">
        <f t="shared" si="120"/>
        <v>8.1687968781442919</v>
      </c>
      <c r="BF299" s="300">
        <f ca="1">BV!G299</f>
        <v>55.760795994877157</v>
      </c>
      <c r="BG299" s="300">
        <f ca="1">BV!O299</f>
        <v>55.558890291961191</v>
      </c>
      <c r="BH299" s="300">
        <f ca="1">BV!W299</f>
        <v>55.10172783532073</v>
      </c>
      <c r="BI299" s="300">
        <f ca="1">BV!AE299</f>
        <v>53.318019557838795</v>
      </c>
      <c r="BJ299" s="300">
        <f ca="1">BV!AM299</f>
        <v>52.466870789903929</v>
      </c>
      <c r="BK299" s="300">
        <f ca="1">BV!AU299</f>
        <v>51.9975422078547</v>
      </c>
      <c r="BL299" s="300">
        <f ca="1">BV!BC299</f>
        <v>51.894152281028454</v>
      </c>
      <c r="BM299" s="300">
        <f ca="1">BV!BK299</f>
        <v>50.715814992744484</v>
      </c>
      <c r="BN299" s="300">
        <f ca="1">BV!BS299</f>
        <v>50.517375926259199</v>
      </c>
      <c r="BO299" s="300">
        <f ca="1">BV!CA299</f>
        <v>50.026638239089159</v>
      </c>
      <c r="BP299" s="433">
        <v>157</v>
      </c>
      <c r="BQ299" s="11">
        <f ca="1">IFERROR(YEAR(OFFSET(BV!$H299,,(COLUMN()-69)*8)),"")</f>
        <v>2020</v>
      </c>
      <c r="BR299" s="11">
        <f ca="1">IFERROR(YEAR(OFFSET(BV!$H299,,(COLUMN()-69)*8)),"")</f>
        <v>2020</v>
      </c>
      <c r="BS299" s="11">
        <f ca="1">IFERROR(YEAR(OFFSET(BV!$H299,,(COLUMN()-69)*8)),"")</f>
        <v>2020</v>
      </c>
      <c r="BT299" s="11">
        <f ca="1">IFERROR(YEAR(OFFSET(BV!$H299,,(COLUMN()-69)*8)),"")</f>
        <v>2020</v>
      </c>
      <c r="BU299" s="11">
        <f ca="1">IFERROR(YEAR(OFFSET(BV!$H299,,(COLUMN()-69)*8)),"")</f>
        <v>2020</v>
      </c>
      <c r="BV299" s="11">
        <f ca="1">IFERROR(YEAR(OFFSET(BV!$H299,,(COLUMN()-69)*8)),"")</f>
        <v>2020</v>
      </c>
      <c r="BW299" s="11">
        <f ca="1">IFERROR(YEAR(OFFSET(BV!$H299,,(COLUMN()-69)*8)),"")</f>
        <v>2020</v>
      </c>
      <c r="BX299" s="11">
        <f ca="1">IFERROR(YEAR(OFFSET(BV!$H299,,(COLUMN()-69)*8)),"")</f>
        <v>2020</v>
      </c>
      <c r="BY299" s="11">
        <f ca="1">IFERROR(YEAR(OFFSET(BV!$H299,,(COLUMN()-69)*8)),"")</f>
        <v>2020</v>
      </c>
      <c r="BZ299" s="11">
        <f ca="1">IFERROR(YEAR(OFFSET(BV!$H299,,(COLUMN()-69)*8)),"")</f>
        <v>2020</v>
      </c>
    </row>
    <row r="300" spans="1:78" x14ac:dyDescent="0.25">
      <c r="A300" s="433">
        <v>158</v>
      </c>
      <c r="B300" s="298">
        <f ca="1">BV!D300</f>
        <v>2.523155541360588</v>
      </c>
      <c r="C300" s="299">
        <f ca="1">BV!L300</f>
        <v>2.3666866387058119</v>
      </c>
      <c r="D300" s="299">
        <f ca="1">BV!T300</f>
        <v>2.3592653426907573</v>
      </c>
      <c r="E300" s="299">
        <f ca="1">BV!AB300</f>
        <v>2.2845575477154427</v>
      </c>
      <c r="F300" s="300">
        <f ca="1">BV!AJ300</f>
        <v>2.23954642097803</v>
      </c>
      <c r="G300" s="300">
        <f ca="1">BV!AR300</f>
        <v>2.2104085058757694</v>
      </c>
      <c r="H300" s="300">
        <f ca="1">BV!AZ300</f>
        <v>2.2067039106145252</v>
      </c>
      <c r="I300" s="300">
        <f ca="1">BV!BH300</f>
        <v>2.1817177575255453</v>
      </c>
      <c r="J300" s="300">
        <f ca="1">BV!BP300</f>
        <v>2.157880360557225</v>
      </c>
      <c r="K300" s="300">
        <f ca="1">BV!BX300</f>
        <v>2.154055896387185</v>
      </c>
      <c r="L300" s="15" t="s">
        <v>102</v>
      </c>
      <c r="M300" s="261">
        <v>1.5612343814E-2</v>
      </c>
      <c r="N300" s="282">
        <f t="shared" ca="1" si="117"/>
        <v>8.0032419532256185</v>
      </c>
      <c r="O300" s="24" t="s">
        <v>30</v>
      </c>
      <c r="P300" s="555">
        <f t="shared" ref="P300:Y300" ca="1" si="150">COUNTIF(B342:B351,"&gt;0")</f>
        <v>10</v>
      </c>
      <c r="Q300" s="555">
        <f t="shared" ca="1" si="150"/>
        <v>10</v>
      </c>
      <c r="R300" s="552">
        <f t="shared" ca="1" si="150"/>
        <v>8</v>
      </c>
      <c r="S300" s="297">
        <f t="shared" ca="1" si="150"/>
        <v>7</v>
      </c>
      <c r="T300" s="299">
        <f t="shared" ca="1" si="150"/>
        <v>6</v>
      </c>
      <c r="U300" s="302">
        <f t="shared" ca="1" si="150"/>
        <v>3</v>
      </c>
      <c r="V300" s="660">
        <f t="shared" ca="1" si="150"/>
        <v>2</v>
      </c>
      <c r="W300" s="712">
        <f t="shared" ca="1" si="150"/>
        <v>1</v>
      </c>
      <c r="X300" s="659">
        <f t="shared" ca="1" si="150"/>
        <v>1</v>
      </c>
      <c r="Y300" s="659">
        <f t="shared" ca="1" si="150"/>
        <v>1</v>
      </c>
      <c r="Z300" s="213">
        <f t="shared" ca="1" si="128"/>
        <v>49</v>
      </c>
      <c r="AA300" s="620">
        <f ca="1">LARGE(Bvs!AD$2:AD$201,AG300)</f>
        <v>44149.019</v>
      </c>
      <c r="AB300" s="620"/>
      <c r="AC300" s="11">
        <f ca="1">INDEX(Bvs!W$2:W$201,AH300)</f>
        <v>188</v>
      </c>
      <c r="AD300" s="597">
        <f ca="1">INDEX(Bvs!X$2:X$201,AH300)</f>
        <v>69.58</v>
      </c>
      <c r="AE300" s="597"/>
      <c r="AF300" s="11">
        <f ca="1">INDEX(Bvs!Y$2:Y$201,AH300)</f>
        <v>2.7019258407588387</v>
      </c>
      <c r="AG300" s="1">
        <v>8</v>
      </c>
      <c r="AH300" s="1">
        <f ca="1">MATCH(AA300,Bvs!AD$2:AD$201,0)</f>
        <v>18</v>
      </c>
      <c r="AI300" s="589">
        <f t="shared" ca="1" si="144"/>
        <v>60.314895969909593</v>
      </c>
      <c r="AJ300" s="589"/>
      <c r="AL300" s="315"/>
      <c r="AM300" s="315"/>
      <c r="AN300" s="433">
        <v>158</v>
      </c>
      <c r="AO300" s="298">
        <f ca="1">BV!C300</f>
        <v>62.62</v>
      </c>
      <c r="AP300" s="300">
        <f ca="1">BV!K300</f>
        <v>66.760000000000005</v>
      </c>
      <c r="AQ300" s="300">
        <f ca="1">BV!S300</f>
        <v>66.97</v>
      </c>
      <c r="AR300" s="301">
        <f ca="1">BV!AA300</f>
        <v>69.16</v>
      </c>
      <c r="AS300" s="301">
        <f ca="1">BV!AI300</f>
        <v>70.55</v>
      </c>
      <c r="AT300" s="301">
        <f ca="1">BV!AQ300</f>
        <v>71.48</v>
      </c>
      <c r="AU300" s="301">
        <f ca="1">BV!AY300</f>
        <v>71.599999999999994</v>
      </c>
      <c r="AV300" s="301">
        <f ca="1">BV!BG300</f>
        <v>72.42</v>
      </c>
      <c r="AW300" s="301">
        <f ca="1">BV!BO300</f>
        <v>73.22</v>
      </c>
      <c r="AX300" s="301">
        <f ca="1">BV!BW300</f>
        <v>73.349999999999994</v>
      </c>
      <c r="AY300" s="15" t="s">
        <v>65</v>
      </c>
      <c r="AZ300" s="258">
        <f t="shared" si="125"/>
        <v>1.806531893281202</v>
      </c>
      <c r="BA300" s="261">
        <v>1.5612343814E-2</v>
      </c>
      <c r="BB300" s="56">
        <v>0.13319492362099999</v>
      </c>
      <c r="BC300" s="56">
        <f t="shared" si="119"/>
        <v>0.11721425554043038</v>
      </c>
      <c r="BD300" s="13">
        <f ca="1">IF(BV!H300="","",INT(NOW()-BV!H300))</f>
        <v>82</v>
      </c>
      <c r="BE300" s="260">
        <f t="shared" si="120"/>
        <v>8.0032419532256185</v>
      </c>
      <c r="BF300" s="299">
        <f ca="1">BV!G300</f>
        <v>60.636640916130851</v>
      </c>
      <c r="BG300" s="300">
        <f ca="1">BV!O300</f>
        <v>54.383804330018094</v>
      </c>
      <c r="BH300" s="300">
        <f ca="1">BV!W300</f>
        <v>54.094216404802005</v>
      </c>
      <c r="BI300" s="300">
        <f ca="1">BV!AE300</f>
        <v>51.214609829710533</v>
      </c>
      <c r="BJ300" s="301">
        <f ca="1">BV!AM300</f>
        <v>49.511081334084707</v>
      </c>
      <c r="BK300" s="301">
        <f ca="1">BV!AU300</f>
        <v>48.42098477396874</v>
      </c>
      <c r="BL300" s="301">
        <f ca="1">BV!BC300</f>
        <v>48.283106482983108</v>
      </c>
      <c r="BM300" s="301">
        <f ca="1">BV!BK300</f>
        <v>47.357400718398772</v>
      </c>
      <c r="BN300" s="301">
        <f ca="1">BV!BS300</f>
        <v>46.481144228203917</v>
      </c>
      <c r="BO300" s="301">
        <f ca="1">BV!CA300</f>
        <v>46.341185677733279</v>
      </c>
      <c r="BP300" s="433">
        <v>158</v>
      </c>
      <c r="BQ300" s="11">
        <f ca="1">IFERROR(YEAR(OFFSET(BV!$H300,,(COLUMN()-69)*8)),"")</f>
        <v>2020</v>
      </c>
      <c r="BR300" s="11">
        <f ca="1">IFERROR(YEAR(OFFSET(BV!$H300,,(COLUMN()-69)*8)),"")</f>
        <v>2020</v>
      </c>
      <c r="BS300" s="11">
        <f ca="1">IFERROR(YEAR(OFFSET(BV!$H300,,(COLUMN()-69)*8)),"")</f>
        <v>2020</v>
      </c>
      <c r="BT300" s="11">
        <f ca="1">IFERROR(YEAR(OFFSET(BV!$H300,,(COLUMN()-69)*8)),"")</f>
        <v>2020</v>
      </c>
      <c r="BU300" s="11">
        <f ca="1">IFERROR(YEAR(OFFSET(BV!$H300,,(COLUMN()-69)*8)),"")</f>
        <v>2020</v>
      </c>
      <c r="BV300" s="11">
        <f ca="1">IFERROR(YEAR(OFFSET(BV!$H300,,(COLUMN()-69)*8)),"")</f>
        <v>2020</v>
      </c>
      <c r="BW300" s="11">
        <f ca="1">IFERROR(YEAR(OFFSET(BV!$H300,,(COLUMN()-69)*8)),"")</f>
        <v>2019</v>
      </c>
      <c r="BX300" s="11">
        <f ca="1">IFERROR(YEAR(OFFSET(BV!$H300,,(COLUMN()-69)*8)),"")</f>
        <v>2020</v>
      </c>
      <c r="BY300" s="11">
        <f ca="1">IFERROR(YEAR(OFFSET(BV!$H300,,(COLUMN()-69)*8)),"")</f>
        <v>2020</v>
      </c>
      <c r="BZ300" s="11">
        <f ca="1">IFERROR(YEAR(OFFSET(BV!$H300,,(COLUMN()-69)*8)),"")</f>
        <v>2020</v>
      </c>
    </row>
    <row r="301" spans="1:78" x14ac:dyDescent="0.25">
      <c r="A301" s="433">
        <v>159</v>
      </c>
      <c r="B301" s="299">
        <f ca="1">BV!D301</f>
        <v>2.458256029684601</v>
      </c>
      <c r="C301" s="299">
        <f ca="1">BV!L301</f>
        <v>2.3403002649396529</v>
      </c>
      <c r="D301" s="299">
        <f ca="1">BV!T301</f>
        <v>2.2805507745266782</v>
      </c>
      <c r="E301" s="300">
        <f ca="1">BV!AB301</f>
        <v>2.2489391796322487</v>
      </c>
      <c r="F301" s="300">
        <f ca="1">BV!AJ301</f>
        <v>2.2126356804898415</v>
      </c>
      <c r="G301" s="300">
        <f ca="1">BV!AR301</f>
        <v>2.2083333333333335</v>
      </c>
      <c r="H301" s="300">
        <f ca="1">BV!AZ301</f>
        <v>2.1912899669239247</v>
      </c>
      <c r="I301" s="300">
        <f ca="1">BV!BH301</f>
        <v>2.164737916950306</v>
      </c>
      <c r="J301" s="300">
        <f ca="1">BV!BP301</f>
        <v>2.1541796504538682</v>
      </c>
      <c r="K301" s="300">
        <f ca="1">BV!BX301</f>
        <v>2.1285140562248994</v>
      </c>
      <c r="L301" s="15" t="s">
        <v>102</v>
      </c>
      <c r="M301" s="261">
        <v>1.6217577194999999E-2</v>
      </c>
      <c r="N301" s="282">
        <f t="shared" ca="1" si="117"/>
        <v>7.8524831487319684</v>
      </c>
      <c r="O301" s="24" t="s">
        <v>31</v>
      </c>
      <c r="P301" s="555">
        <f t="shared" ref="P301:Y301" ca="1" si="151">COUNTIF(B352:B361,"&gt;0")</f>
        <v>10</v>
      </c>
      <c r="Q301" s="301">
        <f t="shared" ca="1" si="151"/>
        <v>4</v>
      </c>
      <c r="R301" s="301">
        <f t="shared" ca="1" si="151"/>
        <v>4</v>
      </c>
      <c r="S301" s="659">
        <f t="shared" ca="1" si="151"/>
        <v>1</v>
      </c>
      <c r="T301" s="659">
        <f t="shared" ca="1" si="151"/>
        <v>1</v>
      </c>
      <c r="U301" s="11">
        <f t="shared" ca="1" si="151"/>
        <v>0</v>
      </c>
      <c r="V301" s="11">
        <f t="shared" ca="1" si="151"/>
        <v>0</v>
      </c>
      <c r="W301" s="92">
        <f t="shared" ca="1" si="151"/>
        <v>0</v>
      </c>
      <c r="X301" s="11">
        <f t="shared" ca="1" si="151"/>
        <v>0</v>
      </c>
      <c r="Y301" s="11">
        <f t="shared" ca="1" si="151"/>
        <v>0</v>
      </c>
      <c r="Z301" s="213">
        <f t="shared" ca="1" si="128"/>
        <v>20</v>
      </c>
      <c r="AA301" s="620">
        <f ca="1">LARGE(Bvs!AD$2:AD$201,AG301)</f>
        <v>44147.078999999998</v>
      </c>
      <c r="AB301" s="620"/>
      <c r="AC301" s="11">
        <f ca="1">INDEX(Bvs!W$2:W$201,AH301)</f>
        <v>184</v>
      </c>
      <c r="AD301" s="597">
        <f ca="1">INDEX(Bvs!X$2:X$201,AH301)</f>
        <v>72.11</v>
      </c>
      <c r="AE301" s="597"/>
      <c r="AF301" s="11">
        <f ca="1">INDEX(Bvs!Y$2:Y$201,AH301)</f>
        <v>2.5516571904035503</v>
      </c>
      <c r="AG301" s="1">
        <v>9</v>
      </c>
      <c r="AH301" s="1">
        <f ca="1">MATCH(AA301,Bvs!AD$2:AD$201,0)</f>
        <v>78</v>
      </c>
      <c r="AI301" s="589">
        <f t="shared" ca="1" si="144"/>
        <v>55.554051347080467</v>
      </c>
      <c r="AJ301" s="589"/>
      <c r="AL301" s="315"/>
      <c r="AM301" s="315"/>
      <c r="AN301" s="433">
        <v>159</v>
      </c>
      <c r="AO301" s="299">
        <f ca="1">BV!C301</f>
        <v>64.680000000000007</v>
      </c>
      <c r="AP301" s="300">
        <f ca="1">BV!K301</f>
        <v>67.94</v>
      </c>
      <c r="AQ301" s="301">
        <f ca="1">BV!S301</f>
        <v>69.72</v>
      </c>
      <c r="AR301" s="301">
        <f ca="1">BV!AA301</f>
        <v>70.7</v>
      </c>
      <c r="AS301" s="301">
        <f ca="1">BV!AI301</f>
        <v>71.86</v>
      </c>
      <c r="AT301" s="301">
        <f ca="1">BV!AQ301</f>
        <v>72</v>
      </c>
      <c r="AU301" s="301">
        <f ca="1">BV!AY301</f>
        <v>72.56</v>
      </c>
      <c r="AV301" s="301">
        <f ca="1">BV!BG301</f>
        <v>73.45</v>
      </c>
      <c r="AW301" s="301">
        <f ca="1">BV!BO301</f>
        <v>73.81</v>
      </c>
      <c r="AX301" s="302">
        <f ca="1">BV!BW301</f>
        <v>74.7</v>
      </c>
      <c r="AY301" s="15" t="s">
        <v>65</v>
      </c>
      <c r="AZ301" s="258">
        <f t="shared" si="125"/>
        <v>1.7900140261689557</v>
      </c>
      <c r="BA301" s="261">
        <v>1.6217577194999999E-2</v>
      </c>
      <c r="BB301" s="56">
        <v>0.13319492362099999</v>
      </c>
      <c r="BC301" s="56">
        <f t="shared" si="119"/>
        <v>0.1217582228670093</v>
      </c>
      <c r="BD301" s="13">
        <f ca="1">IF(BV!H301="","",INT(NOW()-BV!H301))</f>
        <v>223</v>
      </c>
      <c r="BE301" s="260">
        <f t="shared" si="120"/>
        <v>7.8524831487319675</v>
      </c>
      <c r="BF301" s="299">
        <f ca="1">BV!G301</f>
        <v>57.753506903026242</v>
      </c>
      <c r="BG301" s="300">
        <f ca="1">BV!O301</f>
        <v>53.121943714608427</v>
      </c>
      <c r="BH301" s="300">
        <f ca="1">BV!W301</f>
        <v>50.836990906440072</v>
      </c>
      <c r="BI301" s="301">
        <f ca="1">BV!AE301</f>
        <v>49.64486981792377</v>
      </c>
      <c r="BJ301" s="301">
        <f ca="1">BV!AM301</f>
        <v>48.290212640956668</v>
      </c>
      <c r="BK301" s="301">
        <f ca="1">BV!AU301</f>
        <v>48.130695315767049</v>
      </c>
      <c r="BL301" s="301">
        <f ca="1">BV!BC301</f>
        <v>47.500919193010041</v>
      </c>
      <c r="BM301" s="301">
        <f ca="1">BV!BK301</f>
        <v>46.526600263024655</v>
      </c>
      <c r="BN301" s="301">
        <f ca="1">BV!BS301</f>
        <v>46.141481070795507</v>
      </c>
      <c r="BO301" s="301">
        <f ca="1">BV!CA301</f>
        <v>45.21081714261863</v>
      </c>
      <c r="BP301" s="433">
        <v>159</v>
      </c>
      <c r="BQ301" s="11">
        <f ca="1">IFERROR(YEAR(OFFSET(BV!$H301,,(COLUMN()-69)*8)),"")</f>
        <v>2020</v>
      </c>
      <c r="BR301" s="11">
        <f ca="1">IFERROR(YEAR(OFFSET(BV!$H301,,(COLUMN()-69)*8)),"")</f>
        <v>2020</v>
      </c>
      <c r="BS301" s="11">
        <f ca="1">IFERROR(YEAR(OFFSET(BV!$H301,,(COLUMN()-69)*8)),"")</f>
        <v>2020</v>
      </c>
      <c r="BT301" s="11">
        <f ca="1">IFERROR(YEAR(OFFSET(BV!$H301,,(COLUMN()-69)*8)),"")</f>
        <v>2019</v>
      </c>
      <c r="BU301" s="11">
        <f ca="1">IFERROR(YEAR(OFFSET(BV!$H301,,(COLUMN()-69)*8)),"")</f>
        <v>2020</v>
      </c>
      <c r="BV301" s="11">
        <f ca="1">IFERROR(YEAR(OFFSET(BV!$H301,,(COLUMN()-69)*8)),"")</f>
        <v>2020</v>
      </c>
      <c r="BW301" s="11">
        <f ca="1">IFERROR(YEAR(OFFSET(BV!$H301,,(COLUMN()-69)*8)),"")</f>
        <v>2020</v>
      </c>
      <c r="BX301" s="11">
        <f ca="1">IFERROR(YEAR(OFFSET(BV!$H301,,(COLUMN()-69)*8)),"")</f>
        <v>2020</v>
      </c>
      <c r="BY301" s="11">
        <f ca="1">IFERROR(YEAR(OFFSET(BV!$H301,,(COLUMN()-69)*8)),"")</f>
        <v>2019</v>
      </c>
      <c r="BZ301" s="11">
        <f ca="1">IFERROR(YEAR(OFFSET(BV!$H301,,(COLUMN()-69)*8)),"")</f>
        <v>2020</v>
      </c>
    </row>
    <row r="302" spans="1:78" x14ac:dyDescent="0.25">
      <c r="A302" s="433">
        <v>160</v>
      </c>
      <c r="B302" s="298">
        <f ca="1">BV!D302</f>
        <v>2.5546862525946032</v>
      </c>
      <c r="C302" s="299">
        <f ca="1">BV!L302</f>
        <v>2.3884161815196299</v>
      </c>
      <c r="D302" s="299">
        <f ca="1">BV!T302</f>
        <v>2.3191766922742429</v>
      </c>
      <c r="E302" s="299">
        <f ca="1">BV!AB302</f>
        <v>2.3094688221709005</v>
      </c>
      <c r="F302" s="299">
        <f ca="1">BV!AJ302</f>
        <v>2.3081361800346221</v>
      </c>
      <c r="G302" s="299">
        <f ca="1">BV!AR302</f>
        <v>2.3024895668441503</v>
      </c>
      <c r="H302" s="299">
        <f ca="1">BV!AZ302</f>
        <v>2.3011649647634114</v>
      </c>
      <c r="I302" s="299">
        <f ca="1">BV!BH302</f>
        <v>2.2972002871500359</v>
      </c>
      <c r="J302" s="299">
        <f ca="1">BV!BP302</f>
        <v>2.2634035931532042</v>
      </c>
      <c r="K302" s="300">
        <f ca="1">BV!BX302</f>
        <v>2.1304926764314249</v>
      </c>
      <c r="L302" s="15" t="s">
        <v>102</v>
      </c>
      <c r="M302" s="261">
        <v>1.6795886518E-2</v>
      </c>
      <c r="N302" s="282">
        <f t="shared" ca="1" si="117"/>
        <v>7.7161122014313692</v>
      </c>
      <c r="O302" s="24" t="s">
        <v>32</v>
      </c>
      <c r="P302" s="297">
        <f ca="1">COUNTIF(B362:B430,"&gt;0")</f>
        <v>7</v>
      </c>
      <c r="Q302" s="659">
        <f t="shared" ref="Q302:Y302" ca="1" si="152">COUNTIF(C362:C430,"&gt;0")</f>
        <v>1</v>
      </c>
      <c r="R302" s="11">
        <f t="shared" ca="1" si="152"/>
        <v>0</v>
      </c>
      <c r="S302" s="11">
        <f t="shared" ca="1" si="152"/>
        <v>0</v>
      </c>
      <c r="T302" s="11">
        <f t="shared" ca="1" si="152"/>
        <v>0</v>
      </c>
      <c r="U302" s="11">
        <f t="shared" ca="1" si="152"/>
        <v>0</v>
      </c>
      <c r="V302" s="11">
        <f t="shared" ca="1" si="152"/>
        <v>0</v>
      </c>
      <c r="W302" s="11">
        <f t="shared" ca="1" si="152"/>
        <v>0</v>
      </c>
      <c r="X302" s="11">
        <f t="shared" ca="1" si="152"/>
        <v>0</v>
      </c>
      <c r="Y302" s="11">
        <f t="shared" ca="1" si="152"/>
        <v>0</v>
      </c>
      <c r="Z302" s="213">
        <f t="shared" ca="1" si="128"/>
        <v>8</v>
      </c>
      <c r="AA302" s="620">
        <f ca="1">LARGE(Bvs!AD$2:AD$201,AG302)</f>
        <v>44146.180999999997</v>
      </c>
      <c r="AB302" s="620"/>
      <c r="AC302" s="11">
        <f ca="1">INDEX(Bvs!W$2:W$201,AH302)</f>
        <v>172</v>
      </c>
      <c r="AD302" s="597">
        <f ca="1">INDEX(Bvs!X$2:X$201,AH302)</f>
        <v>70.38</v>
      </c>
      <c r="AE302" s="597"/>
      <c r="AF302" s="11">
        <f ca="1">INDEX(Bvs!Y$2:Y$201,AH302)</f>
        <v>2.4438761011651038</v>
      </c>
      <c r="AG302" s="1">
        <v>10</v>
      </c>
      <c r="AH302" s="1">
        <f ca="1">MATCH(AA302,Bvs!AD$2:AD$201,0)</f>
        <v>180</v>
      </c>
      <c r="AI302" s="589">
        <f t="shared" ca="1" si="144"/>
        <v>54.119647097004361</v>
      </c>
      <c r="AJ302" s="589"/>
      <c r="AL302" s="315"/>
      <c r="AM302" s="315"/>
      <c r="AN302" s="433">
        <v>160</v>
      </c>
      <c r="AO302" s="298">
        <f ca="1">BV!C302</f>
        <v>62.63</v>
      </c>
      <c r="AP302" s="300">
        <f ca="1">BV!K302</f>
        <v>66.989999999999995</v>
      </c>
      <c r="AQ302" s="300">
        <f ca="1">BV!S302</f>
        <v>68.989999999999995</v>
      </c>
      <c r="AR302" s="301">
        <f ca="1">BV!AA302</f>
        <v>69.28</v>
      </c>
      <c r="AS302" s="301">
        <f ca="1">BV!AI302</f>
        <v>69.319999999999993</v>
      </c>
      <c r="AT302" s="301">
        <f ca="1">BV!AQ302</f>
        <v>69.489999999999995</v>
      </c>
      <c r="AU302" s="301">
        <f ca="1">BV!AY302</f>
        <v>69.53</v>
      </c>
      <c r="AV302" s="301">
        <f ca="1">BV!BG302</f>
        <v>69.650000000000006</v>
      </c>
      <c r="AW302" s="301">
        <f ca="1">BV!BO302</f>
        <v>70.69</v>
      </c>
      <c r="AX302" s="302">
        <f ca="1">BV!BW302</f>
        <v>75.099999999999994</v>
      </c>
      <c r="AY302" s="15" t="s">
        <v>65</v>
      </c>
      <c r="AZ302" s="258">
        <f t="shared" si="125"/>
        <v>1.7747970683501786</v>
      </c>
      <c r="BA302" s="261">
        <v>1.6795886518E-2</v>
      </c>
      <c r="BB302" s="268">
        <v>0.18793569771599997</v>
      </c>
      <c r="BC302" s="268">
        <f t="shared" si="119"/>
        <v>8.9370389564739278E-2</v>
      </c>
      <c r="BD302" s="269">
        <f ca="1">IF(BV!H302="","",INT(NOW()-BV!H302))</f>
        <v>84</v>
      </c>
      <c r="BE302" s="260">
        <f t="shared" si="120"/>
        <v>7.7161122014313692</v>
      </c>
      <c r="BF302" s="299">
        <f ca="1">BV!G302</f>
        <v>61.387526991576173</v>
      </c>
      <c r="BG302" s="300">
        <f ca="1">BV!O302</f>
        <v>54.751153802134432</v>
      </c>
      <c r="BH302" s="300">
        <f ca="1">BV!W302</f>
        <v>52.080337694142571</v>
      </c>
      <c r="BI302" s="300">
        <f ca="1">BV!AE302</f>
        <v>51.710274556535929</v>
      </c>
      <c r="BJ302" s="300">
        <f ca="1">BV!AM302</f>
        <v>51.659559200643848</v>
      </c>
      <c r="BK302" s="300">
        <f ca="1">BV!AU302</f>
        <v>51.444897721683361</v>
      </c>
      <c r="BL302" s="300">
        <f ca="1">BV!BC302</f>
        <v>51.394594994450145</v>
      </c>
      <c r="BM302" s="300">
        <f ca="1">BV!BK302</f>
        <v>51.244154592741502</v>
      </c>
      <c r="BN302" s="301">
        <f ca="1">BV!BS302</f>
        <v>49.969116313521852</v>
      </c>
      <c r="BO302" s="301">
        <f ca="1">BV!CA302</f>
        <v>45.08399003109281</v>
      </c>
      <c r="BP302" s="433">
        <v>160</v>
      </c>
      <c r="BQ302" s="11">
        <f ca="1">IFERROR(YEAR(OFFSET(BV!$H302,,(COLUMN()-69)*8)),"")</f>
        <v>2020</v>
      </c>
      <c r="BR302" s="11">
        <f ca="1">IFERROR(YEAR(OFFSET(BV!$H302,,(COLUMN()-69)*8)),"")</f>
        <v>2020</v>
      </c>
      <c r="BS302" s="11">
        <f ca="1">IFERROR(YEAR(OFFSET(BV!$H302,,(COLUMN()-69)*8)),"")</f>
        <v>2020</v>
      </c>
      <c r="BT302" s="11">
        <f ca="1">IFERROR(YEAR(OFFSET(BV!$H302,,(COLUMN()-69)*8)),"")</f>
        <v>2020</v>
      </c>
      <c r="BU302" s="11">
        <f ca="1">IFERROR(YEAR(OFFSET(BV!$H302,,(COLUMN()-69)*8)),"")</f>
        <v>2020</v>
      </c>
      <c r="BV302" s="11">
        <f ca="1">IFERROR(YEAR(OFFSET(BV!$H302,,(COLUMN()-69)*8)),"")</f>
        <v>2020</v>
      </c>
      <c r="BW302" s="11">
        <f ca="1">IFERROR(YEAR(OFFSET(BV!$H302,,(COLUMN()-69)*8)),"")</f>
        <v>2020</v>
      </c>
      <c r="BX302" s="11">
        <f ca="1">IFERROR(YEAR(OFFSET(BV!$H302,,(COLUMN()-69)*8)),"")</f>
        <v>2020</v>
      </c>
      <c r="BY302" s="11">
        <f ca="1">IFERROR(YEAR(OFFSET(BV!$H302,,(COLUMN()-69)*8)),"")</f>
        <v>2020</v>
      </c>
      <c r="BZ302" s="11">
        <f ca="1">IFERROR(YEAR(OFFSET(BV!$H302,,(COLUMN()-69)*8)),"")</f>
        <v>2020</v>
      </c>
    </row>
    <row r="303" spans="1:78" x14ac:dyDescent="0.25">
      <c r="A303" s="433">
        <v>161</v>
      </c>
      <c r="B303" s="298">
        <f ca="1">BV!D303</f>
        <v>2.5502930460953586</v>
      </c>
      <c r="C303" s="299">
        <f ca="1">BV!L303</f>
        <v>2.4195972347460173</v>
      </c>
      <c r="D303" s="299">
        <f ca="1">BV!T303</f>
        <v>2.4008350730688934</v>
      </c>
      <c r="E303" s="299">
        <f ca="1">BV!AB303</f>
        <v>2.3582832869488795</v>
      </c>
      <c r="F303" s="299">
        <f ca="1">BV!AJ303</f>
        <v>2.3572474377745243</v>
      </c>
      <c r="G303" s="299">
        <f ca="1">BV!AR303</f>
        <v>2.3531131248173049</v>
      </c>
      <c r="H303" s="299">
        <f ca="1">BV!AZ303</f>
        <v>2.2640978765293207</v>
      </c>
      <c r="I303" s="300">
        <f ca="1">BV!BH303</f>
        <v>2.2216089416310196</v>
      </c>
      <c r="J303" s="300">
        <f ca="1">BV!BP303</f>
        <v>2.1851248642779586</v>
      </c>
      <c r="K303" s="300">
        <f ca="1">BV!BX303</f>
        <v>2.1587556985787075</v>
      </c>
      <c r="L303" s="15" t="s">
        <v>102</v>
      </c>
      <c r="M303" s="261">
        <v>1.7344655053000001E-2</v>
      </c>
      <c r="N303" s="282">
        <f t="shared" ca="1" si="117"/>
        <v>7.5930658532306721</v>
      </c>
      <c r="O303" s="15" t="str">
        <f>O25</f>
        <v>初级</v>
      </c>
      <c r="P303" s="291">
        <f ca="1">SUM(P280:P283)</f>
        <v>37</v>
      </c>
      <c r="Q303" s="557">
        <f t="shared" ref="Q303:Y303" ca="1" si="153">SUM(Q280:Q283)</f>
        <v>35</v>
      </c>
      <c r="R303" s="551">
        <f t="shared" ca="1" si="153"/>
        <v>31</v>
      </c>
      <c r="S303" s="553">
        <f t="shared" ca="1" si="153"/>
        <v>29</v>
      </c>
      <c r="T303" s="553">
        <f t="shared" ca="1" si="153"/>
        <v>28</v>
      </c>
      <c r="U303" s="556">
        <f t="shared" ca="1" si="153"/>
        <v>27</v>
      </c>
      <c r="V303" s="556">
        <f t="shared" ca="1" si="153"/>
        <v>27</v>
      </c>
      <c r="W303" s="545">
        <f t="shared" ca="1" si="153"/>
        <v>25</v>
      </c>
      <c r="X303" s="552">
        <f t="shared" ca="1" si="153"/>
        <v>25</v>
      </c>
      <c r="Y303" s="552">
        <f t="shared" ca="1" si="153"/>
        <v>24</v>
      </c>
      <c r="Z303" s="213">
        <f t="shared" ca="1" si="128"/>
        <v>288</v>
      </c>
      <c r="AA303" s="620">
        <f ca="1">LARGE(QG!J$2:J$201,AG303)</f>
        <v>44168.186999999998</v>
      </c>
      <c r="AB303" s="620"/>
      <c r="AC303" s="11">
        <f ca="1">INDEX(QG!C$2:C$201,AH303)</f>
        <v>11</v>
      </c>
      <c r="AD303" s="597">
        <f ca="1">INDEX(QG!D$2:D$201,AH303)</f>
        <v>3.8</v>
      </c>
      <c r="AE303" s="597"/>
      <c r="AF303" s="11">
        <f ca="1">INDEX(QG!E$2:E$201,AH303)</f>
        <v>2.8947368421052633</v>
      </c>
      <c r="AG303" s="11">
        <v>1</v>
      </c>
      <c r="AH303" s="1">
        <f ca="1">MATCH(AA303,QG!J$2:J$201,0)</f>
        <v>186</v>
      </c>
      <c r="AI303" s="589">
        <f ca="1">47.299/(AD303^1.7/AC303)</f>
        <v>53.77897615352893</v>
      </c>
      <c r="AJ303" s="589"/>
      <c r="AL303" s="315"/>
      <c r="AM303" s="315"/>
      <c r="AN303" s="433">
        <v>161</v>
      </c>
      <c r="AO303" s="298">
        <f ca="1">BV!C303</f>
        <v>63.13</v>
      </c>
      <c r="AP303" s="300">
        <f ca="1">BV!K303</f>
        <v>66.540000000000006</v>
      </c>
      <c r="AQ303" s="300">
        <f ca="1">BV!S303</f>
        <v>67.06</v>
      </c>
      <c r="AR303" s="300">
        <f ca="1">BV!AA303</f>
        <v>68.27</v>
      </c>
      <c r="AS303" s="300">
        <f ca="1">BV!AI303</f>
        <v>68.3</v>
      </c>
      <c r="AT303" s="300">
        <f ca="1">BV!AQ303</f>
        <v>68.42</v>
      </c>
      <c r="AU303" s="301">
        <f ca="1">BV!AY303</f>
        <v>71.11</v>
      </c>
      <c r="AV303" s="301">
        <f ca="1">BV!BG303</f>
        <v>72.47</v>
      </c>
      <c r="AW303" s="301">
        <f ca="1">BV!BO303</f>
        <v>73.680000000000007</v>
      </c>
      <c r="AX303" s="302">
        <f ca="1">BV!BW303</f>
        <v>74.58</v>
      </c>
      <c r="AY303" s="15" t="s">
        <v>65</v>
      </c>
      <c r="AZ303" s="258">
        <f t="shared" si="125"/>
        <v>1.7608343328970624</v>
      </c>
      <c r="BA303" s="261">
        <v>1.7344655053000001E-2</v>
      </c>
      <c r="BB303" s="268">
        <v>0.18793569771599997</v>
      </c>
      <c r="BC303" s="268">
        <f t="shared" si="119"/>
        <v>9.2290369864752725E-2</v>
      </c>
      <c r="BD303" s="269">
        <f ca="1">IF(BV!H303="","",INT(NOW()-BV!H303))</f>
        <v>83</v>
      </c>
      <c r="BE303" s="260">
        <f t="shared" si="120"/>
        <v>7.5930658532306721</v>
      </c>
      <c r="BF303" s="299">
        <f ca="1">BV!G303</f>
        <v>60.941801676190195</v>
      </c>
      <c r="BG303" s="300">
        <f ca="1">BV!O303</f>
        <v>55.728246390409552</v>
      </c>
      <c r="BH303" s="300">
        <f ca="1">BV!W303</f>
        <v>54.995619420271801</v>
      </c>
      <c r="BI303" s="300">
        <f ca="1">BV!AE303</f>
        <v>53.348878794417253</v>
      </c>
      <c r="BJ303" s="300">
        <f ca="1">BV!AM303</f>
        <v>53.309049006378366</v>
      </c>
      <c r="BK303" s="300">
        <f ca="1">BV!AU303</f>
        <v>53.150201167764799</v>
      </c>
      <c r="BL303" s="301">
        <f ca="1">BV!BC303</f>
        <v>49.777602770374287</v>
      </c>
      <c r="BM303" s="301">
        <f ca="1">BV!BK303</f>
        <v>48.200005425320072</v>
      </c>
      <c r="BN303" s="301">
        <f ca="1">BV!BS303</f>
        <v>46.862103851829858</v>
      </c>
      <c r="BO303" s="301">
        <f ca="1">BV!CA303</f>
        <v>45.904798672554172</v>
      </c>
      <c r="BP303" s="433">
        <v>161</v>
      </c>
      <c r="BQ303" s="11">
        <f ca="1">IFERROR(YEAR(OFFSET(BV!$H303,,(COLUMN()-69)*8)),"")</f>
        <v>2020</v>
      </c>
      <c r="BR303" s="11">
        <f ca="1">IFERROR(YEAR(OFFSET(BV!$H303,,(COLUMN()-69)*8)),"")</f>
        <v>2020</v>
      </c>
      <c r="BS303" s="11">
        <f ca="1">IFERROR(YEAR(OFFSET(BV!$H303,,(COLUMN()-69)*8)),"")</f>
        <v>2020</v>
      </c>
      <c r="BT303" s="11">
        <f ca="1">IFERROR(YEAR(OFFSET(BV!$H303,,(COLUMN()-69)*8)),"")</f>
        <v>2020</v>
      </c>
      <c r="BU303" s="11">
        <f ca="1">IFERROR(YEAR(OFFSET(BV!$H303,,(COLUMN()-69)*8)),"")</f>
        <v>2020</v>
      </c>
      <c r="BV303" s="11">
        <f ca="1">IFERROR(YEAR(OFFSET(BV!$H303,,(COLUMN()-69)*8)),"")</f>
        <v>2019</v>
      </c>
      <c r="BW303" s="11">
        <f ca="1">IFERROR(YEAR(OFFSET(BV!$H303,,(COLUMN()-69)*8)),"")</f>
        <v>2020</v>
      </c>
      <c r="BX303" s="11">
        <f ca="1">IFERROR(YEAR(OFFSET(BV!$H303,,(COLUMN()-69)*8)),"")</f>
        <v>2020</v>
      </c>
      <c r="BY303" s="11">
        <f ca="1">IFERROR(YEAR(OFFSET(BV!$H303,,(COLUMN()-69)*8)),"")</f>
        <v>2020</v>
      </c>
      <c r="BZ303" s="11">
        <f ca="1">IFERROR(YEAR(OFFSET(BV!$H303,,(COLUMN()-69)*8)),"")</f>
        <v>2020</v>
      </c>
    </row>
    <row r="304" spans="1:78" x14ac:dyDescent="0.25">
      <c r="A304" s="433">
        <v>162</v>
      </c>
      <c r="B304" s="299">
        <f ca="1">BV!D304</f>
        <v>2.4717729630759839</v>
      </c>
      <c r="C304" s="299">
        <f ca="1">BV!L304</f>
        <v>2.4668798538145271</v>
      </c>
      <c r="D304" s="299">
        <f ca="1">BV!T304</f>
        <v>2.3960952521816301</v>
      </c>
      <c r="E304" s="299">
        <f ca="1">BV!AB304</f>
        <v>2.3705004389815625</v>
      </c>
      <c r="F304" s="299">
        <f ca="1">BV!AJ304</f>
        <v>2.3584218954724125</v>
      </c>
      <c r="G304" s="299">
        <f ca="1">BV!AR304</f>
        <v>2.3044096728307255</v>
      </c>
      <c r="H304" s="299">
        <f ca="1">BV!AZ304</f>
        <v>2.2929936305732483</v>
      </c>
      <c r="I304" s="300">
        <f ca="1">BV!BH304</f>
        <v>2.2335585275058598</v>
      </c>
      <c r="J304" s="300">
        <f ca="1">BV!BP304</f>
        <v>2.2131147540983607</v>
      </c>
      <c r="K304" s="300">
        <f ca="1">BV!BX304</f>
        <v>2.1954194335275781</v>
      </c>
      <c r="L304" s="15" t="s">
        <v>102</v>
      </c>
      <c r="M304" s="261">
        <v>1.7859966222999998E-2</v>
      </c>
      <c r="N304" s="282">
        <f t="shared" ca="1" si="117"/>
        <v>7.4827232558978931</v>
      </c>
      <c r="O304" s="15" t="str">
        <f>O26</f>
        <v>中级</v>
      </c>
      <c r="P304" s="551">
        <f ca="1">SUM(P284:P291)</f>
        <v>63</v>
      </c>
      <c r="Q304" s="553">
        <f t="shared" ref="Q304:Y304" ca="1" si="154">SUM(Q284:Q291)</f>
        <v>56</v>
      </c>
      <c r="R304" s="552">
        <f t="shared" ca="1" si="154"/>
        <v>47</v>
      </c>
      <c r="S304" s="297">
        <f t="shared" ca="1" si="154"/>
        <v>44</v>
      </c>
      <c r="T304" s="299">
        <f t="shared" ca="1" si="154"/>
        <v>38</v>
      </c>
      <c r="U304" s="299">
        <f t="shared" ca="1" si="154"/>
        <v>36</v>
      </c>
      <c r="V304" s="300">
        <f t="shared" ca="1" si="154"/>
        <v>34</v>
      </c>
      <c r="W304" s="715">
        <f t="shared" ca="1" si="154"/>
        <v>31</v>
      </c>
      <c r="X304" s="301">
        <f t="shared" ca="1" si="154"/>
        <v>28</v>
      </c>
      <c r="Y304" s="301">
        <f t="shared" ca="1" si="154"/>
        <v>26</v>
      </c>
      <c r="Z304" s="213">
        <f t="shared" ca="1" si="128"/>
        <v>403</v>
      </c>
      <c r="AA304" s="620">
        <f ca="1">LARGE(QG!J$2:J$201,AG304)</f>
        <v>44168.165999999997</v>
      </c>
      <c r="AB304" s="620"/>
      <c r="AC304" s="11">
        <f ca="1">INDEX(QG!C$2:C$201,AH304)</f>
        <v>10</v>
      </c>
      <c r="AD304" s="597">
        <f ca="1">INDEX(QG!D$2:D$201,AH304)</f>
        <v>3.56</v>
      </c>
      <c r="AE304" s="597"/>
      <c r="AF304" s="11">
        <f ca="1">INDEX(QG!E$2:E$201,AH304)</f>
        <v>2.8089887640449436</v>
      </c>
      <c r="AG304" s="11">
        <v>2</v>
      </c>
      <c r="AH304" s="1">
        <f ca="1">MATCH(AA304,QG!J$2:J$201,0)</f>
        <v>165</v>
      </c>
      <c r="AI304" s="589">
        <f t="shared" ref="AI304:AI312" ca="1" si="155">47.299/(AD304^1.7/AC304)</f>
        <v>54.624435559237618</v>
      </c>
      <c r="AJ304" s="589"/>
      <c r="AL304" s="315"/>
      <c r="AM304" s="315"/>
      <c r="AN304" s="433">
        <v>162</v>
      </c>
      <c r="AO304" s="299">
        <f ca="1">BV!C304</f>
        <v>65.540000000000006</v>
      </c>
      <c r="AP304" s="299">
        <f ca="1">BV!K304</f>
        <v>65.67</v>
      </c>
      <c r="AQ304" s="300">
        <f ca="1">BV!S304</f>
        <v>67.61</v>
      </c>
      <c r="AR304" s="300">
        <f ca="1">BV!AA304</f>
        <v>68.34</v>
      </c>
      <c r="AS304" s="300">
        <f ca="1">BV!AI304</f>
        <v>68.69</v>
      </c>
      <c r="AT304" s="301">
        <f ca="1">BV!AQ304</f>
        <v>70.3</v>
      </c>
      <c r="AU304" s="301">
        <f ca="1">BV!AY304</f>
        <v>70.650000000000006</v>
      </c>
      <c r="AV304" s="301">
        <f ca="1">BV!BG304</f>
        <v>72.53</v>
      </c>
      <c r="AW304" s="301">
        <f ca="1">BV!BO304</f>
        <v>73.2</v>
      </c>
      <c r="AX304" s="301">
        <f ca="1">BV!BW304</f>
        <v>73.790000000000006</v>
      </c>
      <c r="AY304" s="15" t="s">
        <v>65</v>
      </c>
      <c r="AZ304" s="258">
        <f t="shared" si="125"/>
        <v>1.7481193667900585</v>
      </c>
      <c r="BA304" s="261">
        <v>1.7859966222999998E-2</v>
      </c>
      <c r="BB304" s="268">
        <v>0.18793569771599997</v>
      </c>
      <c r="BC304" s="268">
        <f t="shared" si="119"/>
        <v>9.5032324566614174E-2</v>
      </c>
      <c r="BD304" s="269">
        <f ca="1">IF(BV!H304="","",INT(NOW()-BV!H304))</f>
        <v>245</v>
      </c>
      <c r="BE304" s="260">
        <f t="shared" si="120"/>
        <v>7.482723255897894</v>
      </c>
      <c r="BF304" s="299">
        <f ca="1">BV!G304</f>
        <v>57.536617523376435</v>
      </c>
      <c r="BG304" s="299">
        <f ca="1">BV!O304</f>
        <v>57.3431230719588</v>
      </c>
      <c r="BH304" s="300">
        <f ca="1">BV!W304</f>
        <v>54.574112118830456</v>
      </c>
      <c r="BI304" s="300">
        <f ca="1">BV!AE304</f>
        <v>53.586798751959094</v>
      </c>
      <c r="BJ304" s="300">
        <f ca="1">BV!AM304</f>
        <v>53.123452488132763</v>
      </c>
      <c r="BK304" s="300">
        <f ca="1">BV!AU304</f>
        <v>51.071806200176759</v>
      </c>
      <c r="BL304" s="300">
        <f ca="1">BV!BC304</f>
        <v>50.642435934303528</v>
      </c>
      <c r="BM304" s="301">
        <f ca="1">BV!BK304</f>
        <v>48.431198696844319</v>
      </c>
      <c r="BN304" s="301">
        <f ca="1">BV!BS304</f>
        <v>47.680020348281317</v>
      </c>
      <c r="BO304" s="301">
        <f ca="1">BV!CA304</f>
        <v>47.033738722852753</v>
      </c>
      <c r="BP304" s="433">
        <v>162</v>
      </c>
      <c r="BQ304" s="11">
        <f ca="1">IFERROR(YEAR(OFFSET(BV!$H304,,(COLUMN()-69)*8)),"")</f>
        <v>2020</v>
      </c>
      <c r="BR304" s="11">
        <f ca="1">IFERROR(YEAR(OFFSET(BV!$H304,,(COLUMN()-69)*8)),"")</f>
        <v>2020</v>
      </c>
      <c r="BS304" s="11">
        <f ca="1">IFERROR(YEAR(OFFSET(BV!$H304,,(COLUMN()-69)*8)),"")</f>
        <v>2020</v>
      </c>
      <c r="BT304" s="11">
        <f ca="1">IFERROR(YEAR(OFFSET(BV!$H304,,(COLUMN()-69)*8)),"")</f>
        <v>2020</v>
      </c>
      <c r="BU304" s="11">
        <f ca="1">IFERROR(YEAR(OFFSET(BV!$H304,,(COLUMN()-69)*8)),"")</f>
        <v>2020</v>
      </c>
      <c r="BV304" s="11">
        <f ca="1">IFERROR(YEAR(OFFSET(BV!$H304,,(COLUMN()-69)*8)),"")</f>
        <v>2020</v>
      </c>
      <c r="BW304" s="11">
        <f ca="1">IFERROR(YEAR(OFFSET(BV!$H304,,(COLUMN()-69)*8)),"")</f>
        <v>2020</v>
      </c>
      <c r="BX304" s="11">
        <f ca="1">IFERROR(YEAR(OFFSET(BV!$H304,,(COLUMN()-69)*8)),"")</f>
        <v>2020</v>
      </c>
      <c r="BY304" s="11">
        <f ca="1">IFERROR(YEAR(OFFSET(BV!$H304,,(COLUMN()-69)*8)),"")</f>
        <v>2020</v>
      </c>
      <c r="BZ304" s="11">
        <f ca="1">IFERROR(YEAR(OFFSET(BV!$H304,,(COLUMN()-69)*8)),"")</f>
        <v>2020</v>
      </c>
    </row>
    <row r="305" spans="1:78" x14ac:dyDescent="0.25">
      <c r="A305" s="433">
        <v>163</v>
      </c>
      <c r="B305" s="298">
        <f ca="1">BV!D305</f>
        <v>2.5885342226457042</v>
      </c>
      <c r="C305" s="299">
        <f ca="1">BV!L305</f>
        <v>2.4574099200964872</v>
      </c>
      <c r="D305" s="299">
        <f ca="1">BV!T305</f>
        <v>2.3837379350687335</v>
      </c>
      <c r="E305" s="299">
        <f ca="1">BV!AB305</f>
        <v>2.3422905589883602</v>
      </c>
      <c r="F305" s="299">
        <f ca="1">BV!AJ305</f>
        <v>2.2996613995485329</v>
      </c>
      <c r="G305" s="299">
        <f ca="1">BV!AR305</f>
        <v>2.2951281329203042</v>
      </c>
      <c r="H305" s="299">
        <f ca="1">BV!AZ305</f>
        <v>2.2733612273361228</v>
      </c>
      <c r="I305" s="299">
        <f ca="1">BV!BH305</f>
        <v>2.266722291753581</v>
      </c>
      <c r="J305" s="299">
        <f ca="1">BV!BP305</f>
        <v>2.2645179216449014</v>
      </c>
      <c r="K305" s="300">
        <f ca="1">BV!BX305</f>
        <v>2.2062804547915542</v>
      </c>
      <c r="L305" s="15" t="s">
        <v>102</v>
      </c>
      <c r="M305" s="261">
        <v>1.8338012197E-2</v>
      </c>
      <c r="N305" s="282">
        <f t="shared" ca="1" si="117"/>
        <v>7.3845472109747901</v>
      </c>
      <c r="O305" s="15" t="str">
        <f>O27</f>
        <v>高级</v>
      </c>
      <c r="P305" s="293">
        <f ca="1">SUM(P292:P302)</f>
        <v>101</v>
      </c>
      <c r="Q305" s="553">
        <f t="shared" ref="Q305:Y305" ca="1" si="156">SUM(Q292:Q302)</f>
        <v>87</v>
      </c>
      <c r="R305" s="556">
        <f t="shared" ca="1" si="156"/>
        <v>79</v>
      </c>
      <c r="S305" s="552">
        <f t="shared" ca="1" si="156"/>
        <v>72</v>
      </c>
      <c r="T305" s="297">
        <f t="shared" ca="1" si="156"/>
        <v>69</v>
      </c>
      <c r="U305" s="298">
        <f t="shared" ca="1" si="156"/>
        <v>65</v>
      </c>
      <c r="V305" s="298">
        <f t="shared" ca="1" si="156"/>
        <v>61</v>
      </c>
      <c r="W305" s="299">
        <f t="shared" ca="1" si="156"/>
        <v>57</v>
      </c>
      <c r="X305" s="300">
        <f t="shared" ca="1" si="156"/>
        <v>50</v>
      </c>
      <c r="Y305" s="300">
        <f t="shared" ca="1" si="156"/>
        <v>48</v>
      </c>
      <c r="Z305" s="213">
        <f t="shared" ca="1" si="128"/>
        <v>689</v>
      </c>
      <c r="AA305" s="620">
        <f ca="1">LARGE(QG!J$2:J$201,AG305)</f>
        <v>44168.139000000003</v>
      </c>
      <c r="AB305" s="620"/>
      <c r="AC305" s="11">
        <f ca="1">INDEX(QG!C$2:C$201,AH305)</f>
        <v>10</v>
      </c>
      <c r="AD305" s="597">
        <f ca="1">INDEX(QG!D$2:D$201,AH305)</f>
        <v>3.51</v>
      </c>
      <c r="AE305" s="597"/>
      <c r="AF305" s="11">
        <f ca="1">INDEX(QG!E$2:E$201,AH305)</f>
        <v>2.8490028490028494</v>
      </c>
      <c r="AG305" s="11">
        <v>3</v>
      </c>
      <c r="AH305" s="1">
        <f ca="1">MATCH(AA305,QG!J$2:J$201,0)</f>
        <v>138</v>
      </c>
      <c r="AI305" s="589">
        <f t="shared" ca="1" si="155"/>
        <v>55.953835400403634</v>
      </c>
      <c r="AJ305" s="589"/>
      <c r="AL305" s="315"/>
      <c r="AM305" s="315"/>
      <c r="AN305" s="433">
        <v>163</v>
      </c>
      <c r="AO305" s="298">
        <f ca="1">BV!C305</f>
        <v>62.97</v>
      </c>
      <c r="AP305" s="299">
        <f ca="1">BV!K305</f>
        <v>66.33</v>
      </c>
      <c r="AQ305" s="300">
        <f ca="1">BV!S305</f>
        <v>68.38</v>
      </c>
      <c r="AR305" s="301">
        <f ca="1">BV!AA305</f>
        <v>69.59</v>
      </c>
      <c r="AS305" s="301">
        <f ca="1">BV!AI305</f>
        <v>70.88</v>
      </c>
      <c r="AT305" s="301">
        <f ca="1">BV!AQ305</f>
        <v>71.02</v>
      </c>
      <c r="AU305" s="301">
        <f ca="1">BV!AY305</f>
        <v>71.7</v>
      </c>
      <c r="AV305" s="301">
        <f ca="1">BV!BG305</f>
        <v>71.91</v>
      </c>
      <c r="AW305" s="301">
        <f ca="1">BV!BO305</f>
        <v>71.98</v>
      </c>
      <c r="AX305" s="301">
        <f ca="1">BV!BW305</f>
        <v>73.88</v>
      </c>
      <c r="AY305" s="15" t="s">
        <v>65</v>
      </c>
      <c r="AZ305" s="258">
        <f t="shared" si="125"/>
        <v>1.7366477427478875</v>
      </c>
      <c r="BA305" s="261">
        <v>1.8338012197E-2</v>
      </c>
      <c r="BB305" s="268">
        <v>0.18793569771599997</v>
      </c>
      <c r="BC305" s="268">
        <f t="shared" si="119"/>
        <v>9.757599232005186E-2</v>
      </c>
      <c r="BD305" s="269">
        <f ca="1">IF(BV!H305="","",INT(NOW()-BV!H305))</f>
        <v>224</v>
      </c>
      <c r="BE305" s="260">
        <f t="shared" si="120"/>
        <v>7.3845472109747901</v>
      </c>
      <c r="BF305" s="299">
        <f ca="1">BV!G305</f>
        <v>61.96558885467072</v>
      </c>
      <c r="BG305" s="299">
        <f ca="1">BV!O305</f>
        <v>56.72452453666078</v>
      </c>
      <c r="BH305" s="300">
        <f ca="1">BV!W305</f>
        <v>53.863974486861103</v>
      </c>
      <c r="BI305" s="300">
        <f ca="1">BV!AE305</f>
        <v>52.281523876034605</v>
      </c>
      <c r="BJ305" s="300">
        <f ca="1">BV!AM305</f>
        <v>50.674276249651996</v>
      </c>
      <c r="BK305" s="300">
        <f ca="1">BV!AU305</f>
        <v>50.504575390433281</v>
      </c>
      <c r="BL305" s="301">
        <f ca="1">BV!BC305</f>
        <v>49.693009029285449</v>
      </c>
      <c r="BM305" s="301">
        <f ca="1">BV!BK305</f>
        <v>49.446558379010085</v>
      </c>
      <c r="BN305" s="301">
        <f ca="1">BV!BS305</f>
        <v>49.364839325749465</v>
      </c>
      <c r="BO305" s="301">
        <f ca="1">BV!CA305</f>
        <v>47.226107594752136</v>
      </c>
      <c r="BP305" s="433">
        <v>163</v>
      </c>
      <c r="BQ305" s="11">
        <f ca="1">IFERROR(YEAR(OFFSET(BV!$H305,,(COLUMN()-69)*8)),"")</f>
        <v>2020</v>
      </c>
      <c r="BR305" s="11">
        <f ca="1">IFERROR(YEAR(OFFSET(BV!$H305,,(COLUMN()-69)*8)),"")</f>
        <v>2020</v>
      </c>
      <c r="BS305" s="11">
        <f ca="1">IFERROR(YEAR(OFFSET(BV!$H305,,(COLUMN()-69)*8)),"")</f>
        <v>2020</v>
      </c>
      <c r="BT305" s="11">
        <f ca="1">IFERROR(YEAR(OFFSET(BV!$H305,,(COLUMN()-69)*8)),"")</f>
        <v>2020</v>
      </c>
      <c r="BU305" s="11">
        <f ca="1">IFERROR(YEAR(OFFSET(BV!$H305,,(COLUMN()-69)*8)),"")</f>
        <v>2020</v>
      </c>
      <c r="BV305" s="11">
        <f ca="1">IFERROR(YEAR(OFFSET(BV!$H305,,(COLUMN()-69)*8)),"")</f>
        <v>2020</v>
      </c>
      <c r="BW305" s="11">
        <f ca="1">IFERROR(YEAR(OFFSET(BV!$H305,,(COLUMN()-69)*8)),"")</f>
        <v>2019</v>
      </c>
      <c r="BX305" s="11">
        <f ca="1">IFERROR(YEAR(OFFSET(BV!$H305,,(COLUMN()-69)*8)),"")</f>
        <v>2020</v>
      </c>
      <c r="BY305" s="11">
        <f ca="1">IFERROR(YEAR(OFFSET(BV!$H305,,(COLUMN()-69)*8)),"")</f>
        <v>2020</v>
      </c>
      <c r="BZ305" s="11">
        <f ca="1">IFERROR(YEAR(OFFSET(BV!$H305,,(COLUMN()-69)*8)),"")</f>
        <v>2020</v>
      </c>
    </row>
    <row r="306" spans="1:78" x14ac:dyDescent="0.25">
      <c r="A306" s="433">
        <v>164</v>
      </c>
      <c r="B306" s="299">
        <f ca="1">BV!D306</f>
        <v>2.3903221104795218</v>
      </c>
      <c r="C306" s="299">
        <f ca="1">BV!L306</f>
        <v>2.3733719247467442</v>
      </c>
      <c r="D306" s="299">
        <f ca="1">BV!T306</f>
        <v>2.3529411764705883</v>
      </c>
      <c r="E306" s="299">
        <f ca="1">BV!AB306</f>
        <v>2.2972405098753326</v>
      </c>
      <c r="F306" s="299">
        <f ca="1">BV!AJ306</f>
        <v>2.2930648769574944</v>
      </c>
      <c r="G306" s="300">
        <f ca="1">BV!AR306</f>
        <v>2.249657064471879</v>
      </c>
      <c r="H306" s="300">
        <f ca="1">BV!AZ306</f>
        <v>2.204301075268817</v>
      </c>
      <c r="I306" s="300">
        <f ca="1">BV!BH306</f>
        <v>2.1878335112059766</v>
      </c>
      <c r="J306" s="300">
        <f ca="1">BV!BP306</f>
        <v>2.1496919648708874</v>
      </c>
      <c r="K306" s="300">
        <f ca="1">BV!BX306</f>
        <v>2.12242785039472</v>
      </c>
      <c r="L306" s="15" t="s">
        <v>102</v>
      </c>
      <c r="M306" s="261">
        <v>1.8774985163999999E-2</v>
      </c>
      <c r="N306" s="282">
        <f t="shared" ref="N306:N369" ca="1" si="157">IF(B306&lt;&gt;"",(1/M306)^0.5,"")</f>
        <v>7.2981065351697572</v>
      </c>
      <c r="O306" s="4" t="s">
        <v>423</v>
      </c>
      <c r="P306" s="293">
        <f ca="1">SUM(P303:P305)</f>
        <v>201</v>
      </c>
      <c r="Q306" s="555">
        <f t="shared" ref="Q306:Y306" ca="1" si="158">SUM(Q303:Q305)</f>
        <v>178</v>
      </c>
      <c r="R306" s="556">
        <f t="shared" ca="1" si="158"/>
        <v>157</v>
      </c>
      <c r="S306" s="552">
        <f t="shared" ca="1" si="158"/>
        <v>145</v>
      </c>
      <c r="T306" s="297">
        <f t="shared" ca="1" si="158"/>
        <v>135</v>
      </c>
      <c r="U306" s="298">
        <f t="shared" ca="1" si="158"/>
        <v>128</v>
      </c>
      <c r="V306" s="298">
        <f t="shared" ca="1" si="158"/>
        <v>122</v>
      </c>
      <c r="W306" s="299">
        <f t="shared" ca="1" si="158"/>
        <v>113</v>
      </c>
      <c r="X306" s="300">
        <f t="shared" ca="1" si="158"/>
        <v>103</v>
      </c>
      <c r="Y306" s="300">
        <f t="shared" ca="1" si="158"/>
        <v>98</v>
      </c>
      <c r="Z306" s="213">
        <f t="shared" ca="1" si="128"/>
        <v>1380</v>
      </c>
      <c r="AA306" s="620">
        <f ca="1">LARGE(QG!J$2:J$201,AG306)</f>
        <v>44168.112999999998</v>
      </c>
      <c r="AB306" s="620"/>
      <c r="AC306" s="11">
        <f ca="1">INDEX(QG!C$2:C$201,AH306)</f>
        <v>11</v>
      </c>
      <c r="AD306" s="597">
        <f ca="1">INDEX(QG!D$2:D$201,AH306)</f>
        <v>3.67</v>
      </c>
      <c r="AE306" s="597"/>
      <c r="AF306" s="11">
        <f ca="1">INDEX(QG!E$2:E$201,AH306)</f>
        <v>2.9972752043596729</v>
      </c>
      <c r="AG306" s="11">
        <v>4</v>
      </c>
      <c r="AH306" s="1">
        <f ca="1">MATCH(AA306,QG!J$2:J$201,0)</f>
        <v>112</v>
      </c>
      <c r="AI306" s="589">
        <f t="shared" ca="1" si="155"/>
        <v>57.057446914571834</v>
      </c>
      <c r="AJ306" s="589"/>
      <c r="AL306" s="315"/>
      <c r="AM306" s="315"/>
      <c r="AN306" s="433">
        <v>164</v>
      </c>
      <c r="AO306" s="300">
        <f ca="1">BV!C306</f>
        <v>68.61</v>
      </c>
      <c r="AP306" s="301">
        <f ca="1">BV!K306</f>
        <v>69.099999999999994</v>
      </c>
      <c r="AQ306" s="301">
        <f ca="1">BV!S306</f>
        <v>69.7</v>
      </c>
      <c r="AR306" s="301">
        <f ca="1">BV!AA306</f>
        <v>71.39</v>
      </c>
      <c r="AS306" s="301">
        <f ca="1">BV!AI306</f>
        <v>71.52</v>
      </c>
      <c r="AT306" s="301">
        <f ca="1">BV!AQ306</f>
        <v>72.900000000000006</v>
      </c>
      <c r="AU306" s="302">
        <f ca="1">BV!AY306</f>
        <v>74.400000000000006</v>
      </c>
      <c r="AV306" s="302">
        <f ca="1">BV!BG306</f>
        <v>74.959999999999994</v>
      </c>
      <c r="AW306" s="302">
        <f ca="1">BV!BO306</f>
        <v>76.290000000000006</v>
      </c>
      <c r="AX306" s="302">
        <f ca="1">BV!BW306</f>
        <v>77.27</v>
      </c>
      <c r="AY306" s="15" t="s">
        <v>65</v>
      </c>
      <c r="AZ306" s="258">
        <f t="shared" ref="AZ306:AZ337" si="159">0-LOG10(M306)</f>
        <v>1.7264203975033137</v>
      </c>
      <c r="BA306" s="261">
        <v>1.8774985163999999E-2</v>
      </c>
      <c r="BB306" s="268">
        <v>0.18793569771599997</v>
      </c>
      <c r="BC306" s="268">
        <f t="shared" ref="BC306:BC369" si="160">BA306/BB306</f>
        <v>9.9901111881213311E-2</v>
      </c>
      <c r="BD306" s="269">
        <f ca="1">IF(BV!H306="","",INT(NOW()-BV!H306))</f>
        <v>39</v>
      </c>
      <c r="BE306" s="260">
        <f t="shared" ref="BE306:BE369" si="161">1/M306^0.5</f>
        <v>7.2981065351697572</v>
      </c>
      <c r="BF306" s="300">
        <f ca="1">BV!G306</f>
        <v>53.885943390048666</v>
      </c>
      <c r="BG306" s="300">
        <f ca="1">BV!O306</f>
        <v>53.237962113957302</v>
      </c>
      <c r="BH306" s="300">
        <f ca="1">BV!W306</f>
        <v>52.461219348197304</v>
      </c>
      <c r="BI306" s="300">
        <f ca="1">BV!AE306</f>
        <v>50.367518433423442</v>
      </c>
      <c r="BJ306" s="300">
        <f ca="1">BV!AM306</f>
        <v>50.21197958048657</v>
      </c>
      <c r="BK306" s="301">
        <f ca="1">BV!AU306</f>
        <v>48.606830749722306</v>
      </c>
      <c r="BL306" s="301">
        <f ca="1">BV!BC306</f>
        <v>46.952650448328207</v>
      </c>
      <c r="BM306" s="301">
        <f ca="1">BV!BK306</f>
        <v>46.357907116140197</v>
      </c>
      <c r="BN306" s="301">
        <f ca="1">BV!BS306</f>
        <v>44.992399791643962</v>
      </c>
      <c r="BO306" s="301">
        <f ca="1">BV!CA306</f>
        <v>44.026641021568516</v>
      </c>
      <c r="BP306" s="433">
        <v>164</v>
      </c>
      <c r="BQ306" s="11">
        <f ca="1">IFERROR(YEAR(OFFSET(BV!$H306,,(COLUMN()-69)*8)),"")</f>
        <v>2020</v>
      </c>
      <c r="BR306" s="11">
        <f ca="1">IFERROR(YEAR(OFFSET(BV!$H306,,(COLUMN()-69)*8)),"")</f>
        <v>2020</v>
      </c>
      <c r="BS306" s="11">
        <f ca="1">IFERROR(YEAR(OFFSET(BV!$H306,,(COLUMN()-69)*8)),"")</f>
        <v>2020</v>
      </c>
      <c r="BT306" s="11">
        <f ca="1">IFERROR(YEAR(OFFSET(BV!$H306,,(COLUMN()-69)*8)),"")</f>
        <v>2020</v>
      </c>
      <c r="BU306" s="11">
        <f ca="1">IFERROR(YEAR(OFFSET(BV!$H306,,(COLUMN()-69)*8)),"")</f>
        <v>2020</v>
      </c>
      <c r="BV306" s="11">
        <f ca="1">IFERROR(YEAR(OFFSET(BV!$H306,,(COLUMN()-69)*8)),"")</f>
        <v>2020</v>
      </c>
      <c r="BW306" s="11">
        <f ca="1">IFERROR(YEAR(OFFSET(BV!$H306,,(COLUMN()-69)*8)),"")</f>
        <v>2019</v>
      </c>
      <c r="BX306" s="11">
        <f ca="1">IFERROR(YEAR(OFFSET(BV!$H306,,(COLUMN()-69)*8)),"")</f>
        <v>2020</v>
      </c>
      <c r="BY306" s="11">
        <f ca="1">IFERROR(YEAR(OFFSET(BV!$H306,,(COLUMN()-69)*8)),"")</f>
        <v>2019</v>
      </c>
      <c r="BZ306" s="11">
        <f ca="1">IFERROR(YEAR(OFFSET(BV!$H306,,(COLUMN()-69)*8)),"")</f>
        <v>2019</v>
      </c>
    </row>
    <row r="307" spans="1:78" x14ac:dyDescent="0.25">
      <c r="A307" s="433">
        <v>165</v>
      </c>
      <c r="B307" s="298">
        <f ca="1">BV!D307</f>
        <v>2.5167785234899327</v>
      </c>
      <c r="C307" s="298">
        <f ca="1">BV!L307</f>
        <v>2.5152439024390247</v>
      </c>
      <c r="D307" s="299">
        <f ca="1">BV!T307</f>
        <v>2.4932003626473254</v>
      </c>
      <c r="E307" s="299">
        <f ca="1">BV!AB307</f>
        <v>2.3937327723777742</v>
      </c>
      <c r="F307" s="299">
        <f ca="1">BV!AJ307</f>
        <v>2.3881893182805034</v>
      </c>
      <c r="G307" s="299">
        <f ca="1">BV!AR307</f>
        <v>2.3730763699122681</v>
      </c>
      <c r="H307" s="299">
        <f ca="1">BV!AZ307</f>
        <v>2.3723939611790081</v>
      </c>
      <c r="I307" s="299">
        <f ca="1">BV!BH307</f>
        <v>2.3615285530270502</v>
      </c>
      <c r="J307" s="299">
        <f ca="1">BV!BP307</f>
        <v>2.3601773709054501</v>
      </c>
      <c r="K307" s="299">
        <f ca="1">BV!BX307</f>
        <v>2.3268932449583981</v>
      </c>
      <c r="L307" s="15" t="s">
        <v>102</v>
      </c>
      <c r="M307" s="261">
        <v>1.9168762161E-2</v>
      </c>
      <c r="N307" s="282">
        <f t="shared" ca="1" si="157"/>
        <v>7.2227563634582737</v>
      </c>
      <c r="O307" s="4" t="str">
        <f>O1</f>
        <v>分段</v>
      </c>
      <c r="P307" s="4" t="str">
        <f>IF(Arb!$AJ$28=1,"Games","局数")</f>
        <v>局数</v>
      </c>
      <c r="Q307" s="15" t="str">
        <f>M1</f>
        <v>概率</v>
      </c>
      <c r="R307" s="4" t="str">
        <f>IF(Arb!$AJ$28=1,"Finish","比例")</f>
        <v>比例</v>
      </c>
      <c r="S307" s="4" t="str">
        <f>IF(Arb!$AJ$28=1,"Phasic","相性")</f>
        <v>相性</v>
      </c>
      <c r="T307" s="4" t="str">
        <f>IF(Arb!$AJ$28=1,"DPG","天/局")</f>
        <v>天/局</v>
      </c>
      <c r="U307" s="258" t="str">
        <f>IF(Arb!$AJ$28=1,"GPD","局/天")</f>
        <v>局/天</v>
      </c>
      <c r="V307" s="4" t="s">
        <v>555</v>
      </c>
      <c r="W307" s="333"/>
      <c r="X307" s="590" t="str">
        <f>IF(Arb!$AJ$28=1,"PBdate","PB保持天数")</f>
        <v>PB保持天数</v>
      </c>
      <c r="Y307" s="590"/>
      <c r="Z307" s="590"/>
      <c r="AA307" s="620">
        <f ca="1">LARGE(QG!J$2:J$201,AG307)</f>
        <v>44168.108999999997</v>
      </c>
      <c r="AB307" s="620"/>
      <c r="AC307" s="11">
        <f ca="1">INDEX(QG!C$2:C$201,AH307)</f>
        <v>11</v>
      </c>
      <c r="AD307" s="597">
        <f ca="1">INDEX(QG!D$2:D$201,AH307)</f>
        <v>3.66</v>
      </c>
      <c r="AE307" s="597"/>
      <c r="AF307" s="11">
        <f ca="1">INDEX(QG!E$2:E$201,AH307)</f>
        <v>3.0054644808743167</v>
      </c>
      <c r="AG307" s="11">
        <v>5</v>
      </c>
      <c r="AH307" s="1">
        <f ca="1">MATCH(AA307,QG!J$2:J$201,0)</f>
        <v>108</v>
      </c>
      <c r="AI307" s="589">
        <f t="shared" ca="1" si="155"/>
        <v>57.322721208994295</v>
      </c>
      <c r="AJ307" s="589"/>
      <c r="AL307" s="315"/>
      <c r="AM307" s="315"/>
      <c r="AN307" s="433">
        <v>165</v>
      </c>
      <c r="AO307" s="299">
        <f ca="1">BV!C307</f>
        <v>65.56</v>
      </c>
      <c r="AP307" s="299">
        <f ca="1">BV!K307</f>
        <v>65.599999999999994</v>
      </c>
      <c r="AQ307" s="299">
        <f ca="1">BV!S307</f>
        <v>66.180000000000007</v>
      </c>
      <c r="AR307" s="300">
        <f ca="1">BV!AA307</f>
        <v>68.930000000000007</v>
      </c>
      <c r="AS307" s="301">
        <f ca="1">BV!AI307</f>
        <v>69.09</v>
      </c>
      <c r="AT307" s="301">
        <f ca="1">BV!AQ307</f>
        <v>69.53</v>
      </c>
      <c r="AU307" s="301">
        <f ca="1">BV!AY307</f>
        <v>69.55</v>
      </c>
      <c r="AV307" s="301">
        <f ca="1">BV!BG307</f>
        <v>69.87</v>
      </c>
      <c r="AW307" s="301">
        <f ca="1">BV!BO307</f>
        <v>69.91</v>
      </c>
      <c r="AX307" s="301">
        <f ca="1">BV!BW307</f>
        <v>70.91</v>
      </c>
      <c r="AY307" s="15" t="s">
        <v>65</v>
      </c>
      <c r="AZ307" s="258">
        <f t="shared" si="159"/>
        <v>1.7174059311492909</v>
      </c>
      <c r="BA307" s="261">
        <v>1.9168762161E-2</v>
      </c>
      <c r="BB307" s="268">
        <v>0.18793569771599997</v>
      </c>
      <c r="BC307" s="268">
        <f t="shared" si="160"/>
        <v>0.10199638703003076</v>
      </c>
      <c r="BD307" s="269">
        <f ca="1">IF(BV!H307="","",INT(NOW()-BV!H307))</f>
        <v>156</v>
      </c>
      <c r="BE307" s="260">
        <f t="shared" si="161"/>
        <v>7.2227563634582737</v>
      </c>
      <c r="BF307" s="299">
        <f ca="1">BV!G307</f>
        <v>58.571722109062826</v>
      </c>
      <c r="BG307" s="299">
        <f ca="1">BV!O307</f>
        <v>58.511020477243939</v>
      </c>
      <c r="BH307" s="299">
        <f ca="1">BV!W307</f>
        <v>57.641955093593616</v>
      </c>
      <c r="BI307" s="300">
        <f ca="1">BV!AE307</f>
        <v>53.787347294633427</v>
      </c>
      <c r="BJ307" s="300">
        <f ca="1">BV!AM307</f>
        <v>53.575763889923095</v>
      </c>
      <c r="BK307" s="300">
        <f ca="1">BV!AU307</f>
        <v>53.000676088026715</v>
      </c>
      <c r="BL307" s="300">
        <f ca="1">BV!BC307</f>
        <v>52.974768947645146</v>
      </c>
      <c r="BM307" s="300">
        <f ca="1">BV!BK307</f>
        <v>52.562974785783382</v>
      </c>
      <c r="BN307" s="300">
        <f ca="1">BV!BS307</f>
        <v>52.511858114810252</v>
      </c>
      <c r="BO307" s="300">
        <f ca="1">BV!CA307</f>
        <v>51.259158751579719</v>
      </c>
      <c r="BP307" s="433">
        <v>165</v>
      </c>
      <c r="BQ307" s="11">
        <f ca="1">IFERROR(YEAR(OFFSET(BV!$H307,,(COLUMN()-69)*8)),"")</f>
        <v>2020</v>
      </c>
      <c r="BR307" s="11">
        <f ca="1">IFERROR(YEAR(OFFSET(BV!$H307,,(COLUMN()-69)*8)),"")</f>
        <v>2020</v>
      </c>
      <c r="BS307" s="11">
        <f ca="1">IFERROR(YEAR(OFFSET(BV!$H307,,(COLUMN()-69)*8)),"")</f>
        <v>2020</v>
      </c>
      <c r="BT307" s="11">
        <f ca="1">IFERROR(YEAR(OFFSET(BV!$H307,,(COLUMN()-69)*8)),"")</f>
        <v>2020</v>
      </c>
      <c r="BU307" s="11">
        <f ca="1">IFERROR(YEAR(OFFSET(BV!$H307,,(COLUMN()-69)*8)),"")</f>
        <v>2020</v>
      </c>
      <c r="BV307" s="11">
        <f ca="1">IFERROR(YEAR(OFFSET(BV!$H307,,(COLUMN()-69)*8)),"")</f>
        <v>2020</v>
      </c>
      <c r="BW307" s="11">
        <f ca="1">IFERROR(YEAR(OFFSET(BV!$H307,,(COLUMN()-69)*8)),"")</f>
        <v>2020</v>
      </c>
      <c r="BX307" s="11">
        <f ca="1">IFERROR(YEAR(OFFSET(BV!$H307,,(COLUMN()-69)*8)),"")</f>
        <v>2020</v>
      </c>
      <c r="BY307" s="11">
        <f ca="1">IFERROR(YEAR(OFFSET(BV!$H307,,(COLUMN()-69)*8)),"")</f>
        <v>2020</v>
      </c>
      <c r="BZ307" s="11">
        <f ca="1">IFERROR(YEAR(OFFSET(BV!$H307,,(COLUMN()-69)*8)),"")</f>
        <v>2020</v>
      </c>
    </row>
    <row r="308" spans="1:78" x14ac:dyDescent="0.25">
      <c r="A308" s="433">
        <v>166</v>
      </c>
      <c r="B308" s="298">
        <f ca="1">BV!D308</f>
        <v>2.533964280262555</v>
      </c>
      <c r="C308" s="299">
        <f ca="1">BV!L308</f>
        <v>2.3950367912278168</v>
      </c>
      <c r="D308" s="299">
        <f ca="1">BV!T308</f>
        <v>2.3623167781414547</v>
      </c>
      <c r="E308" s="299">
        <f ca="1">BV!AB308</f>
        <v>2.3152022315202232</v>
      </c>
      <c r="F308" s="299">
        <f ca="1">BV!AJ308</f>
        <v>2.2836703810702987</v>
      </c>
      <c r="G308" s="299">
        <f ca="1">BV!AR308</f>
        <v>2.2705512241827384</v>
      </c>
      <c r="H308" s="300">
        <f ca="1">BV!AZ308</f>
        <v>2.2465827581540125</v>
      </c>
      <c r="I308" s="300">
        <f ca="1">BV!BH308</f>
        <v>2.2287862513426422</v>
      </c>
      <c r="J308" s="300">
        <f ca="1">BV!BP308</f>
        <v>2.2246046636290537</v>
      </c>
      <c r="K308" s="300">
        <f ca="1">BV!BX308</f>
        <v>2.1934460887949259</v>
      </c>
      <c r="L308" s="15" t="s">
        <v>102</v>
      </c>
      <c r="M308" s="261">
        <v>1.9516376584E-2</v>
      </c>
      <c r="N308" s="282">
        <f t="shared" ca="1" si="157"/>
        <v>7.1581435778916731</v>
      </c>
      <c r="O308" s="263" t="s">
        <v>11</v>
      </c>
      <c r="P308" s="1">
        <f ca="1">COUNTIFS(OFFSET(Arb!$I$2,,,Arb!$AJ$36,),"&gt;=2",OFFSET(Arb!$I$2,,,Arb!$AJ$36,),"&lt;=9",OFFSET(Arb!$AI$2,,,Arb!$AJ$36,),"TRUE")</f>
        <v>164</v>
      </c>
      <c r="Q308" s="334">
        <f>SUM(M2:M9)</f>
        <v>6.1418979555567577E-2</v>
      </c>
      <c r="R308" s="334">
        <f ca="1">P308/SUM(P$308:P$311)</f>
        <v>8.718766613503455E-2</v>
      </c>
      <c r="S308" s="335">
        <f ca="1">R308/Q308</f>
        <v>1.4195557589190044</v>
      </c>
      <c r="T308" s="465">
        <f ca="1">Arb!AK$35/ASB!P308</f>
        <v>1.5487804878048781</v>
      </c>
      <c r="U308" s="32">
        <f ca="1">1/T308</f>
        <v>0.64566929133858264</v>
      </c>
      <c r="V308" s="336">
        <f ca="1">(P280+Q280/2+R280/3+S280/4+T280/5+U280/6+V280/7+W280/8+X280/9+Y280/10)*10</f>
        <v>175.42063492063491</v>
      </c>
      <c r="W308" s="337"/>
      <c r="X308" s="338">
        <f ca="1">IF(Y308="","",MIN($BD2:$BD9))</f>
        <v>12</v>
      </c>
      <c r="Y308" s="338">
        <f ca="1">IFERROR(AVERAGE($BD2:$BD9),"")</f>
        <v>270</v>
      </c>
      <c r="Z308" s="338">
        <f ca="1">IF(Y308="","",MAX($BD2:$BD9))</f>
        <v>399</v>
      </c>
      <c r="AA308" s="620">
        <f ca="1">LARGE(QG!J$2:J$201,AG308)</f>
        <v>44168.107000000004</v>
      </c>
      <c r="AB308" s="620"/>
      <c r="AC308" s="11">
        <f ca="1">INDEX(QG!C$2:C$201,AH308)</f>
        <v>10</v>
      </c>
      <c r="AD308" s="597">
        <f ca="1">INDEX(QG!D$2:D$201,AH308)</f>
        <v>3.45</v>
      </c>
      <c r="AE308" s="597"/>
      <c r="AF308" s="11">
        <f ca="1">INDEX(QG!E$2:E$201,AH308)</f>
        <v>2.8985507246376812</v>
      </c>
      <c r="AG308" s="11">
        <v>6</v>
      </c>
      <c r="AH308" s="1">
        <f ca="1">MATCH(AA308,QG!J$2:J$201,0)</f>
        <v>106</v>
      </c>
      <c r="AI308" s="589">
        <f t="shared" ca="1" si="155"/>
        <v>57.618174868702965</v>
      </c>
      <c r="AJ308" s="589"/>
      <c r="AL308" s="315"/>
      <c r="AM308" s="315"/>
      <c r="AN308" s="433">
        <v>166</v>
      </c>
      <c r="AO308" s="299">
        <f ca="1">BV!C308</f>
        <v>65.510000000000005</v>
      </c>
      <c r="AP308" s="301">
        <f ca="1">BV!K308</f>
        <v>69.31</v>
      </c>
      <c r="AQ308" s="301">
        <f ca="1">BV!S308</f>
        <v>70.27</v>
      </c>
      <c r="AR308" s="301">
        <f ca="1">BV!AA308</f>
        <v>71.7</v>
      </c>
      <c r="AS308" s="301">
        <f ca="1">BV!AI308</f>
        <v>72.69</v>
      </c>
      <c r="AT308" s="301">
        <f ca="1">BV!AQ308</f>
        <v>73.11</v>
      </c>
      <c r="AU308" s="301">
        <f ca="1">BV!AY308</f>
        <v>73.89</v>
      </c>
      <c r="AV308" s="302">
        <f ca="1">BV!BG308</f>
        <v>74.48</v>
      </c>
      <c r="AW308" s="302">
        <f ca="1">BV!BO308</f>
        <v>74.62</v>
      </c>
      <c r="AX308" s="302">
        <f ca="1">BV!BW308</f>
        <v>75.680000000000007</v>
      </c>
      <c r="AY308" s="15" t="s">
        <v>65</v>
      </c>
      <c r="AZ308" s="258">
        <f t="shared" si="159"/>
        <v>1.709600810421666</v>
      </c>
      <c r="BA308" s="261">
        <v>1.9516376584E-2</v>
      </c>
      <c r="BB308" s="268">
        <v>0.18793569771599997</v>
      </c>
      <c r="BC308" s="268">
        <f t="shared" si="160"/>
        <v>0.1038460325589249</v>
      </c>
      <c r="BD308" s="269">
        <f ca="1">IF(BV!H308="","",INT(NOW()-BV!H308))</f>
        <v>13</v>
      </c>
      <c r="BE308" s="260">
        <f t="shared" si="161"/>
        <v>7.1581435778916722</v>
      </c>
      <c r="BF308" s="299">
        <f ca="1">BV!G308</f>
        <v>59.003180759393466</v>
      </c>
      <c r="BG308" s="300">
        <f ca="1">BV!O308</f>
        <v>53.609939279895329</v>
      </c>
      <c r="BH308" s="300">
        <f ca="1">BV!W308</f>
        <v>52.370825837147358</v>
      </c>
      <c r="BI308" s="300">
        <f ca="1">BV!AE308</f>
        <v>50.607604287493153</v>
      </c>
      <c r="BJ308" s="301">
        <f ca="1">BV!AM308</f>
        <v>49.441473591028434</v>
      </c>
      <c r="BK308" s="301">
        <f ca="1">BV!AU308</f>
        <v>48.959594337245967</v>
      </c>
      <c r="BL308" s="301">
        <f ca="1">BV!BC308</f>
        <v>48.084234914484938</v>
      </c>
      <c r="BM308" s="301">
        <f ca="1">BV!BK308</f>
        <v>47.438495585544793</v>
      </c>
      <c r="BN308" s="301">
        <f ca="1">BV!BS308</f>
        <v>47.287290189889546</v>
      </c>
      <c r="BO308" s="301">
        <f ca="1">BV!CA308</f>
        <v>46.166870228400718</v>
      </c>
      <c r="BP308" s="433">
        <v>166</v>
      </c>
      <c r="BQ308" s="11">
        <f ca="1">IFERROR(YEAR(OFFSET(BV!$H308,,(COLUMN()-69)*8)),"")</f>
        <v>2020</v>
      </c>
      <c r="BR308" s="11">
        <f ca="1">IFERROR(YEAR(OFFSET(BV!$H308,,(COLUMN()-69)*8)),"")</f>
        <v>2020</v>
      </c>
      <c r="BS308" s="11">
        <f ca="1">IFERROR(YEAR(OFFSET(BV!$H308,,(COLUMN()-69)*8)),"")</f>
        <v>2020</v>
      </c>
      <c r="BT308" s="11">
        <f ca="1">IFERROR(YEAR(OFFSET(BV!$H308,,(COLUMN()-69)*8)),"")</f>
        <v>2020</v>
      </c>
      <c r="BU308" s="11">
        <f ca="1">IFERROR(YEAR(OFFSET(BV!$H308,,(COLUMN()-69)*8)),"")</f>
        <v>2020</v>
      </c>
      <c r="BV308" s="11">
        <f ca="1">IFERROR(YEAR(OFFSET(BV!$H308,,(COLUMN()-69)*8)),"")</f>
        <v>2020</v>
      </c>
      <c r="BW308" s="11">
        <f ca="1">IFERROR(YEAR(OFFSET(BV!$H308,,(COLUMN()-69)*8)),"")</f>
        <v>2019</v>
      </c>
      <c r="BX308" s="11">
        <f ca="1">IFERROR(YEAR(OFFSET(BV!$H308,,(COLUMN()-69)*8)),"")</f>
        <v>2019</v>
      </c>
      <c r="BY308" s="11">
        <f ca="1">IFERROR(YEAR(OFFSET(BV!$H308,,(COLUMN()-69)*8)),"")</f>
        <v>2020</v>
      </c>
      <c r="BZ308" s="11">
        <f ca="1">IFERROR(YEAR(OFFSET(BV!$H308,,(COLUMN()-69)*8)),"")</f>
        <v>2019</v>
      </c>
    </row>
    <row r="309" spans="1:78" x14ac:dyDescent="0.25">
      <c r="A309" s="433">
        <v>167</v>
      </c>
      <c r="B309" s="299">
        <f ca="1">BV!D309</f>
        <v>2.4319207805446337</v>
      </c>
      <c r="C309" s="299">
        <f ca="1">BV!L309</f>
        <v>2.3359910476989789</v>
      </c>
      <c r="D309" s="299">
        <f ca="1">BV!T309</f>
        <v>2.3350111856823266</v>
      </c>
      <c r="E309" s="299">
        <f ca="1">BV!AB309</f>
        <v>2.2789301310043668</v>
      </c>
      <c r="F309" s="300">
        <f ca="1">BV!AJ309</f>
        <v>2.2057852331264036</v>
      </c>
      <c r="G309" s="300">
        <f ca="1">BV!AR309</f>
        <v>2.1878684658718721</v>
      </c>
      <c r="H309" s="300">
        <f ca="1">BV!AZ309</f>
        <v>2.1459778977126707</v>
      </c>
      <c r="I309" s="300">
        <f ca="1">BV!BH309</f>
        <v>2.0518491215136994</v>
      </c>
      <c r="J309" s="300">
        <f ca="1">BV!BP309</f>
        <v>2.0331141952763576</v>
      </c>
      <c r="K309" s="300">
        <f ca="1">BV!BX309</f>
        <v>2.0072115384615383</v>
      </c>
      <c r="L309" s="15" t="s">
        <v>102</v>
      </c>
      <c r="M309" s="261">
        <v>1.9814853890000001E-2</v>
      </c>
      <c r="N309" s="282">
        <f t="shared" ca="1" si="157"/>
        <v>7.1040263370418177</v>
      </c>
      <c r="O309" s="31" t="s">
        <v>12</v>
      </c>
      <c r="P309" s="1">
        <f ca="1">COUNTIFS(OFFSET(Arb!$I$2,,,Arb!$AJ$36,),"&gt;=10",OFFSET(Arb!$I$2,,,Arb!$AJ$36,),"&lt;=19",OFFSET(Arb!$AI$2,,,Arb!$AJ$36,),"TRUE")</f>
        <v>1213</v>
      </c>
      <c r="Q309" s="334">
        <f>SUM(M10:M19)</f>
        <v>0.6270466409878247</v>
      </c>
      <c r="R309" s="334">
        <f ca="1">P309/SUM(P$308:P$311)</f>
        <v>0.64486975013290804</v>
      </c>
      <c r="S309" s="335">
        <f t="shared" ref="S309:S330" ca="1" si="162">R309/Q309</f>
        <v>1.0284238970118802</v>
      </c>
      <c r="T309" s="469">
        <f ca="1">Arb!AK$35/ASB!P309</f>
        <v>0.20939818631492169</v>
      </c>
      <c r="U309" s="32">
        <f t="shared" ref="U309:U330" ca="1" si="163">1/T309</f>
        <v>4.7755905511811019</v>
      </c>
      <c r="V309" s="336">
        <f t="shared" ref="V309:V311" ca="1" si="164">(P281+Q281/2+R281/3+S281/4+T281/5+U281/6+V281/7+W281/8+X281/9+Y281/10)*10</f>
        <v>292.89682539682536</v>
      </c>
      <c r="W309" s="337"/>
      <c r="X309" s="338">
        <f ca="1">MIN($BD10:$BD19)</f>
        <v>12</v>
      </c>
      <c r="Y309" s="338">
        <f ca="1">AVERAGE($BD10:$BD19)</f>
        <v>165.4</v>
      </c>
      <c r="Z309" s="338">
        <f ca="1">MAX($BD10:$BD19)</f>
        <v>339</v>
      </c>
      <c r="AA309" s="620">
        <f ca="1">LARGE(QG!J$2:J$201,AG309)</f>
        <v>44168.095000000001</v>
      </c>
      <c r="AB309" s="620"/>
      <c r="AC309" s="11">
        <f ca="1">INDEX(QG!C$2:C$201,AH309)</f>
        <v>16</v>
      </c>
      <c r="AD309" s="597">
        <f ca="1">INDEX(QG!D$2:D$201,AH309)</f>
        <v>4.51</v>
      </c>
      <c r="AE309" s="597"/>
      <c r="AF309" s="11">
        <f ca="1">INDEX(QG!E$2:E$201,AH309)</f>
        <v>3.5476718403547673</v>
      </c>
      <c r="AG309" s="11">
        <v>7</v>
      </c>
      <c r="AH309" s="1">
        <f ca="1">MATCH(AA309,QG!J$2:J$201,0)</f>
        <v>94</v>
      </c>
      <c r="AI309" s="589">
        <f t="shared" ca="1" si="155"/>
        <v>58.46175120764368</v>
      </c>
      <c r="AJ309" s="589"/>
      <c r="AL309" s="315"/>
      <c r="AM309" s="315"/>
      <c r="AN309" s="433">
        <v>167</v>
      </c>
      <c r="AO309" s="300">
        <f ca="1">BV!C309</f>
        <v>68.67</v>
      </c>
      <c r="AP309" s="301">
        <f ca="1">BV!K309</f>
        <v>71.489999999999995</v>
      </c>
      <c r="AQ309" s="301">
        <f ca="1">BV!S309</f>
        <v>71.52</v>
      </c>
      <c r="AR309" s="301">
        <f ca="1">BV!AA309</f>
        <v>73.28</v>
      </c>
      <c r="AS309" s="302">
        <f ca="1">BV!AI309</f>
        <v>75.709999999999994</v>
      </c>
      <c r="AT309" s="302">
        <f ca="1">BV!AQ309</f>
        <v>76.33</v>
      </c>
      <c r="AU309" s="302">
        <f ca="1">BV!AY309</f>
        <v>77.819999999999993</v>
      </c>
      <c r="AV309" s="660">
        <f ca="1">BV!BG309</f>
        <v>81.39</v>
      </c>
      <c r="AW309" s="660">
        <f ca="1">BV!BO309</f>
        <v>82.14</v>
      </c>
      <c r="AX309" s="660">
        <f ca="1">BV!BW309</f>
        <v>83.2</v>
      </c>
      <c r="AY309" s="15" t="s">
        <v>65</v>
      </c>
      <c r="AZ309" s="258">
        <f t="shared" si="159"/>
        <v>1.7030091257017674</v>
      </c>
      <c r="BA309" s="261">
        <v>1.9814853890000001E-2</v>
      </c>
      <c r="BB309" s="268">
        <v>0.18793569771599997</v>
      </c>
      <c r="BC309" s="268">
        <f t="shared" si="160"/>
        <v>0.10543422101714452</v>
      </c>
      <c r="BD309" s="269">
        <f ca="1">IF(BV!H309="","",INT(NOW()-BV!H309))</f>
        <v>276</v>
      </c>
      <c r="BE309" s="260">
        <f t="shared" si="161"/>
        <v>7.1040263370418177</v>
      </c>
      <c r="BF309" s="300">
        <f ca="1">BV!G309</f>
        <v>54.790182359375549</v>
      </c>
      <c r="BG309" s="300">
        <f ca="1">BV!O309</f>
        <v>51.166972560863336</v>
      </c>
      <c r="BH309" s="300">
        <f ca="1">BV!W309</f>
        <v>51.130491402080835</v>
      </c>
      <c r="BI309" s="301">
        <f ca="1">BV!AE309</f>
        <v>49.060440506862683</v>
      </c>
      <c r="BJ309" s="301">
        <f ca="1">BV!AM309</f>
        <v>46.413701832638303</v>
      </c>
      <c r="BK309" s="301">
        <f ca="1">BV!AU309</f>
        <v>45.774623452514909</v>
      </c>
      <c r="BL309" s="301">
        <f ca="1">BV!BC309</f>
        <v>44.294687439790835</v>
      </c>
      <c r="BM309" s="301">
        <f ca="1">BV!BK309</f>
        <v>41.042701974358714</v>
      </c>
      <c r="BN309" s="301">
        <f ca="1">BV!BS309</f>
        <v>40.407663511431025</v>
      </c>
      <c r="BO309" s="301">
        <f ca="1">BV!CA309</f>
        <v>39.536395433179528</v>
      </c>
      <c r="BP309" s="433">
        <v>167</v>
      </c>
      <c r="BQ309" s="11">
        <f ca="1">IFERROR(YEAR(OFFSET(BV!$H309,,(COLUMN()-69)*8)),"")</f>
        <v>2020</v>
      </c>
      <c r="BR309" s="11">
        <f ca="1">IFERROR(YEAR(OFFSET(BV!$H309,,(COLUMN()-69)*8)),"")</f>
        <v>2020</v>
      </c>
      <c r="BS309" s="11">
        <f ca="1">IFERROR(YEAR(OFFSET(BV!$H309,,(COLUMN()-69)*8)),"")</f>
        <v>2020</v>
      </c>
      <c r="BT309" s="11">
        <f ca="1">IFERROR(YEAR(OFFSET(BV!$H309,,(COLUMN()-69)*8)),"")</f>
        <v>2020</v>
      </c>
      <c r="BU309" s="11">
        <f ca="1">IFERROR(YEAR(OFFSET(BV!$H309,,(COLUMN()-69)*8)),"")</f>
        <v>2020</v>
      </c>
      <c r="BV309" s="11">
        <f ca="1">IFERROR(YEAR(OFFSET(BV!$H309,,(COLUMN()-69)*8)),"")</f>
        <v>2020</v>
      </c>
      <c r="BW309" s="11">
        <f ca="1">IFERROR(YEAR(OFFSET(BV!$H309,,(COLUMN()-69)*8)),"")</f>
        <v>2020</v>
      </c>
      <c r="BX309" s="11">
        <f ca="1">IFERROR(YEAR(OFFSET(BV!$H309,,(COLUMN()-69)*8)),"")</f>
        <v>2020</v>
      </c>
      <c r="BY309" s="11">
        <f ca="1">IFERROR(YEAR(OFFSET(BV!$H309,,(COLUMN()-69)*8)),"")</f>
        <v>2020</v>
      </c>
      <c r="BZ309" s="11">
        <f ca="1">IFERROR(YEAR(OFFSET(BV!$H309,,(COLUMN()-69)*8)),"")</f>
        <v>2019</v>
      </c>
    </row>
    <row r="310" spans="1:78" x14ac:dyDescent="0.25">
      <c r="A310" s="433">
        <v>168</v>
      </c>
      <c r="B310" s="299">
        <f ca="1">BV!D310</f>
        <v>2.4547048509643483</v>
      </c>
      <c r="C310" s="299">
        <f ca="1">BV!L310</f>
        <v>2.3769100169779285</v>
      </c>
      <c r="D310" s="299">
        <f ca="1">BV!T310</f>
        <v>2.3503077783995523</v>
      </c>
      <c r="E310" s="299">
        <f ca="1">BV!AB310</f>
        <v>2.3118205586899685</v>
      </c>
      <c r="F310" s="299">
        <f ca="1">BV!AJ310</f>
        <v>2.2764227642276422</v>
      </c>
      <c r="G310" s="299">
        <f ca="1">BV!AR310</f>
        <v>2.2761143476493699</v>
      </c>
      <c r="H310" s="300">
        <f ca="1">BV!AZ310</f>
        <v>2.2426912294753705</v>
      </c>
      <c r="I310" s="300">
        <f ca="1">BV!BH310</f>
        <v>2.2248708780294</v>
      </c>
      <c r="J310" s="300">
        <f ca="1">BV!BP310</f>
        <v>2.2154819992087567</v>
      </c>
      <c r="K310" s="300">
        <f ca="1">BV!BX310</f>
        <v>2.1319796954314723</v>
      </c>
      <c r="L310" s="15" t="s">
        <v>102</v>
      </c>
      <c r="M310" s="261">
        <v>2.0063111214999998E-2</v>
      </c>
      <c r="N310" s="282">
        <f t="shared" ca="1" si="157"/>
        <v>7.0599375545779131</v>
      </c>
      <c r="O310" s="31" t="s">
        <v>13</v>
      </c>
      <c r="P310" s="1">
        <f ca="1">COUNTIFS(OFFSET(Arb!$I$2,,,Arb!$AJ$36,),"&gt;=20",OFFSET(Arb!$I$2,,,Arb!$AJ$36,),"&lt;=29",OFFSET(Arb!$AI$2,,,Arb!$AJ$36,),"TRUE")</f>
        <v>466</v>
      </c>
      <c r="Q310" s="334">
        <f>SUM(M20:M29)</f>
        <v>0.28871927092274591</v>
      </c>
      <c r="R310" s="334">
        <f ca="1">P310/SUM(P$308:P$311)</f>
        <v>0.24774056353003721</v>
      </c>
      <c r="S310" s="335">
        <f t="shared" ca="1" si="162"/>
        <v>0.85806729401282822</v>
      </c>
      <c r="T310" s="469">
        <f ca="1">Arb!AK$35/ASB!P310</f>
        <v>0.54506437768240346</v>
      </c>
      <c r="U310" s="32">
        <f t="shared" ca="1" si="163"/>
        <v>1.8346456692913384</v>
      </c>
      <c r="V310" s="336">
        <f t="shared" ca="1" si="164"/>
        <v>292.89682539682536</v>
      </c>
      <c r="W310" s="337"/>
      <c r="X310" s="338">
        <f ca="1">MIN($BD20:$BD29)</f>
        <v>87</v>
      </c>
      <c r="Y310" s="338">
        <f ca="1">AVERAGE($BD20:$BD29)</f>
        <v>261.5</v>
      </c>
      <c r="Z310" s="338">
        <f ca="1">MAX($BD20:$BD29)</f>
        <v>403</v>
      </c>
      <c r="AA310" s="620">
        <f ca="1">LARGE(QG!J$2:J$201,AG310)</f>
        <v>44168.089</v>
      </c>
      <c r="AB310" s="620"/>
      <c r="AC310" s="11">
        <f ca="1">INDEX(QG!C$2:C$201,AH310)</f>
        <v>11</v>
      </c>
      <c r="AD310" s="597">
        <f ca="1">INDEX(QG!D$2:D$201,AH310)</f>
        <v>3.59</v>
      </c>
      <c r="AE310" s="597"/>
      <c r="AF310" s="11">
        <f ca="1">INDEX(QG!E$2:E$201,AH310)</f>
        <v>3.0640668523676879</v>
      </c>
      <c r="AG310" s="11">
        <v>8</v>
      </c>
      <c r="AH310" s="1">
        <f ca="1">MATCH(AA310,QG!J$2:J$201,0)</f>
        <v>88</v>
      </c>
      <c r="AI310" s="589">
        <f t="shared" ca="1" si="155"/>
        <v>59.235775910526051</v>
      </c>
      <c r="AJ310" s="589"/>
      <c r="AL310" s="315"/>
      <c r="AM310" s="315"/>
      <c r="AN310" s="433">
        <v>168</v>
      </c>
      <c r="AO310" s="300">
        <f ca="1">BV!C310</f>
        <v>68.44</v>
      </c>
      <c r="AP310" s="301">
        <f ca="1">BV!K310</f>
        <v>70.680000000000007</v>
      </c>
      <c r="AQ310" s="301">
        <f ca="1">BV!S310</f>
        <v>71.48</v>
      </c>
      <c r="AR310" s="301">
        <f ca="1">BV!AA310</f>
        <v>72.67</v>
      </c>
      <c r="AS310" s="301">
        <f ca="1">BV!AI310</f>
        <v>73.8</v>
      </c>
      <c r="AT310" s="301">
        <f ca="1">BV!AQ310</f>
        <v>73.81</v>
      </c>
      <c r="AU310" s="302">
        <f ca="1">BV!AY310</f>
        <v>74.91</v>
      </c>
      <c r="AV310" s="302">
        <f ca="1">BV!BG310</f>
        <v>75.510000000000005</v>
      </c>
      <c r="AW310" s="302">
        <f ca="1">BV!BO310</f>
        <v>75.83</v>
      </c>
      <c r="AX310" s="302">
        <f ca="1">BV!BW310</f>
        <v>78.8</v>
      </c>
      <c r="AY310" s="15" t="s">
        <v>65</v>
      </c>
      <c r="AZ310" s="258">
        <f t="shared" si="159"/>
        <v>1.6976017194344377</v>
      </c>
      <c r="BA310" s="261">
        <v>2.0063111214999998E-2</v>
      </c>
      <c r="BB310" s="268">
        <v>0.18793569771599997</v>
      </c>
      <c r="BC310" s="268">
        <f t="shared" si="160"/>
        <v>0.10675519051903846</v>
      </c>
      <c r="BD310" s="269">
        <f ca="1">IF(BV!H310="","",INT(NOW()-BV!H310))</f>
        <v>230</v>
      </c>
      <c r="BE310" s="260">
        <f t="shared" si="161"/>
        <v>7.0599375545779131</v>
      </c>
      <c r="BF310" s="300">
        <f ca="1">BV!G310</f>
        <v>55.433530037109314</v>
      </c>
      <c r="BG310" s="300">
        <f ca="1">BV!O310</f>
        <v>52.480192288987752</v>
      </c>
      <c r="BH310" s="300">
        <f ca="1">BV!W310</f>
        <v>51.485604063460435</v>
      </c>
      <c r="BI310" s="300">
        <f ca="1">BV!AE310</f>
        <v>50.060567056245809</v>
      </c>
      <c r="BJ310" s="301">
        <f ca="1">BV!AM310</f>
        <v>48.764493977240612</v>
      </c>
      <c r="BK310" s="301">
        <f ca="1">BV!AU310</f>
        <v>48.753263018199029</v>
      </c>
      <c r="BL310" s="301">
        <f ca="1">BV!BC310</f>
        <v>47.542485426511391</v>
      </c>
      <c r="BM310" s="301">
        <f ca="1">BV!BK310</f>
        <v>46.902062125846854</v>
      </c>
      <c r="BN310" s="301">
        <f ca="1">BV!BS310</f>
        <v>46.566086642083285</v>
      </c>
      <c r="BO310" s="301">
        <f ca="1">BV!CA310</f>
        <v>43.621939122125774</v>
      </c>
      <c r="BP310" s="433">
        <v>168</v>
      </c>
      <c r="BQ310" s="11">
        <f ca="1">IFERROR(YEAR(OFFSET(BV!$H310,,(COLUMN()-69)*8)),"")</f>
        <v>2020</v>
      </c>
      <c r="BR310" s="11">
        <f ca="1">IFERROR(YEAR(OFFSET(BV!$H310,,(COLUMN()-69)*8)),"")</f>
        <v>2020</v>
      </c>
      <c r="BS310" s="11">
        <f ca="1">IFERROR(YEAR(OFFSET(BV!$H310,,(COLUMN()-69)*8)),"")</f>
        <v>2020</v>
      </c>
      <c r="BT310" s="11">
        <f ca="1">IFERROR(YEAR(OFFSET(BV!$H310,,(COLUMN()-69)*8)),"")</f>
        <v>2020</v>
      </c>
      <c r="BU310" s="11">
        <f ca="1">IFERROR(YEAR(OFFSET(BV!$H310,,(COLUMN()-69)*8)),"")</f>
        <v>2020</v>
      </c>
      <c r="BV310" s="11">
        <f ca="1">IFERROR(YEAR(OFFSET(BV!$H310,,(COLUMN()-69)*8)),"")</f>
        <v>2020</v>
      </c>
      <c r="BW310" s="11">
        <f ca="1">IFERROR(YEAR(OFFSET(BV!$H310,,(COLUMN()-69)*8)),"")</f>
        <v>2020</v>
      </c>
      <c r="BX310" s="11">
        <f ca="1">IFERROR(YEAR(OFFSET(BV!$H310,,(COLUMN()-69)*8)),"")</f>
        <v>2020</v>
      </c>
      <c r="BY310" s="11">
        <f ca="1">IFERROR(YEAR(OFFSET(BV!$H310,,(COLUMN()-69)*8)),"")</f>
        <v>2020</v>
      </c>
      <c r="BZ310" s="11">
        <f ca="1">IFERROR(YEAR(OFFSET(BV!$H310,,(COLUMN()-69)*8)),"")</f>
        <v>2019</v>
      </c>
    </row>
    <row r="311" spans="1:78" x14ac:dyDescent="0.25">
      <c r="A311" s="433">
        <v>169</v>
      </c>
      <c r="B311" s="298">
        <f ca="1">BV!D311</f>
        <v>2.538681087576987</v>
      </c>
      <c r="C311" s="299">
        <f ca="1">BV!L311</f>
        <v>2.4754650651823642</v>
      </c>
      <c r="D311" s="299">
        <f ca="1">BV!T311</f>
        <v>2.4302559677883231</v>
      </c>
      <c r="E311" s="299">
        <f ca="1">BV!AB311</f>
        <v>2.3883550028264553</v>
      </c>
      <c r="F311" s="299">
        <f ca="1">BV!AJ311</f>
        <v>2.3252614199229495</v>
      </c>
      <c r="G311" s="299">
        <f ca="1">BV!AR311</f>
        <v>2.2611720631522614</v>
      </c>
      <c r="H311" s="299">
        <f ca="1">BV!AZ311</f>
        <v>2.2578490313961259</v>
      </c>
      <c r="I311" s="300">
        <f ca="1">BV!BH311</f>
        <v>2.2479382814578344</v>
      </c>
      <c r="J311" s="300">
        <f ca="1">BV!BP311</f>
        <v>2.2360412807621066</v>
      </c>
      <c r="K311" s="300">
        <f ca="1">BV!BX311</f>
        <v>2.1874191043230646</v>
      </c>
      <c r="L311" s="15" t="s">
        <v>102</v>
      </c>
      <c r="M311" s="261">
        <v>2.0259088711E-2</v>
      </c>
      <c r="N311" s="282">
        <f t="shared" ca="1" si="157"/>
        <v>7.02570720879128</v>
      </c>
      <c r="O311" s="31" t="s">
        <v>14</v>
      </c>
      <c r="P311" s="1">
        <f ca="1">COUNTIFS(OFFSET(Arb!$I$2,,,Arb!$AJ$36,),"&gt;=30",OFFSET(Arb!$AI$2,,,Arb!$AJ$36,),"TRUE")</f>
        <v>38</v>
      </c>
      <c r="Q311" s="334">
        <f>SUM(M30:M54)</f>
        <v>2.2810017468745503E-2</v>
      </c>
      <c r="R311" s="334">
        <f ca="1">P311/SUM(P$308:P$311)</f>
        <v>2.0202020202020204E-2</v>
      </c>
      <c r="S311" s="335">
        <f t="shared" ca="1" si="162"/>
        <v>0.88566438976652251</v>
      </c>
      <c r="T311" s="469">
        <f ca="1">Arb!AK$35/ASB!P311</f>
        <v>6.6842105263157894</v>
      </c>
      <c r="U311" s="32">
        <f t="shared" ca="1" si="163"/>
        <v>0.14960629921259844</v>
      </c>
      <c r="V311" s="336">
        <f t="shared" ca="1" si="164"/>
        <v>182.21825396825395</v>
      </c>
      <c r="W311" s="337"/>
      <c r="X311" s="338">
        <f ca="1">IF(Y311="","",MIN($BD30:$BD54))</f>
        <v>12</v>
      </c>
      <c r="Y311" s="338">
        <f ca="1">IFERROR(AVERAGE($BD30:$BD54),"")</f>
        <v>311.39999999999998</v>
      </c>
      <c r="Z311" s="338">
        <f ca="1">IF(Y311="","",MAX($BD30:$BD54))</f>
        <v>394</v>
      </c>
      <c r="AA311" s="620">
        <f ca="1">LARGE(QG!J$2:J$201,AG311)</f>
        <v>44168.082999999999</v>
      </c>
      <c r="AB311" s="620"/>
      <c r="AC311" s="11">
        <f ca="1">INDEX(QG!C$2:C$201,AH311)</f>
        <v>15</v>
      </c>
      <c r="AD311" s="597">
        <f ca="1">INDEX(QG!D$2:D$201,AH311)</f>
        <v>4.3</v>
      </c>
      <c r="AE311" s="597"/>
      <c r="AF311" s="11">
        <f ca="1">INDEX(QG!E$2:E$201,AH311)</f>
        <v>3.4883720930232558</v>
      </c>
      <c r="AG311" s="11">
        <v>9</v>
      </c>
      <c r="AH311" s="1">
        <f ca="1">MATCH(AA311,QG!J$2:J$201,0)</f>
        <v>82</v>
      </c>
      <c r="AI311" s="589">
        <f t="shared" ca="1" si="155"/>
        <v>59.435626311843862</v>
      </c>
      <c r="AJ311" s="589"/>
      <c r="AL311" s="315"/>
      <c r="AM311" s="315"/>
      <c r="AN311" s="433">
        <v>169</v>
      </c>
      <c r="AO311" s="300">
        <f ca="1">BV!C311</f>
        <v>66.569999999999993</v>
      </c>
      <c r="AP311" s="300">
        <f ca="1">BV!K311</f>
        <v>68.27</v>
      </c>
      <c r="AQ311" s="301">
        <f ca="1">BV!S311</f>
        <v>69.540000000000006</v>
      </c>
      <c r="AR311" s="301">
        <f ca="1">BV!AA311</f>
        <v>70.760000000000005</v>
      </c>
      <c r="AS311" s="301">
        <f ca="1">BV!AI311</f>
        <v>72.680000000000007</v>
      </c>
      <c r="AT311" s="302">
        <f ca="1">BV!AQ311</f>
        <v>74.739999999999995</v>
      </c>
      <c r="AU311" s="302">
        <f ca="1">BV!AY311</f>
        <v>74.849999999999994</v>
      </c>
      <c r="AV311" s="302">
        <f ca="1">BV!BG311</f>
        <v>75.180000000000007</v>
      </c>
      <c r="AW311" s="302">
        <f ca="1">BV!BO311</f>
        <v>75.58</v>
      </c>
      <c r="AX311" s="302">
        <f ca="1">BV!BW311</f>
        <v>77.260000000000005</v>
      </c>
      <c r="AY311" s="15" t="s">
        <v>65</v>
      </c>
      <c r="AZ311" s="258">
        <f t="shared" si="159"/>
        <v>1.6933800938565453</v>
      </c>
      <c r="BA311" s="261">
        <v>2.0259088711E-2</v>
      </c>
      <c r="BB311" s="268">
        <v>0.18793569771599997</v>
      </c>
      <c r="BC311" s="268">
        <f t="shared" si="160"/>
        <v>0.10779798067749018</v>
      </c>
      <c r="BD311" s="269">
        <f ca="1">IF(BV!H311="","",INT(NOW()-BV!H311))</f>
        <v>224</v>
      </c>
      <c r="BE311" s="260">
        <f t="shared" si="161"/>
        <v>7.0257072087912809</v>
      </c>
      <c r="BF311" s="299">
        <f ca="1">BV!G311</f>
        <v>58.452543413575981</v>
      </c>
      <c r="BG311" s="300">
        <f ca="1">BV!O311</f>
        <v>55.999754759357252</v>
      </c>
      <c r="BH311" s="300">
        <f ca="1">BV!W311</f>
        <v>54.2722707910766</v>
      </c>
      <c r="BI311" s="300">
        <f ca="1">BV!AE311</f>
        <v>52.691147750487808</v>
      </c>
      <c r="BJ311" s="300">
        <f ca="1">BV!AM311</f>
        <v>50.346768222694877</v>
      </c>
      <c r="BK311" s="301">
        <f ca="1">BV!AU311</f>
        <v>48.010552186319231</v>
      </c>
      <c r="BL311" s="301">
        <f ca="1">BV!BC311</f>
        <v>47.890667688643013</v>
      </c>
      <c r="BM311" s="301">
        <f ca="1">BV!BK311</f>
        <v>47.533852434218311</v>
      </c>
      <c r="BN311" s="301">
        <f ca="1">BV!BS311</f>
        <v>47.106978729138063</v>
      </c>
      <c r="BO311" s="301">
        <f ca="1">BV!CA311</f>
        <v>45.378899920593597</v>
      </c>
      <c r="BP311" s="433">
        <v>169</v>
      </c>
      <c r="BQ311" s="11">
        <f ca="1">IFERROR(YEAR(OFFSET(BV!$H311,,(COLUMN()-69)*8)),"")</f>
        <v>2020</v>
      </c>
      <c r="BR311" s="11">
        <f ca="1">IFERROR(YEAR(OFFSET(BV!$H311,,(COLUMN()-69)*8)),"")</f>
        <v>2020</v>
      </c>
      <c r="BS311" s="11">
        <f ca="1">IFERROR(YEAR(OFFSET(BV!$H311,,(COLUMN()-69)*8)),"")</f>
        <v>2020</v>
      </c>
      <c r="BT311" s="11">
        <f ca="1">IFERROR(YEAR(OFFSET(BV!$H311,,(COLUMN()-69)*8)),"")</f>
        <v>2020</v>
      </c>
      <c r="BU311" s="11">
        <f ca="1">IFERROR(YEAR(OFFSET(BV!$H311,,(COLUMN()-69)*8)),"")</f>
        <v>2020</v>
      </c>
      <c r="BV311" s="11">
        <f ca="1">IFERROR(YEAR(OFFSET(BV!$H311,,(COLUMN()-69)*8)),"")</f>
        <v>2020</v>
      </c>
      <c r="BW311" s="11">
        <f ca="1">IFERROR(YEAR(OFFSET(BV!$H311,,(COLUMN()-69)*8)),"")</f>
        <v>2019</v>
      </c>
      <c r="BX311" s="11">
        <f ca="1">IFERROR(YEAR(OFFSET(BV!$H311,,(COLUMN()-69)*8)),"")</f>
        <v>2020</v>
      </c>
      <c r="BY311" s="11">
        <f ca="1">IFERROR(YEAR(OFFSET(BV!$H311,,(COLUMN()-69)*8)),"")</f>
        <v>2020</v>
      </c>
      <c r="BZ311" s="11">
        <f ca="1">IFERROR(YEAR(OFFSET(BV!$H311,,(COLUMN()-69)*8)),"")</f>
        <v>2019</v>
      </c>
    </row>
    <row r="312" spans="1:78" x14ac:dyDescent="0.25">
      <c r="A312" s="433">
        <v>170</v>
      </c>
      <c r="B312" s="298">
        <f ca="1">BV!D312</f>
        <v>2.6101642868109938</v>
      </c>
      <c r="C312" s="298">
        <f ca="1">BV!L312</f>
        <v>2.5256276927648194</v>
      </c>
      <c r="D312" s="299">
        <f ca="1">BV!T312</f>
        <v>2.4875621890547261</v>
      </c>
      <c r="E312" s="299">
        <f ca="1">BV!AB312</f>
        <v>2.4850168104078354</v>
      </c>
      <c r="F312" s="299">
        <f ca="1">BV!AJ312</f>
        <v>2.3425657985393413</v>
      </c>
      <c r="G312" s="299">
        <f ca="1">BV!AR312</f>
        <v>2.3278104888402025</v>
      </c>
      <c r="H312" s="299">
        <f ca="1">BV!AZ312</f>
        <v>2.3246273759059211</v>
      </c>
      <c r="I312" s="299">
        <f ca="1">BV!BH312</f>
        <v>2.2941970310391366</v>
      </c>
      <c r="J312" s="299">
        <f ca="1">BV!BP312</f>
        <v>2.2907963886268701</v>
      </c>
      <c r="K312" s="299">
        <f ca="1">BV!BX312</f>
        <v>2.2837184309511018</v>
      </c>
      <c r="L312" s="15" t="s">
        <v>102</v>
      </c>
      <c r="M312" s="261">
        <v>2.0401837478999998E-2</v>
      </c>
      <c r="N312" s="282">
        <f t="shared" ca="1" si="157"/>
        <v>7.0010851246198094</v>
      </c>
      <c r="O312" s="36" t="s">
        <v>15</v>
      </c>
      <c r="P312" s="1">
        <f ca="1">COUNTIFS(OFFSET(Arb!$I$2,Arb!$AJ$36,,Arb!$AJ$37,),"&gt;=30",OFFSET(Arb!$I$2,Arb!$AJ$36,,Arb!$AJ$37,),"&lt;=39",OFFSET(Arb!$AI$2,Arb!$AJ$36,,Arb!$AJ$37,),"TRUE")</f>
        <v>12</v>
      </c>
      <c r="Q312" s="268">
        <f>SUM(M55:M64)</f>
        <v>8.0520922540000001E-3</v>
      </c>
      <c r="R312" s="268">
        <f t="shared" ref="R312:R319" ca="1" si="165">P312/SUM(P$312:P$319)</f>
        <v>2.2598870056497175E-2</v>
      </c>
      <c r="S312" s="339">
        <f t="shared" ca="1" si="162"/>
        <v>2.8065835988492109</v>
      </c>
      <c r="T312" s="469">
        <f ca="1">Arb!AK$35/ASB!P312</f>
        <v>21.166666666666668</v>
      </c>
      <c r="U312" s="37">
        <f t="shared" ca="1" si="163"/>
        <v>4.7244094488188976E-2</v>
      </c>
      <c r="V312" s="340">
        <f ca="1">(P284+Q284/2+R284/3+S284/4+T284/5+U284/6+V284/7+W284/8+X284/9+Y284/10)*10</f>
        <v>88.333333333333343</v>
      </c>
      <c r="W312" s="337"/>
      <c r="X312" s="269">
        <f ca="1">IF(Y312="","",MIN($BD55:$BD64))</f>
        <v>12</v>
      </c>
      <c r="Y312" s="269">
        <f ca="1">IFERROR(AVERAGE($BD55:$BD64),"")</f>
        <v>234.83333333333334</v>
      </c>
      <c r="Z312" s="269">
        <f ca="1">IF(Y312="","",MAX($BD55:$BD64))</f>
        <v>326</v>
      </c>
      <c r="AA312" s="620">
        <f ca="1">LARGE(QG!J$2:J$201,AG312)</f>
        <v>44168.07</v>
      </c>
      <c r="AB312" s="620"/>
      <c r="AC312" s="11">
        <f ca="1">INDEX(QG!C$2:C$201,AH312)</f>
        <v>18</v>
      </c>
      <c r="AD312" s="597">
        <f ca="1">INDEX(QG!D$2:D$201,AH312)</f>
        <v>4.71</v>
      </c>
      <c r="AE312" s="597"/>
      <c r="AF312" s="11">
        <f ca="1">INDEX(QG!E$2:E$201,AH312)</f>
        <v>3.8216560509554141</v>
      </c>
      <c r="AG312" s="11">
        <v>10</v>
      </c>
      <c r="AH312" s="1">
        <f ca="1">MATCH(AA312,QG!J$2:J$201,0)</f>
        <v>69</v>
      </c>
      <c r="AI312" s="589">
        <f t="shared" ca="1" si="155"/>
        <v>61.092644106441497</v>
      </c>
      <c r="AJ312" s="589"/>
      <c r="AL312" s="315"/>
      <c r="AM312" s="315"/>
      <c r="AN312" s="433">
        <v>170</v>
      </c>
      <c r="AO312" s="299">
        <f ca="1">BV!C312</f>
        <v>65.13</v>
      </c>
      <c r="AP312" s="300">
        <f ca="1">BV!K312</f>
        <v>67.31</v>
      </c>
      <c r="AQ312" s="300">
        <f ca="1">BV!S312</f>
        <v>68.34</v>
      </c>
      <c r="AR312" s="300">
        <f ca="1">BV!AA312</f>
        <v>68.41</v>
      </c>
      <c r="AS312" s="301">
        <f ca="1">BV!AI312</f>
        <v>72.569999999999993</v>
      </c>
      <c r="AT312" s="301">
        <f ca="1">BV!AQ312</f>
        <v>73.03</v>
      </c>
      <c r="AU312" s="301">
        <f ca="1">BV!AY312</f>
        <v>73.13</v>
      </c>
      <c r="AV312" s="302">
        <f ca="1">BV!BG312</f>
        <v>74.099999999999994</v>
      </c>
      <c r="AW312" s="302">
        <f ca="1">BV!BO312</f>
        <v>74.209999999999994</v>
      </c>
      <c r="AX312" s="302">
        <f ca="1">BV!BW312</f>
        <v>74.44</v>
      </c>
      <c r="AY312" s="15" t="s">
        <v>65</v>
      </c>
      <c r="AZ312" s="258">
        <f t="shared" si="159"/>
        <v>1.6903307163460017</v>
      </c>
      <c r="BA312" s="261">
        <v>2.0401837478999998E-2</v>
      </c>
      <c r="BB312" s="287">
        <v>0.20163106555899996</v>
      </c>
      <c r="BC312" s="287">
        <f t="shared" si="160"/>
        <v>0.10118399871784711</v>
      </c>
      <c r="BD312" s="13">
        <f ca="1">IF(BV!H312="","",INT(NOW()-BV!H312))</f>
        <v>152</v>
      </c>
      <c r="BE312" s="260">
        <f t="shared" si="161"/>
        <v>7.0010851246198094</v>
      </c>
      <c r="BF312" s="299">
        <f ca="1">BV!G312</f>
        <v>61.025499635611723</v>
      </c>
      <c r="BG312" s="299">
        <f ca="1">BV!O312</f>
        <v>57.703728096337173</v>
      </c>
      <c r="BH312" s="300">
        <f ca="1">BV!W312</f>
        <v>56.233060418722502</v>
      </c>
      <c r="BI312" s="300">
        <f ca="1">BV!AE312</f>
        <v>56.135277384052124</v>
      </c>
      <c r="BJ312" s="300">
        <f ca="1">BV!AM312</f>
        <v>50.775249657600064</v>
      </c>
      <c r="BK312" s="300">
        <f ca="1">BV!AU312</f>
        <v>50.232751305581765</v>
      </c>
      <c r="BL312" s="300">
        <f ca="1">BV!BC312</f>
        <v>50.116034771631043</v>
      </c>
      <c r="BM312" s="301">
        <f ca="1">BV!BK312</f>
        <v>49.005883487366624</v>
      </c>
      <c r="BN312" s="301">
        <f ca="1">BV!BS312</f>
        <v>48.882458811579518</v>
      </c>
      <c r="BO312" s="301">
        <f ca="1">BV!CA312</f>
        <v>48.625978881302537</v>
      </c>
      <c r="BP312" s="433">
        <v>170</v>
      </c>
      <c r="BQ312" s="11">
        <f ca="1">IFERROR(YEAR(OFFSET(BV!$H312,,(COLUMN()-69)*8)),"")</f>
        <v>2020</v>
      </c>
      <c r="BR312" s="11">
        <f ca="1">IFERROR(YEAR(OFFSET(BV!$H312,,(COLUMN()-69)*8)),"")</f>
        <v>2020</v>
      </c>
      <c r="BS312" s="11">
        <f ca="1">IFERROR(YEAR(OFFSET(BV!$H312,,(COLUMN()-69)*8)),"")</f>
        <v>2020</v>
      </c>
      <c r="BT312" s="11">
        <f ca="1">IFERROR(YEAR(OFFSET(BV!$H312,,(COLUMN()-69)*8)),"")</f>
        <v>2020</v>
      </c>
      <c r="BU312" s="11">
        <f ca="1">IFERROR(YEAR(OFFSET(BV!$H312,,(COLUMN()-69)*8)),"")</f>
        <v>2020</v>
      </c>
      <c r="BV312" s="11">
        <f ca="1">IFERROR(YEAR(OFFSET(BV!$H312,,(COLUMN()-69)*8)),"")</f>
        <v>2020</v>
      </c>
      <c r="BW312" s="11">
        <f ca="1">IFERROR(YEAR(OFFSET(BV!$H312,,(COLUMN()-69)*8)),"")</f>
        <v>2020</v>
      </c>
      <c r="BX312" s="11">
        <f ca="1">IFERROR(YEAR(OFFSET(BV!$H312,,(COLUMN()-69)*8)),"")</f>
        <v>2020</v>
      </c>
      <c r="BY312" s="11">
        <f ca="1">IFERROR(YEAR(OFFSET(BV!$H312,,(COLUMN()-69)*8)),"")</f>
        <v>2020</v>
      </c>
      <c r="BZ312" s="11">
        <f ca="1">IFERROR(YEAR(OFFSET(BV!$H312,,(COLUMN()-69)*8)),"")</f>
        <v>2020</v>
      </c>
    </row>
    <row r="313" spans="1:78" x14ac:dyDescent="0.25">
      <c r="A313" s="433">
        <v>171</v>
      </c>
      <c r="B313" s="298">
        <f ca="1">BV!D313</f>
        <v>2.6047220106626043</v>
      </c>
      <c r="C313" s="298">
        <f ca="1">BV!L313</f>
        <v>2.5165562913907285</v>
      </c>
      <c r="D313" s="298">
        <f ca="1">BV!T313</f>
        <v>2.5106445455880193</v>
      </c>
      <c r="E313" s="299">
        <f ca="1">BV!AB313</f>
        <v>2.4516129032258065</v>
      </c>
      <c r="F313" s="299">
        <f ca="1">BV!AJ313</f>
        <v>2.4435553015147184</v>
      </c>
      <c r="G313" s="299">
        <f ca="1">BV!AR313</f>
        <v>2.3319241783717444</v>
      </c>
      <c r="H313" s="299">
        <f ca="1">BV!AZ313</f>
        <v>2.3177012740580101</v>
      </c>
      <c r="I313" s="299">
        <f ca="1">BV!BH313</f>
        <v>2.3173871798346659</v>
      </c>
      <c r="J313" s="299">
        <f ca="1">BV!BP313</f>
        <v>2.2937625754527162</v>
      </c>
      <c r="K313" s="299">
        <f ca="1">BV!BX313</f>
        <v>2.2827392871445737</v>
      </c>
      <c r="L313" s="15" t="s">
        <v>102</v>
      </c>
      <c r="M313" s="261">
        <v>2.0490938213E-2</v>
      </c>
      <c r="N313" s="282">
        <f t="shared" ca="1" si="157"/>
        <v>6.985847134671971</v>
      </c>
      <c r="O313" s="36" t="s">
        <v>16</v>
      </c>
      <c r="P313" s="1">
        <f ca="1">COUNTIFS(OFFSET(Arb!$I$2,Arb!$AJ$36,,Arb!$AJ$37,),"&gt;=40",OFFSET(Arb!$I$2,Arb!$AJ$36,,Arb!$AJ$37,),"&lt;=49",OFFSET(Arb!$AI$2,Arb!$AJ$36,,Arb!$AJ$37,),"TRUE")</f>
        <v>54</v>
      </c>
      <c r="Q313" s="268">
        <f>SUM(M65:M74)</f>
        <v>7.8566717989999993E-2</v>
      </c>
      <c r="R313" s="268">
        <f t="shared" ca="1" si="165"/>
        <v>0.10169491525423729</v>
      </c>
      <c r="S313" s="339">
        <f t="shared" ca="1" si="162"/>
        <v>1.2943765229849753</v>
      </c>
      <c r="T313" s="469">
        <f ca="1">Arb!AK$35/ASB!P313</f>
        <v>4.7037037037037033</v>
      </c>
      <c r="U313" s="37">
        <f t="shared" ca="1" si="163"/>
        <v>0.2125984251968504</v>
      </c>
      <c r="V313" s="340">
        <f t="shared" ref="V313:V319" ca="1" si="166">(P285+Q285/2+R285/3+S285/4+T285/5+U285/6+V285/7+W285/8+X285/9+Y285/10)*10</f>
        <v>220.32539682539687</v>
      </c>
      <c r="W313" s="337"/>
      <c r="X313" s="269">
        <f ca="1">MIN($BD65:$BD74)</f>
        <v>63</v>
      </c>
      <c r="Y313" s="269">
        <f ca="1">AVERAGE($BD65:$BD74)</f>
        <v>284.89999999999998</v>
      </c>
      <c r="Z313" s="269">
        <f ca="1">MAX($BD65:$BD74)</f>
        <v>415</v>
      </c>
      <c r="AA313" s="620">
        <f ca="1">LARGE(QG!T$2:T$201,AG313)</f>
        <v>44168.197999999997</v>
      </c>
      <c r="AB313" s="620"/>
      <c r="AC313" s="11">
        <f ca="1">INDEX(QG!M$2:M$201,AH313)</f>
        <v>78</v>
      </c>
      <c r="AD313" s="597">
        <f ca="1">INDEX(QG!N$2:N$201,AH313)</f>
        <v>28.3</v>
      </c>
      <c r="AE313" s="597"/>
      <c r="AF313" s="11">
        <f ca="1">INDEX(QG!O$2:O$201,AH313)</f>
        <v>2.7561837455830389</v>
      </c>
      <c r="AG313" s="11">
        <v>1</v>
      </c>
      <c r="AH313" s="1">
        <f ca="1">MATCH(AA313,QG!T$2:T$201,0)</f>
        <v>197</v>
      </c>
      <c r="AI313" s="589">
        <f ca="1">153.73/(AD313^1.7/AC313)</f>
        <v>40.814670004188038</v>
      </c>
      <c r="AJ313" s="589"/>
      <c r="AL313" s="315"/>
      <c r="AM313" s="315"/>
      <c r="AN313" s="433">
        <v>171</v>
      </c>
      <c r="AO313" s="299">
        <f ca="1">BV!C313</f>
        <v>65.650000000000006</v>
      </c>
      <c r="AP313" s="300">
        <f ca="1">BV!K313</f>
        <v>67.95</v>
      </c>
      <c r="AQ313" s="300">
        <f ca="1">BV!S313</f>
        <v>68.11</v>
      </c>
      <c r="AR313" s="301">
        <f ca="1">BV!AA313</f>
        <v>69.75</v>
      </c>
      <c r="AS313" s="301">
        <f ca="1">BV!AI313</f>
        <v>69.98</v>
      </c>
      <c r="AT313" s="301">
        <f ca="1">BV!AQ313</f>
        <v>73.33</v>
      </c>
      <c r="AU313" s="301">
        <f ca="1">BV!AY313</f>
        <v>73.78</v>
      </c>
      <c r="AV313" s="301">
        <f ca="1">BV!BG313</f>
        <v>73.790000000000006</v>
      </c>
      <c r="AW313" s="302">
        <f ca="1">BV!BO313</f>
        <v>74.55</v>
      </c>
      <c r="AX313" s="302">
        <f ca="1">BV!BW313</f>
        <v>74.91</v>
      </c>
      <c r="AY313" s="15" t="s">
        <v>65</v>
      </c>
      <c r="AZ313" s="258">
        <f t="shared" si="159"/>
        <v>1.6884381562205493</v>
      </c>
      <c r="BA313" s="261">
        <v>2.0490938213E-2</v>
      </c>
      <c r="BB313" s="287">
        <v>0.20163106555899996</v>
      </c>
      <c r="BC313" s="287">
        <f t="shared" si="160"/>
        <v>0.10162589854986447</v>
      </c>
      <c r="BD313" s="13">
        <f ca="1">IF(BV!H313="","",INT(NOW()-BV!H313))</f>
        <v>121</v>
      </c>
      <c r="BE313" s="260">
        <f t="shared" si="161"/>
        <v>6.985847134671971</v>
      </c>
      <c r="BF313" s="299">
        <f ca="1">BV!G313</f>
        <v>60.560203241948656</v>
      </c>
      <c r="BG313" s="299">
        <f ca="1">BV!O313</f>
        <v>57.116854453530401</v>
      </c>
      <c r="BH313" s="299">
        <f ca="1">BV!W313</f>
        <v>56.888943604961604</v>
      </c>
      <c r="BI313" s="300">
        <f ca="1">BV!AE313</f>
        <v>54.633774453667222</v>
      </c>
      <c r="BJ313" s="300">
        <f ca="1">BV!AM313</f>
        <v>54.328869843366355</v>
      </c>
      <c r="BK313" s="300">
        <f ca="1">BV!AU313</f>
        <v>50.177324570135667</v>
      </c>
      <c r="BL313" s="301">
        <f ca="1">BV!BC313</f>
        <v>49.658164087486384</v>
      </c>
      <c r="BM313" s="301">
        <f ca="1">BV!BK313</f>
        <v>49.646724207455684</v>
      </c>
      <c r="BN313" s="301">
        <f ca="1">BV!BS313</f>
        <v>48.789387326020368</v>
      </c>
      <c r="BO313" s="301">
        <f ca="1">BV!CA313</f>
        <v>48.39145838055623</v>
      </c>
      <c r="BP313" s="433">
        <v>171</v>
      </c>
      <c r="BQ313" s="11">
        <f ca="1">IFERROR(YEAR(OFFSET(BV!$H313,,(COLUMN()-69)*8)),"")</f>
        <v>2020</v>
      </c>
      <c r="BR313" s="11">
        <f ca="1">IFERROR(YEAR(OFFSET(BV!$H313,,(COLUMN()-69)*8)),"")</f>
        <v>2020</v>
      </c>
      <c r="BS313" s="11">
        <f ca="1">IFERROR(YEAR(OFFSET(BV!$H313,,(COLUMN()-69)*8)),"")</f>
        <v>2020</v>
      </c>
      <c r="BT313" s="11">
        <f ca="1">IFERROR(YEAR(OFFSET(BV!$H313,,(COLUMN()-69)*8)),"")</f>
        <v>2020</v>
      </c>
      <c r="BU313" s="11">
        <f ca="1">IFERROR(YEAR(OFFSET(BV!$H313,,(COLUMN()-69)*8)),"")</f>
        <v>2020</v>
      </c>
      <c r="BV313" s="11">
        <f ca="1">IFERROR(YEAR(OFFSET(BV!$H313,,(COLUMN()-69)*8)),"")</f>
        <v>2019</v>
      </c>
      <c r="BW313" s="11">
        <f ca="1">IFERROR(YEAR(OFFSET(BV!$H313,,(COLUMN()-69)*8)),"")</f>
        <v>2019</v>
      </c>
      <c r="BX313" s="11">
        <f ca="1">IFERROR(YEAR(OFFSET(BV!$H313,,(COLUMN()-69)*8)),"")</f>
        <v>2020</v>
      </c>
      <c r="BY313" s="11">
        <f ca="1">IFERROR(YEAR(OFFSET(BV!$H313,,(COLUMN()-69)*8)),"")</f>
        <v>2019</v>
      </c>
      <c r="BZ313" s="11">
        <f ca="1">IFERROR(YEAR(OFFSET(BV!$H313,,(COLUMN()-69)*8)),"")</f>
        <v>2020</v>
      </c>
    </row>
    <row r="314" spans="1:78" x14ac:dyDescent="0.25">
      <c r="A314" s="433">
        <v>172</v>
      </c>
      <c r="B314" s="299">
        <f ca="1">BV!D314</f>
        <v>2.4981844589687729</v>
      </c>
      <c r="C314" s="299">
        <f ca="1">BV!L314</f>
        <v>2.4490958279937347</v>
      </c>
      <c r="D314" s="299">
        <f ca="1">BV!T314</f>
        <v>2.4438761011651038</v>
      </c>
      <c r="E314" s="299">
        <f ca="1">BV!AB314</f>
        <v>2.4015638089919014</v>
      </c>
      <c r="F314" s="299">
        <f ca="1">BV!AJ314</f>
        <v>2.3532631002873168</v>
      </c>
      <c r="G314" s="299">
        <f ca="1">BV!AR314</f>
        <v>2.3284147827264112</v>
      </c>
      <c r="H314" s="299">
        <f ca="1">BV!AZ314</f>
        <v>2.3143164693218519</v>
      </c>
      <c r="I314" s="299">
        <f ca="1">BV!BH314</f>
        <v>2.298236237306253</v>
      </c>
      <c r="J314" s="299">
        <f ca="1">BV!BP314</f>
        <v>2.2790512786537698</v>
      </c>
      <c r="K314" s="299">
        <f ca="1">BV!BX314</f>
        <v>2.2667369530838166</v>
      </c>
      <c r="L314" s="15" t="s">
        <v>102</v>
      </c>
      <c r="M314" s="261">
        <v>2.0525116194999998E-2</v>
      </c>
      <c r="N314" s="282">
        <f t="shared" ca="1" si="157"/>
        <v>6.9800283701495607</v>
      </c>
      <c r="O314" s="36" t="s">
        <v>17</v>
      </c>
      <c r="P314" s="1">
        <f ca="1">COUNTIFS(OFFSET(Arb!$I$2,Arb!$AJ$36,,Arb!$AJ$37,),"&gt;=50",OFFSET(Arb!$I$2,Arb!$AJ$36,,Arb!$AJ$37,),"&lt;=59",OFFSET(Arb!$AI$2,Arb!$AJ$36,,Arb!$AJ$37,),"TRUE")</f>
        <v>151</v>
      </c>
      <c r="Q314" s="268">
        <f>SUM(M75:M84)</f>
        <v>0.24806178544499999</v>
      </c>
      <c r="R314" s="268">
        <f t="shared" ca="1" si="165"/>
        <v>0.28436911487758948</v>
      </c>
      <c r="S314" s="339">
        <f t="shared" ca="1" si="162"/>
        <v>1.1463640575167895</v>
      </c>
      <c r="T314" s="469">
        <f ca="1">Arb!AK$35/ASB!P314</f>
        <v>1.6821192052980132</v>
      </c>
      <c r="U314" s="37">
        <f t="shared" ca="1" si="163"/>
        <v>0.59448818897637801</v>
      </c>
      <c r="V314" s="340">
        <f t="shared" ca="1" si="166"/>
        <v>291.89682539682536</v>
      </c>
      <c r="W314" s="337"/>
      <c r="X314" s="269">
        <f ca="1">MIN($BD75:$BD84)</f>
        <v>63</v>
      </c>
      <c r="Y314" s="269">
        <f ca="1">AVERAGE($BD75:$BD84)</f>
        <v>316.5</v>
      </c>
      <c r="Z314" s="269">
        <f ca="1">MAX($BD75:$BD84)</f>
        <v>416</v>
      </c>
      <c r="AA314" s="620">
        <f ca="1">LARGE(QG!T$2:T$201,AG314)</f>
        <v>44168.178</v>
      </c>
      <c r="AB314" s="620"/>
      <c r="AC314" s="11">
        <f ca="1">INDEX(QG!M$2:M$201,AH314)</f>
        <v>89</v>
      </c>
      <c r="AD314" s="597">
        <f ca="1">INDEX(QG!N$2:N$201,AH314)</f>
        <v>30.26</v>
      </c>
      <c r="AE314" s="597"/>
      <c r="AF314" s="11">
        <f ca="1">INDEX(QG!O$2:O$201,AH314)</f>
        <v>2.9411764705882351</v>
      </c>
      <c r="AG314" s="11">
        <v>2</v>
      </c>
      <c r="AH314" s="1">
        <f ca="1">MATCH(AA314,QG!T$2:T$201,0)</f>
        <v>177</v>
      </c>
      <c r="AI314" s="589">
        <f t="shared" ref="AI314:AI322" ca="1" si="167">153.73/(AD314^1.7/AC314)</f>
        <v>41.559610011653078</v>
      </c>
      <c r="AJ314" s="589"/>
      <c r="AL314" s="315"/>
      <c r="AM314" s="315"/>
      <c r="AN314" s="433">
        <v>172</v>
      </c>
      <c r="AO314" s="300">
        <f ca="1">BV!C314</f>
        <v>68.849999999999994</v>
      </c>
      <c r="AP314" s="301">
        <f ca="1">BV!K314</f>
        <v>70.23</v>
      </c>
      <c r="AQ314" s="301">
        <f ca="1">BV!S314</f>
        <v>70.38</v>
      </c>
      <c r="AR314" s="301">
        <f ca="1">BV!AA314</f>
        <v>71.62</v>
      </c>
      <c r="AS314" s="301">
        <f ca="1">BV!AI314</f>
        <v>73.09</v>
      </c>
      <c r="AT314" s="301">
        <f ca="1">BV!AQ314</f>
        <v>73.87</v>
      </c>
      <c r="AU314" s="302">
        <f ca="1">BV!AY314</f>
        <v>74.319999999999993</v>
      </c>
      <c r="AV314" s="302">
        <f ca="1">BV!BG314</f>
        <v>74.84</v>
      </c>
      <c r="AW314" s="302">
        <f ca="1">BV!BO314</f>
        <v>75.47</v>
      </c>
      <c r="AX314" s="302">
        <f ca="1">BV!BW314</f>
        <v>75.88</v>
      </c>
      <c r="AY314" s="15" t="s">
        <v>65</v>
      </c>
      <c r="AZ314" s="258">
        <f t="shared" si="159"/>
        <v>1.6877143756114699</v>
      </c>
      <c r="BA314" s="261">
        <v>2.0525116194999998E-2</v>
      </c>
      <c r="BB314" s="287">
        <v>0.20163106555899996</v>
      </c>
      <c r="BC314" s="287">
        <f t="shared" si="160"/>
        <v>0.10179540607047019</v>
      </c>
      <c r="BD314" s="13">
        <f ca="1">IF(BV!H314="","",INT(NOW()-BV!H314))</f>
        <v>283</v>
      </c>
      <c r="BE314" s="260">
        <f t="shared" si="161"/>
        <v>6.9800283701495607</v>
      </c>
      <c r="BF314" s="300">
        <f ca="1">BV!G314</f>
        <v>56.180033835934481</v>
      </c>
      <c r="BG314" s="300">
        <f ca="1">BV!O314</f>
        <v>54.316298446759589</v>
      </c>
      <c r="BH314" s="300">
        <f ca="1">BV!W314</f>
        <v>54.119647097004361</v>
      </c>
      <c r="BI314" s="300">
        <f ca="1">BV!AE314</f>
        <v>52.536406529969533</v>
      </c>
      <c r="BJ314" s="300">
        <f ca="1">BV!AM314</f>
        <v>50.752818702380317</v>
      </c>
      <c r="BK314" s="301">
        <f ca="1">BV!AU314</f>
        <v>49.845153057098472</v>
      </c>
      <c r="BL314" s="301">
        <f ca="1">BV!BC314</f>
        <v>49.333168609340682</v>
      </c>
      <c r="BM314" s="301">
        <f ca="1">BV!BK314</f>
        <v>48.751869935527111</v>
      </c>
      <c r="BN314" s="301">
        <f ca="1">BV!BS314</f>
        <v>48.062051808688402</v>
      </c>
      <c r="BO314" s="301">
        <f ca="1">BV!CA314</f>
        <v>47.621410481371903</v>
      </c>
      <c r="BP314" s="433">
        <v>172</v>
      </c>
      <c r="BQ314" s="11">
        <f ca="1">IFERROR(YEAR(OFFSET(BV!$H314,,(COLUMN()-69)*8)),"")</f>
        <v>2020</v>
      </c>
      <c r="BR314" s="11">
        <f ca="1">IFERROR(YEAR(OFFSET(BV!$H314,,(COLUMN()-69)*8)),"")</f>
        <v>2020</v>
      </c>
      <c r="BS314" s="11">
        <f ca="1">IFERROR(YEAR(OFFSET(BV!$H314,,(COLUMN()-69)*8)),"")</f>
        <v>2020</v>
      </c>
      <c r="BT314" s="11">
        <f ca="1">IFERROR(YEAR(OFFSET(BV!$H314,,(COLUMN()-69)*8)),"")</f>
        <v>2019</v>
      </c>
      <c r="BU314" s="11">
        <f ca="1">IFERROR(YEAR(OFFSET(BV!$H314,,(COLUMN()-69)*8)),"")</f>
        <v>2020</v>
      </c>
      <c r="BV314" s="11">
        <f ca="1">IFERROR(YEAR(OFFSET(BV!$H314,,(COLUMN()-69)*8)),"")</f>
        <v>2020</v>
      </c>
      <c r="BW314" s="11">
        <f ca="1">IFERROR(YEAR(OFFSET(BV!$H314,,(COLUMN()-69)*8)),"")</f>
        <v>2020</v>
      </c>
      <c r="BX314" s="11">
        <f ca="1">IFERROR(YEAR(OFFSET(BV!$H314,,(COLUMN()-69)*8)),"")</f>
        <v>2020</v>
      </c>
      <c r="BY314" s="11">
        <f ca="1">IFERROR(YEAR(OFFSET(BV!$H314,,(COLUMN()-69)*8)),"")</f>
        <v>2019</v>
      </c>
      <c r="BZ314" s="11">
        <f ca="1">IFERROR(YEAR(OFFSET(BV!$H314,,(COLUMN()-69)*8)),"")</f>
        <v>2020</v>
      </c>
    </row>
    <row r="315" spans="1:78" x14ac:dyDescent="0.25">
      <c r="A315" s="433">
        <v>173</v>
      </c>
      <c r="B315" s="298">
        <f ca="1">BV!D315</f>
        <v>2.7043926840706582</v>
      </c>
      <c r="C315" s="298">
        <f ca="1">BV!L315</f>
        <v>2.5501179245283017</v>
      </c>
      <c r="D315" s="299">
        <f ca="1">BV!T315</f>
        <v>2.4479977359558509</v>
      </c>
      <c r="E315" s="299">
        <f ca="1">BV!AB315</f>
        <v>2.3931387467146212</v>
      </c>
      <c r="F315" s="299">
        <f ca="1">BV!AJ315</f>
        <v>2.3614523614523613</v>
      </c>
      <c r="G315" s="299">
        <f ca="1">BV!AR315</f>
        <v>2.306974263235098</v>
      </c>
      <c r="H315" s="299">
        <f ca="1">BV!AZ315</f>
        <v>2.2817198628330257</v>
      </c>
      <c r="I315" s="299">
        <f ca="1">BV!BH315</f>
        <v>2.2629169391759318</v>
      </c>
      <c r="J315" s="299">
        <f ca="1">BV!BP315</f>
        <v>2.257012393998695</v>
      </c>
      <c r="K315" s="300">
        <f ca="1">BV!BX315</f>
        <v>2.2060698801326191</v>
      </c>
      <c r="L315" s="15" t="s">
        <v>102</v>
      </c>
      <c r="M315" s="261">
        <v>2.0505236592000001E-2</v>
      </c>
      <c r="N315" s="282">
        <f t="shared" ca="1" si="157"/>
        <v>6.9834110811213348</v>
      </c>
      <c r="O315" s="36" t="s">
        <v>18</v>
      </c>
      <c r="P315" s="1">
        <f ca="1">COUNTIFS(OFFSET(Arb!$I$2,Arb!$AJ$36,,Arb!$AJ$37,),"&gt;=60",OFFSET(Arb!$I$2,Arb!$AJ$36,,Arb!$AJ$37,),"&lt;=69",OFFSET(Arb!$AI$2,Arb!$AJ$36,,Arb!$AJ$37,),"TRUE")</f>
        <v>152</v>
      </c>
      <c r="Q315" s="268">
        <f>SUM(M85:M94)</f>
        <v>0.33141692400599998</v>
      </c>
      <c r="R315" s="268">
        <f t="shared" ca="1" si="165"/>
        <v>0.28625235404896421</v>
      </c>
      <c r="S315" s="339">
        <f t="shared" ca="1" si="162"/>
        <v>0.8637228014456555</v>
      </c>
      <c r="T315" s="469">
        <f ca="1">Arb!AK$35/ASB!P315</f>
        <v>1.6710526315789473</v>
      </c>
      <c r="U315" s="37">
        <f t="shared" ca="1" si="163"/>
        <v>0.59842519685039375</v>
      </c>
      <c r="V315" s="340">
        <f t="shared" ca="1" si="166"/>
        <v>290.78571428571428</v>
      </c>
      <c r="W315" s="337"/>
      <c r="X315" s="269">
        <f ca="1">MIN($BD85:$BD94)</f>
        <v>12</v>
      </c>
      <c r="Y315" s="269">
        <f ca="1">AVERAGE($BD85:$BD94)</f>
        <v>214</v>
      </c>
      <c r="Z315" s="269">
        <f ca="1">MAX($BD85:$BD94)</f>
        <v>407</v>
      </c>
      <c r="AA315" s="620">
        <f ca="1">LARGE(QG!T$2:T$201,AG315)</f>
        <v>44168.169000000002</v>
      </c>
      <c r="AB315" s="620"/>
      <c r="AC315" s="11">
        <f ca="1">INDEX(QG!M$2:M$201,AH315)</f>
        <v>75</v>
      </c>
      <c r="AD315" s="597">
        <f ca="1">INDEX(QG!N$2:N$201,AH315)</f>
        <v>27.28</v>
      </c>
      <c r="AE315" s="597"/>
      <c r="AF315" s="11">
        <f ca="1">INDEX(QG!O$2:O$201,AH315)</f>
        <v>2.7492668621700878</v>
      </c>
      <c r="AG315" s="11">
        <v>3</v>
      </c>
      <c r="AH315" s="1">
        <f ca="1">MATCH(AA315,QG!T$2:T$201,0)</f>
        <v>168</v>
      </c>
      <c r="AI315" s="589">
        <f t="shared" ca="1" si="167"/>
        <v>41.77192296354594</v>
      </c>
      <c r="AJ315" s="589"/>
      <c r="AL315" s="315"/>
      <c r="AM315" s="315"/>
      <c r="AN315" s="433">
        <v>173</v>
      </c>
      <c r="AO315" s="298">
        <f ca="1">BV!C315</f>
        <v>63.97</v>
      </c>
      <c r="AP315" s="300">
        <f ca="1">BV!K315</f>
        <v>67.84</v>
      </c>
      <c r="AQ315" s="301">
        <f ca="1">BV!S315</f>
        <v>70.67</v>
      </c>
      <c r="AR315" s="301">
        <f ca="1">BV!AA315</f>
        <v>72.290000000000006</v>
      </c>
      <c r="AS315" s="301">
        <f ca="1">BV!AI315</f>
        <v>73.260000000000005</v>
      </c>
      <c r="AT315" s="302">
        <f ca="1">BV!AQ315</f>
        <v>74.989999999999995</v>
      </c>
      <c r="AU315" s="302">
        <f ca="1">BV!AY315</f>
        <v>75.819999999999993</v>
      </c>
      <c r="AV315" s="302">
        <f ca="1">BV!BG315</f>
        <v>76.45</v>
      </c>
      <c r="AW315" s="302">
        <f ca="1">BV!BO315</f>
        <v>76.650000000000006</v>
      </c>
      <c r="AX315" s="302">
        <f ca="1">BV!BW315</f>
        <v>78.42</v>
      </c>
      <c r="AY315" s="15" t="s">
        <v>65</v>
      </c>
      <c r="AZ315" s="258">
        <f t="shared" si="159"/>
        <v>1.6881352154032077</v>
      </c>
      <c r="BA315" s="261">
        <v>2.0505236592000001E-2</v>
      </c>
      <c r="BB315" s="287">
        <v>0.20163106555899996</v>
      </c>
      <c r="BC315" s="287">
        <f t="shared" si="160"/>
        <v>0.10169681212144313</v>
      </c>
      <c r="BD315" s="13">
        <f ca="1">IF(BV!H315="","",INT(NOW()-BV!H315))</f>
        <v>107</v>
      </c>
      <c r="BE315" s="260">
        <f t="shared" si="161"/>
        <v>6.9834110811213339</v>
      </c>
      <c r="BF315" s="298">
        <f ca="1">BV!G315</f>
        <v>64.028976873970052</v>
      </c>
      <c r="BG315" s="299">
        <f ca="1">BV!O315</f>
        <v>57.944261445028616</v>
      </c>
      <c r="BH315" s="300">
        <f ca="1">BV!W315</f>
        <v>54.055103498935352</v>
      </c>
      <c r="BI315" s="300">
        <f ca="1">BV!AE315</f>
        <v>52.011978743978027</v>
      </c>
      <c r="BJ315" s="300">
        <f ca="1">BV!AM315</f>
        <v>50.846680337825838</v>
      </c>
      <c r="BK315" s="301">
        <f ca="1">BV!AU315</f>
        <v>48.868685508495737</v>
      </c>
      <c r="BL315" s="301">
        <f ca="1">BV!BC315</f>
        <v>47.962734139654735</v>
      </c>
      <c r="BM315" s="301">
        <f ca="1">BV!BK315</f>
        <v>47.292756271142117</v>
      </c>
      <c r="BN315" s="301">
        <f ca="1">BV!BS315</f>
        <v>47.083169202798189</v>
      </c>
      <c r="BO315" s="301">
        <f ca="1">BV!CA315</f>
        <v>45.290877375307595</v>
      </c>
      <c r="BP315" s="433">
        <v>173</v>
      </c>
      <c r="BQ315" s="11">
        <f ca="1">IFERROR(YEAR(OFFSET(BV!$H315,,(COLUMN()-69)*8)),"")</f>
        <v>2020</v>
      </c>
      <c r="BR315" s="11">
        <f ca="1">IFERROR(YEAR(OFFSET(BV!$H315,,(COLUMN()-69)*8)),"")</f>
        <v>2020</v>
      </c>
      <c r="BS315" s="11">
        <f ca="1">IFERROR(YEAR(OFFSET(BV!$H315,,(COLUMN()-69)*8)),"")</f>
        <v>2020</v>
      </c>
      <c r="BT315" s="11">
        <f ca="1">IFERROR(YEAR(OFFSET(BV!$H315,,(COLUMN()-69)*8)),"")</f>
        <v>2019</v>
      </c>
      <c r="BU315" s="11">
        <f ca="1">IFERROR(YEAR(OFFSET(BV!$H315,,(COLUMN()-69)*8)),"")</f>
        <v>2020</v>
      </c>
      <c r="BV315" s="11">
        <f ca="1">IFERROR(YEAR(OFFSET(BV!$H315,,(COLUMN()-69)*8)),"")</f>
        <v>2019</v>
      </c>
      <c r="BW315" s="11">
        <f ca="1">IFERROR(YEAR(OFFSET(BV!$H315,,(COLUMN()-69)*8)),"")</f>
        <v>2019</v>
      </c>
      <c r="BX315" s="11">
        <f ca="1">IFERROR(YEAR(OFFSET(BV!$H315,,(COLUMN()-69)*8)),"")</f>
        <v>2020</v>
      </c>
      <c r="BY315" s="11">
        <f ca="1">IFERROR(YEAR(OFFSET(BV!$H315,,(COLUMN()-69)*8)),"")</f>
        <v>2019</v>
      </c>
      <c r="BZ315" s="11">
        <f ca="1">IFERROR(YEAR(OFFSET(BV!$H315,,(COLUMN()-69)*8)),"")</f>
        <v>2020</v>
      </c>
    </row>
    <row r="316" spans="1:78" x14ac:dyDescent="0.25">
      <c r="A316" s="433">
        <v>174</v>
      </c>
      <c r="B316" s="298">
        <f ca="1">BV!D316</f>
        <v>2.671990171990172</v>
      </c>
      <c r="C316" s="298">
        <f ca="1">BV!L316</f>
        <v>2.5977903851896085</v>
      </c>
      <c r="D316" s="298">
        <f ca="1">BV!T316</f>
        <v>2.5713019063100337</v>
      </c>
      <c r="E316" s="298">
        <f ca="1">BV!AB316</f>
        <v>2.5079273565869129</v>
      </c>
      <c r="F316" s="299">
        <f ca="1">BV!AJ316</f>
        <v>2.4800456100342076</v>
      </c>
      <c r="G316" s="299">
        <f ca="1">BV!AR316</f>
        <v>2.4277940560904145</v>
      </c>
      <c r="H316" s="299">
        <f ca="1">BV!AZ316</f>
        <v>2.4233983286908081</v>
      </c>
      <c r="I316" s="299">
        <f ca="1">BV!BH316</f>
        <v>2.3943855786431816</v>
      </c>
      <c r="J316" s="299">
        <f ca="1">BV!BP316</f>
        <v>2.3786739576213258</v>
      </c>
      <c r="K316" s="299">
        <f ca="1">BV!BX316</f>
        <v>2.3754266211604094</v>
      </c>
      <c r="L316" s="15" t="s">
        <v>102</v>
      </c>
      <c r="M316" s="261">
        <v>2.0432189659E-2</v>
      </c>
      <c r="N316" s="282">
        <f t="shared" ca="1" si="157"/>
        <v>6.9958831082168862</v>
      </c>
      <c r="O316" s="36" t="s">
        <v>19</v>
      </c>
      <c r="P316" s="1">
        <f ca="1">COUNTIFS(OFFSET(Arb!$I$2,Arb!$AJ$36,,Arb!$AJ$37,),"&gt;=70",OFFSET(Arb!$I$2,Arb!$AJ$36,,Arb!$AJ$37,),"&lt;=79",OFFSET(Arb!$AI$2,Arb!$AJ$36,,Arb!$AJ$37,),"TRUE")</f>
        <v>111</v>
      </c>
      <c r="Q316" s="268">
        <f>SUM(M95:M104)</f>
        <v>0.22353154878600001</v>
      </c>
      <c r="R316" s="268">
        <f t="shared" ca="1" si="165"/>
        <v>0.20903954802259886</v>
      </c>
      <c r="S316" s="339">
        <f t="shared" ca="1" si="162"/>
        <v>0.93516798482313923</v>
      </c>
      <c r="T316" s="469">
        <f ca="1">Arb!AK$35/ASB!P316</f>
        <v>2.2882882882882885</v>
      </c>
      <c r="U316" s="37">
        <f t="shared" ca="1" si="163"/>
        <v>0.43700787401574798</v>
      </c>
      <c r="V316" s="340">
        <f t="shared" ca="1" si="166"/>
        <v>280.07936507936506</v>
      </c>
      <c r="W316" s="337"/>
      <c r="X316" s="269">
        <f ca="1">MIN($BD95:$BD104)</f>
        <v>66</v>
      </c>
      <c r="Y316" s="269">
        <f ca="1">AVERAGE($BD95:$BD104)</f>
        <v>277.10000000000002</v>
      </c>
      <c r="Z316" s="269">
        <f ca="1">MAX($BD95:$BD104)</f>
        <v>380</v>
      </c>
      <c r="AA316" s="620">
        <f ca="1">LARGE(QG!T$2:T$201,AG316)</f>
        <v>44168.078000000001</v>
      </c>
      <c r="AB316" s="620"/>
      <c r="AC316" s="11">
        <f ca="1">INDEX(QG!M$2:M$201,AH316)</f>
        <v>59</v>
      </c>
      <c r="AD316" s="597">
        <f ca="1">INDEX(QG!N$2:N$201,AH316)</f>
        <v>22.43</v>
      </c>
      <c r="AE316" s="597"/>
      <c r="AF316" s="11">
        <f ca="1">INDEX(QG!O$2:O$201,AH316)</f>
        <v>2.6304057066428892</v>
      </c>
      <c r="AG316" s="11">
        <v>4</v>
      </c>
      <c r="AH316" s="1">
        <f ca="1">MATCH(AA316,QG!T$2:T$201,0)</f>
        <v>77</v>
      </c>
      <c r="AI316" s="589">
        <f t="shared" ca="1" si="167"/>
        <v>45.835383957364648</v>
      </c>
      <c r="AJ316" s="589"/>
      <c r="AL316" s="315"/>
      <c r="AM316" s="315"/>
      <c r="AN316" s="433">
        <v>174</v>
      </c>
      <c r="AO316" s="299">
        <f ca="1">BV!C316</f>
        <v>65.12</v>
      </c>
      <c r="AP316" s="300">
        <f ca="1">BV!K316</f>
        <v>66.98</v>
      </c>
      <c r="AQ316" s="300">
        <f ca="1">BV!S316</f>
        <v>67.67</v>
      </c>
      <c r="AR316" s="301">
        <f ca="1">BV!AA316</f>
        <v>69.38</v>
      </c>
      <c r="AS316" s="301">
        <f ca="1">BV!AI316</f>
        <v>70.16</v>
      </c>
      <c r="AT316" s="301">
        <f ca="1">BV!AQ316</f>
        <v>71.67</v>
      </c>
      <c r="AU316" s="301">
        <f ca="1">BV!AY316</f>
        <v>71.8</v>
      </c>
      <c r="AV316" s="301">
        <f ca="1">BV!BG316</f>
        <v>72.67</v>
      </c>
      <c r="AW316" s="301">
        <f ca="1">BV!BO316</f>
        <v>73.150000000000006</v>
      </c>
      <c r="AX316" s="301">
        <f ca="1">BV!BW316</f>
        <v>73.25</v>
      </c>
      <c r="AY316" s="15" t="s">
        <v>65</v>
      </c>
      <c r="AZ316" s="258">
        <f t="shared" si="159"/>
        <v>1.6896850887829475</v>
      </c>
      <c r="BA316" s="261">
        <v>2.0432189659E-2</v>
      </c>
      <c r="BB316" s="287">
        <v>0.20163106555899996</v>
      </c>
      <c r="BC316" s="287">
        <f t="shared" si="160"/>
        <v>0.10133453196983312</v>
      </c>
      <c r="BD316" s="13">
        <f ca="1">IF(BV!H316="","",INT(NOW()-BV!H316))</f>
        <v>113</v>
      </c>
      <c r="BE316" s="260">
        <f t="shared" si="161"/>
        <v>6.9958831082168853</v>
      </c>
      <c r="BF316" s="299">
        <f ca="1">BV!G316</f>
        <v>62.477700574593023</v>
      </c>
      <c r="BG316" s="299">
        <f ca="1">BV!O316</f>
        <v>59.556992701709248</v>
      </c>
      <c r="BH316" s="299">
        <f ca="1">BV!W316</f>
        <v>58.528312629765942</v>
      </c>
      <c r="BI316" s="300">
        <f ca="1">BV!AE316</f>
        <v>56.097202138470045</v>
      </c>
      <c r="BJ316" s="300">
        <f ca="1">BV!AM316</f>
        <v>55.04111423098675</v>
      </c>
      <c r="BK316" s="300">
        <f ca="1">BV!AU316</f>
        <v>53.084278137862697</v>
      </c>
      <c r="BL316" s="300">
        <f ca="1">BV!BC316</f>
        <v>52.920988587235946</v>
      </c>
      <c r="BM316" s="300">
        <f ca="1">BV!BK316</f>
        <v>51.848444451111725</v>
      </c>
      <c r="BN316" s="300">
        <f ca="1">BV!BS316</f>
        <v>51.271395930020823</v>
      </c>
      <c r="BO316" s="300">
        <f ca="1">BV!CA316</f>
        <v>51.152461158252294</v>
      </c>
      <c r="BP316" s="433">
        <v>174</v>
      </c>
      <c r="BQ316" s="11">
        <f ca="1">IFERROR(YEAR(OFFSET(BV!$H316,,(COLUMN()-69)*8)),"")</f>
        <v>2020</v>
      </c>
      <c r="BR316" s="11">
        <f ca="1">IFERROR(YEAR(OFFSET(BV!$H316,,(COLUMN()-69)*8)),"")</f>
        <v>2020</v>
      </c>
      <c r="BS316" s="11">
        <f ca="1">IFERROR(YEAR(OFFSET(BV!$H316,,(COLUMN()-69)*8)),"")</f>
        <v>2020</v>
      </c>
      <c r="BT316" s="11">
        <f ca="1">IFERROR(YEAR(OFFSET(BV!$H316,,(COLUMN()-69)*8)),"")</f>
        <v>2019</v>
      </c>
      <c r="BU316" s="11">
        <f ca="1">IFERROR(YEAR(OFFSET(BV!$H316,,(COLUMN()-69)*8)),"")</f>
        <v>2020</v>
      </c>
      <c r="BV316" s="11">
        <f ca="1">IFERROR(YEAR(OFFSET(BV!$H316,,(COLUMN()-69)*8)),"")</f>
        <v>2020</v>
      </c>
      <c r="BW316" s="11">
        <f ca="1">IFERROR(YEAR(OFFSET(BV!$H316,,(COLUMN()-69)*8)),"")</f>
        <v>2020</v>
      </c>
      <c r="BX316" s="11">
        <f ca="1">IFERROR(YEAR(OFFSET(BV!$H316,,(COLUMN()-69)*8)),"")</f>
        <v>2020</v>
      </c>
      <c r="BY316" s="11">
        <f ca="1">IFERROR(YEAR(OFFSET(BV!$H316,,(COLUMN()-69)*8)),"")</f>
        <v>2019</v>
      </c>
      <c r="BZ316" s="11">
        <f ca="1">IFERROR(YEAR(OFFSET(BV!$H316,,(COLUMN()-69)*8)),"")</f>
        <v>2019</v>
      </c>
    </row>
    <row r="317" spans="1:78" x14ac:dyDescent="0.25">
      <c r="A317" s="433">
        <v>175</v>
      </c>
      <c r="B317" s="298">
        <f ca="1">BV!D317</f>
        <v>2.5815016964154003</v>
      </c>
      <c r="C317" s="298">
        <f ca="1">BV!L317</f>
        <v>2.5158136860264517</v>
      </c>
      <c r="D317" s="299">
        <f ca="1">BV!T317</f>
        <v>2.4686133446184231</v>
      </c>
      <c r="E317" s="299">
        <f ca="1">BV!AB317</f>
        <v>2.4489224741113911</v>
      </c>
      <c r="F317" s="299">
        <f ca="1">BV!AJ317</f>
        <v>2.4292059966685171</v>
      </c>
      <c r="G317" s="299">
        <f ca="1">BV!AR317</f>
        <v>2.3832221163012393</v>
      </c>
      <c r="H317" s="299">
        <f ca="1">BV!AZ317</f>
        <v>2.354682454251884</v>
      </c>
      <c r="I317" s="299">
        <f ca="1">BV!BH317</f>
        <v>2.3274371591967018</v>
      </c>
      <c r="J317" s="299">
        <f ca="1">BV!BP317</f>
        <v>2.3056653491436099</v>
      </c>
      <c r="K317" s="299">
        <f ca="1">BV!BX317</f>
        <v>2.3047543790333198</v>
      </c>
      <c r="L317" s="15" t="s">
        <v>102</v>
      </c>
      <c r="M317" s="261">
        <v>2.0306344806E-2</v>
      </c>
      <c r="N317" s="282">
        <f t="shared" ca="1" si="157"/>
        <v>7.0175274779209964</v>
      </c>
      <c r="O317" s="36" t="s">
        <v>20</v>
      </c>
      <c r="P317" s="1">
        <f ca="1">COUNTIFS(OFFSET(Arb!$I$2,Arb!$AJ$36,,Arb!$AJ$37,),"&gt;=80",OFFSET(Arb!$I$2,Arb!$AJ$36,,Arb!$AJ$37,),"&lt;=89",OFFSET(Arb!$AI$2,Arb!$AJ$36,,Arb!$AJ$37,),"TRUE")</f>
        <v>41</v>
      </c>
      <c r="Q317" s="268">
        <f>SUM(M105:M114)</f>
        <v>8.5986538596999992E-2</v>
      </c>
      <c r="R317" s="268">
        <f t="shared" ca="1" si="165"/>
        <v>7.7212806026365349E-2</v>
      </c>
      <c r="S317" s="339">
        <f t="shared" ca="1" si="162"/>
        <v>0.89796388232633484</v>
      </c>
      <c r="T317" s="469">
        <f ca="1">Arb!AK$35/ASB!P317</f>
        <v>6.1951219512195124</v>
      </c>
      <c r="U317" s="37">
        <f t="shared" ca="1" si="163"/>
        <v>0.16141732283464566</v>
      </c>
      <c r="V317" s="340">
        <f t="shared" ca="1" si="166"/>
        <v>200.67857142857144</v>
      </c>
      <c r="W317" s="337"/>
      <c r="X317" s="269">
        <f ca="1">MIN($BD105:$BD114)</f>
        <v>12</v>
      </c>
      <c r="Y317" s="269">
        <f ca="1">AVERAGE($BD105:$BD114)</f>
        <v>270</v>
      </c>
      <c r="Z317" s="269">
        <f ca="1">MAX($BD105:$BD114)</f>
        <v>409</v>
      </c>
      <c r="AA317" s="620">
        <f ca="1">LARGE(QG!T$2:T$201,AG317)</f>
        <v>44168.072</v>
      </c>
      <c r="AB317" s="620"/>
      <c r="AC317" s="11">
        <f ca="1">INDEX(QG!M$2:M$201,AH317)</f>
        <v>86</v>
      </c>
      <c r="AD317" s="597">
        <f ca="1">INDEX(QG!N$2:N$201,AH317)</f>
        <v>27.92</v>
      </c>
      <c r="AE317" s="597"/>
      <c r="AF317" s="11">
        <f ca="1">INDEX(QG!O$2:O$201,AH317)</f>
        <v>3.0802292263610314</v>
      </c>
      <c r="AG317" s="11">
        <v>5</v>
      </c>
      <c r="AH317" s="1">
        <f ca="1">MATCH(AA317,QG!T$2:T$201,0)</f>
        <v>71</v>
      </c>
      <c r="AI317" s="589">
        <f t="shared" ca="1" si="167"/>
        <v>46.04695058047718</v>
      </c>
      <c r="AJ317" s="589"/>
      <c r="AL317" s="315"/>
      <c r="AM317" s="315"/>
      <c r="AN317" s="433">
        <v>175</v>
      </c>
      <c r="AO317" s="300">
        <f ca="1">BV!C317</f>
        <v>67.790000000000006</v>
      </c>
      <c r="AP317" s="301">
        <f ca="1">BV!K317</f>
        <v>69.56</v>
      </c>
      <c r="AQ317" s="301">
        <f ca="1">BV!S317</f>
        <v>70.89</v>
      </c>
      <c r="AR317" s="301">
        <f ca="1">BV!AA317</f>
        <v>71.459999999999994</v>
      </c>
      <c r="AS317" s="301">
        <f ca="1">BV!AI317</f>
        <v>72.040000000000006</v>
      </c>
      <c r="AT317" s="301">
        <f ca="1">BV!AQ317</f>
        <v>73.430000000000007</v>
      </c>
      <c r="AU317" s="302">
        <f ca="1">BV!AY317</f>
        <v>74.319999999999993</v>
      </c>
      <c r="AV317" s="302">
        <f ca="1">BV!BG317</f>
        <v>75.19</v>
      </c>
      <c r="AW317" s="302">
        <f ca="1">BV!BO317</f>
        <v>75.900000000000006</v>
      </c>
      <c r="AX317" s="302">
        <f ca="1">BV!BW317</f>
        <v>75.930000000000007</v>
      </c>
      <c r="AY317" s="15" t="s">
        <v>65</v>
      </c>
      <c r="AZ317" s="258">
        <f t="shared" si="159"/>
        <v>1.6923682436777485</v>
      </c>
      <c r="BA317" s="261">
        <v>2.0306344806E-2</v>
      </c>
      <c r="BB317" s="287">
        <v>0.20163106555899996</v>
      </c>
      <c r="BC317" s="287">
        <f t="shared" si="160"/>
        <v>0.10071039772419439</v>
      </c>
      <c r="BD317" s="13">
        <f ca="1">IF(BV!H317="","",INT(NOW()-BV!H317))</f>
        <v>223</v>
      </c>
      <c r="BE317" s="260">
        <f t="shared" si="161"/>
        <v>7.0175274779209973</v>
      </c>
      <c r="BF317" s="299">
        <f ca="1">BV!G317</f>
        <v>58.687650911506452</v>
      </c>
      <c r="BG317" s="300">
        <f ca="1">BV!O317</f>
        <v>56.171630368552137</v>
      </c>
      <c r="BH317" s="300">
        <f ca="1">BV!W317</f>
        <v>54.391851720114794</v>
      </c>
      <c r="BI317" s="300">
        <f ca="1">BV!AE317</f>
        <v>53.656357116784868</v>
      </c>
      <c r="BJ317" s="300">
        <f ca="1">BV!AM317</f>
        <v>52.924042188742391</v>
      </c>
      <c r="BK317" s="300">
        <f ca="1">BV!AU317</f>
        <v>51.232235440160466</v>
      </c>
      <c r="BL317" s="300">
        <f ca="1">BV!BC317</f>
        <v>50.193630852526844</v>
      </c>
      <c r="BM317" s="301">
        <f ca="1">BV!BK317</f>
        <v>49.210316678163309</v>
      </c>
      <c r="BN317" s="301">
        <f ca="1">BV!BS317</f>
        <v>48.430314019312199</v>
      </c>
      <c r="BO317" s="301">
        <f ca="1">BV!CA317</f>
        <v>48.397789266983033</v>
      </c>
      <c r="BP317" s="433">
        <v>175</v>
      </c>
      <c r="BQ317" s="11">
        <f ca="1">IFERROR(YEAR(OFFSET(BV!$H317,,(COLUMN()-69)*8)),"")</f>
        <v>2020</v>
      </c>
      <c r="BR317" s="11">
        <f ca="1">IFERROR(YEAR(OFFSET(BV!$H317,,(COLUMN()-69)*8)),"")</f>
        <v>2020</v>
      </c>
      <c r="BS317" s="11">
        <f ca="1">IFERROR(YEAR(OFFSET(BV!$H317,,(COLUMN()-69)*8)),"")</f>
        <v>2020</v>
      </c>
      <c r="BT317" s="11">
        <f ca="1">IFERROR(YEAR(OFFSET(BV!$H317,,(COLUMN()-69)*8)),"")</f>
        <v>2020</v>
      </c>
      <c r="BU317" s="11">
        <f ca="1">IFERROR(YEAR(OFFSET(BV!$H317,,(COLUMN()-69)*8)),"")</f>
        <v>2020</v>
      </c>
      <c r="BV317" s="11">
        <f ca="1">IFERROR(YEAR(OFFSET(BV!$H317,,(COLUMN()-69)*8)),"")</f>
        <v>2020</v>
      </c>
      <c r="BW317" s="11">
        <f ca="1">IFERROR(YEAR(OFFSET(BV!$H317,,(COLUMN()-69)*8)),"")</f>
        <v>2020</v>
      </c>
      <c r="BX317" s="11">
        <f ca="1">IFERROR(YEAR(OFFSET(BV!$H317,,(COLUMN()-69)*8)),"")</f>
        <v>2020</v>
      </c>
      <c r="BY317" s="11">
        <f ca="1">IFERROR(YEAR(OFFSET(BV!$H317,,(COLUMN()-69)*8)),"")</f>
        <v>2020</v>
      </c>
      <c r="BZ317" s="11">
        <f ca="1">IFERROR(YEAR(OFFSET(BV!$H317,,(COLUMN()-69)*8)),"")</f>
        <v>2020</v>
      </c>
    </row>
    <row r="318" spans="1:78" x14ac:dyDescent="0.25">
      <c r="A318" s="433">
        <v>176</v>
      </c>
      <c r="B318" s="298">
        <f ca="1">BV!D318</f>
        <v>2.6598156264168051</v>
      </c>
      <c r="C318" s="298">
        <f ca="1">BV!L318</f>
        <v>2.56260920209668</v>
      </c>
      <c r="D318" s="298">
        <f ca="1">BV!T318</f>
        <v>2.5142857142857142</v>
      </c>
      <c r="E318" s="299">
        <f ca="1">BV!AB318</f>
        <v>2.4591309207768619</v>
      </c>
      <c r="F318" s="299">
        <f ca="1">BV!AJ318</f>
        <v>2.4539877300613497</v>
      </c>
      <c r="G318" s="299">
        <f ca="1">BV!AR318</f>
        <v>2.4403771491957849</v>
      </c>
      <c r="H318" s="299">
        <f ca="1">BV!AZ318</f>
        <v>2.3523122159850312</v>
      </c>
      <c r="I318" s="299">
        <f ca="1">BV!BH318</f>
        <v>2.3370070375780108</v>
      </c>
      <c r="J318" s="299">
        <f ca="1">BV!BP318</f>
        <v>2.3091052217265808</v>
      </c>
      <c r="K318" s="299">
        <f ca="1">BV!BX318</f>
        <v>2.2727272727272729</v>
      </c>
      <c r="L318" s="15" t="s">
        <v>102</v>
      </c>
      <c r="M318" s="261">
        <v>2.0129155307000001E-2</v>
      </c>
      <c r="N318" s="282">
        <f t="shared" ca="1" si="157"/>
        <v>7.0483461528390068</v>
      </c>
      <c r="O318" s="36" t="s">
        <v>21</v>
      </c>
      <c r="P318" s="1">
        <f ca="1">COUNTIFS(OFFSET(Arb!$I$2,Arb!$AJ$36,,Arb!$AJ$37,),"&gt;=90",OFFSET(Arb!$I$2,Arb!$AJ$36,,Arb!$AJ$37,),"&lt;=99",OFFSET(Arb!$AI$2,Arb!$AJ$36,,Arb!$AJ$37,),"TRUE")</f>
        <v>10</v>
      </c>
      <c r="Q318" s="268">
        <f>SUM(M115:M124)</f>
        <v>2.0569727529000003E-2</v>
      </c>
      <c r="R318" s="268">
        <f t="shared" ca="1" si="165"/>
        <v>1.8832391713747645E-2</v>
      </c>
      <c r="S318" s="339">
        <f t="shared" ca="1" si="162"/>
        <v>0.91553919162016151</v>
      </c>
      <c r="T318" s="469">
        <f ca="1">Arb!AK$35/ASB!P318</f>
        <v>25.4</v>
      </c>
      <c r="U318" s="37">
        <f t="shared" ca="1" si="163"/>
        <v>3.937007874015748E-2</v>
      </c>
      <c r="V318" s="340">
        <f t="shared" ca="1" si="166"/>
        <v>85</v>
      </c>
      <c r="W318" s="337"/>
      <c r="X318" s="269">
        <f ca="1">IF(Y318="","",MIN($BD115:$BD124))</f>
        <v>74</v>
      </c>
      <c r="Y318" s="269">
        <f ca="1">IFERROR(AVERAGE($BD115:$BD124),"")</f>
        <v>312.14285714285717</v>
      </c>
      <c r="Z318" s="269">
        <f ca="1">IF(Y318="","",MAX($BD115:$BD124))</f>
        <v>415</v>
      </c>
      <c r="AA318" s="620">
        <f ca="1">LARGE(QG!T$2:T$201,AG318)</f>
        <v>44168.065999999999</v>
      </c>
      <c r="AB318" s="620"/>
      <c r="AC318" s="11">
        <f ca="1">INDEX(QG!M$2:M$201,AH318)</f>
        <v>72</v>
      </c>
      <c r="AD318" s="597">
        <f ca="1">INDEX(QG!N$2:N$201,AH318)</f>
        <v>25</v>
      </c>
      <c r="AE318" s="597"/>
      <c r="AF318" s="11">
        <f ca="1">INDEX(QG!O$2:O$201,AH318)</f>
        <v>2.88</v>
      </c>
      <c r="AG318" s="11">
        <v>6</v>
      </c>
      <c r="AH318" s="1">
        <f ca="1">MATCH(AA318,QG!T$2:T$201,0)</f>
        <v>65</v>
      </c>
      <c r="AI318" s="589">
        <f t="shared" ca="1" si="167"/>
        <v>46.515008951538213</v>
      </c>
      <c r="AJ318" s="589"/>
      <c r="AL318" s="315"/>
      <c r="AM318" s="315"/>
      <c r="AN318" s="433">
        <v>176</v>
      </c>
      <c r="AO318" s="299">
        <f ca="1">BV!C318</f>
        <v>66.17</v>
      </c>
      <c r="AP318" s="300">
        <f ca="1">BV!K318</f>
        <v>68.680000000000007</v>
      </c>
      <c r="AQ318" s="301">
        <f ca="1">BV!S318</f>
        <v>70</v>
      </c>
      <c r="AR318" s="301">
        <f ca="1">BV!AA318</f>
        <v>71.569999999999993</v>
      </c>
      <c r="AS318" s="301">
        <f ca="1">BV!AI318</f>
        <v>71.72</v>
      </c>
      <c r="AT318" s="301">
        <f ca="1">BV!AQ318</f>
        <v>72.12</v>
      </c>
      <c r="AU318" s="302">
        <f ca="1">BV!AY318</f>
        <v>74.819999999999993</v>
      </c>
      <c r="AV318" s="302">
        <f ca="1">BV!BG318</f>
        <v>75.31</v>
      </c>
      <c r="AW318" s="302">
        <f ca="1">BV!BO318</f>
        <v>76.22</v>
      </c>
      <c r="AX318" s="302">
        <f ca="1">BV!BW318</f>
        <v>77.44</v>
      </c>
      <c r="AY318" s="15" t="s">
        <v>65</v>
      </c>
      <c r="AZ318" s="258">
        <f t="shared" si="159"/>
        <v>1.6961744493143154</v>
      </c>
      <c r="BA318" s="261">
        <v>2.0129155307000001E-2</v>
      </c>
      <c r="BB318" s="287">
        <v>0.20163106555899996</v>
      </c>
      <c r="BC318" s="287">
        <f t="shared" si="160"/>
        <v>9.9831616974269968E-2</v>
      </c>
      <c r="BD318" s="13">
        <f ca="1">IF(BV!H318="","",INT(NOW()-BV!H318))</f>
        <v>96</v>
      </c>
      <c r="BE318" s="260">
        <f t="shared" si="161"/>
        <v>7.0483461528390068</v>
      </c>
      <c r="BF318" s="299">
        <f ca="1">BV!G318</f>
        <v>61.500549229527849</v>
      </c>
      <c r="BG318" s="299">
        <f ca="1">BV!O318</f>
        <v>57.72865459794675</v>
      </c>
      <c r="BH318" s="300">
        <f ca="1">BV!W318</f>
        <v>55.890276108977055</v>
      </c>
      <c r="BI318" s="300">
        <f ca="1">BV!AE318</f>
        <v>53.82204485978761</v>
      </c>
      <c r="BJ318" s="300">
        <f ca="1">BV!AM318</f>
        <v>53.630821034773703</v>
      </c>
      <c r="BK318" s="300">
        <f ca="1">BV!AU318</f>
        <v>53.126132666850523</v>
      </c>
      <c r="BL318" s="301">
        <f ca="1">BV!BC318</f>
        <v>49.908305700511825</v>
      </c>
      <c r="BM318" s="301">
        <f ca="1">BV!BK318</f>
        <v>49.357530461779241</v>
      </c>
      <c r="BN318" s="301">
        <f ca="1">BV!BS318</f>
        <v>48.359936018333883</v>
      </c>
      <c r="BO318" s="301">
        <f ca="1">BV!CA318</f>
        <v>47.071911858214129</v>
      </c>
      <c r="BP318" s="433">
        <v>176</v>
      </c>
      <c r="BQ318" s="11">
        <f ca="1">IFERROR(YEAR(OFFSET(BV!$H318,,(COLUMN()-69)*8)),"")</f>
        <v>2020</v>
      </c>
      <c r="BR318" s="11">
        <f ca="1">IFERROR(YEAR(OFFSET(BV!$H318,,(COLUMN()-69)*8)),"")</f>
        <v>2020</v>
      </c>
      <c r="BS318" s="11">
        <f ca="1">IFERROR(YEAR(OFFSET(BV!$H318,,(COLUMN()-69)*8)),"")</f>
        <v>2020</v>
      </c>
      <c r="BT318" s="11">
        <f ca="1">IFERROR(YEAR(OFFSET(BV!$H318,,(COLUMN()-69)*8)),"")</f>
        <v>2020</v>
      </c>
      <c r="BU318" s="11">
        <f ca="1">IFERROR(YEAR(OFFSET(BV!$H318,,(COLUMN()-69)*8)),"")</f>
        <v>2020</v>
      </c>
      <c r="BV318" s="11">
        <f ca="1">IFERROR(YEAR(OFFSET(BV!$H318,,(COLUMN()-69)*8)),"")</f>
        <v>2020</v>
      </c>
      <c r="BW318" s="11">
        <f ca="1">IFERROR(YEAR(OFFSET(BV!$H318,,(COLUMN()-69)*8)),"")</f>
        <v>2020</v>
      </c>
      <c r="BX318" s="11">
        <f ca="1">IFERROR(YEAR(OFFSET(BV!$H318,,(COLUMN()-69)*8)),"")</f>
        <v>2020</v>
      </c>
      <c r="BY318" s="11">
        <f ca="1">IFERROR(YEAR(OFFSET(BV!$H318,,(COLUMN()-69)*8)),"")</f>
        <v>2020</v>
      </c>
      <c r="BZ318" s="11">
        <f ca="1">IFERROR(YEAR(OFFSET(BV!$H318,,(COLUMN()-69)*8)),"")</f>
        <v>2020</v>
      </c>
    </row>
    <row r="319" spans="1:78" x14ac:dyDescent="0.25">
      <c r="A319" s="433">
        <v>177</v>
      </c>
      <c r="B319" s="299">
        <f ca="1">BV!D319</f>
        <v>2.4776035834266517</v>
      </c>
      <c r="C319" s="299">
        <f ca="1">BV!L319</f>
        <v>2.4329896907216493</v>
      </c>
      <c r="D319" s="299">
        <f ca="1">BV!T319</f>
        <v>2.4276505280482787</v>
      </c>
      <c r="E319" s="299">
        <f ca="1">BV!AB319</f>
        <v>2.3675762439807384</v>
      </c>
      <c r="F319" s="299">
        <f ca="1">BV!AJ319</f>
        <v>2.2998960498960499</v>
      </c>
      <c r="G319" s="299">
        <f ca="1">BV!AR319</f>
        <v>2.2951244813278007</v>
      </c>
      <c r="H319" s="299">
        <f ca="1">BV!AZ319</f>
        <v>2.2936374238693791</v>
      </c>
      <c r="I319" s="299">
        <f ca="1">BV!BH319</f>
        <v>2.2894838960031043</v>
      </c>
      <c r="J319" s="300">
        <f ca="1">BV!BP319</f>
        <v>2.2255752546208978</v>
      </c>
      <c r="K319" s="300">
        <f ca="1">BV!BX319</f>
        <v>2.2197140707298724</v>
      </c>
      <c r="L319" s="15" t="s">
        <v>102</v>
      </c>
      <c r="M319" s="261">
        <v>1.9902452380000001E-2</v>
      </c>
      <c r="N319" s="282">
        <f t="shared" ca="1" si="157"/>
        <v>7.0883752949507572</v>
      </c>
      <c r="O319" s="36" t="s">
        <v>22</v>
      </c>
      <c r="P319" s="1">
        <f ca="1">COUNTIFS(OFFSET(Arb!$I$2,Arb!$AJ$36,,Arb!$AJ$37,),"&gt;=100",OFFSET(Arb!$AI$2,Arb!$AJ$36,,Arb!$AJ$37,),"TRUE")</f>
        <v>0</v>
      </c>
      <c r="Q319" s="268">
        <f>SUM(M125:M167)</f>
        <v>3.6432964520000002E-3</v>
      </c>
      <c r="R319" s="268">
        <f t="shared" ca="1" si="165"/>
        <v>0</v>
      </c>
      <c r="S319" s="339">
        <f t="shared" ca="1" si="162"/>
        <v>0</v>
      </c>
      <c r="T319" s="469" t="e">
        <f ca="1">Arb!AK$35/ASB!P319</f>
        <v>#DIV/0!</v>
      </c>
      <c r="U319" s="37" t="e">
        <f t="shared" ca="1" si="163"/>
        <v>#DIV/0!</v>
      </c>
      <c r="V319" s="340">
        <f t="shared" ca="1" si="166"/>
        <v>0</v>
      </c>
      <c r="W319" s="337"/>
      <c r="X319" s="269" t="str">
        <f ca="1">IF(Y319="","",MIN($BD125:$BD167))</f>
        <v/>
      </c>
      <c r="Y319" s="269" t="str">
        <f ca="1">IFERROR(AVERAGE($BD125:$BD167),"")</f>
        <v/>
      </c>
      <c r="Z319" s="269" t="str">
        <f ca="1">IF(Y319="","",MAX($BD125:$BD167))</f>
        <v/>
      </c>
      <c r="AA319" s="620">
        <f ca="1">LARGE(QG!T$2:T$201,AG319)</f>
        <v>44168.061999999998</v>
      </c>
      <c r="AB319" s="620"/>
      <c r="AC319" s="11">
        <f ca="1">INDEX(QG!M$2:M$201,AH319)</f>
        <v>59</v>
      </c>
      <c r="AD319" s="597">
        <f ca="1">INDEX(QG!N$2:N$201,AH319)</f>
        <v>22.2</v>
      </c>
      <c r="AE319" s="597"/>
      <c r="AF319" s="11">
        <f ca="1">INDEX(QG!O$2:O$201,AH319)</f>
        <v>2.6576576576576576</v>
      </c>
      <c r="AG319" s="11">
        <v>7</v>
      </c>
      <c r="AH319" s="1">
        <f ca="1">MATCH(AA319,QG!T$2:T$201,0)</f>
        <v>61</v>
      </c>
      <c r="AI319" s="589">
        <f t="shared" ca="1" si="167"/>
        <v>46.645589098552172</v>
      </c>
      <c r="AJ319" s="589"/>
      <c r="AL319" s="315"/>
      <c r="AM319" s="315"/>
      <c r="AN319" s="433">
        <v>177</v>
      </c>
      <c r="AO319" s="301">
        <f ca="1">BV!C319</f>
        <v>71.44</v>
      </c>
      <c r="AP319" s="301">
        <f ca="1">BV!K319</f>
        <v>72.75</v>
      </c>
      <c r="AQ319" s="301">
        <f ca="1">BV!S319</f>
        <v>72.91</v>
      </c>
      <c r="AR319" s="302">
        <f ca="1">BV!AA319</f>
        <v>74.760000000000005</v>
      </c>
      <c r="AS319" s="302">
        <f ca="1">BV!AI319</f>
        <v>76.959999999999994</v>
      </c>
      <c r="AT319" s="302">
        <f ca="1">BV!AQ319</f>
        <v>77.12</v>
      </c>
      <c r="AU319" s="302">
        <f ca="1">BV!AY319</f>
        <v>77.17</v>
      </c>
      <c r="AV319" s="302">
        <f ca="1">BV!BG319</f>
        <v>77.31</v>
      </c>
      <c r="AW319" s="660">
        <f ca="1">BV!BO319</f>
        <v>79.53</v>
      </c>
      <c r="AX319" s="660">
        <f ca="1">BV!BW319</f>
        <v>79.739999999999995</v>
      </c>
      <c r="AY319" s="15" t="s">
        <v>65</v>
      </c>
      <c r="AZ319" s="258">
        <f t="shared" si="159"/>
        <v>1.7010934065309569</v>
      </c>
      <c r="BA319" s="261">
        <v>1.9902452380000001E-2</v>
      </c>
      <c r="BB319" s="287">
        <v>0.20163106555899996</v>
      </c>
      <c r="BC319" s="287">
        <f t="shared" si="160"/>
        <v>9.8707271743184222E-2</v>
      </c>
      <c r="BD319" s="13">
        <f ca="1">IF(BV!H319="","",INT(NOW()-BV!H319))</f>
        <v>243</v>
      </c>
      <c r="BE319" s="260">
        <f t="shared" si="161"/>
        <v>7.0883752949507564</v>
      </c>
      <c r="BF319" s="300">
        <f ca="1">BV!G319</f>
        <v>54.295403341438075</v>
      </c>
      <c r="BG319" s="300">
        <f ca="1">BV!O319</f>
        <v>52.643823656090319</v>
      </c>
      <c r="BH319" s="300">
        <f ca="1">BV!W319</f>
        <v>52.447580074558381</v>
      </c>
      <c r="BI319" s="300">
        <f ca="1">BV!AE319</f>
        <v>50.260374940821819</v>
      </c>
      <c r="BJ319" s="301">
        <f ca="1">BV!AM319</f>
        <v>47.842395985767148</v>
      </c>
      <c r="BK319" s="301">
        <f ca="1">BV!AU319</f>
        <v>47.673779798307869</v>
      </c>
      <c r="BL319" s="301">
        <f ca="1">BV!BC319</f>
        <v>47.621280740624925</v>
      </c>
      <c r="BM319" s="301">
        <f ca="1">BV!BK319</f>
        <v>47.47477084570901</v>
      </c>
      <c r="BN319" s="301">
        <f ca="1">BV!BS319</f>
        <v>45.243985186842501</v>
      </c>
      <c r="BO319" s="301">
        <f ca="1">BV!CA319</f>
        <v>45.041612341887927</v>
      </c>
      <c r="BP319" s="433">
        <v>177</v>
      </c>
      <c r="BQ319" s="11">
        <f ca="1">IFERROR(YEAR(OFFSET(BV!$H319,,(COLUMN()-69)*8)),"")</f>
        <v>2020</v>
      </c>
      <c r="BR319" s="11">
        <f ca="1">IFERROR(YEAR(OFFSET(BV!$H319,,(COLUMN()-69)*8)),"")</f>
        <v>2019</v>
      </c>
      <c r="BS319" s="11">
        <f ca="1">IFERROR(YEAR(OFFSET(BV!$H319,,(COLUMN()-69)*8)),"")</f>
        <v>2020</v>
      </c>
      <c r="BT319" s="11">
        <f ca="1">IFERROR(YEAR(OFFSET(BV!$H319,,(COLUMN()-69)*8)),"")</f>
        <v>2020</v>
      </c>
      <c r="BU319" s="11">
        <f ca="1">IFERROR(YEAR(OFFSET(BV!$H319,,(COLUMN()-69)*8)),"")</f>
        <v>2020</v>
      </c>
      <c r="BV319" s="11">
        <f ca="1">IFERROR(YEAR(OFFSET(BV!$H319,,(COLUMN()-69)*8)),"")</f>
        <v>2020</v>
      </c>
      <c r="BW319" s="11">
        <f ca="1">IFERROR(YEAR(OFFSET(BV!$H319,,(COLUMN()-69)*8)),"")</f>
        <v>2020</v>
      </c>
      <c r="BX319" s="11">
        <f ca="1">IFERROR(YEAR(OFFSET(BV!$H319,,(COLUMN()-69)*8)),"")</f>
        <v>2020</v>
      </c>
      <c r="BY319" s="11">
        <f ca="1">IFERROR(YEAR(OFFSET(BV!$H319,,(COLUMN()-69)*8)),"")</f>
        <v>2019</v>
      </c>
      <c r="BZ319" s="11">
        <f ca="1">IFERROR(YEAR(OFFSET(BV!$H319,,(COLUMN()-69)*8)),"")</f>
        <v>2020</v>
      </c>
    </row>
    <row r="320" spans="1:78" x14ac:dyDescent="0.25">
      <c r="A320" s="433">
        <v>178</v>
      </c>
      <c r="B320" s="298">
        <f ca="1">BV!D320</f>
        <v>2.6386006522383636</v>
      </c>
      <c r="C320" s="298">
        <f ca="1">BV!L320</f>
        <v>2.5450386045181586</v>
      </c>
      <c r="D320" s="298">
        <f ca="1">BV!T320</f>
        <v>2.5010538148096106</v>
      </c>
      <c r="E320" s="298">
        <f ca="1">BV!AB320</f>
        <v>2.5010538148096106</v>
      </c>
      <c r="F320" s="299">
        <f ca="1">BV!AJ320</f>
        <v>2.4718789057075403</v>
      </c>
      <c r="G320" s="299">
        <f ca="1">BV!AR320</f>
        <v>2.4531422271223815</v>
      </c>
      <c r="H320" s="299">
        <f ca="1">BV!AZ320</f>
        <v>2.394726220906767</v>
      </c>
      <c r="I320" s="299">
        <f ca="1">BV!BH320</f>
        <v>2.3626227767454209</v>
      </c>
      <c r="J320" s="299">
        <f ca="1">BV!BP320</f>
        <v>2.3598037915948558</v>
      </c>
      <c r="K320" s="299">
        <f ca="1">BV!BX320</f>
        <v>2.3396424815983177</v>
      </c>
      <c r="L320" s="15" t="s">
        <v>102</v>
      </c>
      <c r="M320" s="261">
        <v>1.9628679829E-2</v>
      </c>
      <c r="N320" s="282">
        <f t="shared" ca="1" si="157"/>
        <v>7.1376369546521756</v>
      </c>
      <c r="O320" s="24" t="s">
        <v>35</v>
      </c>
      <c r="P320" s="1">
        <f ca="1">COUNTIFS(OFFSET(Arb!$I$2,Arb!$AJ$36+Arb!$AJ$37,,Arb!$AJ$38,),"&gt;=100",OFFSET(Arb!$I$2,Arb!$AJ$36+Arb!$AJ$37,,Arb!$AJ$38,),"&lt;=129",OFFSET(Arb!$AI$2,Arb!$AJ$36+Arb!$AJ$37,,Arb!$AJ$38,),"TRUE")</f>
        <v>8</v>
      </c>
      <c r="Q320" s="341">
        <f>SUM(M242:M271)</f>
        <v>8.4533589190000005E-3</v>
      </c>
      <c r="R320" s="341">
        <f t="shared" ref="R320:R330" ca="1" si="168">P320/SUM(P$320:P$330)</f>
        <v>7.7145612343297977E-3</v>
      </c>
      <c r="S320" s="342">
        <f t="shared" ca="1" si="162"/>
        <v>0.91260306207871278</v>
      </c>
      <c r="T320" s="469">
        <f ca="1">Arb!AK$35/ASB!P320</f>
        <v>31.75</v>
      </c>
      <c r="U320" s="38">
        <f t="shared" ca="1" si="163"/>
        <v>3.1496062992125984E-2</v>
      </c>
      <c r="V320" s="30">
        <f ca="1">(P292+Q292/2+R292/3+S292/4+T292/5+U292/6+V292/7+W292/8+X292/9+Y292/10)*10</f>
        <v>58.333333333333329</v>
      </c>
      <c r="W320" s="337"/>
      <c r="X320" s="84">
        <f ca="1">IF(Y320="","",MIN($BD242:$BD271))</f>
        <v>3</v>
      </c>
      <c r="Y320" s="84">
        <f ca="1">IFERROR(AVERAGE($BD242:$BD271),"")</f>
        <v>191.25</v>
      </c>
      <c r="Z320" s="84">
        <f ca="1">IF(Y320="","",MAX($BD242:$BD271))</f>
        <v>394</v>
      </c>
      <c r="AA320" s="620">
        <f ca="1">LARGE(QG!T$2:T$201,AG320)</f>
        <v>44168.046000000002</v>
      </c>
      <c r="AB320" s="620"/>
      <c r="AC320" s="11">
        <f ca="1">INDEX(QG!M$2:M$201,AH320)</f>
        <v>65</v>
      </c>
      <c r="AD320" s="597">
        <f ca="1">INDEX(QG!N$2:N$201,AH320)</f>
        <v>23.13</v>
      </c>
      <c r="AE320" s="597"/>
      <c r="AF320" s="11">
        <f ca="1">INDEX(QG!O$2:O$201,AH320)</f>
        <v>2.8102031993082579</v>
      </c>
      <c r="AG320" s="11">
        <v>8</v>
      </c>
      <c r="AH320" s="1">
        <f ca="1">MATCH(AA320,QG!T$2:T$201,0)</f>
        <v>45</v>
      </c>
      <c r="AI320" s="589">
        <f t="shared" ca="1" si="167"/>
        <v>47.926245504251376</v>
      </c>
      <c r="AJ320" s="589"/>
      <c r="AL320" s="315"/>
      <c r="AM320" s="315"/>
      <c r="AN320" s="433">
        <v>178</v>
      </c>
      <c r="AO320" s="300">
        <f ca="1">BV!C320</f>
        <v>67.459999999999994</v>
      </c>
      <c r="AP320" s="301">
        <f ca="1">BV!K320</f>
        <v>69.94</v>
      </c>
      <c r="AQ320" s="301">
        <f ca="1">BV!S320</f>
        <v>71.17</v>
      </c>
      <c r="AR320" s="301">
        <f ca="1">BV!AA320</f>
        <v>71.17</v>
      </c>
      <c r="AS320" s="301">
        <f ca="1">BV!AI320</f>
        <v>72.010000000000005</v>
      </c>
      <c r="AT320" s="301">
        <f ca="1">BV!AQ320</f>
        <v>72.56</v>
      </c>
      <c r="AU320" s="302">
        <f ca="1">BV!AY320</f>
        <v>74.33</v>
      </c>
      <c r="AV320" s="302">
        <f ca="1">BV!BG320</f>
        <v>75.34</v>
      </c>
      <c r="AW320" s="302">
        <f ca="1">BV!BO320</f>
        <v>75.430000000000007</v>
      </c>
      <c r="AX320" s="302">
        <f ca="1">BV!BW320</f>
        <v>76.08</v>
      </c>
      <c r="AY320" s="15" t="s">
        <v>65</v>
      </c>
      <c r="AZ320" s="258">
        <f t="shared" si="159"/>
        <v>1.7071089088697224</v>
      </c>
      <c r="BA320" s="261">
        <v>1.9628679829E-2</v>
      </c>
      <c r="BB320" s="287">
        <v>0.20163106555899996</v>
      </c>
      <c r="BC320" s="287">
        <f t="shared" si="160"/>
        <v>9.7349482206929003E-2</v>
      </c>
      <c r="BD320" s="13">
        <f ca="1">IF(BV!H320="","",INT(NOW()-BV!H320))</f>
        <v>107</v>
      </c>
      <c r="BE320" s="260">
        <f t="shared" si="161"/>
        <v>7.1376369546521747</v>
      </c>
      <c r="BF320" s="299">
        <f ca="1">BV!G320</f>
        <v>60.190989790077559</v>
      </c>
      <c r="BG320" s="299">
        <f ca="1">BV!O320</f>
        <v>56.607853865019678</v>
      </c>
      <c r="BH320" s="300">
        <f ca="1">BV!W320</f>
        <v>54.9547726779494</v>
      </c>
      <c r="BI320" s="300">
        <f ca="1">BV!AE320</f>
        <v>54.9547726779494</v>
      </c>
      <c r="BJ320" s="300">
        <f ca="1">BV!AM320</f>
        <v>53.869442259462005</v>
      </c>
      <c r="BK320" s="300">
        <f ca="1">BV!AU320</f>
        <v>53.177129662615023</v>
      </c>
      <c r="BL320" s="300">
        <f ca="1">BV!BC320</f>
        <v>51.042417073728878</v>
      </c>
      <c r="BM320" s="301">
        <f ca="1">BV!BK320</f>
        <v>49.884624866939276</v>
      </c>
      <c r="BN320" s="301">
        <f ca="1">BV!BS320</f>
        <v>49.78348261701057</v>
      </c>
      <c r="BO320" s="301">
        <f ca="1">BV!CA320</f>
        <v>49.06258211513822</v>
      </c>
      <c r="BP320" s="433">
        <v>178</v>
      </c>
      <c r="BQ320" s="11">
        <f ca="1">IFERROR(YEAR(OFFSET(BV!$H320,,(COLUMN()-69)*8)),"")</f>
        <v>2020</v>
      </c>
      <c r="BR320" s="11">
        <f ca="1">IFERROR(YEAR(OFFSET(BV!$H320,,(COLUMN()-69)*8)),"")</f>
        <v>2020</v>
      </c>
      <c r="BS320" s="11">
        <f ca="1">IFERROR(YEAR(OFFSET(BV!$H320,,(COLUMN()-69)*8)),"")</f>
        <v>2020</v>
      </c>
      <c r="BT320" s="11">
        <f ca="1">IFERROR(YEAR(OFFSET(BV!$H320,,(COLUMN()-69)*8)),"")</f>
        <v>2020</v>
      </c>
      <c r="BU320" s="11">
        <f ca="1">IFERROR(YEAR(OFFSET(BV!$H320,,(COLUMN()-69)*8)),"")</f>
        <v>2020</v>
      </c>
      <c r="BV320" s="11">
        <f ca="1">IFERROR(YEAR(OFFSET(BV!$H320,,(COLUMN()-69)*8)),"")</f>
        <v>2020</v>
      </c>
      <c r="BW320" s="11">
        <f ca="1">IFERROR(YEAR(OFFSET(BV!$H320,,(COLUMN()-69)*8)),"")</f>
        <v>2020</v>
      </c>
      <c r="BX320" s="11">
        <f ca="1">IFERROR(YEAR(OFFSET(BV!$H320,,(COLUMN()-69)*8)),"")</f>
        <v>2019</v>
      </c>
      <c r="BY320" s="11">
        <f ca="1">IFERROR(YEAR(OFFSET(BV!$H320,,(COLUMN()-69)*8)),"")</f>
        <v>2020</v>
      </c>
      <c r="BZ320" s="11">
        <f ca="1">IFERROR(YEAR(OFFSET(BV!$H320,,(COLUMN()-69)*8)),"")</f>
        <v>2020</v>
      </c>
    </row>
    <row r="321" spans="1:78" x14ac:dyDescent="0.25">
      <c r="A321" s="433">
        <v>179</v>
      </c>
      <c r="B321" s="299">
        <f ca="1">BV!D321</f>
        <v>2.4333877107123434</v>
      </c>
      <c r="C321" s="299">
        <f ca="1">BV!L321</f>
        <v>2.4195728575290616</v>
      </c>
      <c r="D321" s="299">
        <f ca="1">BV!T321</f>
        <v>2.4004291269947702</v>
      </c>
      <c r="E321" s="299">
        <f ca="1">BV!AB321</f>
        <v>2.4001072673639046</v>
      </c>
      <c r="F321" s="299">
        <f ca="1">BV!AJ321</f>
        <v>2.3630363036303632</v>
      </c>
      <c r="G321" s="299">
        <f ca="1">BV!AR321</f>
        <v>2.3592988005799391</v>
      </c>
      <c r="H321" s="299">
        <f ca="1">BV!AZ321</f>
        <v>2.3552631578947367</v>
      </c>
      <c r="I321" s="299">
        <f ca="1">BV!BH321</f>
        <v>2.3441592456783655</v>
      </c>
      <c r="J321" s="299">
        <f ca="1">BV!BP321</f>
        <v>2.3392577104025092</v>
      </c>
      <c r="K321" s="299">
        <f ca="1">BV!BX321</f>
        <v>2.3004755172856957</v>
      </c>
      <c r="L321" s="15" t="s">
        <v>102</v>
      </c>
      <c r="M321" s="261">
        <v>1.9309115099000001E-2</v>
      </c>
      <c r="N321" s="282">
        <f t="shared" ca="1" si="157"/>
        <v>7.196458318709702</v>
      </c>
      <c r="O321" s="24" t="s">
        <v>23</v>
      </c>
      <c r="P321" s="1">
        <f ca="1">COUNTIFS(OFFSET(Arb!$I$2,Arb!$AJ$36+Arb!$AJ$37,,Arb!$AJ$38,),"&gt;=130",OFFSET(Arb!$I$2,Arb!$AJ$36+Arb!$AJ$37,,Arb!$AJ$38,),"&lt;=139",OFFSET(Arb!$AI$2,Arb!$AJ$36+Arb!$AJ$37,,Arb!$AJ$38,),"TRUE")</f>
        <v>40</v>
      </c>
      <c r="Q321" s="341">
        <f>SUM(M272:M281)</f>
        <v>2.6629438405999999E-2</v>
      </c>
      <c r="R321" s="341">
        <f t="shared" ca="1" si="168"/>
        <v>3.8572806171648988E-2</v>
      </c>
      <c r="S321" s="342">
        <f t="shared" ca="1" si="162"/>
        <v>1.4485024274097336</v>
      </c>
      <c r="T321" s="469">
        <f ca="1">Arb!AK$35/ASB!P321</f>
        <v>6.35</v>
      </c>
      <c r="U321" s="38">
        <f t="shared" ca="1" si="163"/>
        <v>0.15748031496062992</v>
      </c>
      <c r="V321" s="30">
        <f t="shared" ref="V321:V330" ca="1" si="169">(P293+Q293/2+R293/3+S293/4+T293/5+U293/6+V293/7+W293/8+X293/9+Y293/10)*10</f>
        <v>195.94047619047618</v>
      </c>
      <c r="W321" s="337"/>
      <c r="X321" s="84">
        <f ca="1">IF(Y321="","",MIN($BD272:$BD281))</f>
        <v>96</v>
      </c>
      <c r="Y321" s="84">
        <f ca="1">IFERROR(AVERAGE($BD272:$BD281),"")</f>
        <v>208.9</v>
      </c>
      <c r="Z321" s="84">
        <f ca="1">IF(Y321="","",MAX($BD272:$BD281))</f>
        <v>375</v>
      </c>
      <c r="AA321" s="620">
        <f ca="1">LARGE(QG!T$2:T$201,AG321)</f>
        <v>44168.038999999997</v>
      </c>
      <c r="AB321" s="620"/>
      <c r="AC321" s="11">
        <f ca="1">INDEX(QG!M$2:M$201,AH321)</f>
        <v>65</v>
      </c>
      <c r="AD321" s="597">
        <f ca="1">INDEX(QG!N$2:N$201,AH321)</f>
        <v>22.95</v>
      </c>
      <c r="AE321" s="597"/>
      <c r="AF321" s="11">
        <f ca="1">INDEX(QG!O$2:O$201,AH321)</f>
        <v>2.8322440087145972</v>
      </c>
      <c r="AG321" s="11">
        <v>9</v>
      </c>
      <c r="AH321" s="1">
        <f ca="1">MATCH(AA321,QG!T$2:T$201,0)</f>
        <v>38</v>
      </c>
      <c r="AI321" s="589">
        <f t="shared" ca="1" si="167"/>
        <v>48.567014901888967</v>
      </c>
      <c r="AJ321" s="589"/>
      <c r="AL321" s="315"/>
      <c r="AM321" s="315"/>
      <c r="AN321" s="433">
        <v>179</v>
      </c>
      <c r="AO321" s="301">
        <f ca="1">BV!C321</f>
        <v>73.56</v>
      </c>
      <c r="AP321" s="301">
        <f ca="1">BV!K321</f>
        <v>73.98</v>
      </c>
      <c r="AQ321" s="302">
        <f ca="1">BV!S321</f>
        <v>74.569999999999993</v>
      </c>
      <c r="AR321" s="302">
        <f ca="1">BV!AA321</f>
        <v>74.58</v>
      </c>
      <c r="AS321" s="302">
        <f ca="1">BV!AI321</f>
        <v>75.75</v>
      </c>
      <c r="AT321" s="302">
        <f ca="1">BV!AQ321</f>
        <v>75.87</v>
      </c>
      <c r="AU321" s="302">
        <f ca="1">BV!AY321</f>
        <v>76</v>
      </c>
      <c r="AV321" s="302">
        <f ca="1">BV!BG321</f>
        <v>76.36</v>
      </c>
      <c r="AW321" s="302">
        <f ca="1">BV!BO321</f>
        <v>76.52</v>
      </c>
      <c r="AX321" s="302">
        <f ca="1">BV!BW321</f>
        <v>77.81</v>
      </c>
      <c r="AY321" s="15" t="s">
        <v>65</v>
      </c>
      <c r="AZ321" s="258">
        <f t="shared" si="159"/>
        <v>1.7142376286767032</v>
      </c>
      <c r="BA321" s="261">
        <v>1.9309115099000001E-2</v>
      </c>
      <c r="BB321" s="287">
        <v>0.20163106555899996</v>
      </c>
      <c r="BC321" s="287">
        <f t="shared" si="160"/>
        <v>9.5764583921964616E-2</v>
      </c>
      <c r="BD321" s="13">
        <f ca="1">IF(BV!H321="","",INT(NOW()-BV!H321))</f>
        <v>151</v>
      </c>
      <c r="BE321" s="260">
        <f t="shared" si="161"/>
        <v>7.196458318709702</v>
      </c>
      <c r="BF321" s="300">
        <f ca="1">BV!G321</f>
        <v>52.245917625649106</v>
      </c>
      <c r="BG321" s="300">
        <f ca="1">BV!O321</f>
        <v>51.742681346594203</v>
      </c>
      <c r="BH321" s="300">
        <f ca="1">BV!W321</f>
        <v>51.048647832156014</v>
      </c>
      <c r="BI321" s="300">
        <f ca="1">BV!AE321</f>
        <v>51.037012188740349</v>
      </c>
      <c r="BJ321" s="301">
        <f ca="1">BV!AM321</f>
        <v>49.704167381179104</v>
      </c>
      <c r="BK321" s="301">
        <f ca="1">BV!AU321</f>
        <v>49.570596323247202</v>
      </c>
      <c r="BL321" s="301">
        <f ca="1">BV!BC321</f>
        <v>49.426536559846241</v>
      </c>
      <c r="BM321" s="301">
        <f ca="1">BV!BK321</f>
        <v>49.031053276538529</v>
      </c>
      <c r="BN321" s="301">
        <f ca="1">BV!BS321</f>
        <v>48.856893783945786</v>
      </c>
      <c r="BO321" s="301">
        <f ca="1">BV!CA321</f>
        <v>47.487912634670145</v>
      </c>
      <c r="BP321" s="433">
        <v>179</v>
      </c>
      <c r="BQ321" s="11">
        <f ca="1">IFERROR(YEAR(OFFSET(BV!$H321,,(COLUMN()-69)*8)),"")</f>
        <v>2020</v>
      </c>
      <c r="BR321" s="11">
        <f ca="1">IFERROR(YEAR(OFFSET(BV!$H321,,(COLUMN()-69)*8)),"")</f>
        <v>2020</v>
      </c>
      <c r="BS321" s="11">
        <f ca="1">IFERROR(YEAR(OFFSET(BV!$H321,,(COLUMN()-69)*8)),"")</f>
        <v>2020</v>
      </c>
      <c r="BT321" s="11">
        <f ca="1">IFERROR(YEAR(OFFSET(BV!$H321,,(COLUMN()-69)*8)),"")</f>
        <v>2020</v>
      </c>
      <c r="BU321" s="11">
        <f ca="1">IFERROR(YEAR(OFFSET(BV!$H321,,(COLUMN()-69)*8)),"")</f>
        <v>2020</v>
      </c>
      <c r="BV321" s="11">
        <f ca="1">IFERROR(YEAR(OFFSET(BV!$H321,,(COLUMN()-69)*8)),"")</f>
        <v>2020</v>
      </c>
      <c r="BW321" s="11">
        <f ca="1">IFERROR(YEAR(OFFSET(BV!$H321,,(COLUMN()-69)*8)),"")</f>
        <v>2020</v>
      </c>
      <c r="BX321" s="11">
        <f ca="1">IFERROR(YEAR(OFFSET(BV!$H321,,(COLUMN()-69)*8)),"")</f>
        <v>2020</v>
      </c>
      <c r="BY321" s="11">
        <f ca="1">IFERROR(YEAR(OFFSET(BV!$H321,,(COLUMN()-69)*8)),"")</f>
        <v>2020</v>
      </c>
      <c r="BZ321" s="11">
        <f ca="1">IFERROR(YEAR(OFFSET(BV!$H321,,(COLUMN()-69)*8)),"")</f>
        <v>2020</v>
      </c>
    </row>
    <row r="322" spans="1:78" x14ac:dyDescent="0.25">
      <c r="A322" s="433">
        <v>180</v>
      </c>
      <c r="B322" s="297">
        <f ca="1">BV!D322</f>
        <v>2.8244155029028715</v>
      </c>
      <c r="C322" s="298">
        <f ca="1">BV!L322</f>
        <v>2.6147588611272514</v>
      </c>
      <c r="D322" s="298">
        <f ca="1">BV!T322</f>
        <v>2.6094520150768337</v>
      </c>
      <c r="E322" s="299">
        <f ca="1">BV!AB322</f>
        <v>2.4671052631578951</v>
      </c>
      <c r="F322" s="299">
        <f ca="1">BV!AJ322</f>
        <v>2.4573378839590445</v>
      </c>
      <c r="G322" s="299">
        <f ca="1">BV!AR322</f>
        <v>2.4347355606654943</v>
      </c>
      <c r="H322" s="299">
        <f ca="1">BV!AZ322</f>
        <v>2.4317751958930018</v>
      </c>
      <c r="I322" s="299">
        <f ca="1">BV!BH322</f>
        <v>2.4174053182917006</v>
      </c>
      <c r="J322" s="299">
        <f ca="1">BV!BP322</f>
        <v>2.4054523586796739</v>
      </c>
      <c r="K322" s="299">
        <f ca="1">BV!BX322</f>
        <v>2.3687327279905253</v>
      </c>
      <c r="L322" s="15" t="s">
        <v>102</v>
      </c>
      <c r="M322" s="261">
        <v>1.8948010011000001E-2</v>
      </c>
      <c r="N322" s="282">
        <f t="shared" ca="1" si="157"/>
        <v>7.2647085759480747</v>
      </c>
      <c r="O322" s="24" t="s">
        <v>24</v>
      </c>
      <c r="P322" s="1">
        <f ca="1">COUNTIFS(OFFSET(Arb!$I$2,Arb!$AJ$36+Arb!$AJ$37,,Arb!$AJ$38,),"&gt;=140",OFFSET(Arb!$I$2,Arb!$AJ$36+Arb!$AJ$37,,Arb!$AJ$38,),"&lt;=149",OFFSET(Arb!$AI$2,Arb!$AJ$36+Arb!$AJ$37,,Arb!$AJ$38,),"TRUE")</f>
        <v>93</v>
      </c>
      <c r="Q322" s="341">
        <f>SUM(M282:M291)</f>
        <v>7.0097060775999989E-2</v>
      </c>
      <c r="R322" s="341">
        <f t="shared" ca="1" si="168"/>
        <v>8.9681774349083893E-2</v>
      </c>
      <c r="S322" s="342">
        <f t="shared" ca="1" si="162"/>
        <v>1.2793942193335068</v>
      </c>
      <c r="T322" s="469">
        <f ca="1">Arb!AK$35/ASB!P322</f>
        <v>2.7311827956989245</v>
      </c>
      <c r="U322" s="38">
        <f t="shared" ca="1" si="163"/>
        <v>0.36614173228346458</v>
      </c>
      <c r="V322" s="30">
        <f t="shared" ca="1" si="169"/>
        <v>265.55158730158729</v>
      </c>
      <c r="W322" s="337"/>
      <c r="X322" s="84">
        <f ca="1">MIN($BD282:$BD291)</f>
        <v>81</v>
      </c>
      <c r="Y322" s="84">
        <f ca="1">AVERAGE($BD282:$BD291)</f>
        <v>139.30000000000001</v>
      </c>
      <c r="Z322" s="84">
        <f ca="1">MAX($BD282:$BD291)</f>
        <v>291</v>
      </c>
      <c r="AA322" s="620">
        <f ca="1">LARGE(QG!T$2:T$201,AG322)</f>
        <v>44168.035000000003</v>
      </c>
      <c r="AB322" s="620"/>
      <c r="AC322" s="11">
        <f ca="1">INDEX(QG!M$2:M$201,AH322)</f>
        <v>65</v>
      </c>
      <c r="AD322" s="597">
        <f ca="1">INDEX(QG!N$2:N$201,AH322)</f>
        <v>22.84</v>
      </c>
      <c r="AE322" s="597"/>
      <c r="AF322" s="11">
        <f ca="1">INDEX(QG!O$2:O$201,AH322)</f>
        <v>2.8458844133099825</v>
      </c>
      <c r="AG322" s="11">
        <v>10</v>
      </c>
      <c r="AH322" s="1">
        <f ca="1">MATCH(AA322,QG!T$2:T$201,0)</f>
        <v>34</v>
      </c>
      <c r="AI322" s="589">
        <f t="shared" ca="1" si="167"/>
        <v>48.965321970813221</v>
      </c>
      <c r="AJ322" s="589"/>
      <c r="AL322" s="315"/>
      <c r="AM322" s="315"/>
      <c r="AN322" s="433">
        <v>180</v>
      </c>
      <c r="AO322" s="298">
        <f ca="1">BV!C322</f>
        <v>63.73</v>
      </c>
      <c r="AP322" s="300">
        <f ca="1">BV!K322</f>
        <v>68.84</v>
      </c>
      <c r="AQ322" s="300">
        <f ca="1">BV!S322</f>
        <v>68.98</v>
      </c>
      <c r="AR322" s="301">
        <f ca="1">BV!AA322</f>
        <v>72.959999999999994</v>
      </c>
      <c r="AS322" s="301">
        <f ca="1">BV!AI322</f>
        <v>73.25</v>
      </c>
      <c r="AT322" s="301">
        <f ca="1">BV!AQ322</f>
        <v>73.930000000000007</v>
      </c>
      <c r="AU322" s="302">
        <f ca="1">BV!AY322</f>
        <v>74.02</v>
      </c>
      <c r="AV322" s="302">
        <f ca="1">BV!BG322</f>
        <v>74.459999999999994</v>
      </c>
      <c r="AW322" s="302">
        <f ca="1">BV!BO322</f>
        <v>74.83</v>
      </c>
      <c r="AX322" s="302">
        <f ca="1">BV!BW322</f>
        <v>75.989999999999995</v>
      </c>
      <c r="AY322" s="15" t="s">
        <v>65</v>
      </c>
      <c r="AZ322" s="258">
        <f t="shared" si="159"/>
        <v>1.7224363944886814</v>
      </c>
      <c r="BA322" s="261">
        <v>1.8948010011000001E-2</v>
      </c>
      <c r="BB322" s="268">
        <v>0.16779560557600004</v>
      </c>
      <c r="BC322" s="268">
        <f t="shared" si="160"/>
        <v>0.11292315997165871</v>
      </c>
      <c r="BD322" s="269">
        <f ca="1">IF(BV!H322="","",INT(NOW()-BV!H322))</f>
        <v>84</v>
      </c>
      <c r="BE322" s="260">
        <f t="shared" si="161"/>
        <v>7.2647085759480756</v>
      </c>
      <c r="BF322" s="298">
        <f ca="1">BV!G322</f>
        <v>67.046806836187457</v>
      </c>
      <c r="BG322" s="299">
        <f ca="1">BV!O322</f>
        <v>58.807578317063907</v>
      </c>
      <c r="BH322" s="299">
        <f ca="1">BV!W322</f>
        <v>58.60482013490288</v>
      </c>
      <c r="BI322" s="300">
        <f ca="1">BV!AE322</f>
        <v>53.274398797138538</v>
      </c>
      <c r="BJ322" s="300">
        <f ca="1">BV!AM322</f>
        <v>52.916339129226515</v>
      </c>
      <c r="BK322" s="300">
        <f ca="1">BV!AU322</f>
        <v>52.091583549777333</v>
      </c>
      <c r="BL322" s="300">
        <f ca="1">BV!BC322</f>
        <v>51.983955609398009</v>
      </c>
      <c r="BM322" s="300">
        <f ca="1">BV!BK322</f>
        <v>51.462823050426643</v>
      </c>
      <c r="BN322" s="300">
        <f ca="1">BV!BS322</f>
        <v>51.030989981095267</v>
      </c>
      <c r="BO322" s="301">
        <f ca="1">BV!CA322</f>
        <v>49.713782138404447</v>
      </c>
      <c r="BP322" s="433">
        <v>180</v>
      </c>
      <c r="BQ322" s="11">
        <f ca="1">IFERROR(YEAR(OFFSET(BV!$H322,,(COLUMN()-69)*8)),"")</f>
        <v>2020</v>
      </c>
      <c r="BR322" s="11">
        <f ca="1">IFERROR(YEAR(OFFSET(BV!$H322,,(COLUMN()-69)*8)),"")</f>
        <v>2020</v>
      </c>
      <c r="BS322" s="11">
        <f ca="1">IFERROR(YEAR(OFFSET(BV!$H322,,(COLUMN()-69)*8)),"")</f>
        <v>2020</v>
      </c>
      <c r="BT322" s="11">
        <f ca="1">IFERROR(YEAR(OFFSET(BV!$H322,,(COLUMN()-69)*8)),"")</f>
        <v>2020</v>
      </c>
      <c r="BU322" s="11">
        <f ca="1">IFERROR(YEAR(OFFSET(BV!$H322,,(COLUMN()-69)*8)),"")</f>
        <v>2020</v>
      </c>
      <c r="BV322" s="11">
        <f ca="1">IFERROR(YEAR(OFFSET(BV!$H322,,(COLUMN()-69)*8)),"")</f>
        <v>2020</v>
      </c>
      <c r="BW322" s="11">
        <f ca="1">IFERROR(YEAR(OFFSET(BV!$H322,,(COLUMN()-69)*8)),"")</f>
        <v>2020</v>
      </c>
      <c r="BX322" s="11">
        <f ca="1">IFERROR(YEAR(OFFSET(BV!$H322,,(COLUMN()-69)*8)),"")</f>
        <v>2019</v>
      </c>
      <c r="BY322" s="11">
        <f ca="1">IFERROR(YEAR(OFFSET(BV!$H322,,(COLUMN()-69)*8)),"")</f>
        <v>2020</v>
      </c>
      <c r="BZ322" s="11">
        <f ca="1">IFERROR(YEAR(OFFSET(BV!$H322,,(COLUMN()-69)*8)),"")</f>
        <v>2019</v>
      </c>
    </row>
    <row r="323" spans="1:78" x14ac:dyDescent="0.25">
      <c r="A323" s="433">
        <v>181</v>
      </c>
      <c r="B323" s="298">
        <f ca="1">BV!D323</f>
        <v>2.7445034116755118</v>
      </c>
      <c r="C323" s="298">
        <f ca="1">BV!L323</f>
        <v>2.6481346013167522</v>
      </c>
      <c r="D323" s="298">
        <f ca="1">BV!T323</f>
        <v>2.6384839650145775</v>
      </c>
      <c r="E323" s="298">
        <f ca="1">BV!AB323</f>
        <v>2.6125866050808315</v>
      </c>
      <c r="F323" s="298">
        <f ca="1">BV!AJ323</f>
        <v>2.5079672994318969</v>
      </c>
      <c r="G323" s="299">
        <f ca="1">BV!AR323</f>
        <v>2.4965517241379311</v>
      </c>
      <c r="H323" s="299">
        <f ca="1">BV!AZ323</f>
        <v>2.4763989601860716</v>
      </c>
      <c r="I323" s="299">
        <f ca="1">BV!BH323</f>
        <v>2.4656041411251874</v>
      </c>
      <c r="J323" s="299">
        <f ca="1">BV!BP323</f>
        <v>2.4456154573706255</v>
      </c>
      <c r="K323" s="299">
        <f ca="1">BV!BX323</f>
        <v>2.4217286593524219</v>
      </c>
      <c r="L323" s="15" t="s">
        <v>102</v>
      </c>
      <c r="M323" s="261">
        <v>1.8547232285999998E-2</v>
      </c>
      <c r="N323" s="282">
        <f t="shared" ca="1" si="157"/>
        <v>7.342778784562646</v>
      </c>
      <c r="O323" s="24" t="s">
        <v>25</v>
      </c>
      <c r="P323" s="1">
        <f ca="1">COUNTIFS(OFFSET(Arb!$I$2,Arb!$AJ$36+Arb!$AJ$37,,Arb!$AJ$38,),"&gt;=150",OFFSET(Arb!$I$2,Arb!$AJ$36+Arb!$AJ$37,,Arb!$AJ$38,),"&lt;=159",OFFSET(Arb!$AI$2,Arb!$AJ$36+Arb!$AJ$37,,Arb!$AJ$38,),"TRUE")</f>
        <v>152</v>
      </c>
      <c r="Q323" s="341">
        <f>SUM(M292:M301)</f>
        <v>0.13319492362099999</v>
      </c>
      <c r="R323" s="341">
        <f t="shared" ca="1" si="168"/>
        <v>0.14657666345226616</v>
      </c>
      <c r="S323" s="342">
        <f t="shared" ca="1" si="162"/>
        <v>1.1004673411529053</v>
      </c>
      <c r="T323" s="469">
        <f ca="1">Arb!AK$35/ASB!P323</f>
        <v>1.6710526315789473</v>
      </c>
      <c r="U323" s="38">
        <f t="shared" ca="1" si="163"/>
        <v>0.59842519685039375</v>
      </c>
      <c r="V323" s="30">
        <f t="shared" ca="1" si="169"/>
        <v>292.89682539682536</v>
      </c>
      <c r="W323" s="337"/>
      <c r="X323" s="84">
        <f ca="1">MIN($BD292:$BD301)</f>
        <v>13</v>
      </c>
      <c r="Y323" s="84">
        <f ca="1">AVERAGE($BD292:$BD301)</f>
        <v>115.5</v>
      </c>
      <c r="Z323" s="84">
        <f ca="1">MAX($BD292:$BD301)</f>
        <v>223</v>
      </c>
      <c r="AA323" s="620">
        <f ca="1">LARGE(QG!AD$2:AD$201,AG323)</f>
        <v>44177.177000000003</v>
      </c>
      <c r="AB323" s="620"/>
      <c r="AC323" s="11">
        <f ca="1">INDEX(QG!W$2:W$201,AH323)</f>
        <v>176</v>
      </c>
      <c r="AD323" s="597">
        <f ca="1">INDEX(QG!X$2:X$201,AH323)</f>
        <v>72.12</v>
      </c>
      <c r="AE323" s="597"/>
      <c r="AF323" s="11">
        <f ca="1">INDEX(QG!Y$2:Y$201,AH323)</f>
        <v>2.4403771491957849</v>
      </c>
      <c r="AG323" s="11">
        <v>1</v>
      </c>
      <c r="AH323" s="1">
        <f ca="1">MATCH(AA323,QG!AD$2:AD$201,0)</f>
        <v>176</v>
      </c>
      <c r="AI323" s="589">
        <f ca="1">435.001/(AD323^1.7/AC323)</f>
        <v>53.126132666850523</v>
      </c>
      <c r="AJ323" s="589"/>
      <c r="AL323" s="315"/>
      <c r="AM323" s="315"/>
      <c r="AN323" s="433">
        <v>181</v>
      </c>
      <c r="AO323" s="299">
        <f ca="1">BV!C323</f>
        <v>65.95</v>
      </c>
      <c r="AP323" s="300">
        <f ca="1">BV!K323</f>
        <v>68.349999999999994</v>
      </c>
      <c r="AQ323" s="300">
        <f ca="1">BV!S323</f>
        <v>68.599999999999994</v>
      </c>
      <c r="AR323" s="301">
        <f ca="1">BV!AA323</f>
        <v>69.28</v>
      </c>
      <c r="AS323" s="301">
        <f ca="1">BV!AI323</f>
        <v>72.17</v>
      </c>
      <c r="AT323" s="301">
        <f ca="1">BV!AQ323</f>
        <v>72.5</v>
      </c>
      <c r="AU323" s="301">
        <f ca="1">BV!AY323</f>
        <v>73.09</v>
      </c>
      <c r="AV323" s="301">
        <f ca="1">BV!BG323</f>
        <v>73.41</v>
      </c>
      <c r="AW323" s="302">
        <f ca="1">BV!BO323</f>
        <v>74.010000000000005</v>
      </c>
      <c r="AX323" s="302">
        <f ca="1">BV!BW323</f>
        <v>74.739999999999995</v>
      </c>
      <c r="AY323" s="15" t="s">
        <v>65</v>
      </c>
      <c r="AZ323" s="258">
        <f t="shared" si="159"/>
        <v>1.7317208888843949</v>
      </c>
      <c r="BA323" s="261">
        <v>1.8547232285999998E-2</v>
      </c>
      <c r="BB323" s="268">
        <v>0.16779560557600004</v>
      </c>
      <c r="BC323" s="268">
        <f t="shared" si="160"/>
        <v>0.11053467236124583</v>
      </c>
      <c r="BD323" s="269">
        <f ca="1">IF(BV!H323="","",INT(NOW()-BV!H323))</f>
        <v>82</v>
      </c>
      <c r="BE323" s="260">
        <f t="shared" si="161"/>
        <v>7.342778784562646</v>
      </c>
      <c r="BF323" s="298">
        <f ca="1">BV!G323</f>
        <v>63.60681804875454</v>
      </c>
      <c r="BG323" s="299">
        <f ca="1">BV!O323</f>
        <v>59.856779701767664</v>
      </c>
      <c r="BH323" s="299">
        <f ca="1">BV!W323</f>
        <v>59.486420056541071</v>
      </c>
      <c r="BI323" s="299">
        <f ca="1">BV!AE323</f>
        <v>58.497248092081271</v>
      </c>
      <c r="BJ323" s="300">
        <f ca="1">BV!AM323</f>
        <v>54.571065214678747</v>
      </c>
      <c r="BK323" s="300">
        <f ca="1">BV!AU323</f>
        <v>54.149471097460065</v>
      </c>
      <c r="BL323" s="300">
        <f ca="1">BV!BC323</f>
        <v>53.408489448435091</v>
      </c>
      <c r="BM323" s="300">
        <f ca="1">BV!BK323</f>
        <v>53.013313429678036</v>
      </c>
      <c r="BN323" s="300">
        <f ca="1">BV!BS323</f>
        <v>52.284762913993418</v>
      </c>
      <c r="BO323" s="300">
        <f ca="1">BV!CA323</f>
        <v>51.419585477655509</v>
      </c>
      <c r="BP323" s="433">
        <v>181</v>
      </c>
      <c r="BQ323" s="11">
        <f ca="1">IFERROR(YEAR(OFFSET(BV!$H323,,(COLUMN()-69)*8)),"")</f>
        <v>2020</v>
      </c>
      <c r="BR323" s="11">
        <f ca="1">IFERROR(YEAR(OFFSET(BV!$H323,,(COLUMN()-69)*8)),"")</f>
        <v>2020</v>
      </c>
      <c r="BS323" s="11">
        <f ca="1">IFERROR(YEAR(OFFSET(BV!$H323,,(COLUMN()-69)*8)),"")</f>
        <v>2020</v>
      </c>
      <c r="BT323" s="11">
        <f ca="1">IFERROR(YEAR(OFFSET(BV!$H323,,(COLUMN()-69)*8)),"")</f>
        <v>2020</v>
      </c>
      <c r="BU323" s="11">
        <f ca="1">IFERROR(YEAR(OFFSET(BV!$H323,,(COLUMN()-69)*8)),"")</f>
        <v>2020</v>
      </c>
      <c r="BV323" s="11">
        <f ca="1">IFERROR(YEAR(OFFSET(BV!$H323,,(COLUMN()-69)*8)),"")</f>
        <v>2020</v>
      </c>
      <c r="BW323" s="11">
        <f ca="1">IFERROR(YEAR(OFFSET(BV!$H323,,(COLUMN()-69)*8)),"")</f>
        <v>2020</v>
      </c>
      <c r="BX323" s="11">
        <f ca="1">IFERROR(YEAR(OFFSET(BV!$H323,,(COLUMN()-69)*8)),"")</f>
        <v>2020</v>
      </c>
      <c r="BY323" s="11">
        <f ca="1">IFERROR(YEAR(OFFSET(BV!$H323,,(COLUMN()-69)*8)),"")</f>
        <v>2020</v>
      </c>
      <c r="BZ323" s="11">
        <f ca="1">IFERROR(YEAR(OFFSET(BV!$H323,,(COLUMN()-69)*8)),"")</f>
        <v>2020</v>
      </c>
    </row>
    <row r="324" spans="1:78" x14ac:dyDescent="0.25">
      <c r="A324" s="433">
        <v>182</v>
      </c>
      <c r="B324" s="299">
        <f ca="1">BV!D324</f>
        <v>2.4604569420035149</v>
      </c>
      <c r="C324" s="299">
        <f ca="1">BV!L324</f>
        <v>2.431204915842907</v>
      </c>
      <c r="D324" s="299">
        <f ca="1">BV!T324</f>
        <v>2.4266666666666667</v>
      </c>
      <c r="E324" s="299">
        <f ca="1">BV!AB324</f>
        <v>2.3950519805237533</v>
      </c>
      <c r="F324" s="299">
        <f ca="1">BV!AJ324</f>
        <v>2.3947368421052633</v>
      </c>
      <c r="G324" s="299">
        <f ca="1">BV!AR324</f>
        <v>2.3856337658933016</v>
      </c>
      <c r="H324" s="299">
        <f ca="1">BV!AZ324</f>
        <v>2.3471756512767601</v>
      </c>
      <c r="I324" s="299">
        <f ca="1">BV!BH324</f>
        <v>2.3468729851708576</v>
      </c>
      <c r="J324" s="299">
        <f ca="1">BV!BP324</f>
        <v>2.3300473690948662</v>
      </c>
      <c r="K324" s="299">
        <f ca="1">BV!BX324</f>
        <v>2.3193577163247103</v>
      </c>
      <c r="L324" s="15" t="s">
        <v>102</v>
      </c>
      <c r="M324" s="261">
        <v>1.8109697912000001E-2</v>
      </c>
      <c r="N324" s="282">
        <f t="shared" ca="1" si="157"/>
        <v>7.4309509912458473</v>
      </c>
      <c r="O324" s="24" t="s">
        <v>26</v>
      </c>
      <c r="P324" s="1">
        <f ca="1">COUNTIFS(OFFSET(Arb!$I$2,Arb!$AJ$36+Arb!$AJ$37,,Arb!$AJ$38,),"&gt;=160",OFFSET(Arb!$I$2,Arb!$AJ$36+Arb!$AJ$37,,Arb!$AJ$38,),"&lt;=169",OFFSET(Arb!$AI$2,Arb!$AJ$36+Arb!$AJ$37,,Arb!$AJ$38,),"TRUE")</f>
        <v>188</v>
      </c>
      <c r="Q324" s="341">
        <f>SUM(M302:M311)</f>
        <v>0.18793569771599997</v>
      </c>
      <c r="R324" s="341">
        <f t="shared" ca="1" si="168"/>
        <v>0.18129218900675023</v>
      </c>
      <c r="S324" s="342">
        <f t="shared" ca="1" si="162"/>
        <v>0.96465009686829639</v>
      </c>
      <c r="T324" s="469">
        <f ca="1">Arb!AK$35/ASB!P324</f>
        <v>1.3510638297872339</v>
      </c>
      <c r="U324" s="38">
        <f t="shared" ca="1" si="163"/>
        <v>0.74015748031496065</v>
      </c>
      <c r="V324" s="30">
        <f t="shared" ca="1" si="169"/>
        <v>292.89682539682536</v>
      </c>
      <c r="W324" s="337"/>
      <c r="X324" s="84">
        <f ca="1">MIN($BD302:$BD311)</f>
        <v>13</v>
      </c>
      <c r="Y324" s="84">
        <f ca="1">AVERAGE($BD302:$BD311)</f>
        <v>157.4</v>
      </c>
      <c r="Z324" s="84">
        <f ca="1">MAX($BD302:$BD311)</f>
        <v>276</v>
      </c>
      <c r="AA324" s="620">
        <f ca="1">LARGE(QG!AD$2:AD$201,AG324)</f>
        <v>44177.156999999999</v>
      </c>
      <c r="AB324" s="620"/>
      <c r="AC324" s="11">
        <f ca="1">INDEX(QG!W$2:W$201,AH324)</f>
        <v>165</v>
      </c>
      <c r="AD324" s="597">
        <f ca="1">INDEX(QG!X$2:X$201,AH324)</f>
        <v>69.09</v>
      </c>
      <c r="AE324" s="597"/>
      <c r="AF324" s="11">
        <f ca="1">INDEX(QG!Y$2:Y$201,AH324)</f>
        <v>2.3881893182805034</v>
      </c>
      <c r="AG324" s="11">
        <v>2</v>
      </c>
      <c r="AH324" s="1">
        <f ca="1">MATCH(AA324,QG!AD$2:AD$201,0)</f>
        <v>156</v>
      </c>
      <c r="AI324" s="589">
        <f t="shared" ref="AI324:AI332" ca="1" si="170">435.001/(AD324^1.7/AC324)</f>
        <v>53.575763889923095</v>
      </c>
      <c r="AJ324" s="589"/>
      <c r="AL324" s="315"/>
      <c r="AM324" s="315"/>
      <c r="AN324" s="433">
        <v>182</v>
      </c>
      <c r="AO324" s="301">
        <f ca="1">BV!C324</f>
        <v>73.97</v>
      </c>
      <c r="AP324" s="302">
        <f ca="1">BV!K324</f>
        <v>74.86</v>
      </c>
      <c r="AQ324" s="302">
        <f ca="1">BV!S324</f>
        <v>75</v>
      </c>
      <c r="AR324" s="302">
        <f ca="1">BV!AA324</f>
        <v>75.989999999999995</v>
      </c>
      <c r="AS324" s="302">
        <f ca="1">BV!AI324</f>
        <v>76</v>
      </c>
      <c r="AT324" s="302">
        <f ca="1">BV!AQ324</f>
        <v>76.290000000000006</v>
      </c>
      <c r="AU324" s="302">
        <f ca="1">BV!AY324</f>
        <v>77.540000000000006</v>
      </c>
      <c r="AV324" s="302">
        <f ca="1">BV!BG324</f>
        <v>77.55</v>
      </c>
      <c r="AW324" s="302">
        <f ca="1">BV!BO324</f>
        <v>78.11</v>
      </c>
      <c r="AX324" s="302">
        <f ca="1">BV!BW324</f>
        <v>78.47</v>
      </c>
      <c r="AY324" s="15" t="s">
        <v>65</v>
      </c>
      <c r="AZ324" s="258">
        <f t="shared" si="159"/>
        <v>1.7420887940948691</v>
      </c>
      <c r="BA324" s="261">
        <v>1.8109697912000001E-2</v>
      </c>
      <c r="BB324" s="268">
        <v>0.16779560557600004</v>
      </c>
      <c r="BC324" s="268">
        <f t="shared" si="160"/>
        <v>0.10792712866248177</v>
      </c>
      <c r="BD324" s="269">
        <f ca="1">IF(BV!H324="","",INT(NOW()-BV!H324))</f>
        <v>159</v>
      </c>
      <c r="BE324" s="260">
        <f t="shared" si="161"/>
        <v>7.4309509912458473</v>
      </c>
      <c r="BF324" s="300">
        <f ca="1">BV!G324</f>
        <v>52.621968650037431</v>
      </c>
      <c r="BG324" s="300">
        <f ca="1">BV!O324</f>
        <v>51.562853653386874</v>
      </c>
      <c r="BH324" s="300">
        <f ca="1">BV!W324</f>
        <v>51.399334453493985</v>
      </c>
      <c r="BI324" s="300">
        <f ca="1">BV!AE324</f>
        <v>50.266157495497829</v>
      </c>
      <c r="BJ324" s="300">
        <f ca="1">BV!AM324</f>
        <v>50.254914267553161</v>
      </c>
      <c r="BK324" s="301">
        <f ca="1">BV!AU324</f>
        <v>49.930590012678053</v>
      </c>
      <c r="BL324" s="301">
        <f ca="1">BV!BC324</f>
        <v>48.569964827708588</v>
      </c>
      <c r="BM324" s="301">
        <f ca="1">BV!BK324</f>
        <v>48.559318120597872</v>
      </c>
      <c r="BN324" s="301">
        <f ca="1">BV!BS324</f>
        <v>47.968966216466349</v>
      </c>
      <c r="BO324" s="301">
        <f ca="1">BV!CA324</f>
        <v>47.59544962605348</v>
      </c>
      <c r="BP324" s="433">
        <v>182</v>
      </c>
      <c r="BQ324" s="11">
        <f ca="1">IFERROR(YEAR(OFFSET(BV!$H324,,(COLUMN()-69)*8)),"")</f>
        <v>2020</v>
      </c>
      <c r="BR324" s="11">
        <f ca="1">IFERROR(YEAR(OFFSET(BV!$H324,,(COLUMN()-69)*8)),"")</f>
        <v>2019</v>
      </c>
      <c r="BS324" s="11">
        <f ca="1">IFERROR(YEAR(OFFSET(BV!$H324,,(COLUMN()-69)*8)),"")</f>
        <v>2020</v>
      </c>
      <c r="BT324" s="11">
        <f ca="1">IFERROR(YEAR(OFFSET(BV!$H324,,(COLUMN()-69)*8)),"")</f>
        <v>2020</v>
      </c>
      <c r="BU324" s="11">
        <f ca="1">IFERROR(YEAR(OFFSET(BV!$H324,,(COLUMN()-69)*8)),"")</f>
        <v>2019</v>
      </c>
      <c r="BV324" s="11">
        <f ca="1">IFERROR(YEAR(OFFSET(BV!$H324,,(COLUMN()-69)*8)),"")</f>
        <v>2020</v>
      </c>
      <c r="BW324" s="11">
        <f ca="1">IFERROR(YEAR(OFFSET(BV!$H324,,(COLUMN()-69)*8)),"")</f>
        <v>2020</v>
      </c>
      <c r="BX324" s="11">
        <f ca="1">IFERROR(YEAR(OFFSET(BV!$H324,,(COLUMN()-69)*8)),"")</f>
        <v>2019</v>
      </c>
      <c r="BY324" s="11">
        <f ca="1">IFERROR(YEAR(OFFSET(BV!$H324,,(COLUMN()-69)*8)),"")</f>
        <v>2020</v>
      </c>
      <c r="BZ324" s="11">
        <f ca="1">IFERROR(YEAR(OFFSET(BV!$H324,,(COLUMN()-69)*8)),"")</f>
        <v>2020</v>
      </c>
    </row>
    <row r="325" spans="1:78" x14ac:dyDescent="0.25">
      <c r="A325" s="433">
        <v>183</v>
      </c>
      <c r="B325" s="298">
        <f ca="1">BV!D325</f>
        <v>2.5924351891202719</v>
      </c>
      <c r="C325" s="298">
        <f ca="1">BV!L325</f>
        <v>2.5199669512530982</v>
      </c>
      <c r="D325" s="299">
        <f ca="1">BV!T325</f>
        <v>2.4445631846112743</v>
      </c>
      <c r="E325" s="299">
        <f ca="1">BV!AB325</f>
        <v>2.4012596772077157</v>
      </c>
      <c r="F325" s="299">
        <f ca="1">BV!AJ325</f>
        <v>2.3606811145510838</v>
      </c>
      <c r="G325" s="299">
        <f ca="1">BV!AR325</f>
        <v>2.3524874662553024</v>
      </c>
      <c r="H325" s="299">
        <f ca="1">BV!AZ325</f>
        <v>2.3232194998095723</v>
      </c>
      <c r="I325" s="299">
        <f ca="1">BV!BH325</f>
        <v>2.314112291350531</v>
      </c>
      <c r="J325" s="299">
        <f ca="1">BV!BP325</f>
        <v>2.2992838296268374</v>
      </c>
      <c r="K325" s="299">
        <f ca="1">BV!BX325</f>
        <v>2.2926584815835631</v>
      </c>
      <c r="L325" s="15" t="s">
        <v>102</v>
      </c>
      <c r="M325" s="261">
        <v>1.7639506837999998E-2</v>
      </c>
      <c r="N325" s="282">
        <f t="shared" ca="1" si="157"/>
        <v>7.5293377739050991</v>
      </c>
      <c r="O325" s="24" t="s">
        <v>27</v>
      </c>
      <c r="P325" s="1">
        <f ca="1">COUNTIFS(OFFSET(Arb!$I$2,Arb!$AJ$36+Arb!$AJ$37,,Arb!$AJ$38,),"&gt;=170",OFFSET(Arb!$I$2,Arb!$AJ$36+Arb!$AJ$37,,Arb!$AJ$38,),"&lt;=179",OFFSET(Arb!$AI$2,Arb!$AJ$36+Arb!$AJ$37,,Arb!$AJ$38,),"TRUE")</f>
        <v>211</v>
      </c>
      <c r="Q325" s="341">
        <f>SUM(M312:M321)</f>
        <v>0.20163106555899996</v>
      </c>
      <c r="R325" s="341">
        <f t="shared" ca="1" si="168"/>
        <v>0.20347155255544841</v>
      </c>
      <c r="S325" s="342">
        <f t="shared" ca="1" si="162"/>
        <v>1.0091279932055406</v>
      </c>
      <c r="T325" s="469">
        <f ca="1">Arb!AK$35/ASB!P325</f>
        <v>1.2037914691943128</v>
      </c>
      <c r="U325" s="38">
        <f t="shared" ca="1" si="163"/>
        <v>0.8307086614173228</v>
      </c>
      <c r="V325" s="30">
        <f t="shared" ca="1" si="169"/>
        <v>292.89682539682536</v>
      </c>
      <c r="W325" s="337"/>
      <c r="X325" s="84">
        <f ca="1">MIN($BD312:$BD321)</f>
        <v>96</v>
      </c>
      <c r="Y325" s="84">
        <f ca="1">AVERAGE($BD312:$BD321)</f>
        <v>159.6</v>
      </c>
      <c r="Z325" s="84">
        <f ca="1">MAX($BD312:$BD321)</f>
        <v>283</v>
      </c>
      <c r="AA325" s="620">
        <f ca="1">LARGE(QG!AD$2:AD$201,AG325)</f>
        <v>44177.093999999997</v>
      </c>
      <c r="AB325" s="620"/>
      <c r="AC325" s="11">
        <f ca="1">INDEX(QG!W$2:W$201,AH325)</f>
        <v>125</v>
      </c>
      <c r="AD325" s="597">
        <f ca="1">INDEX(QG!X$2:X$201,AH325)</f>
        <v>57.36</v>
      </c>
      <c r="AE325" s="597"/>
      <c r="AF325" s="11">
        <f ca="1">INDEX(QG!Y$2:Y$201,AH325)</f>
        <v>2.179218967921897</v>
      </c>
      <c r="AG325" s="11">
        <v>3</v>
      </c>
      <c r="AH325" s="1">
        <f ca="1">MATCH(AA325,QG!AD$2:AD$201,0)</f>
        <v>93</v>
      </c>
      <c r="AI325" s="589">
        <f t="shared" ca="1" si="170"/>
        <v>55.688398152649079</v>
      </c>
      <c r="AJ325" s="589"/>
      <c r="AL325" s="315"/>
      <c r="AM325" s="315"/>
      <c r="AN325" s="433">
        <v>183</v>
      </c>
      <c r="AO325" s="301">
        <f ca="1">BV!C325</f>
        <v>70.59</v>
      </c>
      <c r="AP325" s="301">
        <f ca="1">BV!K325</f>
        <v>72.62</v>
      </c>
      <c r="AQ325" s="302">
        <f ca="1">BV!S325</f>
        <v>74.86</v>
      </c>
      <c r="AR325" s="302">
        <f ca="1">BV!AA325</f>
        <v>76.209999999999994</v>
      </c>
      <c r="AS325" s="302">
        <f ca="1">BV!AI325</f>
        <v>77.52</v>
      </c>
      <c r="AT325" s="302">
        <f ca="1">BV!AQ325</f>
        <v>77.790000000000006</v>
      </c>
      <c r="AU325" s="302">
        <f ca="1">BV!AY325</f>
        <v>78.77</v>
      </c>
      <c r="AV325" s="660">
        <f ca="1">BV!BG325</f>
        <v>79.08</v>
      </c>
      <c r="AW325" s="660">
        <f ca="1">BV!BO325</f>
        <v>79.59</v>
      </c>
      <c r="AX325" s="660">
        <f ca="1">BV!BW325</f>
        <v>79.819999999999993</v>
      </c>
      <c r="AY325" s="15" t="s">
        <v>65</v>
      </c>
      <c r="AZ325" s="258">
        <f t="shared" si="159"/>
        <v>1.7535135609575565</v>
      </c>
      <c r="BA325" s="261">
        <v>1.7639506837999998E-2</v>
      </c>
      <c r="BB325" s="268">
        <v>0.16779560557600004</v>
      </c>
      <c r="BC325" s="268">
        <f t="shared" si="160"/>
        <v>0.10512496306114821</v>
      </c>
      <c r="BD325" s="269">
        <f ca="1">IF(BV!H325="","",INT(NOW()-BV!H325))</f>
        <v>175</v>
      </c>
      <c r="BE325" s="260">
        <f t="shared" si="161"/>
        <v>7.5293377739050991</v>
      </c>
      <c r="BF325" s="299">
        <f ca="1">BV!G325</f>
        <v>57.289883069224437</v>
      </c>
      <c r="BG325" s="300">
        <f ca="1">BV!O325</f>
        <v>54.594102309192145</v>
      </c>
      <c r="BH325" s="300">
        <f ca="1">BV!W325</f>
        <v>51.846166036097785</v>
      </c>
      <c r="BI325" s="300">
        <f ca="1">BV!AE325</f>
        <v>50.294559676198098</v>
      </c>
      <c r="BJ325" s="301">
        <f ca="1">BV!AM325</f>
        <v>48.858254363946578</v>
      </c>
      <c r="BK325" s="301">
        <f ca="1">BV!AU325</f>
        <v>48.570316504940898</v>
      </c>
      <c r="BL325" s="301">
        <f ca="1">BV!BC325</f>
        <v>47.547524158342327</v>
      </c>
      <c r="BM325" s="301">
        <f ca="1">BV!BK325</f>
        <v>47.231095831643927</v>
      </c>
      <c r="BN325" s="301">
        <f ca="1">BV!BS325</f>
        <v>46.717746639786064</v>
      </c>
      <c r="BO325" s="301">
        <f ca="1">BV!CA325</f>
        <v>46.489129609376008</v>
      </c>
      <c r="BP325" s="433">
        <v>183</v>
      </c>
      <c r="BQ325" s="11">
        <f ca="1">IFERROR(YEAR(OFFSET(BV!$H325,,(COLUMN()-69)*8)),"")</f>
        <v>2020</v>
      </c>
      <c r="BR325" s="11">
        <f ca="1">IFERROR(YEAR(OFFSET(BV!$H325,,(COLUMN()-69)*8)),"")</f>
        <v>2020</v>
      </c>
      <c r="BS325" s="11">
        <f ca="1">IFERROR(YEAR(OFFSET(BV!$H325,,(COLUMN()-69)*8)),"")</f>
        <v>2020</v>
      </c>
      <c r="BT325" s="11">
        <f ca="1">IFERROR(YEAR(OFFSET(BV!$H325,,(COLUMN()-69)*8)),"")</f>
        <v>2019</v>
      </c>
      <c r="BU325" s="11">
        <f ca="1">IFERROR(YEAR(OFFSET(BV!$H325,,(COLUMN()-69)*8)),"")</f>
        <v>2020</v>
      </c>
      <c r="BV325" s="11">
        <f ca="1">IFERROR(YEAR(OFFSET(BV!$H325,,(COLUMN()-69)*8)),"")</f>
        <v>2020</v>
      </c>
      <c r="BW325" s="11">
        <f ca="1">IFERROR(YEAR(OFFSET(BV!$H325,,(COLUMN()-69)*8)),"")</f>
        <v>2020</v>
      </c>
      <c r="BX325" s="11">
        <f ca="1">IFERROR(YEAR(OFFSET(BV!$H325,,(COLUMN()-69)*8)),"")</f>
        <v>2019</v>
      </c>
      <c r="BY325" s="11">
        <f ca="1">IFERROR(YEAR(OFFSET(BV!$H325,,(COLUMN()-69)*8)),"")</f>
        <v>2020</v>
      </c>
      <c r="BZ325" s="11">
        <f ca="1">IFERROR(YEAR(OFFSET(BV!$H325,,(COLUMN()-69)*8)),"")</f>
        <v>2020</v>
      </c>
    </row>
    <row r="326" spans="1:78" x14ac:dyDescent="0.25">
      <c r="A326" s="433">
        <v>184</v>
      </c>
      <c r="B326" s="298">
        <f ca="1">BV!D326</f>
        <v>2.6345933562428407</v>
      </c>
      <c r="C326" s="298">
        <f ca="1">BV!L326</f>
        <v>2.5516571904035503</v>
      </c>
      <c r="D326" s="299">
        <f ca="1">BV!T326</f>
        <v>2.4851431658562935</v>
      </c>
      <c r="E326" s="299">
        <f ca="1">BV!AB326</f>
        <v>2.4707936081643616</v>
      </c>
      <c r="F326" s="299">
        <f ca="1">BV!AJ326</f>
        <v>2.3751129469472052</v>
      </c>
      <c r="G326" s="299">
        <f ca="1">BV!AR326</f>
        <v>2.3499361430395913</v>
      </c>
      <c r="H326" s="299">
        <f ca="1">BV!AZ326</f>
        <v>2.331474911302585</v>
      </c>
      <c r="I326" s="299">
        <f ca="1">BV!BH326</f>
        <v>2.3165050988291576</v>
      </c>
      <c r="J326" s="299">
        <f ca="1">BV!BP326</f>
        <v>2.313883299798793</v>
      </c>
      <c r="K326" s="299">
        <f ca="1">BV!BX326</f>
        <v>2.2604422604422605</v>
      </c>
      <c r="L326" s="15" t="s">
        <v>102</v>
      </c>
      <c r="M326" s="261">
        <v>1.7139668845999999E-2</v>
      </c>
      <c r="N326" s="282">
        <f t="shared" ca="1" si="157"/>
        <v>7.6383364954128314</v>
      </c>
      <c r="O326" s="24" t="s">
        <v>28</v>
      </c>
      <c r="P326" s="1">
        <f ca="1">COUNTIFS(OFFSET(Arb!$I$2,Arb!$AJ$36+Arb!$AJ$37,,Arb!$AJ$38,),"&gt;=180",OFFSET(Arb!$I$2,Arb!$AJ$36+Arb!$AJ$37,,Arb!$AJ$38,),"&lt;=189",OFFSET(Arb!$AI$2,Arb!$AJ$36+Arb!$AJ$37,,Arb!$AJ$38,),"TRUE")</f>
        <v>164</v>
      </c>
      <c r="Q326" s="341">
        <f>SUM(M322:M331)</f>
        <v>0.16779560557600004</v>
      </c>
      <c r="R326" s="341">
        <f t="shared" ca="1" si="168"/>
        <v>0.15814850530376084</v>
      </c>
      <c r="S326" s="342">
        <f t="shared" ca="1" si="162"/>
        <v>0.94250683598582252</v>
      </c>
      <c r="T326" s="469">
        <f ca="1">Arb!AK$35/ASB!P326</f>
        <v>1.5487804878048781</v>
      </c>
      <c r="U326" s="38">
        <f t="shared" ca="1" si="163"/>
        <v>0.64566929133858264</v>
      </c>
      <c r="V326" s="30">
        <f t="shared" ca="1" si="169"/>
        <v>291.89682539682536</v>
      </c>
      <c r="W326" s="337"/>
      <c r="X326" s="84">
        <f ca="1">MIN($BD322:$BD331)</f>
        <v>31</v>
      </c>
      <c r="Y326" s="84">
        <f ca="1">AVERAGE($BD322:$BD331)</f>
        <v>121.1</v>
      </c>
      <c r="Z326" s="84">
        <f ca="1">MAX($BD322:$BD331)</f>
        <v>226</v>
      </c>
      <c r="AA326" s="620">
        <f ca="1">LARGE(QG!AD$2:AD$201,AG326)</f>
        <v>44177.025999999998</v>
      </c>
      <c r="AB326" s="620"/>
      <c r="AC326" s="11">
        <f ca="1">INDEX(QG!W$2:W$201,AH326)</f>
        <v>181</v>
      </c>
      <c r="AD326" s="597">
        <f ca="1">INDEX(QG!X$2:X$201,AH326)</f>
        <v>68.349999999999994</v>
      </c>
      <c r="AE326" s="597"/>
      <c r="AF326" s="11">
        <f ca="1">INDEX(QG!Y$2:Y$201,AH326)</f>
        <v>2.6481346013167522</v>
      </c>
      <c r="AG326" s="11">
        <v>4</v>
      </c>
      <c r="AH326" s="1">
        <f ca="1">MATCH(AA326,QG!AD$2:AD$201,0)</f>
        <v>25</v>
      </c>
      <c r="AI326" s="589">
        <f t="shared" ca="1" si="170"/>
        <v>59.856779701767664</v>
      </c>
      <c r="AJ326" s="589"/>
      <c r="AL326" s="315"/>
      <c r="AM326" s="315"/>
      <c r="AN326" s="433">
        <v>184</v>
      </c>
      <c r="AO326" s="301">
        <f ca="1">BV!C326</f>
        <v>69.84</v>
      </c>
      <c r="AP326" s="301">
        <f ca="1">BV!K326</f>
        <v>72.11</v>
      </c>
      <c r="AQ326" s="302">
        <f ca="1">BV!S326</f>
        <v>74.040000000000006</v>
      </c>
      <c r="AR326" s="302">
        <f ca="1">BV!AA326</f>
        <v>74.47</v>
      </c>
      <c r="AS326" s="302">
        <f ca="1">BV!AI326</f>
        <v>77.47</v>
      </c>
      <c r="AT326" s="302">
        <f ca="1">BV!AQ326</f>
        <v>78.3</v>
      </c>
      <c r="AU326" s="302">
        <f ca="1">BV!AY326</f>
        <v>78.92</v>
      </c>
      <c r="AV326" s="660">
        <f ca="1">BV!BG326</f>
        <v>79.430000000000007</v>
      </c>
      <c r="AW326" s="660">
        <f ca="1">BV!BO326</f>
        <v>79.52</v>
      </c>
      <c r="AX326" s="660">
        <f ca="1">BV!BW326</f>
        <v>81.400000000000006</v>
      </c>
      <c r="AY326" s="15" t="s">
        <v>65</v>
      </c>
      <c r="AZ326" s="258">
        <f t="shared" si="159"/>
        <v>1.7659975732963797</v>
      </c>
      <c r="BA326" s="261">
        <v>1.7139668845999999E-2</v>
      </c>
      <c r="BB326" s="268">
        <v>0.16779560557600004</v>
      </c>
      <c r="BC326" s="268">
        <f t="shared" si="160"/>
        <v>0.10214611274928109</v>
      </c>
      <c r="BD326" s="269">
        <f ca="1">IF(BV!H326="","",INT(NOW()-BV!H326))</f>
        <v>120</v>
      </c>
      <c r="BE326" s="260">
        <f t="shared" si="161"/>
        <v>7.6383364954128323</v>
      </c>
      <c r="BF326" s="299">
        <f ca="1">BV!G326</f>
        <v>58.658490955304408</v>
      </c>
      <c r="BG326" s="300">
        <f ca="1">BV!O326</f>
        <v>55.554051347080467</v>
      </c>
      <c r="BH326" s="300">
        <f ca="1">BV!W326</f>
        <v>53.114754833125403</v>
      </c>
      <c r="BI326" s="300">
        <f ca="1">BV!AE326</f>
        <v>52.594432914616903</v>
      </c>
      <c r="BJ326" s="301">
        <f ca="1">BV!AM326</f>
        <v>49.179151694762417</v>
      </c>
      <c r="BK326" s="301">
        <f ca="1">BV!AU326</f>
        <v>48.296213515010699</v>
      </c>
      <c r="BL326" s="301">
        <f ca="1">BV!BC326</f>
        <v>47.65297819342635</v>
      </c>
      <c r="BM326" s="301">
        <f ca="1">BV!BK326</f>
        <v>47.134002662275897</v>
      </c>
      <c r="BN326" s="301">
        <f ca="1">BV!BS326</f>
        <v>47.043350682713431</v>
      </c>
      <c r="BO326" s="301">
        <f ca="1">BV!CA326</f>
        <v>45.211257855753338</v>
      </c>
      <c r="BP326" s="433">
        <v>184</v>
      </c>
      <c r="BQ326" s="11">
        <f ca="1">IFERROR(YEAR(OFFSET(BV!$H326,,(COLUMN()-69)*8)),"")</f>
        <v>2020</v>
      </c>
      <c r="BR326" s="11">
        <f ca="1">IFERROR(YEAR(OFFSET(BV!$H326,,(COLUMN()-69)*8)),"")</f>
        <v>2020</v>
      </c>
      <c r="BS326" s="11">
        <f ca="1">IFERROR(YEAR(OFFSET(BV!$H326,,(COLUMN()-69)*8)),"")</f>
        <v>2020</v>
      </c>
      <c r="BT326" s="11">
        <f ca="1">IFERROR(YEAR(OFFSET(BV!$H326,,(COLUMN()-69)*8)),"")</f>
        <v>2020</v>
      </c>
      <c r="BU326" s="11">
        <f ca="1">IFERROR(YEAR(OFFSET(BV!$H326,,(COLUMN()-69)*8)),"")</f>
        <v>2019</v>
      </c>
      <c r="BV326" s="11">
        <f ca="1">IFERROR(YEAR(OFFSET(BV!$H326,,(COLUMN()-69)*8)),"")</f>
        <v>2020</v>
      </c>
      <c r="BW326" s="11">
        <f ca="1">IFERROR(YEAR(OFFSET(BV!$H326,,(COLUMN()-69)*8)),"")</f>
        <v>2020</v>
      </c>
      <c r="BX326" s="11">
        <f ca="1">IFERROR(YEAR(OFFSET(BV!$H326,,(COLUMN()-69)*8)),"")</f>
        <v>2020</v>
      </c>
      <c r="BY326" s="11">
        <f ca="1">IFERROR(YEAR(OFFSET(BV!$H326,,(COLUMN()-69)*8)),"")</f>
        <v>2020</v>
      </c>
      <c r="BZ326" s="11">
        <f ca="1">IFERROR(YEAR(OFFSET(BV!$H326,,(COLUMN()-69)*8)),"")</f>
        <v>2020</v>
      </c>
    </row>
    <row r="327" spans="1:78" x14ac:dyDescent="0.25">
      <c r="A327" s="433">
        <v>185</v>
      </c>
      <c r="B327" s="298">
        <f ca="1">BV!D327</f>
        <v>2.5783972125435541</v>
      </c>
      <c r="C327" s="298">
        <f ca="1">BV!L327</f>
        <v>2.5098358431691765</v>
      </c>
      <c r="D327" s="298">
        <f ca="1">BV!T327</f>
        <v>2.5077944964077541</v>
      </c>
      <c r="E327" s="299">
        <f ca="1">BV!AB327</f>
        <v>2.463382157123835</v>
      </c>
      <c r="F327" s="299">
        <f ca="1">BV!AJ327</f>
        <v>2.4399894486942761</v>
      </c>
      <c r="G327" s="299">
        <f ca="1">BV!AR327</f>
        <v>2.4259113558877523</v>
      </c>
      <c r="H327" s="299">
        <f ca="1">BV!AZ327</f>
        <v>2.4110517398670663</v>
      </c>
      <c r="I327" s="299">
        <f ca="1">BV!BH327</f>
        <v>2.4069737184491284</v>
      </c>
      <c r="J327" s="299">
        <f ca="1">BV!BP327</f>
        <v>2.3843278773037762</v>
      </c>
      <c r="K327" s="299">
        <f ca="1">BV!BX327</f>
        <v>2.3533901539244373</v>
      </c>
      <c r="L327" s="15" t="s">
        <v>102</v>
      </c>
      <c r="M327" s="261">
        <v>1.6613608790000001E-2</v>
      </c>
      <c r="N327" s="282">
        <f t="shared" ca="1" si="157"/>
        <v>7.7583257451478289</v>
      </c>
      <c r="O327" s="24" t="s">
        <v>29</v>
      </c>
      <c r="P327" s="1">
        <f ca="1">COUNTIFS(OFFSET(Arb!$I$2,Arb!$AJ$36+Arb!$AJ$37,,Arb!$AJ$38,),"&gt;=190",OFFSET(Arb!$I$2,Arb!$AJ$36+Arb!$AJ$37,,Arb!$AJ$38,),"&lt;=199",OFFSET(Arb!$AI$2,Arb!$AJ$36+Arb!$AJ$37,,Arb!$AJ$38,),"TRUE")</f>
        <v>102</v>
      </c>
      <c r="Q327" s="341">
        <f>SUM(M332:M341)</f>
        <v>0.11014232450500001</v>
      </c>
      <c r="R327" s="341">
        <f t="shared" ca="1" si="168"/>
        <v>9.8360655737704916E-2</v>
      </c>
      <c r="S327" s="342">
        <f t="shared" ca="1" si="162"/>
        <v>0.89303232140556232</v>
      </c>
      <c r="T327" s="469">
        <f ca="1">Arb!AK$35/ASB!P327</f>
        <v>2.4901960784313726</v>
      </c>
      <c r="U327" s="38">
        <f t="shared" ca="1" si="163"/>
        <v>0.40157480314960631</v>
      </c>
      <c r="V327" s="30">
        <f t="shared" ca="1" si="169"/>
        <v>275.98412698412699</v>
      </c>
      <c r="W327" s="337"/>
      <c r="X327" s="84">
        <f ca="1">MIN($BD332:$BD341)</f>
        <v>91</v>
      </c>
      <c r="Y327" s="84">
        <f ca="1">AVERAGE($BD332:$BD341)</f>
        <v>192.3</v>
      </c>
      <c r="Z327" s="84">
        <f ca="1">MAX($BD332:$BD341)</f>
        <v>383</v>
      </c>
      <c r="AA327" s="620">
        <f ca="1">LARGE(QG!AD$2:AD$201,AG327)</f>
        <v>44167.141000000003</v>
      </c>
      <c r="AB327" s="620"/>
      <c r="AC327" s="11">
        <f ca="1">INDEX(QG!W$2:W$201,AH327)</f>
        <v>193</v>
      </c>
      <c r="AD327" s="597">
        <f ca="1">INDEX(QG!X$2:X$201,AH327)</f>
        <v>75.45</v>
      </c>
      <c r="AE327" s="597"/>
      <c r="AF327" s="11">
        <f ca="1">INDEX(QG!Y$2:Y$201,AH327)</f>
        <v>2.5579854208084822</v>
      </c>
      <c r="AG327" s="11">
        <v>5</v>
      </c>
      <c r="AH327" s="1">
        <f ca="1">MATCH(AA327,QG!AD$2:AD$201,0)</f>
        <v>140</v>
      </c>
      <c r="AI327" s="589">
        <f t="shared" ca="1" si="170"/>
        <v>53.954397766405052</v>
      </c>
      <c r="AJ327" s="589"/>
      <c r="AL327" s="315"/>
      <c r="AM327" s="315"/>
      <c r="AN327" s="433">
        <v>185</v>
      </c>
      <c r="AO327" s="301">
        <f ca="1">BV!C327</f>
        <v>71.75</v>
      </c>
      <c r="AP327" s="301">
        <f ca="1">BV!K327</f>
        <v>73.709999999999994</v>
      </c>
      <c r="AQ327" s="301">
        <f ca="1">BV!S327</f>
        <v>73.77</v>
      </c>
      <c r="AR327" s="302">
        <f ca="1">BV!AA327</f>
        <v>75.099999999999994</v>
      </c>
      <c r="AS327" s="302">
        <f ca="1">BV!AI327</f>
        <v>75.819999999999993</v>
      </c>
      <c r="AT327" s="302">
        <f ca="1">BV!AQ327</f>
        <v>76.260000000000005</v>
      </c>
      <c r="AU327" s="302">
        <f ca="1">BV!AY327</f>
        <v>76.73</v>
      </c>
      <c r="AV327" s="302">
        <f ca="1">BV!BG327</f>
        <v>76.86</v>
      </c>
      <c r="AW327" s="302">
        <f ca="1">BV!BO327</f>
        <v>77.59</v>
      </c>
      <c r="AX327" s="302">
        <f ca="1">BV!BW327</f>
        <v>78.61</v>
      </c>
      <c r="AY327" s="15" t="s">
        <v>65</v>
      </c>
      <c r="AZ327" s="258">
        <f t="shared" si="159"/>
        <v>1.7795360203270609</v>
      </c>
      <c r="BA327" s="261">
        <v>1.6613608790000001E-2</v>
      </c>
      <c r="BB327" s="268">
        <v>0.16779560557600004</v>
      </c>
      <c r="BC327" s="268">
        <f t="shared" si="160"/>
        <v>9.9010988595140306E-2</v>
      </c>
      <c r="BD327" s="269">
        <f ca="1">IF(BV!H327="","",INT(NOW()-BV!H327))</f>
        <v>85</v>
      </c>
      <c r="BE327" s="260">
        <f t="shared" si="161"/>
        <v>7.7583257451478298</v>
      </c>
      <c r="BF327" s="299">
        <f ca="1">BV!G327</f>
        <v>56.333241840888178</v>
      </c>
      <c r="BG327" s="300">
        <f ca="1">BV!O327</f>
        <v>53.81050709015696</v>
      </c>
      <c r="BH327" s="300">
        <f ca="1">BV!W327</f>
        <v>53.736125781443576</v>
      </c>
      <c r="BI327" s="300">
        <f ca="1">BV!AE327</f>
        <v>52.12836347345106</v>
      </c>
      <c r="BJ327" s="300">
        <f ca="1">BV!AM327</f>
        <v>51.289628993272409</v>
      </c>
      <c r="BK327" s="300">
        <f ca="1">BV!AU327</f>
        <v>50.78756862264791</v>
      </c>
      <c r="BL327" s="300">
        <f ca="1">BV!BC327</f>
        <v>50.259845218397402</v>
      </c>
      <c r="BM327" s="300">
        <f ca="1">BV!BK327</f>
        <v>50.115415746028418</v>
      </c>
      <c r="BN327" s="301">
        <f ca="1">BV!BS327</f>
        <v>49.316495286461965</v>
      </c>
      <c r="BO327" s="301">
        <f ca="1">BV!CA327</f>
        <v>48.233605841631331</v>
      </c>
      <c r="BP327" s="433">
        <v>185</v>
      </c>
      <c r="BQ327" s="11">
        <f ca="1">IFERROR(YEAR(OFFSET(BV!$H327,,(COLUMN()-69)*8)),"")</f>
        <v>2020</v>
      </c>
      <c r="BR327" s="11">
        <f ca="1">IFERROR(YEAR(OFFSET(BV!$H327,,(COLUMN()-69)*8)),"")</f>
        <v>2020</v>
      </c>
      <c r="BS327" s="11">
        <f ca="1">IFERROR(YEAR(OFFSET(BV!$H327,,(COLUMN()-69)*8)),"")</f>
        <v>2020</v>
      </c>
      <c r="BT327" s="11">
        <f ca="1">IFERROR(YEAR(OFFSET(BV!$H327,,(COLUMN()-69)*8)),"")</f>
        <v>2020</v>
      </c>
      <c r="BU327" s="11">
        <f ca="1">IFERROR(YEAR(OFFSET(BV!$H327,,(COLUMN()-69)*8)),"")</f>
        <v>2019</v>
      </c>
      <c r="BV327" s="11">
        <f ca="1">IFERROR(YEAR(OFFSET(BV!$H327,,(COLUMN()-69)*8)),"")</f>
        <v>2020</v>
      </c>
      <c r="BW327" s="11">
        <f ca="1">IFERROR(YEAR(OFFSET(BV!$H327,,(COLUMN()-69)*8)),"")</f>
        <v>2019</v>
      </c>
      <c r="BX327" s="11">
        <f ca="1">IFERROR(YEAR(OFFSET(BV!$H327,,(COLUMN()-69)*8)),"")</f>
        <v>2019</v>
      </c>
      <c r="BY327" s="11">
        <f ca="1">IFERROR(YEAR(OFFSET(BV!$H327,,(COLUMN()-69)*8)),"")</f>
        <v>2019</v>
      </c>
      <c r="BZ327" s="11">
        <f ca="1">IFERROR(YEAR(OFFSET(BV!$H327,,(COLUMN()-69)*8)),"")</f>
        <v>2020</v>
      </c>
    </row>
    <row r="328" spans="1:78" x14ac:dyDescent="0.25">
      <c r="A328" s="433">
        <v>186</v>
      </c>
      <c r="B328" s="298">
        <f ca="1">BV!D328</f>
        <v>2.5970399329796146</v>
      </c>
      <c r="C328" s="298">
        <f ca="1">BV!L328</f>
        <v>2.5926958461109564</v>
      </c>
      <c r="D328" s="298">
        <f ca="1">BV!T328</f>
        <v>2.5862068965517242</v>
      </c>
      <c r="E328" s="298">
        <f ca="1">BV!AB328</f>
        <v>2.5531914893617023</v>
      </c>
      <c r="F328" s="298">
        <f ca="1">BV!AJ328</f>
        <v>2.5313010342950459</v>
      </c>
      <c r="G328" s="299">
        <f ca="1">BV!AR328</f>
        <v>2.4916275954454119</v>
      </c>
      <c r="H328" s="299">
        <f ca="1">BV!AZ328</f>
        <v>2.4231370505471599</v>
      </c>
      <c r="I328" s="299">
        <f ca="1">BV!BH328</f>
        <v>2.4124513618677046</v>
      </c>
      <c r="J328" s="299">
        <f ca="1">BV!BP328</f>
        <v>2.401239349341596</v>
      </c>
      <c r="K328" s="299">
        <f ca="1">BV!BX328</f>
        <v>2.3416845020773005</v>
      </c>
      <c r="L328" s="15" t="s">
        <v>102</v>
      </c>
      <c r="M328" s="261">
        <v>1.6064966242E-2</v>
      </c>
      <c r="N328" s="282">
        <f t="shared" ca="1" si="157"/>
        <v>7.8896927616470425</v>
      </c>
      <c r="O328" s="24" t="s">
        <v>30</v>
      </c>
      <c r="P328" s="1">
        <f ca="1">COUNTIFS(OFFSET(Arb!$I$2,Arb!$AJ$36+Arb!$AJ$37,,Arb!$AJ$38,),"&gt;=200",OFFSET(Arb!$I$2,Arb!$AJ$36+Arb!$AJ$37,,Arb!$AJ$38,),"&lt;=209",OFFSET(Arb!$AI$2,Arb!$AJ$36+Arb!$AJ$37,,Arb!$AJ$38,),"TRUE")</f>
        <v>51</v>
      </c>
      <c r="Q328" s="341">
        <f>SUM(M342:M351)</f>
        <v>5.7834229239999993E-2</v>
      </c>
      <c r="R328" s="341">
        <f t="shared" ca="1" si="168"/>
        <v>4.9180327868852458E-2</v>
      </c>
      <c r="S328" s="342">
        <f t="shared" ca="1" si="162"/>
        <v>0.85036713577982259</v>
      </c>
      <c r="T328" s="469">
        <f ca="1">Arb!AK$35/ASB!P328</f>
        <v>4.9803921568627452</v>
      </c>
      <c r="U328" s="38">
        <f t="shared" ca="1" si="163"/>
        <v>0.20078740157480315</v>
      </c>
      <c r="V328" s="30">
        <f t="shared" ca="1" si="169"/>
        <v>217.38492063492063</v>
      </c>
      <c r="W328" s="337"/>
      <c r="X328" s="84">
        <f ca="1">MIN($BD342:$BD351)</f>
        <v>39</v>
      </c>
      <c r="Y328" s="84">
        <f ca="1">AVERAGE($BD342:$BD351)</f>
        <v>170.7</v>
      </c>
      <c r="Z328" s="84">
        <f ca="1">MAX($BD342:$BD351)</f>
        <v>326</v>
      </c>
      <c r="AA328" s="620">
        <f ca="1">LARGE(QG!AD$2:AD$201,AG328)</f>
        <v>44167.078999999998</v>
      </c>
      <c r="AB328" s="620"/>
      <c r="AC328" s="11">
        <f ca="1">INDEX(QG!W$2:W$201,AH328)</f>
        <v>214</v>
      </c>
      <c r="AD328" s="597">
        <f ca="1">INDEX(QG!X$2:X$201,AH328)</f>
        <v>78.17</v>
      </c>
      <c r="AE328" s="597"/>
      <c r="AF328" s="11">
        <f ca="1">INDEX(QG!Y$2:Y$201,AH328)</f>
        <v>2.7376231290776514</v>
      </c>
      <c r="AG328" s="11">
        <v>6</v>
      </c>
      <c r="AH328" s="1">
        <f ca="1">MATCH(AA328,QG!AD$2:AD$201,0)</f>
        <v>78</v>
      </c>
      <c r="AI328" s="589">
        <f t="shared" ca="1" si="170"/>
        <v>56.329492483465359</v>
      </c>
      <c r="AJ328" s="589"/>
      <c r="AL328" s="315"/>
      <c r="AM328" s="315"/>
      <c r="AN328" s="433">
        <v>186</v>
      </c>
      <c r="AO328" s="301">
        <f ca="1">BV!C328</f>
        <v>71.62</v>
      </c>
      <c r="AP328" s="301">
        <f ca="1">BV!K328</f>
        <v>71.739999999999995</v>
      </c>
      <c r="AQ328" s="301">
        <f ca="1">BV!S328</f>
        <v>71.92</v>
      </c>
      <c r="AR328" s="301">
        <f ca="1">BV!AA328</f>
        <v>72.849999999999994</v>
      </c>
      <c r="AS328" s="301">
        <f ca="1">BV!AI328</f>
        <v>73.48</v>
      </c>
      <c r="AT328" s="302">
        <f ca="1">BV!AQ328</f>
        <v>74.650000000000006</v>
      </c>
      <c r="AU328" s="302">
        <f ca="1">BV!AY328</f>
        <v>76.760000000000005</v>
      </c>
      <c r="AV328" s="302">
        <f ca="1">BV!BG328</f>
        <v>77.099999999999994</v>
      </c>
      <c r="AW328" s="302">
        <f ca="1">BV!BO328</f>
        <v>77.459999999999994</v>
      </c>
      <c r="AX328" s="660">
        <f ca="1">BV!BW328</f>
        <v>79.430000000000007</v>
      </c>
      <c r="AY328" s="15" t="s">
        <v>65</v>
      </c>
      <c r="AZ328" s="258">
        <f t="shared" si="159"/>
        <v>1.794120182713056</v>
      </c>
      <c r="BA328" s="261">
        <v>1.6064966242E-2</v>
      </c>
      <c r="BB328" s="268">
        <v>0.16779560557600004</v>
      </c>
      <c r="BC328" s="268">
        <f t="shared" si="160"/>
        <v>9.574128110717213E-2</v>
      </c>
      <c r="BD328" s="269">
        <f ca="1">IF(BV!H328="","",INT(NOW()-BV!H328))</f>
        <v>226</v>
      </c>
      <c r="BE328" s="260">
        <f t="shared" si="161"/>
        <v>7.8896927616470416</v>
      </c>
      <c r="BF328" s="299">
        <f ca="1">BV!G328</f>
        <v>56.81262566612984</v>
      </c>
      <c r="BG328" s="299">
        <f ca="1">BV!O328</f>
        <v>56.651167772406289</v>
      </c>
      <c r="BH328" s="299">
        <f ca="1">BV!W328</f>
        <v>56.410343685753162</v>
      </c>
      <c r="BI328" s="300">
        <f ca="1">BV!AE328</f>
        <v>55.191596156974462</v>
      </c>
      <c r="BJ328" s="300">
        <f ca="1">BV!AM328</f>
        <v>54.389572911010141</v>
      </c>
      <c r="BK328" s="300">
        <f ca="1">BV!AU328</f>
        <v>52.94836073719474</v>
      </c>
      <c r="BL328" s="300">
        <f ca="1">BV!BC328</f>
        <v>50.497951076349821</v>
      </c>
      <c r="BM328" s="300">
        <f ca="1">BV!BK328</f>
        <v>50.119964748319326</v>
      </c>
      <c r="BN328" s="301">
        <f ca="1">BV!BS328</f>
        <v>49.724618758024377</v>
      </c>
      <c r="BO328" s="301">
        <f ca="1">BV!CA328</f>
        <v>47.646328778170208</v>
      </c>
      <c r="BP328" s="433">
        <v>186</v>
      </c>
      <c r="BQ328" s="11">
        <f ca="1">IFERROR(YEAR(OFFSET(BV!$H328,,(COLUMN()-69)*8)),"")</f>
        <v>2020</v>
      </c>
      <c r="BR328" s="11">
        <f ca="1">IFERROR(YEAR(OFFSET(BV!$H328,,(COLUMN()-69)*8)),"")</f>
        <v>2020</v>
      </c>
      <c r="BS328" s="11">
        <f ca="1">IFERROR(YEAR(OFFSET(BV!$H328,,(COLUMN()-69)*8)),"")</f>
        <v>2020</v>
      </c>
      <c r="BT328" s="11">
        <f ca="1">IFERROR(YEAR(OFFSET(BV!$H328,,(COLUMN()-69)*8)),"")</f>
        <v>2020</v>
      </c>
      <c r="BU328" s="11">
        <f ca="1">IFERROR(YEAR(OFFSET(BV!$H328,,(COLUMN()-69)*8)),"")</f>
        <v>2020</v>
      </c>
      <c r="BV328" s="11">
        <f ca="1">IFERROR(YEAR(OFFSET(BV!$H328,,(COLUMN()-69)*8)),"")</f>
        <v>2019</v>
      </c>
      <c r="BW328" s="11">
        <f ca="1">IFERROR(YEAR(OFFSET(BV!$H328,,(COLUMN()-69)*8)),"")</f>
        <v>2020</v>
      </c>
      <c r="BX328" s="11">
        <f ca="1">IFERROR(YEAR(OFFSET(BV!$H328,,(COLUMN()-69)*8)),"")</f>
        <v>2020</v>
      </c>
      <c r="BY328" s="11">
        <f ca="1">IFERROR(YEAR(OFFSET(BV!$H328,,(COLUMN()-69)*8)),"")</f>
        <v>2020</v>
      </c>
      <c r="BZ328" s="11">
        <f ca="1">IFERROR(YEAR(OFFSET(BV!$H328,,(COLUMN()-69)*8)),"")</f>
        <v>2020</v>
      </c>
    </row>
    <row r="329" spans="1:78" x14ac:dyDescent="0.25">
      <c r="A329" s="433">
        <v>187</v>
      </c>
      <c r="B329" s="298">
        <f ca="1">BV!D329</f>
        <v>2.6767821356999715</v>
      </c>
      <c r="C329" s="298">
        <f ca="1">BV!L329</f>
        <v>2.6479750778816196</v>
      </c>
      <c r="D329" s="298">
        <f ca="1">BV!T329</f>
        <v>2.6095450739603687</v>
      </c>
      <c r="E329" s="299">
        <f ca="1">BV!AB329</f>
        <v>2.4070021881838075</v>
      </c>
      <c r="F329" s="299">
        <f ca="1">BV!AJ329</f>
        <v>2.3888605007664792</v>
      </c>
      <c r="G329" s="299">
        <f ca="1">BV!AR329</f>
        <v>2.3758099352051838</v>
      </c>
      <c r="H329" s="299">
        <f ca="1">BV!AZ329</f>
        <v>2.3192360163710779</v>
      </c>
      <c r="I329" s="299">
        <f ca="1">BV!BH329</f>
        <v>2.2922284873743566</v>
      </c>
      <c r="J329" s="300">
        <f ca="1">BV!BP329</f>
        <v>2.1873903380512343</v>
      </c>
      <c r="K329" s="300">
        <f ca="1">BV!BX329</f>
        <v>2.1772033996972873</v>
      </c>
      <c r="L329" s="15" t="s">
        <v>102</v>
      </c>
      <c r="M329" s="261">
        <v>1.5497842168999999E-2</v>
      </c>
      <c r="N329" s="282">
        <f t="shared" ca="1" si="157"/>
        <v>8.0327524479138148</v>
      </c>
      <c r="O329" s="24" t="s">
        <v>31</v>
      </c>
      <c r="P329" s="1">
        <f ca="1">COUNTIFS(OFFSET(Arb!$I$2,Arb!$AJ$36+Arb!$AJ$37,,Arb!$AJ$38,),"&gt;=210",OFFSET(Arb!$I$2,Arb!$AJ$36+Arb!$AJ$37,,Arb!$AJ$38,),"&lt;=219",OFFSET(Arb!$AI$2,Arb!$AJ$36+Arb!$AJ$37,,Arb!$AJ$38,),"TRUE")</f>
        <v>20</v>
      </c>
      <c r="Q329" s="341">
        <f>SUM(M352:M361)</f>
        <v>2.4580025853999998E-2</v>
      </c>
      <c r="R329" s="341">
        <f t="shared" ca="1" si="168"/>
        <v>1.9286403085824494E-2</v>
      </c>
      <c r="S329" s="342">
        <f t="shared" ca="1" si="162"/>
        <v>0.78463721724222457</v>
      </c>
      <c r="T329" s="469">
        <f ca="1">Arb!AK$35/ASB!P329</f>
        <v>12.7</v>
      </c>
      <c r="U329" s="38">
        <f t="shared" ca="1" si="163"/>
        <v>7.874015748031496E-2</v>
      </c>
      <c r="V329" s="30">
        <f t="shared" ca="1" si="169"/>
        <v>137.83333333333334</v>
      </c>
      <c r="W329" s="337"/>
      <c r="X329" s="84">
        <f ca="1">IF(Y329="","",MIN($BD352:$BD361))</f>
        <v>105</v>
      </c>
      <c r="Y329" s="84">
        <f ca="1">IFERROR(AVERAGE($BD352:$BD361),"")</f>
        <v>277.8</v>
      </c>
      <c r="Z329" s="84">
        <f ca="1">IF(Y329="","",MAX($BD352:$BD361))</f>
        <v>407</v>
      </c>
      <c r="AA329" s="620">
        <f ca="1">LARGE(QG!AD$2:AD$201,AG329)</f>
        <v>44167.033000000003</v>
      </c>
      <c r="AB329" s="620"/>
      <c r="AC329" s="11">
        <f ca="1">INDEX(QG!W$2:W$201,AH329)</f>
        <v>166</v>
      </c>
      <c r="AD329" s="597">
        <f ca="1">INDEX(QG!X$2:X$201,AH329)</f>
        <v>65.510000000000005</v>
      </c>
      <c r="AE329" s="597"/>
      <c r="AF329" s="11">
        <f ca="1">INDEX(QG!Y$2:Y$201,AH329)</f>
        <v>2.533964280262555</v>
      </c>
      <c r="AG329" s="11">
        <v>7</v>
      </c>
      <c r="AH329" s="1">
        <f ca="1">MATCH(AA329,QG!AD$2:AD$201,0)</f>
        <v>32</v>
      </c>
      <c r="AI329" s="589">
        <f t="shared" ca="1" si="170"/>
        <v>59.003180759393466</v>
      </c>
      <c r="AJ329" s="589"/>
      <c r="AL329" s="315"/>
      <c r="AM329" s="315"/>
      <c r="AN329" s="433">
        <v>187</v>
      </c>
      <c r="AO329" s="301">
        <f ca="1">BV!C329</f>
        <v>69.86</v>
      </c>
      <c r="AP329" s="301">
        <f ca="1">BV!K329</f>
        <v>70.62</v>
      </c>
      <c r="AQ329" s="301">
        <f ca="1">BV!S329</f>
        <v>71.66</v>
      </c>
      <c r="AR329" s="302">
        <f ca="1">BV!AA329</f>
        <v>77.69</v>
      </c>
      <c r="AS329" s="302">
        <f ca="1">BV!AI329</f>
        <v>78.28</v>
      </c>
      <c r="AT329" s="302">
        <f ca="1">BV!AQ329</f>
        <v>78.709999999999994</v>
      </c>
      <c r="AU329" s="660">
        <f ca="1">BV!AY329</f>
        <v>80.63</v>
      </c>
      <c r="AV329" s="660">
        <f ca="1">BV!BG329</f>
        <v>81.58</v>
      </c>
      <c r="AW329" s="659">
        <f ca="1">BV!BO329</f>
        <v>85.49</v>
      </c>
      <c r="AX329" s="659">
        <f ca="1">BV!BW329</f>
        <v>85.89</v>
      </c>
      <c r="AY329" s="15" t="s">
        <v>65</v>
      </c>
      <c r="AZ329" s="258">
        <f t="shared" si="159"/>
        <v>1.8097287663028538</v>
      </c>
      <c r="BA329" s="261">
        <v>1.5497842168999999E-2</v>
      </c>
      <c r="BB329" s="268">
        <v>0.16779560557600004</v>
      </c>
      <c r="BC329" s="268">
        <f t="shared" si="160"/>
        <v>9.2361430538063324E-2</v>
      </c>
      <c r="BD329" s="269">
        <f ca="1">IF(BV!H329="","",INT(NOW()-BV!H329))</f>
        <v>128</v>
      </c>
      <c r="BE329" s="260">
        <f t="shared" si="161"/>
        <v>8.0327524479138148</v>
      </c>
      <c r="BF329" s="299">
        <f ca="1">BV!G329</f>
        <v>59.585868475857779</v>
      </c>
      <c r="BG329" s="299">
        <f ca="1">BV!O329</f>
        <v>58.499849579317974</v>
      </c>
      <c r="BH329" s="299">
        <f ca="1">BV!W329</f>
        <v>57.063879687809731</v>
      </c>
      <c r="BI329" s="301">
        <f ca="1">BV!AE329</f>
        <v>49.740615545261157</v>
      </c>
      <c r="BJ329" s="301">
        <f ca="1">BV!AM329</f>
        <v>49.104972593725279</v>
      </c>
      <c r="BK329" s="301">
        <f ca="1">BV!AU329</f>
        <v>48.649794575652045</v>
      </c>
      <c r="BL329" s="301">
        <f ca="1">BV!BC329</f>
        <v>46.696845116755341</v>
      </c>
      <c r="BM329" s="301">
        <f ca="1">BV!BK329</f>
        <v>45.776182320286502</v>
      </c>
      <c r="BN329" s="301">
        <f ca="1">BV!BS329</f>
        <v>42.274241379467881</v>
      </c>
      <c r="BO329" s="301">
        <f ca="1">BV!CA329</f>
        <v>41.940097640401262</v>
      </c>
      <c r="BP329" s="433">
        <v>187</v>
      </c>
      <c r="BQ329" s="11">
        <f ca="1">IFERROR(YEAR(OFFSET(BV!$H329,,(COLUMN()-69)*8)),"")</f>
        <v>2020</v>
      </c>
      <c r="BR329" s="11">
        <f ca="1">IFERROR(YEAR(OFFSET(BV!$H329,,(COLUMN()-69)*8)),"")</f>
        <v>2020</v>
      </c>
      <c r="BS329" s="11">
        <f ca="1">IFERROR(YEAR(OFFSET(BV!$H329,,(COLUMN()-69)*8)),"")</f>
        <v>2020</v>
      </c>
      <c r="BT329" s="11">
        <f ca="1">IFERROR(YEAR(OFFSET(BV!$H329,,(COLUMN()-69)*8)),"")</f>
        <v>2020</v>
      </c>
      <c r="BU329" s="11">
        <f ca="1">IFERROR(YEAR(OFFSET(BV!$H329,,(COLUMN()-69)*8)),"")</f>
        <v>2020</v>
      </c>
      <c r="BV329" s="11">
        <f ca="1">IFERROR(YEAR(OFFSET(BV!$H329,,(COLUMN()-69)*8)),"")</f>
        <v>2020</v>
      </c>
      <c r="BW329" s="11">
        <f ca="1">IFERROR(YEAR(OFFSET(BV!$H329,,(COLUMN()-69)*8)),"")</f>
        <v>2020</v>
      </c>
      <c r="BX329" s="11">
        <f ca="1">IFERROR(YEAR(OFFSET(BV!$H329,,(COLUMN()-69)*8)),"")</f>
        <v>2020</v>
      </c>
      <c r="BY329" s="11">
        <f ca="1">IFERROR(YEAR(OFFSET(BV!$H329,,(COLUMN()-69)*8)),"")</f>
        <v>2020</v>
      </c>
      <c r="BZ329" s="11">
        <f ca="1">IFERROR(YEAR(OFFSET(BV!$H329,,(COLUMN()-69)*8)),"")</f>
        <v>2020</v>
      </c>
    </row>
    <row r="330" spans="1:78" x14ac:dyDescent="0.25">
      <c r="A330" s="433">
        <v>188</v>
      </c>
      <c r="B330" s="298">
        <f ca="1">BV!D330</f>
        <v>2.7019258407588387</v>
      </c>
      <c r="C330" s="298">
        <f ca="1">BV!L330</f>
        <v>2.6795895096921325</v>
      </c>
      <c r="D330" s="299">
        <f ca="1">BV!T330</f>
        <v>2.4907260201377848</v>
      </c>
      <c r="E330" s="299">
        <f ca="1">BV!AB330</f>
        <v>2.4798839203271337</v>
      </c>
      <c r="F330" s="299">
        <f ca="1">BV!AJ330</f>
        <v>2.4387080036321183</v>
      </c>
      <c r="G330" s="299">
        <f ca="1">BV!AR330</f>
        <v>2.4239298607529656</v>
      </c>
      <c r="H330" s="299">
        <f ca="1">BV!AZ330</f>
        <v>2.4223682515139804</v>
      </c>
      <c r="I330" s="299">
        <f ca="1">BV!BH330</f>
        <v>2.4189397838394235</v>
      </c>
      <c r="J330" s="300">
        <f ca="1">BV!BP330</f>
        <v>2.2057960811920685</v>
      </c>
      <c r="K330" s="11" t="str">
        <f ca="1">BV!BX330</f>
        <v/>
      </c>
      <c r="L330" s="15" t="s">
        <v>102</v>
      </c>
      <c r="M330" s="261">
        <v>1.491492688E-2</v>
      </c>
      <c r="N330" s="282">
        <f t="shared" ca="1" si="157"/>
        <v>8.1882187366482686</v>
      </c>
      <c r="O330" s="24" t="s">
        <v>32</v>
      </c>
      <c r="P330" s="1">
        <f ca="1">COUNTIFS(OFFSET(Arb!$I$2,Arb!$AJ$36+Arb!$AJ$37,,Arb!$AJ$38,),"&gt;=220",OFFSET(Arb!$AI$2,Arb!$AJ$36+Arb!$AJ$37,,Arb!$AJ$38,),"TRUE")</f>
        <v>8</v>
      </c>
      <c r="Q330" s="341">
        <f>SUM(M362:M430)</f>
        <v>1.1696266019999997E-2</v>
      </c>
      <c r="R330" s="341">
        <f t="shared" ca="1" si="168"/>
        <v>7.7145612343297977E-3</v>
      </c>
      <c r="S330" s="342">
        <f t="shared" ca="1" si="162"/>
        <v>0.65957470710210475</v>
      </c>
      <c r="T330" s="469">
        <f ca="1">Arb!AK$35/ASB!P330</f>
        <v>31.75</v>
      </c>
      <c r="U330" s="38">
        <f t="shared" ca="1" si="163"/>
        <v>3.1496062992125984E-2</v>
      </c>
      <c r="V330" s="30">
        <f t="shared" ca="1" si="169"/>
        <v>75</v>
      </c>
      <c r="W330" s="337"/>
      <c r="X330" s="84">
        <f ca="1">IF(Y330="","",MIN($BD362:$BD430))</f>
        <v>35</v>
      </c>
      <c r="Y330" s="84">
        <f ca="1">IFERROR(AVERAGE($BD362:$BD430),"")</f>
        <v>192.42857142857142</v>
      </c>
      <c r="Z330" s="84">
        <f ca="1">IF(Y330="","",MAX($BD362:$BD430))</f>
        <v>287</v>
      </c>
      <c r="AA330" s="620">
        <f ca="1">LARGE(QG!AD$2:AD$201,AG330)</f>
        <v>44167.006000000001</v>
      </c>
      <c r="AB330" s="620"/>
      <c r="AC330" s="11">
        <f ca="1">INDEX(QG!W$2:W$201,AH330)</f>
        <v>150</v>
      </c>
      <c r="AD330" s="597">
        <f ca="1">INDEX(QG!X$2:X$201,AH330)</f>
        <v>59.06</v>
      </c>
      <c r="AE330" s="597"/>
      <c r="AF330" s="11">
        <f ca="1">INDEX(QG!Y$2:Y$201,AH330)</f>
        <v>2.5397900440230274</v>
      </c>
      <c r="AG330" s="11">
        <v>8</v>
      </c>
      <c r="AH330" s="1">
        <f ca="1">MATCH(AA330,QG!AD$2:AD$201,0)</f>
        <v>5</v>
      </c>
      <c r="AI330" s="589">
        <f t="shared" ca="1" si="170"/>
        <v>63.589097601777183</v>
      </c>
      <c r="AJ330" s="589"/>
      <c r="AL330" s="315"/>
      <c r="AM330" s="315"/>
      <c r="AN330" s="433">
        <v>188</v>
      </c>
      <c r="AO330" s="301">
        <f ca="1">BV!C330</f>
        <v>69.58</v>
      </c>
      <c r="AP330" s="301">
        <f ca="1">BV!K330</f>
        <v>70.16</v>
      </c>
      <c r="AQ330" s="302">
        <f ca="1">BV!S330</f>
        <v>75.48</v>
      </c>
      <c r="AR330" s="302">
        <f ca="1">BV!AA330</f>
        <v>75.81</v>
      </c>
      <c r="AS330" s="302">
        <f ca="1">BV!AI330</f>
        <v>77.09</v>
      </c>
      <c r="AT330" s="302">
        <f ca="1">BV!AQ330</f>
        <v>77.56</v>
      </c>
      <c r="AU330" s="302">
        <f ca="1">BV!AY330</f>
        <v>77.61</v>
      </c>
      <c r="AV330" s="302">
        <f ca="1">BV!BG330</f>
        <v>77.72</v>
      </c>
      <c r="AW330" s="659">
        <f ca="1">BV!BO330</f>
        <v>85.23</v>
      </c>
      <c r="AX330" s="11" t="str">
        <f ca="1">BV!BW330</f>
        <v/>
      </c>
      <c r="AY330" s="15" t="s">
        <v>65</v>
      </c>
      <c r="AZ330" s="258">
        <f t="shared" si="159"/>
        <v>1.8263788714129046</v>
      </c>
      <c r="BA330" s="261">
        <v>1.491492688E-2</v>
      </c>
      <c r="BB330" s="268">
        <v>0.16779560557600004</v>
      </c>
      <c r="BC330" s="268">
        <f t="shared" si="160"/>
        <v>8.8887470138450969E-2</v>
      </c>
      <c r="BD330" s="269">
        <f ca="1">IF(BV!H330="","",INT(NOW()-BV!H330))</f>
        <v>31</v>
      </c>
      <c r="BE330" s="260">
        <f t="shared" si="161"/>
        <v>8.1882187366482686</v>
      </c>
      <c r="BF330" s="299">
        <f ca="1">BV!G330</f>
        <v>60.314895969909593</v>
      </c>
      <c r="BG330" s="299">
        <f ca="1">BV!O330</f>
        <v>59.469709628882235</v>
      </c>
      <c r="BH330" s="300">
        <f ca="1">BV!W330</f>
        <v>52.521109154353617</v>
      </c>
      <c r="BI330" s="300">
        <f ca="1">BV!AE330</f>
        <v>52.133041189769791</v>
      </c>
      <c r="BJ330" s="300">
        <f ca="1">BV!AM330</f>
        <v>50.670060980254625</v>
      </c>
      <c r="BK330" s="300">
        <f ca="1">BV!AU330</f>
        <v>50.149180892800402</v>
      </c>
      <c r="BL330" s="300">
        <f ca="1">BV!BC330</f>
        <v>50.094268908037179</v>
      </c>
      <c r="BM330" s="301">
        <f ca="1">BV!BK330</f>
        <v>49.973798151403756</v>
      </c>
      <c r="BN330" s="301">
        <f ca="1">BV!BS330</f>
        <v>42.720947301147504</v>
      </c>
      <c r="BO330" s="11" t="str">
        <f ca="1">BV!CA330</f>
        <v/>
      </c>
      <c r="BP330" s="433">
        <v>188</v>
      </c>
      <c r="BQ330" s="11">
        <f ca="1">IFERROR(YEAR(OFFSET(BV!$H330,,(COLUMN()-69)*8)),"")</f>
        <v>2020</v>
      </c>
      <c r="BR330" s="11">
        <f ca="1">IFERROR(YEAR(OFFSET(BV!$H330,,(COLUMN()-69)*8)),"")</f>
        <v>2020</v>
      </c>
      <c r="BS330" s="11">
        <f ca="1">IFERROR(YEAR(OFFSET(BV!$H330,,(COLUMN()-69)*8)),"")</f>
        <v>2020</v>
      </c>
      <c r="BT330" s="11">
        <f ca="1">IFERROR(YEAR(OFFSET(BV!$H330,,(COLUMN()-69)*8)),"")</f>
        <v>2020</v>
      </c>
      <c r="BU330" s="11">
        <f ca="1">IFERROR(YEAR(OFFSET(BV!$H330,,(COLUMN()-69)*8)),"")</f>
        <v>2020</v>
      </c>
      <c r="BV330" s="11">
        <f ca="1">IFERROR(YEAR(OFFSET(BV!$H330,,(COLUMN()-69)*8)),"")</f>
        <v>2020</v>
      </c>
      <c r="BW330" s="11">
        <f ca="1">IFERROR(YEAR(OFFSET(BV!$H330,,(COLUMN()-69)*8)),"")</f>
        <v>2020</v>
      </c>
      <c r="BX330" s="11">
        <f ca="1">IFERROR(YEAR(OFFSET(BV!$H330,,(COLUMN()-69)*8)),"")</f>
        <v>2020</v>
      </c>
      <c r="BY330" s="11">
        <f ca="1">IFERROR(YEAR(OFFSET(BV!$H330,,(COLUMN()-69)*8)),"")</f>
        <v>2020</v>
      </c>
      <c r="BZ330" s="11" t="str">
        <f ca="1">IFERROR(YEAR(OFFSET(BV!$H330,,(COLUMN()-69)*8)),"")</f>
        <v/>
      </c>
    </row>
    <row r="331" spans="1:78" x14ac:dyDescent="0.25">
      <c r="A331" s="433">
        <v>189</v>
      </c>
      <c r="B331" s="298">
        <f ca="1">BV!D331</f>
        <v>2.6630970832746232</v>
      </c>
      <c r="C331" s="298">
        <f ca="1">BV!L331</f>
        <v>2.6537489469250213</v>
      </c>
      <c r="D331" s="298">
        <f ca="1">BV!T331</f>
        <v>2.6173660157872871</v>
      </c>
      <c r="E331" s="298">
        <f ca="1">BV!AB331</f>
        <v>2.5672371638141809</v>
      </c>
      <c r="F331" s="298">
        <f ca="1">BV!AJ331</f>
        <v>2.5406640677510417</v>
      </c>
      <c r="G331" s="299">
        <f ca="1">BV!AR331</f>
        <v>2.3911943319838054</v>
      </c>
      <c r="H331" s="299">
        <f ca="1">BV!AZ331</f>
        <v>2.3198723456487049</v>
      </c>
      <c r="I331" s="299">
        <f ca="1">BV!BH331</f>
        <v>2.2931327347731134</v>
      </c>
      <c r="J331" s="300">
        <f ca="1">BV!BP331</f>
        <v>2.1221648326970581</v>
      </c>
      <c r="K331" s="300">
        <f ca="1">BV!BX331</f>
        <v>2.0359797479263171</v>
      </c>
      <c r="L331" s="15" t="s">
        <v>102</v>
      </c>
      <c r="M331" s="261">
        <v>1.4320145602E-2</v>
      </c>
      <c r="N331" s="282">
        <f t="shared" ca="1" si="157"/>
        <v>8.3565358973875199</v>
      </c>
      <c r="O331" s="15" t="str">
        <f>O25</f>
        <v>初级</v>
      </c>
      <c r="P331" s="4">
        <f ca="1">SUM(P308:P311)</f>
        <v>1881</v>
      </c>
      <c r="Q331" s="4"/>
      <c r="R331" s="4"/>
      <c r="S331" s="4"/>
      <c r="T331" s="4"/>
      <c r="U331" s="258">
        <f ca="1">SUM(U308:U311)</f>
        <v>7.4055118110236204</v>
      </c>
      <c r="V331" s="343">
        <f ca="1">(P303+Q303/2+R303/3+S303/4+T303/5+U303/6+V303/7+W303/8+X303/9+Y303/10)*10</f>
        <v>943.43253968253964</v>
      </c>
      <c r="W331" s="337"/>
      <c r="X331" s="53">
        <f ca="1">MIN(X308:X311)</f>
        <v>12</v>
      </c>
      <c r="Y331" s="53">
        <f t="shared" ref="Y331" ca="1" si="171">AVERAGE(Y308:Y311)</f>
        <v>252.07499999999999</v>
      </c>
      <c r="Z331" s="53">
        <f ca="1">MAX(Z308:Z311)</f>
        <v>403</v>
      </c>
      <c r="AA331" s="620">
        <f ca="1">LARGE(QG!AD$2:AD$201,AG331)</f>
        <v>44154.088000000003</v>
      </c>
      <c r="AB331" s="620"/>
      <c r="AC331" s="11">
        <f ca="1">INDEX(QG!W$2:W$201,AH331)</f>
        <v>201</v>
      </c>
      <c r="AD331" s="597">
        <f ca="1">INDEX(QG!X$2:X$201,AH331)</f>
        <v>75.63</v>
      </c>
      <c r="AE331" s="597"/>
      <c r="AF331" s="11">
        <f ca="1">INDEX(QG!Y$2:Y$201,AH331)</f>
        <v>2.6576755255850855</v>
      </c>
      <c r="AG331" s="11">
        <v>9</v>
      </c>
      <c r="AH331" s="1">
        <f ca="1">MATCH(AA331,QG!AD$2:AD$201,0)</f>
        <v>87</v>
      </c>
      <c r="AI331" s="589">
        <f t="shared" ca="1" si="170"/>
        <v>55.963689979838989</v>
      </c>
      <c r="AJ331" s="589"/>
      <c r="AL331" s="315"/>
      <c r="AM331" s="315"/>
      <c r="AN331" s="433">
        <v>189</v>
      </c>
      <c r="AO331" s="301">
        <f ca="1">BV!C331</f>
        <v>70.97</v>
      </c>
      <c r="AP331" s="301">
        <f ca="1">BV!K331</f>
        <v>71.22</v>
      </c>
      <c r="AQ331" s="301">
        <f ca="1">BV!S331</f>
        <v>72.209999999999994</v>
      </c>
      <c r="AR331" s="301">
        <f ca="1">BV!AA331</f>
        <v>73.62</v>
      </c>
      <c r="AS331" s="302">
        <f ca="1">BV!AI331</f>
        <v>74.39</v>
      </c>
      <c r="AT331" s="660">
        <f ca="1">BV!AQ331</f>
        <v>79.040000000000006</v>
      </c>
      <c r="AU331" s="660">
        <f ca="1">BV!AY331</f>
        <v>81.47</v>
      </c>
      <c r="AV331" s="660">
        <f ca="1">BV!BG331</f>
        <v>82.42</v>
      </c>
      <c r="AW331" s="11">
        <f ca="1">BV!BO331</f>
        <v>89.06</v>
      </c>
      <c r="AX331" s="11">
        <f ca="1">BV!BW331</f>
        <v>92.83</v>
      </c>
      <c r="AY331" s="15" t="s">
        <v>65</v>
      </c>
      <c r="AZ331" s="258">
        <f t="shared" si="159"/>
        <v>1.8440525662583531</v>
      </c>
      <c r="BA331" s="261">
        <v>1.4320145602E-2</v>
      </c>
      <c r="BB331" s="268">
        <v>0.16779560557600004</v>
      </c>
      <c r="BC331" s="268">
        <f t="shared" si="160"/>
        <v>8.5342792815357393E-2</v>
      </c>
      <c r="BD331" s="269">
        <f ca="1">IF(BV!H331="","",INT(NOW()-BV!H331))</f>
        <v>121</v>
      </c>
      <c r="BE331" s="260">
        <f t="shared" si="161"/>
        <v>8.3565358973875199</v>
      </c>
      <c r="BF331" s="299">
        <f ca="1">BV!G331</f>
        <v>58.630674524876092</v>
      </c>
      <c r="BG331" s="299">
        <f ca="1">BV!O331</f>
        <v>58.281230381001514</v>
      </c>
      <c r="BH331" s="299">
        <f ca="1">BV!W331</f>
        <v>56.929395591404081</v>
      </c>
      <c r="BI331" s="300">
        <f ca="1">BV!AE331</f>
        <v>55.088275489364825</v>
      </c>
      <c r="BJ331" s="300">
        <f ca="1">BV!AM331</f>
        <v>54.122432778342606</v>
      </c>
      <c r="BK331" s="301">
        <f ca="1">BV!AU331</f>
        <v>48.821630087181411</v>
      </c>
      <c r="BL331" s="301">
        <f ca="1">BV!BC331</f>
        <v>46.372012234779312</v>
      </c>
      <c r="BM331" s="301">
        <f ca="1">BV!BK331</f>
        <v>45.467033775420902</v>
      </c>
      <c r="BN331" s="301">
        <f ca="1">BV!BS331</f>
        <v>39.855795804579941</v>
      </c>
      <c r="BO331" s="302">
        <f ca="1">BV!CA331</f>
        <v>37.143417827280082</v>
      </c>
      <c r="BP331" s="433">
        <v>189</v>
      </c>
      <c r="BQ331" s="11">
        <f ca="1">IFERROR(YEAR(OFFSET(BV!$H331,,(COLUMN()-69)*8)),"")</f>
        <v>2020</v>
      </c>
      <c r="BR331" s="11">
        <f ca="1">IFERROR(YEAR(OFFSET(BV!$H331,,(COLUMN()-69)*8)),"")</f>
        <v>2020</v>
      </c>
      <c r="BS331" s="11">
        <f ca="1">IFERROR(YEAR(OFFSET(BV!$H331,,(COLUMN()-69)*8)),"")</f>
        <v>2020</v>
      </c>
      <c r="BT331" s="11">
        <f ca="1">IFERROR(YEAR(OFFSET(BV!$H331,,(COLUMN()-69)*8)),"")</f>
        <v>2020</v>
      </c>
      <c r="BU331" s="11">
        <f ca="1">IFERROR(YEAR(OFFSET(BV!$H331,,(COLUMN()-69)*8)),"")</f>
        <v>2020</v>
      </c>
      <c r="BV331" s="11">
        <f ca="1">IFERROR(YEAR(OFFSET(BV!$H331,,(COLUMN()-69)*8)),"")</f>
        <v>2020</v>
      </c>
      <c r="BW331" s="11">
        <f ca="1">IFERROR(YEAR(OFFSET(BV!$H331,,(COLUMN()-69)*8)),"")</f>
        <v>2020</v>
      </c>
      <c r="BX331" s="11">
        <f ca="1">IFERROR(YEAR(OFFSET(BV!$H331,,(COLUMN()-69)*8)),"")</f>
        <v>2019</v>
      </c>
      <c r="BY331" s="11">
        <f ca="1">IFERROR(YEAR(OFFSET(BV!$H331,,(COLUMN()-69)*8)),"")</f>
        <v>2019</v>
      </c>
      <c r="BZ331" s="11">
        <f ca="1">IFERROR(YEAR(OFFSET(BV!$H331,,(COLUMN()-69)*8)),"")</f>
        <v>2019</v>
      </c>
    </row>
    <row r="332" spans="1:78" x14ac:dyDescent="0.25">
      <c r="A332" s="433">
        <v>190</v>
      </c>
      <c r="B332" s="298">
        <f ca="1">BV!D332</f>
        <v>2.6722925457102673</v>
      </c>
      <c r="C332" s="298">
        <f ca="1">BV!L332</f>
        <v>2.6396221172547927</v>
      </c>
      <c r="D332" s="298">
        <f ca="1">BV!T332</f>
        <v>2.5578890683898763</v>
      </c>
      <c r="E332" s="299">
        <f ca="1">BV!AB332</f>
        <v>2.4950755088640837</v>
      </c>
      <c r="F332" s="299">
        <f ca="1">BV!AJ332</f>
        <v>2.4516129032258065</v>
      </c>
      <c r="G332" s="299">
        <f ca="1">BV!AR332</f>
        <v>2.4185336048879837</v>
      </c>
      <c r="H332" s="299">
        <f ca="1">BV!AZ332</f>
        <v>2.372331127481583</v>
      </c>
      <c r="I332" s="299">
        <f ca="1">BV!BH332</f>
        <v>2.3410547067520948</v>
      </c>
      <c r="J332" s="299">
        <f ca="1">BV!BP332</f>
        <v>2.2966275837060315</v>
      </c>
      <c r="K332" s="299">
        <f ca="1">BV!BX332</f>
        <v>2.291088870131436</v>
      </c>
      <c r="L332" s="15" t="s">
        <v>102</v>
      </c>
      <c r="M332" s="261">
        <v>1.3716949988E-2</v>
      </c>
      <c r="N332" s="282">
        <f t="shared" ca="1" si="157"/>
        <v>8.5382963113417176</v>
      </c>
      <c r="O332" s="15" t="str">
        <f>O26</f>
        <v>中级</v>
      </c>
      <c r="P332" s="4">
        <f ca="1">SUM(P312:P319)</f>
        <v>531</v>
      </c>
      <c r="Q332" s="4"/>
      <c r="R332" s="4"/>
      <c r="S332" s="4"/>
      <c r="T332" s="4"/>
      <c r="U332" s="258" t="e">
        <f ca="1">SUM(U312:U319)</f>
        <v>#DIV/0!</v>
      </c>
      <c r="V332" s="343">
        <f t="shared" ref="V332:V334" ca="1" si="172">(P304+Q304/2+R304/3+S304/4+T304/5+U304/6+V304/7+W304/8+X304/9+Y304/10)*10</f>
        <v>1457.0992063492063</v>
      </c>
      <c r="W332" s="337"/>
      <c r="X332" s="53">
        <f ca="1">MIN(X312:X319)</f>
        <v>12</v>
      </c>
      <c r="Y332" s="53">
        <f t="shared" ref="Y332" ca="1" si="173">AVERAGE(Y312:Y319)</f>
        <v>272.78231292517006</v>
      </c>
      <c r="Z332" s="53">
        <f ca="1">MAX(Z312:Z319)</f>
        <v>416</v>
      </c>
      <c r="AA332" s="620">
        <f ca="1">LARGE(QG!AD$2:AD$201,AG332)</f>
        <v>44153.18</v>
      </c>
      <c r="AB332" s="620"/>
      <c r="AC332" s="11">
        <f ca="1">INDEX(QG!W$2:W$201,AH332)</f>
        <v>151</v>
      </c>
      <c r="AD332" s="597">
        <f ca="1">INDEX(QG!X$2:X$201,AH332)</f>
        <v>65.91</v>
      </c>
      <c r="AE332" s="597"/>
      <c r="AF332" s="11">
        <f ca="1">INDEX(QG!Y$2:Y$201,AH332)</f>
        <v>2.2910028827188591</v>
      </c>
      <c r="AG332" s="11">
        <v>10</v>
      </c>
      <c r="AH332" s="1">
        <f ca="1">MATCH(AA332,QG!AD$2:AD$201,0)</f>
        <v>179</v>
      </c>
      <c r="AI332" s="589">
        <f t="shared" ca="1" si="170"/>
        <v>53.119010063496226</v>
      </c>
      <c r="AJ332" s="589"/>
      <c r="AL332" s="315"/>
      <c r="AM332" s="315"/>
      <c r="AN332" s="433">
        <v>190</v>
      </c>
      <c r="AO332" s="301">
        <f ca="1">BV!C332</f>
        <v>71.099999999999994</v>
      </c>
      <c r="AP332" s="301">
        <f ca="1">BV!K332</f>
        <v>71.98</v>
      </c>
      <c r="AQ332" s="302">
        <f ca="1">BV!S332</f>
        <v>74.28</v>
      </c>
      <c r="AR332" s="302">
        <f ca="1">BV!AA332</f>
        <v>76.150000000000006</v>
      </c>
      <c r="AS332" s="302">
        <f ca="1">BV!AI332</f>
        <v>77.5</v>
      </c>
      <c r="AT332" s="302">
        <f ca="1">BV!AQ332</f>
        <v>78.56</v>
      </c>
      <c r="AU332" s="660">
        <f ca="1">BV!AY332</f>
        <v>80.09</v>
      </c>
      <c r="AV332" s="660">
        <f ca="1">BV!BG332</f>
        <v>81.16</v>
      </c>
      <c r="AW332" s="660">
        <f ca="1">BV!BO332</f>
        <v>82.73</v>
      </c>
      <c r="AX332" s="660">
        <f ca="1">BV!BW332</f>
        <v>82.93</v>
      </c>
      <c r="AY332" s="15" t="s">
        <v>65</v>
      </c>
      <c r="AZ332" s="258">
        <f t="shared" si="159"/>
        <v>1.8627424447980376</v>
      </c>
      <c r="BA332" s="261">
        <v>1.3716949988E-2</v>
      </c>
      <c r="BB332" s="56">
        <v>0.11014232450500001</v>
      </c>
      <c r="BC332" s="56">
        <f t="shared" si="160"/>
        <v>0.12453841018560768</v>
      </c>
      <c r="BD332" s="13">
        <f ca="1">IF(BV!H332="","",INT(NOW()-BV!H332))</f>
        <v>97</v>
      </c>
      <c r="BE332" s="260">
        <f t="shared" si="161"/>
        <v>8.5382963113417176</v>
      </c>
      <c r="BF332" s="299">
        <f ca="1">BV!G332</f>
        <v>58.757801137103087</v>
      </c>
      <c r="BG332" s="299">
        <f ca="1">BV!O332</f>
        <v>57.541837250873598</v>
      </c>
      <c r="BH332" s="300">
        <f ca="1">BV!W332</f>
        <v>54.545840055307863</v>
      </c>
      <c r="BI332" s="300">
        <f ca="1">BV!AE332</f>
        <v>52.288359114149216</v>
      </c>
      <c r="BJ332" s="300">
        <f ca="1">BV!AM332</f>
        <v>50.749405840971072</v>
      </c>
      <c r="BK332" s="301">
        <f ca="1">BV!AU332</f>
        <v>49.590826806953508</v>
      </c>
      <c r="BL332" s="301">
        <f ca="1">BV!BC332</f>
        <v>47.99110581062687</v>
      </c>
      <c r="BM332" s="301">
        <f ca="1">BV!BK332</f>
        <v>46.920474029706405</v>
      </c>
      <c r="BN332" s="301">
        <f ca="1">BV!BS332</f>
        <v>45.416819211437463</v>
      </c>
      <c r="BO332" s="301">
        <f ca="1">BV!CA332</f>
        <v>45.230774580335712</v>
      </c>
      <c r="BP332" s="433">
        <v>190</v>
      </c>
      <c r="BQ332" s="11">
        <f ca="1">IFERROR(YEAR(OFFSET(BV!$H332,,(COLUMN()-69)*8)),"")</f>
        <v>2020</v>
      </c>
      <c r="BR332" s="11">
        <f ca="1">IFERROR(YEAR(OFFSET(BV!$H332,,(COLUMN()-69)*8)),"")</f>
        <v>2020</v>
      </c>
      <c r="BS332" s="11">
        <f ca="1">IFERROR(YEAR(OFFSET(BV!$H332,,(COLUMN()-69)*8)),"")</f>
        <v>2020</v>
      </c>
      <c r="BT332" s="11">
        <f ca="1">IFERROR(YEAR(OFFSET(BV!$H332,,(COLUMN()-69)*8)),"")</f>
        <v>2020</v>
      </c>
      <c r="BU332" s="11">
        <f ca="1">IFERROR(YEAR(OFFSET(BV!$H332,,(COLUMN()-69)*8)),"")</f>
        <v>2020</v>
      </c>
      <c r="BV332" s="11">
        <f ca="1">IFERROR(YEAR(OFFSET(BV!$H332,,(COLUMN()-69)*8)),"")</f>
        <v>2020</v>
      </c>
      <c r="BW332" s="11">
        <f ca="1">IFERROR(YEAR(OFFSET(BV!$H332,,(COLUMN()-69)*8)),"")</f>
        <v>2019</v>
      </c>
      <c r="BX332" s="11">
        <f ca="1">IFERROR(YEAR(OFFSET(BV!$H332,,(COLUMN()-69)*8)),"")</f>
        <v>2020</v>
      </c>
      <c r="BY332" s="11">
        <f ca="1">IFERROR(YEAR(OFFSET(BV!$H332,,(COLUMN()-69)*8)),"")</f>
        <v>2020</v>
      </c>
      <c r="BZ332" s="11">
        <f ca="1">IFERROR(YEAR(OFFSET(BV!$H332,,(COLUMN()-69)*8)),"")</f>
        <v>2020</v>
      </c>
    </row>
    <row r="333" spans="1:78" x14ac:dyDescent="0.25">
      <c r="A333" s="433">
        <v>191</v>
      </c>
      <c r="B333" s="297">
        <f ca="1">BV!D333</f>
        <v>2.8129602356406478</v>
      </c>
      <c r="C333" s="298">
        <f ca="1">BV!L333</f>
        <v>2.6476296090934293</v>
      </c>
      <c r="D333" s="298">
        <f ca="1">BV!T333</f>
        <v>2.5521111704970605</v>
      </c>
      <c r="E333" s="298">
        <f ca="1">BV!AB333</f>
        <v>2.5328205808248243</v>
      </c>
      <c r="F333" s="298">
        <f ca="1">BV!AJ333</f>
        <v>2.5308069431562212</v>
      </c>
      <c r="G333" s="298">
        <f ca="1">BV!AR333</f>
        <v>2.5118358758548132</v>
      </c>
      <c r="H333" s="299">
        <f ca="1">BV!AZ333</f>
        <v>2.4164979757085017</v>
      </c>
      <c r="I333" s="299">
        <f ca="1">BV!BH333</f>
        <v>2.4091826437941473</v>
      </c>
      <c r="J333" s="299">
        <f ca="1">BV!BP333</f>
        <v>2.3833291739455951</v>
      </c>
      <c r="K333" s="299">
        <f ca="1">BV!BX333</f>
        <v>2.3559886517824107</v>
      </c>
      <c r="L333" s="15" t="s">
        <v>102</v>
      </c>
      <c r="M333" s="261">
        <v>1.3108691725E-2</v>
      </c>
      <c r="N333" s="282">
        <f t="shared" ca="1" si="157"/>
        <v>8.7341435366208948</v>
      </c>
      <c r="O333" s="15" t="str">
        <f>O27</f>
        <v>高级</v>
      </c>
      <c r="P333" s="4">
        <f ca="1">SUM(P320:P330)</f>
        <v>1037</v>
      </c>
      <c r="Q333" s="4"/>
      <c r="R333" s="4"/>
      <c r="S333" s="4"/>
      <c r="T333" s="4"/>
      <c r="U333" s="258">
        <f ca="1">SUM(U320:U330)</f>
        <v>4.0826771653543314</v>
      </c>
      <c r="V333" s="343">
        <f t="shared" ca="1" si="172"/>
        <v>2396.6150793650795</v>
      </c>
      <c r="W333" s="337"/>
      <c r="X333" s="53">
        <f ca="1">MIN(X320:X330)</f>
        <v>3</v>
      </c>
      <c r="Y333" s="53">
        <f t="shared" ref="Y333" ca="1" si="174">AVERAGE(Y320:Y330)</f>
        <v>175.11623376623376</v>
      </c>
      <c r="Z333" s="53">
        <f ca="1">MAX(Z320:Z330)</f>
        <v>407</v>
      </c>
      <c r="AA333" s="344"/>
      <c r="AB333" s="344"/>
      <c r="AC333" s="344"/>
      <c r="AD333" s="344"/>
      <c r="AE333" s="344"/>
      <c r="AF333" s="344"/>
      <c r="AG333" s="344"/>
      <c r="AH333" s="344"/>
      <c r="AI333" s="344"/>
      <c r="AJ333" s="315"/>
      <c r="AK333" s="315"/>
      <c r="AL333" s="315"/>
      <c r="AM333" s="315"/>
      <c r="AN333" s="433">
        <v>191</v>
      </c>
      <c r="AO333" s="300">
        <f ca="1">BV!C333</f>
        <v>67.900000000000006</v>
      </c>
      <c r="AP333" s="301">
        <f ca="1">BV!K333</f>
        <v>72.14</v>
      </c>
      <c r="AQ333" s="302">
        <f ca="1">BV!S333</f>
        <v>74.84</v>
      </c>
      <c r="AR333" s="302">
        <f ca="1">BV!AA333</f>
        <v>75.41</v>
      </c>
      <c r="AS333" s="302">
        <f ca="1">BV!AI333</f>
        <v>75.47</v>
      </c>
      <c r="AT333" s="302">
        <f ca="1">BV!AQ333</f>
        <v>76.040000000000006</v>
      </c>
      <c r="AU333" s="660">
        <f ca="1">BV!AY333</f>
        <v>79.040000000000006</v>
      </c>
      <c r="AV333" s="660">
        <f ca="1">BV!BG333</f>
        <v>79.28</v>
      </c>
      <c r="AW333" s="660">
        <f ca="1">BV!BO333</f>
        <v>80.14</v>
      </c>
      <c r="AX333" s="660">
        <f ca="1">BV!BW333</f>
        <v>81.069999999999993</v>
      </c>
      <c r="AY333" s="15" t="s">
        <v>65</v>
      </c>
      <c r="AZ333" s="258">
        <f t="shared" si="159"/>
        <v>1.882440649649731</v>
      </c>
      <c r="BA333" s="261">
        <v>1.3108691725E-2</v>
      </c>
      <c r="BB333" s="56">
        <v>0.11014232450500001</v>
      </c>
      <c r="BC333" s="56">
        <f t="shared" si="160"/>
        <v>0.11901593491796079</v>
      </c>
      <c r="BD333" s="13">
        <f ca="1">IF(BV!H333="","",INT(NOW()-BV!H333))</f>
        <v>201</v>
      </c>
      <c r="BE333" s="260">
        <f t="shared" si="161"/>
        <v>8.7341435366208948</v>
      </c>
      <c r="BF333" s="298">
        <f ca="1">BV!G333</f>
        <v>63.87707282206091</v>
      </c>
      <c r="BG333" s="299">
        <f ca="1">BV!O333</f>
        <v>57.626758070962865</v>
      </c>
      <c r="BH333" s="300">
        <f ca="1">BV!W333</f>
        <v>54.137250916777191</v>
      </c>
      <c r="BI333" s="300">
        <f ca="1">BV!AE333</f>
        <v>53.443442287612712</v>
      </c>
      <c r="BJ333" s="300">
        <f ca="1">BV!AM333</f>
        <v>53.371231950345845</v>
      </c>
      <c r="BK333" s="300">
        <f ca="1">BV!AU333</f>
        <v>52.692892434113389</v>
      </c>
      <c r="BL333" s="301">
        <f ca="1">BV!BC333</f>
        <v>49.338261093394969</v>
      </c>
      <c r="BM333" s="301">
        <f ca="1">BV!BK333</f>
        <v>49.084619877504039</v>
      </c>
      <c r="BN333" s="301">
        <f ca="1">BV!BS333</f>
        <v>48.192532377661962</v>
      </c>
      <c r="BO333" s="301">
        <f ca="1">BV!CA333</f>
        <v>47.256475571606231</v>
      </c>
      <c r="BP333" s="433">
        <v>191</v>
      </c>
      <c r="BQ333" s="11">
        <f ca="1">IFERROR(YEAR(OFFSET(BV!$H333,,(COLUMN()-69)*8)),"")</f>
        <v>2020</v>
      </c>
      <c r="BR333" s="11">
        <f ca="1">IFERROR(YEAR(OFFSET(BV!$H333,,(COLUMN()-69)*8)),"")</f>
        <v>2020</v>
      </c>
      <c r="BS333" s="11">
        <f ca="1">IFERROR(YEAR(OFFSET(BV!$H333,,(COLUMN()-69)*8)),"")</f>
        <v>2020</v>
      </c>
      <c r="BT333" s="11">
        <f ca="1">IFERROR(YEAR(OFFSET(BV!$H333,,(COLUMN()-69)*8)),"")</f>
        <v>2020</v>
      </c>
      <c r="BU333" s="11">
        <f ca="1">IFERROR(YEAR(OFFSET(BV!$H333,,(COLUMN()-69)*8)),"")</f>
        <v>2020</v>
      </c>
      <c r="BV333" s="11">
        <f ca="1">IFERROR(YEAR(OFFSET(BV!$H333,,(COLUMN()-69)*8)),"")</f>
        <v>2020</v>
      </c>
      <c r="BW333" s="11">
        <f ca="1">IFERROR(YEAR(OFFSET(BV!$H333,,(COLUMN()-69)*8)),"")</f>
        <v>2020</v>
      </c>
      <c r="BX333" s="11">
        <f ca="1">IFERROR(YEAR(OFFSET(BV!$H333,,(COLUMN()-69)*8)),"")</f>
        <v>2020</v>
      </c>
      <c r="BY333" s="11">
        <f ca="1">IFERROR(YEAR(OFFSET(BV!$H333,,(COLUMN()-69)*8)),"")</f>
        <v>2020</v>
      </c>
      <c r="BZ333" s="11">
        <f ca="1">IFERROR(YEAR(OFFSET(BV!$H333,,(COLUMN()-69)*8)),"")</f>
        <v>2020</v>
      </c>
    </row>
    <row r="334" spans="1:78" x14ac:dyDescent="0.25">
      <c r="A334" s="433">
        <v>192</v>
      </c>
      <c r="B334" s="299">
        <f ca="1">BV!D334</f>
        <v>2.4912417282989492</v>
      </c>
      <c r="C334" s="299">
        <f ca="1">BV!L334</f>
        <v>2.4844720496894408</v>
      </c>
      <c r="D334" s="299">
        <f ca="1">BV!T334</f>
        <v>2.4233244982961</v>
      </c>
      <c r="E334" s="299">
        <f ca="1">BV!AB334</f>
        <v>2.3883567607911433</v>
      </c>
      <c r="F334" s="299">
        <f ca="1">BV!AJ334</f>
        <v>2.3762376237623761</v>
      </c>
      <c r="G334" s="299">
        <f ca="1">BV!AR334</f>
        <v>2.335766423357664</v>
      </c>
      <c r="H334" s="299">
        <f ca="1">BV!AZ334</f>
        <v>2.3132530120481927</v>
      </c>
      <c r="I334" s="301">
        <f ca="1">BV!BH334</f>
        <v>1.9643953345610805</v>
      </c>
      <c r="J334" s="11" t="str">
        <f ca="1">BV!BP334</f>
        <v/>
      </c>
      <c r="K334" s="11" t="str">
        <f ca="1">BV!BX334</f>
        <v/>
      </c>
      <c r="L334" s="15" t="s">
        <v>102</v>
      </c>
      <c r="M334" s="261">
        <v>1.249813588E-2</v>
      </c>
      <c r="N334" s="282">
        <f t="shared" ca="1" si="157"/>
        <v>8.9449389124485563</v>
      </c>
      <c r="O334" s="4" t="s">
        <v>423</v>
      </c>
      <c r="P334" s="4">
        <f ca="1">SUM(P331:P333)</f>
        <v>3449</v>
      </c>
      <c r="Q334" s="4"/>
      <c r="R334" s="4"/>
      <c r="S334" s="4"/>
      <c r="T334" s="4"/>
      <c r="U334" s="258"/>
      <c r="V334" s="343">
        <f t="shared" ca="1" si="172"/>
        <v>4797.1468253968251</v>
      </c>
      <c r="W334" s="337"/>
      <c r="X334" s="53">
        <f ca="1">MIN(X331:X333)</f>
        <v>3</v>
      </c>
      <c r="Y334" s="53">
        <f ca="1">AVERAGE(Y308:Y330)</f>
        <v>220.18430735930735</v>
      </c>
      <c r="Z334" s="53">
        <f ca="1">MAX(Z331:Z333)</f>
        <v>416</v>
      </c>
      <c r="AA334" s="344"/>
      <c r="AB334" s="344"/>
      <c r="AC334" s="344"/>
      <c r="AD334" s="344"/>
      <c r="AE334" s="344"/>
      <c r="AF334" s="344"/>
      <c r="AG334" s="344"/>
      <c r="AH334" s="344"/>
      <c r="AI334" s="344"/>
      <c r="AJ334" s="315"/>
      <c r="AK334" s="315"/>
      <c r="AL334" s="315"/>
      <c r="AM334" s="315"/>
      <c r="AN334" s="433">
        <v>192</v>
      </c>
      <c r="AO334" s="302">
        <f ca="1">BV!C334</f>
        <v>77.069999999999993</v>
      </c>
      <c r="AP334" s="302">
        <f ca="1">BV!K334</f>
        <v>77.28</v>
      </c>
      <c r="AQ334" s="660">
        <f ca="1">BV!S334</f>
        <v>79.23</v>
      </c>
      <c r="AR334" s="660">
        <f ca="1">BV!AA334</f>
        <v>80.39</v>
      </c>
      <c r="AS334" s="660">
        <f ca="1">BV!AI334</f>
        <v>80.8</v>
      </c>
      <c r="AT334" s="660">
        <f ca="1">BV!AQ334</f>
        <v>82.2</v>
      </c>
      <c r="AU334" s="660">
        <f ca="1">BV!AY334</f>
        <v>83</v>
      </c>
      <c r="AV334" s="11">
        <f ca="1">BV!BG334</f>
        <v>97.74</v>
      </c>
      <c r="AW334" s="11" t="str">
        <f ca="1">BV!BO334</f>
        <v/>
      </c>
      <c r="AX334" s="11" t="str">
        <f ca="1">BV!BW334</f>
        <v/>
      </c>
      <c r="AY334" s="15" t="s">
        <v>65</v>
      </c>
      <c r="AZ334" s="258">
        <f t="shared" si="159"/>
        <v>1.9031547579840682</v>
      </c>
      <c r="BA334" s="261">
        <v>1.249813588E-2</v>
      </c>
      <c r="BB334" s="56">
        <v>0.11014232450500001</v>
      </c>
      <c r="BC334" s="56">
        <f t="shared" si="160"/>
        <v>0.1134725995312786</v>
      </c>
      <c r="BD334" s="13">
        <f ca="1">IF(BV!H334="","",INT(NOW()-BV!H334))</f>
        <v>224</v>
      </c>
      <c r="BE334" s="260">
        <f t="shared" si="161"/>
        <v>8.9449389124485563</v>
      </c>
      <c r="BF334" s="300">
        <f ca="1">BV!G334</f>
        <v>51.770978535127348</v>
      </c>
      <c r="BG334" s="300">
        <f ca="1">BV!O334</f>
        <v>51.532046646677912</v>
      </c>
      <c r="BH334" s="301">
        <f ca="1">BV!W334</f>
        <v>49.394554064289039</v>
      </c>
      <c r="BI334" s="301">
        <f ca="1">BV!AE334</f>
        <v>48.189013451618194</v>
      </c>
      <c r="BJ334" s="301">
        <f ca="1">BV!AM334</f>
        <v>47.774062207074465</v>
      </c>
      <c r="BK334" s="301">
        <f ca="1">BV!AU334</f>
        <v>46.399082645180812</v>
      </c>
      <c r="BL334" s="301">
        <f ca="1">BV!BC334</f>
        <v>45.641375779947658</v>
      </c>
      <c r="BM334" s="302">
        <f ca="1">BV!BK334</f>
        <v>34.567543263062838</v>
      </c>
      <c r="BN334" s="11" t="str">
        <f ca="1">BV!BS334</f>
        <v/>
      </c>
      <c r="BO334" s="11" t="str">
        <f ca="1">BV!CA334</f>
        <v/>
      </c>
      <c r="BP334" s="433">
        <v>192</v>
      </c>
      <c r="BQ334" s="11">
        <f ca="1">IFERROR(YEAR(OFFSET(BV!$H334,,(COLUMN()-69)*8)),"")</f>
        <v>2020</v>
      </c>
      <c r="BR334" s="11">
        <f ca="1">IFERROR(YEAR(OFFSET(BV!$H334,,(COLUMN()-69)*8)),"")</f>
        <v>2020</v>
      </c>
      <c r="BS334" s="11">
        <f ca="1">IFERROR(YEAR(OFFSET(BV!$H334,,(COLUMN()-69)*8)),"")</f>
        <v>2020</v>
      </c>
      <c r="BT334" s="11">
        <f ca="1">IFERROR(YEAR(OFFSET(BV!$H334,,(COLUMN()-69)*8)),"")</f>
        <v>2019</v>
      </c>
      <c r="BU334" s="11">
        <f ca="1">IFERROR(YEAR(OFFSET(BV!$H334,,(COLUMN()-69)*8)),"")</f>
        <v>2020</v>
      </c>
      <c r="BV334" s="11">
        <f ca="1">IFERROR(YEAR(OFFSET(BV!$H334,,(COLUMN()-69)*8)),"")</f>
        <v>2019</v>
      </c>
      <c r="BW334" s="11">
        <f ca="1">IFERROR(YEAR(OFFSET(BV!$H334,,(COLUMN()-69)*8)),"")</f>
        <v>2020</v>
      </c>
      <c r="BX334" s="11">
        <f ca="1">IFERROR(YEAR(OFFSET(BV!$H334,,(COLUMN()-69)*8)),"")</f>
        <v>2019</v>
      </c>
      <c r="BY334" s="11" t="str">
        <f ca="1">IFERROR(YEAR(OFFSET(BV!$H334,,(COLUMN()-69)*8)),"")</f>
        <v/>
      </c>
      <c r="BZ334" s="11" t="str">
        <f ca="1">IFERROR(YEAR(OFFSET(BV!$H334,,(COLUMN()-69)*8)),"")</f>
        <v/>
      </c>
    </row>
    <row r="335" spans="1:78" x14ac:dyDescent="0.25">
      <c r="A335" s="433">
        <v>193</v>
      </c>
      <c r="B335" s="298">
        <f ca="1">BV!D335</f>
        <v>2.5675136357589463</v>
      </c>
      <c r="C335" s="298">
        <f ca="1">BV!L335</f>
        <v>2.5579854208084822</v>
      </c>
      <c r="D335" s="298">
        <f ca="1">BV!T335</f>
        <v>2.5225460724088351</v>
      </c>
      <c r="E335" s="299">
        <f ca="1">BV!AB335</f>
        <v>2.4734076637190823</v>
      </c>
      <c r="F335" s="299">
        <f ca="1">BV!AJ335</f>
        <v>2.4592252803261978</v>
      </c>
      <c r="G335" s="299">
        <f ca="1">BV!AR335</f>
        <v>2.4261470773098681</v>
      </c>
      <c r="H335" s="299">
        <f ca="1">BV!AZ335</f>
        <v>2.3850716757291153</v>
      </c>
      <c r="I335" s="299">
        <f ca="1">BV!BH335</f>
        <v>2.3582600195503418</v>
      </c>
      <c r="J335" s="299">
        <f ca="1">BV!BP335</f>
        <v>2.3571079628724965</v>
      </c>
      <c r="K335" s="299">
        <f ca="1">BV!BX335</f>
        <v>2.2913451264395106</v>
      </c>
      <c r="L335" s="15" t="s">
        <v>102</v>
      </c>
      <c r="M335" s="261">
        <v>1.1888991715E-2</v>
      </c>
      <c r="N335" s="282">
        <f t="shared" ca="1" si="157"/>
        <v>9.1712279471894931</v>
      </c>
      <c r="O335" s="4" t="str">
        <f t="shared" ref="O335:Z335" si="175">O1</f>
        <v>分段</v>
      </c>
      <c r="P335" s="15" t="str">
        <f t="shared" si="175"/>
        <v>1st</v>
      </c>
      <c r="Q335" s="15" t="str">
        <f t="shared" si="175"/>
        <v>2nd</v>
      </c>
      <c r="R335" s="15" t="str">
        <f t="shared" si="175"/>
        <v>3rd</v>
      </c>
      <c r="S335" s="15" t="str">
        <f t="shared" si="175"/>
        <v>4th</v>
      </c>
      <c r="T335" s="15" t="str">
        <f t="shared" si="175"/>
        <v>5th</v>
      </c>
      <c r="U335" s="15" t="str">
        <f t="shared" si="175"/>
        <v>6th</v>
      </c>
      <c r="V335" s="15" t="str">
        <f t="shared" si="175"/>
        <v>7th</v>
      </c>
      <c r="W335" s="256" t="str">
        <f t="shared" si="175"/>
        <v>8th</v>
      </c>
      <c r="X335" s="15" t="str">
        <f t="shared" si="175"/>
        <v>9th</v>
      </c>
      <c r="Y335" s="15" t="str">
        <f t="shared" si="175"/>
        <v>10th</v>
      </c>
      <c r="Z335" s="343" t="str">
        <f t="shared" si="175"/>
        <v>求和</v>
      </c>
      <c r="AA335" s="590" t="s">
        <v>408</v>
      </c>
      <c r="AB335" s="590"/>
      <c r="AC335" s="590"/>
      <c r="AD335" s="590"/>
      <c r="AE335" s="590"/>
      <c r="AF335" s="590"/>
      <c r="AG335" s="590" t="s">
        <v>415</v>
      </c>
      <c r="AH335" s="590"/>
      <c r="AI335" s="344"/>
      <c r="AJ335" s="315"/>
      <c r="AK335" s="315"/>
      <c r="AL335" s="315"/>
      <c r="AM335" s="315"/>
      <c r="AN335" s="433">
        <v>193</v>
      </c>
      <c r="AO335" s="302">
        <f ca="1">BV!C335</f>
        <v>75.17</v>
      </c>
      <c r="AP335" s="302">
        <f ca="1">BV!K335</f>
        <v>75.45</v>
      </c>
      <c r="AQ335" s="302">
        <f ca="1">BV!S335</f>
        <v>76.510000000000005</v>
      </c>
      <c r="AR335" s="302">
        <f ca="1">BV!AA335</f>
        <v>78.03</v>
      </c>
      <c r="AS335" s="302">
        <f ca="1">BV!AI335</f>
        <v>78.48</v>
      </c>
      <c r="AT335" s="660">
        <f ca="1">BV!AQ335</f>
        <v>79.55</v>
      </c>
      <c r="AU335" s="660">
        <f ca="1">BV!AY335</f>
        <v>80.92</v>
      </c>
      <c r="AV335" s="660">
        <f ca="1">BV!BG335</f>
        <v>81.84</v>
      </c>
      <c r="AW335" s="660">
        <f ca="1">BV!BO335</f>
        <v>81.88</v>
      </c>
      <c r="AX335" s="659">
        <f ca="1">BV!BW335</f>
        <v>84.23</v>
      </c>
      <c r="AY335" s="15" t="s">
        <v>65</v>
      </c>
      <c r="AZ335" s="258">
        <f t="shared" si="159"/>
        <v>1.9248549755898552</v>
      </c>
      <c r="BA335" s="261">
        <v>1.1888991715E-2</v>
      </c>
      <c r="BB335" s="56">
        <v>0.11014232450500001</v>
      </c>
      <c r="BC335" s="56">
        <f t="shared" si="160"/>
        <v>0.10794208101591581</v>
      </c>
      <c r="BD335" s="13">
        <f ca="1">IF(BV!H335="","",INT(NOW()-BV!H335))</f>
        <v>383</v>
      </c>
      <c r="BE335" s="260">
        <f t="shared" si="161"/>
        <v>9.1712279471894931</v>
      </c>
      <c r="BF335" s="300">
        <f ca="1">BV!G335</f>
        <v>54.29649917898314</v>
      </c>
      <c r="BG335" s="300">
        <f ca="1">BV!O335</f>
        <v>53.954397766405052</v>
      </c>
      <c r="BH335" s="300">
        <f ca="1">BV!W335</f>
        <v>52.68980860423428</v>
      </c>
      <c r="BI335" s="300">
        <f ca="1">BV!AE335</f>
        <v>50.956880413920032</v>
      </c>
      <c r="BJ335" s="300">
        <f ca="1">BV!AM335</f>
        <v>50.461165119284516</v>
      </c>
      <c r="BK335" s="301">
        <f ca="1">BV!AU335</f>
        <v>49.312753324040244</v>
      </c>
      <c r="BL335" s="301">
        <f ca="1">BV!BC335</f>
        <v>47.901882196366799</v>
      </c>
      <c r="BM335" s="301">
        <f ca="1">BV!BK335</f>
        <v>46.990061036903512</v>
      </c>
      <c r="BN335" s="301">
        <f ca="1">BV!BS335</f>
        <v>46.95104323303029</v>
      </c>
      <c r="BO335" s="301">
        <f ca="1">BV!CA335</f>
        <v>44.745977834369853</v>
      </c>
      <c r="BP335" s="433">
        <v>193</v>
      </c>
      <c r="BQ335" s="11">
        <f ca="1">IFERROR(YEAR(OFFSET(BV!$H335,,(COLUMN()-69)*8)),"")</f>
        <v>2019</v>
      </c>
      <c r="BR335" s="11">
        <f ca="1">IFERROR(YEAR(OFFSET(BV!$H335,,(COLUMN()-69)*8)),"")</f>
        <v>2020</v>
      </c>
      <c r="BS335" s="11">
        <f ca="1">IFERROR(YEAR(OFFSET(BV!$H335,,(COLUMN()-69)*8)),"")</f>
        <v>2020</v>
      </c>
      <c r="BT335" s="11">
        <f ca="1">IFERROR(YEAR(OFFSET(BV!$H335,,(COLUMN()-69)*8)),"")</f>
        <v>2020</v>
      </c>
      <c r="BU335" s="11">
        <f ca="1">IFERROR(YEAR(OFFSET(BV!$H335,,(COLUMN()-69)*8)),"")</f>
        <v>2020</v>
      </c>
      <c r="BV335" s="11">
        <f ca="1">IFERROR(YEAR(OFFSET(BV!$H335,,(COLUMN()-69)*8)),"")</f>
        <v>2020</v>
      </c>
      <c r="BW335" s="11">
        <f ca="1">IFERROR(YEAR(OFFSET(BV!$H335,,(COLUMN()-69)*8)),"")</f>
        <v>2020</v>
      </c>
      <c r="BX335" s="11">
        <f ca="1">IFERROR(YEAR(OFFSET(BV!$H335,,(COLUMN()-69)*8)),"")</f>
        <v>2019</v>
      </c>
      <c r="BY335" s="11">
        <f ca="1">IFERROR(YEAR(OFFSET(BV!$H335,,(COLUMN()-69)*8)),"")</f>
        <v>2020</v>
      </c>
      <c r="BZ335" s="11">
        <f ca="1">IFERROR(YEAR(OFFSET(BV!$H335,,(COLUMN()-69)*8)),"")</f>
        <v>2020</v>
      </c>
    </row>
    <row r="336" spans="1:78" x14ac:dyDescent="0.25">
      <c r="A336" s="433">
        <v>194</v>
      </c>
      <c r="B336" s="297">
        <f ca="1">BV!D336</f>
        <v>2.7506025804622145</v>
      </c>
      <c r="C336" s="298">
        <f ca="1">BV!L336</f>
        <v>2.5499474237644586</v>
      </c>
      <c r="D336" s="299">
        <f ca="1">BV!T336</f>
        <v>2.4356559949780285</v>
      </c>
      <c r="E336" s="299">
        <f ca="1">BV!AB336</f>
        <v>2.3932889217863309</v>
      </c>
      <c r="F336" s="301">
        <f ca="1">BV!AJ336</f>
        <v>1.9944484424796958</v>
      </c>
      <c r="G336" s="301">
        <f ca="1">BV!AR336</f>
        <v>1.7215369598012247</v>
      </c>
      <c r="H336" s="11" t="str">
        <f ca="1">BV!AZ336</f>
        <v/>
      </c>
      <c r="I336" s="11" t="str">
        <f ca="1">BV!BH336</f>
        <v/>
      </c>
      <c r="J336" s="11" t="str">
        <f ca="1">BV!BP336</f>
        <v/>
      </c>
      <c r="K336" s="11" t="str">
        <f ca="1">BV!BX336</f>
        <v/>
      </c>
      <c r="L336" s="15" t="s">
        <v>102</v>
      </c>
      <c r="M336" s="261">
        <v>1.1283479333E-2</v>
      </c>
      <c r="N336" s="282">
        <f t="shared" ca="1" si="157"/>
        <v>9.4140929308002423</v>
      </c>
      <c r="O336" s="263" t="s">
        <v>11</v>
      </c>
      <c r="P336" s="721">
        <f t="shared" ref="P336:Y336" ca="1" si="176">IFERROR(MIN(10,$AK2/P30),20)</f>
        <v>2.3294675613079536</v>
      </c>
      <c r="Q336" s="721">
        <f t="shared" ca="1" si="176"/>
        <v>2.3942821000626626</v>
      </c>
      <c r="R336" s="564">
        <f t="shared" ca="1" si="176"/>
        <v>2.7103213308691965</v>
      </c>
      <c r="S336" s="564">
        <f t="shared" ca="1" si="176"/>
        <v>2.8753161928580746</v>
      </c>
      <c r="T336" s="564">
        <f t="shared" ca="1" si="176"/>
        <v>2.9449731945722388</v>
      </c>
      <c r="U336" s="564">
        <f t="shared" ca="1" si="176"/>
        <v>2.9703971641806488</v>
      </c>
      <c r="V336" s="722">
        <f t="shared" ca="1" si="176"/>
        <v>3.1281899688307617</v>
      </c>
      <c r="W336" s="722">
        <f t="shared" ca="1" si="176"/>
        <v>3.2138041327045199</v>
      </c>
      <c r="X336" s="722">
        <f t="shared" ca="1" si="176"/>
        <v>3.4162592608533404</v>
      </c>
      <c r="Y336" s="563">
        <f t="shared" ca="1" si="176"/>
        <v>3.5347180390750625</v>
      </c>
      <c r="Z336" s="258">
        <f ca="1">SUM(P336:Y336)</f>
        <v>29.51772894531446</v>
      </c>
      <c r="AA336" s="344"/>
      <c r="AB336" s="344"/>
      <c r="AC336" s="345">
        <f ca="1">INT(Z336/60)</f>
        <v>0</v>
      </c>
      <c r="AD336" s="346" t="s">
        <v>51</v>
      </c>
      <c r="AE336" s="345">
        <f ca="1">Z336-AC336*60</f>
        <v>29.51772894531446</v>
      </c>
      <c r="AF336" s="346" t="s">
        <v>52</v>
      </c>
      <c r="AG336" s="591">
        <f ca="1">SUM(N2:N9)</f>
        <v>155.30536569697065</v>
      </c>
      <c r="AH336" s="591"/>
      <c r="AI336" s="344"/>
      <c r="AJ336" s="344"/>
      <c r="AK336" s="315"/>
      <c r="AL336" s="315"/>
      <c r="AM336" s="315"/>
      <c r="AN336" s="433">
        <v>194</v>
      </c>
      <c r="AO336" s="301">
        <f ca="1">BV!C336</f>
        <v>70.53</v>
      </c>
      <c r="AP336" s="302">
        <f ca="1">BV!K336</f>
        <v>76.08</v>
      </c>
      <c r="AQ336" s="660">
        <f ca="1">BV!S336</f>
        <v>79.650000000000006</v>
      </c>
      <c r="AR336" s="660">
        <f ca="1">BV!AA336</f>
        <v>81.06</v>
      </c>
      <c r="AS336" s="11">
        <f ca="1">BV!AI336</f>
        <v>97.27</v>
      </c>
      <c r="AT336" s="11">
        <f ca="1">BV!AQ336</f>
        <v>112.69</v>
      </c>
      <c r="AU336" s="11" t="str">
        <f ca="1">BV!AY336</f>
        <v/>
      </c>
      <c r="AV336" s="11" t="str">
        <f ca="1">BV!BG336</f>
        <v/>
      </c>
      <c r="AW336" s="11" t="str">
        <f ca="1">BV!BO336</f>
        <v/>
      </c>
      <c r="AX336" s="11" t="str">
        <f ca="1">BV!BW336</f>
        <v/>
      </c>
      <c r="AY336" s="15" t="s">
        <v>65</v>
      </c>
      <c r="AZ336" s="258">
        <f t="shared" si="159"/>
        <v>1.9475569622208593</v>
      </c>
      <c r="BA336" s="261">
        <v>1.1283479333E-2</v>
      </c>
      <c r="BB336" s="56">
        <v>0.11014232450500001</v>
      </c>
      <c r="BC336" s="56">
        <f t="shared" si="160"/>
        <v>0.10244453604652021</v>
      </c>
      <c r="BD336" s="13">
        <f ca="1">IF(BV!H336="","",INT(NOW()-BV!H336))</f>
        <v>121</v>
      </c>
      <c r="BE336" s="260">
        <f t="shared" si="161"/>
        <v>9.4140929308002423</v>
      </c>
      <c r="BF336" s="299">
        <f ca="1">BV!G336</f>
        <v>60.821395815346087</v>
      </c>
      <c r="BG336" s="300">
        <f ca="1">BV!O336</f>
        <v>53.472701855824795</v>
      </c>
      <c r="BH336" s="301">
        <f ca="1">BV!W336</f>
        <v>49.462510905646738</v>
      </c>
      <c r="BI336" s="301">
        <f ca="1">BV!AE336</f>
        <v>48.008790663342921</v>
      </c>
      <c r="BJ336" s="302">
        <f ca="1">BV!AM336</f>
        <v>35.215010990753875</v>
      </c>
      <c r="BK336" s="302">
        <f ca="1">BV!AU336</f>
        <v>27.421224295413065</v>
      </c>
      <c r="BL336" s="11" t="str">
        <f ca="1">BV!BC336</f>
        <v/>
      </c>
      <c r="BM336" s="11" t="str">
        <f ca="1">BV!BK336</f>
        <v/>
      </c>
      <c r="BN336" s="11" t="str">
        <f ca="1">BV!BS336</f>
        <v/>
      </c>
      <c r="BO336" s="11" t="str">
        <f ca="1">BV!CA336</f>
        <v/>
      </c>
      <c r="BP336" s="433">
        <v>194</v>
      </c>
      <c r="BQ336" s="11">
        <f ca="1">IFERROR(YEAR(OFFSET(BV!$H336,,(COLUMN()-69)*8)),"")</f>
        <v>2020</v>
      </c>
      <c r="BR336" s="11">
        <f ca="1">IFERROR(YEAR(OFFSET(BV!$H336,,(COLUMN()-69)*8)),"")</f>
        <v>2020</v>
      </c>
      <c r="BS336" s="11">
        <f ca="1">IFERROR(YEAR(OFFSET(BV!$H336,,(COLUMN()-69)*8)),"")</f>
        <v>2019</v>
      </c>
      <c r="BT336" s="11">
        <f ca="1">IFERROR(YEAR(OFFSET(BV!$H336,,(COLUMN()-69)*8)),"")</f>
        <v>2020</v>
      </c>
      <c r="BU336" s="11">
        <f ca="1">IFERROR(YEAR(OFFSET(BV!$H336,,(COLUMN()-69)*8)),"")</f>
        <v>2020</v>
      </c>
      <c r="BV336" s="11">
        <f ca="1">IFERROR(YEAR(OFFSET(BV!$H336,,(COLUMN()-69)*8)),"")</f>
        <v>2020</v>
      </c>
      <c r="BW336" s="11" t="str">
        <f ca="1">IFERROR(YEAR(OFFSET(BV!$H336,,(COLUMN()-69)*8)),"")</f>
        <v/>
      </c>
      <c r="BX336" s="11" t="str">
        <f ca="1">IFERROR(YEAR(OFFSET(BV!$H336,,(COLUMN()-69)*8)),"")</f>
        <v/>
      </c>
      <c r="BY336" s="11" t="str">
        <f ca="1">IFERROR(YEAR(OFFSET(BV!$H336,,(COLUMN()-69)*8)),"")</f>
        <v/>
      </c>
      <c r="BZ336" s="11" t="str">
        <f ca="1">IFERROR(YEAR(OFFSET(BV!$H336,,(COLUMN()-69)*8)),"")</f>
        <v/>
      </c>
    </row>
    <row r="337" spans="1:78" x14ac:dyDescent="0.25">
      <c r="A337" s="433">
        <v>195</v>
      </c>
      <c r="B337" s="298">
        <f ca="1">BV!D337</f>
        <v>2.7215631542219119</v>
      </c>
      <c r="C337" s="298">
        <f ca="1">BV!L337</f>
        <v>2.5500196155355042</v>
      </c>
      <c r="D337" s="299">
        <f ca="1">BV!T337</f>
        <v>2.4790236460717012</v>
      </c>
      <c r="E337" s="299">
        <f ca="1">BV!AB337</f>
        <v>2.4549918166939442</v>
      </c>
      <c r="F337" s="299">
        <f ca="1">BV!AJ337</f>
        <v>2.450364413169138</v>
      </c>
      <c r="G337" s="299">
        <f ca="1">BV!AR337</f>
        <v>2.4396346803453017</v>
      </c>
      <c r="H337" s="299">
        <f ca="1">BV!AZ337</f>
        <v>2.345441424103921</v>
      </c>
      <c r="I337" s="299">
        <f ca="1">BV!BH337</f>
        <v>2.2865853658536586</v>
      </c>
      <c r="J337" s="300">
        <f ca="1">BV!BP337</f>
        <v>2.1376891032668275</v>
      </c>
      <c r="K337" s="300">
        <f ca="1">BV!BX337</f>
        <v>2.1078802291644148</v>
      </c>
      <c r="L337" s="15" t="s">
        <v>102</v>
      </c>
      <c r="M337" s="261">
        <v>1.0684761167E-2</v>
      </c>
      <c r="N337" s="282">
        <f t="shared" ca="1" si="157"/>
        <v>9.6742563345769064</v>
      </c>
      <c r="O337" s="31" t="s">
        <v>12</v>
      </c>
      <c r="P337" s="563">
        <f t="shared" ref="P337:Y337" ca="1" si="177">IFERROR(MIN(10,$AK3/P31),20)</f>
        <v>3.6345800461647255</v>
      </c>
      <c r="Q337" s="563">
        <f t="shared" ca="1" si="177"/>
        <v>3.8707160449686739</v>
      </c>
      <c r="R337" s="723">
        <f t="shared" ca="1" si="177"/>
        <v>4.0058077331289796</v>
      </c>
      <c r="S337" s="723">
        <f t="shared" ca="1" si="177"/>
        <v>4.0802152672914431</v>
      </c>
      <c r="T337" s="723">
        <f t="shared" ca="1" si="177"/>
        <v>4.1593411300307999</v>
      </c>
      <c r="U337" s="723">
        <f t="shared" ca="1" si="177"/>
        <v>4.2358251045647428</v>
      </c>
      <c r="V337" s="723">
        <f t="shared" ca="1" si="177"/>
        <v>4.2896238677715415</v>
      </c>
      <c r="W337" s="723">
        <f t="shared" ca="1" si="177"/>
        <v>4.3298062236859511</v>
      </c>
      <c r="X337" s="723">
        <f t="shared" ca="1" si="177"/>
        <v>4.363423899084756</v>
      </c>
      <c r="Y337" s="723">
        <f t="shared" ca="1" si="177"/>
        <v>4.4099885051983403</v>
      </c>
      <c r="Z337" s="258">
        <f t="shared" ref="Z337:Z358" ca="1" si="178">SUM(P337:Y337)</f>
        <v>41.379327821889959</v>
      </c>
      <c r="AA337" s="344"/>
      <c r="AB337" s="344"/>
      <c r="AC337" s="345">
        <f t="shared" ref="AC337:AC360" ca="1" si="179">INT(Z337/60)</f>
        <v>0</v>
      </c>
      <c r="AD337" s="31" t="s">
        <v>51</v>
      </c>
      <c r="AE337" s="345">
        <f t="shared" ref="AE337:AE360" ca="1" si="180">Z337-AC337*60</f>
        <v>41.379327821889959</v>
      </c>
      <c r="AF337" s="31" t="s">
        <v>52</v>
      </c>
      <c r="AG337" s="591">
        <f ca="1">SUM(N10:N19)</f>
        <v>40.677580343900743</v>
      </c>
      <c r="AH337" s="591"/>
      <c r="AI337" s="344"/>
      <c r="AJ337" s="344"/>
      <c r="AK337" s="315"/>
      <c r="AL337" s="315"/>
      <c r="AM337" s="315"/>
      <c r="AN337" s="433">
        <v>195</v>
      </c>
      <c r="AO337" s="301">
        <f ca="1">BV!C337</f>
        <v>71.650000000000006</v>
      </c>
      <c r="AP337" s="302">
        <f ca="1">BV!K337</f>
        <v>76.47</v>
      </c>
      <c r="AQ337" s="302">
        <f ca="1">BV!S337</f>
        <v>78.66</v>
      </c>
      <c r="AR337" s="660">
        <f ca="1">BV!AA337</f>
        <v>79.430000000000007</v>
      </c>
      <c r="AS337" s="660">
        <f ca="1">BV!AI337</f>
        <v>79.58</v>
      </c>
      <c r="AT337" s="660">
        <f ca="1">BV!AQ337</f>
        <v>79.930000000000007</v>
      </c>
      <c r="AU337" s="660">
        <f ca="1">BV!AY337</f>
        <v>83.14</v>
      </c>
      <c r="AV337" s="659">
        <f ca="1">BV!BG337</f>
        <v>85.28</v>
      </c>
      <c r="AW337" s="11">
        <f ca="1">BV!BO337</f>
        <v>91.22</v>
      </c>
      <c r="AX337" s="11">
        <f ca="1">BV!BW337</f>
        <v>92.51</v>
      </c>
      <c r="AY337" s="15" t="s">
        <v>65</v>
      </c>
      <c r="AZ337" s="258">
        <f t="shared" si="159"/>
        <v>1.971235181035077</v>
      </c>
      <c r="BA337" s="261">
        <v>1.0684761167E-2</v>
      </c>
      <c r="BB337" s="56">
        <v>0.11014232450500001</v>
      </c>
      <c r="BC337" s="56">
        <f t="shared" si="160"/>
        <v>9.7008676864405161E-2</v>
      </c>
      <c r="BD337" s="13">
        <f ca="1">IF(BV!H337="","",INT(NOW()-BV!H337))</f>
        <v>269</v>
      </c>
      <c r="BE337" s="260">
        <f t="shared" si="161"/>
        <v>9.6742563345769064</v>
      </c>
      <c r="BF337" s="299">
        <f ca="1">BV!G337</f>
        <v>59.519234322349632</v>
      </c>
      <c r="BG337" s="300">
        <f ca="1">BV!O337</f>
        <v>53.283164940533155</v>
      </c>
      <c r="BH337" s="300">
        <f ca="1">BV!W337</f>
        <v>50.785901401257178</v>
      </c>
      <c r="BI337" s="301">
        <f ca="1">BV!AE337</f>
        <v>49.951796299694564</v>
      </c>
      <c r="BJ337" s="301">
        <f ca="1">BV!AM337</f>
        <v>49.791840239960777</v>
      </c>
      <c r="BK337" s="301">
        <f ca="1">BV!AU337</f>
        <v>49.421757414127796</v>
      </c>
      <c r="BL337" s="301">
        <f ca="1">BV!BC337</f>
        <v>46.221904125389337</v>
      </c>
      <c r="BM337" s="301">
        <f ca="1">BV!BK337</f>
        <v>44.267463802140128</v>
      </c>
      <c r="BN337" s="301">
        <f ca="1">BV!BS337</f>
        <v>39.479509770133681</v>
      </c>
      <c r="BO337" s="301">
        <f ca="1">BV!CA337</f>
        <v>38.548200487892082</v>
      </c>
      <c r="BP337" s="433">
        <v>195</v>
      </c>
      <c r="BQ337" s="11">
        <f ca="1">IFERROR(YEAR(OFFSET(BV!$H337,,(COLUMN()-69)*8)),"")</f>
        <v>2020</v>
      </c>
      <c r="BR337" s="11">
        <f ca="1">IFERROR(YEAR(OFFSET(BV!$H337,,(COLUMN()-69)*8)),"")</f>
        <v>2020</v>
      </c>
      <c r="BS337" s="11">
        <f ca="1">IFERROR(YEAR(OFFSET(BV!$H337,,(COLUMN()-69)*8)),"")</f>
        <v>2019</v>
      </c>
      <c r="BT337" s="11">
        <f ca="1">IFERROR(YEAR(OFFSET(BV!$H337,,(COLUMN()-69)*8)),"")</f>
        <v>2020</v>
      </c>
      <c r="BU337" s="11">
        <f ca="1">IFERROR(YEAR(OFFSET(BV!$H337,,(COLUMN()-69)*8)),"")</f>
        <v>2020</v>
      </c>
      <c r="BV337" s="11">
        <f ca="1">IFERROR(YEAR(OFFSET(BV!$H337,,(COLUMN()-69)*8)),"")</f>
        <v>2020</v>
      </c>
      <c r="BW337" s="11">
        <f ca="1">IFERROR(YEAR(OFFSET(BV!$H337,,(COLUMN()-69)*8)),"")</f>
        <v>2019</v>
      </c>
      <c r="BX337" s="11">
        <f ca="1">IFERROR(YEAR(OFFSET(BV!$H337,,(COLUMN()-69)*8)),"")</f>
        <v>2019</v>
      </c>
      <c r="BY337" s="11">
        <f ca="1">IFERROR(YEAR(OFFSET(BV!$H337,,(COLUMN()-69)*8)),"")</f>
        <v>2019</v>
      </c>
      <c r="BZ337" s="11">
        <f ca="1">IFERROR(YEAR(OFFSET(BV!$H337,,(COLUMN()-69)*8)),"")</f>
        <v>2019</v>
      </c>
    </row>
    <row r="338" spans="1:78" x14ac:dyDescent="0.25">
      <c r="A338" s="433">
        <v>196</v>
      </c>
      <c r="B338" s="298">
        <f ca="1">BV!D338</f>
        <v>2.6666666666666665</v>
      </c>
      <c r="C338" s="298">
        <f ca="1">BV!L338</f>
        <v>2.655466738924265</v>
      </c>
      <c r="D338" s="298">
        <f ca="1">BV!T338</f>
        <v>2.5382025382025382</v>
      </c>
      <c r="E338" s="299">
        <f ca="1">BV!AB338</f>
        <v>2.4381141933076251</v>
      </c>
      <c r="F338" s="299">
        <f ca="1">BV!AJ338</f>
        <v>2.3498381489030091</v>
      </c>
      <c r="G338" s="299">
        <f ca="1">BV!AR338</f>
        <v>2.2585849274026275</v>
      </c>
      <c r="H338" s="300">
        <f ca="1">BV!AZ338</f>
        <v>2.16766202167662</v>
      </c>
      <c r="I338" s="300">
        <f ca="1">BV!BH338</f>
        <v>2.0811212571671267</v>
      </c>
      <c r="J338" s="11" t="str">
        <f ca="1">BV!BP338</f>
        <v/>
      </c>
      <c r="K338" s="11" t="str">
        <f ca="1">BV!BX338</f>
        <v/>
      </c>
      <c r="L338" s="15" t="s">
        <v>102</v>
      </c>
      <c r="M338" s="261">
        <v>1.0094932395000001E-2</v>
      </c>
      <c r="N338" s="282">
        <f t="shared" ca="1" si="157"/>
        <v>9.9528691069250552</v>
      </c>
      <c r="O338" s="31" t="s">
        <v>13</v>
      </c>
      <c r="P338" s="724">
        <f t="shared" ref="P338:Y338" ca="1" si="181">IFERROR(MIN(10,$AK4/P32),20)</f>
        <v>5.348112829280117</v>
      </c>
      <c r="Q338" s="561">
        <f t="shared" ca="1" si="181"/>
        <v>5.6231125592399431</v>
      </c>
      <c r="R338" s="561">
        <f t="shared" ca="1" si="181"/>
        <v>5.9332854306928642</v>
      </c>
      <c r="S338" s="725">
        <f t="shared" ca="1" si="181"/>
        <v>6.036978097593626</v>
      </c>
      <c r="T338" s="725">
        <f t="shared" ca="1" si="181"/>
        <v>6.1535591914553116</v>
      </c>
      <c r="U338" s="725">
        <f t="shared" ca="1" si="181"/>
        <v>6.2169431613710922</v>
      </c>
      <c r="V338" s="725">
        <f t="shared" ca="1" si="181"/>
        <v>6.3092561225365884</v>
      </c>
      <c r="W338" s="725">
        <f t="shared" ca="1" si="181"/>
        <v>6.3502084959042842</v>
      </c>
      <c r="X338" s="725">
        <f t="shared" ca="1" si="181"/>
        <v>6.4553784942499401</v>
      </c>
      <c r="Y338" s="726">
        <f t="shared" ca="1" si="181"/>
        <v>6.520492184259064</v>
      </c>
      <c r="Z338" s="258">
        <f t="shared" ca="1" si="178"/>
        <v>60.947326566582831</v>
      </c>
      <c r="AA338" s="344"/>
      <c r="AB338" s="344"/>
      <c r="AC338" s="345">
        <f t="shared" ca="1" si="179"/>
        <v>1</v>
      </c>
      <c r="AD338" s="31" t="s">
        <v>51</v>
      </c>
      <c r="AE338" s="345">
        <f t="shared" ca="1" si="180"/>
        <v>0.94732656658283076</v>
      </c>
      <c r="AF338" s="31" t="s">
        <v>52</v>
      </c>
      <c r="AG338" s="591">
        <f ca="1">SUM(N20:N29)</f>
        <v>67.098263920514114</v>
      </c>
      <c r="AH338" s="591"/>
      <c r="AI338" s="344"/>
      <c r="AJ338" s="344"/>
      <c r="AK338" s="315"/>
      <c r="AL338" s="315"/>
      <c r="AM338" s="315"/>
      <c r="AN338" s="433">
        <v>196</v>
      </c>
      <c r="AO338" s="301">
        <f ca="1">BV!C338</f>
        <v>73.5</v>
      </c>
      <c r="AP338" s="301">
        <f ca="1">BV!K338</f>
        <v>73.81</v>
      </c>
      <c r="AQ338" s="302">
        <f ca="1">BV!S338</f>
        <v>77.22</v>
      </c>
      <c r="AR338" s="660">
        <f ca="1">BV!AA338</f>
        <v>80.39</v>
      </c>
      <c r="AS338" s="660">
        <f ca="1">BV!AI338</f>
        <v>83.41</v>
      </c>
      <c r="AT338" s="659">
        <f ca="1">BV!AQ338</f>
        <v>86.78</v>
      </c>
      <c r="AU338" s="11">
        <f ca="1">BV!AY338</f>
        <v>90.42</v>
      </c>
      <c r="AV338" s="11">
        <f ca="1">BV!BG338</f>
        <v>94.18</v>
      </c>
      <c r="AW338" s="11" t="str">
        <f ca="1">BV!BO338</f>
        <v/>
      </c>
      <c r="AX338" s="11" t="str">
        <f ca="1">BV!BW338</f>
        <v/>
      </c>
      <c r="AY338" s="15" t="s">
        <v>65</v>
      </c>
      <c r="AZ338" s="258">
        <f t="shared" ref="AZ338:AZ369" si="182">0-LOG10(M338)</f>
        <v>1.9958965851479558</v>
      </c>
      <c r="BA338" s="261">
        <v>1.0094932395000001E-2</v>
      </c>
      <c r="BB338" s="56">
        <v>0.11014232450500001</v>
      </c>
      <c r="BC338" s="56">
        <f t="shared" si="160"/>
        <v>9.1653525929913812E-2</v>
      </c>
      <c r="BD338" s="13">
        <f ca="1">IF(BV!H338="","",INT(NOW()-BV!H338))</f>
        <v>177</v>
      </c>
      <c r="BE338" s="260">
        <f t="shared" si="161"/>
        <v>9.9528691069250552</v>
      </c>
      <c r="BF338" s="299">
        <f ca="1">BV!G338</f>
        <v>57.287233542705138</v>
      </c>
      <c r="BG338" s="299">
        <f ca="1">BV!O338</f>
        <v>56.878806854565532</v>
      </c>
      <c r="BH338" s="300">
        <f ca="1">BV!W338</f>
        <v>52.675136694727264</v>
      </c>
      <c r="BI338" s="301">
        <f ca="1">BV!AE338</f>
        <v>49.192951231860242</v>
      </c>
      <c r="BJ338" s="301">
        <f ca="1">BV!AM338</f>
        <v>46.203568646538841</v>
      </c>
      <c r="BK338" s="301">
        <f ca="1">BV!AU338</f>
        <v>43.194945346564694</v>
      </c>
      <c r="BL338" s="301">
        <f ca="1">BV!BC338</f>
        <v>40.28066873990317</v>
      </c>
      <c r="BM338" s="301">
        <f ca="1">BV!BK338</f>
        <v>37.585173581142243</v>
      </c>
      <c r="BN338" s="11" t="str">
        <f ca="1">BV!BS338</f>
        <v/>
      </c>
      <c r="BO338" s="11" t="str">
        <f ca="1">BV!CA338</f>
        <v/>
      </c>
      <c r="BP338" s="433">
        <v>196</v>
      </c>
      <c r="BQ338" s="11">
        <f ca="1">IFERROR(YEAR(OFFSET(BV!$H338,,(COLUMN()-69)*8)),"")</f>
        <v>2020</v>
      </c>
      <c r="BR338" s="11">
        <f ca="1">IFERROR(YEAR(OFFSET(BV!$H338,,(COLUMN()-69)*8)),"")</f>
        <v>2020</v>
      </c>
      <c r="BS338" s="11">
        <f ca="1">IFERROR(YEAR(OFFSET(BV!$H338,,(COLUMN()-69)*8)),"")</f>
        <v>2020</v>
      </c>
      <c r="BT338" s="11">
        <f ca="1">IFERROR(YEAR(OFFSET(BV!$H338,,(COLUMN()-69)*8)),"")</f>
        <v>2020</v>
      </c>
      <c r="BU338" s="11">
        <f ca="1">IFERROR(YEAR(OFFSET(BV!$H338,,(COLUMN()-69)*8)),"")</f>
        <v>2020</v>
      </c>
      <c r="BV338" s="11">
        <f ca="1">IFERROR(YEAR(OFFSET(BV!$H338,,(COLUMN()-69)*8)),"")</f>
        <v>2019</v>
      </c>
      <c r="BW338" s="11">
        <f ca="1">IFERROR(YEAR(OFFSET(BV!$H338,,(COLUMN()-69)*8)),"")</f>
        <v>2019</v>
      </c>
      <c r="BX338" s="11">
        <f ca="1">IFERROR(YEAR(OFFSET(BV!$H338,,(COLUMN()-69)*8)),"")</f>
        <v>2019</v>
      </c>
      <c r="BY338" s="11" t="str">
        <f ca="1">IFERROR(YEAR(OFFSET(BV!$H338,,(COLUMN()-69)*8)),"")</f>
        <v/>
      </c>
      <c r="BZ338" s="11" t="str">
        <f ca="1">IFERROR(YEAR(OFFSET(BV!$H338,,(COLUMN()-69)*8)),"")</f>
        <v/>
      </c>
    </row>
    <row r="339" spans="1:78" x14ac:dyDescent="0.25">
      <c r="A339" s="433">
        <v>197</v>
      </c>
      <c r="B339" s="297">
        <f ca="1">BV!D339</f>
        <v>2.7971035070282548</v>
      </c>
      <c r="C339" s="298">
        <f ca="1">BV!L339</f>
        <v>2.5455485204806823</v>
      </c>
      <c r="D339" s="299">
        <f ca="1">BV!T339</f>
        <v>2.3786524993962814</v>
      </c>
      <c r="E339" s="299">
        <f ca="1">BV!AB339</f>
        <v>2.2995214194000231</v>
      </c>
      <c r="F339" s="300">
        <f ca="1">BV!AJ339</f>
        <v>2.2371110606404723</v>
      </c>
      <c r="G339" s="300">
        <f ca="1">BV!AR339</f>
        <v>2.2182186690687984</v>
      </c>
      <c r="H339" s="11" t="str">
        <f ca="1">BV!AZ339</f>
        <v/>
      </c>
      <c r="I339" s="11" t="str">
        <f ca="1">BV!BH339</f>
        <v/>
      </c>
      <c r="J339" s="11" t="str">
        <f ca="1">BV!BP339</f>
        <v/>
      </c>
      <c r="K339" s="11" t="str">
        <f ca="1">BV!BX339</f>
        <v/>
      </c>
      <c r="L339" s="62" t="s">
        <v>64</v>
      </c>
      <c r="M339" s="261">
        <v>9.516021082E-3</v>
      </c>
      <c r="N339" s="277">
        <f t="shared" ca="1" si="157"/>
        <v>10.251143245987441</v>
      </c>
      <c r="O339" s="31" t="s">
        <v>14</v>
      </c>
      <c r="P339" s="727">
        <f t="shared" ref="P339:Y339" ca="1" si="183">IFERROR(MIN(10,$AK5/P33),20)</f>
        <v>8.4988741836196038</v>
      </c>
      <c r="Q339" s="728">
        <f t="shared" ca="1" si="183"/>
        <v>9.6920291752904202</v>
      </c>
      <c r="R339" s="729">
        <f t="shared" ca="1" si="183"/>
        <v>10</v>
      </c>
      <c r="S339" s="729">
        <f t="shared" ca="1" si="183"/>
        <v>10</v>
      </c>
      <c r="T339" s="729">
        <f t="shared" ca="1" si="183"/>
        <v>10</v>
      </c>
      <c r="U339" s="729">
        <f t="shared" ca="1" si="183"/>
        <v>10</v>
      </c>
      <c r="V339" s="729">
        <f t="shared" ca="1" si="183"/>
        <v>10</v>
      </c>
      <c r="W339" s="729">
        <f t="shared" ca="1" si="183"/>
        <v>10</v>
      </c>
      <c r="X339" s="729">
        <f t="shared" ca="1" si="183"/>
        <v>10</v>
      </c>
      <c r="Y339" s="729">
        <f t="shared" ca="1" si="183"/>
        <v>10</v>
      </c>
      <c r="Z339" s="258">
        <f t="shared" ca="1" si="178"/>
        <v>98.19090335891002</v>
      </c>
      <c r="AA339" s="344"/>
      <c r="AB339" s="344"/>
      <c r="AC339" s="345">
        <f t="shared" ca="1" si="179"/>
        <v>1</v>
      </c>
      <c r="AD339" s="31" t="s">
        <v>51</v>
      </c>
      <c r="AE339" s="345">
        <f t="shared" ca="1" si="180"/>
        <v>38.19090335891002</v>
      </c>
      <c r="AF339" s="31" t="s">
        <v>52</v>
      </c>
      <c r="AG339" s="591">
        <f ca="1">SUM(N30:N54)</f>
        <v>313.43385782973456</v>
      </c>
      <c r="AH339" s="591"/>
      <c r="AI339" s="344"/>
      <c r="AJ339" s="344"/>
      <c r="AK339" s="315"/>
      <c r="AL339" s="315"/>
      <c r="AM339" s="315"/>
      <c r="AN339" s="433">
        <v>197</v>
      </c>
      <c r="AO339" s="301">
        <f ca="1">BV!C339</f>
        <v>70.430000000000007</v>
      </c>
      <c r="AP339" s="302">
        <f ca="1">BV!K339</f>
        <v>77.39</v>
      </c>
      <c r="AQ339" s="660">
        <f ca="1">BV!S339</f>
        <v>82.82</v>
      </c>
      <c r="AR339" s="659">
        <f ca="1">BV!AA339</f>
        <v>85.67</v>
      </c>
      <c r="AS339" s="659">
        <f ca="1">BV!AI339</f>
        <v>88.06</v>
      </c>
      <c r="AT339" s="659">
        <f ca="1">BV!AQ339</f>
        <v>88.81</v>
      </c>
      <c r="AU339" s="11" t="str">
        <f ca="1">BV!AY339</f>
        <v/>
      </c>
      <c r="AV339" s="11" t="str">
        <f ca="1">BV!BG339</f>
        <v/>
      </c>
      <c r="AW339" s="11" t="str">
        <f ca="1">BV!BO339</f>
        <v/>
      </c>
      <c r="AX339" s="11" t="str">
        <f ca="1">BV!BW339</f>
        <v/>
      </c>
      <c r="AY339" s="62" t="s">
        <v>3</v>
      </c>
      <c r="AZ339" s="37">
        <f t="shared" si="182"/>
        <v>2.0215446044882679</v>
      </c>
      <c r="BA339" s="261">
        <v>9.516021082E-3</v>
      </c>
      <c r="BB339" s="56">
        <v>0.11014232450500001</v>
      </c>
      <c r="BC339" s="56">
        <f t="shared" si="160"/>
        <v>8.6397496373594437E-2</v>
      </c>
      <c r="BD339" s="13">
        <f ca="1">IF(BV!H339="","",INT(NOW()-BV!H339))</f>
        <v>116</v>
      </c>
      <c r="BE339" s="279">
        <f t="shared" si="161"/>
        <v>10.251143245987439</v>
      </c>
      <c r="BF339" s="299">
        <f ca="1">BV!G339</f>
        <v>61.911084440907963</v>
      </c>
      <c r="BG339" s="300">
        <f ca="1">BV!O339</f>
        <v>52.746329346919481</v>
      </c>
      <c r="BH339" s="301">
        <f ca="1">BV!W339</f>
        <v>47.00311028866097</v>
      </c>
      <c r="BI339" s="301">
        <f ca="1">BV!AE339</f>
        <v>44.375941235677949</v>
      </c>
      <c r="BJ339" s="301">
        <f ca="1">BV!AM339</f>
        <v>42.347982367843784</v>
      </c>
      <c r="BK339" s="301">
        <f ca="1">BV!AU339</f>
        <v>41.741812447159667</v>
      </c>
      <c r="BL339" s="11" t="str">
        <f ca="1">BV!BC339</f>
        <v/>
      </c>
      <c r="BM339" s="11" t="str">
        <f ca="1">BV!BK339</f>
        <v/>
      </c>
      <c r="BN339" s="11" t="str">
        <f ca="1">BV!BS339</f>
        <v/>
      </c>
      <c r="BO339" s="11" t="str">
        <f ca="1">BV!CA339</f>
        <v/>
      </c>
      <c r="BP339" s="433">
        <v>197</v>
      </c>
      <c r="BQ339" s="11">
        <f ca="1">IFERROR(YEAR(OFFSET(BV!$H339,,(COLUMN()-69)*8)),"")</f>
        <v>2020</v>
      </c>
      <c r="BR339" s="11">
        <f ca="1">IFERROR(YEAR(OFFSET(BV!$H339,,(COLUMN()-69)*8)),"")</f>
        <v>2020</v>
      </c>
      <c r="BS339" s="11">
        <f ca="1">IFERROR(YEAR(OFFSET(BV!$H339,,(COLUMN()-69)*8)),"")</f>
        <v>2019</v>
      </c>
      <c r="BT339" s="11">
        <f ca="1">IFERROR(YEAR(OFFSET(BV!$H339,,(COLUMN()-69)*8)),"")</f>
        <v>2019</v>
      </c>
      <c r="BU339" s="11">
        <f ca="1">IFERROR(YEAR(OFFSET(BV!$H339,,(COLUMN()-69)*8)),"")</f>
        <v>2020</v>
      </c>
      <c r="BV339" s="11">
        <f ca="1">IFERROR(YEAR(OFFSET(BV!$H339,,(COLUMN()-69)*8)),"")</f>
        <v>2019</v>
      </c>
      <c r="BW339" s="11" t="str">
        <f ca="1">IFERROR(YEAR(OFFSET(BV!$H339,,(COLUMN()-69)*8)),"")</f>
        <v/>
      </c>
      <c r="BX339" s="11" t="str">
        <f ca="1">IFERROR(YEAR(OFFSET(BV!$H339,,(COLUMN()-69)*8)),"")</f>
        <v/>
      </c>
      <c r="BY339" s="11" t="str">
        <f ca="1">IFERROR(YEAR(OFFSET(BV!$H339,,(COLUMN()-69)*8)),"")</f>
        <v/>
      </c>
      <c r="BZ339" s="11" t="str">
        <f ca="1">IFERROR(YEAR(OFFSET(BV!$H339,,(COLUMN()-69)*8)),"")</f>
        <v/>
      </c>
    </row>
    <row r="340" spans="1:78" x14ac:dyDescent="0.25">
      <c r="A340" s="433">
        <v>198</v>
      </c>
      <c r="B340" s="298">
        <f ca="1">BV!D340</f>
        <v>2.6913143944542615</v>
      </c>
      <c r="C340" s="298">
        <f ca="1">BV!L340</f>
        <v>2.615933412604043</v>
      </c>
      <c r="D340" s="298">
        <f ca="1">BV!T340</f>
        <v>2.5821596244131455</v>
      </c>
      <c r="E340" s="298">
        <f ca="1">BV!AB340</f>
        <v>2.5654314589271832</v>
      </c>
      <c r="F340" s="299">
        <f ca="1">BV!AJ340</f>
        <v>2.4196504949285105</v>
      </c>
      <c r="G340" s="299">
        <f ca="1">BV!AR340</f>
        <v>2.3023255813953489</v>
      </c>
      <c r="H340" s="299">
        <f ca="1">BV!AZ340</f>
        <v>2.297250261051166</v>
      </c>
      <c r="I340" s="299">
        <f ca="1">BV!BH340</f>
        <v>2.2659647516594186</v>
      </c>
      <c r="J340" s="300">
        <f ca="1">BV!BP340</f>
        <v>2.1960958296362025</v>
      </c>
      <c r="K340" s="11" t="str">
        <f ca="1">BV!BX340</f>
        <v/>
      </c>
      <c r="L340" s="62" t="s">
        <v>64</v>
      </c>
      <c r="M340" s="261">
        <v>8.9504552749999997E-3</v>
      </c>
      <c r="N340" s="277">
        <f t="shared" ca="1" si="157"/>
        <v>10.570059612377213</v>
      </c>
      <c r="O340" s="36" t="s">
        <v>15</v>
      </c>
      <c r="P340" s="299">
        <f t="shared" ref="P340:Y340" ca="1" si="184">IFERROR(MIN(60,$AK6/P34),120)</f>
        <v>20.096772752966892</v>
      </c>
      <c r="Q340" s="302">
        <f t="shared" ca="1" si="184"/>
        <v>24.002778500642702</v>
      </c>
      <c r="R340" s="1">
        <f t="shared" ca="1" si="184"/>
        <v>60</v>
      </c>
      <c r="S340" s="1">
        <f t="shared" ca="1" si="184"/>
        <v>120</v>
      </c>
      <c r="T340" s="1">
        <f t="shared" ca="1" si="184"/>
        <v>120</v>
      </c>
      <c r="U340" s="1">
        <f t="shared" ca="1" si="184"/>
        <v>120</v>
      </c>
      <c r="V340" s="1">
        <f t="shared" ca="1" si="184"/>
        <v>120</v>
      </c>
      <c r="W340" s="1">
        <f t="shared" ca="1" si="184"/>
        <v>120</v>
      </c>
      <c r="X340" s="1">
        <f t="shared" ca="1" si="184"/>
        <v>120</v>
      </c>
      <c r="Y340" s="1">
        <f t="shared" ca="1" si="184"/>
        <v>120</v>
      </c>
      <c r="Z340" s="323">
        <f t="shared" ca="1" si="178"/>
        <v>944.09955125360966</v>
      </c>
      <c r="AA340" s="344"/>
      <c r="AB340" s="344"/>
      <c r="AC340" s="345">
        <f t="shared" ca="1" si="179"/>
        <v>15</v>
      </c>
      <c r="AD340" s="36" t="s">
        <v>51</v>
      </c>
      <c r="AE340" s="345">
        <f t="shared" ca="1" si="180"/>
        <v>44.099551253609661</v>
      </c>
      <c r="AF340" s="36" t="s">
        <v>52</v>
      </c>
      <c r="AG340" s="587">
        <f ca="1">SUM(N55:N64)</f>
        <v>242.9869230551576</v>
      </c>
      <c r="AH340" s="587"/>
      <c r="AI340" s="344"/>
      <c r="AJ340" s="344"/>
      <c r="AK340" s="315"/>
      <c r="AL340" s="315"/>
      <c r="AM340" s="315"/>
      <c r="AN340" s="433">
        <v>198</v>
      </c>
      <c r="AO340" s="301">
        <f ca="1">BV!C340</f>
        <v>73.569999999999993</v>
      </c>
      <c r="AP340" s="302">
        <f ca="1">BV!K340</f>
        <v>75.69</v>
      </c>
      <c r="AQ340" s="302">
        <f ca="1">BV!S340</f>
        <v>76.680000000000007</v>
      </c>
      <c r="AR340" s="302">
        <f ca="1">BV!AA340</f>
        <v>77.180000000000007</v>
      </c>
      <c r="AS340" s="660">
        <f ca="1">BV!AI340</f>
        <v>81.83</v>
      </c>
      <c r="AT340" s="659">
        <f ca="1">BV!AQ340</f>
        <v>86</v>
      </c>
      <c r="AU340" s="659">
        <f ca="1">BV!AY340</f>
        <v>86.19</v>
      </c>
      <c r="AV340" s="659">
        <f ca="1">BV!BG340</f>
        <v>87.38</v>
      </c>
      <c r="AW340" s="11">
        <f ca="1">BV!BO340</f>
        <v>90.16</v>
      </c>
      <c r="AX340" s="11" t="str">
        <f ca="1">BV!BW340</f>
        <v/>
      </c>
      <c r="AY340" s="62" t="s">
        <v>3</v>
      </c>
      <c r="AZ340" s="37">
        <f t="shared" si="182"/>
        <v>2.0481548732437025</v>
      </c>
      <c r="BA340" s="261">
        <v>8.9504552749999997E-3</v>
      </c>
      <c r="BB340" s="56">
        <v>0.11014232450500001</v>
      </c>
      <c r="BC340" s="56">
        <f t="shared" si="160"/>
        <v>8.1262632827344097E-2</v>
      </c>
      <c r="BD340" s="13">
        <f ca="1">IF(BV!H340="","",INT(NOW()-BV!H340))</f>
        <v>91</v>
      </c>
      <c r="BE340" s="279">
        <f t="shared" si="161"/>
        <v>10.570059612377213</v>
      </c>
      <c r="BF340" s="299">
        <f ca="1">BV!G340</f>
        <v>57.778220281376491</v>
      </c>
      <c r="BG340" s="300">
        <f ca="1">BV!O340</f>
        <v>55.054140478126897</v>
      </c>
      <c r="BH340" s="300">
        <f ca="1">BV!W340</f>
        <v>53.851259896182626</v>
      </c>
      <c r="BI340" s="300">
        <f ca="1">BV!AE340</f>
        <v>53.259529975078308</v>
      </c>
      <c r="BJ340" s="301">
        <f ca="1">BV!AM340</f>
        <v>48.217435543493892</v>
      </c>
      <c r="BK340" s="301">
        <f ca="1">BV!AU340</f>
        <v>44.310645680665708</v>
      </c>
      <c r="BL340" s="301">
        <f ca="1">BV!BC340</f>
        <v>44.144718155239396</v>
      </c>
      <c r="BM340" s="301">
        <f ca="1">BV!BK340</f>
        <v>43.127568829638562</v>
      </c>
      <c r="BN340" s="301">
        <f ca="1">BV!BS340</f>
        <v>40.891384056326856</v>
      </c>
      <c r="BO340" s="11" t="str">
        <f ca="1">BV!CA340</f>
        <v/>
      </c>
      <c r="BP340" s="433">
        <v>198</v>
      </c>
      <c r="BQ340" s="11">
        <f ca="1">IFERROR(YEAR(OFFSET(BV!$H340,,(COLUMN()-69)*8)),"")</f>
        <v>2020</v>
      </c>
      <c r="BR340" s="11">
        <f ca="1">IFERROR(YEAR(OFFSET(BV!$H340,,(COLUMN()-69)*8)),"")</f>
        <v>2020</v>
      </c>
      <c r="BS340" s="11">
        <f ca="1">IFERROR(YEAR(OFFSET(BV!$H340,,(COLUMN()-69)*8)),"")</f>
        <v>2020</v>
      </c>
      <c r="BT340" s="11">
        <f ca="1">IFERROR(YEAR(OFFSET(BV!$H340,,(COLUMN()-69)*8)),"")</f>
        <v>2020</v>
      </c>
      <c r="BU340" s="11">
        <f ca="1">IFERROR(YEAR(OFFSET(BV!$H340,,(COLUMN()-69)*8)),"")</f>
        <v>2019</v>
      </c>
      <c r="BV340" s="11">
        <f ca="1">IFERROR(YEAR(OFFSET(BV!$H340,,(COLUMN()-69)*8)),"")</f>
        <v>2019</v>
      </c>
      <c r="BW340" s="11">
        <f ca="1">IFERROR(YEAR(OFFSET(BV!$H340,,(COLUMN()-69)*8)),"")</f>
        <v>2020</v>
      </c>
      <c r="BX340" s="11">
        <f ca="1">IFERROR(YEAR(OFFSET(BV!$H340,,(COLUMN()-69)*8)),"")</f>
        <v>2019</v>
      </c>
      <c r="BY340" s="11">
        <f ca="1">IFERROR(YEAR(OFFSET(BV!$H340,,(COLUMN()-69)*8)),"")</f>
        <v>2019</v>
      </c>
      <c r="BZ340" s="11" t="str">
        <f ca="1">IFERROR(YEAR(OFFSET(BV!$H340,,(COLUMN()-69)*8)),"")</f>
        <v/>
      </c>
    </row>
    <row r="341" spans="1:78" x14ac:dyDescent="0.25">
      <c r="A341" s="433">
        <v>199</v>
      </c>
      <c r="B341" s="298">
        <f ca="1">BV!D341</f>
        <v>2.7219258651347285</v>
      </c>
      <c r="C341" s="298">
        <f ca="1">BV!L341</f>
        <v>2.5542292388653576</v>
      </c>
      <c r="D341" s="299">
        <f ca="1">BV!T341</f>
        <v>2.462261816382084</v>
      </c>
      <c r="E341" s="299">
        <f ca="1">BV!AB341</f>
        <v>2.4616526472043541</v>
      </c>
      <c r="F341" s="299">
        <f ca="1">BV!AJ341</f>
        <v>2.4097844514410269</v>
      </c>
      <c r="G341" s="299">
        <f ca="1">BV!AR341</f>
        <v>2.3783912991514282</v>
      </c>
      <c r="H341" s="299">
        <f ca="1">BV!AZ341</f>
        <v>2.3600569259962052</v>
      </c>
      <c r="I341" s="300">
        <f ca="1">BV!BH341</f>
        <v>2.1974381625441697</v>
      </c>
      <c r="J341" s="11" t="str">
        <f ca="1">BV!BP341</f>
        <v/>
      </c>
      <c r="K341" s="11" t="str">
        <f ca="1">BV!BX341</f>
        <v/>
      </c>
      <c r="L341" s="62" t="s">
        <v>64</v>
      </c>
      <c r="M341" s="261">
        <v>8.3999059449999993E-3</v>
      </c>
      <c r="N341" s="277">
        <f t="shared" ca="1" si="157"/>
        <v>10.910955597085415</v>
      </c>
      <c r="O341" s="36" t="s">
        <v>16</v>
      </c>
      <c r="P341" s="297">
        <f t="shared" ref="P341:Y341" ca="1" si="185">IFERROR(MIN(60,$AK7/P35),120)</f>
        <v>18.999680565355039</v>
      </c>
      <c r="Q341" s="300">
        <f t="shared" ca="1" si="185"/>
        <v>21.239888984529767</v>
      </c>
      <c r="R341" s="301">
        <f t="shared" ca="1" si="185"/>
        <v>23.234180208006773</v>
      </c>
      <c r="S341" s="301">
        <f t="shared" ca="1" si="185"/>
        <v>23.786171130890065</v>
      </c>
      <c r="T341" s="1">
        <f t="shared" ca="1" si="185"/>
        <v>35.520573705062517</v>
      </c>
      <c r="U341" s="1">
        <f t="shared" ca="1" si="185"/>
        <v>36.731026521955684</v>
      </c>
      <c r="V341" s="1">
        <f t="shared" ca="1" si="185"/>
        <v>43.775093526970366</v>
      </c>
      <c r="W341" s="1">
        <f t="shared" ca="1" si="185"/>
        <v>60</v>
      </c>
      <c r="X341" s="1">
        <f t="shared" ca="1" si="185"/>
        <v>60</v>
      </c>
      <c r="Y341" s="1">
        <f t="shared" ca="1" si="185"/>
        <v>60</v>
      </c>
      <c r="Z341" s="323">
        <f t="shared" ca="1" si="178"/>
        <v>383.28661464277019</v>
      </c>
      <c r="AA341" s="344"/>
      <c r="AB341" s="344"/>
      <c r="AC341" s="345">
        <f t="shared" ca="1" si="179"/>
        <v>6</v>
      </c>
      <c r="AD341" s="36" t="s">
        <v>51</v>
      </c>
      <c r="AE341" s="345">
        <f t="shared" ca="1" si="180"/>
        <v>23.286614642770189</v>
      </c>
      <c r="AF341" s="36" t="s">
        <v>52</v>
      </c>
      <c r="AG341" s="587">
        <f ca="1">SUM(N65:N74)</f>
        <v>124.68518136651352</v>
      </c>
      <c r="AH341" s="587"/>
      <c r="AI341" s="344"/>
      <c r="AJ341" s="344"/>
      <c r="AK341" s="315"/>
      <c r="AL341" s="315"/>
      <c r="AM341" s="315"/>
      <c r="AN341" s="433">
        <v>199</v>
      </c>
      <c r="AO341" s="301">
        <f ca="1">BV!C341</f>
        <v>73.11</v>
      </c>
      <c r="AP341" s="302">
        <f ca="1">BV!K341</f>
        <v>77.91</v>
      </c>
      <c r="AQ341" s="660">
        <f ca="1">BV!S341</f>
        <v>80.819999999999993</v>
      </c>
      <c r="AR341" s="660">
        <f ca="1">BV!AA341</f>
        <v>80.84</v>
      </c>
      <c r="AS341" s="660">
        <f ca="1">BV!AI341</f>
        <v>82.58</v>
      </c>
      <c r="AT341" s="660">
        <f ca="1">BV!AQ341</f>
        <v>83.67</v>
      </c>
      <c r="AU341" s="659">
        <f ca="1">BV!AY341</f>
        <v>84.32</v>
      </c>
      <c r="AV341" s="11">
        <f ca="1">BV!BG341</f>
        <v>90.56</v>
      </c>
      <c r="AW341" s="11" t="str">
        <f ca="1">BV!BO341</f>
        <v/>
      </c>
      <c r="AX341" s="11" t="str">
        <f ca="1">BV!BW341</f>
        <v/>
      </c>
      <c r="AY341" s="62" t="s">
        <v>3</v>
      </c>
      <c r="AZ341" s="37">
        <f t="shared" si="182"/>
        <v>2.0757255767709974</v>
      </c>
      <c r="BA341" s="261">
        <v>8.3999059449999993E-3</v>
      </c>
      <c r="BB341" s="56">
        <v>0.11014232450500001</v>
      </c>
      <c r="BC341" s="56">
        <f t="shared" si="160"/>
        <v>7.6264106307459292E-2</v>
      </c>
      <c r="BD341" s="13">
        <f ca="1">IF(BV!H341="","",INT(NOW()-BV!H341))</f>
        <v>244</v>
      </c>
      <c r="BE341" s="279">
        <f t="shared" si="161"/>
        <v>10.910955597085417</v>
      </c>
      <c r="BF341" s="299">
        <f ca="1">BV!G341</f>
        <v>58.692525741638235</v>
      </c>
      <c r="BG341" s="300">
        <f ca="1">BV!O341</f>
        <v>52.678680035024165</v>
      </c>
      <c r="BH341" s="301">
        <f ca="1">BV!W341</f>
        <v>49.494995985152968</v>
      </c>
      <c r="BI341" s="301">
        <f ca="1">BV!AE341</f>
        <v>49.474180990814567</v>
      </c>
      <c r="BJ341" s="301">
        <f ca="1">BV!AM341</f>
        <v>47.715121960334614</v>
      </c>
      <c r="BK341" s="301">
        <f ca="1">BV!AU341</f>
        <v>46.663222196325009</v>
      </c>
      <c r="BL341" s="301">
        <f ca="1">BV!BC341</f>
        <v>46.053359369252199</v>
      </c>
      <c r="BM341" s="301">
        <f ca="1">BV!BK341</f>
        <v>40.789786128734107</v>
      </c>
      <c r="BN341" s="11" t="str">
        <f ca="1">BV!BS341</f>
        <v/>
      </c>
      <c r="BO341" s="11" t="str">
        <f ca="1">BV!CA341</f>
        <v/>
      </c>
      <c r="BP341" s="433">
        <v>199</v>
      </c>
      <c r="BQ341" s="11">
        <f ca="1">IFERROR(YEAR(OFFSET(BV!$H341,,(COLUMN()-69)*8)),"")</f>
        <v>2020</v>
      </c>
      <c r="BR341" s="11">
        <f ca="1">IFERROR(YEAR(OFFSET(BV!$H341,,(COLUMN()-69)*8)),"")</f>
        <v>2020</v>
      </c>
      <c r="BS341" s="11">
        <f ca="1">IFERROR(YEAR(OFFSET(BV!$H341,,(COLUMN()-69)*8)),"")</f>
        <v>2020</v>
      </c>
      <c r="BT341" s="11">
        <f ca="1">IFERROR(YEAR(OFFSET(BV!$H341,,(COLUMN()-69)*8)),"")</f>
        <v>2020</v>
      </c>
      <c r="BU341" s="11">
        <f ca="1">IFERROR(YEAR(OFFSET(BV!$H341,,(COLUMN()-69)*8)),"")</f>
        <v>2020</v>
      </c>
      <c r="BV341" s="11">
        <f ca="1">IFERROR(YEAR(OFFSET(BV!$H341,,(COLUMN()-69)*8)),"")</f>
        <v>2020</v>
      </c>
      <c r="BW341" s="11">
        <f ca="1">IFERROR(YEAR(OFFSET(BV!$H341,,(COLUMN()-69)*8)),"")</f>
        <v>2020</v>
      </c>
      <c r="BX341" s="11">
        <f ca="1">IFERROR(YEAR(OFFSET(BV!$H341,,(COLUMN()-69)*8)),"")</f>
        <v>2020</v>
      </c>
      <c r="BY341" s="11" t="str">
        <f ca="1">IFERROR(YEAR(OFFSET(BV!$H341,,(COLUMN()-69)*8)),"")</f>
        <v/>
      </c>
      <c r="BZ341" s="11" t="str">
        <f ca="1">IFERROR(YEAR(OFFSET(BV!$H341,,(COLUMN()-69)*8)),"")</f>
        <v/>
      </c>
    </row>
    <row r="342" spans="1:78" x14ac:dyDescent="0.25">
      <c r="A342" s="433">
        <v>200</v>
      </c>
      <c r="B342" s="299">
        <f ca="1">BV!D342</f>
        <v>2.4624476729869489</v>
      </c>
      <c r="C342" s="299">
        <f ca="1">BV!L342</f>
        <v>2.4440914090186974</v>
      </c>
      <c r="D342" s="299">
        <f ca="1">BV!T342</f>
        <v>2.3323615160349855</v>
      </c>
      <c r="E342" s="299">
        <f ca="1">BV!AB342</f>
        <v>2.2828444241524939</v>
      </c>
      <c r="F342" s="299">
        <f ca="1">BV!AJ342</f>
        <v>2.2509848058525606</v>
      </c>
      <c r="G342" s="300">
        <f ca="1">BV!AR342</f>
        <v>2.1944261575597981</v>
      </c>
      <c r="H342" s="11" t="str">
        <f ca="1">BV!AZ342</f>
        <v/>
      </c>
      <c r="I342" s="11" t="str">
        <f ca="1">BV!BH342</f>
        <v/>
      </c>
      <c r="J342" s="11" t="str">
        <f ca="1">BV!BP342</f>
        <v/>
      </c>
      <c r="K342" s="11" t="str">
        <f ca="1">BV!BX342</f>
        <v/>
      </c>
      <c r="L342" s="62" t="s">
        <v>64</v>
      </c>
      <c r="M342" s="261">
        <v>7.8659324480000008E-3</v>
      </c>
      <c r="N342" s="277">
        <f t="shared" ca="1" si="157"/>
        <v>11.275216606547245</v>
      </c>
      <c r="O342" s="36" t="s">
        <v>17</v>
      </c>
      <c r="P342" s="299">
        <f t="shared" ref="P342:Y342" ca="1" si="186">IFERROR(MIN(60,$AK8/P36),120)</f>
        <v>20.438398546474961</v>
      </c>
      <c r="Q342" s="299">
        <f t="shared" ca="1" si="186"/>
        <v>20.943107075010595</v>
      </c>
      <c r="R342" s="300">
        <f t="shared" ca="1" si="186"/>
        <v>21.502449373795748</v>
      </c>
      <c r="S342" s="301">
        <f t="shared" ca="1" si="186"/>
        <v>22.065201029723806</v>
      </c>
      <c r="T342" s="301">
        <f t="shared" ca="1" si="186"/>
        <v>22.681453062512897</v>
      </c>
      <c r="U342" s="301">
        <f t="shared" ca="1" si="186"/>
        <v>22.914909433420995</v>
      </c>
      <c r="V342" s="301">
        <f t="shared" ca="1" si="186"/>
        <v>23.234591286693995</v>
      </c>
      <c r="W342" s="301">
        <f t="shared" ca="1" si="186"/>
        <v>23.7187084204859</v>
      </c>
      <c r="X342" s="302">
        <f t="shared" ca="1" si="186"/>
        <v>24.39817872526698</v>
      </c>
      <c r="Y342" s="660">
        <f t="shared" ca="1" si="186"/>
        <v>26.252423567196416</v>
      </c>
      <c r="Z342" s="323">
        <f t="shared" ca="1" si="178"/>
        <v>228.14942052058228</v>
      </c>
      <c r="AA342" s="344"/>
      <c r="AB342" s="344"/>
      <c r="AC342" s="345">
        <f t="shared" ca="1" si="179"/>
        <v>3</v>
      </c>
      <c r="AD342" s="36" t="s">
        <v>51</v>
      </c>
      <c r="AE342" s="345">
        <f t="shared" ca="1" si="180"/>
        <v>48.149420520582282</v>
      </c>
      <c r="AF342" s="36" t="s">
        <v>52</v>
      </c>
      <c r="AG342" s="587">
        <f ca="1">SUM(N75:N84)</f>
        <v>64.56903063388549</v>
      </c>
      <c r="AH342" s="587"/>
      <c r="AI342" s="344"/>
      <c r="AJ342" s="344"/>
      <c r="AK342" s="315"/>
      <c r="AL342" s="315"/>
      <c r="AM342" s="315"/>
      <c r="AN342" s="433">
        <v>200</v>
      </c>
      <c r="AO342" s="660">
        <f ca="1">BV!C342</f>
        <v>81.22</v>
      </c>
      <c r="AP342" s="660">
        <f ca="1">BV!K342</f>
        <v>81.83</v>
      </c>
      <c r="AQ342" s="659">
        <f ca="1">BV!S342</f>
        <v>85.75</v>
      </c>
      <c r="AR342" s="659">
        <f ca="1">BV!AA342</f>
        <v>87.61</v>
      </c>
      <c r="AS342" s="659">
        <f ca="1">BV!AI342</f>
        <v>88.85</v>
      </c>
      <c r="AT342" s="11">
        <f ca="1">BV!AQ342</f>
        <v>91.14</v>
      </c>
      <c r="AU342" s="11" t="str">
        <f ca="1">BV!AY342</f>
        <v/>
      </c>
      <c r="AV342" s="11" t="str">
        <f ca="1">BV!BG342</f>
        <v/>
      </c>
      <c r="AW342" s="11" t="str">
        <f ca="1">BV!BO342</f>
        <v/>
      </c>
      <c r="AX342" s="11" t="str">
        <f ca="1">BV!BW342</f>
        <v/>
      </c>
      <c r="AY342" s="62" t="s">
        <v>3</v>
      </c>
      <c r="AZ342" s="37">
        <f t="shared" si="182"/>
        <v>2.104249787596602</v>
      </c>
      <c r="BA342" s="261">
        <v>7.8659324480000008E-3</v>
      </c>
      <c r="BB342" s="268">
        <v>5.7834229239999993E-2</v>
      </c>
      <c r="BC342" s="268">
        <f t="shared" si="160"/>
        <v>0.13600825240288103</v>
      </c>
      <c r="BD342" s="269">
        <f ca="1">IF(BV!H342="","",INT(NOW()-BV!H342))</f>
        <v>84</v>
      </c>
      <c r="BE342" s="279">
        <f t="shared" si="161"/>
        <v>11.275216606547245</v>
      </c>
      <c r="BF342" s="301">
        <f ca="1">BV!G342</f>
        <v>49.327962387513004</v>
      </c>
      <c r="BG342" s="301">
        <f ca="1">BV!O342</f>
        <v>48.704480346963528</v>
      </c>
      <c r="BH342" s="301">
        <f ca="1">BV!W342</f>
        <v>44.980288038232729</v>
      </c>
      <c r="BI342" s="301">
        <f ca="1">BV!AE342</f>
        <v>43.368958667762371</v>
      </c>
      <c r="BJ342" s="301">
        <f ca="1">BV!AM342</f>
        <v>42.345046718839448</v>
      </c>
      <c r="BK342" s="301">
        <f ca="1">BV!AU342</f>
        <v>40.552245721283974</v>
      </c>
      <c r="BL342" s="11" t="str">
        <f ca="1">BV!BC342</f>
        <v/>
      </c>
      <c r="BM342" s="11" t="str">
        <f ca="1">BV!BK342</f>
        <v/>
      </c>
      <c r="BN342" s="11" t="str">
        <f ca="1">BV!BS342</f>
        <v/>
      </c>
      <c r="BO342" s="11" t="str">
        <f ca="1">BV!CA342</f>
        <v/>
      </c>
      <c r="BP342" s="433">
        <v>200</v>
      </c>
      <c r="BQ342" s="11">
        <f ca="1">IFERROR(YEAR(OFFSET(BV!$H342,,(COLUMN()-69)*8)),"")</f>
        <v>2020</v>
      </c>
      <c r="BR342" s="11">
        <f ca="1">IFERROR(YEAR(OFFSET(BV!$H342,,(COLUMN()-69)*8)),"")</f>
        <v>2020</v>
      </c>
      <c r="BS342" s="11">
        <f ca="1">IFERROR(YEAR(OFFSET(BV!$H342,,(COLUMN()-69)*8)),"")</f>
        <v>2020</v>
      </c>
      <c r="BT342" s="11">
        <f ca="1">IFERROR(YEAR(OFFSET(BV!$H342,,(COLUMN()-69)*8)),"")</f>
        <v>2020</v>
      </c>
      <c r="BU342" s="11">
        <f ca="1">IFERROR(YEAR(OFFSET(BV!$H342,,(COLUMN()-69)*8)),"")</f>
        <v>2020</v>
      </c>
      <c r="BV342" s="11">
        <f ca="1">IFERROR(YEAR(OFFSET(BV!$H342,,(COLUMN()-69)*8)),"")</f>
        <v>2020</v>
      </c>
      <c r="BW342" s="11" t="str">
        <f ca="1">IFERROR(YEAR(OFFSET(BV!$H342,,(COLUMN()-69)*8)),"")</f>
        <v/>
      </c>
      <c r="BX342" s="11" t="str">
        <f ca="1">IFERROR(YEAR(OFFSET(BV!$H342,,(COLUMN()-69)*8)),"")</f>
        <v/>
      </c>
      <c r="BY342" s="11" t="str">
        <f ca="1">IFERROR(YEAR(OFFSET(BV!$H342,,(COLUMN()-69)*8)),"")</f>
        <v/>
      </c>
      <c r="BZ342" s="11" t="str">
        <f ca="1">IFERROR(YEAR(OFFSET(BV!$H342,,(COLUMN()-69)*8)),"")</f>
        <v/>
      </c>
    </row>
    <row r="343" spans="1:78" x14ac:dyDescent="0.25">
      <c r="A343" s="433">
        <v>201</v>
      </c>
      <c r="B343" s="297">
        <f ca="1">BV!D343</f>
        <v>2.7663088356729975</v>
      </c>
      <c r="C343" s="298">
        <f ca="1">BV!L343</f>
        <v>2.6576755255850855</v>
      </c>
      <c r="D343" s="298">
        <f ca="1">BV!T343</f>
        <v>2.5624681285058646</v>
      </c>
      <c r="E343" s="298">
        <f ca="1">BV!AB343</f>
        <v>2.5430161943319836</v>
      </c>
      <c r="F343" s="299">
        <f ca="1">BV!AJ343</f>
        <v>2.4560117302052786</v>
      </c>
      <c r="G343" s="299">
        <f ca="1">BV!AR343</f>
        <v>2.4190636659044409</v>
      </c>
      <c r="H343" s="299">
        <f ca="1">BV!AZ343</f>
        <v>2.3583245336149243</v>
      </c>
      <c r="I343" s="299">
        <f ca="1">BV!BH343</f>
        <v>2.327196943383119</v>
      </c>
      <c r="J343" s="299">
        <f ca="1">BV!BP343</f>
        <v>2.3228937940598637</v>
      </c>
      <c r="K343" s="300">
        <f ca="1">BV!BX343</f>
        <v>2.2423025435073627</v>
      </c>
      <c r="L343" s="62" t="s">
        <v>64</v>
      </c>
      <c r="M343" s="261">
        <v>7.3494625330000002E-3</v>
      </c>
      <c r="N343" s="277">
        <f t="shared" ca="1" si="157"/>
        <v>11.664663366058747</v>
      </c>
      <c r="O343" s="36" t="s">
        <v>18</v>
      </c>
      <c r="P343" s="301">
        <f t="shared" ref="P343:Y343" ca="1" si="187">IFERROR(MIN(60,$AK9/P37),120)</f>
        <v>22.713544137533415</v>
      </c>
      <c r="Q343" s="301">
        <f t="shared" ca="1" si="187"/>
        <v>23.447291463398773</v>
      </c>
      <c r="R343" s="302">
        <f t="shared" ca="1" si="187"/>
        <v>24.044605638305278</v>
      </c>
      <c r="S343" s="302">
        <f t="shared" ca="1" si="187"/>
        <v>24.590329439081383</v>
      </c>
      <c r="T343" s="302">
        <f t="shared" ca="1" si="187"/>
        <v>24.929372414544765</v>
      </c>
      <c r="U343" s="302">
        <f t="shared" ca="1" si="187"/>
        <v>25.440027972637917</v>
      </c>
      <c r="V343" s="302">
        <f t="shared" ca="1" si="187"/>
        <v>25.933193619183029</v>
      </c>
      <c r="W343" s="660">
        <f t="shared" ca="1" si="187"/>
        <v>26.368570797493025</v>
      </c>
      <c r="X343" s="659">
        <f t="shared" ca="1" si="187"/>
        <v>29.035390414487704</v>
      </c>
      <c r="Y343" s="659">
        <f t="shared" ca="1" si="187"/>
        <v>29.322821407581817</v>
      </c>
      <c r="Z343" s="323">
        <f t="shared" ca="1" si="178"/>
        <v>255.82514730424708</v>
      </c>
      <c r="AA343" s="344"/>
      <c r="AB343" s="344"/>
      <c r="AC343" s="345">
        <f t="shared" ca="1" si="179"/>
        <v>4</v>
      </c>
      <c r="AD343" s="36" t="s">
        <v>51</v>
      </c>
      <c r="AE343" s="345">
        <f t="shared" ca="1" si="180"/>
        <v>15.825147304247082</v>
      </c>
      <c r="AF343" s="36" t="s">
        <v>52</v>
      </c>
      <c r="AG343" s="587">
        <f ca="1">SUM(N85:N94)</f>
        <v>54.956153946603465</v>
      </c>
      <c r="AH343" s="587"/>
      <c r="AI343" s="344"/>
      <c r="AJ343" s="344"/>
      <c r="AK343" s="315"/>
      <c r="AL343" s="315"/>
      <c r="AM343" s="315"/>
      <c r="AN343" s="433">
        <v>201</v>
      </c>
      <c r="AO343" s="301">
        <f ca="1">BV!C343</f>
        <v>72.66</v>
      </c>
      <c r="AP343" s="302">
        <f ca="1">BV!K343</f>
        <v>75.63</v>
      </c>
      <c r="AQ343" s="302">
        <f ca="1">BV!S343</f>
        <v>78.44</v>
      </c>
      <c r="AR343" s="660">
        <f ca="1">BV!AA343</f>
        <v>79.040000000000006</v>
      </c>
      <c r="AS343" s="660">
        <f ca="1">BV!AI343</f>
        <v>81.84</v>
      </c>
      <c r="AT343" s="660">
        <f ca="1">BV!AQ343</f>
        <v>83.09</v>
      </c>
      <c r="AU343" s="659">
        <f ca="1">BV!AY343</f>
        <v>85.23</v>
      </c>
      <c r="AV343" s="659">
        <f ca="1">BV!BG343</f>
        <v>86.37</v>
      </c>
      <c r="AW343" s="659">
        <f ca="1">BV!BO343</f>
        <v>86.53</v>
      </c>
      <c r="AX343" s="11">
        <f ca="1">BV!BW343</f>
        <v>89.64</v>
      </c>
      <c r="AY343" s="62" t="s">
        <v>3</v>
      </c>
      <c r="AZ343" s="37">
        <f t="shared" si="182"/>
        <v>2.1337444197575839</v>
      </c>
      <c r="BA343" s="261">
        <v>7.3494625330000002E-3</v>
      </c>
      <c r="BB343" s="268">
        <v>5.7834229239999993E-2</v>
      </c>
      <c r="BC343" s="268">
        <f t="shared" si="160"/>
        <v>0.12707807520873604</v>
      </c>
      <c r="BD343" s="269">
        <f ca="1">IF(BV!H343="","",INT(NOW()-BV!H343))</f>
        <v>116</v>
      </c>
      <c r="BE343" s="279">
        <f t="shared" si="161"/>
        <v>11.664663366058749</v>
      </c>
      <c r="BF343" s="299">
        <f ca="1">BV!G343</f>
        <v>59.90790656260463</v>
      </c>
      <c r="BG343" s="300">
        <f ca="1">BV!O343</f>
        <v>55.963689979838989</v>
      </c>
      <c r="BH343" s="300">
        <f ca="1">BV!W343</f>
        <v>52.598386046055332</v>
      </c>
      <c r="BI343" s="300">
        <f ca="1">BV!AE343</f>
        <v>51.921416124462766</v>
      </c>
      <c r="BJ343" s="301">
        <f ca="1">BV!AM343</f>
        <v>48.937835587655989</v>
      </c>
      <c r="BK343" s="301">
        <f ca="1">BV!AU343</f>
        <v>47.692866142329173</v>
      </c>
      <c r="BL343" s="301">
        <f ca="1">BV!BC343</f>
        <v>45.675055359205572</v>
      </c>
      <c r="BM343" s="301">
        <f ca="1">BV!BK343</f>
        <v>44.654923473144876</v>
      </c>
      <c r="BN343" s="301">
        <f ca="1">BV!BS343</f>
        <v>44.51464522213243</v>
      </c>
      <c r="BO343" s="301">
        <f ca="1">BV!CA343</f>
        <v>41.921148405631698</v>
      </c>
      <c r="BP343" s="433">
        <v>201</v>
      </c>
      <c r="BQ343" s="11">
        <f ca="1">IFERROR(YEAR(OFFSET(BV!$H343,,(COLUMN()-69)*8)),"")</f>
        <v>2020</v>
      </c>
      <c r="BR343" s="11">
        <f ca="1">IFERROR(YEAR(OFFSET(BV!$H343,,(COLUMN()-69)*8)),"")</f>
        <v>2020</v>
      </c>
      <c r="BS343" s="11">
        <f ca="1">IFERROR(YEAR(OFFSET(BV!$H343,,(COLUMN()-69)*8)),"")</f>
        <v>2020</v>
      </c>
      <c r="BT343" s="11">
        <f ca="1">IFERROR(YEAR(OFFSET(BV!$H343,,(COLUMN()-69)*8)),"")</f>
        <v>2020</v>
      </c>
      <c r="BU343" s="11">
        <f ca="1">IFERROR(YEAR(OFFSET(BV!$H343,,(COLUMN()-69)*8)),"")</f>
        <v>2020</v>
      </c>
      <c r="BV343" s="11">
        <f ca="1">IFERROR(YEAR(OFFSET(BV!$H343,,(COLUMN()-69)*8)),"")</f>
        <v>2019</v>
      </c>
      <c r="BW343" s="11">
        <f ca="1">IFERROR(YEAR(OFFSET(BV!$H343,,(COLUMN()-69)*8)),"")</f>
        <v>2019</v>
      </c>
      <c r="BX343" s="11">
        <f ca="1">IFERROR(YEAR(OFFSET(BV!$H343,,(COLUMN()-69)*8)),"")</f>
        <v>2020</v>
      </c>
      <c r="BY343" s="11">
        <f ca="1">IFERROR(YEAR(OFFSET(BV!$H343,,(COLUMN()-69)*8)),"")</f>
        <v>2019</v>
      </c>
      <c r="BZ343" s="11">
        <f ca="1">IFERROR(YEAR(OFFSET(BV!$H343,,(COLUMN()-69)*8)),"")</f>
        <v>2020</v>
      </c>
    </row>
    <row r="344" spans="1:78" x14ac:dyDescent="0.25">
      <c r="A344" s="433">
        <v>202</v>
      </c>
      <c r="B344" s="297">
        <f ca="1">BV!D344</f>
        <v>2.7633378932968538</v>
      </c>
      <c r="C344" s="298">
        <f ca="1">BV!L344</f>
        <v>2.5469675955112847</v>
      </c>
      <c r="D344" s="298">
        <f ca="1">BV!T344</f>
        <v>2.5174476570289133</v>
      </c>
      <c r="E344" s="300">
        <f ca="1">BV!AB344</f>
        <v>2.0553520553520555</v>
      </c>
      <c r="F344" s="300">
        <f ca="1">BV!AJ344</f>
        <v>2.0313757039420755</v>
      </c>
      <c r="G344" s="11" t="str">
        <f ca="1">BV!AR344</f>
        <v/>
      </c>
      <c r="H344" s="11" t="str">
        <f ca="1">BV!AZ344</f>
        <v/>
      </c>
      <c r="I344" s="11" t="str">
        <f ca="1">BV!BH344</f>
        <v/>
      </c>
      <c r="J344" s="11" t="str">
        <f ca="1">BV!BP344</f>
        <v/>
      </c>
      <c r="K344" s="11" t="str">
        <f ca="1">BV!BX344</f>
        <v/>
      </c>
      <c r="L344" s="62" t="s">
        <v>64</v>
      </c>
      <c r="M344" s="261">
        <v>6.8520959729999999E-3</v>
      </c>
      <c r="N344" s="277">
        <f t="shared" ca="1" si="157"/>
        <v>12.080593789100345</v>
      </c>
      <c r="O344" s="36" t="s">
        <v>19</v>
      </c>
      <c r="P344" s="302">
        <f t="shared" ref="P344:Y344" ca="1" si="188">IFERROR(MIN(60,$AK10/P38),120)</f>
        <v>24.702678016578677</v>
      </c>
      <c r="Q344" s="660">
        <f t="shared" ca="1" si="188"/>
        <v>26.152070288628956</v>
      </c>
      <c r="R344" s="660">
        <f t="shared" ca="1" si="188"/>
        <v>26.790880949668274</v>
      </c>
      <c r="S344" s="660">
        <f t="shared" ca="1" si="188"/>
        <v>27.370725924892163</v>
      </c>
      <c r="T344" s="659">
        <f t="shared" ca="1" si="188"/>
        <v>29.584118732816204</v>
      </c>
      <c r="U344" s="1">
        <f t="shared" ca="1" si="188"/>
        <v>30.357637351730794</v>
      </c>
      <c r="V344" s="1">
        <f t="shared" ca="1" si="188"/>
        <v>31.077457434047886</v>
      </c>
      <c r="W344" s="1">
        <f t="shared" ca="1" si="188"/>
        <v>34.326077993183446</v>
      </c>
      <c r="X344" s="1">
        <f t="shared" ca="1" si="188"/>
        <v>34.731079689533253</v>
      </c>
      <c r="Y344" s="1">
        <f t="shared" ca="1" si="188"/>
        <v>39.045378181871172</v>
      </c>
      <c r="Z344" s="323">
        <f t="shared" ca="1" si="178"/>
        <v>304.13810456295084</v>
      </c>
      <c r="AA344" s="344"/>
      <c r="AB344" s="344"/>
      <c r="AC344" s="345">
        <f t="shared" ca="1" si="179"/>
        <v>5</v>
      </c>
      <c r="AD344" s="36" t="s">
        <v>51</v>
      </c>
      <c r="AE344" s="345">
        <f t="shared" ca="1" si="180"/>
        <v>4.1381045629508435</v>
      </c>
      <c r="AF344" s="36" t="s">
        <v>52</v>
      </c>
      <c r="AG344" s="587">
        <f ca="1">SUM(N95:N104)</f>
        <v>67.985909238080097</v>
      </c>
      <c r="AH344" s="587"/>
      <c r="AI344" s="344"/>
      <c r="AJ344" s="344"/>
      <c r="AK344" s="315"/>
      <c r="AL344" s="315"/>
      <c r="AM344" s="315"/>
      <c r="AN344" s="433">
        <v>202</v>
      </c>
      <c r="AO344" s="301">
        <f ca="1">BV!C344</f>
        <v>73.099999999999994</v>
      </c>
      <c r="AP344" s="660">
        <f ca="1">BV!K344</f>
        <v>79.31</v>
      </c>
      <c r="AQ344" s="660">
        <f ca="1">BV!S344</f>
        <v>80.239999999999995</v>
      </c>
      <c r="AR344" s="11">
        <f ca="1">BV!AA344</f>
        <v>98.28</v>
      </c>
      <c r="AS344" s="11">
        <f ca="1">BV!AI344</f>
        <v>99.44</v>
      </c>
      <c r="AT344" s="11" t="str">
        <f ca="1">BV!AQ344</f>
        <v/>
      </c>
      <c r="AU344" s="11" t="str">
        <f ca="1">BV!AY344</f>
        <v/>
      </c>
      <c r="AV344" s="11" t="str">
        <f ca="1">BV!BG344</f>
        <v/>
      </c>
      <c r="AW344" s="11" t="str">
        <f ca="1">BV!BO344</f>
        <v/>
      </c>
      <c r="AX344" s="11" t="str">
        <f ca="1">BV!BW344</f>
        <v/>
      </c>
      <c r="AY344" s="62" t="s">
        <v>3</v>
      </c>
      <c r="AZ344" s="37">
        <f t="shared" si="182"/>
        <v>2.164176562774184</v>
      </c>
      <c r="BA344" s="261">
        <v>6.8520959729999999E-3</v>
      </c>
      <c r="BB344" s="268">
        <v>5.7834229239999993E-2</v>
      </c>
      <c r="BC344" s="268">
        <f t="shared" si="160"/>
        <v>0.11847821027518549</v>
      </c>
      <c r="BD344" s="269">
        <f ca="1">IF(BV!H344="","",INT(NOW()-BV!H344))</f>
        <v>90</v>
      </c>
      <c r="BE344" s="279">
        <f t="shared" si="161"/>
        <v>12.080593789100343</v>
      </c>
      <c r="BF344" s="299">
        <f ca="1">BV!G344</f>
        <v>59.591193545675445</v>
      </c>
      <c r="BG344" s="300">
        <f ca="1">BV!O344</f>
        <v>51.878105736391483</v>
      </c>
      <c r="BH344" s="300">
        <f ca="1">BV!W344</f>
        <v>50.860082552590598</v>
      </c>
      <c r="BI344" s="302">
        <f ca="1">BV!AE344</f>
        <v>36.028889268707381</v>
      </c>
      <c r="BJ344" s="302">
        <f ca="1">BV!AM344</f>
        <v>35.317319008517082</v>
      </c>
      <c r="BK344" s="11" t="str">
        <f ca="1">BV!AU344</f>
        <v/>
      </c>
      <c r="BL344" s="11" t="str">
        <f ca="1">BV!BC344</f>
        <v/>
      </c>
      <c r="BM344" s="11" t="str">
        <f ca="1">BV!BK344</f>
        <v/>
      </c>
      <c r="BN344" s="11" t="str">
        <f ca="1">BV!BS344</f>
        <v/>
      </c>
      <c r="BO344" s="11" t="str">
        <f ca="1">BV!CA344</f>
        <v/>
      </c>
      <c r="BP344" s="433">
        <v>202</v>
      </c>
      <c r="BQ344" s="11">
        <f ca="1">IFERROR(YEAR(OFFSET(BV!$H344,,(COLUMN()-69)*8)),"")</f>
        <v>2020</v>
      </c>
      <c r="BR344" s="11">
        <f ca="1">IFERROR(YEAR(OFFSET(BV!$H344,,(COLUMN()-69)*8)),"")</f>
        <v>2020</v>
      </c>
      <c r="BS344" s="11">
        <f ca="1">IFERROR(YEAR(OFFSET(BV!$H344,,(COLUMN()-69)*8)),"")</f>
        <v>2020</v>
      </c>
      <c r="BT344" s="11">
        <f ca="1">IFERROR(YEAR(OFFSET(BV!$H344,,(COLUMN()-69)*8)),"")</f>
        <v>2019</v>
      </c>
      <c r="BU344" s="11">
        <f ca="1">IFERROR(YEAR(OFFSET(BV!$H344,,(COLUMN()-69)*8)),"")</f>
        <v>2019</v>
      </c>
      <c r="BV344" s="11" t="str">
        <f ca="1">IFERROR(YEAR(OFFSET(BV!$H344,,(COLUMN()-69)*8)),"")</f>
        <v/>
      </c>
      <c r="BW344" s="11" t="str">
        <f ca="1">IFERROR(YEAR(OFFSET(BV!$H344,,(COLUMN()-69)*8)),"")</f>
        <v/>
      </c>
      <c r="BX344" s="11" t="str">
        <f ca="1">IFERROR(YEAR(OFFSET(BV!$H344,,(COLUMN()-69)*8)),"")</f>
        <v/>
      </c>
      <c r="BY344" s="11" t="str">
        <f ca="1">IFERROR(YEAR(OFFSET(BV!$H344,,(COLUMN()-69)*8)),"")</f>
        <v/>
      </c>
      <c r="BZ344" s="11" t="str">
        <f ca="1">IFERROR(YEAR(OFFSET(BV!$H344,,(COLUMN()-69)*8)),"")</f>
        <v/>
      </c>
    </row>
    <row r="345" spans="1:78" x14ac:dyDescent="0.25">
      <c r="A345" s="433">
        <v>203</v>
      </c>
      <c r="B345" s="298">
        <f ca="1">BV!D345</f>
        <v>2.5553877139979861</v>
      </c>
      <c r="C345" s="299">
        <f ca="1">BV!L345</f>
        <v>2.47802734375</v>
      </c>
      <c r="D345" s="299">
        <f ca="1">BV!T345</f>
        <v>2.4534686971235198</v>
      </c>
      <c r="E345" s="299">
        <f ca="1">BV!AB345</f>
        <v>2.3115463447961742</v>
      </c>
      <c r="F345" s="299">
        <f ca="1">BV!AJ345</f>
        <v>2.2987204167138491</v>
      </c>
      <c r="G345" s="11" t="str">
        <f ca="1">BV!AR345</f>
        <v/>
      </c>
      <c r="H345" s="11" t="str">
        <f ca="1">BV!AZ345</f>
        <v/>
      </c>
      <c r="I345" s="11" t="str">
        <f ca="1">BV!BH345</f>
        <v/>
      </c>
      <c r="J345" s="11" t="str">
        <f ca="1">BV!BP345</f>
        <v/>
      </c>
      <c r="K345" s="11" t="str">
        <f ca="1">BV!BX345</f>
        <v/>
      </c>
      <c r="L345" s="62" t="s">
        <v>64</v>
      </c>
      <c r="M345" s="261">
        <v>6.3745645960000003E-3</v>
      </c>
      <c r="N345" s="277">
        <f t="shared" ca="1" si="157"/>
        <v>12.524913546454041</v>
      </c>
      <c r="O345" s="36" t="s">
        <v>20</v>
      </c>
      <c r="P345" s="660">
        <f t="shared" ref="P345:Y345" ca="1" si="189">IFERROR(MIN(60,$AK11/P39),120)</f>
        <v>27.991374453481676</v>
      </c>
      <c r="Q345" s="1">
        <f t="shared" ca="1" si="189"/>
        <v>31.623021794369265</v>
      </c>
      <c r="R345" s="1">
        <f t="shared" ca="1" si="189"/>
        <v>35.508633489126936</v>
      </c>
      <c r="S345" s="1">
        <f t="shared" ca="1" si="189"/>
        <v>44.69569103199116</v>
      </c>
      <c r="T345" s="1">
        <f t="shared" ca="1" si="189"/>
        <v>60</v>
      </c>
      <c r="U345" s="1">
        <f t="shared" ca="1" si="189"/>
        <v>60</v>
      </c>
      <c r="V345" s="1">
        <f t="shared" ca="1" si="189"/>
        <v>60</v>
      </c>
      <c r="W345" s="1">
        <f t="shared" ca="1" si="189"/>
        <v>60</v>
      </c>
      <c r="X345" s="1">
        <f t="shared" ca="1" si="189"/>
        <v>120</v>
      </c>
      <c r="Y345" s="1">
        <f t="shared" ca="1" si="189"/>
        <v>120</v>
      </c>
      <c r="Z345" s="323">
        <f t="shared" ca="1" si="178"/>
        <v>619.81872076896911</v>
      </c>
      <c r="AA345" s="344"/>
      <c r="AB345" s="344"/>
      <c r="AC345" s="345">
        <f t="shared" ca="1" si="179"/>
        <v>10</v>
      </c>
      <c r="AD345" s="36" t="s">
        <v>51</v>
      </c>
      <c r="AE345" s="345">
        <f t="shared" ca="1" si="180"/>
        <v>19.818720768969115</v>
      </c>
      <c r="AF345" s="36" t="s">
        <v>52</v>
      </c>
      <c r="AG345" s="587">
        <f ca="1">SUM(N105:N114)</f>
        <v>113.13951060611697</v>
      </c>
      <c r="AH345" s="587"/>
      <c r="AI345" s="344"/>
      <c r="AJ345" s="344"/>
      <c r="AK345" s="315"/>
      <c r="AL345" s="315"/>
      <c r="AM345" s="315"/>
      <c r="AN345" s="433">
        <v>203</v>
      </c>
      <c r="AO345" s="660">
        <f ca="1">BV!C345</f>
        <v>79.44</v>
      </c>
      <c r="AP345" s="660">
        <f ca="1">BV!K345</f>
        <v>81.92</v>
      </c>
      <c r="AQ345" s="660">
        <f ca="1">BV!S345</f>
        <v>82.74</v>
      </c>
      <c r="AR345" s="659">
        <f ca="1">BV!AA345</f>
        <v>87.82</v>
      </c>
      <c r="AS345" s="659">
        <f ca="1">BV!AI345</f>
        <v>88.31</v>
      </c>
      <c r="AT345" s="11" t="str">
        <f ca="1">BV!AQ345</f>
        <v/>
      </c>
      <c r="AU345" s="11" t="str">
        <f ca="1">BV!AY345</f>
        <v/>
      </c>
      <c r="AV345" s="11" t="str">
        <f ca="1">BV!BG345</f>
        <v/>
      </c>
      <c r="AW345" s="11" t="str">
        <f ca="1">BV!BO345</f>
        <v/>
      </c>
      <c r="AX345" s="11" t="str">
        <f ca="1">BV!BW345</f>
        <v/>
      </c>
      <c r="AY345" s="62" t="s">
        <v>3</v>
      </c>
      <c r="AZ345" s="37">
        <f t="shared" si="182"/>
        <v>2.1955494736410364</v>
      </c>
      <c r="BA345" s="261">
        <v>6.3745645960000003E-3</v>
      </c>
      <c r="BB345" s="268">
        <v>5.7834229239999993E-2</v>
      </c>
      <c r="BC345" s="268">
        <f t="shared" si="160"/>
        <v>0.11022131149266097</v>
      </c>
      <c r="BD345" s="269">
        <f ca="1">IF(BV!H345="","",INT(NOW()-BV!H345))</f>
        <v>152</v>
      </c>
      <c r="BE345" s="279">
        <f t="shared" si="161"/>
        <v>12.524913546454041</v>
      </c>
      <c r="BF345" s="300">
        <f ca="1">BV!G345</f>
        <v>51.989973122737673</v>
      </c>
      <c r="BG345" s="301">
        <f ca="1">BV!O345</f>
        <v>49.342754417357781</v>
      </c>
      <c r="BH345" s="301">
        <f ca="1">BV!W345</f>
        <v>48.514316270531751</v>
      </c>
      <c r="BI345" s="301">
        <f ca="1">BV!AE345</f>
        <v>43.840697745963858</v>
      </c>
      <c r="BJ345" s="301">
        <f ca="1">BV!AM345</f>
        <v>43.427965999866871</v>
      </c>
      <c r="BK345" s="11" t="str">
        <f ca="1">BV!AU345</f>
        <v/>
      </c>
      <c r="BL345" s="11" t="str">
        <f ca="1">BV!BC345</f>
        <v/>
      </c>
      <c r="BM345" s="11" t="str">
        <f ca="1">BV!BK345</f>
        <v/>
      </c>
      <c r="BN345" s="11" t="str">
        <f ca="1">BV!BS345</f>
        <v/>
      </c>
      <c r="BO345" s="11" t="str">
        <f ca="1">BV!CA345</f>
        <v/>
      </c>
      <c r="BP345" s="433">
        <v>203</v>
      </c>
      <c r="BQ345" s="11">
        <f ca="1">IFERROR(YEAR(OFFSET(BV!$H345,,(COLUMN()-69)*8)),"")</f>
        <v>2020</v>
      </c>
      <c r="BR345" s="11">
        <f ca="1">IFERROR(YEAR(OFFSET(BV!$H345,,(COLUMN()-69)*8)),"")</f>
        <v>2020</v>
      </c>
      <c r="BS345" s="11">
        <f ca="1">IFERROR(YEAR(OFFSET(BV!$H345,,(COLUMN()-69)*8)),"")</f>
        <v>2020</v>
      </c>
      <c r="BT345" s="11">
        <f ca="1">IFERROR(YEAR(OFFSET(BV!$H345,,(COLUMN()-69)*8)),"")</f>
        <v>2019</v>
      </c>
      <c r="BU345" s="11">
        <f ca="1">IFERROR(YEAR(OFFSET(BV!$H345,,(COLUMN()-69)*8)),"")</f>
        <v>2020</v>
      </c>
      <c r="BV345" s="11" t="str">
        <f ca="1">IFERROR(YEAR(OFFSET(BV!$H345,,(COLUMN()-69)*8)),"")</f>
        <v/>
      </c>
      <c r="BW345" s="11" t="str">
        <f ca="1">IFERROR(YEAR(OFFSET(BV!$H345,,(COLUMN()-69)*8)),"")</f>
        <v/>
      </c>
      <c r="BX345" s="11" t="str">
        <f ca="1">IFERROR(YEAR(OFFSET(BV!$H345,,(COLUMN()-69)*8)),"")</f>
        <v/>
      </c>
      <c r="BY345" s="11" t="str">
        <f ca="1">IFERROR(YEAR(OFFSET(BV!$H345,,(COLUMN()-69)*8)),"")</f>
        <v/>
      </c>
      <c r="BZ345" s="11" t="str">
        <f ca="1">IFERROR(YEAR(OFFSET(BV!$H345,,(COLUMN()-69)*8)),"")</f>
        <v/>
      </c>
    </row>
    <row r="346" spans="1:78" x14ac:dyDescent="0.25">
      <c r="A346" s="433">
        <v>204</v>
      </c>
      <c r="B346" s="298">
        <f ca="1">BV!D346</f>
        <v>2.6023727516264827</v>
      </c>
      <c r="C346" s="298">
        <f ca="1">BV!L346</f>
        <v>2.5021464491598184</v>
      </c>
      <c r="D346" s="299">
        <f ca="1">BV!T346</f>
        <v>2.4599059447726996</v>
      </c>
      <c r="E346" s="299">
        <f ca="1">BV!AB346</f>
        <v>2.4222274994063167</v>
      </c>
      <c r="F346" s="299">
        <f ca="1">BV!AJ346</f>
        <v>2.3988711194731889</v>
      </c>
      <c r="G346" s="299">
        <f ca="1">BV!AR346</f>
        <v>2.3009248815700429</v>
      </c>
      <c r="H346" s="300">
        <f ca="1">BV!AZ346</f>
        <v>2.0361313504341751</v>
      </c>
      <c r="I346" s="11" t="str">
        <f ca="1">BV!BH346</f>
        <v/>
      </c>
      <c r="J346" s="11" t="str">
        <f ca="1">BV!BP346</f>
        <v/>
      </c>
      <c r="K346" s="11" t="str">
        <f ca="1">BV!BX346</f>
        <v/>
      </c>
      <c r="L346" s="62" t="s">
        <v>64</v>
      </c>
      <c r="M346" s="261">
        <v>5.9176773690000004E-3</v>
      </c>
      <c r="N346" s="277">
        <f t="shared" ca="1" si="157"/>
        <v>12.999431447453983</v>
      </c>
      <c r="O346" s="36" t="s">
        <v>21</v>
      </c>
      <c r="P346" s="1">
        <f t="shared" ref="P346:Y346" ca="1" si="190">IFERROR(MIN(60,$AK12/P40),120)</f>
        <v>42.977647610355781</v>
      </c>
      <c r="Q346" s="1">
        <f t="shared" ca="1" si="190"/>
        <v>60</v>
      </c>
      <c r="R346" s="1">
        <f t="shared" ca="1" si="190"/>
        <v>120</v>
      </c>
      <c r="S346" s="1">
        <f t="shared" ca="1" si="190"/>
        <v>120</v>
      </c>
      <c r="T346" s="1">
        <f t="shared" ca="1" si="190"/>
        <v>120</v>
      </c>
      <c r="U346" s="1">
        <f t="shared" ca="1" si="190"/>
        <v>120</v>
      </c>
      <c r="V346" s="1">
        <f t="shared" ca="1" si="190"/>
        <v>120</v>
      </c>
      <c r="W346" s="1">
        <f t="shared" ca="1" si="190"/>
        <v>120</v>
      </c>
      <c r="X346" s="1">
        <f t="shared" ca="1" si="190"/>
        <v>120</v>
      </c>
      <c r="Y346" s="1">
        <f t="shared" ca="1" si="190"/>
        <v>120</v>
      </c>
      <c r="Z346" s="323">
        <f t="shared" ca="1" si="178"/>
        <v>1062.9776476103557</v>
      </c>
      <c r="AA346" s="344"/>
      <c r="AB346" s="344"/>
      <c r="AC346" s="345">
        <f t="shared" ca="1" si="179"/>
        <v>17</v>
      </c>
      <c r="AD346" s="36" t="s">
        <v>51</v>
      </c>
      <c r="AE346" s="345">
        <f t="shared" ca="1" si="180"/>
        <v>42.977647610355689</v>
      </c>
      <c r="AF346" s="36" t="s">
        <v>52</v>
      </c>
      <c r="AG346" s="587">
        <f ca="1">SUM(N115:N124)</f>
        <v>160.49844755068034</v>
      </c>
      <c r="AH346" s="587"/>
      <c r="AI346" s="344"/>
      <c r="AJ346" s="344"/>
      <c r="AK346" s="315"/>
      <c r="AL346" s="315"/>
      <c r="AM346" s="315"/>
      <c r="AN346" s="433">
        <v>204</v>
      </c>
      <c r="AO346" s="302">
        <f ca="1">BV!C346</f>
        <v>78.39</v>
      </c>
      <c r="AP346" s="660">
        <f ca="1">BV!K346</f>
        <v>81.53</v>
      </c>
      <c r="AQ346" s="660">
        <f ca="1">BV!S346</f>
        <v>82.93</v>
      </c>
      <c r="AR346" s="659">
        <f ca="1">BV!AA346</f>
        <v>84.22</v>
      </c>
      <c r="AS346" s="659">
        <f ca="1">BV!AI346</f>
        <v>85.04</v>
      </c>
      <c r="AT346" s="659">
        <f ca="1">BV!AQ346</f>
        <v>88.66</v>
      </c>
      <c r="AU346" s="11">
        <f ca="1">BV!AY346</f>
        <v>100.19</v>
      </c>
      <c r="AV346" s="11" t="str">
        <f ca="1">BV!BG346</f>
        <v/>
      </c>
      <c r="AW346" s="11" t="str">
        <f ca="1">BV!BO346</f>
        <v/>
      </c>
      <c r="AX346" s="11" t="str">
        <f ca="1">BV!BW346</f>
        <v/>
      </c>
      <c r="AY346" s="62" t="s">
        <v>3</v>
      </c>
      <c r="AZ346" s="37">
        <f t="shared" si="182"/>
        <v>2.2278487162085892</v>
      </c>
      <c r="BA346" s="261">
        <v>5.9176773690000004E-3</v>
      </c>
      <c r="BB346" s="268">
        <v>5.7834229239999993E-2</v>
      </c>
      <c r="BC346" s="268">
        <f t="shared" si="160"/>
        <v>0.102321366546494</v>
      </c>
      <c r="BD346" s="269">
        <f ca="1">IF(BV!H346="","",INT(NOW()-BV!H346))</f>
        <v>277</v>
      </c>
      <c r="BE346" s="279">
        <f t="shared" si="161"/>
        <v>12.999431447453981</v>
      </c>
      <c r="BF346" s="300">
        <f ca="1">BV!G346</f>
        <v>53.441334339249842</v>
      </c>
      <c r="BG346" s="301">
        <f ca="1">BV!O346</f>
        <v>49.989727665627775</v>
      </c>
      <c r="BH346" s="301">
        <f ca="1">BV!W346</f>
        <v>48.563568496781507</v>
      </c>
      <c r="BI346" s="301">
        <f ca="1">BV!AE346</f>
        <v>47.305813983049852</v>
      </c>
      <c r="BJ346" s="301">
        <f ca="1">BV!AM346</f>
        <v>46.532983137041015</v>
      </c>
      <c r="BK346" s="301">
        <f ca="1">BV!AU346</f>
        <v>43.349419578404323</v>
      </c>
      <c r="BL346" s="302">
        <f ca="1">BV!BC346</f>
        <v>35.214293735833643</v>
      </c>
      <c r="BM346" s="11" t="str">
        <f ca="1">BV!BK346</f>
        <v/>
      </c>
      <c r="BN346" s="11" t="str">
        <f ca="1">BV!BS346</f>
        <v/>
      </c>
      <c r="BO346" s="11" t="str">
        <f ca="1">BV!CA346</f>
        <v/>
      </c>
      <c r="BP346" s="433">
        <v>204</v>
      </c>
      <c r="BQ346" s="11">
        <f ca="1">IFERROR(YEAR(OFFSET(BV!$H346,,(COLUMN()-69)*8)),"")</f>
        <v>2020</v>
      </c>
      <c r="BR346" s="11">
        <f ca="1">IFERROR(YEAR(OFFSET(BV!$H346,,(COLUMN()-69)*8)),"")</f>
        <v>2020</v>
      </c>
      <c r="BS346" s="11">
        <f ca="1">IFERROR(YEAR(OFFSET(BV!$H346,,(COLUMN()-69)*8)),"")</f>
        <v>2019</v>
      </c>
      <c r="BT346" s="11">
        <f ca="1">IFERROR(YEAR(OFFSET(BV!$H346,,(COLUMN()-69)*8)),"")</f>
        <v>2020</v>
      </c>
      <c r="BU346" s="11">
        <f ca="1">IFERROR(YEAR(OFFSET(BV!$H346,,(COLUMN()-69)*8)),"")</f>
        <v>2020</v>
      </c>
      <c r="BV346" s="11">
        <f ca="1">IFERROR(YEAR(OFFSET(BV!$H346,,(COLUMN()-69)*8)),"")</f>
        <v>2020</v>
      </c>
      <c r="BW346" s="11">
        <f ca="1">IFERROR(YEAR(OFFSET(BV!$H346,,(COLUMN()-69)*8)),"")</f>
        <v>2020</v>
      </c>
      <c r="BX346" s="11" t="str">
        <f ca="1">IFERROR(YEAR(OFFSET(BV!$H346,,(COLUMN()-69)*8)),"")</f>
        <v/>
      </c>
      <c r="BY346" s="11" t="str">
        <f ca="1">IFERROR(YEAR(OFFSET(BV!$H346,,(COLUMN()-69)*8)),"")</f>
        <v/>
      </c>
      <c r="BZ346" s="11" t="str">
        <f ca="1">IFERROR(YEAR(OFFSET(BV!$H346,,(COLUMN()-69)*8)),"")</f>
        <v/>
      </c>
    </row>
    <row r="347" spans="1:78" x14ac:dyDescent="0.25">
      <c r="A347" s="433">
        <v>205</v>
      </c>
      <c r="B347" s="298">
        <f ca="1">BV!D347</f>
        <v>2.6117976812332784</v>
      </c>
      <c r="C347" s="298">
        <f ca="1">BV!L347</f>
        <v>2.5605795653260053</v>
      </c>
      <c r="D347" s="298">
        <f ca="1">BV!T347</f>
        <v>2.5343058474471505</v>
      </c>
      <c r="E347" s="299">
        <f ca="1">BV!AB347</f>
        <v>2.4577388802301883</v>
      </c>
      <c r="F347" s="299">
        <f ca="1">BV!AJ347</f>
        <v>2.3787421675562772</v>
      </c>
      <c r="G347" s="11" t="str">
        <f ca="1">BV!AR347</f>
        <v/>
      </c>
      <c r="H347" s="11" t="str">
        <f ca="1">BV!AZ347</f>
        <v/>
      </c>
      <c r="I347" s="11" t="str">
        <f ca="1">BV!BH347</f>
        <v/>
      </c>
      <c r="J347" s="11" t="str">
        <f ca="1">BV!BP347</f>
        <v/>
      </c>
      <c r="K347" s="11" t="str">
        <f ca="1">BV!BX347</f>
        <v/>
      </c>
      <c r="L347" s="62" t="s">
        <v>64</v>
      </c>
      <c r="M347" s="261">
        <v>5.4816684920000001E-3</v>
      </c>
      <c r="N347" s="277">
        <f t="shared" ca="1" si="157"/>
        <v>13.506524669096631</v>
      </c>
      <c r="O347" s="36" t="s">
        <v>22</v>
      </c>
      <c r="P347" s="1">
        <f t="shared" ref="P347:Y347" ca="1" si="191">IFERROR(MIN(60,$AK13/P41),120)</f>
        <v>120</v>
      </c>
      <c r="Q347" s="1">
        <f t="shared" ca="1" si="191"/>
        <v>120</v>
      </c>
      <c r="R347" s="1">
        <f t="shared" ca="1" si="191"/>
        <v>120</v>
      </c>
      <c r="S347" s="1">
        <f t="shared" ca="1" si="191"/>
        <v>120</v>
      </c>
      <c r="T347" s="1">
        <f t="shared" ca="1" si="191"/>
        <v>120</v>
      </c>
      <c r="U347" s="1">
        <f t="shared" ca="1" si="191"/>
        <v>120</v>
      </c>
      <c r="V347" s="1">
        <f t="shared" ca="1" si="191"/>
        <v>120</v>
      </c>
      <c r="W347" s="1">
        <f t="shared" ca="1" si="191"/>
        <v>120</v>
      </c>
      <c r="X347" s="1">
        <f t="shared" ca="1" si="191"/>
        <v>120</v>
      </c>
      <c r="Y347" s="1">
        <f t="shared" ca="1" si="191"/>
        <v>120</v>
      </c>
      <c r="Z347" s="323">
        <f t="shared" ca="1" si="178"/>
        <v>1200</v>
      </c>
      <c r="AA347" s="344"/>
      <c r="AB347" s="344"/>
      <c r="AC347" s="345">
        <f t="shared" ca="1" si="179"/>
        <v>20</v>
      </c>
      <c r="AD347" s="36" t="s">
        <v>51</v>
      </c>
      <c r="AE347" s="345">
        <f t="shared" ca="1" si="180"/>
        <v>0</v>
      </c>
      <c r="AF347" s="36" t="s">
        <v>52</v>
      </c>
      <c r="AG347" s="587">
        <f ca="1">SUM(N125:N167)</f>
        <v>0</v>
      </c>
      <c r="AH347" s="587"/>
      <c r="AI347" s="344"/>
      <c r="AJ347" s="344"/>
      <c r="AK347" s="315"/>
      <c r="AL347" s="315"/>
      <c r="AM347" s="315"/>
      <c r="AN347" s="433">
        <v>205</v>
      </c>
      <c r="AO347" s="302">
        <f ca="1">BV!C347</f>
        <v>78.489999999999995</v>
      </c>
      <c r="AP347" s="660">
        <f ca="1">BV!K347</f>
        <v>80.06</v>
      </c>
      <c r="AQ347" s="660">
        <f ca="1">BV!S347</f>
        <v>80.89</v>
      </c>
      <c r="AR347" s="660">
        <f ca="1">BV!AA347</f>
        <v>83.41</v>
      </c>
      <c r="AS347" s="659">
        <f ca="1">BV!AI347</f>
        <v>86.18</v>
      </c>
      <c r="AT347" s="11" t="str">
        <f ca="1">BV!AQ347</f>
        <v/>
      </c>
      <c r="AU347" s="11" t="str">
        <f ca="1">BV!AY347</f>
        <v/>
      </c>
      <c r="AV347" s="11" t="str">
        <f ca="1">BV!BG347</f>
        <v/>
      </c>
      <c r="AW347" s="11" t="str">
        <f ca="1">BV!BO347</f>
        <v/>
      </c>
      <c r="AX347" s="11" t="str">
        <f ca="1">BV!BW347</f>
        <v/>
      </c>
      <c r="AY347" s="62" t="s">
        <v>3</v>
      </c>
      <c r="AZ347" s="37">
        <f t="shared" si="182"/>
        <v>2.2610872322858362</v>
      </c>
      <c r="BA347" s="261">
        <v>5.4816684920000001E-3</v>
      </c>
      <c r="BB347" s="268">
        <v>5.7834229239999993E-2</v>
      </c>
      <c r="BC347" s="268">
        <f t="shared" si="160"/>
        <v>9.4782424941676297E-2</v>
      </c>
      <c r="BD347" s="269">
        <f ca="1">IF(BV!H347="","",INT(NOW()-BV!H347))</f>
        <v>235</v>
      </c>
      <c r="BE347" s="279">
        <f t="shared" si="161"/>
        <v>13.506524669096633</v>
      </c>
      <c r="BF347" s="300">
        <f ca="1">BV!G347</f>
        <v>53.587038576909599</v>
      </c>
      <c r="BG347" s="300">
        <f ca="1">BV!O347</f>
        <v>51.812866580950988</v>
      </c>
      <c r="BH347" s="300">
        <f ca="1">BV!W347</f>
        <v>50.912320999587756</v>
      </c>
      <c r="BI347" s="301">
        <f ca="1">BV!AE347</f>
        <v>48.325161084390125</v>
      </c>
      <c r="BJ347" s="301">
        <f ca="1">BV!AM347</f>
        <v>45.714406291244224</v>
      </c>
      <c r="BK347" s="11" t="str">
        <f ca="1">BV!AU347</f>
        <v/>
      </c>
      <c r="BL347" s="11" t="str">
        <f ca="1">BV!BC347</f>
        <v/>
      </c>
      <c r="BM347" s="11" t="str">
        <f ca="1">BV!BK347</f>
        <v/>
      </c>
      <c r="BN347" s="11" t="str">
        <f ca="1">BV!BS347</f>
        <v/>
      </c>
      <c r="BO347" s="11" t="str">
        <f ca="1">BV!CA347</f>
        <v/>
      </c>
      <c r="BP347" s="433">
        <v>205</v>
      </c>
      <c r="BQ347" s="11">
        <f ca="1">IFERROR(YEAR(OFFSET(BV!$H347,,(COLUMN()-69)*8)),"")</f>
        <v>2020</v>
      </c>
      <c r="BR347" s="11">
        <f ca="1">IFERROR(YEAR(OFFSET(BV!$H347,,(COLUMN()-69)*8)),"")</f>
        <v>2020</v>
      </c>
      <c r="BS347" s="11">
        <f ca="1">IFERROR(YEAR(OFFSET(BV!$H347,,(COLUMN()-69)*8)),"")</f>
        <v>2020</v>
      </c>
      <c r="BT347" s="11">
        <f ca="1">IFERROR(YEAR(OFFSET(BV!$H347,,(COLUMN()-69)*8)),"")</f>
        <v>2020</v>
      </c>
      <c r="BU347" s="11">
        <f ca="1">IFERROR(YEAR(OFFSET(BV!$H347,,(COLUMN()-69)*8)),"")</f>
        <v>2020</v>
      </c>
      <c r="BV347" s="11" t="str">
        <f ca="1">IFERROR(YEAR(OFFSET(BV!$H347,,(COLUMN()-69)*8)),"")</f>
        <v/>
      </c>
      <c r="BW347" s="11" t="str">
        <f ca="1">IFERROR(YEAR(OFFSET(BV!$H347,,(COLUMN()-69)*8)),"")</f>
        <v/>
      </c>
      <c r="BX347" s="11" t="str">
        <f ca="1">IFERROR(YEAR(OFFSET(BV!$H347,,(COLUMN()-69)*8)),"")</f>
        <v/>
      </c>
      <c r="BY347" s="11" t="str">
        <f ca="1">IFERROR(YEAR(OFFSET(BV!$H347,,(COLUMN()-69)*8)),"")</f>
        <v/>
      </c>
      <c r="BZ347" s="11" t="str">
        <f ca="1">IFERROR(YEAR(OFFSET(BV!$H347,,(COLUMN()-69)*8)),"")</f>
        <v/>
      </c>
    </row>
    <row r="348" spans="1:78" x14ac:dyDescent="0.25">
      <c r="A348" s="433">
        <v>206</v>
      </c>
      <c r="B348" s="298">
        <f ca="1">BV!D348</f>
        <v>2.6376440460947506</v>
      </c>
      <c r="C348" s="298">
        <f ca="1">BV!L348</f>
        <v>2.5060827250608271</v>
      </c>
      <c r="D348" s="299">
        <f ca="1">BV!T348</f>
        <v>2.4837231733783458</v>
      </c>
      <c r="E348" s="11" t="str">
        <f ca="1">BV!AB348</f>
        <v/>
      </c>
      <c r="F348" s="11" t="str">
        <f ca="1">BV!AJ348</f>
        <v/>
      </c>
      <c r="G348" s="11" t="str">
        <f ca="1">BV!AR348</f>
        <v/>
      </c>
      <c r="H348" s="11" t="str">
        <f ca="1">BV!AZ348</f>
        <v/>
      </c>
      <c r="I348" s="11" t="str">
        <f ca="1">BV!BH348</f>
        <v/>
      </c>
      <c r="J348" s="11" t="str">
        <f ca="1">BV!BP348</f>
        <v/>
      </c>
      <c r="K348" s="11" t="str">
        <f ca="1">BV!BX348</f>
        <v/>
      </c>
      <c r="L348" s="62" t="s">
        <v>64</v>
      </c>
      <c r="M348" s="261">
        <v>5.0668271799999996E-3</v>
      </c>
      <c r="N348" s="277">
        <f t="shared" ca="1" si="157"/>
        <v>14.04856464437538</v>
      </c>
      <c r="O348" s="24" t="s">
        <v>35</v>
      </c>
      <c r="P348" s="1">
        <f t="shared" ref="P348:Y348" ca="1" si="192">IFERROR(MIN(240,$AK14/P42),480)</f>
        <v>157.38583981932865</v>
      </c>
      <c r="Q348" s="1">
        <f t="shared" ca="1" si="192"/>
        <v>228.84363444744383</v>
      </c>
      <c r="R348" s="1">
        <f t="shared" ca="1" si="192"/>
        <v>240</v>
      </c>
      <c r="S348" s="1">
        <f t="shared" ca="1" si="192"/>
        <v>480</v>
      </c>
      <c r="T348" s="1">
        <f t="shared" ca="1" si="192"/>
        <v>480</v>
      </c>
      <c r="U348" s="1">
        <f t="shared" ca="1" si="192"/>
        <v>480</v>
      </c>
      <c r="V348" s="1">
        <f t="shared" ca="1" si="192"/>
        <v>480</v>
      </c>
      <c r="W348" s="1">
        <f t="shared" ca="1" si="192"/>
        <v>480</v>
      </c>
      <c r="X348" s="1">
        <f t="shared" ca="1" si="192"/>
        <v>480</v>
      </c>
      <c r="Y348" s="1">
        <f t="shared" ca="1" si="192"/>
        <v>480</v>
      </c>
      <c r="Z348" s="323">
        <f t="shared" ca="1" si="178"/>
        <v>3986.2294742667727</v>
      </c>
      <c r="AA348" s="344"/>
      <c r="AB348" s="344"/>
      <c r="AC348" s="345">
        <f t="shared" ca="1" si="179"/>
        <v>66</v>
      </c>
      <c r="AD348" s="24" t="s">
        <v>51</v>
      </c>
      <c r="AE348" s="345">
        <f t="shared" ca="1" si="180"/>
        <v>26.229474266772741</v>
      </c>
      <c r="AF348" s="24" t="s">
        <v>52</v>
      </c>
      <c r="AG348" s="588">
        <f ca="1">SUM(N242:N271)</f>
        <v>135.2197451728091</v>
      </c>
      <c r="AH348" s="588"/>
      <c r="AI348" s="344"/>
      <c r="AJ348" s="344"/>
      <c r="AK348" s="315"/>
      <c r="AL348" s="315"/>
      <c r="AM348" s="315"/>
      <c r="AN348" s="433">
        <v>206</v>
      </c>
      <c r="AO348" s="302">
        <f ca="1">BV!C348</f>
        <v>78.099999999999994</v>
      </c>
      <c r="AP348" s="660">
        <f ca="1">BV!K348</f>
        <v>82.2</v>
      </c>
      <c r="AQ348" s="660">
        <f ca="1">BV!S348</f>
        <v>82.94</v>
      </c>
      <c r="AR348" s="11" t="str">
        <f ca="1">BV!AA348</f>
        <v/>
      </c>
      <c r="AS348" s="11" t="str">
        <f ca="1">BV!AI348</f>
        <v/>
      </c>
      <c r="AT348" s="11" t="str">
        <f ca="1">BV!AQ348</f>
        <v/>
      </c>
      <c r="AU348" s="11" t="str">
        <f ca="1">BV!AY348</f>
        <v/>
      </c>
      <c r="AV348" s="11" t="str">
        <f ca="1">BV!BG348</f>
        <v/>
      </c>
      <c r="AW348" s="11" t="str">
        <f ca="1">BV!BO348</f>
        <v/>
      </c>
      <c r="AX348" s="11" t="str">
        <f ca="1">BV!BW348</f>
        <v/>
      </c>
      <c r="AY348" s="62" t="s">
        <v>3</v>
      </c>
      <c r="AZ348" s="37">
        <f t="shared" si="182"/>
        <v>2.295263908429348</v>
      </c>
      <c r="BA348" s="261">
        <v>5.0668271799999996E-3</v>
      </c>
      <c r="BB348" s="268">
        <v>5.7834229239999993E-2</v>
      </c>
      <c r="BC348" s="268">
        <f t="shared" si="160"/>
        <v>8.7609487436475092E-2</v>
      </c>
      <c r="BD348" s="269">
        <f ca="1">IF(BV!H348="","",INT(NOW()-BV!H348))</f>
        <v>39</v>
      </c>
      <c r="BE348" s="279">
        <f t="shared" si="161"/>
        <v>14.048564644375382</v>
      </c>
      <c r="BF348" s="300">
        <f ca="1">BV!G348</f>
        <v>54.306362983359961</v>
      </c>
      <c r="BG348" s="301">
        <f ca="1">BV!O348</f>
        <v>49.782349088058581</v>
      </c>
      <c r="BH348" s="301">
        <f ca="1">BV!W348</f>
        <v>49.029630799216974</v>
      </c>
      <c r="BI348" s="11" t="str">
        <f ca="1">BV!AE348</f>
        <v/>
      </c>
      <c r="BJ348" s="11" t="str">
        <f ca="1">BV!AM348</f>
        <v/>
      </c>
      <c r="BK348" s="11" t="str">
        <f ca="1">BV!AU348</f>
        <v/>
      </c>
      <c r="BL348" s="11" t="str">
        <f ca="1">BV!BC348</f>
        <v/>
      </c>
      <c r="BM348" s="11" t="str">
        <f ca="1">BV!BK348</f>
        <v/>
      </c>
      <c r="BN348" s="11" t="str">
        <f ca="1">BV!BS348</f>
        <v/>
      </c>
      <c r="BO348" s="11" t="str">
        <f ca="1">BV!CA348</f>
        <v/>
      </c>
      <c r="BP348" s="433">
        <v>206</v>
      </c>
      <c r="BQ348" s="11">
        <f ca="1">IFERROR(YEAR(OFFSET(BV!$H348,,(COLUMN()-69)*8)),"")</f>
        <v>2020</v>
      </c>
      <c r="BR348" s="11">
        <f ca="1">IFERROR(YEAR(OFFSET(BV!$H348,,(COLUMN()-69)*8)),"")</f>
        <v>2020</v>
      </c>
      <c r="BS348" s="11">
        <f ca="1">IFERROR(YEAR(OFFSET(BV!$H348,,(COLUMN()-69)*8)),"")</f>
        <v>2020</v>
      </c>
      <c r="BT348" s="11" t="str">
        <f ca="1">IFERROR(YEAR(OFFSET(BV!$H348,,(COLUMN()-69)*8)),"")</f>
        <v/>
      </c>
      <c r="BU348" s="11" t="str">
        <f ca="1">IFERROR(YEAR(OFFSET(BV!$H348,,(COLUMN()-69)*8)),"")</f>
        <v/>
      </c>
      <c r="BV348" s="11" t="str">
        <f ca="1">IFERROR(YEAR(OFFSET(BV!$H348,,(COLUMN()-69)*8)),"")</f>
        <v/>
      </c>
      <c r="BW348" s="11" t="str">
        <f ca="1">IFERROR(YEAR(OFFSET(BV!$H348,,(COLUMN()-69)*8)),"")</f>
        <v/>
      </c>
      <c r="BX348" s="11" t="str">
        <f ca="1">IFERROR(YEAR(OFFSET(BV!$H348,,(COLUMN()-69)*8)),"")</f>
        <v/>
      </c>
      <c r="BY348" s="11" t="str">
        <f ca="1">IFERROR(YEAR(OFFSET(BV!$H348,,(COLUMN()-69)*8)),"")</f>
        <v/>
      </c>
      <c r="BZ348" s="11" t="str">
        <f ca="1">IFERROR(YEAR(OFFSET(BV!$H348,,(COLUMN()-69)*8)),"")</f>
        <v/>
      </c>
    </row>
    <row r="349" spans="1:78" x14ac:dyDescent="0.25">
      <c r="A349" s="433">
        <v>207</v>
      </c>
      <c r="B349" s="298">
        <f ca="1">BV!D349</f>
        <v>2.5324198678737462</v>
      </c>
      <c r="C349" s="299">
        <f ca="1">BV!L349</f>
        <v>2.3498694516971277</v>
      </c>
      <c r="D349" s="11" t="str">
        <f ca="1">BV!T349</f>
        <v/>
      </c>
      <c r="E349" s="11" t="str">
        <f ca="1">BV!AB349</f>
        <v/>
      </c>
      <c r="F349" s="11" t="str">
        <f ca="1">BV!AJ349</f>
        <v/>
      </c>
      <c r="G349" s="11" t="str">
        <f ca="1">BV!AR349</f>
        <v/>
      </c>
      <c r="H349" s="11" t="str">
        <f ca="1">BV!AZ349</f>
        <v/>
      </c>
      <c r="I349" s="11" t="str">
        <f ca="1">BV!BH349</f>
        <v/>
      </c>
      <c r="J349" s="11" t="str">
        <f ca="1">BV!BP349</f>
        <v/>
      </c>
      <c r="K349" s="11" t="str">
        <f ca="1">BV!BX349</f>
        <v/>
      </c>
      <c r="L349" s="62" t="s">
        <v>64</v>
      </c>
      <c r="M349" s="261">
        <v>4.6734172959999997E-3</v>
      </c>
      <c r="N349" s="277">
        <f t="shared" ca="1" si="157"/>
        <v>14.627924807132372</v>
      </c>
      <c r="O349" s="24" t="s">
        <v>23</v>
      </c>
      <c r="P349" s="299">
        <f t="shared" ref="P349:Y349" ca="1" si="193">IFERROR(MIN(240,$AK15/P43),480)</f>
        <v>64.2446984502362</v>
      </c>
      <c r="Q349" s="301">
        <f t="shared" ca="1" si="193"/>
        <v>73.367188292396676</v>
      </c>
      <c r="R349" s="1">
        <f t="shared" ca="1" si="193"/>
        <v>93.592912668134602</v>
      </c>
      <c r="S349" s="1">
        <f t="shared" ca="1" si="193"/>
        <v>114.06784052698707</v>
      </c>
      <c r="T349" s="1">
        <f t="shared" ca="1" si="193"/>
        <v>189.40235069444867</v>
      </c>
      <c r="U349" s="1">
        <f t="shared" ca="1" si="193"/>
        <v>199.56613821621178</v>
      </c>
      <c r="V349" s="1">
        <f t="shared" ca="1" si="193"/>
        <v>240</v>
      </c>
      <c r="W349" s="1">
        <f t="shared" ca="1" si="193"/>
        <v>240</v>
      </c>
      <c r="X349" s="1">
        <f t="shared" ca="1" si="193"/>
        <v>480</v>
      </c>
      <c r="Y349" s="1">
        <f t="shared" ca="1" si="193"/>
        <v>480</v>
      </c>
      <c r="Z349" s="323">
        <f t="shared" ca="1" si="178"/>
        <v>2174.241128848415</v>
      </c>
      <c r="AA349" s="344"/>
      <c r="AB349" s="344"/>
      <c r="AC349" s="345">
        <f t="shared" ca="1" si="179"/>
        <v>36</v>
      </c>
      <c r="AD349" s="24" t="s">
        <v>51</v>
      </c>
      <c r="AE349" s="345">
        <f t="shared" ca="1" si="180"/>
        <v>14.241128848414974</v>
      </c>
      <c r="AF349" s="24" t="s">
        <v>52</v>
      </c>
      <c r="AG349" s="588">
        <f ca="1">SUM(N272:N281)</f>
        <v>202.14507948195492</v>
      </c>
      <c r="AH349" s="588"/>
      <c r="AI349" s="344"/>
      <c r="AJ349" s="344"/>
      <c r="AK349" s="315"/>
      <c r="AL349" s="315"/>
      <c r="AM349" s="315"/>
      <c r="AN349" s="433">
        <v>207</v>
      </c>
      <c r="AO349" s="660">
        <f ca="1">BV!C349</f>
        <v>81.739999999999995</v>
      </c>
      <c r="AP349" s="659">
        <f ca="1">BV!K349</f>
        <v>88.09</v>
      </c>
      <c r="AQ349" s="11" t="str">
        <f ca="1">BV!S349</f>
        <v/>
      </c>
      <c r="AR349" s="11" t="str">
        <f ca="1">BV!AA349</f>
        <v/>
      </c>
      <c r="AS349" s="11" t="str">
        <f ca="1">BV!AI349</f>
        <v/>
      </c>
      <c r="AT349" s="11" t="str">
        <f ca="1">BV!AQ349</f>
        <v/>
      </c>
      <c r="AU349" s="11" t="str">
        <f ca="1">BV!AY349</f>
        <v/>
      </c>
      <c r="AV349" s="11" t="str">
        <f ca="1">BV!BG349</f>
        <v/>
      </c>
      <c r="AW349" s="11" t="str">
        <f ca="1">BV!BO349</f>
        <v/>
      </c>
      <c r="AX349" s="11" t="str">
        <f ca="1">BV!BW349</f>
        <v/>
      </c>
      <c r="AY349" s="62" t="s">
        <v>3</v>
      </c>
      <c r="AZ349" s="37">
        <f t="shared" si="182"/>
        <v>2.3303654384794812</v>
      </c>
      <c r="BA349" s="261">
        <v>4.6734172959999997E-3</v>
      </c>
      <c r="BB349" s="268">
        <v>5.7834229239999993E-2</v>
      </c>
      <c r="BC349" s="268">
        <f t="shared" si="160"/>
        <v>8.0807116432835863E-2</v>
      </c>
      <c r="BD349" s="269">
        <f ca="1">IF(BV!H349="","",INT(NOW()-BV!H349))</f>
        <v>119</v>
      </c>
      <c r="BE349" s="279">
        <f t="shared" si="161"/>
        <v>14.627924807132372</v>
      </c>
      <c r="BF349" s="300">
        <f ca="1">BV!G349</f>
        <v>50.503528764790204</v>
      </c>
      <c r="BG349" s="301">
        <f ca="1">BV!O349</f>
        <v>44.471867164287595</v>
      </c>
      <c r="BH349" s="11" t="str">
        <f ca="1">BV!W349</f>
        <v/>
      </c>
      <c r="BI349" s="11" t="str">
        <f ca="1">BV!AE349</f>
        <v/>
      </c>
      <c r="BJ349" s="11" t="str">
        <f ca="1">BV!AM349</f>
        <v/>
      </c>
      <c r="BK349" s="11" t="str">
        <f ca="1">BV!AU349</f>
        <v/>
      </c>
      <c r="BL349" s="11" t="str">
        <f ca="1">BV!BC349</f>
        <v/>
      </c>
      <c r="BM349" s="11" t="str">
        <f ca="1">BV!BK349</f>
        <v/>
      </c>
      <c r="BN349" s="11" t="str">
        <f ca="1">BV!BS349</f>
        <v/>
      </c>
      <c r="BO349" s="11" t="str">
        <f ca="1">BV!CA349</f>
        <v/>
      </c>
      <c r="BP349" s="433">
        <v>207</v>
      </c>
      <c r="BQ349" s="11">
        <f ca="1">IFERROR(YEAR(OFFSET(BV!$H349,,(COLUMN()-69)*8)),"")</f>
        <v>2020</v>
      </c>
      <c r="BR349" s="11">
        <f ca="1">IFERROR(YEAR(OFFSET(BV!$H349,,(COLUMN()-69)*8)),"")</f>
        <v>2019</v>
      </c>
      <c r="BS349" s="11" t="str">
        <f ca="1">IFERROR(YEAR(OFFSET(BV!$H349,,(COLUMN()-69)*8)),"")</f>
        <v/>
      </c>
      <c r="BT349" s="11" t="str">
        <f ca="1">IFERROR(YEAR(OFFSET(BV!$H349,,(COLUMN()-69)*8)),"")</f>
        <v/>
      </c>
      <c r="BU349" s="11" t="str">
        <f ca="1">IFERROR(YEAR(OFFSET(BV!$H349,,(COLUMN()-69)*8)),"")</f>
        <v/>
      </c>
      <c r="BV349" s="11" t="str">
        <f ca="1">IFERROR(YEAR(OFFSET(BV!$H349,,(COLUMN()-69)*8)),"")</f>
        <v/>
      </c>
      <c r="BW349" s="11" t="str">
        <f ca="1">IFERROR(YEAR(OFFSET(BV!$H349,,(COLUMN()-69)*8)),"")</f>
        <v/>
      </c>
      <c r="BX349" s="11" t="str">
        <f ca="1">IFERROR(YEAR(OFFSET(BV!$H349,,(COLUMN()-69)*8)),"")</f>
        <v/>
      </c>
      <c r="BY349" s="11" t="str">
        <f ca="1">IFERROR(YEAR(OFFSET(BV!$H349,,(COLUMN()-69)*8)),"")</f>
        <v/>
      </c>
      <c r="BZ349" s="11" t="str">
        <f ca="1">IFERROR(YEAR(OFFSET(BV!$H349,,(COLUMN()-69)*8)),"")</f>
        <v/>
      </c>
    </row>
    <row r="350" spans="1:78" x14ac:dyDescent="0.25">
      <c r="A350" s="433">
        <v>208</v>
      </c>
      <c r="B350" s="297">
        <f ca="1">BV!D350</f>
        <v>2.7800053461641276</v>
      </c>
      <c r="C350" s="299">
        <f ca="1">BV!L350</f>
        <v>2.2842082143641553</v>
      </c>
      <c r="D350" s="300">
        <f ca="1">BV!T350</f>
        <v>2.2484055777753755</v>
      </c>
      <c r="E350" s="300">
        <f ca="1">BV!AB350</f>
        <v>2.21323685890615</v>
      </c>
      <c r="F350" s="11" t="str">
        <f ca="1">BV!AJ350</f>
        <v/>
      </c>
      <c r="G350" s="11" t="str">
        <f ca="1">BV!AR350</f>
        <v/>
      </c>
      <c r="H350" s="11" t="str">
        <f ca="1">BV!AZ350</f>
        <v/>
      </c>
      <c r="I350" s="11" t="str">
        <f ca="1">BV!BH350</f>
        <v/>
      </c>
      <c r="J350" s="11" t="str">
        <f ca="1">BV!BP350</f>
        <v/>
      </c>
      <c r="K350" s="11" t="str">
        <f ca="1">BV!BX350</f>
        <v/>
      </c>
      <c r="L350" s="62" t="s">
        <v>64</v>
      </c>
      <c r="M350" s="261">
        <v>4.3016345100000001E-3</v>
      </c>
      <c r="N350" s="277">
        <f t="shared" ca="1" si="157"/>
        <v>15.246959482105824</v>
      </c>
      <c r="O350" s="24" t="s">
        <v>24</v>
      </c>
      <c r="P350" s="298">
        <f t="shared" ref="P350:Y350" ca="1" si="194">IFERROR(MIN(240,$AK16/P44),480)</f>
        <v>62.08032826977162</v>
      </c>
      <c r="Q350" s="299">
        <f t="shared" ca="1" si="194"/>
        <v>65.31014964773702</v>
      </c>
      <c r="R350" s="301">
        <f t="shared" ca="1" si="194"/>
        <v>70.737724650201628</v>
      </c>
      <c r="S350" s="301">
        <f t="shared" ca="1" si="194"/>
        <v>72.049774387576065</v>
      </c>
      <c r="T350" s="302">
        <f t="shared" ca="1" si="194"/>
        <v>74.303179874903634</v>
      </c>
      <c r="U350" s="302">
        <f t="shared" ca="1" si="194"/>
        <v>76.231410786867798</v>
      </c>
      <c r="V350" s="302">
        <f t="shared" ca="1" si="194"/>
        <v>78.953047264101073</v>
      </c>
      <c r="W350" s="1">
        <f t="shared" ca="1" si="194"/>
        <v>105.30228942022191</v>
      </c>
      <c r="X350" s="1">
        <f t="shared" ca="1" si="194"/>
        <v>168.71979624783506</v>
      </c>
      <c r="Y350" s="1">
        <f t="shared" ca="1" si="194"/>
        <v>176.13809517017324</v>
      </c>
      <c r="Z350" s="323">
        <f t="shared" ca="1" si="178"/>
        <v>949.82579571938913</v>
      </c>
      <c r="AA350" s="344"/>
      <c r="AB350" s="344"/>
      <c r="AC350" s="345">
        <f t="shared" ca="1" si="179"/>
        <v>15</v>
      </c>
      <c r="AD350" s="24" t="s">
        <v>51</v>
      </c>
      <c r="AE350" s="345">
        <f t="shared" ca="1" si="180"/>
        <v>49.825795719389134</v>
      </c>
      <c r="AF350" s="24" t="s">
        <v>52</v>
      </c>
      <c r="AG350" s="588">
        <f ca="1">SUM(N282:N291)</f>
        <v>121.94281602408795</v>
      </c>
      <c r="AH350" s="588"/>
      <c r="AI350" s="344"/>
      <c r="AJ350" s="344"/>
      <c r="AK350" s="315"/>
      <c r="AL350" s="315"/>
      <c r="AM350" s="315"/>
      <c r="AN350" s="433">
        <v>208</v>
      </c>
      <c r="AO350" s="302">
        <f ca="1">BV!C350</f>
        <v>74.819999999999993</v>
      </c>
      <c r="AP350" s="11">
        <f ca="1">BV!K350</f>
        <v>91.06</v>
      </c>
      <c r="AQ350" s="11">
        <f ca="1">BV!S350</f>
        <v>92.51</v>
      </c>
      <c r="AR350" s="11">
        <f ca="1">BV!AA350</f>
        <v>93.98</v>
      </c>
      <c r="AS350" s="11" t="str">
        <f ca="1">BV!AI350</f>
        <v/>
      </c>
      <c r="AT350" s="11" t="str">
        <f ca="1">BV!AQ350</f>
        <v/>
      </c>
      <c r="AU350" s="11" t="str">
        <f ca="1">BV!AY350</f>
        <v/>
      </c>
      <c r="AV350" s="11" t="str">
        <f ca="1">BV!BG350</f>
        <v/>
      </c>
      <c r="AW350" s="11" t="str">
        <f ca="1">BV!BO350</f>
        <v/>
      </c>
      <c r="AX350" s="11" t="str">
        <f ca="1">BV!BW350</f>
        <v/>
      </c>
      <c r="AY350" s="62" t="s">
        <v>3</v>
      </c>
      <c r="AZ350" s="37">
        <f t="shared" si="182"/>
        <v>2.3663664923756342</v>
      </c>
      <c r="BA350" s="261">
        <v>4.3016345100000001E-3</v>
      </c>
      <c r="BB350" s="268">
        <v>5.7834229239999993E-2</v>
      </c>
      <c r="BC350" s="268">
        <f t="shared" si="160"/>
        <v>7.4378695221286928E-2</v>
      </c>
      <c r="BD350" s="269">
        <f ca="1">IF(BV!H350="","",INT(NOW()-BV!H350))</f>
        <v>269</v>
      </c>
      <c r="BE350" s="279">
        <f t="shared" si="161"/>
        <v>15.246959482105824</v>
      </c>
      <c r="BF350" s="299">
        <f ca="1">BV!G350</f>
        <v>58.982543100604886</v>
      </c>
      <c r="BG350" s="301">
        <f ca="1">BV!O350</f>
        <v>42.237343162158091</v>
      </c>
      <c r="BH350" s="301">
        <f ca="1">BV!W350</f>
        <v>41.118080520418225</v>
      </c>
      <c r="BI350" s="301">
        <f ca="1">BV!AE350</f>
        <v>40.030714437257551</v>
      </c>
      <c r="BJ350" s="11" t="str">
        <f ca="1">BV!AM350</f>
        <v/>
      </c>
      <c r="BK350" s="11" t="str">
        <f ca="1">BV!AU350</f>
        <v/>
      </c>
      <c r="BL350" s="11" t="str">
        <f ca="1">BV!BC350</f>
        <v/>
      </c>
      <c r="BM350" s="11" t="str">
        <f ca="1">BV!BK350</f>
        <v/>
      </c>
      <c r="BN350" s="11" t="str">
        <f ca="1">BV!BS350</f>
        <v/>
      </c>
      <c r="BO350" s="11" t="str">
        <f ca="1">BV!CA350</f>
        <v/>
      </c>
      <c r="BP350" s="433">
        <v>208</v>
      </c>
      <c r="BQ350" s="11">
        <f ca="1">IFERROR(YEAR(OFFSET(BV!$H350,,(COLUMN()-69)*8)),"")</f>
        <v>2020</v>
      </c>
      <c r="BR350" s="11">
        <f ca="1">IFERROR(YEAR(OFFSET(BV!$H350,,(COLUMN()-69)*8)),"")</f>
        <v>2019</v>
      </c>
      <c r="BS350" s="11">
        <f ca="1">IFERROR(YEAR(OFFSET(BV!$H350,,(COLUMN()-69)*8)),"")</f>
        <v>2019</v>
      </c>
      <c r="BT350" s="11">
        <f ca="1">IFERROR(YEAR(OFFSET(BV!$H350,,(COLUMN()-69)*8)),"")</f>
        <v>2019</v>
      </c>
      <c r="BU350" s="11" t="str">
        <f ca="1">IFERROR(YEAR(OFFSET(BV!$H350,,(COLUMN()-69)*8)),"")</f>
        <v/>
      </c>
      <c r="BV350" s="11" t="str">
        <f ca="1">IFERROR(YEAR(OFFSET(BV!$H350,,(COLUMN()-69)*8)),"")</f>
        <v/>
      </c>
      <c r="BW350" s="11" t="str">
        <f ca="1">IFERROR(YEAR(OFFSET(BV!$H350,,(COLUMN()-69)*8)),"")</f>
        <v/>
      </c>
      <c r="BX350" s="11" t="str">
        <f ca="1">IFERROR(YEAR(OFFSET(BV!$H350,,(COLUMN()-69)*8)),"")</f>
        <v/>
      </c>
      <c r="BY350" s="11" t="str">
        <f ca="1">IFERROR(YEAR(OFFSET(BV!$H350,,(COLUMN()-69)*8)),"")</f>
        <v/>
      </c>
      <c r="BZ350" s="11" t="str">
        <f ca="1">IFERROR(YEAR(OFFSET(BV!$H350,,(COLUMN()-69)*8)),"")</f>
        <v/>
      </c>
    </row>
    <row r="351" spans="1:78" x14ac:dyDescent="0.25">
      <c r="A351" s="433">
        <v>209</v>
      </c>
      <c r="B351" s="298">
        <f ca="1">BV!D351</f>
        <v>2.5044937088076691</v>
      </c>
      <c r="C351" s="299">
        <f ca="1">BV!L351</f>
        <v>2.4108893759372476</v>
      </c>
      <c r="D351" s="11" t="str">
        <f ca="1">BV!T351</f>
        <v/>
      </c>
      <c r="E351" s="11" t="str">
        <f ca="1">BV!AB351</f>
        <v/>
      </c>
      <c r="F351" s="11" t="str">
        <f ca="1">BV!AJ351</f>
        <v/>
      </c>
      <c r="G351" s="11" t="str">
        <f ca="1">BV!AR351</f>
        <v/>
      </c>
      <c r="H351" s="11" t="str">
        <f ca="1">BV!AZ351</f>
        <v/>
      </c>
      <c r="I351" s="11" t="str">
        <f ca="1">BV!BH351</f>
        <v/>
      </c>
      <c r="J351" s="11" t="str">
        <f ca="1">BV!BP351</f>
        <v/>
      </c>
      <c r="K351" s="11" t="str">
        <f ca="1">BV!BX351</f>
        <v/>
      </c>
      <c r="L351" s="62" t="s">
        <v>64</v>
      </c>
      <c r="M351" s="261">
        <v>3.9509488429999998E-3</v>
      </c>
      <c r="N351" s="277">
        <f t="shared" ca="1" si="157"/>
        <v>15.909234992395692</v>
      </c>
      <c r="O351" s="24" t="s">
        <v>25</v>
      </c>
      <c r="P351" s="298">
        <f t="shared" ref="P351:Y351" ca="1" si="195">IFERROR(MIN(240,$AK17/P45),480)</f>
        <v>63.112857922695255</v>
      </c>
      <c r="Q351" s="299">
        <f t="shared" ca="1" si="195"/>
        <v>66.106986994516276</v>
      </c>
      <c r="R351" s="300">
        <f t="shared" ca="1" si="195"/>
        <v>67.079487879245136</v>
      </c>
      <c r="S351" s="300">
        <f t="shared" ca="1" si="195"/>
        <v>68.299695348675542</v>
      </c>
      <c r="T351" s="301">
        <f t="shared" ca="1" si="195"/>
        <v>69.553313336662526</v>
      </c>
      <c r="U351" s="301">
        <f t="shared" ca="1" si="195"/>
        <v>70.534628820710623</v>
      </c>
      <c r="V351" s="301">
        <f t="shared" ca="1" si="195"/>
        <v>71.090197333910012</v>
      </c>
      <c r="W351" s="301">
        <f t="shared" ca="1" si="195"/>
        <v>72.564273432489614</v>
      </c>
      <c r="X351" s="301">
        <f t="shared" ca="1" si="195"/>
        <v>73.700374118794798</v>
      </c>
      <c r="Y351" s="302">
        <f t="shared" ca="1" si="195"/>
        <v>74.385855312232934</v>
      </c>
      <c r="Z351" s="323">
        <f t="shared" ca="1" si="178"/>
        <v>696.42767049993267</v>
      </c>
      <c r="AA351" s="344"/>
      <c r="AB351" s="344"/>
      <c r="AC351" s="345">
        <f t="shared" ca="1" si="179"/>
        <v>11</v>
      </c>
      <c r="AD351" s="24" t="s">
        <v>51</v>
      </c>
      <c r="AE351" s="345">
        <f t="shared" ca="1" si="180"/>
        <v>36.427670499932674</v>
      </c>
      <c r="AF351" s="24" t="s">
        <v>52</v>
      </c>
      <c r="AG351" s="588">
        <f ca="1">SUM(N292:N301)</f>
        <v>87.322199497680415</v>
      </c>
      <c r="AH351" s="588"/>
      <c r="AI351" s="344"/>
      <c r="AJ351" s="344"/>
      <c r="AK351" s="315"/>
      <c r="AL351" s="315"/>
      <c r="AM351" s="315"/>
      <c r="AN351" s="433">
        <v>209</v>
      </c>
      <c r="AO351" s="660">
        <f ca="1">BV!C351</f>
        <v>83.45</v>
      </c>
      <c r="AP351" s="659">
        <f ca="1">BV!K351</f>
        <v>86.69</v>
      </c>
      <c r="AQ351" s="11" t="str">
        <f ca="1">BV!S351</f>
        <v/>
      </c>
      <c r="AR351" s="11" t="str">
        <f ca="1">BV!AA351</f>
        <v/>
      </c>
      <c r="AS351" s="11" t="str">
        <f ca="1">BV!AI351</f>
        <v/>
      </c>
      <c r="AT351" s="11" t="str">
        <f ca="1">BV!AQ351</f>
        <v/>
      </c>
      <c r="AU351" s="11" t="str">
        <f ca="1">BV!AY351</f>
        <v/>
      </c>
      <c r="AV351" s="11" t="str">
        <f ca="1">BV!BG351</f>
        <v/>
      </c>
      <c r="AW351" s="11" t="str">
        <f ca="1">BV!BO351</f>
        <v/>
      </c>
      <c r="AX351" s="11" t="str">
        <f ca="1">BV!BW351</f>
        <v/>
      </c>
      <c r="AY351" s="62" t="s">
        <v>3</v>
      </c>
      <c r="AZ351" s="37">
        <f t="shared" si="182"/>
        <v>2.4032985935396738</v>
      </c>
      <c r="BA351" s="261">
        <v>3.9509488429999998E-3</v>
      </c>
      <c r="BB351" s="268">
        <v>5.7834229239999993E-2</v>
      </c>
      <c r="BC351" s="268">
        <f t="shared" si="160"/>
        <v>6.8315060041768447E-2</v>
      </c>
      <c r="BD351" s="269">
        <f ca="1">IF(BV!H351="","",INT(NOW()-BV!H351))</f>
        <v>326</v>
      </c>
      <c r="BE351" s="279">
        <f t="shared" si="161"/>
        <v>15.909234992395692</v>
      </c>
      <c r="BF351" s="301">
        <f ca="1">BV!G351</f>
        <v>49.227951235161271</v>
      </c>
      <c r="BG351" s="301">
        <f ca="1">BV!O351</f>
        <v>46.141237328003371</v>
      </c>
      <c r="BH351" s="11" t="str">
        <f ca="1">BV!W351</f>
        <v/>
      </c>
      <c r="BI351" s="11" t="str">
        <f ca="1">BV!AE351</f>
        <v/>
      </c>
      <c r="BJ351" s="11" t="str">
        <f ca="1">BV!AM351</f>
        <v/>
      </c>
      <c r="BK351" s="11" t="str">
        <f ca="1">BV!AU351</f>
        <v/>
      </c>
      <c r="BL351" s="11" t="str">
        <f ca="1">BV!BC351</f>
        <v/>
      </c>
      <c r="BM351" s="11" t="str">
        <f ca="1">BV!BK351</f>
        <v/>
      </c>
      <c r="BN351" s="11" t="str">
        <f ca="1">BV!BS351</f>
        <v/>
      </c>
      <c r="BO351" s="11" t="str">
        <f ca="1">BV!CA351</f>
        <v/>
      </c>
      <c r="BP351" s="433">
        <v>209</v>
      </c>
      <c r="BQ351" s="11">
        <f ca="1">IFERROR(YEAR(OFFSET(BV!$H351,,(COLUMN()-69)*8)),"")</f>
        <v>2020</v>
      </c>
      <c r="BR351" s="11">
        <f ca="1">IFERROR(YEAR(OFFSET(BV!$H351,,(COLUMN()-69)*8)),"")</f>
        <v>2020</v>
      </c>
      <c r="BS351" s="11" t="str">
        <f ca="1">IFERROR(YEAR(OFFSET(BV!$H351,,(COLUMN()-69)*8)),"")</f>
        <v/>
      </c>
      <c r="BT351" s="11" t="str">
        <f ca="1">IFERROR(YEAR(OFFSET(BV!$H351,,(COLUMN()-69)*8)),"")</f>
        <v/>
      </c>
      <c r="BU351" s="11" t="str">
        <f ca="1">IFERROR(YEAR(OFFSET(BV!$H351,,(COLUMN()-69)*8)),"")</f>
        <v/>
      </c>
      <c r="BV351" s="11" t="str">
        <f ca="1">IFERROR(YEAR(OFFSET(BV!$H351,,(COLUMN()-69)*8)),"")</f>
        <v/>
      </c>
      <c r="BW351" s="11" t="str">
        <f ca="1">IFERROR(YEAR(OFFSET(BV!$H351,,(COLUMN()-69)*8)),"")</f>
        <v/>
      </c>
      <c r="BX351" s="11" t="str">
        <f ca="1">IFERROR(YEAR(OFFSET(BV!$H351,,(COLUMN()-69)*8)),"")</f>
        <v/>
      </c>
      <c r="BY351" s="11" t="str">
        <f ca="1">IFERROR(YEAR(OFFSET(BV!$H351,,(COLUMN()-69)*8)),"")</f>
        <v/>
      </c>
      <c r="BZ351" s="11" t="str">
        <f ca="1">IFERROR(YEAR(OFFSET(BV!$H351,,(COLUMN()-69)*8)),"")</f>
        <v/>
      </c>
    </row>
    <row r="352" spans="1:78" x14ac:dyDescent="0.25">
      <c r="A352" s="433">
        <v>210</v>
      </c>
      <c r="B352" s="298">
        <f ca="1">BV!D352</f>
        <v>2.7131782945736433</v>
      </c>
      <c r="C352" s="11" t="str">
        <f ca="1">BV!L352</f>
        <v/>
      </c>
      <c r="D352" s="11" t="str">
        <f ca="1">BV!T352</f>
        <v/>
      </c>
      <c r="E352" s="11" t="str">
        <f ca="1">BV!AB352</f>
        <v/>
      </c>
      <c r="F352" s="11" t="str">
        <f ca="1">BV!AJ352</f>
        <v/>
      </c>
      <c r="G352" s="11" t="str">
        <f ca="1">BV!AR352</f>
        <v/>
      </c>
      <c r="H352" s="11" t="str">
        <f ca="1">BV!AZ352</f>
        <v/>
      </c>
      <c r="I352" s="11" t="str">
        <f ca="1">BV!BH352</f>
        <v/>
      </c>
      <c r="J352" s="11" t="str">
        <f ca="1">BV!BP352</f>
        <v/>
      </c>
      <c r="K352" s="11" t="str">
        <f ca="1">BV!BX352</f>
        <v/>
      </c>
      <c r="L352" s="62" t="s">
        <v>64</v>
      </c>
      <c r="M352" s="261">
        <v>3.6213502009999998E-3</v>
      </c>
      <c r="N352" s="277">
        <f t="shared" ca="1" si="157"/>
        <v>16.617463650228384</v>
      </c>
      <c r="O352" s="24" t="s">
        <v>26</v>
      </c>
      <c r="P352" s="299">
        <f t="shared" ref="P352:Y352" ca="1" si="196">IFERROR(MIN(240,$AK18/P46),480)</f>
        <v>65.81737503056182</v>
      </c>
      <c r="Q352" s="300">
        <f t="shared" ca="1" si="196"/>
        <v>68.038960228065932</v>
      </c>
      <c r="R352" s="301">
        <f t="shared" ca="1" si="196"/>
        <v>69.10510205012838</v>
      </c>
      <c r="S352" s="301">
        <f t="shared" ca="1" si="196"/>
        <v>70.477819016746309</v>
      </c>
      <c r="T352" s="301">
        <f t="shared" ca="1" si="196"/>
        <v>71.334864078358279</v>
      </c>
      <c r="U352" s="301">
        <f t="shared" ca="1" si="196"/>
        <v>72.038029238297199</v>
      </c>
      <c r="V352" s="301">
        <f t="shared" ca="1" si="196"/>
        <v>72.898288582357296</v>
      </c>
      <c r="W352" s="301">
        <f t="shared" ca="1" si="196"/>
        <v>73.81549454851293</v>
      </c>
      <c r="X352" s="302">
        <f t="shared" ca="1" si="196"/>
        <v>74.388639918225124</v>
      </c>
      <c r="Y352" s="302">
        <f t="shared" ca="1" si="196"/>
        <v>76.034501625507914</v>
      </c>
      <c r="Z352" s="323">
        <f t="shared" ca="1" si="178"/>
        <v>713.94907431676131</v>
      </c>
      <c r="AA352" s="344"/>
      <c r="AB352" s="344"/>
      <c r="AC352" s="345">
        <f t="shared" ca="1" si="179"/>
        <v>11</v>
      </c>
      <c r="AD352" s="24" t="s">
        <v>51</v>
      </c>
      <c r="AE352" s="345">
        <f t="shared" ca="1" si="180"/>
        <v>53.949074316761312</v>
      </c>
      <c r="AF352" s="24" t="s">
        <v>52</v>
      </c>
      <c r="AG352" s="588">
        <f ca="1">SUM(N302:N311)</f>
        <v>73.045126098465431</v>
      </c>
      <c r="AH352" s="588"/>
      <c r="AI352" s="344"/>
      <c r="AJ352" s="344"/>
      <c r="AK352" s="315"/>
      <c r="AL352" s="315"/>
      <c r="AM352" s="315"/>
      <c r="AN352" s="433">
        <v>210</v>
      </c>
      <c r="AO352" s="302">
        <f ca="1">BV!C352</f>
        <v>77.400000000000006</v>
      </c>
      <c r="AP352" s="11" t="str">
        <f ca="1">BV!K352</f>
        <v/>
      </c>
      <c r="AQ352" s="11" t="str">
        <f ca="1">BV!S352</f>
        <v/>
      </c>
      <c r="AR352" s="11" t="str">
        <f ca="1">BV!AA352</f>
        <v/>
      </c>
      <c r="AS352" s="11" t="str">
        <f ca="1">BV!AI352</f>
        <v/>
      </c>
      <c r="AT352" s="11" t="str">
        <f ca="1">BV!AQ352</f>
        <v/>
      </c>
      <c r="AU352" s="11" t="str">
        <f ca="1">BV!AY352</f>
        <v/>
      </c>
      <c r="AV352" s="11" t="str">
        <f ca="1">BV!BG352</f>
        <v/>
      </c>
      <c r="AW352" s="11" t="str">
        <f ca="1">BV!BO352</f>
        <v/>
      </c>
      <c r="AX352" s="11" t="str">
        <f ca="1">BV!BW352</f>
        <v/>
      </c>
      <c r="AY352" s="62" t="s">
        <v>3</v>
      </c>
      <c r="AZ352" s="37">
        <f t="shared" si="182"/>
        <v>2.4411294749046935</v>
      </c>
      <c r="BA352" s="261">
        <v>3.6213502009999998E-3</v>
      </c>
      <c r="BB352" s="56">
        <v>2.4580025853999998E-2</v>
      </c>
      <c r="BC352" s="56">
        <f t="shared" si="160"/>
        <v>0.14732898258569913</v>
      </c>
      <c r="BD352" s="13">
        <f ca="1">IF(BV!H352="","",INT(NOW()-BV!H352))</f>
        <v>246</v>
      </c>
      <c r="BE352" s="279">
        <f t="shared" si="161"/>
        <v>16.617463650228384</v>
      </c>
      <c r="BF352" s="300">
        <f ca="1">BV!G352</f>
        <v>56.214702535725003</v>
      </c>
      <c r="BG352" s="11" t="str">
        <f ca="1">BV!O352</f>
        <v/>
      </c>
      <c r="BH352" s="11" t="str">
        <f ca="1">BV!W352</f>
        <v/>
      </c>
      <c r="BI352" s="11" t="str">
        <f ca="1">BV!AE352</f>
        <v/>
      </c>
      <c r="BJ352" s="11" t="str">
        <f ca="1">BV!AM352</f>
        <v/>
      </c>
      <c r="BK352" s="11" t="str">
        <f ca="1">BV!AU352</f>
        <v/>
      </c>
      <c r="BL352" s="11" t="str">
        <f ca="1">BV!BC352</f>
        <v/>
      </c>
      <c r="BM352" s="11" t="str">
        <f ca="1">BV!BK352</f>
        <v/>
      </c>
      <c r="BN352" s="11" t="str">
        <f ca="1">BV!BS352</f>
        <v/>
      </c>
      <c r="BO352" s="11" t="str">
        <f ca="1">BV!CA352</f>
        <v/>
      </c>
      <c r="BP352" s="433">
        <v>210</v>
      </c>
      <c r="BQ352" s="11">
        <f ca="1">IFERROR(YEAR(OFFSET(BV!$H352,,(COLUMN()-69)*8)),"")</f>
        <v>2020</v>
      </c>
      <c r="BR352" s="11" t="str">
        <f ca="1">IFERROR(YEAR(OFFSET(BV!$H352,,(COLUMN()-69)*8)),"")</f>
        <v/>
      </c>
      <c r="BS352" s="11" t="str">
        <f ca="1">IFERROR(YEAR(OFFSET(BV!$H352,,(COLUMN()-69)*8)),"")</f>
        <v/>
      </c>
      <c r="BT352" s="11" t="str">
        <f ca="1">IFERROR(YEAR(OFFSET(BV!$H352,,(COLUMN()-69)*8)),"")</f>
        <v/>
      </c>
      <c r="BU352" s="11" t="str">
        <f ca="1">IFERROR(YEAR(OFFSET(BV!$H352,,(COLUMN()-69)*8)),"")</f>
        <v/>
      </c>
      <c r="BV352" s="11" t="str">
        <f ca="1">IFERROR(YEAR(OFFSET(BV!$H352,,(COLUMN()-69)*8)),"")</f>
        <v/>
      </c>
      <c r="BW352" s="11" t="str">
        <f ca="1">IFERROR(YEAR(OFFSET(BV!$H352,,(COLUMN()-69)*8)),"")</f>
        <v/>
      </c>
      <c r="BX352" s="11" t="str">
        <f ca="1">IFERROR(YEAR(OFFSET(BV!$H352,,(COLUMN()-69)*8)),"")</f>
        <v/>
      </c>
      <c r="BY352" s="11" t="str">
        <f ca="1">IFERROR(YEAR(OFFSET(BV!$H352,,(COLUMN()-69)*8)),"")</f>
        <v/>
      </c>
      <c r="BZ352" s="11" t="str">
        <f ca="1">IFERROR(YEAR(OFFSET(BV!$H352,,(COLUMN()-69)*8)),"")</f>
        <v/>
      </c>
    </row>
    <row r="353" spans="1:78" x14ac:dyDescent="0.25">
      <c r="A353" s="433">
        <v>211</v>
      </c>
      <c r="B353" s="298">
        <f ca="1">BV!D353</f>
        <v>2.5924560756849737</v>
      </c>
      <c r="C353" s="11" t="str">
        <f ca="1">BV!L353</f>
        <v/>
      </c>
      <c r="D353" s="11" t="str">
        <f ca="1">BV!T353</f>
        <v/>
      </c>
      <c r="E353" s="11" t="str">
        <f ca="1">BV!AB353</f>
        <v/>
      </c>
      <c r="F353" s="11" t="str">
        <f ca="1">BV!AJ353</f>
        <v/>
      </c>
      <c r="G353" s="11" t="str">
        <f ca="1">BV!AR353</f>
        <v/>
      </c>
      <c r="H353" s="11" t="str">
        <f ca="1">BV!AZ353</f>
        <v/>
      </c>
      <c r="I353" s="11" t="str">
        <f ca="1">BV!BH353</f>
        <v/>
      </c>
      <c r="J353" s="11" t="str">
        <f ca="1">BV!BP353</f>
        <v/>
      </c>
      <c r="K353" s="11" t="str">
        <f ca="1">BV!BX353</f>
        <v/>
      </c>
      <c r="L353" s="62" t="s">
        <v>64</v>
      </c>
      <c r="M353" s="261">
        <v>3.3123274700000002E-3</v>
      </c>
      <c r="N353" s="277">
        <f t="shared" ca="1" si="157"/>
        <v>17.375342209666439</v>
      </c>
      <c r="O353" s="24" t="s">
        <v>27</v>
      </c>
      <c r="P353" s="300">
        <f t="shared" ref="P353:Y353" ca="1" si="197">IFERROR(MIN(240,$AK19/P47),480)</f>
        <v>67.384155631883772</v>
      </c>
      <c r="Q353" s="301">
        <f t="shared" ca="1" si="197"/>
        <v>69.446272368075569</v>
      </c>
      <c r="R353" s="301">
        <f t="shared" ca="1" si="197"/>
        <v>70.406885526594394</v>
      </c>
      <c r="S353" s="301">
        <f t="shared" ca="1" si="197"/>
        <v>71.445368299840823</v>
      </c>
      <c r="T353" s="301">
        <f t="shared" ca="1" si="197"/>
        <v>72.688751336437136</v>
      </c>
      <c r="U353" s="301">
        <f t="shared" ca="1" si="197"/>
        <v>73.759666944727428</v>
      </c>
      <c r="V353" s="302">
        <f t="shared" ca="1" si="197"/>
        <v>74.519073497253018</v>
      </c>
      <c r="W353" s="302">
        <f t="shared" ca="1" si="197"/>
        <v>75.111702655522976</v>
      </c>
      <c r="X353" s="302">
        <f t="shared" ca="1" si="197"/>
        <v>75.728630698743189</v>
      </c>
      <c r="Y353" s="302">
        <f t="shared" ca="1" si="197"/>
        <v>76.344336502246492</v>
      </c>
      <c r="Z353" s="323">
        <f t="shared" ca="1" si="178"/>
        <v>726.83484346132491</v>
      </c>
      <c r="AA353" s="344"/>
      <c r="AB353" s="344"/>
      <c r="AC353" s="345">
        <f t="shared" ca="1" si="179"/>
        <v>12</v>
      </c>
      <c r="AD353" s="24" t="s">
        <v>51</v>
      </c>
      <c r="AE353" s="345">
        <f t="shared" ca="1" si="180"/>
        <v>6.8348434613249083</v>
      </c>
      <c r="AF353" s="24" t="s">
        <v>52</v>
      </c>
      <c r="AG353" s="588">
        <f ca="1">SUM(N312:N321)</f>
        <v>70.434599017852207</v>
      </c>
      <c r="AH353" s="588"/>
      <c r="AI353" s="344"/>
      <c r="AJ353" s="344"/>
      <c r="AK353" s="315"/>
      <c r="AL353" s="315"/>
      <c r="AM353" s="315"/>
      <c r="AN353" s="433">
        <v>211</v>
      </c>
      <c r="AO353" s="660">
        <f ca="1">BV!C353</f>
        <v>81.39</v>
      </c>
      <c r="AP353" s="11" t="str">
        <f ca="1">BV!K353</f>
        <v/>
      </c>
      <c r="AQ353" s="11" t="str">
        <f ca="1">BV!S353</f>
        <v/>
      </c>
      <c r="AR353" s="11" t="str">
        <f ca="1">BV!AA353</f>
        <v/>
      </c>
      <c r="AS353" s="11" t="str">
        <f ca="1">BV!AI353</f>
        <v/>
      </c>
      <c r="AT353" s="11" t="str">
        <f ca="1">BV!AQ353</f>
        <v/>
      </c>
      <c r="AU353" s="11" t="str">
        <f ca="1">BV!AY353</f>
        <v/>
      </c>
      <c r="AV353" s="11" t="str">
        <f ca="1">BV!BG353</f>
        <v/>
      </c>
      <c r="AW353" s="11" t="str">
        <f ca="1">BV!BO353</f>
        <v/>
      </c>
      <c r="AX353" s="11" t="str">
        <f ca="1">BV!BW353</f>
        <v/>
      </c>
      <c r="AY353" s="62" t="s">
        <v>3</v>
      </c>
      <c r="AZ353" s="37">
        <f t="shared" si="182"/>
        <v>2.4798667336674667</v>
      </c>
      <c r="BA353" s="261">
        <v>3.3123274700000002E-3</v>
      </c>
      <c r="BB353" s="56">
        <v>2.4580025853999998E-2</v>
      </c>
      <c r="BC353" s="56">
        <f t="shared" si="160"/>
        <v>0.13475687493880212</v>
      </c>
      <c r="BD353" s="13">
        <f ca="1">IF(BV!H353="","",INT(NOW()-BV!H353))</f>
        <v>123</v>
      </c>
      <c r="BE353" s="279">
        <f t="shared" si="161"/>
        <v>17.375342209666439</v>
      </c>
      <c r="BF353" s="300">
        <f ca="1">BV!G353</f>
        <v>51.856348003531068</v>
      </c>
      <c r="BG353" s="11" t="str">
        <f ca="1">BV!O353</f>
        <v/>
      </c>
      <c r="BH353" s="11" t="str">
        <f ca="1">BV!W353</f>
        <v/>
      </c>
      <c r="BI353" s="11" t="str">
        <f ca="1">BV!AE353</f>
        <v/>
      </c>
      <c r="BJ353" s="11" t="str">
        <f ca="1">BV!AM353</f>
        <v/>
      </c>
      <c r="BK353" s="11" t="str">
        <f ca="1">BV!AU353</f>
        <v/>
      </c>
      <c r="BL353" s="11" t="str">
        <f ca="1">BV!BC353</f>
        <v/>
      </c>
      <c r="BM353" s="11" t="str">
        <f ca="1">BV!BK353</f>
        <v/>
      </c>
      <c r="BN353" s="11" t="str">
        <f ca="1">BV!BS353</f>
        <v/>
      </c>
      <c r="BO353" s="11" t="str">
        <f ca="1">BV!CA353</f>
        <v/>
      </c>
      <c r="BP353" s="433">
        <v>211</v>
      </c>
      <c r="BQ353" s="11">
        <f ca="1">IFERROR(YEAR(OFFSET(BV!$H353,,(COLUMN()-69)*8)),"")</f>
        <v>2020</v>
      </c>
      <c r="BR353" s="11" t="str">
        <f ca="1">IFERROR(YEAR(OFFSET(BV!$H353,,(COLUMN()-69)*8)),"")</f>
        <v/>
      </c>
      <c r="BS353" s="11" t="str">
        <f ca="1">IFERROR(YEAR(OFFSET(BV!$H353,,(COLUMN()-69)*8)),"")</f>
        <v/>
      </c>
      <c r="BT353" s="11" t="str">
        <f ca="1">IFERROR(YEAR(OFFSET(BV!$H353,,(COLUMN()-69)*8)),"")</f>
        <v/>
      </c>
      <c r="BU353" s="11" t="str">
        <f ca="1">IFERROR(YEAR(OFFSET(BV!$H353,,(COLUMN()-69)*8)),"")</f>
        <v/>
      </c>
      <c r="BV353" s="11" t="str">
        <f ca="1">IFERROR(YEAR(OFFSET(BV!$H353,,(COLUMN()-69)*8)),"")</f>
        <v/>
      </c>
      <c r="BW353" s="11" t="str">
        <f ca="1">IFERROR(YEAR(OFFSET(BV!$H353,,(COLUMN()-69)*8)),"")</f>
        <v/>
      </c>
      <c r="BX353" s="11" t="str">
        <f ca="1">IFERROR(YEAR(OFFSET(BV!$H353,,(COLUMN()-69)*8)),"")</f>
        <v/>
      </c>
      <c r="BY353" s="11" t="str">
        <f ca="1">IFERROR(YEAR(OFFSET(BV!$H353,,(COLUMN()-69)*8)),"")</f>
        <v/>
      </c>
      <c r="BZ353" s="11" t="str">
        <f ca="1">IFERROR(YEAR(OFFSET(BV!$H353,,(COLUMN()-69)*8)),"")</f>
        <v/>
      </c>
    </row>
    <row r="354" spans="1:78" x14ac:dyDescent="0.25">
      <c r="A354" s="433">
        <v>212</v>
      </c>
      <c r="B354" s="300">
        <f ca="1">BV!D354</f>
        <v>2.2222222222222219</v>
      </c>
      <c r="C354" s="11" t="str">
        <f ca="1">BV!L354</f>
        <v/>
      </c>
      <c r="D354" s="11" t="str">
        <f ca="1">BV!T354</f>
        <v/>
      </c>
      <c r="E354" s="11" t="str">
        <f ca="1">BV!AB354</f>
        <v/>
      </c>
      <c r="F354" s="11" t="str">
        <f ca="1">BV!AJ354</f>
        <v/>
      </c>
      <c r="G354" s="11" t="str">
        <f ca="1">BV!AR354</f>
        <v/>
      </c>
      <c r="H354" s="11" t="str">
        <f ca="1">BV!AZ354</f>
        <v/>
      </c>
      <c r="I354" s="11" t="str">
        <f ca="1">BV!BH354</f>
        <v/>
      </c>
      <c r="J354" s="11" t="str">
        <f ca="1">BV!BP354</f>
        <v/>
      </c>
      <c r="K354" s="11" t="str">
        <f ca="1">BV!BX354</f>
        <v/>
      </c>
      <c r="L354" s="62" t="s">
        <v>64</v>
      </c>
      <c r="M354" s="261">
        <v>3.023365134E-3</v>
      </c>
      <c r="N354" s="277">
        <f t="shared" ca="1" si="157"/>
        <v>18.186733370317103</v>
      </c>
      <c r="O354" s="24" t="s">
        <v>28</v>
      </c>
      <c r="P354" s="301">
        <f t="shared" ref="P354:Y354" ca="1" si="198">IFERROR(MIN(240,$AK20/P48),480)</f>
        <v>69.576345627037085</v>
      </c>
      <c r="Q354" s="301">
        <f t="shared" ca="1" si="198"/>
        <v>71.360894966250171</v>
      </c>
      <c r="R354" s="301">
        <f t="shared" ca="1" si="198"/>
        <v>72.516441191688017</v>
      </c>
      <c r="S354" s="302">
        <f t="shared" ca="1" si="198"/>
        <v>74.266579641564974</v>
      </c>
      <c r="T354" s="302">
        <f t="shared" ca="1" si="198"/>
        <v>75.44517008964057</v>
      </c>
      <c r="U354" s="302">
        <f t="shared" ca="1" si="198"/>
        <v>76.342262339398587</v>
      </c>
      <c r="V354" s="302">
        <f t="shared" ca="1" si="198"/>
        <v>77.340646968681185</v>
      </c>
      <c r="W354" s="302">
        <f t="shared" ca="1" si="198"/>
        <v>77.727057908183454</v>
      </c>
      <c r="X354" s="660">
        <f t="shared" ca="1" si="198"/>
        <v>79.52999483049669</v>
      </c>
      <c r="Y354" s="659">
        <f t="shared" ca="1" si="198"/>
        <v>88.178742041132907</v>
      </c>
      <c r="Z354" s="323">
        <f t="shared" ca="1" si="178"/>
        <v>762.28413560407353</v>
      </c>
      <c r="AA354" s="344"/>
      <c r="AB354" s="344"/>
      <c r="AC354" s="345">
        <f t="shared" ca="1" si="179"/>
        <v>12</v>
      </c>
      <c r="AD354" s="24" t="s">
        <v>51</v>
      </c>
      <c r="AE354" s="345">
        <f t="shared" ca="1" si="180"/>
        <v>42.284135604073526</v>
      </c>
      <c r="AF354" s="24" t="s">
        <v>52</v>
      </c>
      <c r="AG354" s="588">
        <f ca="1">SUM(N322:N331)</f>
        <v>77.431638209818971</v>
      </c>
      <c r="AH354" s="588"/>
      <c r="AI354" s="344"/>
      <c r="AJ354" s="344"/>
      <c r="AK354" s="315"/>
      <c r="AL354" s="315"/>
      <c r="AM354" s="315"/>
      <c r="AN354" s="433">
        <v>212</v>
      </c>
      <c r="AO354" s="11">
        <f ca="1">BV!C354</f>
        <v>95.4</v>
      </c>
      <c r="AP354" s="11" t="str">
        <f ca="1">BV!K354</f>
        <v/>
      </c>
      <c r="AQ354" s="11" t="str">
        <f ca="1">BV!S354</f>
        <v/>
      </c>
      <c r="AR354" s="11" t="str">
        <f ca="1">BV!AA354</f>
        <v/>
      </c>
      <c r="AS354" s="11" t="str">
        <f ca="1">BV!AI354</f>
        <v/>
      </c>
      <c r="AT354" s="11" t="str">
        <f ca="1">BV!AQ354</f>
        <v/>
      </c>
      <c r="AU354" s="11" t="str">
        <f ca="1">BV!AY354</f>
        <v/>
      </c>
      <c r="AV354" s="11" t="str">
        <f ca="1">BV!BG354</f>
        <v/>
      </c>
      <c r="AW354" s="11" t="str">
        <f ca="1">BV!BO354</f>
        <v/>
      </c>
      <c r="AX354" s="11" t="str">
        <f ca="1">BV!BW354</f>
        <v/>
      </c>
      <c r="AY354" s="62" t="s">
        <v>3</v>
      </c>
      <c r="AZ354" s="37">
        <f t="shared" si="182"/>
        <v>2.5195093995951501</v>
      </c>
      <c r="BA354" s="261">
        <v>3.023365134E-3</v>
      </c>
      <c r="BB354" s="56">
        <v>2.4580025853999998E-2</v>
      </c>
      <c r="BC354" s="56">
        <f t="shared" si="160"/>
        <v>0.12300089316252678</v>
      </c>
      <c r="BD354" s="13">
        <f ca="1">IF(BV!H354="","",INT(NOW()-BV!H354))</f>
        <v>407</v>
      </c>
      <c r="BE354" s="279">
        <f t="shared" si="161"/>
        <v>18.186733370317107</v>
      </c>
      <c r="BF354" s="301">
        <f ca="1">BV!G354</f>
        <v>39.773506357970447</v>
      </c>
      <c r="BG354" s="11" t="str">
        <f ca="1">BV!O354</f>
        <v/>
      </c>
      <c r="BH354" s="11" t="str">
        <f ca="1">BV!W354</f>
        <v/>
      </c>
      <c r="BI354" s="11" t="str">
        <f ca="1">BV!AE354</f>
        <v/>
      </c>
      <c r="BJ354" s="11" t="str">
        <f ca="1">BV!AM354</f>
        <v/>
      </c>
      <c r="BK354" s="11" t="str">
        <f ca="1">BV!AU354</f>
        <v/>
      </c>
      <c r="BL354" s="11" t="str">
        <f ca="1">BV!BC354</f>
        <v/>
      </c>
      <c r="BM354" s="11" t="str">
        <f ca="1">BV!BK354</f>
        <v/>
      </c>
      <c r="BN354" s="11" t="str">
        <f ca="1">BV!BS354</f>
        <v/>
      </c>
      <c r="BO354" s="11" t="str">
        <f ca="1">BV!CA354</f>
        <v/>
      </c>
      <c r="BP354" s="433">
        <v>212</v>
      </c>
      <c r="BQ354" s="11">
        <f ca="1">IFERROR(YEAR(OFFSET(BV!$H354,,(COLUMN()-69)*8)),"")</f>
        <v>2019</v>
      </c>
      <c r="BR354" s="11" t="str">
        <f ca="1">IFERROR(YEAR(OFFSET(BV!$H354,,(COLUMN()-69)*8)),"")</f>
        <v/>
      </c>
      <c r="BS354" s="11" t="str">
        <f ca="1">IFERROR(YEAR(OFFSET(BV!$H354,,(COLUMN()-69)*8)),"")</f>
        <v/>
      </c>
      <c r="BT354" s="11" t="str">
        <f ca="1">IFERROR(YEAR(OFFSET(BV!$H354,,(COLUMN()-69)*8)),"")</f>
        <v/>
      </c>
      <c r="BU354" s="11" t="str">
        <f ca="1">IFERROR(YEAR(OFFSET(BV!$H354,,(COLUMN()-69)*8)),"")</f>
        <v/>
      </c>
      <c r="BV354" s="11" t="str">
        <f ca="1">IFERROR(YEAR(OFFSET(BV!$H354,,(COLUMN()-69)*8)),"")</f>
        <v/>
      </c>
      <c r="BW354" s="11" t="str">
        <f ca="1">IFERROR(YEAR(OFFSET(BV!$H354,,(COLUMN()-69)*8)),"")</f>
        <v/>
      </c>
      <c r="BX354" s="11" t="str">
        <f ca="1">IFERROR(YEAR(OFFSET(BV!$H354,,(COLUMN()-69)*8)),"")</f>
        <v/>
      </c>
      <c r="BY354" s="11" t="str">
        <f ca="1">IFERROR(YEAR(OFFSET(BV!$H354,,(COLUMN()-69)*8)),"")</f>
        <v/>
      </c>
      <c r="BZ354" s="11" t="str">
        <f ca="1">IFERROR(YEAR(OFFSET(BV!$H354,,(COLUMN()-69)*8)),"")</f>
        <v/>
      </c>
    </row>
    <row r="355" spans="1:78" x14ac:dyDescent="0.25">
      <c r="A355" s="433">
        <v>213</v>
      </c>
      <c r="B355" s="298">
        <f ca="1">BV!D355</f>
        <v>2.5287902172622578</v>
      </c>
      <c r="C355" s="299">
        <f ca="1">BV!L355</f>
        <v>2.3582816651904341</v>
      </c>
      <c r="D355" s="300">
        <f ca="1">BV!T355</f>
        <v>2.0798750122058394</v>
      </c>
      <c r="E355" s="11" t="str">
        <f ca="1">BV!AB355</f>
        <v/>
      </c>
      <c r="F355" s="11" t="str">
        <f ca="1">BV!AJ355</f>
        <v/>
      </c>
      <c r="G355" s="11" t="str">
        <f ca="1">BV!AR355</f>
        <v/>
      </c>
      <c r="H355" s="11" t="str">
        <f ca="1">BV!AZ355</f>
        <v/>
      </c>
      <c r="I355" s="11" t="str">
        <f ca="1">BV!BH355</f>
        <v/>
      </c>
      <c r="J355" s="11" t="str">
        <f ca="1">BV!BP355</f>
        <v/>
      </c>
      <c r="K355" s="11" t="str">
        <f ca="1">BV!BX355</f>
        <v/>
      </c>
      <c r="L355" s="62" t="s">
        <v>64</v>
      </c>
      <c r="M355" s="261">
        <v>2.7538589159999999E-3</v>
      </c>
      <c r="N355" s="277">
        <f t="shared" ca="1" si="157"/>
        <v>19.05588646011865</v>
      </c>
      <c r="O355" s="24" t="s">
        <v>29</v>
      </c>
      <c r="P355" s="301">
        <f t="shared" ref="P355:Y355" ca="1" si="199">IFERROR(MIN(240,$AK21/P49),480)</f>
        <v>72.258409107056679</v>
      </c>
      <c r="Q355" s="302">
        <f t="shared" ca="1" si="199"/>
        <v>75.181445588559754</v>
      </c>
      <c r="R355" s="302">
        <f t="shared" ca="1" si="199"/>
        <v>77.767470473551967</v>
      </c>
      <c r="S355" s="660">
        <f t="shared" ca="1" si="199"/>
        <v>79.146501886134985</v>
      </c>
      <c r="T355" s="660">
        <f t="shared" ca="1" si="199"/>
        <v>81.786767181310466</v>
      </c>
      <c r="U355" s="659">
        <f t="shared" ca="1" si="199"/>
        <v>84.107320247501079</v>
      </c>
      <c r="V355" s="1">
        <f t="shared" ca="1" si="199"/>
        <v>102.35772232881725</v>
      </c>
      <c r="W355" s="1">
        <f t="shared" ca="1" si="199"/>
        <v>106.62244755194358</v>
      </c>
      <c r="X355" s="1">
        <f t="shared" ca="1" si="199"/>
        <v>160.38483062868258</v>
      </c>
      <c r="Y355" s="1">
        <f t="shared" ca="1" si="199"/>
        <v>190.70997647820801</v>
      </c>
      <c r="Z355" s="323">
        <f t="shared" ca="1" si="178"/>
        <v>1030.3228914717663</v>
      </c>
      <c r="AA355" s="344"/>
      <c r="AB355" s="344"/>
      <c r="AC355" s="345">
        <f t="shared" ca="1" si="179"/>
        <v>17</v>
      </c>
      <c r="AD355" s="24" t="s">
        <v>51</v>
      </c>
      <c r="AE355" s="345">
        <f t="shared" ca="1" si="180"/>
        <v>10.322891471766297</v>
      </c>
      <c r="AF355" s="24" t="s">
        <v>52</v>
      </c>
      <c r="AG355" s="588">
        <f ca="1">SUM(N332:N341)</f>
        <v>96.161983535352917</v>
      </c>
      <c r="AH355" s="588"/>
      <c r="AI355" s="344"/>
      <c r="AJ355" s="344"/>
      <c r="AK355" s="315"/>
      <c r="AL355" s="315"/>
      <c r="AM355" s="315"/>
      <c r="AN355" s="433">
        <v>213</v>
      </c>
      <c r="AO355" s="659">
        <f ca="1">BV!C355</f>
        <v>84.23</v>
      </c>
      <c r="AP355" s="11">
        <f ca="1">BV!K355</f>
        <v>90.32</v>
      </c>
      <c r="AQ355" s="11">
        <f ca="1">BV!S355</f>
        <v>102.41</v>
      </c>
      <c r="AR355" s="11" t="str">
        <f ca="1">BV!AA355</f>
        <v/>
      </c>
      <c r="AS355" s="11" t="str">
        <f ca="1">BV!AI355</f>
        <v/>
      </c>
      <c r="AT355" s="11" t="str">
        <f ca="1">BV!AQ355</f>
        <v/>
      </c>
      <c r="AU355" s="11" t="str">
        <f ca="1">BV!AY355</f>
        <v/>
      </c>
      <c r="AV355" s="11" t="str">
        <f ca="1">BV!BG355</f>
        <v/>
      </c>
      <c r="AW355" s="11" t="str">
        <f ca="1">BV!BO355</f>
        <v/>
      </c>
      <c r="AX355" s="11" t="str">
        <f ca="1">BV!BW355</f>
        <v/>
      </c>
      <c r="AY355" s="62" t="s">
        <v>3</v>
      </c>
      <c r="AZ355" s="37">
        <f t="shared" si="182"/>
        <v>2.5600583130159809</v>
      </c>
      <c r="BA355" s="261">
        <v>2.7538589159999999E-3</v>
      </c>
      <c r="BB355" s="56">
        <v>2.4580025853999998E-2</v>
      </c>
      <c r="BC355" s="56">
        <f t="shared" si="160"/>
        <v>0.11203645318997313</v>
      </c>
      <c r="BD355" s="13">
        <f ca="1">IF(BV!H355="","",INT(NOW()-BV!H355))</f>
        <v>245</v>
      </c>
      <c r="BE355" s="279">
        <f t="shared" si="161"/>
        <v>19.055886460118646</v>
      </c>
      <c r="BF355" s="301">
        <f ca="1">BV!G355</f>
        <v>49.382866729123201</v>
      </c>
      <c r="BG355" s="301">
        <f ca="1">BV!O355</f>
        <v>43.856824165274567</v>
      </c>
      <c r="BH355" s="302">
        <f ca="1">BV!W355</f>
        <v>35.423203683499651</v>
      </c>
      <c r="BI355" s="11" t="str">
        <f ca="1">BV!AE355</f>
        <v/>
      </c>
      <c r="BJ355" s="11" t="str">
        <f ca="1">BV!AM355</f>
        <v/>
      </c>
      <c r="BK355" s="11" t="str">
        <f ca="1">BV!AU355</f>
        <v/>
      </c>
      <c r="BL355" s="11" t="str">
        <f ca="1">BV!BC355</f>
        <v/>
      </c>
      <c r="BM355" s="11" t="str">
        <f ca="1">BV!BK355</f>
        <v/>
      </c>
      <c r="BN355" s="11" t="str">
        <f ca="1">BV!BS355</f>
        <v/>
      </c>
      <c r="BO355" s="11" t="str">
        <f ca="1">BV!CA355</f>
        <v/>
      </c>
      <c r="BP355" s="433">
        <v>213</v>
      </c>
      <c r="BQ355" s="11">
        <f ca="1">IFERROR(YEAR(OFFSET(BV!$H355,,(COLUMN()-69)*8)),"")</f>
        <v>2020</v>
      </c>
      <c r="BR355" s="11">
        <f ca="1">IFERROR(YEAR(OFFSET(BV!$H355,,(COLUMN()-69)*8)),"")</f>
        <v>2019</v>
      </c>
      <c r="BS355" s="11">
        <f ca="1">IFERROR(YEAR(OFFSET(BV!$H355,,(COLUMN()-69)*8)),"")</f>
        <v>2020</v>
      </c>
      <c r="BT355" s="11" t="str">
        <f ca="1">IFERROR(YEAR(OFFSET(BV!$H355,,(COLUMN()-69)*8)),"")</f>
        <v/>
      </c>
      <c r="BU355" s="11" t="str">
        <f ca="1">IFERROR(YEAR(OFFSET(BV!$H355,,(COLUMN()-69)*8)),"")</f>
        <v/>
      </c>
      <c r="BV355" s="11" t="str">
        <f ca="1">IFERROR(YEAR(OFFSET(BV!$H355,,(COLUMN()-69)*8)),"")</f>
        <v/>
      </c>
      <c r="BW355" s="11" t="str">
        <f ca="1">IFERROR(YEAR(OFFSET(BV!$H355,,(COLUMN()-69)*8)),"")</f>
        <v/>
      </c>
      <c r="BX355" s="11" t="str">
        <f ca="1">IFERROR(YEAR(OFFSET(BV!$H355,,(COLUMN()-69)*8)),"")</f>
        <v/>
      </c>
      <c r="BY355" s="11" t="str">
        <f ca="1">IFERROR(YEAR(OFFSET(BV!$H355,,(COLUMN()-69)*8)),"")</f>
        <v/>
      </c>
      <c r="BZ355" s="11" t="str">
        <f ca="1">IFERROR(YEAR(OFFSET(BV!$H355,,(COLUMN()-69)*8)),"")</f>
        <v/>
      </c>
    </row>
    <row r="356" spans="1:78" x14ac:dyDescent="0.25">
      <c r="A356" s="433">
        <v>214</v>
      </c>
      <c r="B356" s="297">
        <f ca="1">BV!D356</f>
        <v>2.7756160830090795</v>
      </c>
      <c r="C356" s="298">
        <f ca="1">BV!L356</f>
        <v>2.7376231290776514</v>
      </c>
      <c r="D356" s="298">
        <f ca="1">BV!T356</f>
        <v>2.6723276723276723</v>
      </c>
      <c r="E356" s="299">
        <f ca="1">BV!AB356</f>
        <v>2.4555364314400459</v>
      </c>
      <c r="F356" s="299">
        <f ca="1">BV!AJ356</f>
        <v>2.324066029539531</v>
      </c>
      <c r="G356" s="11" t="str">
        <f ca="1">BV!AR356</f>
        <v/>
      </c>
      <c r="H356" s="11" t="str">
        <f ca="1">BV!AZ356</f>
        <v/>
      </c>
      <c r="I356" s="11" t="str">
        <f ca="1">BV!BH356</f>
        <v/>
      </c>
      <c r="J356" s="11" t="str">
        <f ca="1">BV!BP356</f>
        <v/>
      </c>
      <c r="K356" s="11" t="str">
        <f ca="1">BV!BX356</f>
        <v/>
      </c>
      <c r="L356" s="62" t="s">
        <v>64</v>
      </c>
      <c r="M356" s="261">
        <v>2.5032490209999998E-3</v>
      </c>
      <c r="N356" s="277">
        <f t="shared" ca="1" si="157"/>
        <v>19.987016569661687</v>
      </c>
      <c r="O356" s="24" t="s">
        <v>30</v>
      </c>
      <c r="P356" s="302">
        <f t="shared" ref="P356:Y356" ca="1" si="200">IFERROR(MIN(240,$AK22/P50),480)</f>
        <v>77.729725786105945</v>
      </c>
      <c r="Q356" s="660">
        <f t="shared" ca="1" si="200"/>
        <v>81.951526383213519</v>
      </c>
      <c r="R356" s="1">
        <f t="shared" ca="1" si="200"/>
        <v>97.630095593684629</v>
      </c>
      <c r="S356" s="1">
        <f t="shared" ca="1" si="200"/>
        <v>114.7091171706299</v>
      </c>
      <c r="T356" s="1">
        <f t="shared" ca="1" si="200"/>
        <v>128.77509008222566</v>
      </c>
      <c r="U356" s="1">
        <f t="shared" ca="1" si="200"/>
        <v>240</v>
      </c>
      <c r="V356" s="1">
        <f t="shared" ca="1" si="200"/>
        <v>240</v>
      </c>
      <c r="W356" s="1">
        <f t="shared" ca="1" si="200"/>
        <v>240</v>
      </c>
      <c r="X356" s="1">
        <f t="shared" ca="1" si="200"/>
        <v>240</v>
      </c>
      <c r="Y356" s="1">
        <f t="shared" ca="1" si="200"/>
        <v>240</v>
      </c>
      <c r="Z356" s="323">
        <f t="shared" ca="1" si="178"/>
        <v>1700.7955550158597</v>
      </c>
      <c r="AA356" s="344"/>
      <c r="AB356" s="344"/>
      <c r="AC356" s="345">
        <f t="shared" ca="1" si="179"/>
        <v>28</v>
      </c>
      <c r="AD356" s="24" t="s">
        <v>51</v>
      </c>
      <c r="AE356" s="345">
        <f t="shared" ca="1" si="180"/>
        <v>20.795555015859691</v>
      </c>
      <c r="AF356" s="24" t="s">
        <v>52</v>
      </c>
      <c r="AG356" s="588">
        <f ca="1">SUM(N342:N351)</f>
        <v>133.88402735072026</v>
      </c>
      <c r="AH356" s="588"/>
      <c r="AI356" s="344"/>
      <c r="AJ356" s="344"/>
      <c r="AK356" s="315"/>
      <c r="AL356" s="315"/>
      <c r="AM356" s="315"/>
      <c r="AN356" s="433">
        <v>214</v>
      </c>
      <c r="AO356" s="302">
        <f ca="1">BV!C356</f>
        <v>77.099999999999994</v>
      </c>
      <c r="AP356" s="302">
        <f ca="1">BV!K356</f>
        <v>78.17</v>
      </c>
      <c r="AQ356" s="660">
        <f ca="1">BV!S356</f>
        <v>80.08</v>
      </c>
      <c r="AR356" s="659">
        <f ca="1">BV!AA356</f>
        <v>87.15</v>
      </c>
      <c r="AS356" s="11">
        <f ca="1">BV!AI356</f>
        <v>92.08</v>
      </c>
      <c r="AT356" s="11" t="str">
        <f ca="1">BV!AQ356</f>
        <v/>
      </c>
      <c r="AU356" s="11" t="str">
        <f ca="1">BV!AY356</f>
        <v/>
      </c>
      <c r="AV356" s="11" t="str">
        <f ca="1">BV!BG356</f>
        <v/>
      </c>
      <c r="AW356" s="11" t="str">
        <f ca="1">BV!BO356</f>
        <v/>
      </c>
      <c r="AX356" s="11" t="str">
        <f ca="1">BV!BW356</f>
        <v/>
      </c>
      <c r="AY356" s="62" t="s">
        <v>3</v>
      </c>
      <c r="AZ356" s="37">
        <f t="shared" si="182"/>
        <v>2.6014959450115356</v>
      </c>
      <c r="BA356" s="261">
        <v>2.5032490209999998E-3</v>
      </c>
      <c r="BB356" s="56">
        <v>2.4580025853999998E-2</v>
      </c>
      <c r="BC356" s="56">
        <f t="shared" si="160"/>
        <v>0.10184078063500641</v>
      </c>
      <c r="BD356" s="13">
        <f ca="1">IF(BV!H356="","",INT(NOW()-BV!H356))</f>
        <v>269</v>
      </c>
      <c r="BE356" s="279">
        <f t="shared" si="161"/>
        <v>19.987016569661687</v>
      </c>
      <c r="BF356" s="299">
        <f ca="1">BV!G356</f>
        <v>57.664905678173852</v>
      </c>
      <c r="BG356" s="299">
        <f ca="1">BV!O356</f>
        <v>56.329492483465359</v>
      </c>
      <c r="BH356" s="300">
        <f ca="1">BV!W356</f>
        <v>54.06461554780801</v>
      </c>
      <c r="BI356" s="301">
        <f ca="1">BV!AE356</f>
        <v>46.82194637376822</v>
      </c>
      <c r="BJ356" s="301">
        <f ca="1">BV!AM356</f>
        <v>42.640569912895067</v>
      </c>
      <c r="BK356" s="11" t="str">
        <f ca="1">BV!AU356</f>
        <v/>
      </c>
      <c r="BL356" s="11" t="str">
        <f ca="1">BV!BC356</f>
        <v/>
      </c>
      <c r="BM356" s="11" t="str">
        <f ca="1">BV!BK356</f>
        <v/>
      </c>
      <c r="BN356" s="11" t="str">
        <f ca="1">BV!BS356</f>
        <v/>
      </c>
      <c r="BO356" s="11" t="str">
        <f ca="1">BV!CA356</f>
        <v/>
      </c>
      <c r="BP356" s="433">
        <v>214</v>
      </c>
      <c r="BQ356" s="11">
        <f ca="1">IFERROR(YEAR(OFFSET(BV!$H356,,(COLUMN()-69)*8)),"")</f>
        <v>2020</v>
      </c>
      <c r="BR356" s="11">
        <f ca="1">IFERROR(YEAR(OFFSET(BV!$H356,,(COLUMN()-69)*8)),"")</f>
        <v>2020</v>
      </c>
      <c r="BS356" s="11">
        <f ca="1">IFERROR(YEAR(OFFSET(BV!$H356,,(COLUMN()-69)*8)),"")</f>
        <v>2020</v>
      </c>
      <c r="BT356" s="11">
        <f ca="1">IFERROR(YEAR(OFFSET(BV!$H356,,(COLUMN()-69)*8)),"")</f>
        <v>2019</v>
      </c>
      <c r="BU356" s="11">
        <f ca="1">IFERROR(YEAR(OFFSET(BV!$H356,,(COLUMN()-69)*8)),"")</f>
        <v>2019</v>
      </c>
      <c r="BV356" s="11" t="str">
        <f ca="1">IFERROR(YEAR(OFFSET(BV!$H356,,(COLUMN()-69)*8)),"")</f>
        <v/>
      </c>
      <c r="BW356" s="11" t="str">
        <f ca="1">IFERROR(YEAR(OFFSET(BV!$H356,,(COLUMN()-69)*8)),"")</f>
        <v/>
      </c>
      <c r="BX356" s="11" t="str">
        <f ca="1">IFERROR(YEAR(OFFSET(BV!$H356,,(COLUMN()-69)*8)),"")</f>
        <v/>
      </c>
      <c r="BY356" s="11" t="str">
        <f ca="1">IFERROR(YEAR(OFFSET(BV!$H356,,(COLUMN()-69)*8)),"")</f>
        <v/>
      </c>
      <c r="BZ356" s="11" t="str">
        <f ca="1">IFERROR(YEAR(OFFSET(BV!$H356,,(COLUMN()-69)*8)),"")</f>
        <v/>
      </c>
    </row>
    <row r="357" spans="1:78" x14ac:dyDescent="0.25">
      <c r="A357" s="433">
        <v>215</v>
      </c>
      <c r="B357" s="299">
        <f ca="1">BV!D357</f>
        <v>2.360562143170839</v>
      </c>
      <c r="C357" s="11" t="str">
        <f ca="1">BV!L357</f>
        <v/>
      </c>
      <c r="D357" s="11" t="str">
        <f ca="1">BV!T357</f>
        <v/>
      </c>
      <c r="E357" s="11" t="str">
        <f ca="1">BV!AB357</f>
        <v/>
      </c>
      <c r="F357" s="11" t="str">
        <f ca="1">BV!AJ357</f>
        <v/>
      </c>
      <c r="G357" s="11" t="str">
        <f ca="1">BV!AR357</f>
        <v/>
      </c>
      <c r="H357" s="11" t="str">
        <f ca="1">BV!AZ357</f>
        <v/>
      </c>
      <c r="I357" s="11" t="str">
        <f ca="1">BV!BH357</f>
        <v/>
      </c>
      <c r="J357" s="11" t="str">
        <f ca="1">BV!BP357</f>
        <v/>
      </c>
      <c r="K357" s="11" t="str">
        <f ca="1">BV!BX357</f>
        <v/>
      </c>
      <c r="L357" s="62" t="s">
        <v>64</v>
      </c>
      <c r="M357" s="261">
        <v>2.2708335830000002E-3</v>
      </c>
      <c r="N357" s="277">
        <f t="shared" ca="1" si="157"/>
        <v>20.984921349886992</v>
      </c>
      <c r="O357" s="24" t="s">
        <v>31</v>
      </c>
      <c r="P357" s="659">
        <f t="shared" ref="P357:Y357" ca="1" si="201">IFERROR(MIN(240,$AK23/P51),480)</f>
        <v>84.870656225153624</v>
      </c>
      <c r="Q357" s="1">
        <f t="shared" ca="1" si="201"/>
        <v>229.32694188869147</v>
      </c>
      <c r="R357" s="1">
        <f t="shared" ca="1" si="201"/>
        <v>240</v>
      </c>
      <c r="S357" s="1">
        <f t="shared" ca="1" si="201"/>
        <v>240</v>
      </c>
      <c r="T357" s="1">
        <f t="shared" ca="1" si="201"/>
        <v>240</v>
      </c>
      <c r="U357" s="1">
        <f t="shared" ca="1" si="201"/>
        <v>480</v>
      </c>
      <c r="V357" s="1">
        <f t="shared" ca="1" si="201"/>
        <v>480</v>
      </c>
      <c r="W357" s="1">
        <f t="shared" ca="1" si="201"/>
        <v>480</v>
      </c>
      <c r="X357" s="1">
        <f t="shared" ca="1" si="201"/>
        <v>480</v>
      </c>
      <c r="Y357" s="1">
        <f t="shared" ca="1" si="201"/>
        <v>480</v>
      </c>
      <c r="Z357" s="323">
        <f t="shared" ca="1" si="178"/>
        <v>3434.1975981138448</v>
      </c>
      <c r="AA357" s="344"/>
      <c r="AB357" s="344"/>
      <c r="AC357" s="345">
        <f t="shared" ca="1" si="179"/>
        <v>57</v>
      </c>
      <c r="AD357" s="24" t="s">
        <v>51</v>
      </c>
      <c r="AE357" s="345">
        <f t="shared" ca="1" si="180"/>
        <v>14.197598113844833</v>
      </c>
      <c r="AF357" s="24" t="s">
        <v>52</v>
      </c>
      <c r="AG357" s="588">
        <f ca="1">SUM(N352:N361)</f>
        <v>207.6606676429131</v>
      </c>
      <c r="AH357" s="588"/>
      <c r="AI357" s="344"/>
      <c r="AJ357" s="344"/>
      <c r="AK357" s="315"/>
      <c r="AL357" s="315"/>
      <c r="AM357" s="315"/>
      <c r="AN357" s="433">
        <v>215</v>
      </c>
      <c r="AO357" s="11">
        <f ca="1">BV!C357</f>
        <v>91.08</v>
      </c>
      <c r="AP357" s="11" t="str">
        <f ca="1">BV!K357</f>
        <v/>
      </c>
      <c r="AQ357" s="11" t="str">
        <f ca="1">BV!S357</f>
        <v/>
      </c>
      <c r="AR357" s="11" t="str">
        <f ca="1">BV!AA357</f>
        <v/>
      </c>
      <c r="AS357" s="11" t="str">
        <f ca="1">BV!AI357</f>
        <v/>
      </c>
      <c r="AT357" s="11" t="str">
        <f ca="1">BV!AQ357</f>
        <v/>
      </c>
      <c r="AU357" s="11" t="str">
        <f ca="1">BV!AY357</f>
        <v/>
      </c>
      <c r="AV357" s="11" t="str">
        <f ca="1">BV!BG357</f>
        <v/>
      </c>
      <c r="AW357" s="11" t="str">
        <f ca="1">BV!BO357</f>
        <v/>
      </c>
      <c r="AX357" s="11" t="str">
        <f ca="1">BV!BW357</f>
        <v/>
      </c>
      <c r="AY357" s="62" t="s">
        <v>3</v>
      </c>
      <c r="AZ357" s="37">
        <f t="shared" si="182"/>
        <v>2.6438146916864791</v>
      </c>
      <c r="BA357" s="261">
        <v>2.2708335830000002E-3</v>
      </c>
      <c r="BB357" s="56">
        <v>2.4580025853999998E-2</v>
      </c>
      <c r="BC357" s="56">
        <f t="shared" si="160"/>
        <v>9.2385321174528343E-2</v>
      </c>
      <c r="BD357" s="13">
        <f ca="1">IF(BV!H357="","",INT(NOW()-BV!H357))</f>
        <v>353</v>
      </c>
      <c r="BE357" s="279">
        <f t="shared" si="161"/>
        <v>20.984921349886992</v>
      </c>
      <c r="BF357" s="301">
        <f ca="1">BV!G357</f>
        <v>43.642495714964269</v>
      </c>
      <c r="BG357" s="11" t="str">
        <f ca="1">BV!O357</f>
        <v/>
      </c>
      <c r="BH357" s="11" t="str">
        <f ca="1">BV!W357</f>
        <v/>
      </c>
      <c r="BI357" s="11" t="str">
        <f ca="1">BV!AE357</f>
        <v/>
      </c>
      <c r="BJ357" s="11" t="str">
        <f ca="1">BV!AM357</f>
        <v/>
      </c>
      <c r="BK357" s="11" t="str">
        <f ca="1">BV!AU357</f>
        <v/>
      </c>
      <c r="BL357" s="11" t="str">
        <f ca="1">BV!BC357</f>
        <v/>
      </c>
      <c r="BM357" s="11" t="str">
        <f ca="1">BV!BK357</f>
        <v/>
      </c>
      <c r="BN357" s="11" t="str">
        <f ca="1">BV!BS357</f>
        <v/>
      </c>
      <c r="BO357" s="11" t="str">
        <f ca="1">BV!CA357</f>
        <v/>
      </c>
      <c r="BP357" s="433">
        <v>215</v>
      </c>
      <c r="BQ357" s="11">
        <f ca="1">IFERROR(YEAR(OFFSET(BV!$H357,,(COLUMN()-69)*8)),"")</f>
        <v>2019</v>
      </c>
      <c r="BR357" s="11" t="str">
        <f ca="1">IFERROR(YEAR(OFFSET(BV!$H357,,(COLUMN()-69)*8)),"")</f>
        <v/>
      </c>
      <c r="BS357" s="11" t="str">
        <f ca="1">IFERROR(YEAR(OFFSET(BV!$H357,,(COLUMN()-69)*8)),"")</f>
        <v/>
      </c>
      <c r="BT357" s="11" t="str">
        <f ca="1">IFERROR(YEAR(OFFSET(BV!$H357,,(COLUMN()-69)*8)),"")</f>
        <v/>
      </c>
      <c r="BU357" s="11" t="str">
        <f ca="1">IFERROR(YEAR(OFFSET(BV!$H357,,(COLUMN()-69)*8)),"")</f>
        <v/>
      </c>
      <c r="BV357" s="11" t="str">
        <f ca="1">IFERROR(YEAR(OFFSET(BV!$H357,,(COLUMN()-69)*8)),"")</f>
        <v/>
      </c>
      <c r="BW357" s="11" t="str">
        <f ca="1">IFERROR(YEAR(OFFSET(BV!$H357,,(COLUMN()-69)*8)),"")</f>
        <v/>
      </c>
      <c r="BX357" s="11" t="str">
        <f ca="1">IFERROR(YEAR(OFFSET(BV!$H357,,(COLUMN()-69)*8)),"")</f>
        <v/>
      </c>
      <c r="BY357" s="11" t="str">
        <f ca="1">IFERROR(YEAR(OFFSET(BV!$H357,,(COLUMN()-69)*8)),"")</f>
        <v/>
      </c>
      <c r="BZ357" s="11" t="str">
        <f ca="1">IFERROR(YEAR(OFFSET(BV!$H357,,(COLUMN()-69)*8)),"")</f>
        <v/>
      </c>
    </row>
    <row r="358" spans="1:78" x14ac:dyDescent="0.25">
      <c r="A358" s="433">
        <v>216</v>
      </c>
      <c r="B358" s="298">
        <f ca="1">BV!D358</f>
        <v>2.6312583749543181</v>
      </c>
      <c r="C358" s="298">
        <f ca="1">BV!L358</f>
        <v>2.5423728813559325</v>
      </c>
      <c r="D358" s="298">
        <f ca="1">BV!T358</f>
        <v>2.5378921395840677</v>
      </c>
      <c r="E358" s="11" t="str">
        <f ca="1">BV!AB358</f>
        <v/>
      </c>
      <c r="F358" s="11" t="str">
        <f ca="1">BV!AJ358</f>
        <v/>
      </c>
      <c r="G358" s="11" t="str">
        <f ca="1">BV!AR358</f>
        <v/>
      </c>
      <c r="H358" s="11" t="str">
        <f ca="1">BV!AZ358</f>
        <v/>
      </c>
      <c r="I358" s="11" t="str">
        <f ca="1">BV!BH358</f>
        <v/>
      </c>
      <c r="J358" s="11" t="str">
        <f ca="1">BV!BP358</f>
        <v/>
      </c>
      <c r="K358" s="11" t="str">
        <f ca="1">BV!BX358</f>
        <v/>
      </c>
      <c r="L358" s="62" t="s">
        <v>64</v>
      </c>
      <c r="M358" s="261">
        <v>2.0558679190000001E-3</v>
      </c>
      <c r="N358" s="277">
        <f t="shared" ca="1" si="157"/>
        <v>22.054762999021044</v>
      </c>
      <c r="O358" s="24" t="s">
        <v>32</v>
      </c>
      <c r="P358" s="1">
        <f t="shared" ref="P358:Y358" ca="1" si="202">IFERROR(MIN(240,$AK24/P52),480)</f>
        <v>209.49891681246686</v>
      </c>
      <c r="Q358" s="1">
        <f t="shared" ca="1" si="202"/>
        <v>240</v>
      </c>
      <c r="R358" s="1">
        <f t="shared" ca="1" si="202"/>
        <v>480</v>
      </c>
      <c r="S358" s="1">
        <f t="shared" ca="1" si="202"/>
        <v>480</v>
      </c>
      <c r="T358" s="1">
        <f t="shared" ca="1" si="202"/>
        <v>480</v>
      </c>
      <c r="U358" s="1">
        <f t="shared" ca="1" si="202"/>
        <v>480</v>
      </c>
      <c r="V358" s="1">
        <f t="shared" ca="1" si="202"/>
        <v>480</v>
      </c>
      <c r="W358" s="1">
        <f t="shared" ca="1" si="202"/>
        <v>480</v>
      </c>
      <c r="X358" s="1">
        <f t="shared" ca="1" si="202"/>
        <v>480</v>
      </c>
      <c r="Y358" s="1">
        <f t="shared" ca="1" si="202"/>
        <v>480</v>
      </c>
      <c r="Z358" s="323">
        <f t="shared" ca="1" si="178"/>
        <v>4289.4989168124666</v>
      </c>
      <c r="AA358" s="344"/>
      <c r="AB358" s="344"/>
      <c r="AC358" s="345">
        <f t="shared" ca="1" si="179"/>
        <v>71</v>
      </c>
      <c r="AD358" s="24" t="s">
        <v>51</v>
      </c>
      <c r="AE358" s="345">
        <f t="shared" ca="1" si="180"/>
        <v>29.498916812466632</v>
      </c>
      <c r="AF358" s="24" t="s">
        <v>52</v>
      </c>
      <c r="AG358" s="588">
        <f ca="1">SUM(N362:N430)</f>
        <v>360.50281740097626</v>
      </c>
      <c r="AH358" s="588"/>
      <c r="AI358" s="344"/>
      <c r="AJ358" s="344"/>
      <c r="AK358" s="315"/>
      <c r="AL358" s="315"/>
      <c r="AM358" s="315"/>
      <c r="AN358" s="433">
        <v>216</v>
      </c>
      <c r="AO358" s="660">
        <f ca="1">BV!C358</f>
        <v>82.09</v>
      </c>
      <c r="AP358" s="659">
        <f ca="1">BV!K358</f>
        <v>84.96</v>
      </c>
      <c r="AQ358" s="659">
        <f ca="1">BV!S358</f>
        <v>85.11</v>
      </c>
      <c r="AR358" s="11" t="str">
        <f ca="1">BV!AA358</f>
        <v/>
      </c>
      <c r="AS358" s="11" t="str">
        <f ca="1">BV!AI358</f>
        <v/>
      </c>
      <c r="AT358" s="11" t="str">
        <f ca="1">BV!AQ358</f>
        <v/>
      </c>
      <c r="AU358" s="11" t="str">
        <f ca="1">BV!AY358</f>
        <v/>
      </c>
      <c r="AV358" s="11" t="str">
        <f ca="1">BV!BG358</f>
        <v/>
      </c>
      <c r="AW358" s="11" t="str">
        <f ca="1">BV!BO358</f>
        <v/>
      </c>
      <c r="AX358" s="11" t="str">
        <f ca="1">BV!BW358</f>
        <v/>
      </c>
      <c r="AY358" s="62" t="s">
        <v>3</v>
      </c>
      <c r="AZ358" s="37">
        <f t="shared" si="182"/>
        <v>2.6870047904024728</v>
      </c>
      <c r="BA358" s="261">
        <v>2.0558679190000001E-3</v>
      </c>
      <c r="BB358" s="56">
        <v>2.4580025853999998E-2</v>
      </c>
      <c r="BC358" s="56">
        <f t="shared" si="160"/>
        <v>8.363977854260235E-2</v>
      </c>
      <c r="BD358" s="13">
        <f ca="1">IF(BV!H358="","",INT(NOW()-BV!H358))</f>
        <v>288</v>
      </c>
      <c r="BE358" s="279">
        <f t="shared" si="161"/>
        <v>22.054762999021044</v>
      </c>
      <c r="BF358" s="300">
        <f ca="1">BV!G358</f>
        <v>52.317932336644859</v>
      </c>
      <c r="BG358" s="301">
        <f ca="1">BV!O358</f>
        <v>49.34911289247809</v>
      </c>
      <c r="BH358" s="301">
        <f ca="1">BV!W358</f>
        <v>49.201348117728287</v>
      </c>
      <c r="BI358" s="11" t="str">
        <f ca="1">BV!AE358</f>
        <v/>
      </c>
      <c r="BJ358" s="11" t="str">
        <f ca="1">BV!AM358</f>
        <v/>
      </c>
      <c r="BK358" s="11" t="str">
        <f ca="1">BV!AU358</f>
        <v/>
      </c>
      <c r="BL358" s="11" t="str">
        <f ca="1">BV!BC358</f>
        <v/>
      </c>
      <c r="BM358" s="11" t="str">
        <f ca="1">BV!BK358</f>
        <v/>
      </c>
      <c r="BN358" s="11" t="str">
        <f ca="1">BV!BS358</f>
        <v/>
      </c>
      <c r="BO358" s="11" t="str">
        <f ca="1">BV!CA358</f>
        <v/>
      </c>
      <c r="BP358" s="433">
        <v>216</v>
      </c>
      <c r="BQ358" s="11">
        <f ca="1">IFERROR(YEAR(OFFSET(BV!$H358,,(COLUMN()-69)*8)),"")</f>
        <v>2020</v>
      </c>
      <c r="BR358" s="11">
        <f ca="1">IFERROR(YEAR(OFFSET(BV!$H358,,(COLUMN()-69)*8)),"")</f>
        <v>2020</v>
      </c>
      <c r="BS358" s="11">
        <f ca="1">IFERROR(YEAR(OFFSET(BV!$H358,,(COLUMN()-69)*8)),"")</f>
        <v>2020</v>
      </c>
      <c r="BT358" s="11" t="str">
        <f ca="1">IFERROR(YEAR(OFFSET(BV!$H358,,(COLUMN()-69)*8)),"")</f>
        <v/>
      </c>
      <c r="BU358" s="11" t="str">
        <f ca="1">IFERROR(YEAR(OFFSET(BV!$H358,,(COLUMN()-69)*8)),"")</f>
        <v/>
      </c>
      <c r="BV358" s="11" t="str">
        <f ca="1">IFERROR(YEAR(OFFSET(BV!$H358,,(COLUMN()-69)*8)),"")</f>
        <v/>
      </c>
      <c r="BW358" s="11" t="str">
        <f ca="1">IFERROR(YEAR(OFFSET(BV!$H358,,(COLUMN()-69)*8)),"")</f>
        <v/>
      </c>
      <c r="BX358" s="11" t="str">
        <f ca="1">IFERROR(YEAR(OFFSET(BV!$H358,,(COLUMN()-69)*8)),"")</f>
        <v/>
      </c>
      <c r="BY358" s="11" t="str">
        <f ca="1">IFERROR(YEAR(OFFSET(BV!$H358,,(COLUMN()-69)*8)),"")</f>
        <v/>
      </c>
      <c r="BZ358" s="11" t="str">
        <f ca="1">IFERROR(YEAR(OFFSET(BV!$H358,,(COLUMN()-69)*8)),"")</f>
        <v/>
      </c>
    </row>
    <row r="359" spans="1:78" x14ac:dyDescent="0.25">
      <c r="A359" s="433">
        <v>217</v>
      </c>
      <c r="B359" s="299">
        <f ca="1">BV!D359</f>
        <v>2.2846915140029478</v>
      </c>
      <c r="C359" s="11" t="str">
        <f ca="1">BV!L359</f>
        <v/>
      </c>
      <c r="D359" s="11" t="str">
        <f ca="1">BV!T359</f>
        <v/>
      </c>
      <c r="E359" s="11" t="str">
        <f ca="1">BV!AB359</f>
        <v/>
      </c>
      <c r="F359" s="11" t="str">
        <f ca="1">BV!AJ359</f>
        <v/>
      </c>
      <c r="G359" s="11" t="str">
        <f ca="1">BV!AR359</f>
        <v/>
      </c>
      <c r="H359" s="11" t="str">
        <f ca="1">BV!AZ359</f>
        <v/>
      </c>
      <c r="I359" s="11" t="str">
        <f ca="1">BV!BH359</f>
        <v/>
      </c>
      <c r="J359" s="11" t="str">
        <f ca="1">BV!BP359</f>
        <v/>
      </c>
      <c r="K359" s="11" t="str">
        <f ca="1">BV!BX359</f>
        <v/>
      </c>
      <c r="L359" s="62" t="s">
        <v>64</v>
      </c>
      <c r="M359" s="261">
        <v>1.85740416E-3</v>
      </c>
      <c r="N359" s="277">
        <f t="shared" ca="1" si="157"/>
        <v>23.203141743157463</v>
      </c>
      <c r="O359" s="15" t="str">
        <f>O25</f>
        <v>初级</v>
      </c>
      <c r="P359" s="553">
        <f t="shared" ref="P359:Y359" ca="1" si="203">SUM(P336:P339)</f>
        <v>19.8110346203724</v>
      </c>
      <c r="Q359" s="556">
        <f t="shared" ca="1" si="203"/>
        <v>21.580139879561699</v>
      </c>
      <c r="R359" s="552">
        <f t="shared" ca="1" si="203"/>
        <v>22.64941449469104</v>
      </c>
      <c r="S359" s="552">
        <f t="shared" ca="1" si="203"/>
        <v>22.992509557743144</v>
      </c>
      <c r="T359" s="552">
        <f t="shared" ca="1" si="203"/>
        <v>23.25787351605835</v>
      </c>
      <c r="U359" s="552">
        <f t="shared" ca="1" si="203"/>
        <v>23.423165430116484</v>
      </c>
      <c r="V359" s="552">
        <f t="shared" ca="1" si="203"/>
        <v>23.727069959138891</v>
      </c>
      <c r="W359" s="552">
        <f t="shared" ca="1" si="203"/>
        <v>23.893818852294757</v>
      </c>
      <c r="X359" s="297">
        <f t="shared" ca="1" si="203"/>
        <v>24.235061654188037</v>
      </c>
      <c r="Y359" s="297">
        <f t="shared" ca="1" si="203"/>
        <v>24.465198728532467</v>
      </c>
      <c r="Z359" s="323">
        <f ca="1">SUM(P359:Y359)</f>
        <v>230.0352866926973</v>
      </c>
      <c r="AA359" s="344"/>
      <c r="AB359" s="344"/>
      <c r="AC359" s="69">
        <f t="shared" ca="1" si="179"/>
        <v>3</v>
      </c>
      <c r="AD359" s="1" t="s">
        <v>395</v>
      </c>
      <c r="AE359" s="69">
        <f t="shared" ca="1" si="180"/>
        <v>50.035286692697298</v>
      </c>
      <c r="AF359" s="1" t="s">
        <v>396</v>
      </c>
      <c r="AG359" s="652">
        <f ca="1">SUM(AG336:AH339)</f>
        <v>576.51506779112015</v>
      </c>
      <c r="AH359" s="652"/>
      <c r="AI359" s="344"/>
      <c r="AJ359" s="344"/>
      <c r="AK359" s="315"/>
      <c r="AL359" s="315"/>
      <c r="AM359" s="315"/>
      <c r="AN359" s="433">
        <v>217</v>
      </c>
      <c r="AO359" s="11">
        <f ca="1">BV!C359</f>
        <v>94.98</v>
      </c>
      <c r="AP359" s="11" t="str">
        <f ca="1">BV!K359</f>
        <v/>
      </c>
      <c r="AQ359" s="11" t="str">
        <f ca="1">BV!S359</f>
        <v/>
      </c>
      <c r="AR359" s="11" t="str">
        <f ca="1">BV!AA359</f>
        <v/>
      </c>
      <c r="AS359" s="11" t="str">
        <f ca="1">BV!AI359</f>
        <v/>
      </c>
      <c r="AT359" s="11" t="str">
        <f ca="1">BV!AQ359</f>
        <v/>
      </c>
      <c r="AU359" s="11" t="str">
        <f ca="1">BV!AY359</f>
        <v/>
      </c>
      <c r="AV359" s="11" t="str">
        <f ca="1">BV!BG359</f>
        <v/>
      </c>
      <c r="AW359" s="11" t="str">
        <f ca="1">BV!BO359</f>
        <v/>
      </c>
      <c r="AX359" s="11" t="str">
        <f ca="1">BV!BW359</f>
        <v/>
      </c>
      <c r="AY359" s="62" t="s">
        <v>3</v>
      </c>
      <c r="AZ359" s="37">
        <f t="shared" si="182"/>
        <v>2.731093586104115</v>
      </c>
      <c r="BA359" s="261">
        <v>1.85740416E-3</v>
      </c>
      <c r="BB359" s="56">
        <v>2.4580025853999998E-2</v>
      </c>
      <c r="BC359" s="56">
        <f t="shared" si="160"/>
        <v>7.5565590167910174E-2</v>
      </c>
      <c r="BD359" s="13">
        <f ca="1">IF(BV!H359="","",INT(NOW()-BV!H359))</f>
        <v>373</v>
      </c>
      <c r="BE359" s="279">
        <f t="shared" si="161"/>
        <v>23.203141743157467</v>
      </c>
      <c r="BF359" s="301">
        <f ca="1">BV!G359</f>
        <v>41.018078156586945</v>
      </c>
      <c r="BG359" s="11" t="str">
        <f ca="1">BV!O359</f>
        <v/>
      </c>
      <c r="BH359" s="11" t="str">
        <f ca="1">BV!W359</f>
        <v/>
      </c>
      <c r="BI359" s="11" t="str">
        <f ca="1">BV!AE359</f>
        <v/>
      </c>
      <c r="BJ359" s="11" t="str">
        <f ca="1">BV!AM359</f>
        <v/>
      </c>
      <c r="BK359" s="11" t="str">
        <f ca="1">BV!AU359</f>
        <v/>
      </c>
      <c r="BL359" s="11" t="str">
        <f ca="1">BV!BC359</f>
        <v/>
      </c>
      <c r="BM359" s="11" t="str">
        <f ca="1">BV!BK359</f>
        <v/>
      </c>
      <c r="BN359" s="11" t="str">
        <f ca="1">BV!BS359</f>
        <v/>
      </c>
      <c r="BO359" s="11" t="str">
        <f ca="1">BV!CA359</f>
        <v/>
      </c>
      <c r="BP359" s="433">
        <v>217</v>
      </c>
      <c r="BQ359" s="11">
        <f ca="1">IFERROR(YEAR(OFFSET(BV!$H359,,(COLUMN()-69)*8)),"")</f>
        <v>2019</v>
      </c>
      <c r="BR359" s="11" t="str">
        <f ca="1">IFERROR(YEAR(OFFSET(BV!$H359,,(COLUMN()-69)*8)),"")</f>
        <v/>
      </c>
      <c r="BS359" s="11" t="str">
        <f ca="1">IFERROR(YEAR(OFFSET(BV!$H359,,(COLUMN()-69)*8)),"")</f>
        <v/>
      </c>
      <c r="BT359" s="11" t="str">
        <f ca="1">IFERROR(YEAR(OFFSET(BV!$H359,,(COLUMN()-69)*8)),"")</f>
        <v/>
      </c>
      <c r="BU359" s="11" t="str">
        <f ca="1">IFERROR(YEAR(OFFSET(BV!$H359,,(COLUMN()-69)*8)),"")</f>
        <v/>
      </c>
      <c r="BV359" s="11" t="str">
        <f ca="1">IFERROR(YEAR(OFFSET(BV!$H359,,(COLUMN()-69)*8)),"")</f>
        <v/>
      </c>
      <c r="BW359" s="11" t="str">
        <f ca="1">IFERROR(YEAR(OFFSET(BV!$H359,,(COLUMN()-69)*8)),"")</f>
        <v/>
      </c>
      <c r="BX359" s="11" t="str">
        <f ca="1">IFERROR(YEAR(OFFSET(BV!$H359,,(COLUMN()-69)*8)),"")</f>
        <v/>
      </c>
      <c r="BY359" s="11" t="str">
        <f ca="1">IFERROR(YEAR(OFFSET(BV!$H359,,(COLUMN()-69)*8)),"")</f>
        <v/>
      </c>
      <c r="BZ359" s="11" t="str">
        <f ca="1">IFERROR(YEAR(OFFSET(BV!$H359,,(COLUMN()-69)*8)),"")</f>
        <v/>
      </c>
    </row>
    <row r="360" spans="1:78" x14ac:dyDescent="0.25">
      <c r="A360" s="433">
        <v>218</v>
      </c>
      <c r="B360" s="298">
        <f ca="1">BV!D360</f>
        <v>2.6315789473684208</v>
      </c>
      <c r="C360" s="298">
        <f ca="1">BV!L360</f>
        <v>2.5869229856413907</v>
      </c>
      <c r="D360" s="299">
        <f ca="1">BV!T360</f>
        <v>2.4379333482442407</v>
      </c>
      <c r="E360" s="11" t="str">
        <f ca="1">BV!AB360</f>
        <v/>
      </c>
      <c r="F360" s="11" t="str">
        <f ca="1">BV!AJ360</f>
        <v/>
      </c>
      <c r="G360" s="11" t="str">
        <f ca="1">BV!AR360</f>
        <v/>
      </c>
      <c r="H360" s="11" t="str">
        <f ca="1">BV!AZ360</f>
        <v/>
      </c>
      <c r="I360" s="11" t="str">
        <f ca="1">BV!BH360</f>
        <v/>
      </c>
      <c r="J360" s="11" t="str">
        <f ca="1">BV!BP360</f>
        <v/>
      </c>
      <c r="K360" s="11" t="str">
        <f ca="1">BV!BX360</f>
        <v/>
      </c>
      <c r="L360" s="62" t="s">
        <v>64</v>
      </c>
      <c r="M360" s="261">
        <v>1.674750328E-3</v>
      </c>
      <c r="N360" s="277">
        <f t="shared" ca="1" si="157"/>
        <v>24.435710107075408</v>
      </c>
      <c r="O360" s="15" t="str">
        <f>O26</f>
        <v>中级</v>
      </c>
      <c r="P360" s="1">
        <f t="shared" ref="P360:Y360" ca="1" si="204">SUM(P340:P347)</f>
        <v>297.92009608274645</v>
      </c>
      <c r="Q360" s="1">
        <f t="shared" ca="1" si="204"/>
        <v>327.40815810658006</v>
      </c>
      <c r="R360" s="1">
        <f t="shared" ca="1" si="204"/>
        <v>431.08074965890302</v>
      </c>
      <c r="S360" s="1">
        <f t="shared" ca="1" si="204"/>
        <v>502.50811855657855</v>
      </c>
      <c r="T360" s="1">
        <f t="shared" ca="1" si="204"/>
        <v>532.71551791493641</v>
      </c>
      <c r="U360" s="1">
        <f t="shared" ca="1" si="204"/>
        <v>535.44360127974539</v>
      </c>
      <c r="V360" s="1">
        <f t="shared" ca="1" si="204"/>
        <v>544.02033586689527</v>
      </c>
      <c r="W360" s="1">
        <f t="shared" ca="1" si="204"/>
        <v>564.41335721116241</v>
      </c>
      <c r="X360" s="1">
        <f t="shared" ca="1" si="204"/>
        <v>628.1646488292879</v>
      </c>
      <c r="Y360" s="1">
        <f t="shared" ca="1" si="204"/>
        <v>634.62062315664934</v>
      </c>
      <c r="Z360" s="343">
        <f t="shared" ref="Z360:Z362" ca="1" si="205">SUM(P360:Y360)</f>
        <v>4998.2952066634853</v>
      </c>
      <c r="AA360" s="344"/>
      <c r="AB360" s="344"/>
      <c r="AC360" s="69">
        <f t="shared" ca="1" si="179"/>
        <v>83</v>
      </c>
      <c r="AD360" s="1" t="s">
        <v>395</v>
      </c>
      <c r="AE360" s="69">
        <f t="shared" ca="1" si="180"/>
        <v>18.29520666348526</v>
      </c>
      <c r="AF360" s="1" t="s">
        <v>396</v>
      </c>
      <c r="AG360" s="652">
        <f ca="1">SUM(AG340:AH347)</f>
        <v>828.82115639703738</v>
      </c>
      <c r="AH360" s="652"/>
      <c r="AI360" s="315"/>
      <c r="AJ360" s="315"/>
      <c r="AL360" s="315"/>
      <c r="AM360" s="315"/>
      <c r="AN360" s="433">
        <v>218</v>
      </c>
      <c r="AO360" s="660">
        <f ca="1">BV!C360</f>
        <v>82.84</v>
      </c>
      <c r="AP360" s="659">
        <f ca="1">BV!K360</f>
        <v>84.27</v>
      </c>
      <c r="AQ360" s="11">
        <f ca="1">BV!S360</f>
        <v>89.42</v>
      </c>
      <c r="AR360" s="11" t="str">
        <f ca="1">BV!AA360</f>
        <v/>
      </c>
      <c r="AS360" s="11" t="str">
        <f ca="1">BV!AI360</f>
        <v/>
      </c>
      <c r="AT360" s="11" t="str">
        <f ca="1">BV!AQ360</f>
        <v/>
      </c>
      <c r="AU360" s="11" t="str">
        <f ca="1">BV!AY360</f>
        <v/>
      </c>
      <c r="AV360" s="11" t="str">
        <f ca="1">BV!BG360</f>
        <v/>
      </c>
      <c r="AW360" s="11" t="str">
        <f ca="1">BV!BO360</f>
        <v/>
      </c>
      <c r="AX360" s="11" t="str">
        <f ca="1">BV!BW360</f>
        <v/>
      </c>
      <c r="AY360" s="62" t="s">
        <v>3</v>
      </c>
      <c r="AZ360" s="37">
        <f t="shared" si="182"/>
        <v>2.7760499284802411</v>
      </c>
      <c r="BA360" s="261">
        <v>1.674750328E-3</v>
      </c>
      <c r="BB360" s="56">
        <v>2.4580025853999998E-2</v>
      </c>
      <c r="BC360" s="56">
        <f t="shared" si="160"/>
        <v>6.8134604005205379E-2</v>
      </c>
      <c r="BD360" s="13">
        <f ca="1">IF(BV!H360="","",INT(NOW()-BV!H360))</f>
        <v>105</v>
      </c>
      <c r="BE360" s="279">
        <f t="shared" si="161"/>
        <v>24.435710107075408</v>
      </c>
      <c r="BF360" s="300">
        <f ca="1">BV!G360</f>
        <v>51.992248004360704</v>
      </c>
      <c r="BG360" s="300">
        <f ca="1">BV!O360</f>
        <v>50.501311795500257</v>
      </c>
      <c r="BH360" s="301">
        <f ca="1">BV!W360</f>
        <v>45.65704686396753</v>
      </c>
      <c r="BI360" s="11" t="str">
        <f ca="1">BV!AE360</f>
        <v/>
      </c>
      <c r="BJ360" s="11" t="str">
        <f ca="1">BV!AM360</f>
        <v/>
      </c>
      <c r="BK360" s="11" t="str">
        <f ca="1">BV!AU360</f>
        <v/>
      </c>
      <c r="BL360" s="11" t="str">
        <f ca="1">BV!BC360</f>
        <v/>
      </c>
      <c r="BM360" s="11" t="str">
        <f ca="1">BV!BK360</f>
        <v/>
      </c>
      <c r="BN360" s="11" t="str">
        <f ca="1">BV!BS360</f>
        <v/>
      </c>
      <c r="BO360" s="11" t="str">
        <f ca="1">BV!CA360</f>
        <v/>
      </c>
      <c r="BP360" s="433">
        <v>218</v>
      </c>
      <c r="BQ360" s="11">
        <f ca="1">IFERROR(YEAR(OFFSET(BV!$H360,,(COLUMN()-69)*8)),"")</f>
        <v>2020</v>
      </c>
      <c r="BR360" s="11">
        <f ca="1">IFERROR(YEAR(OFFSET(BV!$H360,,(COLUMN()-69)*8)),"")</f>
        <v>2020</v>
      </c>
      <c r="BS360" s="11">
        <f ca="1">IFERROR(YEAR(OFFSET(BV!$H360,,(COLUMN()-69)*8)),"")</f>
        <v>2020</v>
      </c>
      <c r="BT360" s="11" t="str">
        <f ca="1">IFERROR(YEAR(OFFSET(BV!$H360,,(COLUMN()-69)*8)),"")</f>
        <v/>
      </c>
      <c r="BU360" s="11" t="str">
        <f ca="1">IFERROR(YEAR(OFFSET(BV!$H360,,(COLUMN()-69)*8)),"")</f>
        <v/>
      </c>
      <c r="BV360" s="11" t="str">
        <f ca="1">IFERROR(YEAR(OFFSET(BV!$H360,,(COLUMN()-69)*8)),"")</f>
        <v/>
      </c>
      <c r="BW360" s="11" t="str">
        <f ca="1">IFERROR(YEAR(OFFSET(BV!$H360,,(COLUMN()-69)*8)),"")</f>
        <v/>
      </c>
      <c r="BX360" s="11" t="str">
        <f ca="1">IFERROR(YEAR(OFFSET(BV!$H360,,(COLUMN()-69)*8)),"")</f>
        <v/>
      </c>
      <c r="BY360" s="11" t="str">
        <f ca="1">IFERROR(YEAR(OFFSET(BV!$H360,,(COLUMN()-69)*8)),"")</f>
        <v/>
      </c>
      <c r="BZ360" s="11" t="str">
        <f ca="1">IFERROR(YEAR(OFFSET(BV!$H360,,(COLUMN()-69)*8)),"")</f>
        <v/>
      </c>
    </row>
    <row r="361" spans="1:78" x14ac:dyDescent="0.25">
      <c r="A361" s="433">
        <v>219</v>
      </c>
      <c r="B361" s="299">
        <f ca="1">BV!D361</f>
        <v>2.2769806612601369</v>
      </c>
      <c r="C361" s="11" t="str">
        <f ca="1">BV!L361</f>
        <v/>
      </c>
      <c r="D361" s="11" t="str">
        <f ca="1">BV!T361</f>
        <v/>
      </c>
      <c r="E361" s="11" t="str">
        <f ca="1">BV!AB361</f>
        <v/>
      </c>
      <c r="F361" s="11" t="str">
        <f ca="1">BV!AJ361</f>
        <v/>
      </c>
      <c r="G361" s="11" t="str">
        <f ca="1">BV!AR361</f>
        <v/>
      </c>
      <c r="H361" s="11" t="str">
        <f ca="1">BV!AZ361</f>
        <v/>
      </c>
      <c r="I361" s="11" t="str">
        <f ca="1">BV!BH361</f>
        <v/>
      </c>
      <c r="J361" s="11" t="str">
        <f ca="1">BV!BP361</f>
        <v/>
      </c>
      <c r="K361" s="11" t="str">
        <f ca="1">BV!BX361</f>
        <v/>
      </c>
      <c r="L361" s="62" t="s">
        <v>64</v>
      </c>
      <c r="M361" s="261">
        <v>1.507019122E-3</v>
      </c>
      <c r="N361" s="277">
        <f t="shared" ca="1" si="157"/>
        <v>25.759689183779912</v>
      </c>
      <c r="O361" s="15" t="str">
        <f>O27</f>
        <v>高级</v>
      </c>
      <c r="P361" s="1">
        <f t="shared" ref="P361:Y361" ca="1" si="206">SUM(P348:P358)</f>
        <v>993.95930868229755</v>
      </c>
      <c r="Q361" s="1">
        <f t="shared" ca="1" si="206"/>
        <v>1268.9340008049503</v>
      </c>
      <c r="R361" s="1">
        <f t="shared" ca="1" si="206"/>
        <v>1578.8361200332288</v>
      </c>
      <c r="S361" s="1">
        <f t="shared" ca="1" si="206"/>
        <v>1864.4626962781556</v>
      </c>
      <c r="T361" s="1">
        <f t="shared" ca="1" si="206"/>
        <v>1963.2894866739871</v>
      </c>
      <c r="U361" s="1">
        <f t="shared" ca="1" si="206"/>
        <v>2332.5794565937149</v>
      </c>
      <c r="V361" s="1">
        <f t="shared" ca="1" si="206"/>
        <v>2397.1589759751196</v>
      </c>
      <c r="W361" s="1">
        <f t="shared" ca="1" si="206"/>
        <v>2431.1432655168746</v>
      </c>
      <c r="X361" s="1">
        <f t="shared" ca="1" si="206"/>
        <v>2792.4522664427777</v>
      </c>
      <c r="Y361" s="1">
        <f t="shared" ca="1" si="206"/>
        <v>2841.7915071295015</v>
      </c>
      <c r="Z361" s="343">
        <f t="shared" ca="1" si="205"/>
        <v>20464.60708413061</v>
      </c>
      <c r="AA361" s="1">
        <f t="shared" ref="AA361" ca="1" si="207">INT(Z361/3600)</f>
        <v>5</v>
      </c>
      <c r="AB361" s="1" t="s">
        <v>394</v>
      </c>
      <c r="AC361" s="1">
        <f t="shared" ref="AC361" ca="1" si="208">INT((Z361-AA361*3600)/60)</f>
        <v>41</v>
      </c>
      <c r="AD361" s="1" t="s">
        <v>395</v>
      </c>
      <c r="AE361" s="1">
        <f t="shared" ref="AE361" ca="1" si="209">Z361-AA361*3600-AC361*60</f>
        <v>4.6070841306100192</v>
      </c>
      <c r="AF361" s="1" t="s">
        <v>396</v>
      </c>
      <c r="AG361" s="652">
        <f ca="1">SUM(AG348:AH358)</f>
        <v>1565.7506994326313</v>
      </c>
      <c r="AH361" s="652"/>
      <c r="AI361" s="315"/>
      <c r="AJ361" s="315"/>
      <c r="AL361" s="315"/>
      <c r="AM361" s="315"/>
      <c r="AN361" s="433">
        <v>219</v>
      </c>
      <c r="AO361" s="11">
        <f ca="1">BV!C361</f>
        <v>96.18</v>
      </c>
      <c r="AP361" s="11" t="str">
        <f ca="1">BV!K361</f>
        <v/>
      </c>
      <c r="AQ361" s="11" t="str">
        <f ca="1">BV!S361</f>
        <v/>
      </c>
      <c r="AR361" s="11" t="str">
        <f ca="1">BV!AA361</f>
        <v/>
      </c>
      <c r="AS361" s="11" t="str">
        <f ca="1">BV!AI361</f>
        <v/>
      </c>
      <c r="AT361" s="11" t="str">
        <f ca="1">BV!AQ361</f>
        <v/>
      </c>
      <c r="AU361" s="11" t="str">
        <f ca="1">BV!AY361</f>
        <v/>
      </c>
      <c r="AV361" s="11" t="str">
        <f ca="1">BV!BG361</f>
        <v/>
      </c>
      <c r="AW361" s="11" t="str">
        <f ca="1">BV!BO361</f>
        <v/>
      </c>
      <c r="AX361" s="11" t="str">
        <f ca="1">BV!BW361</f>
        <v/>
      </c>
      <c r="AY361" s="62" t="s">
        <v>3</v>
      </c>
      <c r="AZ361" s="37">
        <f t="shared" si="182"/>
        <v>2.8218812370507327</v>
      </c>
      <c r="BA361" s="261">
        <v>1.507019122E-3</v>
      </c>
      <c r="BB361" s="56">
        <v>2.4580025853999998E-2</v>
      </c>
      <c r="BC361" s="56">
        <f t="shared" si="160"/>
        <v>6.1310721597746295E-2</v>
      </c>
      <c r="BD361" s="13">
        <f ca="1">IF(BV!H361="","",INT(NOW()-BV!H361))</f>
        <v>369</v>
      </c>
      <c r="BE361" s="279">
        <f t="shared" si="161"/>
        <v>25.759689183779912</v>
      </c>
      <c r="BF361" s="301">
        <f ca="1">BV!G361</f>
        <v>40.521942552203072</v>
      </c>
      <c r="BG361" s="11" t="str">
        <f ca="1">BV!O361</f>
        <v/>
      </c>
      <c r="BH361" s="11" t="str">
        <f ca="1">BV!W361</f>
        <v/>
      </c>
      <c r="BI361" s="11" t="str">
        <f ca="1">BV!AE361</f>
        <v/>
      </c>
      <c r="BJ361" s="11" t="str">
        <f ca="1">BV!AM361</f>
        <v/>
      </c>
      <c r="BK361" s="11" t="str">
        <f ca="1">BV!AU361</f>
        <v/>
      </c>
      <c r="BL361" s="11" t="str">
        <f ca="1">BV!BC361</f>
        <v/>
      </c>
      <c r="BM361" s="11" t="str">
        <f ca="1">BV!BK361</f>
        <v/>
      </c>
      <c r="BN361" s="11" t="str">
        <f ca="1">BV!BS361</f>
        <v/>
      </c>
      <c r="BO361" s="11" t="str">
        <f ca="1">BV!CA361</f>
        <v/>
      </c>
      <c r="BP361" s="433">
        <v>219</v>
      </c>
      <c r="BQ361" s="11">
        <f ca="1">IFERROR(YEAR(OFFSET(BV!$H361,,(COLUMN()-69)*8)),"")</f>
        <v>2019</v>
      </c>
      <c r="BR361" s="11" t="str">
        <f ca="1">IFERROR(YEAR(OFFSET(BV!$H361,,(COLUMN()-69)*8)),"")</f>
        <v/>
      </c>
      <c r="BS361" s="11" t="str">
        <f ca="1">IFERROR(YEAR(OFFSET(BV!$H361,,(COLUMN()-69)*8)),"")</f>
        <v/>
      </c>
      <c r="BT361" s="11" t="str">
        <f ca="1">IFERROR(YEAR(OFFSET(BV!$H361,,(COLUMN()-69)*8)),"")</f>
        <v/>
      </c>
      <c r="BU361" s="11" t="str">
        <f ca="1">IFERROR(YEAR(OFFSET(BV!$H361,,(COLUMN()-69)*8)),"")</f>
        <v/>
      </c>
      <c r="BV361" s="11" t="str">
        <f ca="1">IFERROR(YEAR(OFFSET(BV!$H361,,(COLUMN()-69)*8)),"")</f>
        <v/>
      </c>
      <c r="BW361" s="11" t="str">
        <f ca="1">IFERROR(YEAR(OFFSET(BV!$H361,,(COLUMN()-69)*8)),"")</f>
        <v/>
      </c>
      <c r="BX361" s="11" t="str">
        <f ca="1">IFERROR(YEAR(OFFSET(BV!$H361,,(COLUMN()-69)*8)),"")</f>
        <v/>
      </c>
      <c r="BY361" s="11" t="str">
        <f ca="1">IFERROR(YEAR(OFFSET(BV!$H361,,(COLUMN()-69)*8)),"")</f>
        <v/>
      </c>
      <c r="BZ361" s="11" t="str">
        <f ca="1">IFERROR(YEAR(OFFSET(BV!$H361,,(COLUMN()-69)*8)),"")</f>
        <v/>
      </c>
    </row>
    <row r="362" spans="1:78" x14ac:dyDescent="0.25">
      <c r="A362" s="433">
        <v>220</v>
      </c>
      <c r="B362" s="298">
        <f ca="1">BV!D362</f>
        <v>2.7090259820219189</v>
      </c>
      <c r="C362" s="11" t="str">
        <f ca="1">BV!L362</f>
        <v/>
      </c>
      <c r="D362" s="11" t="str">
        <f ca="1">BV!T362</f>
        <v/>
      </c>
      <c r="E362" s="11" t="str">
        <f ca="1">BV!AB362</f>
        <v/>
      </c>
      <c r="F362" s="11" t="str">
        <f ca="1">BV!AJ362</f>
        <v/>
      </c>
      <c r="G362" s="11" t="str">
        <f ca="1">BV!AR362</f>
        <v/>
      </c>
      <c r="H362" s="11" t="str">
        <f ca="1">BV!AZ362</f>
        <v/>
      </c>
      <c r="I362" s="11" t="str">
        <f ca="1">BV!BH362</f>
        <v/>
      </c>
      <c r="J362" s="11" t="str">
        <f ca="1">BV!BP362</f>
        <v/>
      </c>
      <c r="K362" s="11" t="str">
        <f ca="1">BV!BX362</f>
        <v/>
      </c>
      <c r="L362" s="62" t="s">
        <v>64</v>
      </c>
      <c r="M362" s="261">
        <v>1.3533358809999999E-3</v>
      </c>
      <c r="N362" s="277">
        <f t="shared" ca="1" si="157"/>
        <v>27.182988524834826</v>
      </c>
      <c r="O362" s="4" t="str">
        <f>IF(Arb!$AJ$28=1,"T.T","典型时")</f>
        <v>典型时</v>
      </c>
      <c r="P362" s="1">
        <f ca="1">SUM(P359:P361)</f>
        <v>1311.6904393854165</v>
      </c>
      <c r="Q362" s="1">
        <f t="shared" ref="Q362:Y362" ca="1" si="210">SUM(Q359:Q361)</f>
        <v>1617.9222987910921</v>
      </c>
      <c r="R362" s="1">
        <f t="shared" ca="1" si="210"/>
        <v>2032.5662841868229</v>
      </c>
      <c r="S362" s="1">
        <f t="shared" ca="1" si="210"/>
        <v>2389.9633243924773</v>
      </c>
      <c r="T362" s="1">
        <f t="shared" ca="1" si="210"/>
        <v>2519.2628781049816</v>
      </c>
      <c r="U362" s="1">
        <f t="shared" ca="1" si="210"/>
        <v>2891.4462233035765</v>
      </c>
      <c r="V362" s="1">
        <f t="shared" ca="1" si="210"/>
        <v>2964.9063818011537</v>
      </c>
      <c r="W362" s="1">
        <f t="shared" ca="1" si="210"/>
        <v>3019.4504415803317</v>
      </c>
      <c r="X362" s="1">
        <f t="shared" ca="1" si="210"/>
        <v>3444.8519769262539</v>
      </c>
      <c r="Y362" s="1">
        <f t="shared" ca="1" si="210"/>
        <v>3500.8773290146833</v>
      </c>
      <c r="Z362" s="343">
        <f t="shared" ca="1" si="205"/>
        <v>25692.937577486788</v>
      </c>
      <c r="AA362" s="4">
        <f ca="1">INT(Z362/3600)</f>
        <v>7</v>
      </c>
      <c r="AB362" s="4" t="s">
        <v>394</v>
      </c>
      <c r="AC362" s="4">
        <f ca="1">INT((Z362-AA362*3600)/60)</f>
        <v>8</v>
      </c>
      <c r="AD362" s="4" t="s">
        <v>395</v>
      </c>
      <c r="AE362" s="4">
        <f ca="1">Z362-AA362*3600-AC362*60</f>
        <v>12.937577486787632</v>
      </c>
      <c r="AF362" s="4" t="s">
        <v>396</v>
      </c>
      <c r="AG362" s="651">
        <f ca="1">SUM(AG359:AH361)</f>
        <v>2971.0869236207891</v>
      </c>
      <c r="AH362" s="651"/>
      <c r="AI362" s="315"/>
      <c r="AJ362" s="315"/>
      <c r="AL362" s="315"/>
      <c r="AM362" s="315"/>
      <c r="AN362" s="433">
        <v>220</v>
      </c>
      <c r="AO362" s="660">
        <f ca="1">BV!C362</f>
        <v>81.209999999999994</v>
      </c>
      <c r="AP362" s="11" t="str">
        <f ca="1">BV!K362</f>
        <v/>
      </c>
      <c r="AQ362" s="11" t="str">
        <f ca="1">BV!S362</f>
        <v/>
      </c>
      <c r="AR362" s="11" t="str">
        <f ca="1">BV!AA362</f>
        <v/>
      </c>
      <c r="AS362" s="11" t="str">
        <f ca="1">BV!AI362</f>
        <v/>
      </c>
      <c r="AT362" s="11" t="str">
        <f ca="1">BV!AQ362</f>
        <v/>
      </c>
      <c r="AU362" s="11" t="str">
        <f ca="1">BV!AY362</f>
        <v/>
      </c>
      <c r="AV362" s="11" t="str">
        <f ca="1">BV!BG362</f>
        <v/>
      </c>
      <c r="AW362" s="11" t="str">
        <f ca="1">BV!BO362</f>
        <v/>
      </c>
      <c r="AX362" s="11" t="str">
        <f ca="1">BV!BW362</f>
        <v/>
      </c>
      <c r="AY362" s="62" t="s">
        <v>3</v>
      </c>
      <c r="AZ362" s="37">
        <f t="shared" si="182"/>
        <v>2.8685944035785274</v>
      </c>
      <c r="BA362" s="261">
        <v>1.3533358809999999E-3</v>
      </c>
      <c r="BB362" s="268">
        <v>1.1696266019999997E-2</v>
      </c>
      <c r="BC362" s="268">
        <f t="shared" si="160"/>
        <v>0.11570666045777918</v>
      </c>
      <c r="BD362" s="269">
        <f ca="1">IF(BV!H362="","",INT(NOW()-BV!H362))</f>
        <v>88</v>
      </c>
      <c r="BE362" s="279">
        <f t="shared" si="161"/>
        <v>27.18298852483483</v>
      </c>
      <c r="BF362" s="300">
        <f ca="1">BV!G362</f>
        <v>54.272117727992011</v>
      </c>
      <c r="BG362" s="11" t="str">
        <f ca="1">BV!O362</f>
        <v/>
      </c>
      <c r="BH362" s="11" t="str">
        <f ca="1">BV!W362</f>
        <v/>
      </c>
      <c r="BI362" s="11" t="str">
        <f ca="1">BV!AE362</f>
        <v/>
      </c>
      <c r="BJ362" s="11" t="str">
        <f ca="1">BV!AM362</f>
        <v/>
      </c>
      <c r="BK362" s="11" t="str">
        <f ca="1">BV!AU362</f>
        <v/>
      </c>
      <c r="BL362" s="11" t="str">
        <f ca="1">BV!BC362</f>
        <v/>
      </c>
      <c r="BM362" s="11" t="str">
        <f ca="1">BV!BK362</f>
        <v/>
      </c>
      <c r="BN362" s="11" t="str">
        <f ca="1">BV!BS362</f>
        <v/>
      </c>
      <c r="BO362" s="11" t="str">
        <f ca="1">BV!CA362</f>
        <v/>
      </c>
      <c r="BP362" s="433">
        <v>220</v>
      </c>
      <c r="BQ362" s="11">
        <f ca="1">IFERROR(YEAR(OFFSET(BV!$H362,,(COLUMN()-69)*8)),"")</f>
        <v>2020</v>
      </c>
      <c r="BR362" s="11" t="str">
        <f ca="1">IFERROR(YEAR(OFFSET(BV!$H362,,(COLUMN()-69)*8)),"")</f>
        <v/>
      </c>
      <c r="BS362" s="11" t="str">
        <f ca="1">IFERROR(YEAR(OFFSET(BV!$H362,,(COLUMN()-69)*8)),"")</f>
        <v/>
      </c>
      <c r="BT362" s="11" t="str">
        <f ca="1">IFERROR(YEAR(OFFSET(BV!$H362,,(COLUMN()-69)*8)),"")</f>
        <v/>
      </c>
      <c r="BU362" s="11" t="str">
        <f ca="1">IFERROR(YEAR(OFFSET(BV!$H362,,(COLUMN()-69)*8)),"")</f>
        <v/>
      </c>
      <c r="BV362" s="11" t="str">
        <f ca="1">IFERROR(YEAR(OFFSET(BV!$H362,,(COLUMN()-69)*8)),"")</f>
        <v/>
      </c>
      <c r="BW362" s="11" t="str">
        <f ca="1">IFERROR(YEAR(OFFSET(BV!$H362,,(COLUMN()-69)*8)),"")</f>
        <v/>
      </c>
      <c r="BX362" s="11" t="str">
        <f ca="1">IFERROR(YEAR(OFFSET(BV!$H362,,(COLUMN()-69)*8)),"")</f>
        <v/>
      </c>
      <c r="BY362" s="11" t="str">
        <f ca="1">IFERROR(YEAR(OFFSET(BV!$H362,,(COLUMN()-69)*8)),"")</f>
        <v/>
      </c>
      <c r="BZ362" s="11" t="str">
        <f ca="1">IFERROR(YEAR(OFFSET(BV!$H362,,(COLUMN()-69)*8)),"")</f>
        <v/>
      </c>
    </row>
    <row r="363" spans="1:78" x14ac:dyDescent="0.25">
      <c r="A363" s="433">
        <v>221</v>
      </c>
      <c r="B363" s="298">
        <f ca="1">BV!D363</f>
        <v>2.7113237639553427</v>
      </c>
      <c r="C363" s="11" t="str">
        <f ca="1">BV!L363</f>
        <v/>
      </c>
      <c r="D363" s="11" t="str">
        <f ca="1">BV!T363</f>
        <v/>
      </c>
      <c r="E363" s="11" t="str">
        <f ca="1">BV!AB363</f>
        <v/>
      </c>
      <c r="F363" s="11" t="str">
        <f ca="1">BV!AJ363</f>
        <v/>
      </c>
      <c r="G363" s="11" t="str">
        <f ca="1">BV!AR363</f>
        <v/>
      </c>
      <c r="H363" s="11" t="str">
        <f ca="1">BV!AZ363</f>
        <v/>
      </c>
      <c r="I363" s="11" t="str">
        <f ca="1">BV!BH363</f>
        <v/>
      </c>
      <c r="J363" s="11" t="str">
        <f ca="1">BV!BP363</f>
        <v/>
      </c>
      <c r="K363" s="11" t="str">
        <f ca="1">BV!BX363</f>
        <v/>
      </c>
      <c r="L363" s="62" t="s">
        <v>64</v>
      </c>
      <c r="M363" s="261">
        <v>1.2129321770000001E-3</v>
      </c>
      <c r="N363" s="277">
        <f t="shared" ca="1" si="157"/>
        <v>28.713209609360995</v>
      </c>
      <c r="O363" s="15" t="str">
        <f>O1</f>
        <v>分段</v>
      </c>
      <c r="P363" s="4" t="str">
        <f ca="1">OFFSET(Num!$J1,,(COLUMN()-16)*4-2)</f>
        <v>达成</v>
      </c>
      <c r="Q363" s="4">
        <f ca="1">OFFSET(Num!$J1,,(COLUMN()-16)*4-2)</f>
        <v>2020</v>
      </c>
      <c r="R363" s="4">
        <f ca="1">OFFSET(Num!$J1,,(COLUMN()-16)*4-2)</f>
        <v>2019</v>
      </c>
      <c r="S363" s="4">
        <f ca="1">OFFSET(Num!$J1,,(COLUMN()-16)*4-2)</f>
        <v>2018</v>
      </c>
      <c r="T363" s="4">
        <f ca="1">OFFSET(Num!$J1,,(COLUMN()-16)*4-2)</f>
        <v>2017</v>
      </c>
      <c r="U363" s="4">
        <f ca="1">OFFSET(Num!$J1,,(COLUMN()-16)*4-2)</f>
        <v>2016</v>
      </c>
      <c r="V363" s="4">
        <f ca="1">OFFSET(Num!$J1,,(COLUMN()-16)*4-2)</f>
        <v>0</v>
      </c>
      <c r="W363" s="4">
        <f ca="1">OFFSET(Num!$J1,,(COLUMN()-16)*4-2)</f>
        <v>0</v>
      </c>
      <c r="X363" s="315"/>
      <c r="Y363" s="315"/>
      <c r="Z363" s="315"/>
      <c r="AA363" s="485" t="s">
        <v>554</v>
      </c>
      <c r="AB363" s="485" t="s">
        <v>553</v>
      </c>
      <c r="AC363" s="485"/>
      <c r="AD363" s="485" t="s">
        <v>551</v>
      </c>
      <c r="AE363" s="485" t="s">
        <v>552</v>
      </c>
      <c r="AF363" s="344"/>
      <c r="AG363" s="344"/>
      <c r="AH363" s="344"/>
      <c r="AI363" s="315"/>
      <c r="AJ363" s="315"/>
      <c r="AK363" s="315"/>
      <c r="AL363" s="315"/>
      <c r="AM363" s="315"/>
      <c r="AN363" s="433">
        <v>221</v>
      </c>
      <c r="AO363" s="660">
        <f ca="1">BV!C363</f>
        <v>81.510000000000005</v>
      </c>
      <c r="AP363" s="11" t="str">
        <f ca="1">BV!K363</f>
        <v/>
      </c>
      <c r="AQ363" s="11" t="str">
        <f ca="1">BV!S363</f>
        <v/>
      </c>
      <c r="AR363" s="11" t="str">
        <f ca="1">BV!AA363</f>
        <v/>
      </c>
      <c r="AS363" s="11" t="str">
        <f ca="1">BV!AI363</f>
        <v/>
      </c>
      <c r="AT363" s="11" t="str">
        <f ca="1">BV!AQ363</f>
        <v/>
      </c>
      <c r="AU363" s="11" t="str">
        <f ca="1">BV!AY363</f>
        <v/>
      </c>
      <c r="AV363" s="11" t="str">
        <f ca="1">BV!BG363</f>
        <v/>
      </c>
      <c r="AW363" s="11" t="str">
        <f ca="1">BV!BO363</f>
        <v/>
      </c>
      <c r="AX363" s="11" t="str">
        <f ca="1">BV!BW363</f>
        <v/>
      </c>
      <c r="AY363" s="62" t="s">
        <v>3</v>
      </c>
      <c r="AZ363" s="37">
        <f t="shared" si="182"/>
        <v>2.9161634827098046</v>
      </c>
      <c r="BA363" s="261">
        <v>1.2129321770000001E-3</v>
      </c>
      <c r="BB363" s="268">
        <v>1.1696266019999997E-2</v>
      </c>
      <c r="BC363" s="268">
        <f t="shared" si="160"/>
        <v>0.10370251282981681</v>
      </c>
      <c r="BD363" s="269">
        <f ca="1">IF(BV!H363="","",INT(NOW()-BV!H363))</f>
        <v>35</v>
      </c>
      <c r="BE363" s="279">
        <f t="shared" si="161"/>
        <v>28.713209609360995</v>
      </c>
      <c r="BF363" s="300">
        <f ca="1">BV!G363</f>
        <v>54.178129967128278</v>
      </c>
      <c r="BG363" s="11" t="str">
        <f ca="1">BV!O363</f>
        <v/>
      </c>
      <c r="BH363" s="11" t="str">
        <f ca="1">BV!W363</f>
        <v/>
      </c>
      <c r="BI363" s="11" t="str">
        <f ca="1">BV!AE363</f>
        <v/>
      </c>
      <c r="BJ363" s="11" t="str">
        <f ca="1">BV!AM363</f>
        <v/>
      </c>
      <c r="BK363" s="11" t="str">
        <f ca="1">BV!AU363</f>
        <v/>
      </c>
      <c r="BL363" s="11" t="str">
        <f ca="1">BV!BC363</f>
        <v/>
      </c>
      <c r="BM363" s="11" t="str">
        <f ca="1">BV!BK363</f>
        <v/>
      </c>
      <c r="BN363" s="11" t="str">
        <f ca="1">BV!BS363</f>
        <v/>
      </c>
      <c r="BO363" s="11" t="str">
        <f ca="1">BV!CA363</f>
        <v/>
      </c>
      <c r="BP363" s="433">
        <v>221</v>
      </c>
      <c r="BQ363" s="11">
        <f ca="1">IFERROR(YEAR(OFFSET(BV!$H363,,(COLUMN()-69)*8)),"")</f>
        <v>2020</v>
      </c>
      <c r="BR363" s="11" t="str">
        <f ca="1">IFERROR(YEAR(OFFSET(BV!$H363,,(COLUMN()-69)*8)),"")</f>
        <v/>
      </c>
      <c r="BS363" s="11" t="str">
        <f ca="1">IFERROR(YEAR(OFFSET(BV!$H363,,(COLUMN()-69)*8)),"")</f>
        <v/>
      </c>
      <c r="BT363" s="11" t="str">
        <f ca="1">IFERROR(YEAR(OFFSET(BV!$H363,,(COLUMN()-69)*8)),"")</f>
        <v/>
      </c>
      <c r="BU363" s="11" t="str">
        <f ca="1">IFERROR(YEAR(OFFSET(BV!$H363,,(COLUMN()-69)*8)),"")</f>
        <v/>
      </c>
      <c r="BV363" s="11" t="str">
        <f ca="1">IFERROR(YEAR(OFFSET(BV!$H363,,(COLUMN()-69)*8)),"")</f>
        <v/>
      </c>
      <c r="BW363" s="11" t="str">
        <f ca="1">IFERROR(YEAR(OFFSET(BV!$H363,,(COLUMN()-69)*8)),"")</f>
        <v/>
      </c>
      <c r="BX363" s="11" t="str">
        <f ca="1">IFERROR(YEAR(OFFSET(BV!$H363,,(COLUMN()-69)*8)),"")</f>
        <v/>
      </c>
      <c r="BY363" s="11" t="str">
        <f ca="1">IFERROR(YEAR(OFFSET(BV!$H363,,(COLUMN()-69)*8)),"")</f>
        <v/>
      </c>
      <c r="BZ363" s="11" t="str">
        <f ca="1">IFERROR(YEAR(OFFSET(BV!$H363,,(COLUMN()-69)*8)),"")</f>
        <v/>
      </c>
    </row>
    <row r="364" spans="1:78" x14ac:dyDescent="0.25">
      <c r="A364" s="433">
        <v>222</v>
      </c>
      <c r="B364" s="11" t="str">
        <f ca="1">BV!D364</f>
        <v/>
      </c>
      <c r="C364" s="11" t="str">
        <f ca="1">BV!L364</f>
        <v/>
      </c>
      <c r="D364" s="11" t="str">
        <f ca="1">BV!T364</f>
        <v/>
      </c>
      <c r="E364" s="11" t="str">
        <f ca="1">BV!AB364</f>
        <v/>
      </c>
      <c r="F364" s="11" t="str">
        <f ca="1">BV!AJ364</f>
        <v/>
      </c>
      <c r="G364" s="11" t="str">
        <f ca="1">BV!AR364</f>
        <v/>
      </c>
      <c r="H364" s="11" t="str">
        <f ca="1">BV!AZ364</f>
        <v/>
      </c>
      <c r="I364" s="11" t="str">
        <f ca="1">BV!BH364</f>
        <v/>
      </c>
      <c r="J364" s="11" t="str">
        <f ca="1">BV!BP364</f>
        <v/>
      </c>
      <c r="K364" s="11" t="str">
        <f ca="1">BV!BX364</f>
        <v/>
      </c>
      <c r="L364" s="62" t="s">
        <v>64</v>
      </c>
      <c r="M364" s="261">
        <v>1.084993614E-3</v>
      </c>
      <c r="N364" s="277" t="str">
        <f t="shared" ca="1" si="157"/>
        <v/>
      </c>
      <c r="O364" s="11">
        <v>0</v>
      </c>
      <c r="P364" s="21">
        <f ca="1">SUMIF(Num!$G$1:$G$199,ASB!$O364,OFFSET(Num!$J$1,0,(COLUMN()-16)*4,200,1))*100</f>
        <v>0.85061137692716626</v>
      </c>
      <c r="Q364" s="21">
        <f ca="1">SUMIF(Num!$G$1:$G$199,ASB!$O364,OFFSET(Num!$J$1,0,(COLUMN()-16)*4,200,1))*100</f>
        <v>0.45095828635851182</v>
      </c>
      <c r="R364" s="21">
        <f ca="1">SUMIF(Num!$G$1:$G$199,ASB!$O364,OFFSET(Num!$J$1,0,(COLUMN()-16)*4,200,1))*100</f>
        <v>1.2072434607645874</v>
      </c>
      <c r="S364" s="21">
        <f ca="1">SUMIF(Num!$G$1:$G$199,ASB!$O364,OFFSET(Num!$J$1,0,(COLUMN()-16)*4,200,1))*100</f>
        <v>0</v>
      </c>
      <c r="T364" s="21">
        <f ca="1">SUMIF(Num!$G$1:$G$199,ASB!$O364,OFFSET(Num!$J$1,0,(COLUMN()-16)*4,200,1))*100</f>
        <v>0</v>
      </c>
      <c r="U364" s="21">
        <f ca="1">SUMIF(Num!$G$1:$G$199,ASB!$O364,OFFSET(Num!$J$1,0,(COLUMN()-16)*4,200,1))*100</f>
        <v>0</v>
      </c>
      <c r="V364" s="21">
        <f ca="1">SUMIF(Num!$G$1:$G$199,ASB!$O364,OFFSET(Num!$J$1,0,(COLUMN()-16)*4,200,1))*100</f>
        <v>0</v>
      </c>
      <c r="W364" s="21">
        <f ca="1">SUMIF(Num!$G$1:$G$199,ASB!$O364,OFFSET(Num!$J$1,0,(COLUMN()-16)*4,200,1))*100</f>
        <v>0</v>
      </c>
      <c r="X364" s="315"/>
      <c r="Y364" s="315"/>
      <c r="Z364" s="315"/>
      <c r="AA364" s="4">
        <v>1</v>
      </c>
      <c r="AB364" s="31">
        <f ca="1">LARGE($N$2:$N$54,AA364)</f>
        <v>74.367806320216403</v>
      </c>
      <c r="AC364" s="31" t="s">
        <v>38</v>
      </c>
      <c r="AD364" s="31">
        <f ca="1">MATCH(AB364,$N$2:$N$54,0)+1</f>
        <v>40</v>
      </c>
      <c r="AE364" s="39">
        <f ca="1">0-LOG10(1/AB364^2)</f>
        <v>3.7427699419698253</v>
      </c>
      <c r="AF364" s="344"/>
      <c r="AG364" s="344"/>
      <c r="AH364" s="344"/>
      <c r="AI364" s="315"/>
      <c r="AJ364" s="315"/>
      <c r="AK364" s="315"/>
      <c r="AL364" s="315"/>
      <c r="AM364" s="315"/>
      <c r="AN364" s="433">
        <v>222</v>
      </c>
      <c r="AO364" s="11" t="str">
        <f ca="1">BV!C364</f>
        <v/>
      </c>
      <c r="AP364" s="11" t="str">
        <f ca="1">BV!K364</f>
        <v/>
      </c>
      <c r="AQ364" s="11" t="str">
        <f ca="1">BV!S364</f>
        <v/>
      </c>
      <c r="AR364" s="11" t="str">
        <f ca="1">BV!AA364</f>
        <v/>
      </c>
      <c r="AS364" s="11" t="str">
        <f ca="1">BV!AI364</f>
        <v/>
      </c>
      <c r="AT364" s="11" t="str">
        <f ca="1">BV!AQ364</f>
        <v/>
      </c>
      <c r="AU364" s="11" t="str">
        <f ca="1">BV!AY364</f>
        <v/>
      </c>
      <c r="AV364" s="11" t="str">
        <f ca="1">BV!BG364</f>
        <v/>
      </c>
      <c r="AW364" s="11" t="str">
        <f ca="1">BV!BO364</f>
        <v/>
      </c>
      <c r="AX364" s="11" t="str">
        <f ca="1">BV!BW364</f>
        <v/>
      </c>
      <c r="AY364" s="62" t="s">
        <v>3</v>
      </c>
      <c r="AZ364" s="37">
        <f t="shared" si="182"/>
        <v>2.9645728179562103</v>
      </c>
      <c r="BA364" s="261">
        <v>1.084993614E-3</v>
      </c>
      <c r="BB364" s="268">
        <v>1.1696266019999997E-2</v>
      </c>
      <c r="BC364" s="268">
        <f t="shared" si="160"/>
        <v>9.2764101991585884E-2</v>
      </c>
      <c r="BD364" s="269" t="str">
        <f ca="1">IF(BV!H364="","",INT(NOW()-BV!H364))</f>
        <v/>
      </c>
      <c r="BE364" s="279">
        <f t="shared" si="161"/>
        <v>30.358926378060616</v>
      </c>
      <c r="BF364" s="11" t="str">
        <f ca="1">BV!G364</f>
        <v/>
      </c>
      <c r="BG364" s="11" t="str">
        <f ca="1">BV!O364</f>
        <v/>
      </c>
      <c r="BH364" s="11" t="str">
        <f ca="1">BV!W364</f>
        <v/>
      </c>
      <c r="BI364" s="11" t="str">
        <f ca="1">BV!AE364</f>
        <v/>
      </c>
      <c r="BJ364" s="11" t="str">
        <f ca="1">BV!AM364</f>
        <v/>
      </c>
      <c r="BK364" s="11" t="str">
        <f ca="1">BV!AU364</f>
        <v/>
      </c>
      <c r="BL364" s="11" t="str">
        <f ca="1">BV!BC364</f>
        <v/>
      </c>
      <c r="BM364" s="11" t="str">
        <f ca="1">BV!BK364</f>
        <v/>
      </c>
      <c r="BN364" s="11" t="str">
        <f ca="1">BV!BS364</f>
        <v/>
      </c>
      <c r="BO364" s="11" t="str">
        <f ca="1">BV!CA364</f>
        <v/>
      </c>
      <c r="BP364" s="433">
        <v>222</v>
      </c>
      <c r="BQ364" s="11" t="str">
        <f ca="1">IFERROR(YEAR(OFFSET(BV!$H364,,(COLUMN()-69)*8)),"")</f>
        <v/>
      </c>
      <c r="BR364" s="11" t="str">
        <f ca="1">IFERROR(YEAR(OFFSET(BV!$H364,,(COLUMN()-69)*8)),"")</f>
        <v/>
      </c>
      <c r="BS364" s="11" t="str">
        <f ca="1">IFERROR(YEAR(OFFSET(BV!$H364,,(COLUMN()-69)*8)),"")</f>
        <v/>
      </c>
      <c r="BT364" s="11" t="str">
        <f ca="1">IFERROR(YEAR(OFFSET(BV!$H364,,(COLUMN()-69)*8)),"")</f>
        <v/>
      </c>
      <c r="BU364" s="11" t="str">
        <f ca="1">IFERROR(YEAR(OFFSET(BV!$H364,,(COLUMN()-69)*8)),"")</f>
        <v/>
      </c>
      <c r="BV364" s="11" t="str">
        <f ca="1">IFERROR(YEAR(OFFSET(BV!$H364,,(COLUMN()-69)*8)),"")</f>
        <v/>
      </c>
      <c r="BW364" s="11" t="str">
        <f ca="1">IFERROR(YEAR(OFFSET(BV!$H364,,(COLUMN()-69)*8)),"")</f>
        <v/>
      </c>
      <c r="BX364" s="11" t="str">
        <f ca="1">IFERROR(YEAR(OFFSET(BV!$H364,,(COLUMN()-69)*8)),"")</f>
        <v/>
      </c>
      <c r="BY364" s="11" t="str">
        <f ca="1">IFERROR(YEAR(OFFSET(BV!$H364,,(COLUMN()-69)*8)),"")</f>
        <v/>
      </c>
      <c r="BZ364" s="11" t="str">
        <f ca="1">IFERROR(YEAR(OFFSET(BV!$H364,,(COLUMN()-69)*8)),"")</f>
        <v/>
      </c>
    </row>
    <row r="365" spans="1:78" x14ac:dyDescent="0.25">
      <c r="A365" s="433">
        <v>223</v>
      </c>
      <c r="B365" s="11" t="str">
        <f ca="1">BV!D365</f>
        <v/>
      </c>
      <c r="C365" s="11" t="str">
        <f ca="1">BV!L365</f>
        <v/>
      </c>
      <c r="D365" s="11" t="str">
        <f ca="1">BV!T365</f>
        <v/>
      </c>
      <c r="E365" s="11" t="str">
        <f ca="1">BV!AB365</f>
        <v/>
      </c>
      <c r="F365" s="11" t="str">
        <f ca="1">BV!AJ365</f>
        <v/>
      </c>
      <c r="G365" s="11" t="str">
        <f ca="1">BV!AR365</f>
        <v/>
      </c>
      <c r="H365" s="11" t="str">
        <f ca="1">BV!AZ365</f>
        <v/>
      </c>
      <c r="I365" s="11" t="str">
        <f ca="1">BV!BH365</f>
        <v/>
      </c>
      <c r="J365" s="11" t="str">
        <f ca="1">BV!BP365</f>
        <v/>
      </c>
      <c r="K365" s="11" t="str">
        <f ca="1">BV!BX365</f>
        <v/>
      </c>
      <c r="L365" s="271" t="s">
        <v>67</v>
      </c>
      <c r="M365" s="261">
        <v>9.6856215799999998E-4</v>
      </c>
      <c r="N365" s="272" t="str">
        <f t="shared" ca="1" si="157"/>
        <v/>
      </c>
      <c r="O365" s="31" t="s">
        <v>385</v>
      </c>
      <c r="P365" s="21">
        <f ca="1">SUMIF(Num!$G$1:$G$199,ASB!$O365,OFFSET(Num!$J$1,0,(COLUMN()-16)*4,200,1))*100</f>
        <v>38.96330809551543</v>
      </c>
      <c r="Q365" s="21">
        <f ca="1">SUMIF(Num!$G$1:$G$199,ASB!$O365,OFFSET(Num!$J$1,0,(COLUMN()-16)*4,200,1))*100</f>
        <v>47.589616810877629</v>
      </c>
      <c r="R365" s="21">
        <f ca="1">SUMIF(Num!$G$1:$G$199,ASB!$O365,OFFSET(Num!$J$1,0,(COLUMN()-16)*4,200,1))*100</f>
        <v>31.277533039647576</v>
      </c>
      <c r="S365" s="21">
        <f ca="1">SUMIF(Num!$G$1:$G$199,ASB!$O365,OFFSET(Num!$J$1,0,(COLUMN()-16)*4,200,1))*100</f>
        <v>0</v>
      </c>
      <c r="T365" s="21">
        <f ca="1">SUMIF(Num!$G$1:$G$199,ASB!$O365,OFFSET(Num!$J$1,0,(COLUMN()-16)*4,200,1))*100</f>
        <v>0</v>
      </c>
      <c r="U365" s="21">
        <f ca="1">SUMIF(Num!$G$1:$G$199,ASB!$O365,OFFSET(Num!$J$1,0,(COLUMN()-16)*4,200,1))*100</f>
        <v>0</v>
      </c>
      <c r="V365" s="21">
        <f ca="1">SUMIF(Num!$G$1:$G$199,ASB!$O365,OFFSET(Num!$J$1,0,(COLUMN()-16)*4,200,1))*100</f>
        <v>0</v>
      </c>
      <c r="W365" s="21">
        <f ca="1">SUMIF(Num!$G$1:$G$199,ASB!$O365,OFFSET(Num!$J$1,0,(COLUMN()-16)*4,200,1))*100</f>
        <v>0</v>
      </c>
      <c r="X365" s="347"/>
      <c r="Y365" s="347"/>
      <c r="Z365" s="344"/>
      <c r="AA365" s="4">
        <v>2</v>
      </c>
      <c r="AB365" s="31">
        <f t="shared" ref="AB365:AB371" ca="1" si="211">LARGE($N$2:$N$54,AA365)</f>
        <v>63.222395761294962</v>
      </c>
      <c r="AC365" s="31" t="s">
        <v>38</v>
      </c>
      <c r="AD365" s="31">
        <f t="shared" ref="AD365:AD371" ca="1" si="212">MATCH(AB365,$N$2:$N$54,0)+1</f>
        <v>3</v>
      </c>
      <c r="AE365" s="39">
        <f t="shared" ref="AE365:AE391" ca="1" si="213">0-LOG10(1/AB365^2)</f>
        <v>3.6017418981034934</v>
      </c>
      <c r="AF365" s="344"/>
      <c r="AG365" s="344"/>
      <c r="AH365" s="344"/>
      <c r="AI365" s="344"/>
      <c r="AJ365" s="344"/>
      <c r="AK365" s="344"/>
      <c r="AL365" s="315"/>
      <c r="AM365" s="315"/>
      <c r="AN365" s="433">
        <v>223</v>
      </c>
      <c r="AO365" s="11" t="str">
        <f ca="1">BV!C365</f>
        <v/>
      </c>
      <c r="AP365" s="11" t="str">
        <f ca="1">BV!K365</f>
        <v/>
      </c>
      <c r="AQ365" s="11" t="str">
        <f ca="1">BV!S365</f>
        <v/>
      </c>
      <c r="AR365" s="11" t="str">
        <f ca="1">BV!AA365</f>
        <v/>
      </c>
      <c r="AS365" s="11" t="str">
        <f ca="1">BV!AI365</f>
        <v/>
      </c>
      <c r="AT365" s="11" t="str">
        <f ca="1">BV!AQ365</f>
        <v/>
      </c>
      <c r="AU365" s="11" t="str">
        <f ca="1">BV!AY365</f>
        <v/>
      </c>
      <c r="AV365" s="11" t="str">
        <f ca="1">BV!BG365</f>
        <v/>
      </c>
      <c r="AW365" s="11" t="str">
        <f ca="1">BV!BO365</f>
        <v/>
      </c>
      <c r="AX365" s="11" t="str">
        <f ca="1">BV!BW365</f>
        <v/>
      </c>
      <c r="AY365" s="271" t="s">
        <v>67</v>
      </c>
      <c r="AZ365" s="274">
        <f t="shared" si="182"/>
        <v>3.0138725029673976</v>
      </c>
      <c r="BA365" s="261">
        <v>9.6856215799999998E-4</v>
      </c>
      <c r="BB365" s="268">
        <v>1.1696266019999997E-2</v>
      </c>
      <c r="BC365" s="268">
        <f t="shared" si="160"/>
        <v>8.2809518554366829E-2</v>
      </c>
      <c r="BD365" s="269" t="str">
        <f ca="1">IF(BV!H365="","",INT(NOW()-BV!H365))</f>
        <v/>
      </c>
      <c r="BE365" s="275">
        <f t="shared" si="161"/>
        <v>32.131888516520434</v>
      </c>
      <c r="BF365" s="11" t="str">
        <f ca="1">BV!G365</f>
        <v/>
      </c>
      <c r="BG365" s="11" t="str">
        <f ca="1">BV!O365</f>
        <v/>
      </c>
      <c r="BH365" s="11" t="str">
        <f ca="1">BV!W365</f>
        <v/>
      </c>
      <c r="BI365" s="11" t="str">
        <f ca="1">BV!AE365</f>
        <v/>
      </c>
      <c r="BJ365" s="11" t="str">
        <f ca="1">BV!AM365</f>
        <v/>
      </c>
      <c r="BK365" s="11" t="str">
        <f ca="1">BV!AU365</f>
        <v/>
      </c>
      <c r="BL365" s="11" t="str">
        <f ca="1">BV!BC365</f>
        <v/>
      </c>
      <c r="BM365" s="11" t="str">
        <f ca="1">BV!BK365</f>
        <v/>
      </c>
      <c r="BN365" s="11" t="str">
        <f ca="1">BV!BS365</f>
        <v/>
      </c>
      <c r="BO365" s="11" t="str">
        <f ca="1">BV!CA365</f>
        <v/>
      </c>
      <c r="BP365" s="433">
        <v>223</v>
      </c>
      <c r="BQ365" s="11" t="str">
        <f ca="1">IFERROR(YEAR(OFFSET(BV!$H365,,(COLUMN()-69)*8)),"")</f>
        <v/>
      </c>
      <c r="BR365" s="11" t="str">
        <f ca="1">IFERROR(YEAR(OFFSET(BV!$H365,,(COLUMN()-69)*8)),"")</f>
        <v/>
      </c>
      <c r="BS365" s="11" t="str">
        <f ca="1">IFERROR(YEAR(OFFSET(BV!$H365,,(COLUMN()-69)*8)),"")</f>
        <v/>
      </c>
      <c r="BT365" s="11" t="str">
        <f ca="1">IFERROR(YEAR(OFFSET(BV!$H365,,(COLUMN()-69)*8)),"")</f>
        <v/>
      </c>
      <c r="BU365" s="11" t="str">
        <f ca="1">IFERROR(YEAR(OFFSET(BV!$H365,,(COLUMN()-69)*8)),"")</f>
        <v/>
      </c>
      <c r="BV365" s="11" t="str">
        <f ca="1">IFERROR(YEAR(OFFSET(BV!$H365,,(COLUMN()-69)*8)),"")</f>
        <v/>
      </c>
      <c r="BW365" s="11" t="str">
        <f ca="1">IFERROR(YEAR(OFFSET(BV!$H365,,(COLUMN()-69)*8)),"")</f>
        <v/>
      </c>
      <c r="BX365" s="11" t="str">
        <f ca="1">IFERROR(YEAR(OFFSET(BV!$H365,,(COLUMN()-69)*8)),"")</f>
        <v/>
      </c>
      <c r="BY365" s="11" t="str">
        <f ca="1">IFERROR(YEAR(OFFSET(BV!$H365,,(COLUMN()-69)*8)),"")</f>
        <v/>
      </c>
      <c r="BZ365" s="11" t="str">
        <f ca="1">IFERROR(YEAR(OFFSET(BV!$H365,,(COLUMN()-69)*8)),"")</f>
        <v/>
      </c>
    </row>
    <row r="366" spans="1:78" x14ac:dyDescent="0.25">
      <c r="A366" s="433">
        <v>224</v>
      </c>
      <c r="B366" s="11" t="str">
        <f ca="1">BV!D366</f>
        <v/>
      </c>
      <c r="C366" s="11" t="str">
        <f ca="1">BV!L366</f>
        <v/>
      </c>
      <c r="D366" s="11" t="str">
        <f ca="1">BV!T366</f>
        <v/>
      </c>
      <c r="E366" s="11" t="str">
        <f ca="1">BV!AB366</f>
        <v/>
      </c>
      <c r="F366" s="11" t="str">
        <f ca="1">BV!AJ366</f>
        <v/>
      </c>
      <c r="G366" s="11" t="str">
        <f ca="1">BV!AR366</f>
        <v/>
      </c>
      <c r="H366" s="11" t="str">
        <f ca="1">BV!AZ366</f>
        <v/>
      </c>
      <c r="I366" s="11" t="str">
        <f ca="1">BV!BH366</f>
        <v/>
      </c>
      <c r="J366" s="11" t="str">
        <f ca="1">BV!BP366</f>
        <v/>
      </c>
      <c r="K366" s="11" t="str">
        <f ca="1">BV!BX366</f>
        <v/>
      </c>
      <c r="L366" s="271" t="s">
        <v>67</v>
      </c>
      <c r="M366" s="261">
        <v>8.6293904799999998E-4</v>
      </c>
      <c r="N366" s="272" t="str">
        <f t="shared" ca="1" si="157"/>
        <v/>
      </c>
      <c r="O366" s="31" t="s">
        <v>386</v>
      </c>
      <c r="P366" s="21">
        <f ca="1">SUMIF(Num!$G$1:$G$199,ASB!$O366,OFFSET(Num!$J$1,0,(COLUMN()-16)*4,200,1))*100</f>
        <v>444.96214327315079</v>
      </c>
      <c r="Q366" s="21">
        <f ca="1">SUMIF(Num!$G$1:$G$199,ASB!$O366,OFFSET(Num!$J$1,0,(COLUMN()-16)*4,200,1))*100</f>
        <v>506.92212608158218</v>
      </c>
      <c r="R366" s="21">
        <f ca="1">SUMIF(Num!$G$1:$G$199,ASB!$O366,OFFSET(Num!$J$1,0,(COLUMN()-16)*4,200,1))*100</f>
        <v>389.75770925110129</v>
      </c>
      <c r="S366" s="21">
        <f ca="1">SUMIF(Num!$G$1:$G$199,ASB!$O366,OFFSET(Num!$J$1,0,(COLUMN()-16)*4,200,1))*100</f>
        <v>0</v>
      </c>
      <c r="T366" s="21">
        <f ca="1">SUMIF(Num!$G$1:$G$199,ASB!$O366,OFFSET(Num!$J$1,0,(COLUMN()-16)*4,200,1))*100</f>
        <v>0</v>
      </c>
      <c r="U366" s="21">
        <f ca="1">SUMIF(Num!$G$1:$G$199,ASB!$O366,OFFSET(Num!$J$1,0,(COLUMN()-16)*4,200,1))*100</f>
        <v>0</v>
      </c>
      <c r="V366" s="21">
        <f ca="1">SUMIF(Num!$G$1:$G$199,ASB!$O366,OFFSET(Num!$J$1,0,(COLUMN()-16)*4,200,1))*100</f>
        <v>0</v>
      </c>
      <c r="W366" s="21">
        <f ca="1">SUMIF(Num!$G$1:$G$199,ASB!$O366,OFFSET(Num!$J$1,0,(COLUMN()-16)*4,200,1))*100</f>
        <v>0</v>
      </c>
      <c r="X366" s="347"/>
      <c r="Y366" s="347"/>
      <c r="Z366" s="344"/>
      <c r="AA366" s="4">
        <v>3</v>
      </c>
      <c r="AB366" s="31">
        <f t="shared" ca="1" si="211"/>
        <v>46.964654950364931</v>
      </c>
      <c r="AC366" s="31" t="s">
        <v>38</v>
      </c>
      <c r="AD366" s="31">
        <f t="shared" ca="1" si="212"/>
        <v>38</v>
      </c>
      <c r="AE366" s="39">
        <f t="shared" ca="1" si="213"/>
        <v>3.3435422718396897</v>
      </c>
      <c r="AF366" s="344"/>
      <c r="AG366" s="344"/>
      <c r="AH366" s="344"/>
      <c r="AI366" s="344"/>
      <c r="AJ366" s="344"/>
      <c r="AK366" s="344"/>
      <c r="AL366" s="315"/>
      <c r="AM366" s="315"/>
      <c r="AN366" s="433">
        <v>224</v>
      </c>
      <c r="AO366" s="11" t="str">
        <f ca="1">BV!C366</f>
        <v/>
      </c>
      <c r="AP366" s="11" t="str">
        <f ca="1">BV!K366</f>
        <v/>
      </c>
      <c r="AQ366" s="11" t="str">
        <f ca="1">BV!S366</f>
        <v/>
      </c>
      <c r="AR366" s="11" t="str">
        <f ca="1">BV!AA366</f>
        <v/>
      </c>
      <c r="AS366" s="11" t="str">
        <f ca="1">BV!AI366</f>
        <v/>
      </c>
      <c r="AT366" s="11" t="str">
        <f ca="1">BV!AQ366</f>
        <v/>
      </c>
      <c r="AU366" s="11" t="str">
        <f ca="1">BV!AY366</f>
        <v/>
      </c>
      <c r="AV366" s="11" t="str">
        <f ca="1">BV!BG366</f>
        <v/>
      </c>
      <c r="AW366" s="11" t="str">
        <f ca="1">BV!BO366</f>
        <v/>
      </c>
      <c r="AX366" s="11" t="str">
        <f ca="1">BV!BW366</f>
        <v/>
      </c>
      <c r="AY366" s="271" t="s">
        <v>67</v>
      </c>
      <c r="AZ366" s="274">
        <f t="shared" si="182"/>
        <v>3.064019878736826</v>
      </c>
      <c r="BA366" s="261">
        <v>8.6293904799999998E-4</v>
      </c>
      <c r="BB366" s="268">
        <v>1.1696266019999997E-2</v>
      </c>
      <c r="BC366" s="268">
        <f t="shared" si="160"/>
        <v>7.3779020289417144E-2</v>
      </c>
      <c r="BD366" s="269" t="str">
        <f ca="1">IF(BV!H366="","",INT(NOW()-BV!H366))</f>
        <v/>
      </c>
      <c r="BE366" s="275">
        <f t="shared" si="161"/>
        <v>34.041598045420322</v>
      </c>
      <c r="BF366" s="11" t="str">
        <f ca="1">BV!G366</f>
        <v/>
      </c>
      <c r="BG366" s="11" t="str">
        <f ca="1">BV!O366</f>
        <v/>
      </c>
      <c r="BH366" s="11" t="str">
        <f ca="1">BV!W366</f>
        <v/>
      </c>
      <c r="BI366" s="11" t="str">
        <f ca="1">BV!AE366</f>
        <v/>
      </c>
      <c r="BJ366" s="11" t="str">
        <f ca="1">BV!AM366</f>
        <v/>
      </c>
      <c r="BK366" s="11" t="str">
        <f ca="1">BV!AU366</f>
        <v/>
      </c>
      <c r="BL366" s="11" t="str">
        <f ca="1">BV!BC366</f>
        <v/>
      </c>
      <c r="BM366" s="11" t="str">
        <f ca="1">BV!BK366</f>
        <v/>
      </c>
      <c r="BN366" s="11" t="str">
        <f ca="1">BV!BS366</f>
        <v/>
      </c>
      <c r="BO366" s="11" t="str">
        <f ca="1">BV!CA366</f>
        <v/>
      </c>
      <c r="BP366" s="433">
        <v>224</v>
      </c>
      <c r="BQ366" s="11" t="str">
        <f ca="1">IFERROR(YEAR(OFFSET(BV!$H366,,(COLUMN()-69)*8)),"")</f>
        <v/>
      </c>
      <c r="BR366" s="11" t="str">
        <f ca="1">IFERROR(YEAR(OFFSET(BV!$H366,,(COLUMN()-69)*8)),"")</f>
        <v/>
      </c>
      <c r="BS366" s="11" t="str">
        <f ca="1">IFERROR(YEAR(OFFSET(BV!$H366,,(COLUMN()-69)*8)),"")</f>
        <v/>
      </c>
      <c r="BT366" s="11" t="str">
        <f ca="1">IFERROR(YEAR(OFFSET(BV!$H366,,(COLUMN()-69)*8)),"")</f>
        <v/>
      </c>
      <c r="BU366" s="11" t="str">
        <f ca="1">IFERROR(YEAR(OFFSET(BV!$H366,,(COLUMN()-69)*8)),"")</f>
        <v/>
      </c>
      <c r="BV366" s="11" t="str">
        <f ca="1">IFERROR(YEAR(OFFSET(BV!$H366,,(COLUMN()-69)*8)),"")</f>
        <v/>
      </c>
      <c r="BW366" s="11" t="str">
        <f ca="1">IFERROR(YEAR(OFFSET(BV!$H366,,(COLUMN()-69)*8)),"")</f>
        <v/>
      </c>
      <c r="BX366" s="11" t="str">
        <f ca="1">IFERROR(YEAR(OFFSET(BV!$H366,,(COLUMN()-69)*8)),"")</f>
        <v/>
      </c>
      <c r="BY366" s="11" t="str">
        <f ca="1">IFERROR(YEAR(OFFSET(BV!$H366,,(COLUMN()-69)*8)),"")</f>
        <v/>
      </c>
      <c r="BZ366" s="11" t="str">
        <f ca="1">IFERROR(YEAR(OFFSET(BV!$H366,,(COLUMN()-69)*8)),"")</f>
        <v/>
      </c>
    </row>
    <row r="367" spans="1:78" x14ac:dyDescent="0.25">
      <c r="A367" s="433">
        <v>225</v>
      </c>
      <c r="B367" s="299">
        <f ca="1">BV!D367</f>
        <v>2.4177949709864603</v>
      </c>
      <c r="C367" s="11" t="str">
        <f ca="1">BV!L367</f>
        <v/>
      </c>
      <c r="D367" s="11" t="str">
        <f ca="1">BV!T367</f>
        <v/>
      </c>
      <c r="E367" s="11" t="str">
        <f ca="1">BV!AB367</f>
        <v/>
      </c>
      <c r="F367" s="11" t="str">
        <f ca="1">BV!AJ367</f>
        <v/>
      </c>
      <c r="G367" s="11" t="str">
        <f ca="1">BV!AR367</f>
        <v/>
      </c>
      <c r="H367" s="11" t="str">
        <f ca="1">BV!AZ367</f>
        <v/>
      </c>
      <c r="I367" s="11" t="str">
        <f ca="1">BV!BH367</f>
        <v/>
      </c>
      <c r="J367" s="11" t="str">
        <f ca="1">BV!BP367</f>
        <v/>
      </c>
      <c r="K367" s="11" t="str">
        <f ca="1">BV!BX367</f>
        <v/>
      </c>
      <c r="L367" s="271" t="s">
        <v>67</v>
      </c>
      <c r="M367" s="261">
        <v>7.6728563699999999E-4</v>
      </c>
      <c r="N367" s="272">
        <f t="shared" ca="1" si="157"/>
        <v>36.101185672755413</v>
      </c>
      <c r="O367" s="31" t="s">
        <v>387</v>
      </c>
      <c r="P367" s="486">
        <f ca="1">SUMIF(Num!$G$1:$G$199,ASB!$O367,OFFSET(Num!$J$1,0,(COLUMN()-16)*4,200,1))*100</f>
        <v>70.821199767035523</v>
      </c>
      <c r="Q367" s="486">
        <f ca="1">SUMIF(Num!$G$1:$G$199,ASB!$O367,OFFSET(Num!$J$1,0,(COLUMN()-16)*4,200,1))*100</f>
        <v>84.17799752781211</v>
      </c>
      <c r="R367" s="486">
        <f ca="1">SUMIF(Num!$G$1:$G$199,ASB!$O367,OFFSET(Num!$J$1,0,(COLUMN()-16)*4,200,1))*100</f>
        <v>58.920704845814974</v>
      </c>
      <c r="S367" s="486">
        <f ca="1">SUMIF(Num!$G$1:$G$199,ASB!$O367,OFFSET(Num!$J$1,0,(COLUMN()-16)*4,200,1))*100</f>
        <v>0</v>
      </c>
      <c r="T367" s="486">
        <f ca="1">SUMIF(Num!$G$1:$G$199,ASB!$O367,OFFSET(Num!$J$1,0,(COLUMN()-16)*4,200,1))*100</f>
        <v>0</v>
      </c>
      <c r="U367" s="486">
        <f ca="1">SUMIF(Num!$G$1:$G$199,ASB!$O367,OFFSET(Num!$J$1,0,(COLUMN()-16)*4,200,1))*100</f>
        <v>0</v>
      </c>
      <c r="V367" s="486">
        <f ca="1">SUMIF(Num!$G$1:$G$199,ASB!$O367,OFFSET(Num!$J$1,0,(COLUMN()-16)*4,200,1))*100</f>
        <v>0</v>
      </c>
      <c r="W367" s="486">
        <f ca="1">SUMIF(Num!$G$1:$G$199,ASB!$O367,OFFSET(Num!$J$1,0,(COLUMN()-16)*4,200,1))*100</f>
        <v>0</v>
      </c>
      <c r="X367" s="347"/>
      <c r="Y367" s="347"/>
      <c r="Z367" s="344"/>
      <c r="AA367" s="4">
        <v>4</v>
      </c>
      <c r="AB367" s="31">
        <f t="shared" ca="1" si="211"/>
        <v>42.848209873580679</v>
      </c>
      <c r="AC367" s="31" t="s">
        <v>38</v>
      </c>
      <c r="AD367" s="31">
        <f t="shared" ca="1" si="212"/>
        <v>37</v>
      </c>
      <c r="AE367" s="39">
        <f t="shared" ca="1" si="213"/>
        <v>3.2638653650847953</v>
      </c>
      <c r="AF367" s="344"/>
      <c r="AG367" s="344"/>
      <c r="AH367" s="344"/>
      <c r="AI367" s="344"/>
      <c r="AJ367" s="344"/>
      <c r="AK367" s="344"/>
      <c r="AL367" s="315"/>
      <c r="AM367" s="315"/>
      <c r="AN367" s="433">
        <v>225</v>
      </c>
      <c r="AO367" s="11">
        <f ca="1">BV!C367</f>
        <v>93.06</v>
      </c>
      <c r="AP367" s="11" t="str">
        <f ca="1">BV!K367</f>
        <v/>
      </c>
      <c r="AQ367" s="11" t="str">
        <f ca="1">BV!S367</f>
        <v/>
      </c>
      <c r="AR367" s="11" t="str">
        <f ca="1">BV!AA367</f>
        <v/>
      </c>
      <c r="AS367" s="11" t="str">
        <f ca="1">BV!AI367</f>
        <v/>
      </c>
      <c r="AT367" s="11" t="str">
        <f ca="1">BV!AQ367</f>
        <v/>
      </c>
      <c r="AU367" s="11" t="str">
        <f ca="1">BV!AY367</f>
        <v/>
      </c>
      <c r="AV367" s="11" t="str">
        <f ca="1">BV!BG367</f>
        <v/>
      </c>
      <c r="AW367" s="11" t="str">
        <f ca="1">BV!BO367</f>
        <v/>
      </c>
      <c r="AX367" s="11" t="str">
        <f ca="1">BV!BW367</f>
        <v/>
      </c>
      <c r="AY367" s="271" t="s">
        <v>67</v>
      </c>
      <c r="AZ367" s="274">
        <f t="shared" si="182"/>
        <v>3.1150429313835581</v>
      </c>
      <c r="BA367" s="261">
        <v>7.6728563699999999E-4</v>
      </c>
      <c r="BB367" s="268">
        <v>1.1696266019999997E-2</v>
      </c>
      <c r="BC367" s="268">
        <f t="shared" si="160"/>
        <v>6.5600905082697517E-2</v>
      </c>
      <c r="BD367" s="269">
        <f ca="1">IF(BV!H367="","",INT(NOW()-BV!H367))</f>
        <v>284</v>
      </c>
      <c r="BE367" s="275">
        <f t="shared" si="161"/>
        <v>36.101185672755413</v>
      </c>
      <c r="BF367" s="301">
        <f ca="1">BV!G367</f>
        <v>44.032727895578439</v>
      </c>
      <c r="BG367" s="11" t="str">
        <f ca="1">BV!O367</f>
        <v/>
      </c>
      <c r="BH367" s="11" t="str">
        <f ca="1">BV!W367</f>
        <v/>
      </c>
      <c r="BI367" s="11" t="str">
        <f ca="1">BV!AE367</f>
        <v/>
      </c>
      <c r="BJ367" s="11" t="str">
        <f ca="1">BV!AM367</f>
        <v/>
      </c>
      <c r="BK367" s="11" t="str">
        <f ca="1">BV!AU367</f>
        <v/>
      </c>
      <c r="BL367" s="11" t="str">
        <f ca="1">BV!BC367</f>
        <v/>
      </c>
      <c r="BM367" s="11" t="str">
        <f ca="1">BV!BK367</f>
        <v/>
      </c>
      <c r="BN367" s="11" t="str">
        <f ca="1">BV!BS367</f>
        <v/>
      </c>
      <c r="BO367" s="11" t="str">
        <f ca="1">BV!CA367</f>
        <v/>
      </c>
      <c r="BP367" s="433">
        <v>225</v>
      </c>
      <c r="BQ367" s="11">
        <f ca="1">IFERROR(YEAR(OFFSET(BV!$H367,,(COLUMN()-69)*8)),"")</f>
        <v>2020</v>
      </c>
      <c r="BR367" s="11" t="str">
        <f ca="1">IFERROR(YEAR(OFFSET(BV!$H367,,(COLUMN()-69)*8)),"")</f>
        <v/>
      </c>
      <c r="BS367" s="11" t="str">
        <f ca="1">IFERROR(YEAR(OFFSET(BV!$H367,,(COLUMN()-69)*8)),"")</f>
        <v/>
      </c>
      <c r="BT367" s="11" t="str">
        <f ca="1">IFERROR(YEAR(OFFSET(BV!$H367,,(COLUMN()-69)*8)),"")</f>
        <v/>
      </c>
      <c r="BU367" s="11" t="str">
        <f ca="1">IFERROR(YEAR(OFFSET(BV!$H367,,(COLUMN()-69)*8)),"")</f>
        <v/>
      </c>
      <c r="BV367" s="11" t="str">
        <f ca="1">IFERROR(YEAR(OFFSET(BV!$H367,,(COLUMN()-69)*8)),"")</f>
        <v/>
      </c>
      <c r="BW367" s="11" t="str">
        <f ca="1">IFERROR(YEAR(OFFSET(BV!$H367,,(COLUMN()-69)*8)),"")</f>
        <v/>
      </c>
      <c r="BX367" s="11" t="str">
        <f ca="1">IFERROR(YEAR(OFFSET(BV!$H367,,(COLUMN()-69)*8)),"")</f>
        <v/>
      </c>
      <c r="BY367" s="11" t="str">
        <f ca="1">IFERROR(YEAR(OFFSET(BV!$H367,,(COLUMN()-69)*8)),"")</f>
        <v/>
      </c>
      <c r="BZ367" s="11" t="str">
        <f ca="1">IFERROR(YEAR(OFFSET(BV!$H367,,(COLUMN()-69)*8)),"")</f>
        <v/>
      </c>
    </row>
    <row r="368" spans="1:78" x14ac:dyDescent="0.25">
      <c r="A368" s="433">
        <v>226</v>
      </c>
      <c r="B368" s="298">
        <f ca="1">BV!D368</f>
        <v>2.6260748315128981</v>
      </c>
      <c r="C368" s="299">
        <f ca="1">BV!L368</f>
        <v>2.3037716615698267</v>
      </c>
      <c r="D368" s="11" t="str">
        <f ca="1">BV!T368</f>
        <v/>
      </c>
      <c r="E368" s="11" t="str">
        <f ca="1">BV!AB368</f>
        <v/>
      </c>
      <c r="F368" s="11" t="str">
        <f ca="1">BV!AJ368</f>
        <v/>
      </c>
      <c r="G368" s="11" t="str">
        <f ca="1">BV!AR368</f>
        <v/>
      </c>
      <c r="H368" s="11" t="str">
        <f ca="1">BV!AZ368</f>
        <v/>
      </c>
      <c r="I368" s="11" t="str">
        <f ca="1">BV!BH368</f>
        <v/>
      </c>
      <c r="J368" s="11" t="str">
        <f ca="1">BV!BP368</f>
        <v/>
      </c>
      <c r="K368" s="11" t="str">
        <f ca="1">BV!BX368</f>
        <v/>
      </c>
      <c r="L368" s="271" t="s">
        <v>67</v>
      </c>
      <c r="M368" s="261">
        <v>6.8100449799999999E-4</v>
      </c>
      <c r="N368" s="272">
        <f t="shared" ca="1" si="157"/>
        <v>38.319956710659973</v>
      </c>
      <c r="O368" s="36" t="s">
        <v>388</v>
      </c>
      <c r="P368" s="486">
        <f ca="1">SUMIF(Num!$G$1:$G$199,ASB!$O368,OFFSET(Num!$J$1,0,(COLUMN()-16)*4,200,1))*100</f>
        <v>37.288135593220339</v>
      </c>
      <c r="Q368" s="486">
        <f ca="1">SUMIF(Num!$G$1:$G$199,ASB!$O368,OFFSET(Num!$J$1,0,(COLUMN()-16)*4,200,1))*100</f>
        <v>47.773279352226723</v>
      </c>
      <c r="R368" s="486">
        <f ca="1">SUMIF(Num!$G$1:$G$199,ASB!$O368,OFFSET(Num!$J$1,0,(COLUMN()-16)*4,200,1))*100</f>
        <v>28.169014084507044</v>
      </c>
      <c r="S368" s="486">
        <f ca="1">SUMIF(Num!$G$1:$G$199,ASB!$O368,OFFSET(Num!$J$1,0,(COLUMN()-16)*4,200,1))*100</f>
        <v>0</v>
      </c>
      <c r="T368" s="486">
        <f ca="1">SUMIF(Num!$G$1:$G$199,ASB!$O368,OFFSET(Num!$J$1,0,(COLUMN()-16)*4,200,1))*100</f>
        <v>0</v>
      </c>
      <c r="U368" s="486">
        <f ca="1">SUMIF(Num!$G$1:$G$199,ASB!$O368,OFFSET(Num!$J$1,0,(COLUMN()-16)*4,200,1))*100</f>
        <v>0</v>
      </c>
      <c r="V368" s="486">
        <f ca="1">SUMIF(Num!$G$1:$G$199,ASB!$O368,OFFSET(Num!$J$1,0,(COLUMN()-16)*4,200,1))*100</f>
        <v>0</v>
      </c>
      <c r="W368" s="486">
        <f ca="1">SUMIF(Num!$G$1:$G$199,ASB!$O368,OFFSET(Num!$J$1,0,(COLUMN()-16)*4,200,1))*100</f>
        <v>0</v>
      </c>
      <c r="X368" s="347"/>
      <c r="Y368" s="347"/>
      <c r="Z368" s="344"/>
      <c r="AA368" s="4">
        <v>5</v>
      </c>
      <c r="AB368" s="31">
        <f t="shared" ca="1" si="211"/>
        <v>33.976905177966152</v>
      </c>
      <c r="AC368" s="31" t="s">
        <v>38</v>
      </c>
      <c r="AD368" s="31">
        <f t="shared" ca="1" si="212"/>
        <v>36</v>
      </c>
      <c r="AE368" s="39">
        <f t="shared" ca="1" si="213"/>
        <v>3.0623676363325245</v>
      </c>
      <c r="AF368" s="344"/>
      <c r="AG368" s="344"/>
      <c r="AH368" s="344"/>
      <c r="AI368" s="344"/>
      <c r="AJ368" s="344"/>
      <c r="AK368" s="344"/>
      <c r="AL368" s="315"/>
      <c r="AM368" s="315"/>
      <c r="AN368" s="433">
        <v>226</v>
      </c>
      <c r="AO368" s="659">
        <f ca="1">BV!C368</f>
        <v>86.06</v>
      </c>
      <c r="AP368" s="11">
        <f ca="1">BV!K368</f>
        <v>98.1</v>
      </c>
      <c r="AQ368" s="11" t="str">
        <f ca="1">BV!S368</f>
        <v/>
      </c>
      <c r="AR368" s="11" t="str">
        <f ca="1">BV!AA368</f>
        <v/>
      </c>
      <c r="AS368" s="11" t="str">
        <f ca="1">BV!AI368</f>
        <v/>
      </c>
      <c r="AT368" s="11" t="str">
        <f ca="1">BV!AQ368</f>
        <v/>
      </c>
      <c r="AU368" s="11" t="str">
        <f ca="1">BV!AY368</f>
        <v/>
      </c>
      <c r="AV368" s="11" t="str">
        <f ca="1">BV!BG368</f>
        <v/>
      </c>
      <c r="AW368" s="11" t="str">
        <f ca="1">BV!BO368</f>
        <v/>
      </c>
      <c r="AX368" s="11" t="str">
        <f ca="1">BV!BW368</f>
        <v/>
      </c>
      <c r="AY368" s="271" t="s">
        <v>67</v>
      </c>
      <c r="AZ368" s="274">
        <f t="shared" si="182"/>
        <v>3.1668500195848237</v>
      </c>
      <c r="BA368" s="261">
        <v>6.8100449799999999E-4</v>
      </c>
      <c r="BB368" s="268">
        <v>1.1696266019999997E-2</v>
      </c>
      <c r="BC368" s="268">
        <f t="shared" si="160"/>
        <v>5.8224094496099721E-2</v>
      </c>
      <c r="BD368" s="269">
        <f ca="1">IF(BV!H368="","",INT(NOW()-BV!H368))</f>
        <v>287</v>
      </c>
      <c r="BE368" s="275">
        <f t="shared" si="161"/>
        <v>38.319956710659973</v>
      </c>
      <c r="BF368" s="300">
        <f ca="1">BV!G368</f>
        <v>50.516867611021731</v>
      </c>
      <c r="BG368" s="301">
        <f ca="1">BV!O368</f>
        <v>40.435366322132516</v>
      </c>
      <c r="BH368" s="11" t="str">
        <f ca="1">BV!W368</f>
        <v/>
      </c>
      <c r="BI368" s="11" t="str">
        <f ca="1">BV!AE368</f>
        <v/>
      </c>
      <c r="BJ368" s="11" t="str">
        <f ca="1">BV!AM368</f>
        <v/>
      </c>
      <c r="BK368" s="11" t="str">
        <f ca="1">BV!AU368</f>
        <v/>
      </c>
      <c r="BL368" s="11" t="str">
        <f ca="1">BV!BC368</f>
        <v/>
      </c>
      <c r="BM368" s="11" t="str">
        <f ca="1">BV!BK368</f>
        <v/>
      </c>
      <c r="BN368" s="11" t="str">
        <f ca="1">BV!BS368</f>
        <v/>
      </c>
      <c r="BO368" s="11" t="str">
        <f ca="1">BV!CA368</f>
        <v/>
      </c>
      <c r="BP368" s="433">
        <v>226</v>
      </c>
      <c r="BQ368" s="11">
        <f ca="1">IFERROR(YEAR(OFFSET(BV!$H368,,(COLUMN()-69)*8)),"")</f>
        <v>2020</v>
      </c>
      <c r="BR368" s="11">
        <f ca="1">IFERROR(YEAR(OFFSET(BV!$H368,,(COLUMN()-69)*8)),"")</f>
        <v>2019</v>
      </c>
      <c r="BS368" s="11" t="str">
        <f ca="1">IFERROR(YEAR(OFFSET(BV!$H368,,(COLUMN()-69)*8)),"")</f>
        <v/>
      </c>
      <c r="BT368" s="11" t="str">
        <f ca="1">IFERROR(YEAR(OFFSET(BV!$H368,,(COLUMN()-69)*8)),"")</f>
        <v/>
      </c>
      <c r="BU368" s="11" t="str">
        <f ca="1">IFERROR(YEAR(OFFSET(BV!$H368,,(COLUMN()-69)*8)),"")</f>
        <v/>
      </c>
      <c r="BV368" s="11" t="str">
        <f ca="1">IFERROR(YEAR(OFFSET(BV!$H368,,(COLUMN()-69)*8)),"")</f>
        <v/>
      </c>
      <c r="BW368" s="11" t="str">
        <f ca="1">IFERROR(YEAR(OFFSET(BV!$H368,,(COLUMN()-69)*8)),"")</f>
        <v/>
      </c>
      <c r="BX368" s="11" t="str">
        <f ca="1">IFERROR(YEAR(OFFSET(BV!$H368,,(COLUMN()-69)*8)),"")</f>
        <v/>
      </c>
      <c r="BY368" s="11" t="str">
        <f ca="1">IFERROR(YEAR(OFFSET(BV!$H368,,(COLUMN()-69)*8)),"")</f>
        <v/>
      </c>
      <c r="BZ368" s="11" t="str">
        <f ca="1">IFERROR(YEAR(OFFSET(BV!$H368,,(COLUMN()-69)*8)),"")</f>
        <v/>
      </c>
    </row>
    <row r="369" spans="1:78" x14ac:dyDescent="0.25">
      <c r="A369" s="433">
        <v>227</v>
      </c>
      <c r="B369" s="11" t="str">
        <f ca="1">BV!D369</f>
        <v/>
      </c>
      <c r="C369" s="11" t="str">
        <f ca="1">BV!L369</f>
        <v/>
      </c>
      <c r="D369" s="11" t="str">
        <f ca="1">BV!T369</f>
        <v/>
      </c>
      <c r="E369" s="11" t="str">
        <f ca="1">BV!AB369</f>
        <v/>
      </c>
      <c r="F369" s="11" t="str">
        <f ca="1">BV!AJ369</f>
        <v/>
      </c>
      <c r="G369" s="11" t="str">
        <f ca="1">BV!AR369</f>
        <v/>
      </c>
      <c r="H369" s="11" t="str">
        <f ca="1">BV!AZ369</f>
        <v/>
      </c>
      <c r="I369" s="11" t="str">
        <f ca="1">BV!BH369</f>
        <v/>
      </c>
      <c r="J369" s="11" t="str">
        <f ca="1">BV!BP369</f>
        <v/>
      </c>
      <c r="K369" s="11" t="str">
        <f ca="1">BV!BX369</f>
        <v/>
      </c>
      <c r="L369" s="271" t="s">
        <v>67</v>
      </c>
      <c r="M369" s="261">
        <v>6.0318427799999996E-4</v>
      </c>
      <c r="N369" s="272" t="str">
        <f t="shared" ca="1" si="157"/>
        <v/>
      </c>
      <c r="O369" s="36" t="s">
        <v>389</v>
      </c>
      <c r="P369" s="486">
        <f ca="1">SUMIF(Num!$G$1:$G$199,ASB!$O369,OFFSET(Num!$J$1,0,(COLUMN()-16)*4,200,1))*100</f>
        <v>406.9679849340867</v>
      </c>
      <c r="Q369" s="486">
        <f ca="1">SUMIF(Num!$G$1:$G$199,ASB!$O369,OFFSET(Num!$J$1,0,(COLUMN()-16)*4,200,1))*100</f>
        <v>421.05263157894734</v>
      </c>
      <c r="R369" s="486">
        <f ca="1">SUMIF(Num!$G$1:$G$199,ASB!$O369,OFFSET(Num!$J$1,0,(COLUMN()-16)*4,200,1))*100</f>
        <v>394.71830985915489</v>
      </c>
      <c r="S369" s="486">
        <f ca="1">SUMIF(Num!$G$1:$G$199,ASB!$O369,OFFSET(Num!$J$1,0,(COLUMN()-16)*4,200,1))*100</f>
        <v>0</v>
      </c>
      <c r="T369" s="486">
        <f ca="1">SUMIF(Num!$G$1:$G$199,ASB!$O369,OFFSET(Num!$J$1,0,(COLUMN()-16)*4,200,1))*100</f>
        <v>0</v>
      </c>
      <c r="U369" s="486">
        <f ca="1">SUMIF(Num!$G$1:$G$199,ASB!$O369,OFFSET(Num!$J$1,0,(COLUMN()-16)*4,200,1))*100</f>
        <v>0</v>
      </c>
      <c r="V369" s="486">
        <f ca="1">SUMIF(Num!$G$1:$G$199,ASB!$O369,OFFSET(Num!$J$1,0,(COLUMN()-16)*4,200,1))*100</f>
        <v>0</v>
      </c>
      <c r="W369" s="486">
        <f ca="1">SUMIF(Num!$G$1:$G$199,ASB!$O369,OFFSET(Num!$J$1,0,(COLUMN()-16)*4,200,1))*100</f>
        <v>0</v>
      </c>
      <c r="X369" s="347"/>
      <c r="Y369" s="347"/>
      <c r="Z369" s="344"/>
      <c r="AA369" s="4">
        <v>6</v>
      </c>
      <c r="AB369" s="31">
        <f t="shared" ca="1" si="211"/>
        <v>33.806588117465033</v>
      </c>
      <c r="AC369" s="31" t="s">
        <v>38</v>
      </c>
      <c r="AD369" s="31">
        <f t="shared" ca="1" si="212"/>
        <v>4</v>
      </c>
      <c r="AE369" s="39">
        <f t="shared" ca="1" si="213"/>
        <v>3.0580026848306985</v>
      </c>
      <c r="AF369" s="344"/>
      <c r="AG369" s="344"/>
      <c r="AH369" s="344"/>
      <c r="AI369" s="344"/>
      <c r="AJ369" s="344"/>
      <c r="AK369" s="344"/>
      <c r="AL369" s="315"/>
      <c r="AM369" s="315"/>
      <c r="AN369" s="433">
        <v>227</v>
      </c>
      <c r="AO369" s="11" t="str">
        <f ca="1">BV!C369</f>
        <v/>
      </c>
      <c r="AP369" s="11" t="str">
        <f ca="1">BV!K369</f>
        <v/>
      </c>
      <c r="AQ369" s="11" t="str">
        <f ca="1">BV!S369</f>
        <v/>
      </c>
      <c r="AR369" s="11" t="str">
        <f ca="1">BV!AA369</f>
        <v/>
      </c>
      <c r="AS369" s="11" t="str">
        <f ca="1">BV!AI369</f>
        <v/>
      </c>
      <c r="AT369" s="11" t="str">
        <f ca="1">BV!AQ369</f>
        <v/>
      </c>
      <c r="AU369" s="11" t="str">
        <f ca="1">BV!AY369</f>
        <v/>
      </c>
      <c r="AV369" s="11" t="str">
        <f ca="1">BV!BG369</f>
        <v/>
      </c>
      <c r="AW369" s="11" t="str">
        <f ca="1">BV!BO369</f>
        <v/>
      </c>
      <c r="AX369" s="11" t="str">
        <f ca="1">BV!BW369</f>
        <v/>
      </c>
      <c r="AY369" s="271" t="s">
        <v>67</v>
      </c>
      <c r="AZ369" s="274">
        <f t="shared" si="182"/>
        <v>3.2195499868777211</v>
      </c>
      <c r="BA369" s="261">
        <v>6.0318427799999996E-4</v>
      </c>
      <c r="BB369" s="268">
        <v>1.1696266019999997E-2</v>
      </c>
      <c r="BC369" s="268">
        <f t="shared" si="160"/>
        <v>5.1570670243698866E-2</v>
      </c>
      <c r="BD369" s="269" t="str">
        <f ca="1">IF(BV!H369="","",INT(NOW()-BV!H369))</f>
        <v/>
      </c>
      <c r="BE369" s="275">
        <f t="shared" si="161"/>
        <v>40.716927007067099</v>
      </c>
      <c r="BF369" s="11" t="str">
        <f ca="1">BV!G369</f>
        <v/>
      </c>
      <c r="BG369" s="11" t="str">
        <f ca="1">BV!O369</f>
        <v/>
      </c>
      <c r="BH369" s="11" t="str">
        <f ca="1">BV!W369</f>
        <v/>
      </c>
      <c r="BI369" s="11" t="str">
        <f ca="1">BV!AE369</f>
        <v/>
      </c>
      <c r="BJ369" s="11" t="str">
        <f ca="1">BV!AM369</f>
        <v/>
      </c>
      <c r="BK369" s="11" t="str">
        <f ca="1">BV!AU369</f>
        <v/>
      </c>
      <c r="BL369" s="11" t="str">
        <f ca="1">BV!BC369</f>
        <v/>
      </c>
      <c r="BM369" s="11" t="str">
        <f ca="1">BV!BK369</f>
        <v/>
      </c>
      <c r="BN369" s="11" t="str">
        <f ca="1">BV!BS369</f>
        <v/>
      </c>
      <c r="BO369" s="11" t="str">
        <f ca="1">BV!CA369</f>
        <v/>
      </c>
      <c r="BP369" s="433">
        <v>227</v>
      </c>
      <c r="BQ369" s="11" t="str">
        <f ca="1">IFERROR(YEAR(OFFSET(BV!$H369,,(COLUMN()-69)*8)),"")</f>
        <v/>
      </c>
      <c r="BR369" s="11" t="str">
        <f ca="1">IFERROR(YEAR(OFFSET(BV!$H369,,(COLUMN()-69)*8)),"")</f>
        <v/>
      </c>
      <c r="BS369" s="11" t="str">
        <f ca="1">IFERROR(YEAR(OFFSET(BV!$H369,,(COLUMN()-69)*8)),"")</f>
        <v/>
      </c>
      <c r="BT369" s="11" t="str">
        <f ca="1">IFERROR(YEAR(OFFSET(BV!$H369,,(COLUMN()-69)*8)),"")</f>
        <v/>
      </c>
      <c r="BU369" s="11" t="str">
        <f ca="1">IFERROR(YEAR(OFFSET(BV!$H369,,(COLUMN()-69)*8)),"")</f>
        <v/>
      </c>
      <c r="BV369" s="11" t="str">
        <f ca="1">IFERROR(YEAR(OFFSET(BV!$H369,,(COLUMN()-69)*8)),"")</f>
        <v/>
      </c>
      <c r="BW369" s="11" t="str">
        <f ca="1">IFERROR(YEAR(OFFSET(BV!$H369,,(COLUMN()-69)*8)),"")</f>
        <v/>
      </c>
      <c r="BX369" s="11" t="str">
        <f ca="1">IFERROR(YEAR(OFFSET(BV!$H369,,(COLUMN()-69)*8)),"")</f>
        <v/>
      </c>
      <c r="BY369" s="11" t="str">
        <f ca="1">IFERROR(YEAR(OFFSET(BV!$H369,,(COLUMN()-69)*8)),"")</f>
        <v/>
      </c>
      <c r="BZ369" s="11" t="str">
        <f ca="1">IFERROR(YEAR(OFFSET(BV!$H369,,(COLUMN()-69)*8)),"")</f>
        <v/>
      </c>
    </row>
    <row r="370" spans="1:78" x14ac:dyDescent="0.25">
      <c r="A370" s="433">
        <v>228</v>
      </c>
      <c r="B370" s="298">
        <f ca="1">BV!D370</f>
        <v>2.5168340876476432</v>
      </c>
      <c r="C370" s="11" t="str">
        <f ca="1">BV!L370</f>
        <v/>
      </c>
      <c r="D370" s="11" t="str">
        <f ca="1">BV!T370</f>
        <v/>
      </c>
      <c r="E370" s="11" t="str">
        <f ca="1">BV!AB370</f>
        <v/>
      </c>
      <c r="F370" s="11" t="str">
        <f ca="1">BV!AJ370</f>
        <v/>
      </c>
      <c r="G370" s="11" t="str">
        <f ca="1">BV!AR370</f>
        <v/>
      </c>
      <c r="H370" s="11" t="str">
        <f ca="1">BV!AZ370</f>
        <v/>
      </c>
      <c r="I370" s="11" t="str">
        <f ca="1">BV!BH370</f>
        <v/>
      </c>
      <c r="J370" s="11" t="str">
        <f ca="1">BV!BP370</f>
        <v/>
      </c>
      <c r="K370" s="11" t="str">
        <f ca="1">BV!BX370</f>
        <v/>
      </c>
      <c r="L370" s="271" t="s">
        <v>67</v>
      </c>
      <c r="M370" s="261">
        <v>5.3320116399999996E-4</v>
      </c>
      <c r="N370" s="272">
        <f t="shared" ref="N370:N430" ca="1" si="214">IF(B370&lt;&gt;"",(1/M370)^0.5,"")</f>
        <v>43.306636592921656</v>
      </c>
      <c r="O370" s="36" t="s">
        <v>390</v>
      </c>
      <c r="P370" s="486">
        <f ca="1">SUMIF(Num!$G$1:$G$199,ASB!$O370,OFFSET(Num!$J$1,0,(COLUMN()-16)*4,200,1))*100</f>
        <v>139.73634651600753</v>
      </c>
      <c r="Q370" s="486">
        <f ca="1">SUMIF(Num!$G$1:$G$199,ASB!$O370,OFFSET(Num!$J$1,0,(COLUMN()-16)*4,200,1))*100</f>
        <v>161.94331983805668</v>
      </c>
      <c r="R370" s="486">
        <f ca="1">SUMIF(Num!$G$1:$G$199,ASB!$O370,OFFSET(Num!$J$1,0,(COLUMN()-16)*4,200,1))*100</f>
        <v>120.4225352112676</v>
      </c>
      <c r="S370" s="486">
        <f ca="1">SUMIF(Num!$G$1:$G$199,ASB!$O370,OFFSET(Num!$J$1,0,(COLUMN()-16)*4,200,1))*100</f>
        <v>0</v>
      </c>
      <c r="T370" s="486">
        <f ca="1">SUMIF(Num!$G$1:$G$199,ASB!$O370,OFFSET(Num!$J$1,0,(COLUMN()-16)*4,200,1))*100</f>
        <v>0</v>
      </c>
      <c r="U370" s="486">
        <f ca="1">SUMIF(Num!$G$1:$G$199,ASB!$O370,OFFSET(Num!$J$1,0,(COLUMN()-16)*4,200,1))*100</f>
        <v>0</v>
      </c>
      <c r="V370" s="486">
        <f ca="1">SUMIF(Num!$G$1:$G$199,ASB!$O370,OFFSET(Num!$J$1,0,(COLUMN()-16)*4,200,1))*100</f>
        <v>0</v>
      </c>
      <c r="W370" s="486">
        <f ca="1">SUMIF(Num!$G$1:$G$199,ASB!$O370,OFFSET(Num!$J$1,0,(COLUMN()-16)*4,200,1))*100</f>
        <v>0</v>
      </c>
      <c r="X370" s="347"/>
      <c r="Y370" s="347"/>
      <c r="Z370" s="344"/>
      <c r="AA370" s="4">
        <v>7</v>
      </c>
      <c r="AB370" s="31">
        <f t="shared" ca="1" si="211"/>
        <v>27.026561946218347</v>
      </c>
      <c r="AC370" s="31" t="s">
        <v>38</v>
      </c>
      <c r="AD370" s="31">
        <f t="shared" ca="1" si="212"/>
        <v>35</v>
      </c>
      <c r="AE370" s="39">
        <f t="shared" ca="1" si="213"/>
        <v>2.8635816050672727</v>
      </c>
      <c r="AF370" s="344"/>
      <c r="AG370" s="344"/>
      <c r="AH370" s="344"/>
      <c r="AI370" s="344"/>
      <c r="AJ370" s="344"/>
      <c r="AK370" s="344"/>
      <c r="AL370" s="315"/>
      <c r="AM370" s="315"/>
      <c r="AN370" s="433">
        <v>228</v>
      </c>
      <c r="AO370" s="11">
        <f ca="1">BV!C370</f>
        <v>90.59</v>
      </c>
      <c r="AP370" s="11" t="str">
        <f ca="1">BV!K370</f>
        <v/>
      </c>
      <c r="AQ370" s="11" t="str">
        <f ca="1">BV!S370</f>
        <v/>
      </c>
      <c r="AR370" s="11" t="str">
        <f ca="1">BV!AA370</f>
        <v/>
      </c>
      <c r="AS370" s="11" t="str">
        <f ca="1">BV!AI370</f>
        <v/>
      </c>
      <c r="AT370" s="11" t="str">
        <f ca="1">BV!AQ370</f>
        <v/>
      </c>
      <c r="AU370" s="11" t="str">
        <f ca="1">BV!AY370</f>
        <v/>
      </c>
      <c r="AV370" s="11" t="str">
        <f ca="1">BV!BG370</f>
        <v/>
      </c>
      <c r="AW370" s="11" t="str">
        <f ca="1">BV!BO370</f>
        <v/>
      </c>
      <c r="AX370" s="11" t="str">
        <f ca="1">BV!BW370</f>
        <v/>
      </c>
      <c r="AY370" s="271" t="s">
        <v>67</v>
      </c>
      <c r="AZ370" s="274">
        <f t="shared" ref="AZ370:AZ401" si="215">0-LOG10(M370)</f>
        <v>3.2731089111744853</v>
      </c>
      <c r="BA370" s="261">
        <v>5.3320116399999996E-4</v>
      </c>
      <c r="BB370" s="268">
        <v>1.1696266019999997E-2</v>
      </c>
      <c r="BC370" s="268">
        <f t="shared" ref="BC370:BC430" si="216">BA370/BB370</f>
        <v>4.5587297953744735E-2</v>
      </c>
      <c r="BD370" s="269">
        <f ca="1">IF(BV!H370="","",INT(NOW()-BV!H370))</f>
        <v>246</v>
      </c>
      <c r="BE370" s="275">
        <f t="shared" ref="BE370:BE430" si="217">1/M370^0.5</f>
        <v>43.306636592921656</v>
      </c>
      <c r="BF370" s="301">
        <f ca="1">BV!G370</f>
        <v>46.707719230627681</v>
      </c>
      <c r="BG370" s="11" t="str">
        <f ca="1">BV!O370</f>
        <v/>
      </c>
      <c r="BH370" s="11" t="str">
        <f ca="1">BV!W370</f>
        <v/>
      </c>
      <c r="BI370" s="11" t="str">
        <f ca="1">BV!AE370</f>
        <v/>
      </c>
      <c r="BJ370" s="11" t="str">
        <f ca="1">BV!AM370</f>
        <v/>
      </c>
      <c r="BK370" s="11" t="str">
        <f ca="1">BV!AU370</f>
        <v/>
      </c>
      <c r="BL370" s="11" t="str">
        <f ca="1">BV!BC370</f>
        <v/>
      </c>
      <c r="BM370" s="11" t="str">
        <f ca="1">BV!BK370</f>
        <v/>
      </c>
      <c r="BN370" s="11" t="str">
        <f ca="1">BV!BS370</f>
        <v/>
      </c>
      <c r="BO370" s="11" t="str">
        <f ca="1">BV!CA370</f>
        <v/>
      </c>
      <c r="BP370" s="433">
        <v>228</v>
      </c>
      <c r="BQ370" s="11">
        <f ca="1">IFERROR(YEAR(OFFSET(BV!$H370,,(COLUMN()-69)*8)),"")</f>
        <v>2020</v>
      </c>
      <c r="BR370" s="11" t="str">
        <f ca="1">IFERROR(YEAR(OFFSET(BV!$H370,,(COLUMN()-69)*8)),"")</f>
        <v/>
      </c>
      <c r="BS370" s="11" t="str">
        <f ca="1">IFERROR(YEAR(OFFSET(BV!$H370,,(COLUMN()-69)*8)),"")</f>
        <v/>
      </c>
      <c r="BT370" s="11" t="str">
        <f ca="1">IFERROR(YEAR(OFFSET(BV!$H370,,(COLUMN()-69)*8)),"")</f>
        <v/>
      </c>
      <c r="BU370" s="11" t="str">
        <f ca="1">IFERROR(YEAR(OFFSET(BV!$H370,,(COLUMN()-69)*8)),"")</f>
        <v/>
      </c>
      <c r="BV370" s="11" t="str">
        <f ca="1">IFERROR(YEAR(OFFSET(BV!$H370,,(COLUMN()-69)*8)),"")</f>
        <v/>
      </c>
      <c r="BW370" s="11" t="str">
        <f ca="1">IFERROR(YEAR(OFFSET(BV!$H370,,(COLUMN()-69)*8)),"")</f>
        <v/>
      </c>
      <c r="BX370" s="11" t="str">
        <f ca="1">IFERROR(YEAR(OFFSET(BV!$H370,,(COLUMN()-69)*8)),"")</f>
        <v/>
      </c>
      <c r="BY370" s="11" t="str">
        <f ca="1">IFERROR(YEAR(OFFSET(BV!$H370,,(COLUMN()-69)*8)),"")</f>
        <v/>
      </c>
      <c r="BZ370" s="11" t="str">
        <f ca="1">IFERROR(YEAR(OFFSET(BV!$H370,,(COLUMN()-69)*8)),"")</f>
        <v/>
      </c>
    </row>
    <row r="371" spans="1:78" x14ac:dyDescent="0.25">
      <c r="A371" s="433">
        <v>229</v>
      </c>
      <c r="B371" s="11" t="str">
        <f ca="1">BV!D371</f>
        <v/>
      </c>
      <c r="C371" s="11" t="str">
        <f ca="1">BV!L371</f>
        <v/>
      </c>
      <c r="D371" s="11" t="str">
        <f ca="1">BV!T371</f>
        <v/>
      </c>
      <c r="E371" s="11" t="str">
        <f ca="1">BV!AB371</f>
        <v/>
      </c>
      <c r="F371" s="11" t="str">
        <f ca="1">BV!AJ371</f>
        <v/>
      </c>
      <c r="G371" s="11" t="str">
        <f ca="1">BV!AR371</f>
        <v/>
      </c>
      <c r="H371" s="11" t="str">
        <f ca="1">BV!AZ371</f>
        <v/>
      </c>
      <c r="I371" s="11" t="str">
        <f ca="1">BV!BH371</f>
        <v/>
      </c>
      <c r="J371" s="11" t="str">
        <f ca="1">BV!BP371</f>
        <v/>
      </c>
      <c r="K371" s="11" t="str">
        <f ca="1">BV!BX371</f>
        <v/>
      </c>
      <c r="L371" s="271" t="s">
        <v>67</v>
      </c>
      <c r="M371" s="261">
        <v>4.7045345499999999E-4</v>
      </c>
      <c r="N371" s="272" t="str">
        <f t="shared" ca="1" si="214"/>
        <v/>
      </c>
      <c r="O371" s="24" t="s">
        <v>391</v>
      </c>
      <c r="P371" s="486">
        <f ca="1">SUMIF(Num!$G$1:$G$199,ASB!$O371,OFFSET(Num!$J$1,0,(COLUMN()-16)*4,200,1))*100</f>
        <v>99.035679845708785</v>
      </c>
      <c r="Q371" s="486">
        <f ca="1">SUMIF(Num!$G$1:$G$199,ASB!$O371,OFFSET(Num!$J$1,0,(COLUMN()-16)*4,200,1))*100</f>
        <v>128.18181818181819</v>
      </c>
      <c r="R371" s="486">
        <f ca="1">SUMIF(Num!$G$1:$G$199,ASB!$O371,OFFSET(Num!$J$1,0,(COLUMN()-16)*4,200,1))*100</f>
        <v>14.981273408239698</v>
      </c>
      <c r="S371" s="486">
        <f ca="1">SUMIF(Num!$G$1:$G$199,ASB!$O371,OFFSET(Num!$J$1,0,(COLUMN()-16)*4,200,1))*100</f>
        <v>0</v>
      </c>
      <c r="T371" s="486">
        <f ca="1">SUMIF(Num!$G$1:$G$199,ASB!$O371,OFFSET(Num!$J$1,0,(COLUMN()-16)*4,200,1))*100</f>
        <v>0</v>
      </c>
      <c r="U371" s="486">
        <f ca="1">SUMIF(Num!$G$1:$G$199,ASB!$O371,OFFSET(Num!$J$1,0,(COLUMN()-16)*4,200,1))*100</f>
        <v>0</v>
      </c>
      <c r="V371" s="486">
        <f ca="1">SUMIF(Num!$G$1:$G$199,ASB!$O371,OFFSET(Num!$J$1,0,(COLUMN()-16)*4,200,1))*100</f>
        <v>0</v>
      </c>
      <c r="W371" s="486">
        <f ca="1">SUMIF(Num!$G$1:$G$199,ASB!$O371,OFFSET(Num!$J$1,0,(COLUMN()-16)*4,200,1))*100</f>
        <v>0</v>
      </c>
      <c r="X371" s="347"/>
      <c r="Y371" s="347"/>
      <c r="Z371" s="344"/>
      <c r="AA371" s="4">
        <v>8</v>
      </c>
      <c r="AB371" s="31">
        <f t="shared" ca="1" si="211"/>
        <v>24.105549398445056</v>
      </c>
      <c r="AC371" s="31" t="s">
        <v>38</v>
      </c>
      <c r="AD371" s="31">
        <f t="shared" ca="1" si="212"/>
        <v>34</v>
      </c>
      <c r="AE371" s="39">
        <f t="shared" ca="1" si="213"/>
        <v>2.7642340681942859</v>
      </c>
      <c r="AF371" s="344"/>
      <c r="AG371" s="344"/>
      <c r="AH371" s="344"/>
      <c r="AI371" s="344"/>
      <c r="AJ371" s="344"/>
      <c r="AK371" s="344"/>
      <c r="AL371" s="315"/>
      <c r="AM371" s="315"/>
      <c r="AN371" s="433">
        <v>229</v>
      </c>
      <c r="AO371" s="11" t="str">
        <f ca="1">BV!C371</f>
        <v/>
      </c>
      <c r="AP371" s="11" t="str">
        <f ca="1">BV!K371</f>
        <v/>
      </c>
      <c r="AQ371" s="11" t="str">
        <f ca="1">BV!S371</f>
        <v/>
      </c>
      <c r="AR371" s="11" t="str">
        <f ca="1">BV!AA371</f>
        <v/>
      </c>
      <c r="AS371" s="11" t="str">
        <f ca="1">BV!AI371</f>
        <v/>
      </c>
      <c r="AT371" s="11" t="str">
        <f ca="1">BV!AQ371</f>
        <v/>
      </c>
      <c r="AU371" s="11" t="str">
        <f ca="1">BV!AY371</f>
        <v/>
      </c>
      <c r="AV371" s="11" t="str">
        <f ca="1">BV!BG371</f>
        <v/>
      </c>
      <c r="AW371" s="11" t="str">
        <f ca="1">BV!BO371</f>
        <v/>
      </c>
      <c r="AX371" s="11" t="str">
        <f ca="1">BV!BW371</f>
        <v/>
      </c>
      <c r="AY371" s="271" t="s">
        <v>67</v>
      </c>
      <c r="AZ371" s="274">
        <f t="shared" si="215"/>
        <v>3.3274833376704964</v>
      </c>
      <c r="BA371" s="261">
        <v>4.7045345499999999E-4</v>
      </c>
      <c r="BB371" s="268">
        <v>1.1696266019999997E-2</v>
      </c>
      <c r="BC371" s="268">
        <f t="shared" si="216"/>
        <v>4.0222533772363712E-2</v>
      </c>
      <c r="BD371" s="269" t="str">
        <f ca="1">IF(BV!H371="","",INT(NOW()-BV!H371))</f>
        <v/>
      </c>
      <c r="BE371" s="275">
        <f t="shared" si="217"/>
        <v>46.104325085923271</v>
      </c>
      <c r="BF371" s="11" t="str">
        <f ca="1">BV!G371</f>
        <v/>
      </c>
      <c r="BG371" s="11" t="str">
        <f ca="1">BV!O371</f>
        <v/>
      </c>
      <c r="BH371" s="11" t="str">
        <f ca="1">BV!W371</f>
        <v/>
      </c>
      <c r="BI371" s="11" t="str">
        <f ca="1">BV!AE371</f>
        <v/>
      </c>
      <c r="BJ371" s="11" t="str">
        <f ca="1">BV!AM371</f>
        <v/>
      </c>
      <c r="BK371" s="11" t="str">
        <f ca="1">BV!AU371</f>
        <v/>
      </c>
      <c r="BL371" s="11" t="str">
        <f ca="1">BV!BC371</f>
        <v/>
      </c>
      <c r="BM371" s="11" t="str">
        <f ca="1">BV!BK371</f>
        <v/>
      </c>
      <c r="BN371" s="11" t="str">
        <f ca="1">BV!BS371</f>
        <v/>
      </c>
      <c r="BO371" s="11" t="str">
        <f ca="1">BV!CA371</f>
        <v/>
      </c>
      <c r="BP371" s="433">
        <v>229</v>
      </c>
      <c r="BQ371" s="11" t="str">
        <f ca="1">IFERROR(YEAR(OFFSET(BV!$H371,,(COLUMN()-69)*8)),"")</f>
        <v/>
      </c>
      <c r="BR371" s="11" t="str">
        <f ca="1">IFERROR(YEAR(OFFSET(BV!$H371,,(COLUMN()-69)*8)),"")</f>
        <v/>
      </c>
      <c r="BS371" s="11" t="str">
        <f ca="1">IFERROR(YEAR(OFFSET(BV!$H371,,(COLUMN()-69)*8)),"")</f>
        <v/>
      </c>
      <c r="BT371" s="11" t="str">
        <f ca="1">IFERROR(YEAR(OFFSET(BV!$H371,,(COLUMN()-69)*8)),"")</f>
        <v/>
      </c>
      <c r="BU371" s="11" t="str">
        <f ca="1">IFERROR(YEAR(OFFSET(BV!$H371,,(COLUMN()-69)*8)),"")</f>
        <v/>
      </c>
      <c r="BV371" s="11" t="str">
        <f ca="1">IFERROR(YEAR(OFFSET(BV!$H371,,(COLUMN()-69)*8)),"")</f>
        <v/>
      </c>
      <c r="BW371" s="11" t="str">
        <f ca="1">IFERROR(YEAR(OFFSET(BV!$H371,,(COLUMN()-69)*8)),"")</f>
        <v/>
      </c>
      <c r="BX371" s="11" t="str">
        <f ca="1">IFERROR(YEAR(OFFSET(BV!$H371,,(COLUMN()-69)*8)),"")</f>
        <v/>
      </c>
      <c r="BY371" s="11" t="str">
        <f ca="1">IFERROR(YEAR(OFFSET(BV!$H371,,(COLUMN()-69)*8)),"")</f>
        <v/>
      </c>
      <c r="BZ371" s="11" t="str">
        <f ca="1">IFERROR(YEAR(OFFSET(BV!$H371,,(COLUMN()-69)*8)),"")</f>
        <v/>
      </c>
    </row>
    <row r="372" spans="1:78" x14ac:dyDescent="0.25">
      <c r="A372" s="433">
        <v>230</v>
      </c>
      <c r="B372" s="11" t="str">
        <f ca="1">BV!D372</f>
        <v/>
      </c>
      <c r="C372" s="11" t="str">
        <f ca="1">BV!L372</f>
        <v/>
      </c>
      <c r="D372" s="11" t="str">
        <f ca="1">BV!T372</f>
        <v/>
      </c>
      <c r="E372" s="11" t="str">
        <f ca="1">BV!AB372</f>
        <v/>
      </c>
      <c r="F372" s="11" t="str">
        <f ca="1">BV!AJ372</f>
        <v/>
      </c>
      <c r="G372" s="11" t="str">
        <f ca="1">BV!AR372</f>
        <v/>
      </c>
      <c r="H372" s="11" t="str">
        <f ca="1">BV!AZ372</f>
        <v/>
      </c>
      <c r="I372" s="11" t="str">
        <f ca="1">BV!BH372</f>
        <v/>
      </c>
      <c r="J372" s="11" t="str">
        <f ca="1">BV!BP372</f>
        <v/>
      </c>
      <c r="K372" s="11" t="str">
        <f ca="1">BV!BX372</f>
        <v/>
      </c>
      <c r="L372" s="271" t="s">
        <v>67</v>
      </c>
      <c r="M372" s="261">
        <v>4.1428479600000002E-4</v>
      </c>
      <c r="N372" s="272" t="str">
        <f t="shared" ca="1" si="214"/>
        <v/>
      </c>
      <c r="O372" s="24" t="s">
        <v>392</v>
      </c>
      <c r="P372" s="486">
        <f ca="1">SUMIF(Num!$G$1:$G$199,ASB!$O372,OFFSET(Num!$J$1,0,(COLUMN()-16)*4,200,1))*100</f>
        <v>297.58919961427193</v>
      </c>
      <c r="Q372" s="486">
        <f ca="1">SUMIF(Num!$G$1:$G$199,ASB!$O372,OFFSET(Num!$J$1,0,(COLUMN()-16)*4,200,1))*100</f>
        <v>334.41558441558442</v>
      </c>
      <c r="R372" s="486">
        <f ca="1">SUMIF(Num!$G$1:$G$199,ASB!$O372,OFFSET(Num!$J$1,0,(COLUMN()-16)*4,200,1))*100</f>
        <v>191.38576779026218</v>
      </c>
      <c r="S372" s="486">
        <f ca="1">SUMIF(Num!$G$1:$G$199,ASB!$O372,OFFSET(Num!$J$1,0,(COLUMN()-16)*4,200,1))*100</f>
        <v>0</v>
      </c>
      <c r="T372" s="486">
        <f ca="1">SUMIF(Num!$G$1:$G$199,ASB!$O372,OFFSET(Num!$J$1,0,(COLUMN()-16)*4,200,1))*100</f>
        <v>0</v>
      </c>
      <c r="U372" s="486">
        <f ca="1">SUMIF(Num!$G$1:$G$199,ASB!$O372,OFFSET(Num!$J$1,0,(COLUMN()-16)*4,200,1))*100</f>
        <v>0</v>
      </c>
      <c r="V372" s="486">
        <f ca="1">SUMIF(Num!$G$1:$G$199,ASB!$O372,OFFSET(Num!$J$1,0,(COLUMN()-16)*4,200,1))*100</f>
        <v>0</v>
      </c>
      <c r="W372" s="486">
        <f ca="1">SUMIF(Num!$G$1:$G$199,ASB!$O372,OFFSET(Num!$J$1,0,(COLUMN()-16)*4,200,1))*100</f>
        <v>0</v>
      </c>
      <c r="X372" s="347"/>
      <c r="Y372" s="347"/>
      <c r="Z372" s="344"/>
      <c r="AA372" s="4">
        <v>1</v>
      </c>
      <c r="AB372" s="36">
        <f ca="1">LARGE($N$55:$N$167,AA372)</f>
        <v>97.869839252638386</v>
      </c>
      <c r="AC372" s="36" t="s">
        <v>39</v>
      </c>
      <c r="AD372" s="36">
        <f ca="1">MATCH(AB372,$N$55:$N$167,0)+29</f>
        <v>30</v>
      </c>
      <c r="AE372" s="39">
        <f t="shared" ca="1" si="213"/>
        <v>3.9812977500156701</v>
      </c>
      <c r="AF372" s="344"/>
      <c r="AG372" s="344"/>
      <c r="AH372" s="344"/>
      <c r="AI372" s="344"/>
      <c r="AJ372" s="344"/>
      <c r="AK372" s="344"/>
      <c r="AL372" s="315"/>
      <c r="AM372" s="315"/>
      <c r="AN372" s="433">
        <v>230</v>
      </c>
      <c r="AO372" s="11" t="str">
        <f ca="1">BV!C372</f>
        <v/>
      </c>
      <c r="AP372" s="11" t="str">
        <f ca="1">BV!K372</f>
        <v/>
      </c>
      <c r="AQ372" s="11" t="str">
        <f ca="1">BV!S372</f>
        <v/>
      </c>
      <c r="AR372" s="11" t="str">
        <f ca="1">BV!AA372</f>
        <v/>
      </c>
      <c r="AS372" s="11" t="str">
        <f ca="1">BV!AI372</f>
        <v/>
      </c>
      <c r="AT372" s="11" t="str">
        <f ca="1">BV!AQ372</f>
        <v/>
      </c>
      <c r="AU372" s="11" t="str">
        <f ca="1">BV!AY372</f>
        <v/>
      </c>
      <c r="AV372" s="11" t="str">
        <f ca="1">BV!BG372</f>
        <v/>
      </c>
      <c r="AW372" s="11" t="str">
        <f ca="1">BV!BO372</f>
        <v/>
      </c>
      <c r="AX372" s="11" t="str">
        <f ca="1">BV!BW372</f>
        <v/>
      </c>
      <c r="AY372" s="271" t="s">
        <v>67</v>
      </c>
      <c r="AZ372" s="274">
        <f t="shared" si="215"/>
        <v>3.3827010047525503</v>
      </c>
      <c r="BA372" s="261">
        <v>4.1428479600000002E-4</v>
      </c>
      <c r="BB372" s="268">
        <v>1.1696266019999997E-2</v>
      </c>
      <c r="BC372" s="268">
        <f t="shared" si="216"/>
        <v>3.5420261072345222E-2</v>
      </c>
      <c r="BD372" s="269" t="str">
        <f ca="1">IF(BV!H372="","",INT(NOW()-BV!H372))</f>
        <v/>
      </c>
      <c r="BE372" s="275">
        <f t="shared" si="217"/>
        <v>49.130422894143706</v>
      </c>
      <c r="BF372" s="11" t="str">
        <f ca="1">BV!G372</f>
        <v/>
      </c>
      <c r="BG372" s="11" t="str">
        <f ca="1">BV!O372</f>
        <v/>
      </c>
      <c r="BH372" s="11" t="str">
        <f ca="1">BV!W372</f>
        <v/>
      </c>
      <c r="BI372" s="11" t="str">
        <f ca="1">BV!AE372</f>
        <v/>
      </c>
      <c r="BJ372" s="11" t="str">
        <f ca="1">BV!AM372</f>
        <v/>
      </c>
      <c r="BK372" s="11" t="str">
        <f ca="1">BV!AU372</f>
        <v/>
      </c>
      <c r="BL372" s="11" t="str">
        <f ca="1">BV!BC372</f>
        <v/>
      </c>
      <c r="BM372" s="11" t="str">
        <f ca="1">BV!BK372</f>
        <v/>
      </c>
      <c r="BN372" s="11" t="str">
        <f ca="1">BV!BS372</f>
        <v/>
      </c>
      <c r="BO372" s="11" t="str">
        <f ca="1">BV!CA372</f>
        <v/>
      </c>
      <c r="BP372" s="433">
        <v>230</v>
      </c>
      <c r="BQ372" s="11" t="str">
        <f ca="1">IFERROR(YEAR(OFFSET(BV!$H372,,(COLUMN()-69)*8)),"")</f>
        <v/>
      </c>
      <c r="BR372" s="11" t="str">
        <f ca="1">IFERROR(YEAR(OFFSET(BV!$H372,,(COLUMN()-69)*8)),"")</f>
        <v/>
      </c>
      <c r="BS372" s="11" t="str">
        <f ca="1">IFERROR(YEAR(OFFSET(BV!$H372,,(COLUMN()-69)*8)),"")</f>
        <v/>
      </c>
      <c r="BT372" s="11" t="str">
        <f ca="1">IFERROR(YEAR(OFFSET(BV!$H372,,(COLUMN()-69)*8)),"")</f>
        <v/>
      </c>
      <c r="BU372" s="11" t="str">
        <f ca="1">IFERROR(YEAR(OFFSET(BV!$H372,,(COLUMN()-69)*8)),"")</f>
        <v/>
      </c>
      <c r="BV372" s="11" t="str">
        <f ca="1">IFERROR(YEAR(OFFSET(BV!$H372,,(COLUMN()-69)*8)),"")</f>
        <v/>
      </c>
      <c r="BW372" s="11" t="str">
        <f ca="1">IFERROR(YEAR(OFFSET(BV!$H372,,(COLUMN()-69)*8)),"")</f>
        <v/>
      </c>
      <c r="BX372" s="11" t="str">
        <f ca="1">IFERROR(YEAR(OFFSET(BV!$H372,,(COLUMN()-69)*8)),"")</f>
        <v/>
      </c>
      <c r="BY372" s="11" t="str">
        <f ca="1">IFERROR(YEAR(OFFSET(BV!$H372,,(COLUMN()-69)*8)),"")</f>
        <v/>
      </c>
      <c r="BZ372" s="11" t="str">
        <f ca="1">IFERROR(YEAR(OFFSET(BV!$H372,,(COLUMN()-69)*8)),"")</f>
        <v/>
      </c>
    </row>
    <row r="373" spans="1:78" x14ac:dyDescent="0.25">
      <c r="A373" s="433">
        <v>231</v>
      </c>
      <c r="B373" s="11" t="str">
        <f ca="1">BV!D373</f>
        <v/>
      </c>
      <c r="C373" s="11" t="str">
        <f ca="1">BV!L373</f>
        <v/>
      </c>
      <c r="D373" s="11" t="str">
        <f ca="1">BV!T373</f>
        <v/>
      </c>
      <c r="E373" s="11" t="str">
        <f ca="1">BV!AB373</f>
        <v/>
      </c>
      <c r="F373" s="11" t="str">
        <f ca="1">BV!AJ373</f>
        <v/>
      </c>
      <c r="G373" s="11" t="str">
        <f ca="1">BV!AR373</f>
        <v/>
      </c>
      <c r="H373" s="11" t="str">
        <f ca="1">BV!AZ373</f>
        <v/>
      </c>
      <c r="I373" s="11" t="str">
        <f ca="1">BV!BH373</f>
        <v/>
      </c>
      <c r="J373" s="11" t="str">
        <f ca="1">BV!BP373</f>
        <v/>
      </c>
      <c r="K373" s="11" t="str">
        <f ca="1">BV!BX373</f>
        <v/>
      </c>
      <c r="L373" s="271" t="s">
        <v>67</v>
      </c>
      <c r="M373" s="261">
        <v>3.6413191100000001E-4</v>
      </c>
      <c r="N373" s="272" t="str">
        <f t="shared" ca="1" si="214"/>
        <v/>
      </c>
      <c r="O373" s="24" t="s">
        <v>393</v>
      </c>
      <c r="P373" s="21">
        <f ca="1">SUMIF(Num!$G$1:$G$199,ASB!$O373,OFFSET(Num!$J$1,0,(COLUMN()-16)*4,200,1))*100</f>
        <v>437.1263259402121</v>
      </c>
      <c r="Q373" s="21">
        <f ca="1">SUMIF(Num!$G$1:$G$199,ASB!$O373,OFFSET(Num!$J$1,0,(COLUMN()-16)*4,200,1))*100</f>
        <v>496.23376623376629</v>
      </c>
      <c r="R373" s="21">
        <f ca="1">SUMIF(Num!$G$1:$G$199,ASB!$O373,OFFSET(Num!$J$1,0,(COLUMN()-16)*4,200,1))*100</f>
        <v>266.66666666666663</v>
      </c>
      <c r="S373" s="21">
        <f ca="1">SUMIF(Num!$G$1:$G$199,ASB!$O373,OFFSET(Num!$J$1,0,(COLUMN()-16)*4,200,1))*100</f>
        <v>0</v>
      </c>
      <c r="T373" s="21">
        <f ca="1">SUMIF(Num!$G$1:$G$199,ASB!$O373,OFFSET(Num!$J$1,0,(COLUMN()-16)*4,200,1))*100</f>
        <v>0</v>
      </c>
      <c r="U373" s="21">
        <f ca="1">SUMIF(Num!$G$1:$G$199,ASB!$O373,OFFSET(Num!$J$1,0,(COLUMN()-16)*4,200,1))*100</f>
        <v>0</v>
      </c>
      <c r="V373" s="21">
        <f ca="1">SUMIF(Num!$G$1:$G$199,ASB!$O373,OFFSET(Num!$J$1,0,(COLUMN()-16)*4,200,1))*100</f>
        <v>0</v>
      </c>
      <c r="W373" s="21">
        <f ca="1">SUMIF(Num!$G$1:$G$199,ASB!$O373,OFFSET(Num!$J$1,0,(COLUMN()-16)*4,200,1))*100</f>
        <v>0</v>
      </c>
      <c r="X373" s="347"/>
      <c r="Y373" s="347"/>
      <c r="Z373" s="344"/>
      <c r="AA373" s="4">
        <v>2</v>
      </c>
      <c r="AB373" s="36">
        <f t="shared" ref="AB373:AB379" ca="1" si="218">LARGE($N$55:$N$167,AA373)</f>
        <v>38.347437303000333</v>
      </c>
      <c r="AC373" s="36" t="s">
        <v>39</v>
      </c>
      <c r="AD373" s="36">
        <f t="shared" ref="AD373:AD379" ca="1" si="219">MATCH(AB373,$N$55:$N$167,0)+29</f>
        <v>35</v>
      </c>
      <c r="AE373" s="39">
        <f t="shared" ca="1" si="213"/>
        <v>3.1674726921186962</v>
      </c>
      <c r="AF373" s="344"/>
      <c r="AG373" s="344"/>
      <c r="AH373" s="344"/>
      <c r="AI373" s="344"/>
      <c r="AJ373" s="344"/>
      <c r="AK373" s="344"/>
      <c r="AL373" s="315"/>
      <c r="AM373" s="315"/>
      <c r="AN373" s="433">
        <v>231</v>
      </c>
      <c r="AO373" s="11" t="str">
        <f ca="1">BV!C373</f>
        <v/>
      </c>
      <c r="AP373" s="11" t="str">
        <f ca="1">BV!K373</f>
        <v/>
      </c>
      <c r="AQ373" s="11" t="str">
        <f ca="1">BV!S373</f>
        <v/>
      </c>
      <c r="AR373" s="11" t="str">
        <f ca="1">BV!AA373</f>
        <v/>
      </c>
      <c r="AS373" s="11" t="str">
        <f ca="1">BV!AI373</f>
        <v/>
      </c>
      <c r="AT373" s="11" t="str">
        <f ca="1">BV!AQ373</f>
        <v/>
      </c>
      <c r="AU373" s="11" t="str">
        <f ca="1">BV!AY373</f>
        <v/>
      </c>
      <c r="AV373" s="11" t="str">
        <f ca="1">BV!BG373</f>
        <v/>
      </c>
      <c r="AW373" s="11" t="str">
        <f ca="1">BV!BO373</f>
        <v/>
      </c>
      <c r="AX373" s="11" t="str">
        <f ca="1">BV!BW373</f>
        <v/>
      </c>
      <c r="AY373" s="271" t="s">
        <v>67</v>
      </c>
      <c r="AZ373" s="274">
        <f t="shared" si="215"/>
        <v>3.4387412596435571</v>
      </c>
      <c r="BA373" s="261">
        <v>3.6413191100000001E-4</v>
      </c>
      <c r="BB373" s="268">
        <v>1.1696266019999997E-2</v>
      </c>
      <c r="BC373" s="268">
        <f t="shared" si="216"/>
        <v>3.1132321236311971E-2</v>
      </c>
      <c r="BD373" s="269" t="str">
        <f ca="1">IF(BV!H373="","",INT(NOW()-BV!H373))</f>
        <v/>
      </c>
      <c r="BE373" s="275">
        <f t="shared" si="217"/>
        <v>52.404747143197682</v>
      </c>
      <c r="BF373" s="11" t="str">
        <f ca="1">BV!G373</f>
        <v/>
      </c>
      <c r="BG373" s="11" t="str">
        <f ca="1">BV!O373</f>
        <v/>
      </c>
      <c r="BH373" s="11" t="str">
        <f ca="1">BV!W373</f>
        <v/>
      </c>
      <c r="BI373" s="11" t="str">
        <f ca="1">BV!AE373</f>
        <v/>
      </c>
      <c r="BJ373" s="11" t="str">
        <f ca="1">BV!AM373</f>
        <v/>
      </c>
      <c r="BK373" s="11" t="str">
        <f ca="1">BV!AU373</f>
        <v/>
      </c>
      <c r="BL373" s="11" t="str">
        <f ca="1">BV!BC373</f>
        <v/>
      </c>
      <c r="BM373" s="11" t="str">
        <f ca="1">BV!BK373</f>
        <v/>
      </c>
      <c r="BN373" s="11" t="str">
        <f ca="1">BV!BS373</f>
        <v/>
      </c>
      <c r="BO373" s="11" t="str">
        <f ca="1">BV!CA373</f>
        <v/>
      </c>
      <c r="BP373" s="433">
        <v>231</v>
      </c>
      <c r="BQ373" s="11" t="str">
        <f ca="1">IFERROR(YEAR(OFFSET(BV!$H373,,(COLUMN()-69)*8)),"")</f>
        <v/>
      </c>
      <c r="BR373" s="11" t="str">
        <f ca="1">IFERROR(YEAR(OFFSET(BV!$H373,,(COLUMN()-69)*8)),"")</f>
        <v/>
      </c>
      <c r="BS373" s="11" t="str">
        <f ca="1">IFERROR(YEAR(OFFSET(BV!$H373,,(COLUMN()-69)*8)),"")</f>
        <v/>
      </c>
      <c r="BT373" s="11" t="str">
        <f ca="1">IFERROR(YEAR(OFFSET(BV!$H373,,(COLUMN()-69)*8)),"")</f>
        <v/>
      </c>
      <c r="BU373" s="11" t="str">
        <f ca="1">IFERROR(YEAR(OFFSET(BV!$H373,,(COLUMN()-69)*8)),"")</f>
        <v/>
      </c>
      <c r="BV373" s="11" t="str">
        <f ca="1">IFERROR(YEAR(OFFSET(BV!$H373,,(COLUMN()-69)*8)),"")</f>
        <v/>
      </c>
      <c r="BW373" s="11" t="str">
        <f ca="1">IFERROR(YEAR(OFFSET(BV!$H373,,(COLUMN()-69)*8)),"")</f>
        <v/>
      </c>
      <c r="BX373" s="11" t="str">
        <f ca="1">IFERROR(YEAR(OFFSET(BV!$H373,,(COLUMN()-69)*8)),"")</f>
        <v/>
      </c>
      <c r="BY373" s="11" t="str">
        <f ca="1">IFERROR(YEAR(OFFSET(BV!$H373,,(COLUMN()-69)*8)),"")</f>
        <v/>
      </c>
      <c r="BZ373" s="11" t="str">
        <f ca="1">IFERROR(YEAR(OFFSET(BV!$H373,,(COLUMN()-69)*8)),"")</f>
        <v/>
      </c>
    </row>
    <row r="374" spans="1:78" x14ac:dyDescent="0.25">
      <c r="A374" s="433">
        <v>232</v>
      </c>
      <c r="B374" s="11" t="str">
        <f ca="1">BV!D374</f>
        <v/>
      </c>
      <c r="C374" s="11" t="str">
        <f ca="1">BV!L374</f>
        <v/>
      </c>
      <c r="D374" s="11" t="str">
        <f ca="1">BV!T374</f>
        <v/>
      </c>
      <c r="E374" s="11" t="str">
        <f ca="1">BV!AB374</f>
        <v/>
      </c>
      <c r="F374" s="11" t="str">
        <f ca="1">BV!AJ374</f>
        <v/>
      </c>
      <c r="G374" s="11" t="str">
        <f ca="1">BV!AR374</f>
        <v/>
      </c>
      <c r="H374" s="11" t="str">
        <f ca="1">BV!AZ374</f>
        <v/>
      </c>
      <c r="I374" s="11" t="str">
        <f ca="1">BV!BH374</f>
        <v/>
      </c>
      <c r="J374" s="11" t="str">
        <f ca="1">BV!BP374</f>
        <v/>
      </c>
      <c r="K374" s="11" t="str">
        <f ca="1">BV!BX374</f>
        <v/>
      </c>
      <c r="L374" s="271" t="s">
        <v>67</v>
      </c>
      <c r="M374" s="261">
        <v>3.1943263299999999E-4</v>
      </c>
      <c r="N374" s="272" t="str">
        <f t="shared" ca="1" si="214"/>
        <v/>
      </c>
      <c r="O374" s="1" t="s">
        <v>374</v>
      </c>
      <c r="P374" s="39">
        <f ca="1">SUM(P364:P367)</f>
        <v>555.59726251262896</v>
      </c>
      <c r="Q374" s="39">
        <f t="shared" ref="Q374:W374" ca="1" si="220">SUM(Q364:Q367)</f>
        <v>639.14069870663036</v>
      </c>
      <c r="R374" s="39">
        <f t="shared" ca="1" si="220"/>
        <v>481.16319059732842</v>
      </c>
      <c r="S374" s="39">
        <f t="shared" ca="1" si="220"/>
        <v>0</v>
      </c>
      <c r="T374" s="39">
        <f t="shared" ca="1" si="220"/>
        <v>0</v>
      </c>
      <c r="U374" s="39">
        <f t="shared" ca="1" si="220"/>
        <v>0</v>
      </c>
      <c r="V374" s="39">
        <f t="shared" ca="1" si="220"/>
        <v>0</v>
      </c>
      <c r="W374" s="39">
        <f t="shared" ca="1" si="220"/>
        <v>0</v>
      </c>
      <c r="X374" s="347"/>
      <c r="Y374" s="347"/>
      <c r="Z374" s="344"/>
      <c r="AA374" s="4">
        <v>3</v>
      </c>
      <c r="AB374" s="36">
        <f t="shared" ca="1" si="218"/>
        <v>34.678735335058775</v>
      </c>
      <c r="AC374" s="36" t="s">
        <v>39</v>
      </c>
      <c r="AD374" s="36">
        <f t="shared" ca="1" si="219"/>
        <v>99</v>
      </c>
      <c r="AE374" s="39">
        <f t="shared" ca="1" si="213"/>
        <v>3.0801265024630107</v>
      </c>
      <c r="AF374" s="344"/>
      <c r="AG374" s="344"/>
      <c r="AH374" s="344"/>
      <c r="AI374" s="344"/>
      <c r="AJ374" s="344"/>
      <c r="AK374" s="344"/>
      <c r="AL374" s="315"/>
      <c r="AM374" s="315"/>
      <c r="AN374" s="433">
        <v>232</v>
      </c>
      <c r="AO374" s="11" t="str">
        <f ca="1">BV!C374</f>
        <v/>
      </c>
      <c r="AP374" s="11" t="str">
        <f ca="1">BV!K374</f>
        <v/>
      </c>
      <c r="AQ374" s="11" t="str">
        <f ca="1">BV!S374</f>
        <v/>
      </c>
      <c r="AR374" s="11" t="str">
        <f ca="1">BV!AA374</f>
        <v/>
      </c>
      <c r="AS374" s="11" t="str">
        <f ca="1">BV!AI374</f>
        <v/>
      </c>
      <c r="AT374" s="11" t="str">
        <f ca="1">BV!AQ374</f>
        <v/>
      </c>
      <c r="AU374" s="11" t="str">
        <f ca="1">BV!AY374</f>
        <v/>
      </c>
      <c r="AV374" s="11" t="str">
        <f ca="1">BV!BG374</f>
        <v/>
      </c>
      <c r="AW374" s="11" t="str">
        <f ca="1">BV!BO374</f>
        <v/>
      </c>
      <c r="AX374" s="11" t="str">
        <f ca="1">BV!BW374</f>
        <v/>
      </c>
      <c r="AY374" s="271" t="s">
        <v>67</v>
      </c>
      <c r="AZ374" s="274">
        <f t="shared" si="215"/>
        <v>3.4956207187301414</v>
      </c>
      <c r="BA374" s="261">
        <v>3.1943263299999999E-4</v>
      </c>
      <c r="BB374" s="268">
        <v>1.1696266019999997E-2</v>
      </c>
      <c r="BC374" s="268">
        <f t="shared" si="216"/>
        <v>2.7310650463471597E-2</v>
      </c>
      <c r="BD374" s="269" t="str">
        <f ca="1">IF(BV!H374="","",INT(NOW()-BV!H374))</f>
        <v/>
      </c>
      <c r="BE374" s="275">
        <f t="shared" si="217"/>
        <v>55.951322902846556</v>
      </c>
      <c r="BF374" s="11" t="str">
        <f ca="1">BV!G374</f>
        <v/>
      </c>
      <c r="BG374" s="11" t="str">
        <f ca="1">BV!O374</f>
        <v/>
      </c>
      <c r="BH374" s="11" t="str">
        <f ca="1">BV!W374</f>
        <v/>
      </c>
      <c r="BI374" s="11" t="str">
        <f ca="1">BV!AE374</f>
        <v/>
      </c>
      <c r="BJ374" s="11" t="str">
        <f ca="1">BV!AM374</f>
        <v/>
      </c>
      <c r="BK374" s="11" t="str">
        <f ca="1">BV!AU374</f>
        <v/>
      </c>
      <c r="BL374" s="11" t="str">
        <f ca="1">BV!BC374</f>
        <v/>
      </c>
      <c r="BM374" s="11" t="str">
        <f ca="1">BV!BK374</f>
        <v/>
      </c>
      <c r="BN374" s="11" t="str">
        <f ca="1">BV!BS374</f>
        <v/>
      </c>
      <c r="BO374" s="11" t="str">
        <f ca="1">BV!CA374</f>
        <v/>
      </c>
      <c r="BP374" s="433">
        <v>232</v>
      </c>
      <c r="BQ374" s="11" t="str">
        <f ca="1">IFERROR(YEAR(OFFSET(BV!$H374,,(COLUMN()-69)*8)),"")</f>
        <v/>
      </c>
      <c r="BR374" s="11" t="str">
        <f ca="1">IFERROR(YEAR(OFFSET(BV!$H374,,(COLUMN()-69)*8)),"")</f>
        <v/>
      </c>
      <c r="BS374" s="11" t="str">
        <f ca="1">IFERROR(YEAR(OFFSET(BV!$H374,,(COLUMN()-69)*8)),"")</f>
        <v/>
      </c>
      <c r="BT374" s="11" t="str">
        <f ca="1">IFERROR(YEAR(OFFSET(BV!$H374,,(COLUMN()-69)*8)),"")</f>
        <v/>
      </c>
      <c r="BU374" s="11" t="str">
        <f ca="1">IFERROR(YEAR(OFFSET(BV!$H374,,(COLUMN()-69)*8)),"")</f>
        <v/>
      </c>
      <c r="BV374" s="11" t="str">
        <f ca="1">IFERROR(YEAR(OFFSET(BV!$H374,,(COLUMN()-69)*8)),"")</f>
        <v/>
      </c>
      <c r="BW374" s="11" t="str">
        <f ca="1">IFERROR(YEAR(OFFSET(BV!$H374,,(COLUMN()-69)*8)),"")</f>
        <v/>
      </c>
      <c r="BX374" s="11" t="str">
        <f ca="1">IFERROR(YEAR(OFFSET(BV!$H374,,(COLUMN()-69)*8)),"")</f>
        <v/>
      </c>
      <c r="BY374" s="11" t="str">
        <f ca="1">IFERROR(YEAR(OFFSET(BV!$H374,,(COLUMN()-69)*8)),"")</f>
        <v/>
      </c>
      <c r="BZ374" s="11" t="str">
        <f ca="1">IFERROR(YEAR(OFFSET(BV!$H374,,(COLUMN()-69)*8)),"")</f>
        <v/>
      </c>
    </row>
    <row r="375" spans="1:78" x14ac:dyDescent="0.25">
      <c r="A375" s="433">
        <v>233</v>
      </c>
      <c r="B375" s="11" t="str">
        <f ca="1">BV!D375</f>
        <v/>
      </c>
      <c r="C375" s="11" t="str">
        <f ca="1">BV!L375</f>
        <v/>
      </c>
      <c r="D375" s="11" t="str">
        <f ca="1">BV!T375</f>
        <v/>
      </c>
      <c r="E375" s="11" t="str">
        <f ca="1">BV!AB375</f>
        <v/>
      </c>
      <c r="F375" s="11" t="str">
        <f ca="1">BV!AJ375</f>
        <v/>
      </c>
      <c r="G375" s="11" t="str">
        <f ca="1">BV!AR375</f>
        <v/>
      </c>
      <c r="H375" s="11" t="str">
        <f ca="1">BV!AZ375</f>
        <v/>
      </c>
      <c r="I375" s="11" t="str">
        <f ca="1">BV!BH375</f>
        <v/>
      </c>
      <c r="J375" s="11" t="str">
        <f ca="1">BV!BP375</f>
        <v/>
      </c>
      <c r="K375" s="11" t="str">
        <f ca="1">BV!BX375</f>
        <v/>
      </c>
      <c r="L375" s="271" t="s">
        <v>67</v>
      </c>
      <c r="M375" s="261">
        <v>2.7967398899999998E-4</v>
      </c>
      <c r="N375" s="272" t="str">
        <f t="shared" ca="1" si="214"/>
        <v/>
      </c>
      <c r="O375" s="1" t="s">
        <v>375</v>
      </c>
      <c r="P375" s="39">
        <f ca="1">SUM(P368:P370)</f>
        <v>583.99246704331449</v>
      </c>
      <c r="Q375" s="39">
        <f t="shared" ref="Q375:W375" ca="1" si="221">SUM(Q368:Q370)</f>
        <v>630.76923076923072</v>
      </c>
      <c r="R375" s="39">
        <f t="shared" ca="1" si="221"/>
        <v>543.30985915492954</v>
      </c>
      <c r="S375" s="39">
        <f t="shared" ca="1" si="221"/>
        <v>0</v>
      </c>
      <c r="T375" s="39">
        <f t="shared" ca="1" si="221"/>
        <v>0</v>
      </c>
      <c r="U375" s="39">
        <f t="shared" ca="1" si="221"/>
        <v>0</v>
      </c>
      <c r="V375" s="39">
        <f t="shared" ca="1" si="221"/>
        <v>0</v>
      </c>
      <c r="W375" s="39">
        <f t="shared" ca="1" si="221"/>
        <v>0</v>
      </c>
      <c r="X375" s="347"/>
      <c r="Y375" s="347"/>
      <c r="Z375" s="344"/>
      <c r="AA375" s="4">
        <v>4</v>
      </c>
      <c r="AB375" s="36">
        <f t="shared" ca="1" si="218"/>
        <v>32.726744631793764</v>
      </c>
      <c r="AC375" s="36" t="s">
        <v>39</v>
      </c>
      <c r="AD375" s="36">
        <f t="shared" ca="1" si="219"/>
        <v>36</v>
      </c>
      <c r="AE375" s="39">
        <f t="shared" ca="1" si="213"/>
        <v>3.0298056153357269</v>
      </c>
      <c r="AF375" s="344"/>
      <c r="AG375" s="344"/>
      <c r="AH375" s="344"/>
      <c r="AI375" s="344"/>
      <c r="AJ375" s="344"/>
      <c r="AK375" s="344"/>
      <c r="AL375" s="315"/>
      <c r="AM375" s="315"/>
      <c r="AN375" s="433">
        <v>233</v>
      </c>
      <c r="AO375" s="11" t="str">
        <f ca="1">BV!C375</f>
        <v/>
      </c>
      <c r="AP375" s="11" t="str">
        <f ca="1">BV!K375</f>
        <v/>
      </c>
      <c r="AQ375" s="11" t="str">
        <f ca="1">BV!S375</f>
        <v/>
      </c>
      <c r="AR375" s="11" t="str">
        <f ca="1">BV!AA375</f>
        <v/>
      </c>
      <c r="AS375" s="11" t="str">
        <f ca="1">BV!AI375</f>
        <v/>
      </c>
      <c r="AT375" s="11" t="str">
        <f ca="1">BV!AQ375</f>
        <v/>
      </c>
      <c r="AU375" s="11" t="str">
        <f ca="1">BV!AY375</f>
        <v/>
      </c>
      <c r="AV375" s="11" t="str">
        <f ca="1">BV!BG375</f>
        <v/>
      </c>
      <c r="AW375" s="11" t="str">
        <f ca="1">BV!BO375</f>
        <v/>
      </c>
      <c r="AX375" s="11" t="str">
        <f ca="1">BV!BW375</f>
        <v/>
      </c>
      <c r="AY375" s="271" t="s">
        <v>67</v>
      </c>
      <c r="AZ375" s="274">
        <f t="shared" si="215"/>
        <v>3.5533479231853669</v>
      </c>
      <c r="BA375" s="261">
        <v>2.7967398899999998E-4</v>
      </c>
      <c r="BB375" s="268">
        <v>1.1696266019999997E-2</v>
      </c>
      <c r="BC375" s="268">
        <f t="shared" si="216"/>
        <v>2.3911390910720757E-2</v>
      </c>
      <c r="BD375" s="269" t="str">
        <f ca="1">IF(BV!H375="","",INT(NOW()-BV!H375))</f>
        <v/>
      </c>
      <c r="BE375" s="275">
        <f t="shared" si="217"/>
        <v>59.796251740895876</v>
      </c>
      <c r="BF375" s="11" t="str">
        <f ca="1">BV!G375</f>
        <v/>
      </c>
      <c r="BG375" s="11" t="str">
        <f ca="1">BV!O375</f>
        <v/>
      </c>
      <c r="BH375" s="11" t="str">
        <f ca="1">BV!W375</f>
        <v/>
      </c>
      <c r="BI375" s="11" t="str">
        <f ca="1">BV!AE375</f>
        <v/>
      </c>
      <c r="BJ375" s="11" t="str">
        <f ca="1">BV!AM375</f>
        <v/>
      </c>
      <c r="BK375" s="11" t="str">
        <f ca="1">BV!AU375</f>
        <v/>
      </c>
      <c r="BL375" s="11" t="str">
        <f ca="1">BV!BC375</f>
        <v/>
      </c>
      <c r="BM375" s="11" t="str">
        <f ca="1">BV!BK375</f>
        <v/>
      </c>
      <c r="BN375" s="11" t="str">
        <f ca="1">BV!BS375</f>
        <v/>
      </c>
      <c r="BO375" s="11" t="str">
        <f ca="1">BV!CA375</f>
        <v/>
      </c>
      <c r="BP375" s="433">
        <v>233</v>
      </c>
      <c r="BQ375" s="11" t="str">
        <f ca="1">IFERROR(YEAR(OFFSET(BV!$H375,,(COLUMN()-69)*8)),"")</f>
        <v/>
      </c>
      <c r="BR375" s="11" t="str">
        <f ca="1">IFERROR(YEAR(OFFSET(BV!$H375,,(COLUMN()-69)*8)),"")</f>
        <v/>
      </c>
      <c r="BS375" s="11" t="str">
        <f ca="1">IFERROR(YEAR(OFFSET(BV!$H375,,(COLUMN()-69)*8)),"")</f>
        <v/>
      </c>
      <c r="BT375" s="11" t="str">
        <f ca="1">IFERROR(YEAR(OFFSET(BV!$H375,,(COLUMN()-69)*8)),"")</f>
        <v/>
      </c>
      <c r="BU375" s="11" t="str">
        <f ca="1">IFERROR(YEAR(OFFSET(BV!$H375,,(COLUMN()-69)*8)),"")</f>
        <v/>
      </c>
      <c r="BV375" s="11" t="str">
        <f ca="1">IFERROR(YEAR(OFFSET(BV!$H375,,(COLUMN()-69)*8)),"")</f>
        <v/>
      </c>
      <c r="BW375" s="11" t="str">
        <f ca="1">IFERROR(YEAR(OFFSET(BV!$H375,,(COLUMN()-69)*8)),"")</f>
        <v/>
      </c>
      <c r="BX375" s="11" t="str">
        <f ca="1">IFERROR(YEAR(OFFSET(BV!$H375,,(COLUMN()-69)*8)),"")</f>
        <v/>
      </c>
      <c r="BY375" s="11" t="str">
        <f ca="1">IFERROR(YEAR(OFFSET(BV!$H375,,(COLUMN()-69)*8)),"")</f>
        <v/>
      </c>
      <c r="BZ375" s="11" t="str">
        <f ca="1">IFERROR(YEAR(OFFSET(BV!$H375,,(COLUMN()-69)*8)),"")</f>
        <v/>
      </c>
    </row>
    <row r="376" spans="1:78" x14ac:dyDescent="0.25">
      <c r="A376" s="433">
        <v>234</v>
      </c>
      <c r="B376" s="11" t="str">
        <f ca="1">BV!D376</f>
        <v/>
      </c>
      <c r="C376" s="11" t="str">
        <f ca="1">BV!L376</f>
        <v/>
      </c>
      <c r="D376" s="11" t="str">
        <f ca="1">BV!T376</f>
        <v/>
      </c>
      <c r="E376" s="11" t="str">
        <f ca="1">BV!AB376</f>
        <v/>
      </c>
      <c r="F376" s="11" t="str">
        <f ca="1">BV!AJ376</f>
        <v/>
      </c>
      <c r="G376" s="11" t="str">
        <f ca="1">BV!AR376</f>
        <v/>
      </c>
      <c r="H376" s="11" t="str">
        <f ca="1">BV!AZ376</f>
        <v/>
      </c>
      <c r="I376" s="11" t="str">
        <f ca="1">BV!BH376</f>
        <v/>
      </c>
      <c r="J376" s="11" t="str">
        <f ca="1">BV!BP376</f>
        <v/>
      </c>
      <c r="K376" s="11" t="str">
        <f ca="1">BV!BX376</f>
        <v/>
      </c>
      <c r="L376" s="271" t="s">
        <v>67</v>
      </c>
      <c r="M376" s="261">
        <v>2.4439994499999998E-4</v>
      </c>
      <c r="N376" s="272" t="str">
        <f t="shared" ca="1" si="214"/>
        <v/>
      </c>
      <c r="O376" s="1" t="s">
        <v>376</v>
      </c>
      <c r="P376" s="39">
        <f ca="1">SUM(P371:P373)</f>
        <v>833.75120540019282</v>
      </c>
      <c r="Q376" s="39">
        <f t="shared" ref="Q376:W376" ca="1" si="222">SUM(Q371:Q373)</f>
        <v>958.83116883116895</v>
      </c>
      <c r="R376" s="39">
        <f t="shared" ca="1" si="222"/>
        <v>473.03370786516848</v>
      </c>
      <c r="S376" s="39">
        <f t="shared" ca="1" si="222"/>
        <v>0</v>
      </c>
      <c r="T376" s="39">
        <f t="shared" ca="1" si="222"/>
        <v>0</v>
      </c>
      <c r="U376" s="39">
        <f t="shared" ca="1" si="222"/>
        <v>0</v>
      </c>
      <c r="V376" s="39">
        <f t="shared" ca="1" si="222"/>
        <v>0</v>
      </c>
      <c r="W376" s="39">
        <f t="shared" ca="1" si="222"/>
        <v>0</v>
      </c>
      <c r="X376" s="347"/>
      <c r="Y376" s="347"/>
      <c r="Z376" s="344"/>
      <c r="AA376" s="4">
        <v>5</v>
      </c>
      <c r="AB376" s="36">
        <f t="shared" ca="1" si="218"/>
        <v>28.836093935660941</v>
      </c>
      <c r="AC376" s="36" t="s">
        <v>39</v>
      </c>
      <c r="AD376" s="36">
        <f t="shared" ca="1" si="219"/>
        <v>97</v>
      </c>
      <c r="AE376" s="39">
        <f t="shared" ca="1" si="213"/>
        <v>2.9198728631990098</v>
      </c>
      <c r="AF376" s="344"/>
      <c r="AG376" s="344"/>
      <c r="AH376" s="344"/>
      <c r="AI376" s="344"/>
      <c r="AJ376" s="344"/>
      <c r="AK376" s="344"/>
      <c r="AL376" s="315"/>
      <c r="AM376" s="315"/>
      <c r="AN376" s="433">
        <v>234</v>
      </c>
      <c r="AO376" s="11" t="str">
        <f ca="1">BV!C376</f>
        <v/>
      </c>
      <c r="AP376" s="11" t="str">
        <f ca="1">BV!K376</f>
        <v/>
      </c>
      <c r="AQ376" s="11" t="str">
        <f ca="1">BV!S376</f>
        <v/>
      </c>
      <c r="AR376" s="11" t="str">
        <f ca="1">BV!AA376</f>
        <v/>
      </c>
      <c r="AS376" s="11" t="str">
        <f ca="1">BV!AI376</f>
        <v/>
      </c>
      <c r="AT376" s="11" t="str">
        <f ca="1">BV!AQ376</f>
        <v/>
      </c>
      <c r="AU376" s="11" t="str">
        <f ca="1">BV!AY376</f>
        <v/>
      </c>
      <c r="AV376" s="11" t="str">
        <f ca="1">BV!BG376</f>
        <v/>
      </c>
      <c r="AW376" s="11" t="str">
        <f ca="1">BV!BO376</f>
        <v/>
      </c>
      <c r="AX376" s="11" t="str">
        <f ca="1">BV!BW376</f>
        <v/>
      </c>
      <c r="AY376" s="271" t="s">
        <v>67</v>
      </c>
      <c r="AZ376" s="274">
        <f t="shared" si="215"/>
        <v>3.6118988961635226</v>
      </c>
      <c r="BA376" s="261">
        <v>2.4439994499999998E-4</v>
      </c>
      <c r="BB376" s="268">
        <v>1.1696266019999997E-2</v>
      </c>
      <c r="BC376" s="268">
        <f t="shared" si="216"/>
        <v>2.0895552869786733E-2</v>
      </c>
      <c r="BD376" s="269" t="str">
        <f ca="1">IF(BV!H376="","",INT(NOW()-BV!H376))</f>
        <v/>
      </c>
      <c r="BE376" s="275">
        <f t="shared" si="217"/>
        <v>63.966037462178285</v>
      </c>
      <c r="BF376" s="11" t="str">
        <f ca="1">BV!G376</f>
        <v/>
      </c>
      <c r="BG376" s="11" t="str">
        <f ca="1">BV!O376</f>
        <v/>
      </c>
      <c r="BH376" s="11" t="str">
        <f ca="1">BV!W376</f>
        <v/>
      </c>
      <c r="BI376" s="11" t="str">
        <f ca="1">BV!AE376</f>
        <v/>
      </c>
      <c r="BJ376" s="11" t="str">
        <f ca="1">BV!AM376</f>
        <v/>
      </c>
      <c r="BK376" s="11" t="str">
        <f ca="1">BV!AU376</f>
        <v/>
      </c>
      <c r="BL376" s="11" t="str">
        <f ca="1">BV!BC376</f>
        <v/>
      </c>
      <c r="BM376" s="11" t="str">
        <f ca="1">BV!BK376</f>
        <v/>
      </c>
      <c r="BN376" s="11" t="str">
        <f ca="1">BV!BS376</f>
        <v/>
      </c>
      <c r="BO376" s="11" t="str">
        <f ca="1">BV!CA376</f>
        <v/>
      </c>
      <c r="BP376" s="433">
        <v>234</v>
      </c>
      <c r="BQ376" s="11" t="str">
        <f ca="1">IFERROR(YEAR(OFFSET(BV!$H376,,(COLUMN()-69)*8)),"")</f>
        <v/>
      </c>
      <c r="BR376" s="11" t="str">
        <f ca="1">IFERROR(YEAR(OFFSET(BV!$H376,,(COLUMN()-69)*8)),"")</f>
        <v/>
      </c>
      <c r="BS376" s="11" t="str">
        <f ca="1">IFERROR(YEAR(OFFSET(BV!$H376,,(COLUMN()-69)*8)),"")</f>
        <v/>
      </c>
      <c r="BT376" s="11" t="str">
        <f ca="1">IFERROR(YEAR(OFFSET(BV!$H376,,(COLUMN()-69)*8)),"")</f>
        <v/>
      </c>
      <c r="BU376" s="11" t="str">
        <f ca="1">IFERROR(YEAR(OFFSET(BV!$H376,,(COLUMN()-69)*8)),"")</f>
        <v/>
      </c>
      <c r="BV376" s="11" t="str">
        <f ca="1">IFERROR(YEAR(OFFSET(BV!$H376,,(COLUMN()-69)*8)),"")</f>
        <v/>
      </c>
      <c r="BW376" s="11" t="str">
        <f ca="1">IFERROR(YEAR(OFFSET(BV!$H376,,(COLUMN()-69)*8)),"")</f>
        <v/>
      </c>
      <c r="BX376" s="11" t="str">
        <f ca="1">IFERROR(YEAR(OFFSET(BV!$H376,,(COLUMN()-69)*8)),"")</f>
        <v/>
      </c>
      <c r="BY376" s="11" t="str">
        <f ca="1">IFERROR(YEAR(OFFSET(BV!$H376,,(COLUMN()-69)*8)),"")</f>
        <v/>
      </c>
      <c r="BZ376" s="11" t="str">
        <f ca="1">IFERROR(YEAR(OFFSET(BV!$H376,,(COLUMN()-69)*8)),"")</f>
        <v/>
      </c>
    </row>
    <row r="377" spans="1:78" x14ac:dyDescent="0.25">
      <c r="A377" s="433">
        <v>235</v>
      </c>
      <c r="B377" s="11" t="str">
        <f ca="1">BV!D377</f>
        <v/>
      </c>
      <c r="C377" s="11" t="str">
        <f ca="1">BV!L377</f>
        <v/>
      </c>
      <c r="D377" s="11" t="str">
        <f ca="1">BV!T377</f>
        <v/>
      </c>
      <c r="E377" s="11" t="str">
        <f ca="1">BV!AB377</f>
        <v/>
      </c>
      <c r="F377" s="11" t="str">
        <f ca="1">BV!AJ377</f>
        <v/>
      </c>
      <c r="G377" s="11" t="str">
        <f ca="1">BV!AR377</f>
        <v/>
      </c>
      <c r="H377" s="11" t="str">
        <f ca="1">BV!AZ377</f>
        <v/>
      </c>
      <c r="I377" s="11" t="str">
        <f ca="1">BV!BH377</f>
        <v/>
      </c>
      <c r="J377" s="11" t="str">
        <f ca="1">BV!BP377</f>
        <v/>
      </c>
      <c r="K377" s="11" t="str">
        <f ca="1">BV!BX377</f>
        <v/>
      </c>
      <c r="L377" s="271" t="s">
        <v>67</v>
      </c>
      <c r="M377" s="261">
        <v>2.1319996500000001E-4</v>
      </c>
      <c r="N377" s="272" t="str">
        <f t="shared" ca="1" si="214"/>
        <v/>
      </c>
      <c r="O377" s="348" t="str">
        <f>O334</f>
        <v>All</v>
      </c>
      <c r="P377" s="349">
        <f ca="1">SUM(P374:P376)</f>
        <v>1973.3409349561362</v>
      </c>
      <c r="Q377" s="349">
        <f t="shared" ref="Q377:W377" ca="1" si="223">SUM(Q374:Q376)</f>
        <v>2228.7410983070304</v>
      </c>
      <c r="R377" s="349">
        <f t="shared" ca="1" si="223"/>
        <v>1497.5067576174265</v>
      </c>
      <c r="S377" s="349">
        <f t="shared" ca="1" si="223"/>
        <v>0</v>
      </c>
      <c r="T377" s="349">
        <f t="shared" ca="1" si="223"/>
        <v>0</v>
      </c>
      <c r="U377" s="349">
        <f t="shared" ca="1" si="223"/>
        <v>0</v>
      </c>
      <c r="V377" s="349">
        <f t="shared" ca="1" si="223"/>
        <v>0</v>
      </c>
      <c r="W377" s="349">
        <f t="shared" ca="1" si="223"/>
        <v>0</v>
      </c>
      <c r="X377" s="347"/>
      <c r="Y377" s="347"/>
      <c r="Z377" s="344"/>
      <c r="AA377" s="4">
        <v>6</v>
      </c>
      <c r="AB377" s="36">
        <f t="shared" ca="1" si="218"/>
        <v>28.175376546918198</v>
      </c>
      <c r="AC377" s="36" t="s">
        <v>39</v>
      </c>
      <c r="AD377" s="36">
        <f t="shared" ca="1" si="219"/>
        <v>37</v>
      </c>
      <c r="AE377" s="39">
        <f t="shared" ca="1" si="213"/>
        <v>2.8997394576816116</v>
      </c>
      <c r="AF377" s="344"/>
      <c r="AG377" s="344"/>
      <c r="AH377" s="344"/>
      <c r="AI377" s="344"/>
      <c r="AJ377" s="344"/>
      <c r="AK377" s="344"/>
      <c r="AL377" s="315"/>
      <c r="AM377" s="315"/>
      <c r="AN377" s="433">
        <v>235</v>
      </c>
      <c r="AO377" s="11" t="str">
        <f ca="1">BV!C377</f>
        <v/>
      </c>
      <c r="AP377" s="11" t="str">
        <f ca="1">BV!K377</f>
        <v/>
      </c>
      <c r="AQ377" s="11" t="str">
        <f ca="1">BV!S377</f>
        <v/>
      </c>
      <c r="AR377" s="11" t="str">
        <f ca="1">BV!AA377</f>
        <v/>
      </c>
      <c r="AS377" s="11" t="str">
        <f ca="1">BV!AI377</f>
        <v/>
      </c>
      <c r="AT377" s="11" t="str">
        <f ca="1">BV!AQ377</f>
        <v/>
      </c>
      <c r="AU377" s="11" t="str">
        <f ca="1">BV!AY377</f>
        <v/>
      </c>
      <c r="AV377" s="11" t="str">
        <f ca="1">BV!BG377</f>
        <v/>
      </c>
      <c r="AW377" s="11" t="str">
        <f ca="1">BV!BO377</f>
        <v/>
      </c>
      <c r="AX377" s="11" t="str">
        <f ca="1">BV!BW377</f>
        <v/>
      </c>
      <c r="AY377" s="271" t="s">
        <v>67</v>
      </c>
      <c r="AZ377" s="274">
        <f t="shared" si="215"/>
        <v>3.6712128709414698</v>
      </c>
      <c r="BA377" s="261">
        <v>2.1319996500000001E-4</v>
      </c>
      <c r="BB377" s="268">
        <v>1.1696266019999997E-2</v>
      </c>
      <c r="BC377" s="268">
        <f t="shared" si="216"/>
        <v>1.8228036591801122E-2</v>
      </c>
      <c r="BD377" s="269" t="str">
        <f ca="1">IF(BV!H377="","",INT(NOW()-BV!H377))</f>
        <v/>
      </c>
      <c r="BE377" s="275">
        <f t="shared" si="217"/>
        <v>68.486730756440068</v>
      </c>
      <c r="BF377" s="11" t="str">
        <f ca="1">BV!G377</f>
        <v/>
      </c>
      <c r="BG377" s="11" t="str">
        <f ca="1">BV!O377</f>
        <v/>
      </c>
      <c r="BH377" s="11" t="str">
        <f ca="1">BV!W377</f>
        <v/>
      </c>
      <c r="BI377" s="11" t="str">
        <f ca="1">BV!AE377</f>
        <v/>
      </c>
      <c r="BJ377" s="11" t="str">
        <f ca="1">BV!AM377</f>
        <v/>
      </c>
      <c r="BK377" s="11" t="str">
        <f ca="1">BV!AU377</f>
        <v/>
      </c>
      <c r="BL377" s="11" t="str">
        <f ca="1">BV!BC377</f>
        <v/>
      </c>
      <c r="BM377" s="11" t="str">
        <f ca="1">BV!BK377</f>
        <v/>
      </c>
      <c r="BN377" s="11" t="str">
        <f ca="1">BV!BS377</f>
        <v/>
      </c>
      <c r="BO377" s="11" t="str">
        <f ca="1">BV!CA377</f>
        <v/>
      </c>
      <c r="BP377" s="433">
        <v>235</v>
      </c>
      <c r="BQ377" s="11" t="str">
        <f ca="1">IFERROR(YEAR(OFFSET(BV!$H377,,(COLUMN()-69)*8)),"")</f>
        <v/>
      </c>
      <c r="BR377" s="11" t="str">
        <f ca="1">IFERROR(YEAR(OFFSET(BV!$H377,,(COLUMN()-69)*8)),"")</f>
        <v/>
      </c>
      <c r="BS377" s="11" t="str">
        <f ca="1">IFERROR(YEAR(OFFSET(BV!$H377,,(COLUMN()-69)*8)),"")</f>
        <v/>
      </c>
      <c r="BT377" s="11" t="str">
        <f ca="1">IFERROR(YEAR(OFFSET(BV!$H377,,(COLUMN()-69)*8)),"")</f>
        <v/>
      </c>
      <c r="BU377" s="11" t="str">
        <f ca="1">IFERROR(YEAR(OFFSET(BV!$H377,,(COLUMN()-69)*8)),"")</f>
        <v/>
      </c>
      <c r="BV377" s="11" t="str">
        <f ca="1">IFERROR(YEAR(OFFSET(BV!$H377,,(COLUMN()-69)*8)),"")</f>
        <v/>
      </c>
      <c r="BW377" s="11" t="str">
        <f ca="1">IFERROR(YEAR(OFFSET(BV!$H377,,(COLUMN()-69)*8)),"")</f>
        <v/>
      </c>
      <c r="BX377" s="11" t="str">
        <f ca="1">IFERROR(YEAR(OFFSET(BV!$H377,,(COLUMN()-69)*8)),"")</f>
        <v/>
      </c>
      <c r="BY377" s="11" t="str">
        <f ca="1">IFERROR(YEAR(OFFSET(BV!$H377,,(COLUMN()-69)*8)),"")</f>
        <v/>
      </c>
      <c r="BZ377" s="11" t="str">
        <f ca="1">IFERROR(YEAR(OFFSET(BV!$H377,,(COLUMN()-69)*8)),"")</f>
        <v/>
      </c>
    </row>
    <row r="378" spans="1:78" x14ac:dyDescent="0.25">
      <c r="A378" s="433">
        <v>236</v>
      </c>
      <c r="B378" s="297">
        <f ca="1">BV!D378</f>
        <v>2.8399518652226234</v>
      </c>
      <c r="C378" s="11" t="str">
        <f ca="1">BV!L378</f>
        <v/>
      </c>
      <c r="D378" s="11" t="str">
        <f ca="1">BV!T378</f>
        <v/>
      </c>
      <c r="E378" s="11" t="str">
        <f ca="1">BV!AB378</f>
        <v/>
      </c>
      <c r="F378" s="11" t="str">
        <f ca="1">BV!AJ378</f>
        <v/>
      </c>
      <c r="G378" s="11" t="str">
        <f ca="1">BV!AR378</f>
        <v/>
      </c>
      <c r="H378" s="11" t="str">
        <f ca="1">BV!AZ378</f>
        <v/>
      </c>
      <c r="I378" s="11" t="str">
        <f ca="1">BV!BH378</f>
        <v/>
      </c>
      <c r="J378" s="11" t="str">
        <f ca="1">BV!BP378</f>
        <v/>
      </c>
      <c r="K378" s="11" t="str">
        <f ca="1">BV!BX378</f>
        <v/>
      </c>
      <c r="L378" s="271" t="s">
        <v>67</v>
      </c>
      <c r="M378" s="261">
        <v>1.8556763000000001E-4</v>
      </c>
      <c r="N378" s="272">
        <f t="shared" ca="1" si="214"/>
        <v>73.408929246065995</v>
      </c>
      <c r="O378" s="41" t="str">
        <f>O363</f>
        <v>分段</v>
      </c>
      <c r="P378" s="41" t="str">
        <f t="shared" ref="P378:W378" ca="1" si="224">P363</f>
        <v>达成</v>
      </c>
      <c r="Q378" s="41">
        <f t="shared" ca="1" si="224"/>
        <v>2020</v>
      </c>
      <c r="R378" s="41">
        <f t="shared" ca="1" si="224"/>
        <v>2019</v>
      </c>
      <c r="S378" s="41">
        <f t="shared" ca="1" si="224"/>
        <v>2018</v>
      </c>
      <c r="T378" s="41">
        <f t="shared" ca="1" si="224"/>
        <v>2017</v>
      </c>
      <c r="U378" s="41">
        <f t="shared" ca="1" si="224"/>
        <v>2016</v>
      </c>
      <c r="V378" s="41">
        <f t="shared" ca="1" si="224"/>
        <v>0</v>
      </c>
      <c r="W378" s="41">
        <f t="shared" ca="1" si="224"/>
        <v>0</v>
      </c>
      <c r="X378" s="347"/>
      <c r="Y378" s="347"/>
      <c r="Z378" s="344"/>
      <c r="AA378" s="4">
        <v>7</v>
      </c>
      <c r="AB378" s="36">
        <f t="shared" ca="1" si="218"/>
        <v>24.460297760327347</v>
      </c>
      <c r="AC378" s="36" t="s">
        <v>39</v>
      </c>
      <c r="AD378" s="36">
        <f t="shared" ca="1" si="219"/>
        <v>38</v>
      </c>
      <c r="AE378" s="39">
        <f t="shared" ca="1" si="213"/>
        <v>2.7769234789802555</v>
      </c>
      <c r="AF378" s="344"/>
      <c r="AG378" s="344"/>
      <c r="AH378" s="344"/>
      <c r="AI378" s="344"/>
      <c r="AJ378" s="344"/>
      <c r="AK378" s="344"/>
      <c r="AL378" s="315"/>
      <c r="AM378" s="315"/>
      <c r="AN378" s="433">
        <v>236</v>
      </c>
      <c r="AO378" s="660">
        <f ca="1">BV!C378</f>
        <v>83.1</v>
      </c>
      <c r="AP378" s="11" t="str">
        <f ca="1">BV!K378</f>
        <v/>
      </c>
      <c r="AQ378" s="11" t="str">
        <f ca="1">BV!S378</f>
        <v/>
      </c>
      <c r="AR378" s="11" t="str">
        <f ca="1">BV!AA378</f>
        <v/>
      </c>
      <c r="AS378" s="11" t="str">
        <f ca="1">BV!AI378</f>
        <v/>
      </c>
      <c r="AT378" s="11" t="str">
        <f ca="1">BV!AQ378</f>
        <v/>
      </c>
      <c r="AU378" s="11" t="str">
        <f ca="1">BV!AY378</f>
        <v/>
      </c>
      <c r="AV378" s="11" t="str">
        <f ca="1">BV!BG378</f>
        <v/>
      </c>
      <c r="AW378" s="11" t="str">
        <f ca="1">BV!BO378</f>
        <v/>
      </c>
      <c r="AX378" s="11" t="str">
        <f ca="1">BV!BW378</f>
        <v/>
      </c>
      <c r="AY378" s="271" t="s">
        <v>67</v>
      </c>
      <c r="AZ378" s="274">
        <f t="shared" si="215"/>
        <v>3.7314977788630657</v>
      </c>
      <c r="BA378" s="261">
        <v>1.8556763000000001E-4</v>
      </c>
      <c r="BB378" s="268">
        <v>1.1696266019999997E-2</v>
      </c>
      <c r="BC378" s="268">
        <f t="shared" si="216"/>
        <v>1.5865544583432794E-2</v>
      </c>
      <c r="BD378" s="269">
        <f ca="1">IF(BV!H378="","",INT(NOW()-BV!H378))</f>
        <v>121</v>
      </c>
      <c r="BE378" s="275">
        <f t="shared" si="217"/>
        <v>73.408929246065995</v>
      </c>
      <c r="BF378" s="300">
        <f ca="1">BV!G378</f>
        <v>55.986138975222552</v>
      </c>
      <c r="BG378" s="11" t="str">
        <f ca="1">BV!O378</f>
        <v/>
      </c>
      <c r="BH378" s="11" t="str">
        <f ca="1">BV!W378</f>
        <v/>
      </c>
      <c r="BI378" s="11" t="str">
        <f ca="1">BV!AE378</f>
        <v/>
      </c>
      <c r="BJ378" s="11" t="str">
        <f ca="1">BV!AM378</f>
        <v/>
      </c>
      <c r="BK378" s="11" t="str">
        <f ca="1">BV!AU378</f>
        <v/>
      </c>
      <c r="BL378" s="11" t="str">
        <f ca="1">BV!BC378</f>
        <v/>
      </c>
      <c r="BM378" s="11" t="str">
        <f ca="1">BV!BK378</f>
        <v/>
      </c>
      <c r="BN378" s="11" t="str">
        <f ca="1">BV!BS378</f>
        <v/>
      </c>
      <c r="BO378" s="11" t="str">
        <f ca="1">BV!CA378</f>
        <v/>
      </c>
      <c r="BP378" s="433">
        <v>236</v>
      </c>
      <c r="BQ378" s="11">
        <f ca="1">IFERROR(YEAR(OFFSET(BV!$H378,,(COLUMN()-69)*8)),"")</f>
        <v>2020</v>
      </c>
      <c r="BR378" s="11" t="str">
        <f ca="1">IFERROR(YEAR(OFFSET(BV!$H378,,(COLUMN()-69)*8)),"")</f>
        <v/>
      </c>
      <c r="BS378" s="11" t="str">
        <f ca="1">IFERROR(YEAR(OFFSET(BV!$H378,,(COLUMN()-69)*8)),"")</f>
        <v/>
      </c>
      <c r="BT378" s="11" t="str">
        <f ca="1">IFERROR(YEAR(OFFSET(BV!$H378,,(COLUMN()-69)*8)),"")</f>
        <v/>
      </c>
      <c r="BU378" s="11" t="str">
        <f ca="1">IFERROR(YEAR(OFFSET(BV!$H378,,(COLUMN()-69)*8)),"")</f>
        <v/>
      </c>
      <c r="BV378" s="11" t="str">
        <f ca="1">IFERROR(YEAR(OFFSET(BV!$H378,,(COLUMN()-69)*8)),"")</f>
        <v/>
      </c>
      <c r="BW378" s="11" t="str">
        <f ca="1">IFERROR(YEAR(OFFSET(BV!$H378,,(COLUMN()-69)*8)),"")</f>
        <v/>
      </c>
      <c r="BX378" s="11" t="str">
        <f ca="1">IFERROR(YEAR(OFFSET(BV!$H378,,(COLUMN()-69)*8)),"")</f>
        <v/>
      </c>
      <c r="BY378" s="11" t="str">
        <f ca="1">IFERROR(YEAR(OFFSET(BV!$H378,,(COLUMN()-69)*8)),"")</f>
        <v/>
      </c>
      <c r="BZ378" s="11" t="str">
        <f ca="1">IFERROR(YEAR(OFFSET(BV!$H378,,(COLUMN()-69)*8)),"")</f>
        <v/>
      </c>
    </row>
    <row r="379" spans="1:78" x14ac:dyDescent="0.25">
      <c r="A379" s="433">
        <v>237</v>
      </c>
      <c r="B379" s="11" t="str">
        <f ca="1">BV!D379</f>
        <v/>
      </c>
      <c r="C379" s="11" t="str">
        <f ca="1">BV!L379</f>
        <v/>
      </c>
      <c r="D379" s="11" t="str">
        <f ca="1">BV!T379</f>
        <v/>
      </c>
      <c r="E379" s="11" t="str">
        <f ca="1">BV!AB379</f>
        <v/>
      </c>
      <c r="F379" s="11" t="str">
        <f ca="1">BV!AJ379</f>
        <v/>
      </c>
      <c r="G379" s="11" t="str">
        <f ca="1">BV!AR379</f>
        <v/>
      </c>
      <c r="H379" s="11" t="str">
        <f ca="1">BV!AZ379</f>
        <v/>
      </c>
      <c r="I379" s="11" t="str">
        <f ca="1">BV!BH379</f>
        <v/>
      </c>
      <c r="J379" s="11" t="str">
        <f ca="1">BV!BP379</f>
        <v/>
      </c>
      <c r="K379" s="11" t="str">
        <f ca="1">BV!BX379</f>
        <v/>
      </c>
      <c r="L379" s="271" t="s">
        <v>67</v>
      </c>
      <c r="M379" s="261">
        <v>1.6128013E-4</v>
      </c>
      <c r="N379" s="272" t="str">
        <f t="shared" ca="1" si="214"/>
        <v/>
      </c>
      <c r="O379" s="11">
        <v>0</v>
      </c>
      <c r="P379" s="35">
        <f ca="1">SUMIF(Num!$G$1:$G$199,ASB!$O379,OFFSET(Num!$J$1,0,(COLUMN()-16)*4-2,200,1))</f>
        <v>16</v>
      </c>
      <c r="Q379" s="35">
        <f ca="1">SUMIF(Num!$G$1:$G$199,ASB!$O379,OFFSET(Num!$J$1,0,(COLUMN()-16)*4-2,200,1))</f>
        <v>4</v>
      </c>
      <c r="R379" s="35">
        <f ca="1">SUMIF(Num!$G$1:$G$199,ASB!$O379,OFFSET(Num!$J$1,0,(COLUMN()-16)*4-2,200,1))</f>
        <v>12</v>
      </c>
      <c r="S379" s="35">
        <f ca="1">SUMIF(Num!$G$1:$G$199,ASB!$O379,OFFSET(Num!$J$1,0,(COLUMN()-16)*4-2,200,1))</f>
        <v>0</v>
      </c>
      <c r="T379" s="35">
        <f ca="1">SUMIF(Num!$G$1:$G$199,ASB!$O379,OFFSET(Num!$J$1,0,(COLUMN()-16)*4-2,200,1))</f>
        <v>0</v>
      </c>
      <c r="U379" s="35">
        <f ca="1">SUMIF(Num!$G$1:$G$199,ASB!$O379,OFFSET(Num!$J$1,0,(COLUMN()-16)*4-2,200,1))</f>
        <v>0</v>
      </c>
      <c r="V379" s="35">
        <f ca="1">SUMIF(Num!$G$1:$G$199,ASB!$O379,OFFSET(Num!$J$1,0,(COLUMN()-16)*4-2,200,1))</f>
        <v>0</v>
      </c>
      <c r="W379" s="35">
        <f ca="1">SUMIF(Num!$G$1:$G$199,ASB!$O379,OFFSET(Num!$J$1,0,(COLUMN()-16)*4-2,200,1))</f>
        <v>0</v>
      </c>
      <c r="X379" s="347"/>
      <c r="Y379" s="347"/>
      <c r="Z379" s="344"/>
      <c r="AA379" s="4">
        <v>8</v>
      </c>
      <c r="AB379" s="36">
        <f t="shared" ca="1" si="218"/>
        <v>24.171311538475223</v>
      </c>
      <c r="AC379" s="36" t="s">
        <v>39</v>
      </c>
      <c r="AD379" s="36">
        <f t="shared" ca="1" si="219"/>
        <v>95</v>
      </c>
      <c r="AE379" s="39">
        <f t="shared" ca="1" si="213"/>
        <v>2.7666004318429542</v>
      </c>
      <c r="AF379" s="344"/>
      <c r="AG379" s="344"/>
      <c r="AH379" s="344"/>
      <c r="AI379" s="344"/>
      <c r="AJ379" s="344"/>
      <c r="AK379" s="344"/>
      <c r="AL379" s="315"/>
      <c r="AM379" s="315"/>
      <c r="AN379" s="433">
        <v>237</v>
      </c>
      <c r="AO379" s="11" t="str">
        <f ca="1">BV!C379</f>
        <v/>
      </c>
      <c r="AP379" s="11" t="str">
        <f ca="1">BV!K379</f>
        <v/>
      </c>
      <c r="AQ379" s="11" t="str">
        <f ca="1">BV!S379</f>
        <v/>
      </c>
      <c r="AR379" s="11" t="str">
        <f ca="1">BV!AA379</f>
        <v/>
      </c>
      <c r="AS379" s="11" t="str">
        <f ca="1">BV!AI379</f>
        <v/>
      </c>
      <c r="AT379" s="11" t="str">
        <f ca="1">BV!AQ379</f>
        <v/>
      </c>
      <c r="AU379" s="11" t="str">
        <f ca="1">BV!AY379</f>
        <v/>
      </c>
      <c r="AV379" s="11" t="str">
        <f ca="1">BV!BG379</f>
        <v/>
      </c>
      <c r="AW379" s="11" t="str">
        <f ca="1">BV!BO379</f>
        <v/>
      </c>
      <c r="AX379" s="11" t="str">
        <f ca="1">BV!BW379</f>
        <v/>
      </c>
      <c r="AY379" s="271" t="s">
        <v>67</v>
      </c>
      <c r="AZ379" s="274">
        <f t="shared" si="215"/>
        <v>3.7924191351709533</v>
      </c>
      <c r="BA379" s="261">
        <v>1.6128013E-4</v>
      </c>
      <c r="BB379" s="268">
        <v>1.1696266019999997E-2</v>
      </c>
      <c r="BC379" s="268">
        <f t="shared" si="216"/>
        <v>1.3789027175358315E-2</v>
      </c>
      <c r="BD379" s="269" t="str">
        <f ca="1">IF(BV!H379="","",INT(NOW()-BV!H379))</f>
        <v/>
      </c>
      <c r="BE379" s="275">
        <f t="shared" si="217"/>
        <v>78.742566808309917</v>
      </c>
      <c r="BF379" s="11" t="str">
        <f ca="1">BV!G379</f>
        <v/>
      </c>
      <c r="BG379" s="11" t="str">
        <f ca="1">BV!O379</f>
        <v/>
      </c>
      <c r="BH379" s="11" t="str">
        <f ca="1">BV!W379</f>
        <v/>
      </c>
      <c r="BI379" s="11" t="str">
        <f ca="1">BV!AE379</f>
        <v/>
      </c>
      <c r="BJ379" s="11" t="str">
        <f ca="1">BV!AM379</f>
        <v/>
      </c>
      <c r="BK379" s="11" t="str">
        <f ca="1">BV!AU379</f>
        <v/>
      </c>
      <c r="BL379" s="11" t="str">
        <f ca="1">BV!BC379</f>
        <v/>
      </c>
      <c r="BM379" s="11" t="str">
        <f ca="1">BV!BK379</f>
        <v/>
      </c>
      <c r="BN379" s="11" t="str">
        <f ca="1">BV!BS379</f>
        <v/>
      </c>
      <c r="BO379" s="11" t="str">
        <f ca="1">BV!CA379</f>
        <v/>
      </c>
      <c r="BP379" s="433">
        <v>237</v>
      </c>
      <c r="BQ379" s="11" t="str">
        <f ca="1">IFERROR(YEAR(OFFSET(BV!$H379,,(COLUMN()-69)*8)),"")</f>
        <v/>
      </c>
      <c r="BR379" s="11" t="str">
        <f ca="1">IFERROR(YEAR(OFFSET(BV!$H379,,(COLUMN()-69)*8)),"")</f>
        <v/>
      </c>
      <c r="BS379" s="11" t="str">
        <f ca="1">IFERROR(YEAR(OFFSET(BV!$H379,,(COLUMN()-69)*8)),"")</f>
        <v/>
      </c>
      <c r="BT379" s="11" t="str">
        <f ca="1">IFERROR(YEAR(OFFSET(BV!$H379,,(COLUMN()-69)*8)),"")</f>
        <v/>
      </c>
      <c r="BU379" s="11" t="str">
        <f ca="1">IFERROR(YEAR(OFFSET(BV!$H379,,(COLUMN()-69)*8)),"")</f>
        <v/>
      </c>
      <c r="BV379" s="11" t="str">
        <f ca="1">IFERROR(YEAR(OFFSET(BV!$H379,,(COLUMN()-69)*8)),"")</f>
        <v/>
      </c>
      <c r="BW379" s="11" t="str">
        <f ca="1">IFERROR(YEAR(OFFSET(BV!$H379,,(COLUMN()-69)*8)),"")</f>
        <v/>
      </c>
      <c r="BX379" s="11" t="str">
        <f ca="1">IFERROR(YEAR(OFFSET(BV!$H379,,(COLUMN()-69)*8)),"")</f>
        <v/>
      </c>
      <c r="BY379" s="11" t="str">
        <f ca="1">IFERROR(YEAR(OFFSET(BV!$H379,,(COLUMN()-69)*8)),"")</f>
        <v/>
      </c>
      <c r="BZ379" s="11" t="str">
        <f ca="1">IFERROR(YEAR(OFFSET(BV!$H379,,(COLUMN()-69)*8)),"")</f>
        <v/>
      </c>
    </row>
    <row r="380" spans="1:78" x14ac:dyDescent="0.25">
      <c r="A380" s="433">
        <v>238</v>
      </c>
      <c r="B380" s="11" t="str">
        <f ca="1">BV!D380</f>
        <v/>
      </c>
      <c r="C380" s="11" t="str">
        <f ca="1">BV!L380</f>
        <v/>
      </c>
      <c r="D380" s="11" t="str">
        <f ca="1">BV!T380</f>
        <v/>
      </c>
      <c r="E380" s="11" t="str">
        <f ca="1">BV!AB380</f>
        <v/>
      </c>
      <c r="F380" s="11" t="str">
        <f ca="1">BV!AJ380</f>
        <v/>
      </c>
      <c r="G380" s="11" t="str">
        <f ca="1">BV!AR380</f>
        <v/>
      </c>
      <c r="H380" s="11" t="str">
        <f ca="1">BV!AZ380</f>
        <v/>
      </c>
      <c r="I380" s="11" t="str">
        <f ca="1">BV!BH380</f>
        <v/>
      </c>
      <c r="J380" s="11" t="str">
        <f ca="1">BV!BP380</f>
        <v/>
      </c>
      <c r="K380" s="11" t="str">
        <f ca="1">BV!BX380</f>
        <v/>
      </c>
      <c r="L380" s="271" t="s">
        <v>67</v>
      </c>
      <c r="M380" s="261">
        <v>1.3986815200000001E-4</v>
      </c>
      <c r="N380" s="272" t="str">
        <f t="shared" ca="1" si="214"/>
        <v/>
      </c>
      <c r="O380" s="31" t="s">
        <v>385</v>
      </c>
      <c r="P380" s="35">
        <f ca="1">SUMIF(Num!$G$1:$G$199,ASB!$O380,OFFSET(Num!$J$1,0,(COLUMN()-16)*4-2,200,1))</f>
        <v>669</v>
      </c>
      <c r="Q380" s="35">
        <f ca="1">SUMIF(Num!$G$1:$G$199,ASB!$O380,OFFSET(Num!$J$1,0,(COLUMN()-16)*4-2,200,1))</f>
        <v>385</v>
      </c>
      <c r="R380" s="35">
        <f ca="1">SUMIF(Num!$G$1:$G$199,ASB!$O380,OFFSET(Num!$J$1,0,(COLUMN()-16)*4-2,200,1))</f>
        <v>284</v>
      </c>
      <c r="S380" s="35">
        <f ca="1">SUMIF(Num!$G$1:$G$199,ASB!$O380,OFFSET(Num!$J$1,0,(COLUMN()-16)*4-2,200,1))</f>
        <v>0</v>
      </c>
      <c r="T380" s="35">
        <f ca="1">SUMIF(Num!$G$1:$G$199,ASB!$O380,OFFSET(Num!$J$1,0,(COLUMN()-16)*4-2,200,1))</f>
        <v>0</v>
      </c>
      <c r="U380" s="35">
        <f ca="1">SUMIF(Num!$G$1:$G$199,ASB!$O380,OFFSET(Num!$J$1,0,(COLUMN()-16)*4-2,200,1))</f>
        <v>0</v>
      </c>
      <c r="V380" s="35">
        <f ca="1">SUMIF(Num!$G$1:$G$199,ASB!$O380,OFFSET(Num!$J$1,0,(COLUMN()-16)*4-2,200,1))</f>
        <v>0</v>
      </c>
      <c r="W380" s="35">
        <f ca="1">SUMIF(Num!$G$1:$G$199,ASB!$O380,OFFSET(Num!$J$1,0,(COLUMN()-16)*4-2,200,1))</f>
        <v>0</v>
      </c>
      <c r="X380" s="347"/>
      <c r="Y380" s="347"/>
      <c r="Z380" s="344"/>
      <c r="AA380" s="4">
        <v>1</v>
      </c>
      <c r="AB380" s="24">
        <f ca="1">LARGE($N$242:$N$430,AA380)</f>
        <v>113.46991104437738</v>
      </c>
      <c r="AC380" s="24" t="s">
        <v>40</v>
      </c>
      <c r="AD380" s="24">
        <f ca="1">MATCH(AB380,$N$242:$N$430,0)+99</f>
        <v>242</v>
      </c>
      <c r="AE380" s="39">
        <f t="shared" ca="1" si="213"/>
        <v>4.109761428788711</v>
      </c>
      <c r="AF380" s="344"/>
      <c r="AG380" s="344"/>
      <c r="AH380" s="344"/>
      <c r="AI380" s="344"/>
      <c r="AJ380" s="344"/>
      <c r="AK380" s="344"/>
      <c r="AL380" s="344"/>
      <c r="AM380" s="315"/>
      <c r="AN380" s="433">
        <v>238</v>
      </c>
      <c r="AO380" s="11" t="str">
        <f ca="1">BV!C380</f>
        <v/>
      </c>
      <c r="AP380" s="11" t="str">
        <f ca="1">BV!K380</f>
        <v/>
      </c>
      <c r="AQ380" s="11" t="str">
        <f ca="1">BV!S380</f>
        <v/>
      </c>
      <c r="AR380" s="11" t="str">
        <f ca="1">BV!AA380</f>
        <v/>
      </c>
      <c r="AS380" s="11" t="str">
        <f ca="1">BV!AI380</f>
        <v/>
      </c>
      <c r="AT380" s="11" t="str">
        <f ca="1">BV!AQ380</f>
        <v/>
      </c>
      <c r="AU380" s="11" t="str">
        <f ca="1">BV!AY380</f>
        <v/>
      </c>
      <c r="AV380" s="11" t="str">
        <f ca="1">BV!BG380</f>
        <v/>
      </c>
      <c r="AW380" s="11" t="str">
        <f ca="1">BV!BO380</f>
        <v/>
      </c>
      <c r="AX380" s="11" t="str">
        <f ca="1">BV!BW380</f>
        <v/>
      </c>
      <c r="AY380" s="271" t="s">
        <v>67</v>
      </c>
      <c r="AZ380" s="274">
        <f t="shared" si="215"/>
        <v>3.8542811631725562</v>
      </c>
      <c r="BA380" s="261">
        <v>1.3986815200000001E-4</v>
      </c>
      <c r="BB380" s="268">
        <v>1.1696266019999997E-2</v>
      </c>
      <c r="BC380" s="268">
        <f t="shared" si="216"/>
        <v>1.1958359339710029E-2</v>
      </c>
      <c r="BD380" s="269" t="str">
        <f ca="1">IF(BV!H380="","",INT(NOW()-BV!H380))</f>
        <v/>
      </c>
      <c r="BE380" s="275">
        <f t="shared" si="217"/>
        <v>84.555250711256036</v>
      </c>
      <c r="BF380" s="11" t="str">
        <f ca="1">BV!G380</f>
        <v/>
      </c>
      <c r="BG380" s="11" t="str">
        <f ca="1">BV!O380</f>
        <v/>
      </c>
      <c r="BH380" s="11" t="str">
        <f ca="1">BV!W380</f>
        <v/>
      </c>
      <c r="BI380" s="11" t="str">
        <f ca="1">BV!AE380</f>
        <v/>
      </c>
      <c r="BJ380" s="11" t="str">
        <f ca="1">BV!AM380</f>
        <v/>
      </c>
      <c r="BK380" s="11" t="str">
        <f ca="1">BV!AU380</f>
        <v/>
      </c>
      <c r="BL380" s="11" t="str">
        <f ca="1">BV!BC380</f>
        <v/>
      </c>
      <c r="BM380" s="11" t="str">
        <f ca="1">BV!BK380</f>
        <v/>
      </c>
      <c r="BN380" s="11" t="str">
        <f ca="1">BV!BS380</f>
        <v/>
      </c>
      <c r="BO380" s="11" t="str">
        <f ca="1">BV!CA380</f>
        <v/>
      </c>
      <c r="BP380" s="433">
        <v>238</v>
      </c>
      <c r="BQ380" s="11" t="str">
        <f ca="1">IFERROR(YEAR(OFFSET(BV!$H380,,(COLUMN()-69)*8)),"")</f>
        <v/>
      </c>
      <c r="BR380" s="11" t="str">
        <f ca="1">IFERROR(YEAR(OFFSET(BV!$H380,,(COLUMN()-69)*8)),"")</f>
        <v/>
      </c>
      <c r="BS380" s="11" t="str">
        <f ca="1">IFERROR(YEAR(OFFSET(BV!$H380,,(COLUMN()-69)*8)),"")</f>
        <v/>
      </c>
      <c r="BT380" s="11" t="str">
        <f ca="1">IFERROR(YEAR(OFFSET(BV!$H380,,(COLUMN()-69)*8)),"")</f>
        <v/>
      </c>
      <c r="BU380" s="11" t="str">
        <f ca="1">IFERROR(YEAR(OFFSET(BV!$H380,,(COLUMN()-69)*8)),"")</f>
        <v/>
      </c>
      <c r="BV380" s="11" t="str">
        <f ca="1">IFERROR(YEAR(OFFSET(BV!$H380,,(COLUMN()-69)*8)),"")</f>
        <v/>
      </c>
      <c r="BW380" s="11" t="str">
        <f ca="1">IFERROR(YEAR(OFFSET(BV!$H380,,(COLUMN()-69)*8)),"")</f>
        <v/>
      </c>
      <c r="BX380" s="11" t="str">
        <f ca="1">IFERROR(YEAR(OFFSET(BV!$H380,,(COLUMN()-69)*8)),"")</f>
        <v/>
      </c>
      <c r="BY380" s="11" t="str">
        <f ca="1">IFERROR(YEAR(OFFSET(BV!$H380,,(COLUMN()-69)*8)),"")</f>
        <v/>
      </c>
      <c r="BZ380" s="11" t="str">
        <f ca="1">IFERROR(YEAR(OFFSET(BV!$H380,,(COLUMN()-69)*8)),"")</f>
        <v/>
      </c>
    </row>
    <row r="381" spans="1:78" x14ac:dyDescent="0.25">
      <c r="A381" s="433">
        <v>239</v>
      </c>
      <c r="B381" s="11" t="str">
        <f ca="1">BV!D381</f>
        <v/>
      </c>
      <c r="C381" s="11" t="str">
        <f ca="1">BV!L381</f>
        <v/>
      </c>
      <c r="D381" s="11" t="str">
        <f ca="1">BV!T381</f>
        <v/>
      </c>
      <c r="E381" s="11" t="str">
        <f ca="1">BV!AB381</f>
        <v/>
      </c>
      <c r="F381" s="11" t="str">
        <f ca="1">BV!AJ381</f>
        <v/>
      </c>
      <c r="G381" s="11" t="str">
        <f ca="1">BV!AR381</f>
        <v/>
      </c>
      <c r="H381" s="11" t="str">
        <f ca="1">BV!AZ381</f>
        <v/>
      </c>
      <c r="I381" s="11" t="str">
        <f ca="1">BV!BH381</f>
        <v/>
      </c>
      <c r="J381" s="11" t="str">
        <f ca="1">BV!BP381</f>
        <v/>
      </c>
      <c r="K381" s="11" t="str">
        <f ca="1">BV!BX381</f>
        <v/>
      </c>
      <c r="L381" s="271" t="s">
        <v>67</v>
      </c>
      <c r="M381" s="261">
        <v>1.21081381E-4</v>
      </c>
      <c r="N381" s="272" t="str">
        <f t="shared" ca="1" si="214"/>
        <v/>
      </c>
      <c r="O381" s="31" t="s">
        <v>386</v>
      </c>
      <c r="P381" s="35">
        <f ca="1">SUMIF(Num!$G$1:$G$199,ASB!$O381,OFFSET(Num!$J$1,0,(COLUMN()-16)*4-2,200,1))</f>
        <v>7640</v>
      </c>
      <c r="Q381" s="35">
        <f ca="1">SUMIF(Num!$G$1:$G$199,ASB!$O381,OFFSET(Num!$J$1,0,(COLUMN()-16)*4-2,200,1))</f>
        <v>4101</v>
      </c>
      <c r="R381" s="35">
        <f ca="1">SUMIF(Num!$G$1:$G$199,ASB!$O381,OFFSET(Num!$J$1,0,(COLUMN()-16)*4-2,200,1))</f>
        <v>3539</v>
      </c>
      <c r="S381" s="35">
        <f ca="1">SUMIF(Num!$G$1:$G$199,ASB!$O381,OFFSET(Num!$J$1,0,(COLUMN()-16)*4-2,200,1))</f>
        <v>0</v>
      </c>
      <c r="T381" s="35">
        <f ca="1">SUMIF(Num!$G$1:$G$199,ASB!$O381,OFFSET(Num!$J$1,0,(COLUMN()-16)*4-2,200,1))</f>
        <v>0</v>
      </c>
      <c r="U381" s="35">
        <f ca="1">SUMIF(Num!$G$1:$G$199,ASB!$O381,OFFSET(Num!$J$1,0,(COLUMN()-16)*4-2,200,1))</f>
        <v>0</v>
      </c>
      <c r="V381" s="35">
        <f ca="1">SUMIF(Num!$G$1:$G$199,ASB!$O381,OFFSET(Num!$J$1,0,(COLUMN()-16)*4-2,200,1))</f>
        <v>0</v>
      </c>
      <c r="W381" s="35">
        <f ca="1">SUMIF(Num!$G$1:$G$199,ASB!$O381,OFFSET(Num!$J$1,0,(COLUMN()-16)*4-2,200,1))</f>
        <v>0</v>
      </c>
      <c r="X381" s="347"/>
      <c r="Y381" s="347"/>
      <c r="Z381" s="344"/>
      <c r="AA381" s="4">
        <v>2</v>
      </c>
      <c r="AB381" s="24">
        <f t="shared" ref="AB381:AB391" ca="1" si="225">LARGE($N$242:$N$430,AA381)</f>
        <v>73.408929246065995</v>
      </c>
      <c r="AC381" s="24" t="s">
        <v>40</v>
      </c>
      <c r="AD381" s="24">
        <f t="shared" ref="AD381:AD391" ca="1" si="226">MATCH(AB381,$N$242:$N$430,0)+99</f>
        <v>236</v>
      </c>
      <c r="AE381" s="39">
        <f t="shared" ca="1" si="213"/>
        <v>3.7314977788630657</v>
      </c>
      <c r="AF381" s="344"/>
      <c r="AG381" s="344"/>
      <c r="AH381" s="344"/>
      <c r="AI381" s="344"/>
      <c r="AJ381" s="344"/>
      <c r="AK381" s="344"/>
      <c r="AL381" s="344"/>
      <c r="AM381" s="315"/>
      <c r="AN381" s="433">
        <v>239</v>
      </c>
      <c r="AO381" s="11" t="str">
        <f ca="1">BV!C381</f>
        <v/>
      </c>
      <c r="AP381" s="11" t="str">
        <f ca="1">BV!K381</f>
        <v/>
      </c>
      <c r="AQ381" s="11" t="str">
        <f ca="1">BV!S381</f>
        <v/>
      </c>
      <c r="AR381" s="11" t="str">
        <f ca="1">BV!AA381</f>
        <v/>
      </c>
      <c r="AS381" s="11" t="str">
        <f ca="1">BV!AI381</f>
        <v/>
      </c>
      <c r="AT381" s="11" t="str">
        <f ca="1">BV!AQ381</f>
        <v/>
      </c>
      <c r="AU381" s="11" t="str">
        <f ca="1">BV!AY381</f>
        <v/>
      </c>
      <c r="AV381" s="11" t="str">
        <f ca="1">BV!BG381</f>
        <v/>
      </c>
      <c r="AW381" s="11" t="str">
        <f ca="1">BV!BO381</f>
        <v/>
      </c>
      <c r="AX381" s="11" t="str">
        <f ca="1">BV!BW381</f>
        <v/>
      </c>
      <c r="AY381" s="271" t="s">
        <v>67</v>
      </c>
      <c r="AZ381" s="274">
        <f t="shared" si="215"/>
        <v>3.9169226343188739</v>
      </c>
      <c r="BA381" s="261">
        <v>1.21081381E-4</v>
      </c>
      <c r="BB381" s="268">
        <v>1.1696266019999997E-2</v>
      </c>
      <c r="BC381" s="268">
        <f t="shared" si="216"/>
        <v>1.0352139801963912E-2</v>
      </c>
      <c r="BD381" s="269" t="str">
        <f ca="1">IF(BV!H381="","",INT(NOW()-BV!H381))</f>
        <v/>
      </c>
      <c r="BE381" s="275">
        <f t="shared" si="217"/>
        <v>90.878534946594698</v>
      </c>
      <c r="BF381" s="11" t="str">
        <f ca="1">BV!G381</f>
        <v/>
      </c>
      <c r="BG381" s="11" t="str">
        <f ca="1">BV!O381</f>
        <v/>
      </c>
      <c r="BH381" s="11" t="str">
        <f ca="1">BV!W381</f>
        <v/>
      </c>
      <c r="BI381" s="11" t="str">
        <f ca="1">BV!AE381</f>
        <v/>
      </c>
      <c r="BJ381" s="11" t="str">
        <f ca="1">BV!AM381</f>
        <v/>
      </c>
      <c r="BK381" s="11" t="str">
        <f ca="1">BV!AU381</f>
        <v/>
      </c>
      <c r="BL381" s="11" t="str">
        <f ca="1">BV!BC381</f>
        <v/>
      </c>
      <c r="BM381" s="11" t="str">
        <f ca="1">BV!BK381</f>
        <v/>
      </c>
      <c r="BN381" s="11" t="str">
        <f ca="1">BV!BS381</f>
        <v/>
      </c>
      <c r="BO381" s="11" t="str">
        <f ca="1">BV!CA381</f>
        <v/>
      </c>
      <c r="BP381" s="433">
        <v>239</v>
      </c>
      <c r="BQ381" s="11" t="str">
        <f ca="1">IFERROR(YEAR(OFFSET(BV!$H381,,(COLUMN()-69)*8)),"")</f>
        <v/>
      </c>
      <c r="BR381" s="11" t="str">
        <f ca="1">IFERROR(YEAR(OFFSET(BV!$H381,,(COLUMN()-69)*8)),"")</f>
        <v/>
      </c>
      <c r="BS381" s="11" t="str">
        <f ca="1">IFERROR(YEAR(OFFSET(BV!$H381,,(COLUMN()-69)*8)),"")</f>
        <v/>
      </c>
      <c r="BT381" s="11" t="str">
        <f ca="1">IFERROR(YEAR(OFFSET(BV!$H381,,(COLUMN()-69)*8)),"")</f>
        <v/>
      </c>
      <c r="BU381" s="11" t="str">
        <f ca="1">IFERROR(YEAR(OFFSET(BV!$H381,,(COLUMN()-69)*8)),"")</f>
        <v/>
      </c>
      <c r="BV381" s="11" t="str">
        <f ca="1">IFERROR(YEAR(OFFSET(BV!$H381,,(COLUMN()-69)*8)),"")</f>
        <v/>
      </c>
      <c r="BW381" s="11" t="str">
        <f ca="1">IFERROR(YEAR(OFFSET(BV!$H381,,(COLUMN()-69)*8)),"")</f>
        <v/>
      </c>
      <c r="BX381" s="11" t="str">
        <f ca="1">IFERROR(YEAR(OFFSET(BV!$H381,,(COLUMN()-69)*8)),"")</f>
        <v/>
      </c>
      <c r="BY381" s="11" t="str">
        <f ca="1">IFERROR(YEAR(OFFSET(BV!$H381,,(COLUMN()-69)*8)),"")</f>
        <v/>
      </c>
      <c r="BZ381" s="11" t="str">
        <f ca="1">IFERROR(YEAR(OFFSET(BV!$H381,,(COLUMN()-69)*8)),"")</f>
        <v/>
      </c>
    </row>
    <row r="382" spans="1:78" x14ac:dyDescent="0.25">
      <c r="A382" s="433">
        <v>240</v>
      </c>
      <c r="B382" s="11" t="str">
        <f ca="1">BV!D382</f>
        <v/>
      </c>
      <c r="C382" s="11" t="str">
        <f ca="1">BV!L382</f>
        <v/>
      </c>
      <c r="D382" s="11" t="str">
        <f ca="1">BV!T382</f>
        <v/>
      </c>
      <c r="E382" s="11" t="str">
        <f ca="1">BV!AB382</f>
        <v/>
      </c>
      <c r="F382" s="11" t="str">
        <f ca="1">BV!AJ382</f>
        <v/>
      </c>
      <c r="G382" s="11" t="str">
        <f ca="1">BV!AR382</f>
        <v/>
      </c>
      <c r="H382" s="11" t="str">
        <f ca="1">BV!AZ382</f>
        <v/>
      </c>
      <c r="I382" s="11" t="str">
        <f ca="1">BV!BH382</f>
        <v/>
      </c>
      <c r="J382" s="11" t="str">
        <f ca="1">BV!BP382</f>
        <v/>
      </c>
      <c r="K382" s="11" t="str">
        <f ca="1">BV!BX382</f>
        <v/>
      </c>
      <c r="L382" s="271" t="s">
        <v>67</v>
      </c>
      <c r="M382" s="261">
        <v>1.04634157E-4</v>
      </c>
      <c r="N382" s="272" t="str">
        <f t="shared" ca="1" si="214"/>
        <v/>
      </c>
      <c r="O382" s="31" t="s">
        <v>387</v>
      </c>
      <c r="P382" s="35">
        <f ca="1">SUMIF(Num!$G$1:$G$199,ASB!$O382,OFFSET(Num!$J$1,0,(COLUMN()-16)*4-2,200,1))</f>
        <v>1216</v>
      </c>
      <c r="Q382" s="35">
        <f ca="1">SUMIF(Num!$G$1:$G$199,ASB!$O382,OFFSET(Num!$J$1,0,(COLUMN()-16)*4-2,200,1))</f>
        <v>681</v>
      </c>
      <c r="R382" s="35">
        <f ca="1">SUMIF(Num!$G$1:$G$199,ASB!$O382,OFFSET(Num!$J$1,0,(COLUMN()-16)*4-2,200,1))</f>
        <v>535</v>
      </c>
      <c r="S382" s="35">
        <f ca="1">SUMIF(Num!$G$1:$G$199,ASB!$O382,OFFSET(Num!$J$1,0,(COLUMN()-16)*4-2,200,1))</f>
        <v>0</v>
      </c>
      <c r="T382" s="35">
        <f ca="1">SUMIF(Num!$G$1:$G$199,ASB!$O382,OFFSET(Num!$J$1,0,(COLUMN()-16)*4-2,200,1))</f>
        <v>0</v>
      </c>
      <c r="U382" s="35">
        <f ca="1">SUMIF(Num!$G$1:$G$199,ASB!$O382,OFFSET(Num!$J$1,0,(COLUMN()-16)*4-2,200,1))</f>
        <v>0</v>
      </c>
      <c r="V382" s="35">
        <f ca="1">SUMIF(Num!$G$1:$G$199,ASB!$O382,OFFSET(Num!$J$1,0,(COLUMN()-16)*4-2,200,1))</f>
        <v>0</v>
      </c>
      <c r="W382" s="35">
        <f ca="1">SUMIF(Num!$G$1:$G$199,ASB!$O382,OFFSET(Num!$J$1,0,(COLUMN()-16)*4-2,200,1))</f>
        <v>0</v>
      </c>
      <c r="X382" s="347"/>
      <c r="Y382" s="347"/>
      <c r="Z382" s="344"/>
      <c r="AA382" s="4">
        <v>3</v>
      </c>
      <c r="AB382" s="24">
        <f t="shared" ca="1" si="225"/>
        <v>43.306636592921656</v>
      </c>
      <c r="AC382" s="24" t="s">
        <v>40</v>
      </c>
      <c r="AD382" s="24">
        <f t="shared" ca="1" si="226"/>
        <v>228</v>
      </c>
      <c r="AE382" s="39">
        <f t="shared" ca="1" si="213"/>
        <v>3.2731089111744853</v>
      </c>
      <c r="AF382" s="344"/>
      <c r="AG382" s="344"/>
      <c r="AH382" s="344"/>
      <c r="AI382" s="344"/>
      <c r="AJ382" s="344"/>
      <c r="AK382" s="344"/>
      <c r="AL382" s="315"/>
      <c r="AM382" s="315"/>
      <c r="AN382" s="433">
        <v>240</v>
      </c>
      <c r="AO382" s="11" t="str">
        <f ca="1">BV!C382</f>
        <v/>
      </c>
      <c r="AP382" s="11" t="str">
        <f ca="1">BV!K382</f>
        <v/>
      </c>
      <c r="AQ382" s="11" t="str">
        <f ca="1">BV!S382</f>
        <v/>
      </c>
      <c r="AR382" s="11" t="str">
        <f ca="1">BV!AA382</f>
        <v/>
      </c>
      <c r="AS382" s="11" t="str">
        <f ca="1">BV!AI382</f>
        <v/>
      </c>
      <c r="AT382" s="11" t="str">
        <f ca="1">BV!AQ382</f>
        <v/>
      </c>
      <c r="AU382" s="11" t="str">
        <f ca="1">BV!AY382</f>
        <v/>
      </c>
      <c r="AV382" s="11" t="str">
        <f ca="1">BV!BG382</f>
        <v/>
      </c>
      <c r="AW382" s="11" t="str">
        <f ca="1">BV!BO382</f>
        <v/>
      </c>
      <c r="AX382" s="11" t="str">
        <f ca="1">BV!BW382</f>
        <v/>
      </c>
      <c r="AY382" s="271" t="s">
        <v>67</v>
      </c>
      <c r="AZ382" s="274">
        <f t="shared" si="215"/>
        <v>3.9803265202956921</v>
      </c>
      <c r="BA382" s="261">
        <v>1.04634157E-4</v>
      </c>
      <c r="BB382" s="268">
        <v>1.1696266019999997E-2</v>
      </c>
      <c r="BC382" s="268">
        <f t="shared" si="216"/>
        <v>8.9459453830035267E-3</v>
      </c>
      <c r="BD382" s="269" t="str">
        <f ca="1">IF(BV!H382="","",INT(NOW()-BV!H382))</f>
        <v/>
      </c>
      <c r="BE382" s="275">
        <f t="shared" si="217"/>
        <v>97.760465340425753</v>
      </c>
      <c r="BF382" s="11" t="str">
        <f ca="1">BV!G382</f>
        <v/>
      </c>
      <c r="BG382" s="11" t="str">
        <f ca="1">BV!O382</f>
        <v/>
      </c>
      <c r="BH382" s="11" t="str">
        <f ca="1">BV!W382</f>
        <v/>
      </c>
      <c r="BI382" s="11" t="str">
        <f ca="1">BV!AE382</f>
        <v/>
      </c>
      <c r="BJ382" s="11" t="str">
        <f ca="1">BV!AM382</f>
        <v/>
      </c>
      <c r="BK382" s="11" t="str">
        <f ca="1">BV!AU382</f>
        <v/>
      </c>
      <c r="BL382" s="11" t="str">
        <f ca="1">BV!BC382</f>
        <v/>
      </c>
      <c r="BM382" s="11" t="str">
        <f ca="1">BV!BK382</f>
        <v/>
      </c>
      <c r="BN382" s="11" t="str">
        <f ca="1">BV!BS382</f>
        <v/>
      </c>
      <c r="BO382" s="11" t="str">
        <f ca="1">BV!CA382</f>
        <v/>
      </c>
      <c r="BP382" s="433">
        <v>240</v>
      </c>
      <c r="BQ382" s="11" t="str">
        <f ca="1">IFERROR(YEAR(OFFSET(BV!$H382,,(COLUMN()-69)*8)),"")</f>
        <v/>
      </c>
      <c r="BR382" s="11" t="str">
        <f ca="1">IFERROR(YEAR(OFFSET(BV!$H382,,(COLUMN()-69)*8)),"")</f>
        <v/>
      </c>
      <c r="BS382" s="11" t="str">
        <f ca="1">IFERROR(YEAR(OFFSET(BV!$H382,,(COLUMN()-69)*8)),"")</f>
        <v/>
      </c>
      <c r="BT382" s="11" t="str">
        <f ca="1">IFERROR(YEAR(OFFSET(BV!$H382,,(COLUMN()-69)*8)),"")</f>
        <v/>
      </c>
      <c r="BU382" s="11" t="str">
        <f ca="1">IFERROR(YEAR(OFFSET(BV!$H382,,(COLUMN()-69)*8)),"")</f>
        <v/>
      </c>
      <c r="BV382" s="11" t="str">
        <f ca="1">IFERROR(YEAR(OFFSET(BV!$H382,,(COLUMN()-69)*8)),"")</f>
        <v/>
      </c>
      <c r="BW382" s="11" t="str">
        <f ca="1">IFERROR(YEAR(OFFSET(BV!$H382,,(COLUMN()-69)*8)),"")</f>
        <v/>
      </c>
      <c r="BX382" s="11" t="str">
        <f ca="1">IFERROR(YEAR(OFFSET(BV!$H382,,(COLUMN()-69)*8)),"")</f>
        <v/>
      </c>
      <c r="BY382" s="11" t="str">
        <f ca="1">IFERROR(YEAR(OFFSET(BV!$H382,,(COLUMN()-69)*8)),"")</f>
        <v/>
      </c>
      <c r="BZ382" s="11" t="str">
        <f ca="1">IFERROR(YEAR(OFFSET(BV!$H382,,(COLUMN()-69)*8)),"")</f>
        <v/>
      </c>
    </row>
    <row r="383" spans="1:78" x14ac:dyDescent="0.25">
      <c r="A383" s="433">
        <v>241</v>
      </c>
      <c r="B383" s="11" t="str">
        <f ca="1">BV!D383</f>
        <v/>
      </c>
      <c r="C383" s="11" t="str">
        <f ca="1">BV!L383</f>
        <v/>
      </c>
      <c r="D383" s="11" t="str">
        <f ca="1">BV!T383</f>
        <v/>
      </c>
      <c r="E383" s="11" t="str">
        <f ca="1">BV!AB383</f>
        <v/>
      </c>
      <c r="F383" s="11" t="str">
        <f ca="1">BV!AJ383</f>
        <v/>
      </c>
      <c r="G383" s="11" t="str">
        <f ca="1">BV!AR383</f>
        <v/>
      </c>
      <c r="H383" s="11" t="str">
        <f ca="1">BV!AZ383</f>
        <v/>
      </c>
      <c r="I383" s="11" t="str">
        <f ca="1">BV!BH383</f>
        <v/>
      </c>
      <c r="J383" s="11" t="str">
        <f ca="1">BV!BP383</f>
        <v/>
      </c>
      <c r="K383" s="11" t="str">
        <f ca="1">BV!BX383</f>
        <v/>
      </c>
      <c r="L383" s="64" t="s">
        <v>66</v>
      </c>
      <c r="M383" s="261">
        <v>9.0229765999999995E-5</v>
      </c>
      <c r="N383" s="262" t="str">
        <f t="shared" ca="1" si="214"/>
        <v/>
      </c>
      <c r="O383" s="36" t="s">
        <v>388</v>
      </c>
      <c r="P383" s="487">
        <f ca="1">SUMIF(Num!$G$1:$G$199,ASB!$O383,OFFSET(Num!$J$1,0,(COLUMN()-16)*4-2,200,1))</f>
        <v>198</v>
      </c>
      <c r="Q383" s="487">
        <f ca="1">SUMIF(Num!$G$1:$G$199,ASB!$O383,OFFSET(Num!$J$1,0,(COLUMN()-16)*4-2,200,1))</f>
        <v>118</v>
      </c>
      <c r="R383" s="487">
        <f ca="1">SUMIF(Num!$G$1:$G$199,ASB!$O383,OFFSET(Num!$J$1,0,(COLUMN()-16)*4-2,200,1))</f>
        <v>80</v>
      </c>
      <c r="S383" s="487">
        <f ca="1">SUMIF(Num!$G$1:$G$199,ASB!$O383,OFFSET(Num!$J$1,0,(COLUMN()-16)*4-2,200,1))</f>
        <v>0</v>
      </c>
      <c r="T383" s="487">
        <f ca="1">SUMIF(Num!$G$1:$G$199,ASB!$O383,OFFSET(Num!$J$1,0,(COLUMN()-16)*4-2,200,1))</f>
        <v>0</v>
      </c>
      <c r="U383" s="487">
        <f ca="1">SUMIF(Num!$G$1:$G$199,ASB!$O383,OFFSET(Num!$J$1,0,(COLUMN()-16)*4-2,200,1))</f>
        <v>0</v>
      </c>
      <c r="V383" s="487">
        <f ca="1">SUMIF(Num!$G$1:$G$199,ASB!$O383,OFFSET(Num!$J$1,0,(COLUMN()-16)*4-2,200,1))</f>
        <v>0</v>
      </c>
      <c r="W383" s="487">
        <f ca="1">SUMIF(Num!$G$1:$G$199,ASB!$O383,OFFSET(Num!$J$1,0,(COLUMN()-16)*4-2,200,1))</f>
        <v>0</v>
      </c>
      <c r="X383" s="347"/>
      <c r="Y383" s="347"/>
      <c r="Z383" s="344"/>
      <c r="AA383" s="4">
        <v>4</v>
      </c>
      <c r="AB383" s="24">
        <f t="shared" ca="1" si="225"/>
        <v>38.319956710659973</v>
      </c>
      <c r="AC383" s="24" t="s">
        <v>40</v>
      </c>
      <c r="AD383" s="24">
        <f t="shared" ca="1" si="226"/>
        <v>226</v>
      </c>
      <c r="AE383" s="39">
        <f t="shared" ca="1" si="213"/>
        <v>3.1668500195848237</v>
      </c>
      <c r="AF383" s="344"/>
      <c r="AG383" s="344"/>
      <c r="AH383" s="344"/>
      <c r="AI383" s="344"/>
      <c r="AJ383" s="344"/>
      <c r="AK383" s="344"/>
      <c r="AL383" s="315"/>
      <c r="AM383" s="315"/>
      <c r="AN383" s="433">
        <v>241</v>
      </c>
      <c r="AO383" s="11" t="str">
        <f ca="1">BV!C383</f>
        <v/>
      </c>
      <c r="AP383" s="11" t="str">
        <f ca="1">BV!K383</f>
        <v/>
      </c>
      <c r="AQ383" s="11" t="str">
        <f ca="1">BV!S383</f>
        <v/>
      </c>
      <c r="AR383" s="11" t="str">
        <f ca="1">BV!AA383</f>
        <v/>
      </c>
      <c r="AS383" s="11" t="str">
        <f ca="1">BV!AI383</f>
        <v/>
      </c>
      <c r="AT383" s="11" t="str">
        <f ca="1">BV!AQ383</f>
        <v/>
      </c>
      <c r="AU383" s="11" t="str">
        <f ca="1">BV!AY383</f>
        <v/>
      </c>
      <c r="AV383" s="11" t="str">
        <f ca="1">BV!BG383</f>
        <v/>
      </c>
      <c r="AW383" s="11" t="str">
        <f ca="1">BV!BO383</f>
        <v/>
      </c>
      <c r="AX383" s="11" t="str">
        <f ca="1">BV!BW383</f>
        <v/>
      </c>
      <c r="AY383" s="64" t="s">
        <v>66</v>
      </c>
      <c r="AZ383" s="38">
        <f t="shared" si="215"/>
        <v>4.044650168921164</v>
      </c>
      <c r="BA383" s="261">
        <v>9.0229765999999995E-5</v>
      </c>
      <c r="BB383" s="268">
        <v>1.1696266019999997E-2</v>
      </c>
      <c r="BC383" s="268">
        <f t="shared" si="216"/>
        <v>7.7144078157688842E-3</v>
      </c>
      <c r="BD383" s="269" t="str">
        <f ca="1">IF(BV!H383="","",INT(NOW()-BV!H383))</f>
        <v/>
      </c>
      <c r="BE383" s="270">
        <f t="shared" si="217"/>
        <v>105.27495985010906</v>
      </c>
      <c r="BF383" s="11" t="str">
        <f ca="1">BV!G383</f>
        <v/>
      </c>
      <c r="BG383" s="11" t="str">
        <f ca="1">BV!O383</f>
        <v/>
      </c>
      <c r="BH383" s="11" t="str">
        <f ca="1">BV!W383</f>
        <v/>
      </c>
      <c r="BI383" s="11" t="str">
        <f ca="1">BV!AE383</f>
        <v/>
      </c>
      <c r="BJ383" s="11" t="str">
        <f ca="1">BV!AM383</f>
        <v/>
      </c>
      <c r="BK383" s="11" t="str">
        <f ca="1">BV!AU383</f>
        <v/>
      </c>
      <c r="BL383" s="11" t="str">
        <f ca="1">BV!BC383</f>
        <v/>
      </c>
      <c r="BM383" s="11" t="str">
        <f ca="1">BV!BK383</f>
        <v/>
      </c>
      <c r="BN383" s="11" t="str">
        <f ca="1">BV!BS383</f>
        <v/>
      </c>
      <c r="BO383" s="11" t="str">
        <f ca="1">BV!CA383</f>
        <v/>
      </c>
      <c r="BP383" s="433">
        <v>241</v>
      </c>
      <c r="BQ383" s="11" t="str">
        <f ca="1">IFERROR(YEAR(OFFSET(BV!$H383,,(COLUMN()-69)*8)),"")</f>
        <v/>
      </c>
      <c r="BR383" s="11" t="str">
        <f ca="1">IFERROR(YEAR(OFFSET(BV!$H383,,(COLUMN()-69)*8)),"")</f>
        <v/>
      </c>
      <c r="BS383" s="11" t="str">
        <f ca="1">IFERROR(YEAR(OFFSET(BV!$H383,,(COLUMN()-69)*8)),"")</f>
        <v/>
      </c>
      <c r="BT383" s="11" t="str">
        <f ca="1">IFERROR(YEAR(OFFSET(BV!$H383,,(COLUMN()-69)*8)),"")</f>
        <v/>
      </c>
      <c r="BU383" s="11" t="str">
        <f ca="1">IFERROR(YEAR(OFFSET(BV!$H383,,(COLUMN()-69)*8)),"")</f>
        <v/>
      </c>
      <c r="BV383" s="11" t="str">
        <f ca="1">IFERROR(YEAR(OFFSET(BV!$H383,,(COLUMN()-69)*8)),"")</f>
        <v/>
      </c>
      <c r="BW383" s="11" t="str">
        <f ca="1">IFERROR(YEAR(OFFSET(BV!$H383,,(COLUMN()-69)*8)),"")</f>
        <v/>
      </c>
      <c r="BX383" s="11" t="str">
        <f ca="1">IFERROR(YEAR(OFFSET(BV!$H383,,(COLUMN()-69)*8)),"")</f>
        <v/>
      </c>
      <c r="BY383" s="11" t="str">
        <f ca="1">IFERROR(YEAR(OFFSET(BV!$H383,,(COLUMN()-69)*8)),"")</f>
        <v/>
      </c>
      <c r="BZ383" s="11" t="str">
        <f ca="1">IFERROR(YEAR(OFFSET(BV!$H383,,(COLUMN()-69)*8)),"")</f>
        <v/>
      </c>
    </row>
    <row r="384" spans="1:78" x14ac:dyDescent="0.25">
      <c r="A384" s="433">
        <v>242</v>
      </c>
      <c r="B384" s="298">
        <f ca="1">BV!D384</f>
        <v>2.6224534026874728</v>
      </c>
      <c r="C384" s="11" t="str">
        <f ca="1">BV!L384</f>
        <v/>
      </c>
      <c r="D384" s="11" t="str">
        <f ca="1">BV!T384</f>
        <v/>
      </c>
      <c r="E384" s="11" t="str">
        <f ca="1">BV!AB384</f>
        <v/>
      </c>
      <c r="F384" s="11" t="str">
        <f ca="1">BV!AJ384</f>
        <v/>
      </c>
      <c r="G384" s="11" t="str">
        <f ca="1">BV!AR384</f>
        <v/>
      </c>
      <c r="H384" s="11" t="str">
        <f ca="1">BV!AZ384</f>
        <v/>
      </c>
      <c r="I384" s="11" t="str">
        <f ca="1">BV!BH384</f>
        <v/>
      </c>
      <c r="J384" s="11" t="str">
        <f ca="1">BV!BP384</f>
        <v/>
      </c>
      <c r="K384" s="11" t="str">
        <f ca="1">BV!BX384</f>
        <v/>
      </c>
      <c r="L384" s="64" t="s">
        <v>66</v>
      </c>
      <c r="M384" s="261">
        <v>7.7667365000000005E-5</v>
      </c>
      <c r="N384" s="262">
        <f t="shared" ca="1" si="214"/>
        <v>113.46991104437738</v>
      </c>
      <c r="O384" s="36" t="s">
        <v>389</v>
      </c>
      <c r="P384" s="487">
        <f ca="1">SUMIF(Num!$G$1:$G$199,ASB!$O384,OFFSET(Num!$J$1,0,(COLUMN()-16)*4-2,200,1))</f>
        <v>2161</v>
      </c>
      <c r="Q384" s="487">
        <f ca="1">SUMIF(Num!$G$1:$G$199,ASB!$O384,OFFSET(Num!$J$1,0,(COLUMN()-16)*4-2,200,1))</f>
        <v>1040</v>
      </c>
      <c r="R384" s="487">
        <f ca="1">SUMIF(Num!$G$1:$G$199,ASB!$O384,OFFSET(Num!$J$1,0,(COLUMN()-16)*4-2,200,1))</f>
        <v>1121</v>
      </c>
      <c r="S384" s="487">
        <f ca="1">SUMIF(Num!$G$1:$G$199,ASB!$O384,OFFSET(Num!$J$1,0,(COLUMN()-16)*4-2,200,1))</f>
        <v>0</v>
      </c>
      <c r="T384" s="487">
        <f ca="1">SUMIF(Num!$G$1:$G$199,ASB!$O384,OFFSET(Num!$J$1,0,(COLUMN()-16)*4-2,200,1))</f>
        <v>0</v>
      </c>
      <c r="U384" s="487">
        <f ca="1">SUMIF(Num!$G$1:$G$199,ASB!$O384,OFFSET(Num!$J$1,0,(COLUMN()-16)*4-2,200,1))</f>
        <v>0</v>
      </c>
      <c r="V384" s="487">
        <f ca="1">SUMIF(Num!$G$1:$G$199,ASB!$O384,OFFSET(Num!$J$1,0,(COLUMN()-16)*4-2,200,1))</f>
        <v>0</v>
      </c>
      <c r="W384" s="487">
        <f ca="1">SUMIF(Num!$G$1:$G$199,ASB!$O384,OFFSET(Num!$J$1,0,(COLUMN()-16)*4-2,200,1))</f>
        <v>0</v>
      </c>
      <c r="X384" s="347"/>
      <c r="Y384" s="347"/>
      <c r="Z384" s="344"/>
      <c r="AA384" s="4">
        <v>5</v>
      </c>
      <c r="AB384" s="24">
        <f t="shared" ca="1" si="225"/>
        <v>37.703141935890137</v>
      </c>
      <c r="AC384" s="24" t="s">
        <v>40</v>
      </c>
      <c r="AD384" s="24">
        <f t="shared" ca="1" si="226"/>
        <v>125</v>
      </c>
      <c r="AE384" s="39">
        <f t="shared" ca="1" si="213"/>
        <v>3.1527550860117257</v>
      </c>
      <c r="AF384" s="344"/>
      <c r="AG384" s="344"/>
      <c r="AH384" s="344"/>
      <c r="AI384" s="344"/>
      <c r="AJ384" s="344"/>
      <c r="AK384" s="344"/>
      <c r="AL384" s="315"/>
      <c r="AM384" s="315"/>
      <c r="AN384" s="433">
        <v>242</v>
      </c>
      <c r="AO384" s="11">
        <f ca="1">BV!C384</f>
        <v>92.28</v>
      </c>
      <c r="AP384" s="11" t="str">
        <f ca="1">BV!K384</f>
        <v/>
      </c>
      <c r="AQ384" s="11" t="str">
        <f ca="1">BV!S384</f>
        <v/>
      </c>
      <c r="AR384" s="11" t="str">
        <f ca="1">BV!AA384</f>
        <v/>
      </c>
      <c r="AS384" s="11" t="str">
        <f ca="1">BV!AI384</f>
        <v/>
      </c>
      <c r="AT384" s="11" t="str">
        <f ca="1">BV!AQ384</f>
        <v/>
      </c>
      <c r="AU384" s="11" t="str">
        <f ca="1">BV!AY384</f>
        <v/>
      </c>
      <c r="AV384" s="11" t="str">
        <f ca="1">BV!BG384</f>
        <v/>
      </c>
      <c r="AW384" s="11" t="str">
        <f ca="1">BV!BO384</f>
        <v/>
      </c>
      <c r="AX384" s="11" t="str">
        <f ca="1">BV!BW384</f>
        <v/>
      </c>
      <c r="AY384" s="64" t="s">
        <v>66</v>
      </c>
      <c r="AZ384" s="38">
        <f t="shared" si="215"/>
        <v>4.109761428788711</v>
      </c>
      <c r="BA384" s="261">
        <v>7.7667365000000005E-5</v>
      </c>
      <c r="BB384" s="268">
        <v>1.1696266019999997E-2</v>
      </c>
      <c r="BC384" s="268">
        <f t="shared" si="216"/>
        <v>6.640355551694269E-3</v>
      </c>
      <c r="BD384" s="269">
        <f ca="1">IF(BV!H384="","",INT(NOW()-BV!H384))</f>
        <v>286</v>
      </c>
      <c r="BE384" s="270">
        <f t="shared" si="217"/>
        <v>113.46991104437737</v>
      </c>
      <c r="BF384" s="301">
        <f ca="1">BV!G384</f>
        <v>48.042182135028682</v>
      </c>
      <c r="BG384" s="11" t="str">
        <f ca="1">BV!O384</f>
        <v/>
      </c>
      <c r="BH384" s="11" t="str">
        <f ca="1">BV!W384</f>
        <v/>
      </c>
      <c r="BI384" s="11" t="str">
        <f ca="1">BV!AE384</f>
        <v/>
      </c>
      <c r="BJ384" s="11" t="str">
        <f ca="1">BV!AM384</f>
        <v/>
      </c>
      <c r="BK384" s="11" t="str">
        <f ca="1">BV!AU384</f>
        <v/>
      </c>
      <c r="BL384" s="11" t="str">
        <f ca="1">BV!BC384</f>
        <v/>
      </c>
      <c r="BM384" s="11" t="str">
        <f ca="1">BV!BK384</f>
        <v/>
      </c>
      <c r="BN384" s="11" t="str">
        <f ca="1">BV!BS384</f>
        <v/>
      </c>
      <c r="BO384" s="11" t="str">
        <f ca="1">BV!CA384</f>
        <v/>
      </c>
      <c r="BP384" s="433">
        <v>242</v>
      </c>
      <c r="BQ384" s="11">
        <f ca="1">IFERROR(YEAR(OFFSET(BV!$H384,,(COLUMN()-69)*8)),"")</f>
        <v>2020</v>
      </c>
      <c r="BR384" s="11" t="str">
        <f ca="1">IFERROR(YEAR(OFFSET(BV!$H384,,(COLUMN()-69)*8)),"")</f>
        <v/>
      </c>
      <c r="BS384" s="11" t="str">
        <f ca="1">IFERROR(YEAR(OFFSET(BV!$H384,,(COLUMN()-69)*8)),"")</f>
        <v/>
      </c>
      <c r="BT384" s="11" t="str">
        <f ca="1">IFERROR(YEAR(OFFSET(BV!$H384,,(COLUMN()-69)*8)),"")</f>
        <v/>
      </c>
      <c r="BU384" s="11" t="str">
        <f ca="1">IFERROR(YEAR(OFFSET(BV!$H384,,(COLUMN()-69)*8)),"")</f>
        <v/>
      </c>
      <c r="BV384" s="11" t="str">
        <f ca="1">IFERROR(YEAR(OFFSET(BV!$H384,,(COLUMN()-69)*8)),"")</f>
        <v/>
      </c>
      <c r="BW384" s="11" t="str">
        <f ca="1">IFERROR(YEAR(OFFSET(BV!$H384,,(COLUMN()-69)*8)),"")</f>
        <v/>
      </c>
      <c r="BX384" s="11" t="str">
        <f ca="1">IFERROR(YEAR(OFFSET(BV!$H384,,(COLUMN()-69)*8)),"")</f>
        <v/>
      </c>
      <c r="BY384" s="11" t="str">
        <f ca="1">IFERROR(YEAR(OFFSET(BV!$H384,,(COLUMN()-69)*8)),"")</f>
        <v/>
      </c>
      <c r="BZ384" s="11" t="str">
        <f ca="1">IFERROR(YEAR(OFFSET(BV!$H384,,(COLUMN()-69)*8)),"")</f>
        <v/>
      </c>
    </row>
    <row r="385" spans="1:78" x14ac:dyDescent="0.25">
      <c r="A385" s="433">
        <v>243</v>
      </c>
      <c r="B385" s="11" t="str">
        <f ca="1">BV!D385</f>
        <v/>
      </c>
      <c r="C385" s="11" t="str">
        <f ca="1">BV!L385</f>
        <v/>
      </c>
      <c r="D385" s="11" t="str">
        <f ca="1">BV!T385</f>
        <v/>
      </c>
      <c r="E385" s="11" t="str">
        <f ca="1">BV!AB385</f>
        <v/>
      </c>
      <c r="F385" s="11" t="str">
        <f ca="1">BV!AJ385</f>
        <v/>
      </c>
      <c r="G385" s="11" t="str">
        <f ca="1">BV!AR385</f>
        <v/>
      </c>
      <c r="H385" s="11" t="str">
        <f ca="1">BV!AZ385</f>
        <v/>
      </c>
      <c r="I385" s="11" t="str">
        <f ca="1">BV!BH385</f>
        <v/>
      </c>
      <c r="J385" s="11" t="str">
        <f ca="1">BV!BP385</f>
        <v/>
      </c>
      <c r="K385" s="11" t="str">
        <f ca="1">BV!BX385</f>
        <v/>
      </c>
      <c r="L385" s="64" t="s">
        <v>66</v>
      </c>
      <c r="M385" s="261">
        <v>6.6729638000000003E-5</v>
      </c>
      <c r="N385" s="262" t="str">
        <f t="shared" ca="1" si="214"/>
        <v/>
      </c>
      <c r="O385" s="36" t="s">
        <v>390</v>
      </c>
      <c r="P385" s="487">
        <f ca="1">SUMIF(Num!$G$1:$G$199,ASB!$O385,OFFSET(Num!$J$1,0,(COLUMN()-16)*4-2,200,1))</f>
        <v>742</v>
      </c>
      <c r="Q385" s="487">
        <f ca="1">SUMIF(Num!$G$1:$G$199,ASB!$O385,OFFSET(Num!$J$1,0,(COLUMN()-16)*4-2,200,1))</f>
        <v>400</v>
      </c>
      <c r="R385" s="487">
        <f ca="1">SUMIF(Num!$G$1:$G$199,ASB!$O385,OFFSET(Num!$J$1,0,(COLUMN()-16)*4-2,200,1))</f>
        <v>342</v>
      </c>
      <c r="S385" s="487">
        <f ca="1">SUMIF(Num!$G$1:$G$199,ASB!$O385,OFFSET(Num!$J$1,0,(COLUMN()-16)*4-2,200,1))</f>
        <v>0</v>
      </c>
      <c r="T385" s="487">
        <f ca="1">SUMIF(Num!$G$1:$G$199,ASB!$O385,OFFSET(Num!$J$1,0,(COLUMN()-16)*4-2,200,1))</f>
        <v>0</v>
      </c>
      <c r="U385" s="487">
        <f ca="1">SUMIF(Num!$G$1:$G$199,ASB!$O385,OFFSET(Num!$J$1,0,(COLUMN()-16)*4-2,200,1))</f>
        <v>0</v>
      </c>
      <c r="V385" s="487">
        <f ca="1">SUMIF(Num!$G$1:$G$199,ASB!$O385,OFFSET(Num!$J$1,0,(COLUMN()-16)*4-2,200,1))</f>
        <v>0</v>
      </c>
      <c r="W385" s="487">
        <f ca="1">SUMIF(Num!$G$1:$G$199,ASB!$O385,OFFSET(Num!$J$1,0,(COLUMN()-16)*4-2,200,1))</f>
        <v>0</v>
      </c>
      <c r="X385" s="347"/>
      <c r="Y385" s="347"/>
      <c r="Z385" s="344"/>
      <c r="AA385" s="4">
        <v>6</v>
      </c>
      <c r="AB385" s="24">
        <f t="shared" ca="1" si="225"/>
        <v>36.101185672755413</v>
      </c>
      <c r="AC385" s="24" t="s">
        <v>40</v>
      </c>
      <c r="AD385" s="24">
        <f t="shared" ca="1" si="226"/>
        <v>225</v>
      </c>
      <c r="AE385" s="39">
        <f t="shared" ca="1" si="213"/>
        <v>3.1150429313835581</v>
      </c>
      <c r="AF385" s="344"/>
      <c r="AG385" s="344"/>
      <c r="AH385" s="344"/>
      <c r="AI385" s="344"/>
      <c r="AJ385" s="344"/>
      <c r="AK385" s="344"/>
      <c r="AL385" s="315"/>
      <c r="AM385" s="315"/>
      <c r="AN385" s="433">
        <v>243</v>
      </c>
      <c r="AO385" s="11" t="str">
        <f ca="1">BV!C385</f>
        <v/>
      </c>
      <c r="AP385" s="11" t="str">
        <f ca="1">BV!K385</f>
        <v/>
      </c>
      <c r="AQ385" s="11" t="str">
        <f ca="1">BV!S385</f>
        <v/>
      </c>
      <c r="AR385" s="11" t="str">
        <f ca="1">BV!AA385</f>
        <v/>
      </c>
      <c r="AS385" s="11" t="str">
        <f ca="1">BV!AI385</f>
        <v/>
      </c>
      <c r="AT385" s="11" t="str">
        <f ca="1">BV!AQ385</f>
        <v/>
      </c>
      <c r="AU385" s="11" t="str">
        <f ca="1">BV!AY385</f>
        <v/>
      </c>
      <c r="AV385" s="11" t="str">
        <f ca="1">BV!BG385</f>
        <v/>
      </c>
      <c r="AW385" s="11" t="str">
        <f ca="1">BV!BO385</f>
        <v/>
      </c>
      <c r="AX385" s="11" t="str">
        <f ca="1">BV!BW385</f>
        <v/>
      </c>
      <c r="AY385" s="64" t="s">
        <v>66</v>
      </c>
      <c r="AZ385" s="38">
        <f t="shared" si="215"/>
        <v>4.1756812311364744</v>
      </c>
      <c r="BA385" s="261">
        <v>6.6729638000000003E-5</v>
      </c>
      <c r="BB385" s="268">
        <v>1.1696266019999997E-2</v>
      </c>
      <c r="BC385" s="268">
        <f t="shared" si="216"/>
        <v>5.7052086440147519E-3</v>
      </c>
      <c r="BD385" s="269" t="str">
        <f ca="1">IF(BV!H385="","",INT(NOW()-BV!H385))</f>
        <v/>
      </c>
      <c r="BE385" s="270">
        <f t="shared" si="217"/>
        <v>122.41668522124687</v>
      </c>
      <c r="BF385" s="11" t="str">
        <f ca="1">BV!G385</f>
        <v/>
      </c>
      <c r="BG385" s="11" t="str">
        <f ca="1">BV!O385</f>
        <v/>
      </c>
      <c r="BH385" s="11" t="str">
        <f ca="1">BV!W385</f>
        <v/>
      </c>
      <c r="BI385" s="11" t="str">
        <f ca="1">BV!AE385</f>
        <v/>
      </c>
      <c r="BJ385" s="11" t="str">
        <f ca="1">BV!AM385</f>
        <v/>
      </c>
      <c r="BK385" s="11" t="str">
        <f ca="1">BV!AU385</f>
        <v/>
      </c>
      <c r="BL385" s="11" t="str">
        <f ca="1">BV!BC385</f>
        <v/>
      </c>
      <c r="BM385" s="11" t="str">
        <f ca="1">BV!BK385</f>
        <v/>
      </c>
      <c r="BN385" s="11" t="str">
        <f ca="1">BV!BS385</f>
        <v/>
      </c>
      <c r="BO385" s="11" t="str">
        <f ca="1">BV!CA385</f>
        <v/>
      </c>
      <c r="BP385" s="433">
        <v>243</v>
      </c>
      <c r="BQ385" s="11" t="str">
        <f ca="1">IFERROR(YEAR(OFFSET(BV!$H385,,(COLUMN()-69)*8)),"")</f>
        <v/>
      </c>
      <c r="BR385" s="11" t="str">
        <f ca="1">IFERROR(YEAR(OFFSET(BV!$H385,,(COLUMN()-69)*8)),"")</f>
        <v/>
      </c>
      <c r="BS385" s="11" t="str">
        <f ca="1">IFERROR(YEAR(OFFSET(BV!$H385,,(COLUMN()-69)*8)),"")</f>
        <v/>
      </c>
      <c r="BT385" s="11" t="str">
        <f ca="1">IFERROR(YEAR(OFFSET(BV!$H385,,(COLUMN()-69)*8)),"")</f>
        <v/>
      </c>
      <c r="BU385" s="11" t="str">
        <f ca="1">IFERROR(YEAR(OFFSET(BV!$H385,,(COLUMN()-69)*8)),"")</f>
        <v/>
      </c>
      <c r="BV385" s="11" t="str">
        <f ca="1">IFERROR(YEAR(OFFSET(BV!$H385,,(COLUMN()-69)*8)),"")</f>
        <v/>
      </c>
      <c r="BW385" s="11" t="str">
        <f ca="1">IFERROR(YEAR(OFFSET(BV!$H385,,(COLUMN()-69)*8)),"")</f>
        <v/>
      </c>
      <c r="BX385" s="11" t="str">
        <f ca="1">IFERROR(YEAR(OFFSET(BV!$H385,,(COLUMN()-69)*8)),"")</f>
        <v/>
      </c>
      <c r="BY385" s="11" t="str">
        <f ca="1">IFERROR(YEAR(OFFSET(BV!$H385,,(COLUMN()-69)*8)),"")</f>
        <v/>
      </c>
      <c r="BZ385" s="11" t="str">
        <f ca="1">IFERROR(YEAR(OFFSET(BV!$H385,,(COLUMN()-69)*8)),"")</f>
        <v/>
      </c>
    </row>
    <row r="386" spans="1:78" x14ac:dyDescent="0.25">
      <c r="A386" s="433">
        <v>244</v>
      </c>
      <c r="B386" s="11" t="str">
        <f ca="1">BV!D386</f>
        <v/>
      </c>
      <c r="C386" s="11" t="str">
        <f ca="1">BV!L386</f>
        <v/>
      </c>
      <c r="D386" s="11" t="str">
        <f ca="1">BV!T386</f>
        <v/>
      </c>
      <c r="E386" s="11" t="str">
        <f ca="1">BV!AB386</f>
        <v/>
      </c>
      <c r="F386" s="11" t="str">
        <f ca="1">BV!AJ386</f>
        <v/>
      </c>
      <c r="G386" s="11" t="str">
        <f ca="1">BV!AR386</f>
        <v/>
      </c>
      <c r="H386" s="11" t="str">
        <f ca="1">BV!AZ386</f>
        <v/>
      </c>
      <c r="I386" s="11" t="str">
        <f ca="1">BV!BH386</f>
        <v/>
      </c>
      <c r="J386" s="11" t="str">
        <f ca="1">BV!BP386</f>
        <v/>
      </c>
      <c r="K386" s="11" t="str">
        <f ca="1">BV!BX386</f>
        <v/>
      </c>
      <c r="L386" s="64" t="s">
        <v>66</v>
      </c>
      <c r="M386" s="261">
        <v>5.7246378999999997E-5</v>
      </c>
      <c r="N386" s="262" t="str">
        <f t="shared" ca="1" si="214"/>
        <v/>
      </c>
      <c r="O386" s="24" t="s">
        <v>391</v>
      </c>
      <c r="P386" s="35">
        <f ca="1">SUMIF(Num!$G$1:$G$199,ASB!$O386,OFFSET(Num!$J$1,0,(COLUMN()-16)*4-2,200,1))</f>
        <v>1027</v>
      </c>
      <c r="Q386" s="35">
        <f ca="1">SUMIF(Num!$G$1:$G$199,ASB!$O386,OFFSET(Num!$J$1,0,(COLUMN()-16)*4-2,200,1))</f>
        <v>987</v>
      </c>
      <c r="R386" s="35">
        <f ca="1">SUMIF(Num!$G$1:$G$199,ASB!$O386,OFFSET(Num!$J$1,0,(COLUMN()-16)*4-2,200,1))</f>
        <v>40</v>
      </c>
      <c r="S386" s="35">
        <f ca="1">SUMIF(Num!$G$1:$G$199,ASB!$O386,OFFSET(Num!$J$1,0,(COLUMN()-16)*4-2,200,1))</f>
        <v>0</v>
      </c>
      <c r="T386" s="35">
        <f ca="1">SUMIF(Num!$G$1:$G$199,ASB!$O386,OFFSET(Num!$J$1,0,(COLUMN()-16)*4-2,200,1))</f>
        <v>0</v>
      </c>
      <c r="U386" s="35">
        <f ca="1">SUMIF(Num!$G$1:$G$199,ASB!$O386,OFFSET(Num!$J$1,0,(COLUMN()-16)*4-2,200,1))</f>
        <v>0</v>
      </c>
      <c r="V386" s="35">
        <f ca="1">SUMIF(Num!$G$1:$G$199,ASB!$O386,OFFSET(Num!$J$1,0,(COLUMN()-16)*4-2,200,1))</f>
        <v>0</v>
      </c>
      <c r="W386" s="35">
        <f ca="1">SUMIF(Num!$G$1:$G$199,ASB!$O386,OFFSET(Num!$J$1,0,(COLUMN()-16)*4-2,200,1))</f>
        <v>0</v>
      </c>
      <c r="X386" s="347"/>
      <c r="Y386" s="347"/>
      <c r="Z386" s="344"/>
      <c r="AA386" s="4">
        <v>7</v>
      </c>
      <c r="AB386" s="24">
        <f t="shared" ca="1" si="225"/>
        <v>34.92816052455418</v>
      </c>
      <c r="AC386" s="24" t="s">
        <v>40</v>
      </c>
      <c r="AD386" s="24">
        <f t="shared" ca="1" si="226"/>
        <v>126</v>
      </c>
      <c r="AE386" s="39">
        <f t="shared" ca="1" si="213"/>
        <v>3.0863514286430855</v>
      </c>
      <c r="AF386" s="344"/>
      <c r="AG386" s="344"/>
      <c r="AH386" s="344"/>
      <c r="AI386" s="344"/>
      <c r="AJ386" s="344"/>
      <c r="AK386" s="344"/>
      <c r="AL386" s="315"/>
      <c r="AM386" s="315"/>
      <c r="AN386" s="433">
        <v>244</v>
      </c>
      <c r="AO386" s="11" t="str">
        <f ca="1">BV!C386</f>
        <v/>
      </c>
      <c r="AP386" s="11" t="str">
        <f ca="1">BV!K386</f>
        <v/>
      </c>
      <c r="AQ386" s="11" t="str">
        <f ca="1">BV!S386</f>
        <v/>
      </c>
      <c r="AR386" s="11" t="str">
        <f ca="1">BV!AA386</f>
        <v/>
      </c>
      <c r="AS386" s="11" t="str">
        <f ca="1">BV!AI386</f>
        <v/>
      </c>
      <c r="AT386" s="11" t="str">
        <f ca="1">BV!AQ386</f>
        <v/>
      </c>
      <c r="AU386" s="11" t="str">
        <f ca="1">BV!AY386</f>
        <v/>
      </c>
      <c r="AV386" s="11" t="str">
        <f ca="1">BV!BG386</f>
        <v/>
      </c>
      <c r="AW386" s="11" t="str">
        <f ca="1">BV!BO386</f>
        <v/>
      </c>
      <c r="AX386" s="11" t="str">
        <f ca="1">BV!BW386</f>
        <v/>
      </c>
      <c r="AY386" s="64" t="s">
        <v>66</v>
      </c>
      <c r="AZ386" s="38">
        <f t="shared" si="215"/>
        <v>4.2422519785086523</v>
      </c>
      <c r="BA386" s="261">
        <v>5.7246378999999997E-5</v>
      </c>
      <c r="BB386" s="268">
        <v>1.1696266019999997E-2</v>
      </c>
      <c r="BC386" s="268">
        <f t="shared" si="216"/>
        <v>4.8944149271324469E-3</v>
      </c>
      <c r="BD386" s="269" t="str">
        <f ca="1">IF(BV!H386="","",INT(NOW()-BV!H386))</f>
        <v/>
      </c>
      <c r="BE386" s="270">
        <f t="shared" si="217"/>
        <v>132.16789989480114</v>
      </c>
      <c r="BF386" s="11" t="str">
        <f ca="1">BV!G386</f>
        <v/>
      </c>
      <c r="BG386" s="11" t="str">
        <f ca="1">BV!O386</f>
        <v/>
      </c>
      <c r="BH386" s="11" t="str">
        <f ca="1">BV!W386</f>
        <v/>
      </c>
      <c r="BI386" s="11" t="str">
        <f ca="1">BV!AE386</f>
        <v/>
      </c>
      <c r="BJ386" s="11" t="str">
        <f ca="1">BV!AM386</f>
        <v/>
      </c>
      <c r="BK386" s="11" t="str">
        <f ca="1">BV!AU386</f>
        <v/>
      </c>
      <c r="BL386" s="11" t="str">
        <f ca="1">BV!BC386</f>
        <v/>
      </c>
      <c r="BM386" s="11" t="str">
        <f ca="1">BV!BK386</f>
        <v/>
      </c>
      <c r="BN386" s="11" t="str">
        <f ca="1">BV!BS386</f>
        <v/>
      </c>
      <c r="BO386" s="11" t="str">
        <f ca="1">BV!CA386</f>
        <v/>
      </c>
      <c r="BP386" s="433">
        <v>244</v>
      </c>
      <c r="BQ386" s="11" t="str">
        <f ca="1">IFERROR(YEAR(OFFSET(BV!$H386,,(COLUMN()-69)*8)),"")</f>
        <v/>
      </c>
      <c r="BR386" s="11" t="str">
        <f ca="1">IFERROR(YEAR(OFFSET(BV!$H386,,(COLUMN()-69)*8)),"")</f>
        <v/>
      </c>
      <c r="BS386" s="11" t="str">
        <f ca="1">IFERROR(YEAR(OFFSET(BV!$H386,,(COLUMN()-69)*8)),"")</f>
        <v/>
      </c>
      <c r="BT386" s="11" t="str">
        <f ca="1">IFERROR(YEAR(OFFSET(BV!$H386,,(COLUMN()-69)*8)),"")</f>
        <v/>
      </c>
      <c r="BU386" s="11" t="str">
        <f ca="1">IFERROR(YEAR(OFFSET(BV!$H386,,(COLUMN()-69)*8)),"")</f>
        <v/>
      </c>
      <c r="BV386" s="11" t="str">
        <f ca="1">IFERROR(YEAR(OFFSET(BV!$H386,,(COLUMN()-69)*8)),"")</f>
        <v/>
      </c>
      <c r="BW386" s="11" t="str">
        <f ca="1">IFERROR(YEAR(OFFSET(BV!$H386,,(COLUMN()-69)*8)),"")</f>
        <v/>
      </c>
      <c r="BX386" s="11" t="str">
        <f ca="1">IFERROR(YEAR(OFFSET(BV!$H386,,(COLUMN()-69)*8)),"")</f>
        <v/>
      </c>
      <c r="BY386" s="11" t="str">
        <f ca="1">IFERROR(YEAR(OFFSET(BV!$H386,,(COLUMN()-69)*8)),"")</f>
        <v/>
      </c>
      <c r="BZ386" s="11" t="str">
        <f ca="1">IFERROR(YEAR(OFFSET(BV!$H386,,(COLUMN()-69)*8)),"")</f>
        <v/>
      </c>
    </row>
    <row r="387" spans="1:78" x14ac:dyDescent="0.25">
      <c r="A387" s="433">
        <v>245</v>
      </c>
      <c r="B387" s="11" t="str">
        <f ca="1">BV!D387</f>
        <v/>
      </c>
      <c r="C387" s="11" t="str">
        <f ca="1">BV!L387</f>
        <v/>
      </c>
      <c r="D387" s="11" t="str">
        <f ca="1">BV!T387</f>
        <v/>
      </c>
      <c r="E387" s="11" t="str">
        <f ca="1">BV!AB387</f>
        <v/>
      </c>
      <c r="F387" s="11" t="str">
        <f ca="1">BV!AJ387</f>
        <v/>
      </c>
      <c r="G387" s="11" t="str">
        <f ca="1">BV!AR387</f>
        <v/>
      </c>
      <c r="H387" s="11" t="str">
        <f ca="1">BV!AZ387</f>
        <v/>
      </c>
      <c r="I387" s="11" t="str">
        <f ca="1">BV!BH387</f>
        <v/>
      </c>
      <c r="J387" s="11" t="str">
        <f ca="1">BV!BP387</f>
        <v/>
      </c>
      <c r="K387" s="11" t="str">
        <f ca="1">BV!BX387</f>
        <v/>
      </c>
      <c r="L387" s="64" t="s">
        <v>66</v>
      </c>
      <c r="M387" s="261">
        <v>4.9003328000000002E-5</v>
      </c>
      <c r="N387" s="262" t="str">
        <f t="shared" ca="1" si="214"/>
        <v/>
      </c>
      <c r="O387" s="24" t="s">
        <v>392</v>
      </c>
      <c r="P387" s="35">
        <f ca="1">SUMIF(Num!$G$1:$G$199,ASB!$O387,OFFSET(Num!$J$1,0,(COLUMN()-16)*4-2,200,1))</f>
        <v>3086</v>
      </c>
      <c r="Q387" s="35">
        <f ca="1">SUMIF(Num!$G$1:$G$199,ASB!$O387,OFFSET(Num!$J$1,0,(COLUMN()-16)*4-2,200,1))</f>
        <v>2575</v>
      </c>
      <c r="R387" s="35">
        <f ca="1">SUMIF(Num!$G$1:$G$199,ASB!$O387,OFFSET(Num!$J$1,0,(COLUMN()-16)*4-2,200,1))</f>
        <v>511</v>
      </c>
      <c r="S387" s="35">
        <f ca="1">SUMIF(Num!$G$1:$G$199,ASB!$O387,OFFSET(Num!$J$1,0,(COLUMN()-16)*4-2,200,1))</f>
        <v>0</v>
      </c>
      <c r="T387" s="35">
        <f ca="1">SUMIF(Num!$G$1:$G$199,ASB!$O387,OFFSET(Num!$J$1,0,(COLUMN()-16)*4-2,200,1))</f>
        <v>0</v>
      </c>
      <c r="U387" s="35">
        <f ca="1">SUMIF(Num!$G$1:$G$199,ASB!$O387,OFFSET(Num!$J$1,0,(COLUMN()-16)*4-2,200,1))</f>
        <v>0</v>
      </c>
      <c r="V387" s="35">
        <f ca="1">SUMIF(Num!$G$1:$G$199,ASB!$O387,OFFSET(Num!$J$1,0,(COLUMN()-16)*4-2,200,1))</f>
        <v>0</v>
      </c>
      <c r="W387" s="35">
        <f ca="1">SUMIF(Num!$G$1:$G$199,ASB!$O387,OFFSET(Num!$J$1,0,(COLUMN()-16)*4-2,200,1))</f>
        <v>0</v>
      </c>
      <c r="X387" s="347"/>
      <c r="Y387" s="347"/>
      <c r="Z387" s="344"/>
      <c r="AA387" s="4">
        <v>8</v>
      </c>
      <c r="AB387" s="24">
        <f t="shared" ca="1" si="225"/>
        <v>32.425334441932002</v>
      </c>
      <c r="AC387" s="24" t="s">
        <v>40</v>
      </c>
      <c r="AD387" s="24">
        <f t="shared" ca="1" si="226"/>
        <v>127</v>
      </c>
      <c r="AE387" s="39">
        <f t="shared" ca="1" si="213"/>
        <v>3.0217689283733939</v>
      </c>
      <c r="AF387" s="344"/>
      <c r="AG387" s="344"/>
      <c r="AH387" s="344"/>
      <c r="AI387" s="344"/>
      <c r="AJ387" s="344"/>
      <c r="AK387" s="344"/>
      <c r="AL387" s="315"/>
      <c r="AM387" s="315"/>
      <c r="AN387" s="433">
        <v>245</v>
      </c>
      <c r="AO387" s="11" t="str">
        <f ca="1">BV!C387</f>
        <v/>
      </c>
      <c r="AP387" s="11" t="str">
        <f ca="1">BV!K387</f>
        <v/>
      </c>
      <c r="AQ387" s="11" t="str">
        <f ca="1">BV!S387</f>
        <v/>
      </c>
      <c r="AR387" s="11" t="str">
        <f ca="1">BV!AA387</f>
        <v/>
      </c>
      <c r="AS387" s="11" t="str">
        <f ca="1">BV!AI387</f>
        <v/>
      </c>
      <c r="AT387" s="11" t="str">
        <f ca="1">BV!AQ387</f>
        <v/>
      </c>
      <c r="AU387" s="11" t="str">
        <f ca="1">BV!AY387</f>
        <v/>
      </c>
      <c r="AV387" s="11" t="str">
        <f ca="1">BV!BG387</f>
        <v/>
      </c>
      <c r="AW387" s="11" t="str">
        <f ca="1">BV!BO387</f>
        <v/>
      </c>
      <c r="AX387" s="11" t="str">
        <f ca="1">BV!BW387</f>
        <v/>
      </c>
      <c r="AY387" s="64" t="s">
        <v>66</v>
      </c>
      <c r="AZ387" s="38">
        <f t="shared" si="215"/>
        <v>4.3097744244009615</v>
      </c>
      <c r="BA387" s="261">
        <v>4.9003328000000002E-5</v>
      </c>
      <c r="BB387" s="268">
        <v>1.1696266019999997E-2</v>
      </c>
      <c r="BC387" s="268">
        <f t="shared" si="216"/>
        <v>4.1896557342494516E-3</v>
      </c>
      <c r="BD387" s="269" t="str">
        <f ca="1">IF(BV!H387="","",INT(NOW()-BV!H387))</f>
        <v/>
      </c>
      <c r="BE387" s="270">
        <f t="shared" si="217"/>
        <v>142.8522917922954</v>
      </c>
      <c r="BF387" s="11" t="str">
        <f ca="1">BV!G387</f>
        <v/>
      </c>
      <c r="BG387" s="11" t="str">
        <f ca="1">BV!O387</f>
        <v/>
      </c>
      <c r="BH387" s="11" t="str">
        <f ca="1">BV!W387</f>
        <v/>
      </c>
      <c r="BI387" s="11" t="str">
        <f ca="1">BV!AE387</f>
        <v/>
      </c>
      <c r="BJ387" s="11" t="str">
        <f ca="1">BV!AM387</f>
        <v/>
      </c>
      <c r="BK387" s="11" t="str">
        <f ca="1">BV!AU387</f>
        <v/>
      </c>
      <c r="BL387" s="11" t="str">
        <f ca="1">BV!BC387</f>
        <v/>
      </c>
      <c r="BM387" s="11" t="str">
        <f ca="1">BV!BK387</f>
        <v/>
      </c>
      <c r="BN387" s="11" t="str">
        <f ca="1">BV!BS387</f>
        <v/>
      </c>
      <c r="BO387" s="11" t="str">
        <f ca="1">BV!CA387</f>
        <v/>
      </c>
      <c r="BP387" s="433">
        <v>245</v>
      </c>
      <c r="BQ387" s="11" t="str">
        <f ca="1">IFERROR(YEAR(OFFSET(BV!$H387,,(COLUMN()-69)*8)),"")</f>
        <v/>
      </c>
      <c r="BR387" s="11" t="str">
        <f ca="1">IFERROR(YEAR(OFFSET(BV!$H387,,(COLUMN()-69)*8)),"")</f>
        <v/>
      </c>
      <c r="BS387" s="11" t="str">
        <f ca="1">IFERROR(YEAR(OFFSET(BV!$H387,,(COLUMN()-69)*8)),"")</f>
        <v/>
      </c>
      <c r="BT387" s="11" t="str">
        <f ca="1">IFERROR(YEAR(OFFSET(BV!$H387,,(COLUMN()-69)*8)),"")</f>
        <v/>
      </c>
      <c r="BU387" s="11" t="str">
        <f ca="1">IFERROR(YEAR(OFFSET(BV!$H387,,(COLUMN()-69)*8)),"")</f>
        <v/>
      </c>
      <c r="BV387" s="11" t="str">
        <f ca="1">IFERROR(YEAR(OFFSET(BV!$H387,,(COLUMN()-69)*8)),"")</f>
        <v/>
      </c>
      <c r="BW387" s="11" t="str">
        <f ca="1">IFERROR(YEAR(OFFSET(BV!$H387,,(COLUMN()-69)*8)),"")</f>
        <v/>
      </c>
      <c r="BX387" s="11" t="str">
        <f ca="1">IFERROR(YEAR(OFFSET(BV!$H387,,(COLUMN()-69)*8)),"")</f>
        <v/>
      </c>
      <c r="BY387" s="11" t="str">
        <f ca="1">IFERROR(YEAR(OFFSET(BV!$H387,,(COLUMN()-69)*8)),"")</f>
        <v/>
      </c>
      <c r="BZ387" s="11" t="str">
        <f ca="1">IFERROR(YEAR(OFFSET(BV!$H387,,(COLUMN()-69)*8)),"")</f>
        <v/>
      </c>
    </row>
    <row r="388" spans="1:78" x14ac:dyDescent="0.25">
      <c r="A388" s="433">
        <v>246</v>
      </c>
      <c r="B388" s="11" t="str">
        <f ca="1">BV!D388</f>
        <v/>
      </c>
      <c r="C388" s="11" t="str">
        <f ca="1">BV!L388</f>
        <v/>
      </c>
      <c r="D388" s="11" t="str">
        <f ca="1">BV!T388</f>
        <v/>
      </c>
      <c r="E388" s="11" t="str">
        <f ca="1">BV!AB388</f>
        <v/>
      </c>
      <c r="F388" s="11" t="str">
        <f ca="1">BV!AJ388</f>
        <v/>
      </c>
      <c r="G388" s="11" t="str">
        <f ca="1">BV!AR388</f>
        <v/>
      </c>
      <c r="H388" s="11" t="str">
        <f ca="1">BV!AZ388</f>
        <v/>
      </c>
      <c r="I388" s="11" t="str">
        <f ca="1">BV!BH388</f>
        <v/>
      </c>
      <c r="J388" s="11" t="str">
        <f ca="1">BV!BP388</f>
        <v/>
      </c>
      <c r="K388" s="11" t="str">
        <f ca="1">BV!BX388</f>
        <v/>
      </c>
      <c r="L388" s="64" t="s">
        <v>66</v>
      </c>
      <c r="M388" s="261">
        <v>4.1873921000000003E-5</v>
      </c>
      <c r="N388" s="262" t="str">
        <f t="shared" ca="1" si="214"/>
        <v/>
      </c>
      <c r="O388" s="24" t="s">
        <v>393</v>
      </c>
      <c r="P388" s="35">
        <f ca="1">SUMIF(Num!$G$1:$G$199,ASB!$O388,OFFSET(Num!$J$1,0,(COLUMN()-16)*4-2,200,1))</f>
        <v>4533</v>
      </c>
      <c r="Q388" s="35">
        <f ca="1">SUMIF(Num!$G$1:$G$199,ASB!$O388,OFFSET(Num!$J$1,0,(COLUMN()-16)*4-2,200,1))</f>
        <v>3821</v>
      </c>
      <c r="R388" s="35">
        <f ca="1">SUMIF(Num!$G$1:$G$199,ASB!$O388,OFFSET(Num!$J$1,0,(COLUMN()-16)*4-2,200,1))</f>
        <v>712</v>
      </c>
      <c r="S388" s="35">
        <f ca="1">SUMIF(Num!$G$1:$G$199,ASB!$O388,OFFSET(Num!$J$1,0,(COLUMN()-16)*4-2,200,1))</f>
        <v>0</v>
      </c>
      <c r="T388" s="35">
        <f ca="1">SUMIF(Num!$G$1:$G$199,ASB!$O388,OFFSET(Num!$J$1,0,(COLUMN()-16)*4-2,200,1))</f>
        <v>0</v>
      </c>
      <c r="U388" s="35">
        <f ca="1">SUMIF(Num!$G$1:$G$199,ASB!$O388,OFFSET(Num!$J$1,0,(COLUMN()-16)*4-2,200,1))</f>
        <v>0</v>
      </c>
      <c r="V388" s="35">
        <f ca="1">SUMIF(Num!$G$1:$G$199,ASB!$O388,OFFSET(Num!$J$1,0,(COLUMN()-16)*4-2,200,1))</f>
        <v>0</v>
      </c>
      <c r="W388" s="35">
        <f ca="1">SUMIF(Num!$G$1:$G$199,ASB!$O388,OFFSET(Num!$J$1,0,(COLUMN()-16)*4-2,200,1))</f>
        <v>0</v>
      </c>
      <c r="X388" s="347"/>
      <c r="Y388" s="347"/>
      <c r="Z388" s="344"/>
      <c r="AA388" s="4">
        <v>9</v>
      </c>
      <c r="AB388" s="24">
        <f t="shared" ca="1" si="225"/>
        <v>30.163108270432787</v>
      </c>
      <c r="AC388" s="24" t="s">
        <v>40</v>
      </c>
      <c r="AD388" s="24">
        <f t="shared" ca="1" si="226"/>
        <v>128</v>
      </c>
      <c r="AE388" s="39">
        <f t="shared" ca="1" si="213"/>
        <v>2.9589521860096535</v>
      </c>
      <c r="AF388" s="344"/>
      <c r="AG388" s="344"/>
      <c r="AH388" s="344"/>
      <c r="AI388" s="344"/>
      <c r="AJ388" s="344"/>
      <c r="AK388" s="344"/>
      <c r="AL388" s="315"/>
      <c r="AM388" s="315"/>
      <c r="AN388" s="433">
        <v>246</v>
      </c>
      <c r="AO388" s="11" t="str">
        <f ca="1">BV!C388</f>
        <v/>
      </c>
      <c r="AP388" s="11" t="str">
        <f ca="1">BV!K388</f>
        <v/>
      </c>
      <c r="AQ388" s="11" t="str">
        <f ca="1">BV!S388</f>
        <v/>
      </c>
      <c r="AR388" s="11" t="str">
        <f ca="1">BV!AA388</f>
        <v/>
      </c>
      <c r="AS388" s="11" t="str">
        <f ca="1">BV!AI388</f>
        <v/>
      </c>
      <c r="AT388" s="11" t="str">
        <f ca="1">BV!AQ388</f>
        <v/>
      </c>
      <c r="AU388" s="11" t="str">
        <f ca="1">BV!AY388</f>
        <v/>
      </c>
      <c r="AV388" s="11" t="str">
        <f ca="1">BV!BG388</f>
        <v/>
      </c>
      <c r="AW388" s="11" t="str">
        <f ca="1">BV!BO388</f>
        <v/>
      </c>
      <c r="AX388" s="11" t="str">
        <f ca="1">BV!BW388</f>
        <v/>
      </c>
      <c r="AY388" s="64" t="s">
        <v>66</v>
      </c>
      <c r="AZ388" s="38">
        <f t="shared" si="215"/>
        <v>4.3780563706364921</v>
      </c>
      <c r="BA388" s="261">
        <v>4.1873921000000003E-5</v>
      </c>
      <c r="BB388" s="268">
        <v>1.1696266019999997E-2</v>
      </c>
      <c r="BC388" s="268">
        <f t="shared" si="216"/>
        <v>3.5801101760508706E-3</v>
      </c>
      <c r="BD388" s="269" t="str">
        <f ca="1">IF(BV!H388="","",INT(NOW()-BV!H388))</f>
        <v/>
      </c>
      <c r="BE388" s="270">
        <f t="shared" si="217"/>
        <v>154.53547284052684</v>
      </c>
      <c r="BF388" s="11" t="str">
        <f ca="1">BV!G388</f>
        <v/>
      </c>
      <c r="BG388" s="11" t="str">
        <f ca="1">BV!O388</f>
        <v/>
      </c>
      <c r="BH388" s="11" t="str">
        <f ca="1">BV!W388</f>
        <v/>
      </c>
      <c r="BI388" s="11" t="str">
        <f ca="1">BV!AE388</f>
        <v/>
      </c>
      <c r="BJ388" s="11" t="str">
        <f ca="1">BV!AM388</f>
        <v/>
      </c>
      <c r="BK388" s="11" t="str">
        <f ca="1">BV!AU388</f>
        <v/>
      </c>
      <c r="BL388" s="11" t="str">
        <f ca="1">BV!BC388</f>
        <v/>
      </c>
      <c r="BM388" s="11" t="str">
        <f ca="1">BV!BK388</f>
        <v/>
      </c>
      <c r="BN388" s="11" t="str">
        <f ca="1">BV!BS388</f>
        <v/>
      </c>
      <c r="BO388" s="11" t="str">
        <f ca="1">BV!CA388</f>
        <v/>
      </c>
      <c r="BP388" s="433">
        <v>246</v>
      </c>
      <c r="BQ388" s="11" t="str">
        <f ca="1">IFERROR(YEAR(OFFSET(BV!$H388,,(COLUMN()-69)*8)),"")</f>
        <v/>
      </c>
      <c r="BR388" s="11" t="str">
        <f ca="1">IFERROR(YEAR(OFFSET(BV!$H388,,(COLUMN()-69)*8)),"")</f>
        <v/>
      </c>
      <c r="BS388" s="11" t="str">
        <f ca="1">IFERROR(YEAR(OFFSET(BV!$H388,,(COLUMN()-69)*8)),"")</f>
        <v/>
      </c>
      <c r="BT388" s="11" t="str">
        <f ca="1">IFERROR(YEAR(OFFSET(BV!$H388,,(COLUMN()-69)*8)),"")</f>
        <v/>
      </c>
      <c r="BU388" s="11" t="str">
        <f ca="1">IFERROR(YEAR(OFFSET(BV!$H388,,(COLUMN()-69)*8)),"")</f>
        <v/>
      </c>
      <c r="BV388" s="11" t="str">
        <f ca="1">IFERROR(YEAR(OFFSET(BV!$H388,,(COLUMN()-69)*8)),"")</f>
        <v/>
      </c>
      <c r="BW388" s="11" t="str">
        <f ca="1">IFERROR(YEAR(OFFSET(BV!$H388,,(COLUMN()-69)*8)),"")</f>
        <v/>
      </c>
      <c r="BX388" s="11" t="str">
        <f ca="1">IFERROR(YEAR(OFFSET(BV!$H388,,(COLUMN()-69)*8)),"")</f>
        <v/>
      </c>
      <c r="BY388" s="11" t="str">
        <f ca="1">IFERROR(YEAR(OFFSET(BV!$H388,,(COLUMN()-69)*8)),"")</f>
        <v/>
      </c>
      <c r="BZ388" s="11" t="str">
        <f ca="1">IFERROR(YEAR(OFFSET(BV!$H388,,(COLUMN()-69)*8)),"")</f>
        <v/>
      </c>
    </row>
    <row r="389" spans="1:78" x14ac:dyDescent="0.25">
      <c r="A389" s="433">
        <v>247</v>
      </c>
      <c r="B389" s="11" t="str">
        <f ca="1">BV!D389</f>
        <v/>
      </c>
      <c r="C389" s="11" t="str">
        <f ca="1">BV!L389</f>
        <v/>
      </c>
      <c r="D389" s="11" t="str">
        <f ca="1">BV!T389</f>
        <v/>
      </c>
      <c r="E389" s="11" t="str">
        <f ca="1">BV!AB389</f>
        <v/>
      </c>
      <c r="F389" s="11" t="str">
        <f ca="1">BV!AJ389</f>
        <v/>
      </c>
      <c r="G389" s="11" t="str">
        <f ca="1">BV!AR389</f>
        <v/>
      </c>
      <c r="H389" s="11" t="str">
        <f ca="1">BV!AZ389</f>
        <v/>
      </c>
      <c r="I389" s="11" t="str">
        <f ca="1">BV!BH389</f>
        <v/>
      </c>
      <c r="J389" s="11" t="str">
        <f ca="1">BV!BP389</f>
        <v/>
      </c>
      <c r="K389" s="11" t="str">
        <f ca="1">BV!BX389</f>
        <v/>
      </c>
      <c r="L389" s="64" t="s">
        <v>66</v>
      </c>
      <c r="M389" s="261">
        <v>3.5702087999999999E-5</v>
      </c>
      <c r="N389" s="262" t="str">
        <f t="shared" ca="1" si="214"/>
        <v/>
      </c>
      <c r="O389" s="1" t="s">
        <v>38</v>
      </c>
      <c r="P389" s="17">
        <f ca="1">SUM(P379:P382)</f>
        <v>9541</v>
      </c>
      <c r="Q389" s="17">
        <f t="shared" ref="Q389:W389" ca="1" si="227">SUM(Q379:Q382)</f>
        <v>5171</v>
      </c>
      <c r="R389" s="17">
        <f t="shared" ca="1" si="227"/>
        <v>4370</v>
      </c>
      <c r="S389" s="17">
        <f t="shared" ca="1" si="227"/>
        <v>0</v>
      </c>
      <c r="T389" s="17">
        <f t="shared" ca="1" si="227"/>
        <v>0</v>
      </c>
      <c r="U389" s="17">
        <f t="shared" ca="1" si="227"/>
        <v>0</v>
      </c>
      <c r="V389" s="17">
        <f t="shared" ca="1" si="227"/>
        <v>0</v>
      </c>
      <c r="W389" s="17">
        <f t="shared" ca="1" si="227"/>
        <v>0</v>
      </c>
      <c r="X389" s="347"/>
      <c r="Y389" s="347"/>
      <c r="Z389" s="344"/>
      <c r="AA389" s="4">
        <v>10</v>
      </c>
      <c r="AB389" s="24">
        <f t="shared" ca="1" si="225"/>
        <v>28.713209609360995</v>
      </c>
      <c r="AC389" s="24" t="s">
        <v>40</v>
      </c>
      <c r="AD389" s="24">
        <f t="shared" ca="1" si="226"/>
        <v>221</v>
      </c>
      <c r="AE389" s="39">
        <f t="shared" ca="1" si="213"/>
        <v>2.9161634827098046</v>
      </c>
      <c r="AF389" s="344"/>
      <c r="AG389" s="344"/>
      <c r="AH389" s="344"/>
      <c r="AI389" s="344"/>
      <c r="AJ389" s="344"/>
      <c r="AK389" s="344"/>
      <c r="AL389" s="315"/>
      <c r="AM389" s="315"/>
      <c r="AN389" s="433">
        <v>247</v>
      </c>
      <c r="AO389" s="11" t="str">
        <f ca="1">BV!C389</f>
        <v/>
      </c>
      <c r="AP389" s="11" t="str">
        <f ca="1">BV!K389</f>
        <v/>
      </c>
      <c r="AQ389" s="11" t="str">
        <f ca="1">BV!S389</f>
        <v/>
      </c>
      <c r="AR389" s="11" t="str">
        <f ca="1">BV!AA389</f>
        <v/>
      </c>
      <c r="AS389" s="11" t="str">
        <f ca="1">BV!AI389</f>
        <v/>
      </c>
      <c r="AT389" s="11" t="str">
        <f ca="1">BV!AQ389</f>
        <v/>
      </c>
      <c r="AU389" s="11" t="str">
        <f ca="1">BV!AY389</f>
        <v/>
      </c>
      <c r="AV389" s="11" t="str">
        <f ca="1">BV!BG389</f>
        <v/>
      </c>
      <c r="AW389" s="11" t="str">
        <f ca="1">BV!BO389</f>
        <v/>
      </c>
      <c r="AX389" s="11" t="str">
        <f ca="1">BV!BW389</f>
        <v/>
      </c>
      <c r="AY389" s="64" t="s">
        <v>66</v>
      </c>
      <c r="AZ389" s="38">
        <f t="shared" si="215"/>
        <v>4.4473063838776987</v>
      </c>
      <c r="BA389" s="261">
        <v>3.5702087999999999E-5</v>
      </c>
      <c r="BB389" s="268">
        <v>1.1696266019999997E-2</v>
      </c>
      <c r="BC389" s="268">
        <f t="shared" si="216"/>
        <v>3.0524346777810385E-3</v>
      </c>
      <c r="BD389" s="269" t="str">
        <f ca="1">IF(BV!H389="","",INT(NOW()-BV!H389))</f>
        <v/>
      </c>
      <c r="BE389" s="270">
        <f t="shared" si="217"/>
        <v>167.36058758031228</v>
      </c>
      <c r="BF389" s="11" t="str">
        <f ca="1">BV!G389</f>
        <v/>
      </c>
      <c r="BG389" s="11" t="str">
        <f ca="1">BV!O389</f>
        <v/>
      </c>
      <c r="BH389" s="11" t="str">
        <f ca="1">BV!W389</f>
        <v/>
      </c>
      <c r="BI389" s="11" t="str">
        <f ca="1">BV!AE389</f>
        <v/>
      </c>
      <c r="BJ389" s="11" t="str">
        <f ca="1">BV!AM389</f>
        <v/>
      </c>
      <c r="BK389" s="11" t="str">
        <f ca="1">BV!AU389</f>
        <v/>
      </c>
      <c r="BL389" s="11" t="str">
        <f ca="1">BV!BC389</f>
        <v/>
      </c>
      <c r="BM389" s="11" t="str">
        <f ca="1">BV!BK389</f>
        <v/>
      </c>
      <c r="BN389" s="11" t="str">
        <f ca="1">BV!BS389</f>
        <v/>
      </c>
      <c r="BO389" s="11" t="str">
        <f ca="1">BV!CA389</f>
        <v/>
      </c>
      <c r="BP389" s="433">
        <v>247</v>
      </c>
      <c r="BQ389" s="11" t="str">
        <f ca="1">IFERROR(YEAR(OFFSET(BV!$H389,,(COLUMN()-69)*8)),"")</f>
        <v/>
      </c>
      <c r="BR389" s="11" t="str">
        <f ca="1">IFERROR(YEAR(OFFSET(BV!$H389,,(COLUMN()-69)*8)),"")</f>
        <v/>
      </c>
      <c r="BS389" s="11" t="str">
        <f ca="1">IFERROR(YEAR(OFFSET(BV!$H389,,(COLUMN()-69)*8)),"")</f>
        <v/>
      </c>
      <c r="BT389" s="11" t="str">
        <f ca="1">IFERROR(YEAR(OFFSET(BV!$H389,,(COLUMN()-69)*8)),"")</f>
        <v/>
      </c>
      <c r="BU389" s="11" t="str">
        <f ca="1">IFERROR(YEAR(OFFSET(BV!$H389,,(COLUMN()-69)*8)),"")</f>
        <v/>
      </c>
      <c r="BV389" s="11" t="str">
        <f ca="1">IFERROR(YEAR(OFFSET(BV!$H389,,(COLUMN()-69)*8)),"")</f>
        <v/>
      </c>
      <c r="BW389" s="11" t="str">
        <f ca="1">IFERROR(YEAR(OFFSET(BV!$H389,,(COLUMN()-69)*8)),"")</f>
        <v/>
      </c>
      <c r="BX389" s="11" t="str">
        <f ca="1">IFERROR(YEAR(OFFSET(BV!$H389,,(COLUMN()-69)*8)),"")</f>
        <v/>
      </c>
      <c r="BY389" s="11" t="str">
        <f ca="1">IFERROR(YEAR(OFFSET(BV!$H389,,(COLUMN()-69)*8)),"")</f>
        <v/>
      </c>
      <c r="BZ389" s="11" t="str">
        <f ca="1">IFERROR(YEAR(OFFSET(BV!$H389,,(COLUMN()-69)*8)),"")</f>
        <v/>
      </c>
    </row>
    <row r="390" spans="1:78" x14ac:dyDescent="0.25">
      <c r="A390" s="433">
        <v>248</v>
      </c>
      <c r="B390" s="11" t="str">
        <f ca="1">BV!D390</f>
        <v/>
      </c>
      <c r="C390" s="11" t="str">
        <f ca="1">BV!L390</f>
        <v/>
      </c>
      <c r="D390" s="11" t="str">
        <f ca="1">BV!T390</f>
        <v/>
      </c>
      <c r="E390" s="11" t="str">
        <f ca="1">BV!AB390</f>
        <v/>
      </c>
      <c r="F390" s="11" t="str">
        <f ca="1">BV!AJ390</f>
        <v/>
      </c>
      <c r="G390" s="11" t="str">
        <f ca="1">BV!AR390</f>
        <v/>
      </c>
      <c r="H390" s="11" t="str">
        <f ca="1">BV!AZ390</f>
        <v/>
      </c>
      <c r="I390" s="11" t="str">
        <f ca="1">BV!BH390</f>
        <v/>
      </c>
      <c r="J390" s="11" t="str">
        <f ca="1">BV!BP390</f>
        <v/>
      </c>
      <c r="K390" s="11" t="str">
        <f ca="1">BV!BX390</f>
        <v/>
      </c>
      <c r="L390" s="64" t="s">
        <v>66</v>
      </c>
      <c r="M390" s="261">
        <v>3.0406808E-5</v>
      </c>
      <c r="N390" s="262" t="str">
        <f t="shared" ca="1" si="214"/>
        <v/>
      </c>
      <c r="O390" s="1" t="s">
        <v>39</v>
      </c>
      <c r="P390" s="17">
        <f ca="1">SUM(P383:P385)</f>
        <v>3101</v>
      </c>
      <c r="Q390" s="17">
        <f t="shared" ref="Q390:W390" ca="1" si="228">SUM(Q383:Q385)</f>
        <v>1558</v>
      </c>
      <c r="R390" s="17">
        <f t="shared" ca="1" si="228"/>
        <v>1543</v>
      </c>
      <c r="S390" s="17">
        <f t="shared" ca="1" si="228"/>
        <v>0</v>
      </c>
      <c r="T390" s="17">
        <f t="shared" ca="1" si="228"/>
        <v>0</v>
      </c>
      <c r="U390" s="17">
        <f t="shared" ca="1" si="228"/>
        <v>0</v>
      </c>
      <c r="V390" s="17">
        <f t="shared" ca="1" si="228"/>
        <v>0</v>
      </c>
      <c r="W390" s="17">
        <f t="shared" ca="1" si="228"/>
        <v>0</v>
      </c>
      <c r="X390" s="347"/>
      <c r="Y390" s="347"/>
      <c r="Z390" s="344"/>
      <c r="AA390" s="4">
        <v>11</v>
      </c>
      <c r="AB390" s="24">
        <f t="shared" ca="1" si="225"/>
        <v>27.182988524834826</v>
      </c>
      <c r="AC390" s="24" t="s">
        <v>40</v>
      </c>
      <c r="AD390" s="24">
        <f t="shared" ca="1" si="226"/>
        <v>220</v>
      </c>
      <c r="AE390" s="39">
        <f t="shared" ca="1" si="213"/>
        <v>2.8685944035785274</v>
      </c>
      <c r="AF390" s="344"/>
      <c r="AG390" s="344"/>
      <c r="AH390" s="344"/>
      <c r="AI390" s="344"/>
      <c r="AJ390" s="344"/>
      <c r="AK390" s="344"/>
      <c r="AL390" s="315"/>
      <c r="AM390" s="315"/>
      <c r="AN390" s="433">
        <v>248</v>
      </c>
      <c r="AO390" s="11" t="str">
        <f ca="1">BV!C390</f>
        <v/>
      </c>
      <c r="AP390" s="11" t="str">
        <f ca="1">BV!K390</f>
        <v/>
      </c>
      <c r="AQ390" s="11" t="str">
        <f ca="1">BV!S390</f>
        <v/>
      </c>
      <c r="AR390" s="11" t="str">
        <f ca="1">BV!AA390</f>
        <v/>
      </c>
      <c r="AS390" s="11" t="str">
        <f ca="1">BV!AI390</f>
        <v/>
      </c>
      <c r="AT390" s="11" t="str">
        <f ca="1">BV!AQ390</f>
        <v/>
      </c>
      <c r="AU390" s="11" t="str">
        <f ca="1">BV!AY390</f>
        <v/>
      </c>
      <c r="AV390" s="11" t="str">
        <f ca="1">BV!BG390</f>
        <v/>
      </c>
      <c r="AW390" s="11" t="str">
        <f ca="1">BV!BO390</f>
        <v/>
      </c>
      <c r="AX390" s="11" t="str">
        <f ca="1">BV!BW390</f>
        <v/>
      </c>
      <c r="AY390" s="64" t="s">
        <v>66</v>
      </c>
      <c r="AZ390" s="38">
        <f t="shared" si="215"/>
        <v>4.5170291681737389</v>
      </c>
      <c r="BA390" s="261">
        <v>3.0406808E-5</v>
      </c>
      <c r="BB390" s="268">
        <v>1.1696266019999997E-2</v>
      </c>
      <c r="BC390" s="268">
        <f t="shared" si="216"/>
        <v>2.5997021569111002E-3</v>
      </c>
      <c r="BD390" s="269" t="str">
        <f ca="1">IF(BV!H390="","",INT(NOW()-BV!H390))</f>
        <v/>
      </c>
      <c r="BE390" s="270">
        <f t="shared" si="217"/>
        <v>181.34875737577022</v>
      </c>
      <c r="BF390" s="11" t="str">
        <f ca="1">BV!G390</f>
        <v/>
      </c>
      <c r="BG390" s="11" t="str">
        <f ca="1">BV!O390</f>
        <v/>
      </c>
      <c r="BH390" s="11" t="str">
        <f ca="1">BV!W390</f>
        <v/>
      </c>
      <c r="BI390" s="11" t="str">
        <f ca="1">BV!AE390</f>
        <v/>
      </c>
      <c r="BJ390" s="11" t="str">
        <f ca="1">BV!AM390</f>
        <v/>
      </c>
      <c r="BK390" s="11" t="str">
        <f ca="1">BV!AU390</f>
        <v/>
      </c>
      <c r="BL390" s="11" t="str">
        <f ca="1">BV!BC390</f>
        <v/>
      </c>
      <c r="BM390" s="11" t="str">
        <f ca="1">BV!BK390</f>
        <v/>
      </c>
      <c r="BN390" s="11" t="str">
        <f ca="1">BV!BS390</f>
        <v/>
      </c>
      <c r="BO390" s="11" t="str">
        <f ca="1">BV!CA390</f>
        <v/>
      </c>
      <c r="BP390" s="433">
        <v>248</v>
      </c>
      <c r="BQ390" s="11" t="str">
        <f ca="1">IFERROR(YEAR(OFFSET(BV!$H390,,(COLUMN()-69)*8)),"")</f>
        <v/>
      </c>
      <c r="BR390" s="11" t="str">
        <f ca="1">IFERROR(YEAR(OFFSET(BV!$H390,,(COLUMN()-69)*8)),"")</f>
        <v/>
      </c>
      <c r="BS390" s="11" t="str">
        <f ca="1">IFERROR(YEAR(OFFSET(BV!$H390,,(COLUMN()-69)*8)),"")</f>
        <v/>
      </c>
      <c r="BT390" s="11" t="str">
        <f ca="1">IFERROR(YEAR(OFFSET(BV!$H390,,(COLUMN()-69)*8)),"")</f>
        <v/>
      </c>
      <c r="BU390" s="11" t="str">
        <f ca="1">IFERROR(YEAR(OFFSET(BV!$H390,,(COLUMN()-69)*8)),"")</f>
        <v/>
      </c>
      <c r="BV390" s="11" t="str">
        <f ca="1">IFERROR(YEAR(OFFSET(BV!$H390,,(COLUMN()-69)*8)),"")</f>
        <v/>
      </c>
      <c r="BW390" s="11" t="str">
        <f ca="1">IFERROR(YEAR(OFFSET(BV!$H390,,(COLUMN()-69)*8)),"")</f>
        <v/>
      </c>
      <c r="BX390" s="11" t="str">
        <f ca="1">IFERROR(YEAR(OFFSET(BV!$H390,,(COLUMN()-69)*8)),"")</f>
        <v/>
      </c>
      <c r="BY390" s="11" t="str">
        <f ca="1">IFERROR(YEAR(OFFSET(BV!$H390,,(COLUMN()-69)*8)),"")</f>
        <v/>
      </c>
      <c r="BZ390" s="11" t="str">
        <f ca="1">IFERROR(YEAR(OFFSET(BV!$H390,,(COLUMN()-69)*8)),"")</f>
        <v/>
      </c>
    </row>
    <row r="391" spans="1:78" x14ac:dyDescent="0.25">
      <c r="A391" s="433">
        <v>249</v>
      </c>
      <c r="B391" s="11" t="str">
        <f ca="1">BV!D391</f>
        <v/>
      </c>
      <c r="C391" s="11" t="str">
        <f ca="1">BV!L391</f>
        <v/>
      </c>
      <c r="D391" s="11" t="str">
        <f ca="1">BV!T391</f>
        <v/>
      </c>
      <c r="E391" s="11" t="str">
        <f ca="1">BV!AB391</f>
        <v/>
      </c>
      <c r="F391" s="11" t="str">
        <f ca="1">BV!AJ391</f>
        <v/>
      </c>
      <c r="G391" s="11" t="str">
        <f ca="1">BV!AR391</f>
        <v/>
      </c>
      <c r="H391" s="11" t="str">
        <f ca="1">BV!AZ391</f>
        <v/>
      </c>
      <c r="I391" s="11" t="str">
        <f ca="1">BV!BH391</f>
        <v/>
      </c>
      <c r="J391" s="11" t="str">
        <f ca="1">BV!BP391</f>
        <v/>
      </c>
      <c r="K391" s="11" t="str">
        <f ca="1">BV!BX391</f>
        <v/>
      </c>
      <c r="L391" s="64" t="s">
        <v>66</v>
      </c>
      <c r="M391" s="261">
        <v>2.5837129999999999E-5</v>
      </c>
      <c r="N391" s="262" t="str">
        <f t="shared" ca="1" si="214"/>
        <v/>
      </c>
      <c r="O391" s="1" t="s">
        <v>40</v>
      </c>
      <c r="P391" s="17">
        <f ca="1">SUM(P386:P388)</f>
        <v>8646</v>
      </c>
      <c r="Q391" s="17">
        <f t="shared" ref="Q391:W391" ca="1" si="229">SUM(Q386:Q388)</f>
        <v>7383</v>
      </c>
      <c r="R391" s="17">
        <f t="shared" ca="1" si="229"/>
        <v>1263</v>
      </c>
      <c r="S391" s="17">
        <f t="shared" ca="1" si="229"/>
        <v>0</v>
      </c>
      <c r="T391" s="17">
        <f t="shared" ca="1" si="229"/>
        <v>0</v>
      </c>
      <c r="U391" s="17">
        <f t="shared" ca="1" si="229"/>
        <v>0</v>
      </c>
      <c r="V391" s="17">
        <f t="shared" ca="1" si="229"/>
        <v>0</v>
      </c>
      <c r="W391" s="17">
        <f t="shared" ca="1" si="229"/>
        <v>0</v>
      </c>
      <c r="X391" s="347"/>
      <c r="Y391" s="347"/>
      <c r="Z391" s="344"/>
      <c r="AA391" s="4">
        <v>12</v>
      </c>
      <c r="AB391" s="24">
        <f t="shared" ca="1" si="225"/>
        <v>26.257359597594242</v>
      </c>
      <c r="AC391" s="24" t="s">
        <v>40</v>
      </c>
      <c r="AD391" s="24">
        <f t="shared" ca="1" si="226"/>
        <v>130</v>
      </c>
      <c r="AE391" s="39">
        <f t="shared" ca="1" si="213"/>
        <v>2.838502103838318</v>
      </c>
      <c r="AF391" s="344"/>
      <c r="AG391" s="344"/>
      <c r="AH391" s="344"/>
      <c r="AI391" s="344"/>
      <c r="AJ391" s="344"/>
      <c r="AK391" s="344"/>
      <c r="AL391" s="315"/>
      <c r="AM391" s="315"/>
      <c r="AN391" s="433">
        <v>249</v>
      </c>
      <c r="AO391" s="11" t="str">
        <f ca="1">BV!C391</f>
        <v/>
      </c>
      <c r="AP391" s="11" t="str">
        <f ca="1">BV!K391</f>
        <v/>
      </c>
      <c r="AQ391" s="11" t="str">
        <f ca="1">BV!S391</f>
        <v/>
      </c>
      <c r="AR391" s="11" t="str">
        <f ca="1">BV!AA391</f>
        <v/>
      </c>
      <c r="AS391" s="11" t="str">
        <f ca="1">BV!AI391</f>
        <v/>
      </c>
      <c r="AT391" s="11" t="str">
        <f ca="1">BV!AQ391</f>
        <v/>
      </c>
      <c r="AU391" s="11" t="str">
        <f ca="1">BV!AY391</f>
        <v/>
      </c>
      <c r="AV391" s="11" t="str">
        <f ca="1">BV!BG391</f>
        <v/>
      </c>
      <c r="AW391" s="11" t="str">
        <f ca="1">BV!BO391</f>
        <v/>
      </c>
      <c r="AX391" s="11" t="str">
        <f ca="1">BV!BW391</f>
        <v/>
      </c>
      <c r="AY391" s="64" t="s">
        <v>66</v>
      </c>
      <c r="AZ391" s="38">
        <f t="shared" si="215"/>
        <v>4.5877557296238276</v>
      </c>
      <c r="BA391" s="261">
        <v>2.5837129999999999E-5</v>
      </c>
      <c r="BB391" s="268">
        <v>1.1696266019999997E-2</v>
      </c>
      <c r="BC391" s="268">
        <f t="shared" si="216"/>
        <v>2.2090066997296292E-3</v>
      </c>
      <c r="BD391" s="269" t="str">
        <f ca="1">IF(BV!H391="","",INT(NOW()-BV!H391))</f>
        <v/>
      </c>
      <c r="BE391" s="270">
        <f t="shared" si="217"/>
        <v>196.73329454228369</v>
      </c>
      <c r="BF391" s="11" t="str">
        <f ca="1">BV!G391</f>
        <v/>
      </c>
      <c r="BG391" s="11" t="str">
        <f ca="1">BV!O391</f>
        <v/>
      </c>
      <c r="BH391" s="11" t="str">
        <f ca="1">BV!W391</f>
        <v/>
      </c>
      <c r="BI391" s="11" t="str">
        <f ca="1">BV!AE391</f>
        <v/>
      </c>
      <c r="BJ391" s="11" t="str">
        <f ca="1">BV!AM391</f>
        <v/>
      </c>
      <c r="BK391" s="11" t="str">
        <f ca="1">BV!AU391</f>
        <v/>
      </c>
      <c r="BL391" s="11" t="str">
        <f ca="1">BV!BC391</f>
        <v/>
      </c>
      <c r="BM391" s="11" t="str">
        <f ca="1">BV!BK391</f>
        <v/>
      </c>
      <c r="BN391" s="11" t="str">
        <f ca="1">BV!BS391</f>
        <v/>
      </c>
      <c r="BO391" s="11" t="str">
        <f ca="1">BV!CA391</f>
        <v/>
      </c>
      <c r="BP391" s="433">
        <v>249</v>
      </c>
      <c r="BQ391" s="11" t="str">
        <f ca="1">IFERROR(YEAR(OFFSET(BV!$H391,,(COLUMN()-69)*8)),"")</f>
        <v/>
      </c>
      <c r="BR391" s="11" t="str">
        <f ca="1">IFERROR(YEAR(OFFSET(BV!$H391,,(COLUMN()-69)*8)),"")</f>
        <v/>
      </c>
      <c r="BS391" s="11" t="str">
        <f ca="1">IFERROR(YEAR(OFFSET(BV!$H391,,(COLUMN()-69)*8)),"")</f>
        <v/>
      </c>
      <c r="BT391" s="11" t="str">
        <f ca="1">IFERROR(YEAR(OFFSET(BV!$H391,,(COLUMN()-69)*8)),"")</f>
        <v/>
      </c>
      <c r="BU391" s="11" t="str">
        <f ca="1">IFERROR(YEAR(OFFSET(BV!$H391,,(COLUMN()-69)*8)),"")</f>
        <v/>
      </c>
      <c r="BV391" s="11" t="str">
        <f ca="1">IFERROR(YEAR(OFFSET(BV!$H391,,(COLUMN()-69)*8)),"")</f>
        <v/>
      </c>
      <c r="BW391" s="11" t="str">
        <f ca="1">IFERROR(YEAR(OFFSET(BV!$H391,,(COLUMN()-69)*8)),"")</f>
        <v/>
      </c>
      <c r="BX391" s="11" t="str">
        <f ca="1">IFERROR(YEAR(OFFSET(BV!$H391,,(COLUMN()-69)*8)),"")</f>
        <v/>
      </c>
      <c r="BY391" s="11" t="str">
        <f ca="1">IFERROR(YEAR(OFFSET(BV!$H391,,(COLUMN()-69)*8)),"")</f>
        <v/>
      </c>
      <c r="BZ391" s="11" t="str">
        <f ca="1">IFERROR(YEAR(OFFSET(BV!$H391,,(COLUMN()-69)*8)),"")</f>
        <v/>
      </c>
    </row>
    <row r="392" spans="1:78" x14ac:dyDescent="0.25">
      <c r="A392" s="433">
        <v>250</v>
      </c>
      <c r="B392" s="11" t="str">
        <f ca="1">BV!D392</f>
        <v/>
      </c>
      <c r="C392" s="11" t="str">
        <f ca="1">BV!L392</f>
        <v/>
      </c>
      <c r="D392" s="11" t="str">
        <f ca="1">BV!T392</f>
        <v/>
      </c>
      <c r="E392" s="11" t="str">
        <f ca="1">BV!AB392</f>
        <v/>
      </c>
      <c r="F392" s="11" t="str">
        <f ca="1">BV!AJ392</f>
        <v/>
      </c>
      <c r="G392" s="11" t="str">
        <f ca="1">BV!AR392</f>
        <v/>
      </c>
      <c r="H392" s="11" t="str">
        <f ca="1">BV!AZ392</f>
        <v/>
      </c>
      <c r="I392" s="11" t="str">
        <f ca="1">BV!BH392</f>
        <v/>
      </c>
      <c r="J392" s="11" t="str">
        <f ca="1">BV!BP392</f>
        <v/>
      </c>
      <c r="K392" s="11" t="str">
        <f ca="1">BV!BX392</f>
        <v/>
      </c>
      <c r="L392" s="64" t="s">
        <v>66</v>
      </c>
      <c r="M392" s="261">
        <v>2.1919036E-5</v>
      </c>
      <c r="N392" s="262" t="str">
        <f t="shared" ca="1" si="214"/>
        <v/>
      </c>
      <c r="O392" s="348" t="s">
        <v>423</v>
      </c>
      <c r="P392" s="350">
        <f ca="1">SUM(P389:P391)</f>
        <v>21288</v>
      </c>
      <c r="Q392" s="350">
        <f t="shared" ref="Q392:W392" ca="1" si="230">SUM(Q389:Q391)</f>
        <v>14112</v>
      </c>
      <c r="R392" s="350">
        <f t="shared" ca="1" si="230"/>
        <v>7176</v>
      </c>
      <c r="S392" s="350">
        <f t="shared" ca="1" si="230"/>
        <v>0</v>
      </c>
      <c r="T392" s="350">
        <f t="shared" ca="1" si="230"/>
        <v>0</v>
      </c>
      <c r="U392" s="350">
        <f t="shared" ca="1" si="230"/>
        <v>0</v>
      </c>
      <c r="V392" s="350">
        <f t="shared" ca="1" si="230"/>
        <v>0</v>
      </c>
      <c r="W392" s="350">
        <f t="shared" ca="1" si="230"/>
        <v>0</v>
      </c>
      <c r="X392" s="347"/>
      <c r="Y392" s="347"/>
      <c r="Z392" s="344"/>
      <c r="AA392" s="480">
        <v>13</v>
      </c>
      <c r="AB392" s="482">
        <f t="shared" ref="AB392" ca="1" si="231">LARGE($N$242:$N$430,AA392)</f>
        <v>25.759689183779912</v>
      </c>
      <c r="AC392" s="482" t="s">
        <v>40</v>
      </c>
      <c r="AD392" s="482">
        <f t="shared" ref="AD392" ca="1" si="232">MATCH(AB392,$N$242:$N$430,0)+99</f>
        <v>219</v>
      </c>
      <c r="AE392" s="481">
        <f t="shared" ref="AE392" ca="1" si="233">0-LOG10(1/AB392^2)</f>
        <v>2.8218812370507327</v>
      </c>
      <c r="AF392" s="344"/>
      <c r="AG392" s="344"/>
      <c r="AH392" s="344"/>
      <c r="AI392" s="344"/>
      <c r="AJ392" s="344"/>
      <c r="AK392" s="344"/>
      <c r="AL392" s="315"/>
      <c r="AM392" s="315"/>
      <c r="AN392" s="433">
        <v>250</v>
      </c>
      <c r="AO392" s="11" t="str">
        <f ca="1">BV!C392</f>
        <v/>
      </c>
      <c r="AP392" s="11" t="str">
        <f ca="1">BV!K392</f>
        <v/>
      </c>
      <c r="AQ392" s="11" t="str">
        <f ca="1">BV!S392</f>
        <v/>
      </c>
      <c r="AR392" s="11" t="str">
        <f ca="1">BV!AA392</f>
        <v/>
      </c>
      <c r="AS392" s="11" t="str">
        <f ca="1">BV!AI392</f>
        <v/>
      </c>
      <c r="AT392" s="11" t="str">
        <f ca="1">BV!AQ392</f>
        <v/>
      </c>
      <c r="AU392" s="11" t="str">
        <f ca="1">BV!AY392</f>
        <v/>
      </c>
      <c r="AV392" s="11" t="str">
        <f ca="1">BV!BG392</f>
        <v/>
      </c>
      <c r="AW392" s="11" t="str">
        <f ca="1">BV!BO392</f>
        <v/>
      </c>
      <c r="AX392" s="11" t="str">
        <f ca="1">BV!BW392</f>
        <v/>
      </c>
      <c r="AY392" s="64" t="s">
        <v>66</v>
      </c>
      <c r="AZ392" s="38">
        <f t="shared" si="215"/>
        <v>4.6591785500547651</v>
      </c>
      <c r="BA392" s="261">
        <v>2.1919036E-5</v>
      </c>
      <c r="BB392" s="268">
        <v>1.1696266019999997E-2</v>
      </c>
      <c r="BC392" s="268">
        <f t="shared" si="216"/>
        <v>1.8740199617997408E-3</v>
      </c>
      <c r="BD392" s="269" t="str">
        <f ca="1">IF(BV!H392="","",INT(NOW()-BV!H392))</f>
        <v/>
      </c>
      <c r="BE392" s="270">
        <f t="shared" si="217"/>
        <v>213.59411121265472</v>
      </c>
      <c r="BF392" s="11" t="str">
        <f ca="1">BV!G392</f>
        <v/>
      </c>
      <c r="BG392" s="11" t="str">
        <f ca="1">BV!O392</f>
        <v/>
      </c>
      <c r="BH392" s="11" t="str">
        <f ca="1">BV!W392</f>
        <v/>
      </c>
      <c r="BI392" s="11" t="str">
        <f ca="1">BV!AE392</f>
        <v/>
      </c>
      <c r="BJ392" s="11" t="str">
        <f ca="1">BV!AM392</f>
        <v/>
      </c>
      <c r="BK392" s="11" t="str">
        <f ca="1">BV!AU392</f>
        <v/>
      </c>
      <c r="BL392" s="11" t="str">
        <f ca="1">BV!BC392</f>
        <v/>
      </c>
      <c r="BM392" s="11" t="str">
        <f ca="1">BV!BK392</f>
        <v/>
      </c>
      <c r="BN392" s="11" t="str">
        <f ca="1">BV!BS392</f>
        <v/>
      </c>
      <c r="BO392" s="11" t="str">
        <f ca="1">BV!CA392</f>
        <v/>
      </c>
      <c r="BP392" s="433">
        <v>250</v>
      </c>
      <c r="BQ392" s="11" t="str">
        <f ca="1">IFERROR(YEAR(OFFSET(BV!$H392,,(COLUMN()-69)*8)),"")</f>
        <v/>
      </c>
      <c r="BR392" s="11" t="str">
        <f ca="1">IFERROR(YEAR(OFFSET(BV!$H392,,(COLUMN()-69)*8)),"")</f>
        <v/>
      </c>
      <c r="BS392" s="11" t="str">
        <f ca="1">IFERROR(YEAR(OFFSET(BV!$H392,,(COLUMN()-69)*8)),"")</f>
        <v/>
      </c>
      <c r="BT392" s="11" t="str">
        <f ca="1">IFERROR(YEAR(OFFSET(BV!$H392,,(COLUMN()-69)*8)),"")</f>
        <v/>
      </c>
      <c r="BU392" s="11" t="str">
        <f ca="1">IFERROR(YEAR(OFFSET(BV!$H392,,(COLUMN()-69)*8)),"")</f>
        <v/>
      </c>
      <c r="BV392" s="11" t="str">
        <f ca="1">IFERROR(YEAR(OFFSET(BV!$H392,,(COLUMN()-69)*8)),"")</f>
        <v/>
      </c>
      <c r="BW392" s="11" t="str">
        <f ca="1">IFERROR(YEAR(OFFSET(BV!$H392,,(COLUMN()-69)*8)),"")</f>
        <v/>
      </c>
      <c r="BX392" s="11" t="str">
        <f ca="1">IFERROR(YEAR(OFFSET(BV!$H392,,(COLUMN()-69)*8)),"")</f>
        <v/>
      </c>
      <c r="BY392" s="11" t="str">
        <f ca="1">IFERROR(YEAR(OFFSET(BV!$H392,,(COLUMN()-69)*8)),"")</f>
        <v/>
      </c>
      <c r="BZ392" s="11" t="str">
        <f ca="1">IFERROR(YEAR(OFFSET(BV!$H392,,(COLUMN()-69)*8)),"")</f>
        <v/>
      </c>
    </row>
    <row r="393" spans="1:78" x14ac:dyDescent="0.25">
      <c r="A393" s="433">
        <v>251</v>
      </c>
      <c r="B393" s="11" t="str">
        <f ca="1">BV!D393</f>
        <v/>
      </c>
      <c r="C393" s="11" t="str">
        <f ca="1">BV!L393</f>
        <v/>
      </c>
      <c r="D393" s="11" t="str">
        <f ca="1">BV!T393</f>
        <v/>
      </c>
      <c r="E393" s="11" t="str">
        <f ca="1">BV!AB393</f>
        <v/>
      </c>
      <c r="F393" s="11" t="str">
        <f ca="1">BV!AJ393</f>
        <v/>
      </c>
      <c r="G393" s="11" t="str">
        <f ca="1">BV!AR393</f>
        <v/>
      </c>
      <c r="H393" s="11" t="str">
        <f ca="1">BV!AZ393</f>
        <v/>
      </c>
      <c r="I393" s="11" t="str">
        <f ca="1">BV!BH393</f>
        <v/>
      </c>
      <c r="J393" s="11" t="str">
        <f ca="1">BV!BP393</f>
        <v/>
      </c>
      <c r="K393" s="11" t="str">
        <f ca="1">BV!BX393</f>
        <v/>
      </c>
      <c r="L393" s="64" t="s">
        <v>66</v>
      </c>
      <c r="M393" s="261">
        <v>1.8550697E-5</v>
      </c>
      <c r="N393" s="262" t="str">
        <f t="shared" ca="1" si="214"/>
        <v/>
      </c>
      <c r="O393" s="15" t="str">
        <f>O1</f>
        <v>分段</v>
      </c>
      <c r="P393" s="4" t="s">
        <v>86</v>
      </c>
      <c r="Q393" s="4" t="s">
        <v>87</v>
      </c>
      <c r="R393" s="4" t="s">
        <v>88</v>
      </c>
      <c r="S393" s="4" t="s">
        <v>89</v>
      </c>
      <c r="T393" s="4" t="s">
        <v>90</v>
      </c>
      <c r="U393" s="4" t="s">
        <v>91</v>
      </c>
      <c r="V393" s="4" t="s">
        <v>92</v>
      </c>
      <c r="W393" s="4" t="s">
        <v>93</v>
      </c>
      <c r="X393" s="4" t="s">
        <v>94</v>
      </c>
      <c r="Y393" s="4" t="s">
        <v>95</v>
      </c>
      <c r="Z393" s="4" t="str">
        <f>IF(Arb!$AJ$28=1,"Avg","平均")</f>
        <v>平均</v>
      </c>
      <c r="AA393" s="602" t="s">
        <v>405</v>
      </c>
      <c r="AB393" s="590"/>
      <c r="AC393" s="590"/>
      <c r="AD393" s="590"/>
      <c r="AE393" s="590"/>
      <c r="AF393" s="590"/>
      <c r="AG393" s="590" t="s">
        <v>407</v>
      </c>
      <c r="AH393" s="590"/>
      <c r="AI393" s="344"/>
      <c r="AJ393" s="344"/>
      <c r="AK393" s="344"/>
      <c r="AL393" s="315"/>
      <c r="AM393" s="315"/>
      <c r="AN393" s="433">
        <v>251</v>
      </c>
      <c r="AO393" s="11" t="str">
        <f ca="1">BV!C393</f>
        <v/>
      </c>
      <c r="AP393" s="11" t="str">
        <f ca="1">BV!K393</f>
        <v/>
      </c>
      <c r="AQ393" s="11" t="str">
        <f ca="1">BV!S393</f>
        <v/>
      </c>
      <c r="AR393" s="11" t="str">
        <f ca="1">BV!AA393</f>
        <v/>
      </c>
      <c r="AS393" s="11" t="str">
        <f ca="1">BV!AI393</f>
        <v/>
      </c>
      <c r="AT393" s="11" t="str">
        <f ca="1">BV!AQ393</f>
        <v/>
      </c>
      <c r="AU393" s="11" t="str">
        <f ca="1">BV!AY393</f>
        <v/>
      </c>
      <c r="AV393" s="11" t="str">
        <f ca="1">BV!BG393</f>
        <v/>
      </c>
      <c r="AW393" s="11" t="str">
        <f ca="1">BV!BO393</f>
        <v/>
      </c>
      <c r="AX393" s="11" t="str">
        <f ca="1">BV!BW393</f>
        <v/>
      </c>
      <c r="AY393" s="64" t="s">
        <v>66</v>
      </c>
      <c r="AZ393" s="38">
        <f t="shared" si="215"/>
        <v>4.7316397681207887</v>
      </c>
      <c r="BA393" s="261">
        <v>1.8550697E-5</v>
      </c>
      <c r="BB393" s="268">
        <v>1.1696266019999997E-2</v>
      </c>
      <c r="BC393" s="268">
        <f t="shared" si="216"/>
        <v>1.5860358312883179E-3</v>
      </c>
      <c r="BD393" s="269" t="str">
        <f ca="1">IF(BV!H393="","",INT(NOW()-BV!H393))</f>
        <v/>
      </c>
      <c r="BE393" s="270">
        <f t="shared" si="217"/>
        <v>232.17736821664877</v>
      </c>
      <c r="BF393" s="11" t="str">
        <f ca="1">BV!G393</f>
        <v/>
      </c>
      <c r="BG393" s="11" t="str">
        <f ca="1">BV!O393</f>
        <v/>
      </c>
      <c r="BH393" s="11" t="str">
        <f ca="1">BV!W393</f>
        <v/>
      </c>
      <c r="BI393" s="11" t="str">
        <f ca="1">BV!AE393</f>
        <v/>
      </c>
      <c r="BJ393" s="11" t="str">
        <f ca="1">BV!AM393</f>
        <v/>
      </c>
      <c r="BK393" s="11" t="str">
        <f ca="1">BV!AU393</f>
        <v/>
      </c>
      <c r="BL393" s="11" t="str">
        <f ca="1">BV!BC393</f>
        <v/>
      </c>
      <c r="BM393" s="11" t="str">
        <f ca="1">BV!BK393</f>
        <v/>
      </c>
      <c r="BN393" s="11" t="str">
        <f ca="1">BV!BS393</f>
        <v/>
      </c>
      <c r="BO393" s="11" t="str">
        <f ca="1">BV!CA393</f>
        <v/>
      </c>
      <c r="BP393" s="433">
        <v>251</v>
      </c>
      <c r="BQ393" s="11" t="str">
        <f ca="1">IFERROR(YEAR(OFFSET(BV!$H393,,(COLUMN()-69)*8)),"")</f>
        <v/>
      </c>
      <c r="BR393" s="11" t="str">
        <f ca="1">IFERROR(YEAR(OFFSET(BV!$H393,,(COLUMN()-69)*8)),"")</f>
        <v/>
      </c>
      <c r="BS393" s="11" t="str">
        <f ca="1">IFERROR(YEAR(OFFSET(BV!$H393,,(COLUMN()-69)*8)),"")</f>
        <v/>
      </c>
      <c r="BT393" s="11" t="str">
        <f ca="1">IFERROR(YEAR(OFFSET(BV!$H393,,(COLUMN()-69)*8)),"")</f>
        <v/>
      </c>
      <c r="BU393" s="11" t="str">
        <f ca="1">IFERROR(YEAR(OFFSET(BV!$H393,,(COLUMN()-69)*8)),"")</f>
        <v/>
      </c>
      <c r="BV393" s="11" t="str">
        <f ca="1">IFERROR(YEAR(OFFSET(BV!$H393,,(COLUMN()-69)*8)),"")</f>
        <v/>
      </c>
      <c r="BW393" s="11" t="str">
        <f ca="1">IFERROR(YEAR(OFFSET(BV!$H393,,(COLUMN()-69)*8)),"")</f>
        <v/>
      </c>
      <c r="BX393" s="11" t="str">
        <f ca="1">IFERROR(YEAR(OFFSET(BV!$H393,,(COLUMN()-69)*8)),"")</f>
        <v/>
      </c>
      <c r="BY393" s="11" t="str">
        <f ca="1">IFERROR(YEAR(OFFSET(BV!$H393,,(COLUMN()-69)*8)),"")</f>
        <v/>
      </c>
      <c r="BZ393" s="11" t="str">
        <f ca="1">IFERROR(YEAR(OFFSET(BV!$H393,,(COLUMN()-69)*8)),"")</f>
        <v/>
      </c>
    </row>
    <row r="394" spans="1:78" x14ac:dyDescent="0.25">
      <c r="A394" s="433">
        <v>252</v>
      </c>
      <c r="B394" s="11" t="str">
        <f ca="1">BV!D394</f>
        <v/>
      </c>
      <c r="C394" s="11" t="str">
        <f ca="1">BV!L394</f>
        <v/>
      </c>
      <c r="D394" s="11" t="str">
        <f ca="1">BV!T394</f>
        <v/>
      </c>
      <c r="E394" s="11" t="str">
        <f ca="1">BV!AB394</f>
        <v/>
      </c>
      <c r="F394" s="11" t="str">
        <f ca="1">BV!AJ394</f>
        <v/>
      </c>
      <c r="G394" s="11" t="str">
        <f ca="1">BV!AR394</f>
        <v/>
      </c>
      <c r="H394" s="11" t="str">
        <f ca="1">BV!AZ394</f>
        <v/>
      </c>
      <c r="I394" s="11" t="str">
        <f ca="1">BV!BH394</f>
        <v/>
      </c>
      <c r="J394" s="11" t="str">
        <f ca="1">BV!BP394</f>
        <v/>
      </c>
      <c r="K394" s="11" t="str">
        <f ca="1">BV!BX394</f>
        <v/>
      </c>
      <c r="L394" s="64" t="s">
        <v>66</v>
      </c>
      <c r="M394" s="261">
        <v>1.568496E-5</v>
      </c>
      <c r="N394" s="262" t="str">
        <f t="shared" ca="1" si="214"/>
        <v/>
      </c>
      <c r="O394" s="31" t="s">
        <v>12</v>
      </c>
      <c r="P394" s="338">
        <f ca="1">OFFSET($BD$10,COLUMN()-16,)</f>
        <v>274</v>
      </c>
      <c r="Q394" s="338">
        <f t="shared" ref="Q394:Y394" ca="1" si="234">OFFSET($BD$10,COLUMN()-16,)</f>
        <v>228</v>
      </c>
      <c r="R394" s="338">
        <f t="shared" ca="1" si="234"/>
        <v>284</v>
      </c>
      <c r="S394" s="338">
        <f t="shared" ca="1" si="234"/>
        <v>87</v>
      </c>
      <c r="T394" s="338">
        <f t="shared" ca="1" si="234"/>
        <v>13</v>
      </c>
      <c r="U394" s="338">
        <f t="shared" ca="1" si="234"/>
        <v>87</v>
      </c>
      <c r="V394" s="338">
        <f t="shared" ca="1" si="234"/>
        <v>243</v>
      </c>
      <c r="W394" s="338">
        <f t="shared" ca="1" si="234"/>
        <v>339</v>
      </c>
      <c r="X394" s="338">
        <f t="shared" ca="1" si="234"/>
        <v>87</v>
      </c>
      <c r="Y394" s="338">
        <f t="shared" ca="1" si="234"/>
        <v>12</v>
      </c>
      <c r="Z394" s="9">
        <f ca="1">AVERAGE(P394:Y394)</f>
        <v>165.4</v>
      </c>
      <c r="AA394" s="606" t="s">
        <v>401</v>
      </c>
      <c r="AB394" s="594"/>
      <c r="AC394" s="650">
        <f ca="1">NOW()-LARGE($P394:$Y395,3)</f>
        <v>43809.874425578702</v>
      </c>
      <c r="AD394" s="650"/>
      <c r="AE394" s="650">
        <f ca="1">NOW()-SMALL($P394:$Y395,3)</f>
        <v>44093.874425578702</v>
      </c>
      <c r="AF394" s="650"/>
      <c r="AG394" s="647">
        <f ca="1">AE394-AC394</f>
        <v>284</v>
      </c>
      <c r="AH394" s="647"/>
      <c r="AI394" s="344"/>
      <c r="AJ394" s="344"/>
      <c r="AK394" s="344"/>
      <c r="AL394" s="315"/>
      <c r="AM394" s="315"/>
      <c r="AN394" s="433">
        <v>252</v>
      </c>
      <c r="AO394" s="11" t="str">
        <f ca="1">BV!C394</f>
        <v/>
      </c>
      <c r="AP394" s="11" t="str">
        <f ca="1">BV!K394</f>
        <v/>
      </c>
      <c r="AQ394" s="11" t="str">
        <f ca="1">BV!S394</f>
        <v/>
      </c>
      <c r="AR394" s="11" t="str">
        <f ca="1">BV!AA394</f>
        <v/>
      </c>
      <c r="AS394" s="11" t="str">
        <f ca="1">BV!AI394</f>
        <v/>
      </c>
      <c r="AT394" s="11" t="str">
        <f ca="1">BV!AQ394</f>
        <v/>
      </c>
      <c r="AU394" s="11" t="str">
        <f ca="1">BV!AY394</f>
        <v/>
      </c>
      <c r="AV394" s="11" t="str">
        <f ca="1">BV!BG394</f>
        <v/>
      </c>
      <c r="AW394" s="11" t="str">
        <f ca="1">BV!BO394</f>
        <v/>
      </c>
      <c r="AX394" s="11" t="str">
        <f ca="1">BV!BW394</f>
        <v/>
      </c>
      <c r="AY394" s="64" t="s">
        <v>66</v>
      </c>
      <c r="AZ394" s="38">
        <f t="shared" si="215"/>
        <v>4.8045165845085647</v>
      </c>
      <c r="BA394" s="261">
        <v>1.568496E-5</v>
      </c>
      <c r="BB394" s="268">
        <v>1.1696266019999997E-2</v>
      </c>
      <c r="BC394" s="268">
        <f t="shared" si="216"/>
        <v>1.3410228506413541E-3</v>
      </c>
      <c r="BD394" s="269" t="str">
        <f ca="1">IF(BV!H394="","",INT(NOW()-BV!H394))</f>
        <v/>
      </c>
      <c r="BE394" s="270">
        <f t="shared" si="217"/>
        <v>252.49820335542603</v>
      </c>
      <c r="BF394" s="11" t="str">
        <f ca="1">BV!G394</f>
        <v/>
      </c>
      <c r="BG394" s="11" t="str">
        <f ca="1">BV!O394</f>
        <v/>
      </c>
      <c r="BH394" s="11" t="str">
        <f ca="1">BV!W394</f>
        <v/>
      </c>
      <c r="BI394" s="11" t="str">
        <f ca="1">BV!AE394</f>
        <v/>
      </c>
      <c r="BJ394" s="11" t="str">
        <f ca="1">BV!AM394</f>
        <v/>
      </c>
      <c r="BK394" s="11" t="str">
        <f ca="1">BV!AU394</f>
        <v/>
      </c>
      <c r="BL394" s="11" t="str">
        <f ca="1">BV!BC394</f>
        <v/>
      </c>
      <c r="BM394" s="11" t="str">
        <f ca="1">BV!BK394</f>
        <v/>
      </c>
      <c r="BN394" s="11" t="str">
        <f ca="1">BV!BS394</f>
        <v/>
      </c>
      <c r="BO394" s="11" t="str">
        <f ca="1">BV!CA394</f>
        <v/>
      </c>
      <c r="BP394" s="433">
        <v>252</v>
      </c>
      <c r="BQ394" s="11" t="str">
        <f ca="1">IFERROR(YEAR(OFFSET(BV!$H394,,(COLUMN()-69)*8)),"")</f>
        <v/>
      </c>
      <c r="BR394" s="11" t="str">
        <f ca="1">IFERROR(YEAR(OFFSET(BV!$H394,,(COLUMN()-69)*8)),"")</f>
        <v/>
      </c>
      <c r="BS394" s="11" t="str">
        <f ca="1">IFERROR(YEAR(OFFSET(BV!$H394,,(COLUMN()-69)*8)),"")</f>
        <v/>
      </c>
      <c r="BT394" s="11" t="str">
        <f ca="1">IFERROR(YEAR(OFFSET(BV!$H394,,(COLUMN()-69)*8)),"")</f>
        <v/>
      </c>
      <c r="BU394" s="11" t="str">
        <f ca="1">IFERROR(YEAR(OFFSET(BV!$H394,,(COLUMN()-69)*8)),"")</f>
        <v/>
      </c>
      <c r="BV394" s="11" t="str">
        <f ca="1">IFERROR(YEAR(OFFSET(BV!$H394,,(COLUMN()-69)*8)),"")</f>
        <v/>
      </c>
      <c r="BW394" s="11" t="str">
        <f ca="1">IFERROR(YEAR(OFFSET(BV!$H394,,(COLUMN()-69)*8)),"")</f>
        <v/>
      </c>
      <c r="BX394" s="11" t="str">
        <f ca="1">IFERROR(YEAR(OFFSET(BV!$H394,,(COLUMN()-69)*8)),"")</f>
        <v/>
      </c>
      <c r="BY394" s="11" t="str">
        <f ca="1">IFERROR(YEAR(OFFSET(BV!$H394,,(COLUMN()-69)*8)),"")</f>
        <v/>
      </c>
      <c r="BZ394" s="11" t="str">
        <f ca="1">IFERROR(YEAR(OFFSET(BV!$H394,,(COLUMN()-69)*8)),"")</f>
        <v/>
      </c>
    </row>
    <row r="395" spans="1:78" x14ac:dyDescent="0.25">
      <c r="A395" s="433">
        <v>253</v>
      </c>
      <c r="B395" s="11" t="str">
        <f ca="1">BV!D395</f>
        <v/>
      </c>
      <c r="C395" s="11" t="str">
        <f ca="1">BV!L395</f>
        <v/>
      </c>
      <c r="D395" s="11" t="str">
        <f ca="1">BV!T395</f>
        <v/>
      </c>
      <c r="E395" s="11" t="str">
        <f ca="1">BV!AB395</f>
        <v/>
      </c>
      <c r="F395" s="11" t="str">
        <f ca="1">BV!AJ395</f>
        <v/>
      </c>
      <c r="G395" s="11" t="str">
        <f ca="1">BV!AR395</f>
        <v/>
      </c>
      <c r="H395" s="11" t="str">
        <f ca="1">BV!AZ395</f>
        <v/>
      </c>
      <c r="I395" s="11" t="str">
        <f ca="1">BV!BH395</f>
        <v/>
      </c>
      <c r="J395" s="11" t="str">
        <f ca="1">BV!BP395</f>
        <v/>
      </c>
      <c r="K395" s="11" t="str">
        <f ca="1">BV!BX395</f>
        <v/>
      </c>
      <c r="L395" s="64" t="s">
        <v>66</v>
      </c>
      <c r="M395" s="261">
        <v>1.3223745999999999E-5</v>
      </c>
      <c r="N395" s="262" t="str">
        <f t="shared" ca="1" si="214"/>
        <v/>
      </c>
      <c r="O395" s="31" t="s">
        <v>13</v>
      </c>
      <c r="P395" s="338">
        <f ca="1">OFFSET($BD$20,COLUMN()-16,)</f>
        <v>279</v>
      </c>
      <c r="Q395" s="338">
        <f t="shared" ref="Q395:Y395" ca="1" si="235">OFFSET($BD$20,COLUMN()-16,)</f>
        <v>403</v>
      </c>
      <c r="R395" s="338">
        <f t="shared" ca="1" si="235"/>
        <v>87</v>
      </c>
      <c r="S395" s="338">
        <f t="shared" ca="1" si="235"/>
        <v>379</v>
      </c>
      <c r="T395" s="338">
        <f t="shared" ca="1" si="235"/>
        <v>126</v>
      </c>
      <c r="U395" s="338">
        <f t="shared" ca="1" si="235"/>
        <v>369</v>
      </c>
      <c r="V395" s="338">
        <f t="shared" ca="1" si="235"/>
        <v>371</v>
      </c>
      <c r="W395" s="338">
        <f t="shared" ca="1" si="235"/>
        <v>274</v>
      </c>
      <c r="X395" s="338">
        <f t="shared" ca="1" si="235"/>
        <v>240</v>
      </c>
      <c r="Y395" s="338">
        <f t="shared" ca="1" si="235"/>
        <v>87</v>
      </c>
      <c r="Z395" s="9">
        <f t="shared" ref="Z395:Z410" ca="1" si="236">AVERAGE(P395:Y395)</f>
        <v>261.5</v>
      </c>
      <c r="AA395" s="606" t="s">
        <v>402</v>
      </c>
      <c r="AB395" s="594"/>
      <c r="AC395" s="650">
        <f ca="1">NOW()-LARGE($P396:$Y401,7)</f>
        <v>43779.874425578702</v>
      </c>
      <c r="AD395" s="650"/>
      <c r="AE395" s="650">
        <f ca="1">NOW()-SMALL($P396:$Y401,7)</f>
        <v>44114.874425578702</v>
      </c>
      <c r="AF395" s="650"/>
      <c r="AG395" s="647">
        <f t="shared" ref="AG395:AG397" ca="1" si="237">AE395-AC395</f>
        <v>335</v>
      </c>
      <c r="AH395" s="647"/>
      <c r="AI395" s="344"/>
      <c r="AJ395" s="344"/>
      <c r="AK395" s="344"/>
      <c r="AL395" s="315"/>
      <c r="AM395" s="315"/>
      <c r="AN395" s="433">
        <v>253</v>
      </c>
      <c r="AO395" s="11" t="str">
        <f ca="1">BV!C395</f>
        <v/>
      </c>
      <c r="AP395" s="11" t="str">
        <f ca="1">BV!K395</f>
        <v/>
      </c>
      <c r="AQ395" s="11" t="str">
        <f ca="1">BV!S395</f>
        <v/>
      </c>
      <c r="AR395" s="11" t="str">
        <f ca="1">BV!AA395</f>
        <v/>
      </c>
      <c r="AS395" s="11" t="str">
        <f ca="1">BV!AI395</f>
        <v/>
      </c>
      <c r="AT395" s="11" t="str">
        <f ca="1">BV!AQ395</f>
        <v/>
      </c>
      <c r="AU395" s="11" t="str">
        <f ca="1">BV!AY395</f>
        <v/>
      </c>
      <c r="AV395" s="11" t="str">
        <f ca="1">BV!BG395</f>
        <v/>
      </c>
      <c r="AW395" s="11" t="str">
        <f ca="1">BV!BO395</f>
        <v/>
      </c>
      <c r="AX395" s="11" t="str">
        <f ca="1">BV!BW395</f>
        <v/>
      </c>
      <c r="AY395" s="64" t="s">
        <v>66</v>
      </c>
      <c r="AZ395" s="38">
        <f t="shared" si="215"/>
        <v>4.8786455012286396</v>
      </c>
      <c r="BA395" s="261">
        <v>1.3223745999999999E-5</v>
      </c>
      <c r="BB395" s="268">
        <v>1.1696266019999997E-2</v>
      </c>
      <c r="BC395" s="268">
        <f t="shared" si="216"/>
        <v>1.1305955231685131E-3</v>
      </c>
      <c r="BD395" s="269" t="str">
        <f ca="1">IF(BV!H395="","",INT(NOW()-BV!H395))</f>
        <v/>
      </c>
      <c r="BE395" s="270">
        <f t="shared" si="217"/>
        <v>274.99370391935321</v>
      </c>
      <c r="BF395" s="11" t="str">
        <f ca="1">BV!G395</f>
        <v/>
      </c>
      <c r="BG395" s="11" t="str">
        <f ca="1">BV!O395</f>
        <v/>
      </c>
      <c r="BH395" s="11" t="str">
        <f ca="1">BV!W395</f>
        <v/>
      </c>
      <c r="BI395" s="11" t="str">
        <f ca="1">BV!AE395</f>
        <v/>
      </c>
      <c r="BJ395" s="11" t="str">
        <f ca="1">BV!AM395</f>
        <v/>
      </c>
      <c r="BK395" s="11" t="str">
        <f ca="1">BV!AU395</f>
        <v/>
      </c>
      <c r="BL395" s="11" t="str">
        <f ca="1">BV!BC395</f>
        <v/>
      </c>
      <c r="BM395" s="11" t="str">
        <f ca="1">BV!BK395</f>
        <v/>
      </c>
      <c r="BN395" s="11" t="str">
        <f ca="1">BV!BS395</f>
        <v/>
      </c>
      <c r="BO395" s="11" t="str">
        <f ca="1">BV!CA395</f>
        <v/>
      </c>
      <c r="BP395" s="433">
        <v>253</v>
      </c>
      <c r="BQ395" s="11" t="str">
        <f ca="1">IFERROR(YEAR(OFFSET(BV!$H395,,(COLUMN()-69)*8)),"")</f>
        <v/>
      </c>
      <c r="BR395" s="11" t="str">
        <f ca="1">IFERROR(YEAR(OFFSET(BV!$H395,,(COLUMN()-69)*8)),"")</f>
        <v/>
      </c>
      <c r="BS395" s="11" t="str">
        <f ca="1">IFERROR(YEAR(OFFSET(BV!$H395,,(COLUMN()-69)*8)),"")</f>
        <v/>
      </c>
      <c r="BT395" s="11" t="str">
        <f ca="1">IFERROR(YEAR(OFFSET(BV!$H395,,(COLUMN()-69)*8)),"")</f>
        <v/>
      </c>
      <c r="BU395" s="11" t="str">
        <f ca="1">IFERROR(YEAR(OFFSET(BV!$H395,,(COLUMN()-69)*8)),"")</f>
        <v/>
      </c>
      <c r="BV395" s="11" t="str">
        <f ca="1">IFERROR(YEAR(OFFSET(BV!$H395,,(COLUMN()-69)*8)),"")</f>
        <v/>
      </c>
      <c r="BW395" s="11" t="str">
        <f ca="1">IFERROR(YEAR(OFFSET(BV!$H395,,(COLUMN()-69)*8)),"")</f>
        <v/>
      </c>
      <c r="BX395" s="11" t="str">
        <f ca="1">IFERROR(YEAR(OFFSET(BV!$H395,,(COLUMN()-69)*8)),"")</f>
        <v/>
      </c>
      <c r="BY395" s="11" t="str">
        <f ca="1">IFERROR(YEAR(OFFSET(BV!$H395,,(COLUMN()-69)*8)),"")</f>
        <v/>
      </c>
      <c r="BZ395" s="11" t="str">
        <f ca="1">IFERROR(YEAR(OFFSET(BV!$H395,,(COLUMN()-69)*8)),"")</f>
        <v/>
      </c>
    </row>
    <row r="396" spans="1:78" x14ac:dyDescent="0.25">
      <c r="A396" s="433">
        <v>254</v>
      </c>
      <c r="B396" s="11" t="str">
        <f ca="1">BV!D396</f>
        <v/>
      </c>
      <c r="C396" s="11" t="str">
        <f ca="1">BV!L396</f>
        <v/>
      </c>
      <c r="D396" s="11" t="str">
        <f ca="1">BV!T396</f>
        <v/>
      </c>
      <c r="E396" s="11" t="str">
        <f ca="1">BV!AB396</f>
        <v/>
      </c>
      <c r="F396" s="11" t="str">
        <f ca="1">BV!AJ396</f>
        <v/>
      </c>
      <c r="G396" s="11" t="str">
        <f ca="1">BV!AR396</f>
        <v/>
      </c>
      <c r="H396" s="11" t="str">
        <f ca="1">BV!AZ396</f>
        <v/>
      </c>
      <c r="I396" s="11" t="str">
        <f ca="1">BV!BH396</f>
        <v/>
      </c>
      <c r="J396" s="11" t="str">
        <f ca="1">BV!BP396</f>
        <v/>
      </c>
      <c r="K396" s="11" t="str">
        <f ca="1">BV!BX396</f>
        <v/>
      </c>
      <c r="L396" s="64" t="s">
        <v>66</v>
      </c>
      <c r="M396" s="261">
        <v>1.1131679E-5</v>
      </c>
      <c r="N396" s="262" t="str">
        <f t="shared" ca="1" si="214"/>
        <v/>
      </c>
      <c r="O396" s="36" t="s">
        <v>16</v>
      </c>
      <c r="P396" s="269">
        <f ca="1">OFFSET($BD$65,COLUMN()-16,)</f>
        <v>415</v>
      </c>
      <c r="Q396" s="269">
        <f t="shared" ref="Q396:Y396" ca="1" si="238">OFFSET($BD$65,COLUMN()-16,)</f>
        <v>382</v>
      </c>
      <c r="R396" s="269">
        <f t="shared" ca="1" si="238"/>
        <v>396</v>
      </c>
      <c r="S396" s="269">
        <f t="shared" ca="1" si="238"/>
        <v>66</v>
      </c>
      <c r="T396" s="269">
        <f t="shared" ca="1" si="238"/>
        <v>413</v>
      </c>
      <c r="U396" s="269">
        <f t="shared" ca="1" si="238"/>
        <v>363</v>
      </c>
      <c r="V396" s="269">
        <f t="shared" ca="1" si="238"/>
        <v>295</v>
      </c>
      <c r="W396" s="269">
        <f t="shared" ca="1" si="238"/>
        <v>87</v>
      </c>
      <c r="X396" s="269">
        <f t="shared" ca="1" si="238"/>
        <v>369</v>
      </c>
      <c r="Y396" s="269">
        <f t="shared" ca="1" si="238"/>
        <v>63</v>
      </c>
      <c r="Z396" s="9">
        <f t="shared" ca="1" si="236"/>
        <v>284.89999999999998</v>
      </c>
      <c r="AA396" s="606" t="s">
        <v>403</v>
      </c>
      <c r="AB396" s="594"/>
      <c r="AC396" s="650">
        <f ca="1">NOW()-LARGE($P402:$Y410,10)</f>
        <v>43892.874425578702</v>
      </c>
      <c r="AD396" s="650"/>
      <c r="AE396" s="650">
        <f ca="1">NOW()-SMALL($P402:$Y410,10)</f>
        <v>44097.874425578702</v>
      </c>
      <c r="AF396" s="650"/>
      <c r="AG396" s="647">
        <f t="shared" ca="1" si="237"/>
        <v>205</v>
      </c>
      <c r="AH396" s="647"/>
      <c r="AI396" s="344"/>
      <c r="AJ396" s="344"/>
      <c r="AK396" s="344"/>
      <c r="AL396" s="315"/>
      <c r="AM396" s="315"/>
      <c r="AN396" s="433">
        <v>254</v>
      </c>
      <c r="AO396" s="11" t="str">
        <f ca="1">BV!C396</f>
        <v/>
      </c>
      <c r="AP396" s="11" t="str">
        <f ca="1">BV!K396</f>
        <v/>
      </c>
      <c r="AQ396" s="11" t="str">
        <f ca="1">BV!S396</f>
        <v/>
      </c>
      <c r="AR396" s="11" t="str">
        <f ca="1">BV!AA396</f>
        <v/>
      </c>
      <c r="AS396" s="11" t="str">
        <f ca="1">BV!AI396</f>
        <v/>
      </c>
      <c r="AT396" s="11" t="str">
        <f ca="1">BV!AQ396</f>
        <v/>
      </c>
      <c r="AU396" s="11" t="str">
        <f ca="1">BV!AY396</f>
        <v/>
      </c>
      <c r="AV396" s="11" t="str">
        <f ca="1">BV!BG396</f>
        <v/>
      </c>
      <c r="AW396" s="11" t="str">
        <f ca="1">BV!BO396</f>
        <v/>
      </c>
      <c r="AX396" s="11" t="str">
        <f ca="1">BV!BW396</f>
        <v/>
      </c>
      <c r="AY396" s="64" t="s">
        <v>66</v>
      </c>
      <c r="AZ396" s="38">
        <f t="shared" si="215"/>
        <v>4.9534393257424778</v>
      </c>
      <c r="BA396" s="261">
        <v>1.1131679E-5</v>
      </c>
      <c r="BB396" s="268">
        <v>1.1696266019999997E-2</v>
      </c>
      <c r="BC396" s="268">
        <f t="shared" si="216"/>
        <v>9.5172929385886206E-4</v>
      </c>
      <c r="BD396" s="269" t="str">
        <f ca="1">IF(BV!H396="","",INT(NOW()-BV!H396))</f>
        <v/>
      </c>
      <c r="BE396" s="270">
        <f t="shared" si="217"/>
        <v>299.72271839972876</v>
      </c>
      <c r="BF396" s="11" t="str">
        <f ca="1">BV!G396</f>
        <v/>
      </c>
      <c r="BG396" s="11" t="str">
        <f ca="1">BV!O396</f>
        <v/>
      </c>
      <c r="BH396" s="11" t="str">
        <f ca="1">BV!W396</f>
        <v/>
      </c>
      <c r="BI396" s="11" t="str">
        <f ca="1">BV!AE396</f>
        <v/>
      </c>
      <c r="BJ396" s="11" t="str">
        <f ca="1">BV!AM396</f>
        <v/>
      </c>
      <c r="BK396" s="11" t="str">
        <f ca="1">BV!AU396</f>
        <v/>
      </c>
      <c r="BL396" s="11" t="str">
        <f ca="1">BV!BC396</f>
        <v/>
      </c>
      <c r="BM396" s="11" t="str">
        <f ca="1">BV!BK396</f>
        <v/>
      </c>
      <c r="BN396" s="11" t="str">
        <f ca="1">BV!BS396</f>
        <v/>
      </c>
      <c r="BO396" s="11" t="str">
        <f ca="1">BV!CA396</f>
        <v/>
      </c>
      <c r="BP396" s="433">
        <v>254</v>
      </c>
      <c r="BQ396" s="11" t="str">
        <f ca="1">IFERROR(YEAR(OFFSET(BV!$H396,,(COLUMN()-69)*8)),"")</f>
        <v/>
      </c>
      <c r="BR396" s="11" t="str">
        <f ca="1">IFERROR(YEAR(OFFSET(BV!$H396,,(COLUMN()-69)*8)),"")</f>
        <v/>
      </c>
      <c r="BS396" s="11" t="str">
        <f ca="1">IFERROR(YEAR(OFFSET(BV!$H396,,(COLUMN()-69)*8)),"")</f>
        <v/>
      </c>
      <c r="BT396" s="11" t="str">
        <f ca="1">IFERROR(YEAR(OFFSET(BV!$H396,,(COLUMN()-69)*8)),"")</f>
        <v/>
      </c>
      <c r="BU396" s="11" t="str">
        <f ca="1">IFERROR(YEAR(OFFSET(BV!$H396,,(COLUMN()-69)*8)),"")</f>
        <v/>
      </c>
      <c r="BV396" s="11" t="str">
        <f ca="1">IFERROR(YEAR(OFFSET(BV!$H396,,(COLUMN()-69)*8)),"")</f>
        <v/>
      </c>
      <c r="BW396" s="11" t="str">
        <f ca="1">IFERROR(YEAR(OFFSET(BV!$H396,,(COLUMN()-69)*8)),"")</f>
        <v/>
      </c>
      <c r="BX396" s="11" t="str">
        <f ca="1">IFERROR(YEAR(OFFSET(BV!$H396,,(COLUMN()-69)*8)),"")</f>
        <v/>
      </c>
      <c r="BY396" s="11" t="str">
        <f ca="1">IFERROR(YEAR(OFFSET(BV!$H396,,(COLUMN()-69)*8)),"")</f>
        <v/>
      </c>
      <c r="BZ396" s="11" t="str">
        <f ca="1">IFERROR(YEAR(OFFSET(BV!$H396,,(COLUMN()-69)*8)),"")</f>
        <v/>
      </c>
    </row>
    <row r="397" spans="1:78" x14ac:dyDescent="0.25">
      <c r="A397" s="433">
        <v>255</v>
      </c>
      <c r="B397" s="11" t="str">
        <f ca="1">BV!D397</f>
        <v/>
      </c>
      <c r="C397" s="11" t="str">
        <f ca="1">BV!L397</f>
        <v/>
      </c>
      <c r="D397" s="11" t="str">
        <f ca="1">BV!T397</f>
        <v/>
      </c>
      <c r="E397" s="11" t="str">
        <f ca="1">BV!AB397</f>
        <v/>
      </c>
      <c r="F397" s="11" t="str">
        <f ca="1">BV!AJ397</f>
        <v/>
      </c>
      <c r="G397" s="11" t="str">
        <f ca="1">BV!AR397</f>
        <v/>
      </c>
      <c r="H397" s="11" t="str">
        <f ca="1">BV!AZ397</f>
        <v/>
      </c>
      <c r="I397" s="11" t="str">
        <f ca="1">BV!BH397</f>
        <v/>
      </c>
      <c r="J397" s="11" t="str">
        <f ca="1">BV!BP397</f>
        <v/>
      </c>
      <c r="K397" s="11" t="str">
        <f ca="1">BV!BX397</f>
        <v/>
      </c>
      <c r="L397" s="308" t="s">
        <v>105</v>
      </c>
      <c r="M397" s="261">
        <v>9.3584800000000006E-6</v>
      </c>
      <c r="N397" s="309" t="str">
        <f t="shared" ca="1" si="214"/>
        <v/>
      </c>
      <c r="O397" s="36" t="s">
        <v>17</v>
      </c>
      <c r="P397" s="269">
        <f ca="1">OFFSET($BD$75,COLUMN()-16,)</f>
        <v>401</v>
      </c>
      <c r="Q397" s="269">
        <f t="shared" ref="Q397:Y397" ca="1" si="239">OFFSET($BD$75,COLUMN()-16,)</f>
        <v>416</v>
      </c>
      <c r="R397" s="269">
        <f t="shared" ca="1" si="239"/>
        <v>369</v>
      </c>
      <c r="S397" s="269">
        <f t="shared" ca="1" si="239"/>
        <v>243</v>
      </c>
      <c r="T397" s="269">
        <f t="shared" ca="1" si="239"/>
        <v>365</v>
      </c>
      <c r="U397" s="269">
        <f t="shared" ca="1" si="239"/>
        <v>369</v>
      </c>
      <c r="V397" s="269">
        <f t="shared" ca="1" si="239"/>
        <v>63</v>
      </c>
      <c r="W397" s="269">
        <f t="shared" ca="1" si="239"/>
        <v>290</v>
      </c>
      <c r="X397" s="269">
        <f t="shared" ca="1" si="239"/>
        <v>286</v>
      </c>
      <c r="Y397" s="269">
        <f t="shared" ca="1" si="239"/>
        <v>363</v>
      </c>
      <c r="Z397" s="9">
        <f t="shared" ca="1" si="236"/>
        <v>316.5</v>
      </c>
      <c r="AA397" s="606" t="s">
        <v>404</v>
      </c>
      <c r="AB397" s="594"/>
      <c r="AC397" s="650">
        <f ca="1">NOW()-LARGE($P394:$Y410,18)</f>
        <v>43800.874425578702</v>
      </c>
      <c r="AD397" s="650"/>
      <c r="AE397" s="650">
        <f ca="1">NOW()-SMALL($P394:$Y410,18)</f>
        <v>44099.874425578702</v>
      </c>
      <c r="AF397" s="650"/>
      <c r="AG397" s="647">
        <f t="shared" ca="1" si="237"/>
        <v>299</v>
      </c>
      <c r="AH397" s="647"/>
      <c r="AI397" s="344"/>
      <c r="AJ397" s="344"/>
      <c r="AK397" s="344"/>
      <c r="AL397" s="315"/>
      <c r="AM397" s="315"/>
      <c r="AN397" s="433">
        <v>255</v>
      </c>
      <c r="AO397" s="11" t="str">
        <f ca="1">BV!C397</f>
        <v/>
      </c>
      <c r="AP397" s="11" t="str">
        <f ca="1">BV!K397</f>
        <v/>
      </c>
      <c r="AQ397" s="11" t="str">
        <f ca="1">BV!S397</f>
        <v/>
      </c>
      <c r="AR397" s="11" t="str">
        <f ca="1">BV!AA397</f>
        <v/>
      </c>
      <c r="AS397" s="11" t="str">
        <f ca="1">BV!AI397</f>
        <v/>
      </c>
      <c r="AT397" s="11" t="str">
        <f ca="1">BV!AQ397</f>
        <v/>
      </c>
      <c r="AU397" s="11" t="str">
        <f ca="1">BV!AY397</f>
        <v/>
      </c>
      <c r="AV397" s="11" t="str">
        <f ca="1">BV!BG397</f>
        <v/>
      </c>
      <c r="AW397" s="11" t="str">
        <f ca="1">BV!BO397</f>
        <v/>
      </c>
      <c r="AX397" s="11" t="str">
        <f ca="1">BV!BW397</f>
        <v/>
      </c>
      <c r="AY397" s="308" t="s">
        <v>105</v>
      </c>
      <c r="AZ397" s="311">
        <f t="shared" si="215"/>
        <v>5.0287946834433477</v>
      </c>
      <c r="BA397" s="261">
        <v>9.3584800000000006E-6</v>
      </c>
      <c r="BB397" s="268">
        <v>1.1696266019999997E-2</v>
      </c>
      <c r="BC397" s="268">
        <f t="shared" si="216"/>
        <v>8.0012544037537229E-4</v>
      </c>
      <c r="BD397" s="269" t="str">
        <f ca="1">IF(BV!H397="","",INT(NOW()-BV!H397))</f>
        <v/>
      </c>
      <c r="BE397" s="312">
        <f t="shared" si="217"/>
        <v>326.8867683959898</v>
      </c>
      <c r="BF397" s="11" t="str">
        <f ca="1">BV!G397</f>
        <v/>
      </c>
      <c r="BG397" s="11" t="str">
        <f ca="1">BV!O397</f>
        <v/>
      </c>
      <c r="BH397" s="11" t="str">
        <f ca="1">BV!W397</f>
        <v/>
      </c>
      <c r="BI397" s="11" t="str">
        <f ca="1">BV!AE397</f>
        <v/>
      </c>
      <c r="BJ397" s="11" t="str">
        <f ca="1">BV!AM397</f>
        <v/>
      </c>
      <c r="BK397" s="11" t="str">
        <f ca="1">BV!AU397</f>
        <v/>
      </c>
      <c r="BL397" s="11" t="str">
        <f ca="1">BV!BC397</f>
        <v/>
      </c>
      <c r="BM397" s="11" t="str">
        <f ca="1">BV!BK397</f>
        <v/>
      </c>
      <c r="BN397" s="11" t="str">
        <f ca="1">BV!BS397</f>
        <v/>
      </c>
      <c r="BO397" s="11" t="str">
        <f ca="1">BV!CA397</f>
        <v/>
      </c>
      <c r="BP397" s="433">
        <v>255</v>
      </c>
      <c r="BQ397" s="11" t="str">
        <f ca="1">IFERROR(YEAR(OFFSET(BV!$H397,,(COLUMN()-69)*8)),"")</f>
        <v/>
      </c>
      <c r="BR397" s="11" t="str">
        <f ca="1">IFERROR(YEAR(OFFSET(BV!$H397,,(COLUMN()-69)*8)),"")</f>
        <v/>
      </c>
      <c r="BS397" s="11" t="str">
        <f ca="1">IFERROR(YEAR(OFFSET(BV!$H397,,(COLUMN()-69)*8)),"")</f>
        <v/>
      </c>
      <c r="BT397" s="11" t="str">
        <f ca="1">IFERROR(YEAR(OFFSET(BV!$H397,,(COLUMN()-69)*8)),"")</f>
        <v/>
      </c>
      <c r="BU397" s="11" t="str">
        <f ca="1">IFERROR(YEAR(OFFSET(BV!$H397,,(COLUMN()-69)*8)),"")</f>
        <v/>
      </c>
      <c r="BV397" s="11" t="str">
        <f ca="1">IFERROR(YEAR(OFFSET(BV!$H397,,(COLUMN()-69)*8)),"")</f>
        <v/>
      </c>
      <c r="BW397" s="11" t="str">
        <f ca="1">IFERROR(YEAR(OFFSET(BV!$H397,,(COLUMN()-69)*8)),"")</f>
        <v/>
      </c>
      <c r="BX397" s="11" t="str">
        <f ca="1">IFERROR(YEAR(OFFSET(BV!$H397,,(COLUMN()-69)*8)),"")</f>
        <v/>
      </c>
      <c r="BY397" s="11" t="str">
        <f ca="1">IFERROR(YEAR(OFFSET(BV!$H397,,(COLUMN()-69)*8)),"")</f>
        <v/>
      </c>
      <c r="BZ397" s="11" t="str">
        <f ca="1">IFERROR(YEAR(OFFSET(BV!$H397,,(COLUMN()-69)*8)),"")</f>
        <v/>
      </c>
    </row>
    <row r="398" spans="1:78" x14ac:dyDescent="0.25">
      <c r="A398" s="433">
        <v>256</v>
      </c>
      <c r="B398" s="11" t="str">
        <f ca="1">BV!D398</f>
        <v/>
      </c>
      <c r="C398" s="11" t="str">
        <f ca="1">BV!L398</f>
        <v/>
      </c>
      <c r="D398" s="11" t="str">
        <f ca="1">BV!T398</f>
        <v/>
      </c>
      <c r="E398" s="11" t="str">
        <f ca="1">BV!AB398</f>
        <v/>
      </c>
      <c r="F398" s="11" t="str">
        <f ca="1">BV!AJ398</f>
        <v/>
      </c>
      <c r="G398" s="11" t="str">
        <f ca="1">BV!AR398</f>
        <v/>
      </c>
      <c r="H398" s="11" t="str">
        <f ca="1">BV!AZ398</f>
        <v/>
      </c>
      <c r="I398" s="11" t="str">
        <f ca="1">BV!BH398</f>
        <v/>
      </c>
      <c r="J398" s="11" t="str">
        <f ca="1">BV!BP398</f>
        <v/>
      </c>
      <c r="K398" s="11" t="str">
        <f ca="1">BV!BX398</f>
        <v/>
      </c>
      <c r="L398" s="308" t="s">
        <v>105</v>
      </c>
      <c r="M398" s="261">
        <v>7.8530200000000006E-6</v>
      </c>
      <c r="N398" s="309" t="str">
        <f t="shared" ca="1" si="214"/>
        <v/>
      </c>
      <c r="O398" s="36" t="s">
        <v>18</v>
      </c>
      <c r="P398" s="269">
        <f ca="1">OFFSET($BD$85,COLUMN()-16,)</f>
        <v>383</v>
      </c>
      <c r="Q398" s="269">
        <f t="shared" ref="Q398:Y398" ca="1" si="240">OFFSET($BD$85,COLUMN()-16,)</f>
        <v>380</v>
      </c>
      <c r="R398" s="269">
        <f t="shared" ca="1" si="240"/>
        <v>74</v>
      </c>
      <c r="S398" s="269">
        <f t="shared" ca="1" si="240"/>
        <v>66</v>
      </c>
      <c r="T398" s="269">
        <f t="shared" ca="1" si="240"/>
        <v>87</v>
      </c>
      <c r="U398" s="269">
        <f t="shared" ca="1" si="240"/>
        <v>12</v>
      </c>
      <c r="V398" s="269">
        <f t="shared" ca="1" si="240"/>
        <v>407</v>
      </c>
      <c r="W398" s="269">
        <f t="shared" ca="1" si="240"/>
        <v>213</v>
      </c>
      <c r="X398" s="269">
        <f t="shared" ca="1" si="240"/>
        <v>290</v>
      </c>
      <c r="Y398" s="269">
        <f t="shared" ca="1" si="240"/>
        <v>228</v>
      </c>
      <c r="Z398" s="9">
        <f t="shared" ca="1" si="236"/>
        <v>214</v>
      </c>
      <c r="AA398" s="602" t="s">
        <v>406</v>
      </c>
      <c r="AB398" s="590"/>
      <c r="AC398" s="590"/>
      <c r="AD398" s="590"/>
      <c r="AE398" s="590"/>
      <c r="AF398" s="590"/>
      <c r="AG398" s="590" t="s">
        <v>407</v>
      </c>
      <c r="AH398" s="590"/>
      <c r="AI398" s="344"/>
      <c r="AJ398" s="344"/>
      <c r="AK398" s="344"/>
      <c r="AL398" s="315"/>
      <c r="AM398" s="315"/>
      <c r="AN398" s="433">
        <v>256</v>
      </c>
      <c r="AO398" s="11" t="str">
        <f ca="1">BV!C398</f>
        <v/>
      </c>
      <c r="AP398" s="11" t="str">
        <f ca="1">BV!K398</f>
        <v/>
      </c>
      <c r="AQ398" s="11" t="str">
        <f ca="1">BV!S398</f>
        <v/>
      </c>
      <c r="AR398" s="11" t="str">
        <f ca="1">BV!AA398</f>
        <v/>
      </c>
      <c r="AS398" s="11" t="str">
        <f ca="1">BV!AI398</f>
        <v/>
      </c>
      <c r="AT398" s="11" t="str">
        <f ca="1">BV!AQ398</f>
        <v/>
      </c>
      <c r="AU398" s="11" t="str">
        <f ca="1">BV!AY398</f>
        <v/>
      </c>
      <c r="AV398" s="11" t="str">
        <f ca="1">BV!BG398</f>
        <v/>
      </c>
      <c r="AW398" s="11" t="str">
        <f ca="1">BV!BO398</f>
        <v/>
      </c>
      <c r="AX398" s="11" t="str">
        <f ca="1">BV!BW398</f>
        <v/>
      </c>
      <c r="AY398" s="308" t="s">
        <v>105</v>
      </c>
      <c r="AZ398" s="311">
        <f t="shared" si="215"/>
        <v>5.1049632964890277</v>
      </c>
      <c r="BA398" s="261">
        <v>7.8530200000000006E-6</v>
      </c>
      <c r="BB398" s="268">
        <v>1.1696266019999997E-2</v>
      </c>
      <c r="BC398" s="268">
        <f t="shared" si="216"/>
        <v>6.714125676153186E-4</v>
      </c>
      <c r="BD398" s="269" t="str">
        <f ca="1">IF(BV!H398="","",INT(NOW()-BV!H398))</f>
        <v/>
      </c>
      <c r="BE398" s="312">
        <f t="shared" si="217"/>
        <v>356.84666988120824</v>
      </c>
      <c r="BF398" s="11" t="str">
        <f ca="1">BV!G398</f>
        <v/>
      </c>
      <c r="BG398" s="11" t="str">
        <f ca="1">BV!O398</f>
        <v/>
      </c>
      <c r="BH398" s="11" t="str">
        <f ca="1">BV!W398</f>
        <v/>
      </c>
      <c r="BI398" s="11" t="str">
        <f ca="1">BV!AE398</f>
        <v/>
      </c>
      <c r="BJ398" s="11" t="str">
        <f ca="1">BV!AM398</f>
        <v/>
      </c>
      <c r="BK398" s="11" t="str">
        <f ca="1">BV!AU398</f>
        <v/>
      </c>
      <c r="BL398" s="11" t="str">
        <f ca="1">BV!BC398</f>
        <v/>
      </c>
      <c r="BM398" s="11" t="str">
        <f ca="1">BV!BK398</f>
        <v/>
      </c>
      <c r="BN398" s="11" t="str">
        <f ca="1">BV!BS398</f>
        <v/>
      </c>
      <c r="BO398" s="11" t="str">
        <f ca="1">BV!CA398</f>
        <v/>
      </c>
      <c r="BP398" s="433">
        <v>256</v>
      </c>
      <c r="BQ398" s="11" t="str">
        <f ca="1">IFERROR(YEAR(OFFSET(BV!$H398,,(COLUMN()-69)*8)),"")</f>
        <v/>
      </c>
      <c r="BR398" s="11" t="str">
        <f ca="1">IFERROR(YEAR(OFFSET(BV!$H398,,(COLUMN()-69)*8)),"")</f>
        <v/>
      </c>
      <c r="BS398" s="11" t="str">
        <f ca="1">IFERROR(YEAR(OFFSET(BV!$H398,,(COLUMN()-69)*8)),"")</f>
        <v/>
      </c>
      <c r="BT398" s="11" t="str">
        <f ca="1">IFERROR(YEAR(OFFSET(BV!$H398,,(COLUMN()-69)*8)),"")</f>
        <v/>
      </c>
      <c r="BU398" s="11" t="str">
        <f ca="1">IFERROR(YEAR(OFFSET(BV!$H398,,(COLUMN()-69)*8)),"")</f>
        <v/>
      </c>
      <c r="BV398" s="11" t="str">
        <f ca="1">IFERROR(YEAR(OFFSET(BV!$H398,,(COLUMN()-69)*8)),"")</f>
        <v/>
      </c>
      <c r="BW398" s="11" t="str">
        <f ca="1">IFERROR(YEAR(OFFSET(BV!$H398,,(COLUMN()-69)*8)),"")</f>
        <v/>
      </c>
      <c r="BX398" s="11" t="str">
        <f ca="1">IFERROR(YEAR(OFFSET(BV!$H398,,(COLUMN()-69)*8)),"")</f>
        <v/>
      </c>
      <c r="BY398" s="11" t="str">
        <f ca="1">IFERROR(YEAR(OFFSET(BV!$H398,,(COLUMN()-69)*8)),"")</f>
        <v/>
      </c>
      <c r="BZ398" s="11" t="str">
        <f ca="1">IFERROR(YEAR(OFFSET(BV!$H398,,(COLUMN()-69)*8)),"")</f>
        <v/>
      </c>
    </row>
    <row r="399" spans="1:78" x14ac:dyDescent="0.25">
      <c r="A399" s="433">
        <v>257</v>
      </c>
      <c r="B399" s="11" t="str">
        <f ca="1">BV!D399</f>
        <v/>
      </c>
      <c r="C399" s="11" t="str">
        <f ca="1">BV!L399</f>
        <v/>
      </c>
      <c r="D399" s="11" t="str">
        <f ca="1">BV!T399</f>
        <v/>
      </c>
      <c r="E399" s="11" t="str">
        <f ca="1">BV!AB399</f>
        <v/>
      </c>
      <c r="F399" s="11" t="str">
        <f ca="1">BV!AJ399</f>
        <v/>
      </c>
      <c r="G399" s="11" t="str">
        <f ca="1">BV!AR399</f>
        <v/>
      </c>
      <c r="H399" s="11" t="str">
        <f ca="1">BV!AZ399</f>
        <v/>
      </c>
      <c r="I399" s="11" t="str">
        <f ca="1">BV!BH399</f>
        <v/>
      </c>
      <c r="J399" s="11" t="str">
        <f ca="1">BV!BP399</f>
        <v/>
      </c>
      <c r="K399" s="11" t="str">
        <f ca="1">BV!BX399</f>
        <v/>
      </c>
      <c r="L399" s="308" t="s">
        <v>105</v>
      </c>
      <c r="M399" s="261">
        <v>6.5776630000000002E-6</v>
      </c>
      <c r="N399" s="309" t="str">
        <f t="shared" ca="1" si="214"/>
        <v/>
      </c>
      <c r="O399" s="36" t="s">
        <v>19</v>
      </c>
      <c r="P399" s="269">
        <f ca="1">OFFSET($BD$95,COLUMN()-16,)</f>
        <v>288</v>
      </c>
      <c r="Q399" s="269">
        <f t="shared" ref="Q399:Y399" ca="1" si="241">OFFSET($BD$95,COLUMN()-16,)</f>
        <v>363</v>
      </c>
      <c r="R399" s="269">
        <f t="shared" ca="1" si="241"/>
        <v>363</v>
      </c>
      <c r="S399" s="269">
        <f t="shared" ca="1" si="241"/>
        <v>279</v>
      </c>
      <c r="T399" s="269">
        <f t="shared" ca="1" si="241"/>
        <v>369</v>
      </c>
      <c r="U399" s="269">
        <f t="shared" ca="1" si="241"/>
        <v>66</v>
      </c>
      <c r="V399" s="269">
        <f t="shared" ca="1" si="241"/>
        <v>311</v>
      </c>
      <c r="W399" s="269">
        <f t="shared" ca="1" si="241"/>
        <v>380</v>
      </c>
      <c r="X399" s="269">
        <f t="shared" ca="1" si="241"/>
        <v>66</v>
      </c>
      <c r="Y399" s="269">
        <f t="shared" ca="1" si="241"/>
        <v>286</v>
      </c>
      <c r="Z399" s="9">
        <f t="shared" ca="1" si="236"/>
        <v>277.10000000000002</v>
      </c>
      <c r="AA399" s="606" t="s">
        <v>401</v>
      </c>
      <c r="AB399" s="594"/>
      <c r="AC399" s="648">
        <f ca="1">NOW()-LARGE($P394:$Y395,5)</f>
        <v>43841.874425578702</v>
      </c>
      <c r="AD399" s="649"/>
      <c r="AE399" s="648">
        <f ca="1">NOW()-SMALL($P394:$Y395,5)</f>
        <v>44093.874425578702</v>
      </c>
      <c r="AF399" s="649"/>
      <c r="AG399" s="647">
        <f ca="1">AE399-AC399</f>
        <v>252</v>
      </c>
      <c r="AH399" s="647"/>
      <c r="AI399" s="315"/>
      <c r="AJ399" s="315"/>
      <c r="AL399" s="315"/>
      <c r="AM399" s="315"/>
      <c r="AN399" s="433">
        <v>257</v>
      </c>
      <c r="AO399" s="11" t="str">
        <f ca="1">BV!C399</f>
        <v/>
      </c>
      <c r="AP399" s="11" t="str">
        <f ca="1">BV!K399</f>
        <v/>
      </c>
      <c r="AQ399" s="11" t="str">
        <f ca="1">BV!S399</f>
        <v/>
      </c>
      <c r="AR399" s="11" t="str">
        <f ca="1">BV!AA399</f>
        <v/>
      </c>
      <c r="AS399" s="11" t="str">
        <f ca="1">BV!AI399</f>
        <v/>
      </c>
      <c r="AT399" s="11" t="str">
        <f ca="1">BV!AQ399</f>
        <v/>
      </c>
      <c r="AU399" s="11" t="str">
        <f ca="1">BV!AY399</f>
        <v/>
      </c>
      <c r="AV399" s="11" t="str">
        <f ca="1">BV!BG399</f>
        <v/>
      </c>
      <c r="AW399" s="11" t="str">
        <f ca="1">BV!BO399</f>
        <v/>
      </c>
      <c r="AX399" s="11" t="str">
        <f ca="1">BV!BW399</f>
        <v/>
      </c>
      <c r="AY399" s="308" t="s">
        <v>105</v>
      </c>
      <c r="AZ399" s="311">
        <f t="shared" si="215"/>
        <v>5.1819283809277898</v>
      </c>
      <c r="BA399" s="261">
        <v>6.5776630000000002E-6</v>
      </c>
      <c r="BB399" s="268">
        <v>1.1696266019999997E-2</v>
      </c>
      <c r="BC399" s="268">
        <f t="shared" si="216"/>
        <v>5.6237289650838511E-4</v>
      </c>
      <c r="BD399" s="269" t="str">
        <f ca="1">IF(BV!H399="","",INT(NOW()-BV!H399))</f>
        <v/>
      </c>
      <c r="BE399" s="312">
        <f t="shared" si="217"/>
        <v>389.90983552895597</v>
      </c>
      <c r="BF399" s="11" t="str">
        <f ca="1">BV!G399</f>
        <v/>
      </c>
      <c r="BG399" s="11" t="str">
        <f ca="1">BV!O399</f>
        <v/>
      </c>
      <c r="BH399" s="11" t="str">
        <f ca="1">BV!W399</f>
        <v/>
      </c>
      <c r="BI399" s="11" t="str">
        <f ca="1">BV!AE399</f>
        <v/>
      </c>
      <c r="BJ399" s="11" t="str">
        <f ca="1">BV!AM399</f>
        <v/>
      </c>
      <c r="BK399" s="11" t="str">
        <f ca="1">BV!AU399</f>
        <v/>
      </c>
      <c r="BL399" s="11" t="str">
        <f ca="1">BV!BC399</f>
        <v/>
      </c>
      <c r="BM399" s="11" t="str">
        <f ca="1">BV!BK399</f>
        <v/>
      </c>
      <c r="BN399" s="11" t="str">
        <f ca="1">BV!BS399</f>
        <v/>
      </c>
      <c r="BO399" s="11" t="str">
        <f ca="1">BV!CA399</f>
        <v/>
      </c>
      <c r="BP399" s="433">
        <v>257</v>
      </c>
      <c r="BQ399" s="11" t="str">
        <f ca="1">IFERROR(YEAR(OFFSET(BV!$H399,,(COLUMN()-69)*8)),"")</f>
        <v/>
      </c>
      <c r="BR399" s="11" t="str">
        <f ca="1">IFERROR(YEAR(OFFSET(BV!$H399,,(COLUMN()-69)*8)),"")</f>
        <v/>
      </c>
      <c r="BS399" s="11" t="str">
        <f ca="1">IFERROR(YEAR(OFFSET(BV!$H399,,(COLUMN()-69)*8)),"")</f>
        <v/>
      </c>
      <c r="BT399" s="11" t="str">
        <f ca="1">IFERROR(YEAR(OFFSET(BV!$H399,,(COLUMN()-69)*8)),"")</f>
        <v/>
      </c>
      <c r="BU399" s="11" t="str">
        <f ca="1">IFERROR(YEAR(OFFSET(BV!$H399,,(COLUMN()-69)*8)),"")</f>
        <v/>
      </c>
      <c r="BV399" s="11" t="str">
        <f ca="1">IFERROR(YEAR(OFFSET(BV!$H399,,(COLUMN()-69)*8)),"")</f>
        <v/>
      </c>
      <c r="BW399" s="11" t="str">
        <f ca="1">IFERROR(YEAR(OFFSET(BV!$H399,,(COLUMN()-69)*8)),"")</f>
        <v/>
      </c>
      <c r="BX399" s="11" t="str">
        <f ca="1">IFERROR(YEAR(OFFSET(BV!$H399,,(COLUMN()-69)*8)),"")</f>
        <v/>
      </c>
      <c r="BY399" s="11" t="str">
        <f ca="1">IFERROR(YEAR(OFFSET(BV!$H399,,(COLUMN()-69)*8)),"")</f>
        <v/>
      </c>
      <c r="BZ399" s="11" t="str">
        <f ca="1">IFERROR(YEAR(OFFSET(BV!$H399,,(COLUMN()-69)*8)),"")</f>
        <v/>
      </c>
    </row>
    <row r="400" spans="1:78" x14ac:dyDescent="0.25">
      <c r="A400" s="433">
        <v>258</v>
      </c>
      <c r="B400" s="11" t="str">
        <f ca="1">BV!D400</f>
        <v/>
      </c>
      <c r="C400" s="11" t="str">
        <f ca="1">BV!L400</f>
        <v/>
      </c>
      <c r="D400" s="11" t="str">
        <f ca="1">BV!T400</f>
        <v/>
      </c>
      <c r="E400" s="11" t="str">
        <f ca="1">BV!AB400</f>
        <v/>
      </c>
      <c r="F400" s="11" t="str">
        <f ca="1">BV!AJ400</f>
        <v/>
      </c>
      <c r="G400" s="11" t="str">
        <f ca="1">BV!AR400</f>
        <v/>
      </c>
      <c r="H400" s="11" t="str">
        <f ca="1">BV!AZ400</f>
        <v/>
      </c>
      <c r="I400" s="11" t="str">
        <f ca="1">BV!BH400</f>
        <v/>
      </c>
      <c r="J400" s="11" t="str">
        <f ca="1">BV!BP400</f>
        <v/>
      </c>
      <c r="K400" s="11" t="str">
        <f ca="1">BV!BX400</f>
        <v/>
      </c>
      <c r="L400" s="308" t="s">
        <v>105</v>
      </c>
      <c r="M400" s="261">
        <v>5.4966839999999998E-6</v>
      </c>
      <c r="N400" s="309" t="str">
        <f t="shared" ca="1" si="214"/>
        <v/>
      </c>
      <c r="O400" s="36" t="s">
        <v>20</v>
      </c>
      <c r="P400" s="269">
        <f ca="1">OFFSET($BD$105,COLUMN()-16,)</f>
        <v>87</v>
      </c>
      <c r="Q400" s="269">
        <f t="shared" ref="Q400:Y400" ca="1" si="242">OFFSET($BD$105,COLUMN()-16,)</f>
        <v>245</v>
      </c>
      <c r="R400" s="269">
        <f t="shared" ca="1" si="242"/>
        <v>190</v>
      </c>
      <c r="S400" s="269">
        <f t="shared" ca="1" si="242"/>
        <v>363</v>
      </c>
      <c r="T400" s="269">
        <f t="shared" ca="1" si="242"/>
        <v>383</v>
      </c>
      <c r="U400" s="269">
        <f t="shared" ca="1" si="242"/>
        <v>246</v>
      </c>
      <c r="V400" s="269">
        <f t="shared" ca="1" si="242"/>
        <v>12</v>
      </c>
      <c r="W400" s="269">
        <f t="shared" ca="1" si="242"/>
        <v>380</v>
      </c>
      <c r="X400" s="269">
        <f t="shared" ca="1" si="242"/>
        <v>385</v>
      </c>
      <c r="Y400" s="269">
        <f t="shared" ca="1" si="242"/>
        <v>409</v>
      </c>
      <c r="Z400" s="9">
        <f t="shared" ca="1" si="236"/>
        <v>270</v>
      </c>
      <c r="AA400" s="606" t="s">
        <v>402</v>
      </c>
      <c r="AB400" s="594"/>
      <c r="AC400" s="648">
        <f ca="1">NOW()-LARGE($P396:$Y401,13)</f>
        <v>43797.874425578702</v>
      </c>
      <c r="AD400" s="649"/>
      <c r="AE400" s="648">
        <f ca="1">NOW()-SMALL($P396:$Y401,13)</f>
        <v>44093.874425578702</v>
      </c>
      <c r="AF400" s="649"/>
      <c r="AG400" s="647">
        <f t="shared" ref="AG400:AG402" ca="1" si="243">AE400-AC400</f>
        <v>296</v>
      </c>
      <c r="AH400" s="647"/>
      <c r="AI400" s="315"/>
      <c r="AJ400" s="315"/>
      <c r="AL400" s="315"/>
      <c r="AM400" s="315"/>
      <c r="AN400" s="433">
        <v>258</v>
      </c>
      <c r="AO400" s="11" t="str">
        <f ca="1">BV!C400</f>
        <v/>
      </c>
      <c r="AP400" s="11" t="str">
        <f ca="1">BV!K400</f>
        <v/>
      </c>
      <c r="AQ400" s="11" t="str">
        <f ca="1">BV!S400</f>
        <v/>
      </c>
      <c r="AR400" s="11" t="str">
        <f ca="1">BV!AA400</f>
        <v/>
      </c>
      <c r="AS400" s="11" t="str">
        <f ca="1">BV!AI400</f>
        <v/>
      </c>
      <c r="AT400" s="11" t="str">
        <f ca="1">BV!AQ400</f>
        <v/>
      </c>
      <c r="AU400" s="11" t="str">
        <f ca="1">BV!AY400</f>
        <v/>
      </c>
      <c r="AV400" s="11" t="str">
        <f ca="1">BV!BG400</f>
        <v/>
      </c>
      <c r="AW400" s="11" t="str">
        <f ca="1">BV!BO400</f>
        <v/>
      </c>
      <c r="AX400" s="11" t="str">
        <f ca="1">BV!BW400</f>
        <v/>
      </c>
      <c r="AY400" s="308" t="s">
        <v>105</v>
      </c>
      <c r="AZ400" s="311">
        <f t="shared" si="215"/>
        <v>5.259899229561654</v>
      </c>
      <c r="BA400" s="261">
        <v>5.4966839999999998E-6</v>
      </c>
      <c r="BB400" s="268">
        <v>1.1696266019999997E-2</v>
      </c>
      <c r="BC400" s="268">
        <f t="shared" si="216"/>
        <v>4.6995203346101742E-4</v>
      </c>
      <c r="BD400" s="269" t="str">
        <f ca="1">IF(BV!H400="","",INT(NOW()-BV!H400))</f>
        <v/>
      </c>
      <c r="BE400" s="312">
        <f t="shared" si="217"/>
        <v>426.5300315142631</v>
      </c>
      <c r="BF400" s="11" t="str">
        <f ca="1">BV!G400</f>
        <v/>
      </c>
      <c r="BG400" s="11" t="str">
        <f ca="1">BV!O400</f>
        <v/>
      </c>
      <c r="BH400" s="11" t="str">
        <f ca="1">BV!W400</f>
        <v/>
      </c>
      <c r="BI400" s="11" t="str">
        <f ca="1">BV!AE400</f>
        <v/>
      </c>
      <c r="BJ400" s="11" t="str">
        <f ca="1">BV!AM400</f>
        <v/>
      </c>
      <c r="BK400" s="11" t="str">
        <f ca="1">BV!AU400</f>
        <v/>
      </c>
      <c r="BL400" s="11" t="str">
        <f ca="1">BV!BC400</f>
        <v/>
      </c>
      <c r="BM400" s="11" t="str">
        <f ca="1">BV!BK400</f>
        <v/>
      </c>
      <c r="BN400" s="11" t="str">
        <f ca="1">BV!BS400</f>
        <v/>
      </c>
      <c r="BO400" s="11" t="str">
        <f ca="1">BV!CA400</f>
        <v/>
      </c>
      <c r="BP400" s="433">
        <v>258</v>
      </c>
      <c r="BQ400" s="11" t="str">
        <f ca="1">IFERROR(YEAR(OFFSET(BV!$H400,,(COLUMN()-69)*8)),"")</f>
        <v/>
      </c>
      <c r="BR400" s="11" t="str">
        <f ca="1">IFERROR(YEAR(OFFSET(BV!$H400,,(COLUMN()-69)*8)),"")</f>
        <v/>
      </c>
      <c r="BS400" s="11" t="str">
        <f ca="1">IFERROR(YEAR(OFFSET(BV!$H400,,(COLUMN()-69)*8)),"")</f>
        <v/>
      </c>
      <c r="BT400" s="11" t="str">
        <f ca="1">IFERROR(YEAR(OFFSET(BV!$H400,,(COLUMN()-69)*8)),"")</f>
        <v/>
      </c>
      <c r="BU400" s="11" t="str">
        <f ca="1">IFERROR(YEAR(OFFSET(BV!$H400,,(COLUMN()-69)*8)),"")</f>
        <v/>
      </c>
      <c r="BV400" s="11" t="str">
        <f ca="1">IFERROR(YEAR(OFFSET(BV!$H400,,(COLUMN()-69)*8)),"")</f>
        <v/>
      </c>
      <c r="BW400" s="11" t="str">
        <f ca="1">IFERROR(YEAR(OFFSET(BV!$H400,,(COLUMN()-69)*8)),"")</f>
        <v/>
      </c>
      <c r="BX400" s="11" t="str">
        <f ca="1">IFERROR(YEAR(OFFSET(BV!$H400,,(COLUMN()-69)*8)),"")</f>
        <v/>
      </c>
      <c r="BY400" s="11" t="str">
        <f ca="1">IFERROR(YEAR(OFFSET(BV!$H400,,(COLUMN()-69)*8)),"")</f>
        <v/>
      </c>
      <c r="BZ400" s="11" t="str">
        <f ca="1">IFERROR(YEAR(OFFSET(BV!$H400,,(COLUMN()-69)*8)),"")</f>
        <v/>
      </c>
    </row>
    <row r="401" spans="1:78" x14ac:dyDescent="0.25">
      <c r="A401" s="433">
        <v>259</v>
      </c>
      <c r="B401" s="11" t="str">
        <f ca="1">BV!D401</f>
        <v/>
      </c>
      <c r="C401" s="11" t="str">
        <f ca="1">BV!L401</f>
        <v/>
      </c>
      <c r="D401" s="11" t="str">
        <f ca="1">BV!T401</f>
        <v/>
      </c>
      <c r="E401" s="11" t="str">
        <f ca="1">BV!AB401</f>
        <v/>
      </c>
      <c r="F401" s="11" t="str">
        <f ca="1">BV!AJ401</f>
        <v/>
      </c>
      <c r="G401" s="11" t="str">
        <f ca="1">BV!AR401</f>
        <v/>
      </c>
      <c r="H401" s="11" t="str">
        <f ca="1">BV!AZ401</f>
        <v/>
      </c>
      <c r="I401" s="11" t="str">
        <f ca="1">BV!BH401</f>
        <v/>
      </c>
      <c r="J401" s="11" t="str">
        <f ca="1">BV!BP401</f>
        <v/>
      </c>
      <c r="K401" s="11" t="str">
        <f ca="1">BV!BX401</f>
        <v/>
      </c>
      <c r="L401" s="308" t="s">
        <v>105</v>
      </c>
      <c r="M401" s="261">
        <v>4.5876760000000003E-6</v>
      </c>
      <c r="N401" s="309" t="str">
        <f t="shared" ca="1" si="214"/>
        <v/>
      </c>
      <c r="O401" s="36" t="s">
        <v>21</v>
      </c>
      <c r="P401" s="269">
        <f ca="1">OFFSET($BD$115,COLUMN()-16,)</f>
        <v>340</v>
      </c>
      <c r="Q401" s="269">
        <f t="shared" ref="Q401:Y401" ca="1" si="244">OFFSET($BD$115,COLUMN()-16,)</f>
        <v>415</v>
      </c>
      <c r="R401" s="269">
        <f t="shared" ca="1" si="244"/>
        <v>74</v>
      </c>
      <c r="S401" s="269">
        <f t="shared" ca="1" si="244"/>
        <v>274</v>
      </c>
      <c r="T401" s="269" t="str">
        <f t="shared" ca="1" si="244"/>
        <v/>
      </c>
      <c r="U401" s="269">
        <f t="shared" ca="1" si="244"/>
        <v>399</v>
      </c>
      <c r="V401" s="269" t="str">
        <f t="shared" ca="1" si="244"/>
        <v/>
      </c>
      <c r="W401" s="269">
        <f t="shared" ca="1" si="244"/>
        <v>288</v>
      </c>
      <c r="X401" s="269" t="str">
        <f t="shared" ca="1" si="244"/>
        <v/>
      </c>
      <c r="Y401" s="269">
        <f t="shared" ca="1" si="244"/>
        <v>395</v>
      </c>
      <c r="Z401" s="9">
        <f t="shared" ca="1" si="236"/>
        <v>312.14285714285717</v>
      </c>
      <c r="AA401" s="606" t="s">
        <v>403</v>
      </c>
      <c r="AB401" s="594"/>
      <c r="AC401" s="648">
        <f ca="1">NOW()-LARGE($P402:$Y410,19)</f>
        <v>43934.874425578702</v>
      </c>
      <c r="AD401" s="649"/>
      <c r="AE401" s="648">
        <f ca="1">NOW()-SMALL($P402:$Y410,19)</f>
        <v>44084.874425578702</v>
      </c>
      <c r="AF401" s="649"/>
      <c r="AG401" s="647">
        <f t="shared" ca="1" si="243"/>
        <v>150</v>
      </c>
      <c r="AH401" s="647"/>
      <c r="AI401" s="315"/>
      <c r="AJ401" s="315"/>
      <c r="AL401" s="315"/>
      <c r="AM401" s="315"/>
      <c r="AN401" s="433">
        <v>259</v>
      </c>
      <c r="AO401" s="11" t="str">
        <f ca="1">BV!C401</f>
        <v/>
      </c>
      <c r="AP401" s="11" t="str">
        <f ca="1">BV!K401</f>
        <v/>
      </c>
      <c r="AQ401" s="11" t="str">
        <f ca="1">BV!S401</f>
        <v/>
      </c>
      <c r="AR401" s="11" t="str">
        <f ca="1">BV!AA401</f>
        <v/>
      </c>
      <c r="AS401" s="11" t="str">
        <f ca="1">BV!AI401</f>
        <v/>
      </c>
      <c r="AT401" s="11" t="str">
        <f ca="1">BV!AQ401</f>
        <v/>
      </c>
      <c r="AU401" s="11" t="str">
        <f ca="1">BV!AY401</f>
        <v/>
      </c>
      <c r="AV401" s="11" t="str">
        <f ca="1">BV!BG401</f>
        <v/>
      </c>
      <c r="AW401" s="11" t="str">
        <f ca="1">BV!BO401</f>
        <v/>
      </c>
      <c r="AX401" s="11" t="str">
        <f ca="1">BV!BW401</f>
        <v/>
      </c>
      <c r="AY401" s="308" t="s">
        <v>105</v>
      </c>
      <c r="AZ401" s="311">
        <f t="shared" si="215"/>
        <v>5.3384072612984115</v>
      </c>
      <c r="BA401" s="261">
        <v>4.5876760000000003E-6</v>
      </c>
      <c r="BB401" s="268">
        <v>1.1696266019999997E-2</v>
      </c>
      <c r="BC401" s="268">
        <f t="shared" si="216"/>
        <v>3.9223423887207396E-4</v>
      </c>
      <c r="BD401" s="269" t="str">
        <f ca="1">IF(BV!H401="","",INT(NOW()-BV!H401))</f>
        <v/>
      </c>
      <c r="BE401" s="312">
        <f t="shared" si="217"/>
        <v>466.87823742115512</v>
      </c>
      <c r="BF401" s="11" t="str">
        <f ca="1">BV!G401</f>
        <v/>
      </c>
      <c r="BG401" s="11" t="str">
        <f ca="1">BV!O401</f>
        <v/>
      </c>
      <c r="BH401" s="11" t="str">
        <f ca="1">BV!W401</f>
        <v/>
      </c>
      <c r="BI401" s="11" t="str">
        <f ca="1">BV!AE401</f>
        <v/>
      </c>
      <c r="BJ401" s="11" t="str">
        <f ca="1">BV!AM401</f>
        <v/>
      </c>
      <c r="BK401" s="11" t="str">
        <f ca="1">BV!AU401</f>
        <v/>
      </c>
      <c r="BL401" s="11" t="str">
        <f ca="1">BV!BC401</f>
        <v/>
      </c>
      <c r="BM401" s="11" t="str">
        <f ca="1">BV!BK401</f>
        <v/>
      </c>
      <c r="BN401" s="11" t="str">
        <f ca="1">BV!BS401</f>
        <v/>
      </c>
      <c r="BO401" s="11" t="str">
        <f ca="1">BV!CA401</f>
        <v/>
      </c>
      <c r="BP401" s="433">
        <v>259</v>
      </c>
      <c r="BQ401" s="11" t="str">
        <f ca="1">IFERROR(YEAR(OFFSET(BV!$H401,,(COLUMN()-69)*8)),"")</f>
        <v/>
      </c>
      <c r="BR401" s="11" t="str">
        <f ca="1">IFERROR(YEAR(OFFSET(BV!$H401,,(COLUMN()-69)*8)),"")</f>
        <v/>
      </c>
      <c r="BS401" s="11" t="str">
        <f ca="1">IFERROR(YEAR(OFFSET(BV!$H401,,(COLUMN()-69)*8)),"")</f>
        <v/>
      </c>
      <c r="BT401" s="11" t="str">
        <f ca="1">IFERROR(YEAR(OFFSET(BV!$H401,,(COLUMN()-69)*8)),"")</f>
        <v/>
      </c>
      <c r="BU401" s="11" t="str">
        <f ca="1">IFERROR(YEAR(OFFSET(BV!$H401,,(COLUMN()-69)*8)),"")</f>
        <v/>
      </c>
      <c r="BV401" s="11" t="str">
        <f ca="1">IFERROR(YEAR(OFFSET(BV!$H401,,(COLUMN()-69)*8)),"")</f>
        <v/>
      </c>
      <c r="BW401" s="11" t="str">
        <f ca="1">IFERROR(YEAR(OFFSET(BV!$H401,,(COLUMN()-69)*8)),"")</f>
        <v/>
      </c>
      <c r="BX401" s="11" t="str">
        <f ca="1">IFERROR(YEAR(OFFSET(BV!$H401,,(COLUMN()-69)*8)),"")</f>
        <v/>
      </c>
      <c r="BY401" s="11" t="str">
        <f ca="1">IFERROR(YEAR(OFFSET(BV!$H401,,(COLUMN()-69)*8)),"")</f>
        <v/>
      </c>
      <c r="BZ401" s="11" t="str">
        <f ca="1">IFERROR(YEAR(OFFSET(BV!$H401,,(COLUMN()-69)*8)),"")</f>
        <v/>
      </c>
    </row>
    <row r="402" spans="1:78" x14ac:dyDescent="0.25">
      <c r="A402" s="433">
        <v>260</v>
      </c>
      <c r="B402" s="11" t="str">
        <f ca="1">BV!D402</f>
        <v/>
      </c>
      <c r="C402" s="11" t="str">
        <f ca="1">BV!L402</f>
        <v/>
      </c>
      <c r="D402" s="11" t="str">
        <f ca="1">BV!T402</f>
        <v/>
      </c>
      <c r="E402" s="11" t="str">
        <f ca="1">BV!AB402</f>
        <v/>
      </c>
      <c r="F402" s="11" t="str">
        <f ca="1">BV!AJ402</f>
        <v/>
      </c>
      <c r="G402" s="11" t="str">
        <f ca="1">BV!AR402</f>
        <v/>
      </c>
      <c r="H402" s="11" t="str">
        <f ca="1">BV!AZ402</f>
        <v/>
      </c>
      <c r="I402" s="11" t="str">
        <f ca="1">BV!BH402</f>
        <v/>
      </c>
      <c r="J402" s="11" t="str">
        <f ca="1">BV!BP402</f>
        <v/>
      </c>
      <c r="K402" s="11" t="str">
        <f ca="1">BV!BX402</f>
        <v/>
      </c>
      <c r="L402" s="308" t="s">
        <v>105</v>
      </c>
      <c r="M402" s="261">
        <v>3.8191849999999996E-6</v>
      </c>
      <c r="N402" s="309" t="str">
        <f t="shared" ca="1" si="214"/>
        <v/>
      </c>
      <c r="O402" s="24" t="s">
        <v>23</v>
      </c>
      <c r="P402" s="84">
        <f ca="1">OFFSET($BD$272,COLUMN()-16,)</f>
        <v>281</v>
      </c>
      <c r="Q402" s="84">
        <f t="shared" ref="Q402:Y402" ca="1" si="245">OFFSET($BD$272,COLUMN()-16,)</f>
        <v>135</v>
      </c>
      <c r="R402" s="84">
        <f t="shared" ca="1" si="245"/>
        <v>224</v>
      </c>
      <c r="S402" s="84">
        <f t="shared" ca="1" si="245"/>
        <v>369</v>
      </c>
      <c r="T402" s="84">
        <f t="shared" ca="1" si="245"/>
        <v>375</v>
      </c>
      <c r="U402" s="84">
        <f t="shared" ca="1" si="245"/>
        <v>177</v>
      </c>
      <c r="V402" s="84">
        <f t="shared" ca="1" si="245"/>
        <v>96</v>
      </c>
      <c r="W402" s="84">
        <f t="shared" ca="1" si="245"/>
        <v>126</v>
      </c>
      <c r="X402" s="84">
        <f t="shared" ca="1" si="245"/>
        <v>192</v>
      </c>
      <c r="Y402" s="84">
        <f t="shared" ca="1" si="245"/>
        <v>114</v>
      </c>
      <c r="Z402" s="9">
        <f t="shared" ca="1" si="236"/>
        <v>208.9</v>
      </c>
      <c r="AA402" s="606" t="s">
        <v>404</v>
      </c>
      <c r="AB402" s="594"/>
      <c r="AC402" s="648">
        <f ca="1">NOW()-LARGE($P394:$Y410,35)</f>
        <v>43817.874425578702</v>
      </c>
      <c r="AD402" s="649"/>
      <c r="AE402" s="648">
        <f ca="1">NOW()-SMALL($P394:$Y410,35)</f>
        <v>44093.874425578702</v>
      </c>
      <c r="AF402" s="649"/>
      <c r="AG402" s="647">
        <f t="shared" ca="1" si="243"/>
        <v>276</v>
      </c>
      <c r="AH402" s="647"/>
      <c r="AI402" s="315"/>
      <c r="AJ402" s="315"/>
      <c r="AL402" s="315"/>
      <c r="AM402" s="315"/>
      <c r="AN402" s="433">
        <v>260</v>
      </c>
      <c r="AO402" s="11" t="str">
        <f ca="1">BV!C402</f>
        <v/>
      </c>
      <c r="AP402" s="11" t="str">
        <f ca="1">BV!K402</f>
        <v/>
      </c>
      <c r="AQ402" s="11" t="str">
        <f ca="1">BV!S402</f>
        <v/>
      </c>
      <c r="AR402" s="11" t="str">
        <f ca="1">BV!AA402</f>
        <v/>
      </c>
      <c r="AS402" s="11" t="str">
        <f ca="1">BV!AI402</f>
        <v/>
      </c>
      <c r="AT402" s="11" t="str">
        <f ca="1">BV!AQ402</f>
        <v/>
      </c>
      <c r="AU402" s="11" t="str">
        <f ca="1">BV!AY402</f>
        <v/>
      </c>
      <c r="AV402" s="11" t="str">
        <f ca="1">BV!BG402</f>
        <v/>
      </c>
      <c r="AW402" s="11" t="str">
        <f ca="1">BV!BO402</f>
        <v/>
      </c>
      <c r="AX402" s="11" t="str">
        <f ca="1">BV!BW402</f>
        <v/>
      </c>
      <c r="AY402" s="308" t="s">
        <v>105</v>
      </c>
      <c r="AZ402" s="311">
        <f t="shared" ref="AZ402:AZ430" si="246">0-LOG10(M402)</f>
        <v>5.4180293040427099</v>
      </c>
      <c r="BA402" s="261">
        <v>3.8191849999999996E-6</v>
      </c>
      <c r="BB402" s="268">
        <v>1.1696266019999997E-2</v>
      </c>
      <c r="BC402" s="268">
        <f t="shared" si="216"/>
        <v>3.2653027842128376E-4</v>
      </c>
      <c r="BD402" s="269" t="str">
        <f ca="1">IF(BV!H402="","",INT(NOW()-BV!H402))</f>
        <v/>
      </c>
      <c r="BE402" s="312">
        <f t="shared" si="217"/>
        <v>511.6990987107211</v>
      </c>
      <c r="BF402" s="11" t="str">
        <f ca="1">BV!G402</f>
        <v/>
      </c>
      <c r="BG402" s="11" t="str">
        <f ca="1">BV!O402</f>
        <v/>
      </c>
      <c r="BH402" s="11" t="str">
        <f ca="1">BV!W402</f>
        <v/>
      </c>
      <c r="BI402" s="11" t="str">
        <f ca="1">BV!AE402</f>
        <v/>
      </c>
      <c r="BJ402" s="11" t="str">
        <f ca="1">BV!AM402</f>
        <v/>
      </c>
      <c r="BK402" s="11" t="str">
        <f ca="1">BV!AU402</f>
        <v/>
      </c>
      <c r="BL402" s="11" t="str">
        <f ca="1">BV!BC402</f>
        <v/>
      </c>
      <c r="BM402" s="11" t="str">
        <f ca="1">BV!BK402</f>
        <v/>
      </c>
      <c r="BN402" s="11" t="str">
        <f ca="1">BV!BS402</f>
        <v/>
      </c>
      <c r="BO402" s="11" t="str">
        <f ca="1">BV!CA402</f>
        <v/>
      </c>
      <c r="BP402" s="433">
        <v>260</v>
      </c>
      <c r="BQ402" s="11" t="str">
        <f ca="1">IFERROR(YEAR(OFFSET(BV!$H402,,(COLUMN()-69)*8)),"")</f>
        <v/>
      </c>
      <c r="BR402" s="11" t="str">
        <f ca="1">IFERROR(YEAR(OFFSET(BV!$H402,,(COLUMN()-69)*8)),"")</f>
        <v/>
      </c>
      <c r="BS402" s="11" t="str">
        <f ca="1">IFERROR(YEAR(OFFSET(BV!$H402,,(COLUMN()-69)*8)),"")</f>
        <v/>
      </c>
      <c r="BT402" s="11" t="str">
        <f ca="1">IFERROR(YEAR(OFFSET(BV!$H402,,(COLUMN()-69)*8)),"")</f>
        <v/>
      </c>
      <c r="BU402" s="11" t="str">
        <f ca="1">IFERROR(YEAR(OFFSET(BV!$H402,,(COLUMN()-69)*8)),"")</f>
        <v/>
      </c>
      <c r="BV402" s="11" t="str">
        <f ca="1">IFERROR(YEAR(OFFSET(BV!$H402,,(COLUMN()-69)*8)),"")</f>
        <v/>
      </c>
      <c r="BW402" s="11" t="str">
        <f ca="1">IFERROR(YEAR(OFFSET(BV!$H402,,(COLUMN()-69)*8)),"")</f>
        <v/>
      </c>
      <c r="BX402" s="11" t="str">
        <f ca="1">IFERROR(YEAR(OFFSET(BV!$H402,,(COLUMN()-69)*8)),"")</f>
        <v/>
      </c>
      <c r="BY402" s="11" t="str">
        <f ca="1">IFERROR(YEAR(OFFSET(BV!$H402,,(COLUMN()-69)*8)),"")</f>
        <v/>
      </c>
      <c r="BZ402" s="11" t="str">
        <f ca="1">IFERROR(YEAR(OFFSET(BV!$H402,,(COLUMN()-69)*8)),"")</f>
        <v/>
      </c>
    </row>
    <row r="403" spans="1:78" x14ac:dyDescent="0.25">
      <c r="A403" s="433">
        <v>261</v>
      </c>
      <c r="B403" s="11" t="str">
        <f ca="1">BV!D403</f>
        <v/>
      </c>
      <c r="C403" s="11" t="str">
        <f ca="1">BV!L403</f>
        <v/>
      </c>
      <c r="D403" s="11" t="str">
        <f ca="1">BV!T403</f>
        <v/>
      </c>
      <c r="E403" s="11" t="str">
        <f ca="1">BV!AB403</f>
        <v/>
      </c>
      <c r="F403" s="11" t="str">
        <f ca="1">BV!AJ403</f>
        <v/>
      </c>
      <c r="G403" s="11" t="str">
        <f ca="1">BV!AR403</f>
        <v/>
      </c>
      <c r="H403" s="11" t="str">
        <f ca="1">BV!AZ403</f>
        <v/>
      </c>
      <c r="I403" s="11" t="str">
        <f ca="1">BV!BH403</f>
        <v/>
      </c>
      <c r="J403" s="11" t="str">
        <f ca="1">BV!BP403</f>
        <v/>
      </c>
      <c r="K403" s="11" t="str">
        <f ca="1">BV!BX403</f>
        <v/>
      </c>
      <c r="L403" s="308" t="s">
        <v>105</v>
      </c>
      <c r="M403" s="261">
        <v>3.1740189999999999E-6</v>
      </c>
      <c r="N403" s="309" t="str">
        <f t="shared" ca="1" si="214"/>
        <v/>
      </c>
      <c r="O403" s="24" t="s">
        <v>24</v>
      </c>
      <c r="P403" s="84">
        <f ca="1">OFFSET($BD$282,COLUMN()-16,)</f>
        <v>116</v>
      </c>
      <c r="Q403" s="84">
        <f t="shared" ref="Q403:Y403" ca="1" si="247">OFFSET($BD$282,COLUMN()-16,)</f>
        <v>81</v>
      </c>
      <c r="R403" s="84">
        <f t="shared" ca="1" si="247"/>
        <v>81</v>
      </c>
      <c r="S403" s="84">
        <f t="shared" ca="1" si="247"/>
        <v>122</v>
      </c>
      <c r="T403" s="84">
        <f t="shared" ca="1" si="247"/>
        <v>271</v>
      </c>
      <c r="U403" s="84">
        <f t="shared" ca="1" si="247"/>
        <v>110</v>
      </c>
      <c r="V403" s="84">
        <f t="shared" ca="1" si="247"/>
        <v>116</v>
      </c>
      <c r="W403" s="84">
        <f t="shared" ca="1" si="247"/>
        <v>119</v>
      </c>
      <c r="X403" s="84">
        <f t="shared" ca="1" si="247"/>
        <v>291</v>
      </c>
      <c r="Y403" s="84">
        <f t="shared" ca="1" si="247"/>
        <v>86</v>
      </c>
      <c r="Z403" s="9">
        <f t="shared" ca="1" si="236"/>
        <v>139.30000000000001</v>
      </c>
      <c r="AA403" s="347"/>
      <c r="AB403" s="347"/>
      <c r="AC403" s="347"/>
      <c r="AD403" s="347"/>
      <c r="AE403" s="347"/>
      <c r="AF403" s="347"/>
      <c r="AG403" s="315"/>
      <c r="AH403" s="315"/>
      <c r="AI403" s="315"/>
      <c r="AJ403" s="315"/>
      <c r="AL403" s="315"/>
      <c r="AM403" s="315"/>
      <c r="AN403" s="433">
        <v>261</v>
      </c>
      <c r="AO403" s="11" t="str">
        <f ca="1">BV!C403</f>
        <v/>
      </c>
      <c r="AP403" s="11" t="str">
        <f ca="1">BV!K403</f>
        <v/>
      </c>
      <c r="AQ403" s="11" t="str">
        <f ca="1">BV!S403</f>
        <v/>
      </c>
      <c r="AR403" s="11" t="str">
        <f ca="1">BV!AA403</f>
        <v/>
      </c>
      <c r="AS403" s="11" t="str">
        <f ca="1">BV!AI403</f>
        <v/>
      </c>
      <c r="AT403" s="11" t="str">
        <f ca="1">BV!AQ403</f>
        <v/>
      </c>
      <c r="AU403" s="11" t="str">
        <f ca="1">BV!AY403</f>
        <v/>
      </c>
      <c r="AV403" s="11" t="str">
        <f ca="1">BV!BG403</f>
        <v/>
      </c>
      <c r="AW403" s="11" t="str">
        <f ca="1">BV!BO403</f>
        <v/>
      </c>
      <c r="AX403" s="11" t="str">
        <f ca="1">BV!BW403</f>
        <v/>
      </c>
      <c r="AY403" s="308" t="s">
        <v>105</v>
      </c>
      <c r="AZ403" s="311">
        <f t="shared" si="246"/>
        <v>5.4983904778425261</v>
      </c>
      <c r="BA403" s="261">
        <v>3.1740189999999999E-6</v>
      </c>
      <c r="BB403" s="268">
        <v>1.1696266019999997E-2</v>
      </c>
      <c r="BC403" s="268">
        <f t="shared" si="216"/>
        <v>2.7137028129939892E-4</v>
      </c>
      <c r="BD403" s="269" t="str">
        <f ca="1">IF(BV!H403="","",INT(NOW()-BV!H403))</f>
        <v/>
      </c>
      <c r="BE403" s="312">
        <f t="shared" si="217"/>
        <v>561.30025422526046</v>
      </c>
      <c r="BF403" s="11" t="str">
        <f ca="1">BV!G403</f>
        <v/>
      </c>
      <c r="BG403" s="11" t="str">
        <f ca="1">BV!O403</f>
        <v/>
      </c>
      <c r="BH403" s="11" t="str">
        <f ca="1">BV!W403</f>
        <v/>
      </c>
      <c r="BI403" s="11" t="str">
        <f ca="1">BV!AE403</f>
        <v/>
      </c>
      <c r="BJ403" s="11" t="str">
        <f ca="1">BV!AM403</f>
        <v/>
      </c>
      <c r="BK403" s="11" t="str">
        <f ca="1">BV!AU403</f>
        <v/>
      </c>
      <c r="BL403" s="11" t="str">
        <f ca="1">BV!BC403</f>
        <v/>
      </c>
      <c r="BM403" s="11" t="str">
        <f ca="1">BV!BK403</f>
        <v/>
      </c>
      <c r="BN403" s="11" t="str">
        <f ca="1">BV!BS403</f>
        <v/>
      </c>
      <c r="BO403" s="11" t="str">
        <f ca="1">BV!CA403</f>
        <v/>
      </c>
      <c r="BP403" s="433">
        <v>261</v>
      </c>
      <c r="BQ403" s="11" t="str">
        <f ca="1">IFERROR(YEAR(OFFSET(BV!$H403,,(COLUMN()-69)*8)),"")</f>
        <v/>
      </c>
      <c r="BR403" s="11" t="str">
        <f ca="1">IFERROR(YEAR(OFFSET(BV!$H403,,(COLUMN()-69)*8)),"")</f>
        <v/>
      </c>
      <c r="BS403" s="11" t="str">
        <f ca="1">IFERROR(YEAR(OFFSET(BV!$H403,,(COLUMN()-69)*8)),"")</f>
        <v/>
      </c>
      <c r="BT403" s="11" t="str">
        <f ca="1">IFERROR(YEAR(OFFSET(BV!$H403,,(COLUMN()-69)*8)),"")</f>
        <v/>
      </c>
      <c r="BU403" s="11" t="str">
        <f ca="1">IFERROR(YEAR(OFFSET(BV!$H403,,(COLUMN()-69)*8)),"")</f>
        <v/>
      </c>
      <c r="BV403" s="11" t="str">
        <f ca="1">IFERROR(YEAR(OFFSET(BV!$H403,,(COLUMN()-69)*8)),"")</f>
        <v/>
      </c>
      <c r="BW403" s="11" t="str">
        <f ca="1">IFERROR(YEAR(OFFSET(BV!$H403,,(COLUMN()-69)*8)),"")</f>
        <v/>
      </c>
      <c r="BX403" s="11" t="str">
        <f ca="1">IFERROR(YEAR(OFFSET(BV!$H403,,(COLUMN()-69)*8)),"")</f>
        <v/>
      </c>
      <c r="BY403" s="11" t="str">
        <f ca="1">IFERROR(YEAR(OFFSET(BV!$H403,,(COLUMN()-69)*8)),"")</f>
        <v/>
      </c>
      <c r="BZ403" s="11" t="str">
        <f ca="1">IFERROR(YEAR(OFFSET(BV!$H403,,(COLUMN()-69)*8)),"")</f>
        <v/>
      </c>
    </row>
    <row r="404" spans="1:78" x14ac:dyDescent="0.25">
      <c r="A404" s="433">
        <v>262</v>
      </c>
      <c r="B404" s="11" t="str">
        <f ca="1">BV!D404</f>
        <v/>
      </c>
      <c r="C404" s="11" t="str">
        <f ca="1">BV!L404</f>
        <v/>
      </c>
      <c r="D404" s="11" t="str">
        <f ca="1">BV!T404</f>
        <v/>
      </c>
      <c r="E404" s="11" t="str">
        <f ca="1">BV!AB404</f>
        <v/>
      </c>
      <c r="F404" s="11" t="str">
        <f ca="1">BV!AJ404</f>
        <v/>
      </c>
      <c r="G404" s="11" t="str">
        <f ca="1">BV!AR404</f>
        <v/>
      </c>
      <c r="H404" s="11" t="str">
        <f ca="1">BV!AZ404</f>
        <v/>
      </c>
      <c r="I404" s="11" t="str">
        <f ca="1">BV!BH404</f>
        <v/>
      </c>
      <c r="J404" s="11" t="str">
        <f ca="1">BV!BP404</f>
        <v/>
      </c>
      <c r="K404" s="11" t="str">
        <f ca="1">BV!BX404</f>
        <v/>
      </c>
      <c r="L404" s="308" t="s">
        <v>105</v>
      </c>
      <c r="M404" s="261">
        <v>2.6351820000000001E-6</v>
      </c>
      <c r="N404" s="309" t="str">
        <f t="shared" ca="1" si="214"/>
        <v/>
      </c>
      <c r="O404" s="24" t="s">
        <v>25</v>
      </c>
      <c r="P404" s="84">
        <f ca="1">OFFSET($BD$292,COLUMN()-16,)</f>
        <v>13</v>
      </c>
      <c r="Q404" s="84">
        <f t="shared" ref="Q404:Y404" ca="1" si="248">OFFSET($BD$292,COLUMN()-16,)</f>
        <v>126</v>
      </c>
      <c r="R404" s="84">
        <f t="shared" ca="1" si="248"/>
        <v>121</v>
      </c>
      <c r="S404" s="84">
        <f t="shared" ca="1" si="248"/>
        <v>128</v>
      </c>
      <c r="T404" s="84">
        <f t="shared" ca="1" si="248"/>
        <v>119</v>
      </c>
      <c r="U404" s="84">
        <f t="shared" ca="1" si="248"/>
        <v>119</v>
      </c>
      <c r="V404" s="84">
        <f t="shared" ca="1" si="248"/>
        <v>105</v>
      </c>
      <c r="W404" s="84">
        <f t="shared" ca="1" si="248"/>
        <v>119</v>
      </c>
      <c r="X404" s="84">
        <f t="shared" ca="1" si="248"/>
        <v>82</v>
      </c>
      <c r="Y404" s="84">
        <f t="shared" ca="1" si="248"/>
        <v>223</v>
      </c>
      <c r="Z404" s="9">
        <f t="shared" ca="1" si="236"/>
        <v>115.5</v>
      </c>
      <c r="AA404" s="347"/>
      <c r="AB404" s="347"/>
      <c r="AC404" s="347"/>
      <c r="AD404" s="347"/>
      <c r="AE404" s="347"/>
      <c r="AF404" s="347"/>
      <c r="AG404" s="315"/>
      <c r="AH404" s="315"/>
      <c r="AI404" s="315"/>
      <c r="AJ404" s="315"/>
      <c r="AK404" s="315"/>
      <c r="AL404" s="315"/>
      <c r="AM404" s="315"/>
      <c r="AN404" s="433">
        <v>262</v>
      </c>
      <c r="AO404" s="11" t="str">
        <f ca="1">BV!C404</f>
        <v/>
      </c>
      <c r="AP404" s="11" t="str">
        <f ca="1">BV!K404</f>
        <v/>
      </c>
      <c r="AQ404" s="11" t="str">
        <f ca="1">BV!S404</f>
        <v/>
      </c>
      <c r="AR404" s="11" t="str">
        <f ca="1">BV!AA404</f>
        <v/>
      </c>
      <c r="AS404" s="11" t="str">
        <f ca="1">BV!AI404</f>
        <v/>
      </c>
      <c r="AT404" s="11" t="str">
        <f ca="1">BV!AQ404</f>
        <v/>
      </c>
      <c r="AU404" s="11" t="str">
        <f ca="1">BV!AY404</f>
        <v/>
      </c>
      <c r="AV404" s="11" t="str">
        <f ca="1">BV!BG404</f>
        <v/>
      </c>
      <c r="AW404" s="11" t="str">
        <f ca="1">BV!BO404</f>
        <v/>
      </c>
      <c r="AX404" s="11" t="str">
        <f ca="1">BV!BW404</f>
        <v/>
      </c>
      <c r="AY404" s="308" t="s">
        <v>105</v>
      </c>
      <c r="AZ404" s="311">
        <f t="shared" si="246"/>
        <v>5.5791893846768152</v>
      </c>
      <c r="BA404" s="261">
        <v>2.6351820000000001E-6</v>
      </c>
      <c r="BB404" s="268">
        <v>1.1696266019999997E-2</v>
      </c>
      <c r="BC404" s="268">
        <f t="shared" si="216"/>
        <v>2.2530113418196699E-4</v>
      </c>
      <c r="BD404" s="269" t="str">
        <f ca="1">IF(BV!H404="","",INT(NOW()-BV!H404))</f>
        <v/>
      </c>
      <c r="BE404" s="312">
        <f t="shared" si="217"/>
        <v>616.01982969193102</v>
      </c>
      <c r="BF404" s="11" t="str">
        <f ca="1">BV!G404</f>
        <v/>
      </c>
      <c r="BG404" s="11" t="str">
        <f ca="1">BV!O404</f>
        <v/>
      </c>
      <c r="BH404" s="11" t="str">
        <f ca="1">BV!W404</f>
        <v/>
      </c>
      <c r="BI404" s="11" t="str">
        <f ca="1">BV!AE404</f>
        <v/>
      </c>
      <c r="BJ404" s="11" t="str">
        <f ca="1">BV!AM404</f>
        <v/>
      </c>
      <c r="BK404" s="11" t="str">
        <f ca="1">BV!AU404</f>
        <v/>
      </c>
      <c r="BL404" s="11" t="str">
        <f ca="1">BV!BC404</f>
        <v/>
      </c>
      <c r="BM404" s="11" t="str">
        <f ca="1">BV!BK404</f>
        <v/>
      </c>
      <c r="BN404" s="11" t="str">
        <f ca="1">BV!BS404</f>
        <v/>
      </c>
      <c r="BO404" s="11" t="str">
        <f ca="1">BV!CA404</f>
        <v/>
      </c>
      <c r="BP404" s="433">
        <v>262</v>
      </c>
      <c r="BQ404" s="11" t="str">
        <f ca="1">IFERROR(YEAR(OFFSET(BV!$H404,,(COLUMN()-69)*8)),"")</f>
        <v/>
      </c>
      <c r="BR404" s="11" t="str">
        <f ca="1">IFERROR(YEAR(OFFSET(BV!$H404,,(COLUMN()-69)*8)),"")</f>
        <v/>
      </c>
      <c r="BS404" s="11" t="str">
        <f ca="1">IFERROR(YEAR(OFFSET(BV!$H404,,(COLUMN()-69)*8)),"")</f>
        <v/>
      </c>
      <c r="BT404" s="11" t="str">
        <f ca="1">IFERROR(YEAR(OFFSET(BV!$H404,,(COLUMN()-69)*8)),"")</f>
        <v/>
      </c>
      <c r="BU404" s="11" t="str">
        <f ca="1">IFERROR(YEAR(OFFSET(BV!$H404,,(COLUMN()-69)*8)),"")</f>
        <v/>
      </c>
      <c r="BV404" s="11" t="str">
        <f ca="1">IFERROR(YEAR(OFFSET(BV!$H404,,(COLUMN()-69)*8)),"")</f>
        <v/>
      </c>
      <c r="BW404" s="11" t="str">
        <f ca="1">IFERROR(YEAR(OFFSET(BV!$H404,,(COLUMN()-69)*8)),"")</f>
        <v/>
      </c>
      <c r="BX404" s="11" t="str">
        <f ca="1">IFERROR(YEAR(OFFSET(BV!$H404,,(COLUMN()-69)*8)),"")</f>
        <v/>
      </c>
      <c r="BY404" s="11" t="str">
        <f ca="1">IFERROR(YEAR(OFFSET(BV!$H404,,(COLUMN()-69)*8)),"")</f>
        <v/>
      </c>
      <c r="BZ404" s="11" t="str">
        <f ca="1">IFERROR(YEAR(OFFSET(BV!$H404,,(COLUMN()-69)*8)),"")</f>
        <v/>
      </c>
    </row>
    <row r="405" spans="1:78" x14ac:dyDescent="0.25">
      <c r="A405" s="433">
        <v>263</v>
      </c>
      <c r="B405" s="11" t="str">
        <f ca="1">BV!D405</f>
        <v/>
      </c>
      <c r="C405" s="11" t="str">
        <f ca="1">BV!L405</f>
        <v/>
      </c>
      <c r="D405" s="11" t="str">
        <f ca="1">BV!T405</f>
        <v/>
      </c>
      <c r="E405" s="11" t="str">
        <f ca="1">BV!AB405</f>
        <v/>
      </c>
      <c r="F405" s="11" t="str">
        <f ca="1">BV!AJ405</f>
        <v/>
      </c>
      <c r="G405" s="11" t="str">
        <f ca="1">BV!AR405</f>
        <v/>
      </c>
      <c r="H405" s="11" t="str">
        <f ca="1">BV!AZ405</f>
        <v/>
      </c>
      <c r="I405" s="11" t="str">
        <f ca="1">BV!BH405</f>
        <v/>
      </c>
      <c r="J405" s="11" t="str">
        <f ca="1">BV!BP405</f>
        <v/>
      </c>
      <c r="K405" s="11" t="str">
        <f ca="1">BV!BX405</f>
        <v/>
      </c>
      <c r="L405" s="308" t="s">
        <v>105</v>
      </c>
      <c r="M405" s="261">
        <v>2.1846810000000001E-6</v>
      </c>
      <c r="N405" s="309" t="str">
        <f t="shared" ca="1" si="214"/>
        <v/>
      </c>
      <c r="O405" s="24" t="s">
        <v>26</v>
      </c>
      <c r="P405" s="84">
        <f ca="1">OFFSET($BD$302,COLUMN()-16,)</f>
        <v>84</v>
      </c>
      <c r="Q405" s="84">
        <f t="shared" ref="Q405:Y405" ca="1" si="249">OFFSET($BD$302,COLUMN()-16,)</f>
        <v>83</v>
      </c>
      <c r="R405" s="84">
        <f t="shared" ca="1" si="249"/>
        <v>245</v>
      </c>
      <c r="S405" s="84">
        <f t="shared" ca="1" si="249"/>
        <v>224</v>
      </c>
      <c r="T405" s="84">
        <f t="shared" ca="1" si="249"/>
        <v>39</v>
      </c>
      <c r="U405" s="84">
        <f t="shared" ca="1" si="249"/>
        <v>156</v>
      </c>
      <c r="V405" s="84">
        <f t="shared" ca="1" si="249"/>
        <v>13</v>
      </c>
      <c r="W405" s="84">
        <f t="shared" ca="1" si="249"/>
        <v>276</v>
      </c>
      <c r="X405" s="84">
        <f t="shared" ca="1" si="249"/>
        <v>230</v>
      </c>
      <c r="Y405" s="84">
        <f t="shared" ca="1" si="249"/>
        <v>224</v>
      </c>
      <c r="Z405" s="9">
        <f t="shared" ca="1" si="236"/>
        <v>157.4</v>
      </c>
      <c r="AA405" s="347"/>
      <c r="AB405" s="347"/>
      <c r="AC405" s="347"/>
      <c r="AD405" s="347"/>
      <c r="AE405" s="347"/>
      <c r="AF405" s="347"/>
      <c r="AG405" s="315"/>
      <c r="AH405" s="315"/>
      <c r="AI405" s="315"/>
      <c r="AJ405" s="315"/>
      <c r="AK405" s="315"/>
      <c r="AL405" s="315"/>
      <c r="AM405" s="315"/>
      <c r="AN405" s="433">
        <v>263</v>
      </c>
      <c r="AO405" s="11" t="str">
        <f ca="1">BV!C405</f>
        <v/>
      </c>
      <c r="AP405" s="11" t="str">
        <f ca="1">BV!K405</f>
        <v/>
      </c>
      <c r="AQ405" s="11" t="str">
        <f ca="1">BV!S405</f>
        <v/>
      </c>
      <c r="AR405" s="11" t="str">
        <f ca="1">BV!AA405</f>
        <v/>
      </c>
      <c r="AS405" s="11" t="str">
        <f ca="1">BV!AI405</f>
        <v/>
      </c>
      <c r="AT405" s="11" t="str">
        <f ca="1">BV!AQ405</f>
        <v/>
      </c>
      <c r="AU405" s="11" t="str">
        <f ca="1">BV!AY405</f>
        <v/>
      </c>
      <c r="AV405" s="11" t="str">
        <f ca="1">BV!BG405</f>
        <v/>
      </c>
      <c r="AW405" s="11" t="str">
        <f ca="1">BV!BO405</f>
        <v/>
      </c>
      <c r="AX405" s="11" t="str">
        <f ca="1">BV!BW405</f>
        <v/>
      </c>
      <c r="AY405" s="308" t="s">
        <v>105</v>
      </c>
      <c r="AZ405" s="311">
        <f t="shared" si="246"/>
        <v>5.66061196832917</v>
      </c>
      <c r="BA405" s="261">
        <v>2.1846810000000001E-6</v>
      </c>
      <c r="BB405" s="268">
        <v>1.1696266019999997E-2</v>
      </c>
      <c r="BC405" s="268">
        <f t="shared" si="216"/>
        <v>1.8678448286524188E-4</v>
      </c>
      <c r="BD405" s="269" t="str">
        <f ca="1">IF(BV!H405="","",INT(NOW()-BV!H405))</f>
        <v/>
      </c>
      <c r="BE405" s="312">
        <f t="shared" si="217"/>
        <v>676.55948058834156</v>
      </c>
      <c r="BF405" s="11" t="str">
        <f ca="1">BV!G405</f>
        <v/>
      </c>
      <c r="BG405" s="11" t="str">
        <f ca="1">BV!O405</f>
        <v/>
      </c>
      <c r="BH405" s="11" t="str">
        <f ca="1">BV!W405</f>
        <v/>
      </c>
      <c r="BI405" s="11" t="str">
        <f ca="1">BV!AE405</f>
        <v/>
      </c>
      <c r="BJ405" s="11" t="str">
        <f ca="1">BV!AM405</f>
        <v/>
      </c>
      <c r="BK405" s="11" t="str">
        <f ca="1">BV!AU405</f>
        <v/>
      </c>
      <c r="BL405" s="11" t="str">
        <f ca="1">BV!BC405</f>
        <v/>
      </c>
      <c r="BM405" s="11" t="str">
        <f ca="1">BV!BK405</f>
        <v/>
      </c>
      <c r="BN405" s="11" t="str">
        <f ca="1">BV!BS405</f>
        <v/>
      </c>
      <c r="BO405" s="11" t="str">
        <f ca="1">BV!CA405</f>
        <v/>
      </c>
      <c r="BP405" s="433">
        <v>263</v>
      </c>
      <c r="BQ405" s="11" t="str">
        <f ca="1">IFERROR(YEAR(OFFSET(BV!$H405,,(COLUMN()-69)*8)),"")</f>
        <v/>
      </c>
      <c r="BR405" s="11" t="str">
        <f ca="1">IFERROR(YEAR(OFFSET(BV!$H405,,(COLUMN()-69)*8)),"")</f>
        <v/>
      </c>
      <c r="BS405" s="11" t="str">
        <f ca="1">IFERROR(YEAR(OFFSET(BV!$H405,,(COLUMN()-69)*8)),"")</f>
        <v/>
      </c>
      <c r="BT405" s="11" t="str">
        <f ca="1">IFERROR(YEAR(OFFSET(BV!$H405,,(COLUMN()-69)*8)),"")</f>
        <v/>
      </c>
      <c r="BU405" s="11" t="str">
        <f ca="1">IFERROR(YEAR(OFFSET(BV!$H405,,(COLUMN()-69)*8)),"")</f>
        <v/>
      </c>
      <c r="BV405" s="11" t="str">
        <f ca="1">IFERROR(YEAR(OFFSET(BV!$H405,,(COLUMN()-69)*8)),"")</f>
        <v/>
      </c>
      <c r="BW405" s="11" t="str">
        <f ca="1">IFERROR(YEAR(OFFSET(BV!$H405,,(COLUMN()-69)*8)),"")</f>
        <v/>
      </c>
      <c r="BX405" s="11" t="str">
        <f ca="1">IFERROR(YEAR(OFFSET(BV!$H405,,(COLUMN()-69)*8)),"")</f>
        <v/>
      </c>
      <c r="BY405" s="11" t="str">
        <f ca="1">IFERROR(YEAR(OFFSET(BV!$H405,,(COLUMN()-69)*8)),"")</f>
        <v/>
      </c>
      <c r="BZ405" s="11" t="str">
        <f ca="1">IFERROR(YEAR(OFFSET(BV!$H405,,(COLUMN()-69)*8)),"")</f>
        <v/>
      </c>
    </row>
    <row r="406" spans="1:78" x14ac:dyDescent="0.25">
      <c r="A406" s="433">
        <v>264</v>
      </c>
      <c r="B406" s="11" t="str">
        <f ca="1">BV!D406</f>
        <v/>
      </c>
      <c r="C406" s="11" t="str">
        <f ca="1">BV!L406</f>
        <v/>
      </c>
      <c r="D406" s="11" t="str">
        <f ca="1">BV!T406</f>
        <v/>
      </c>
      <c r="E406" s="11" t="str">
        <f ca="1">BV!AB406</f>
        <v/>
      </c>
      <c r="F406" s="11" t="str">
        <f ca="1">BV!AJ406</f>
        <v/>
      </c>
      <c r="G406" s="11" t="str">
        <f ca="1">BV!AR406</f>
        <v/>
      </c>
      <c r="H406" s="11" t="str">
        <f ca="1">BV!AZ406</f>
        <v/>
      </c>
      <c r="I406" s="11" t="str">
        <f ca="1">BV!BH406</f>
        <v/>
      </c>
      <c r="J406" s="11" t="str">
        <f ca="1">BV!BP406</f>
        <v/>
      </c>
      <c r="K406" s="11" t="str">
        <f ca="1">BV!BX406</f>
        <v/>
      </c>
      <c r="L406" s="308" t="s">
        <v>105</v>
      </c>
      <c r="M406" s="261">
        <v>1.803929E-6</v>
      </c>
      <c r="N406" s="309" t="str">
        <f t="shared" ca="1" si="214"/>
        <v/>
      </c>
      <c r="O406" s="24" t="s">
        <v>27</v>
      </c>
      <c r="P406" s="84">
        <f ca="1">OFFSET($BD$312,COLUMN()-16,)</f>
        <v>152</v>
      </c>
      <c r="Q406" s="84">
        <f t="shared" ref="Q406:Y406" ca="1" si="250">OFFSET($BD$312,COLUMN()-16,)</f>
        <v>121</v>
      </c>
      <c r="R406" s="84">
        <f t="shared" ca="1" si="250"/>
        <v>283</v>
      </c>
      <c r="S406" s="84">
        <f t="shared" ca="1" si="250"/>
        <v>107</v>
      </c>
      <c r="T406" s="84">
        <f t="shared" ca="1" si="250"/>
        <v>113</v>
      </c>
      <c r="U406" s="84">
        <f t="shared" ca="1" si="250"/>
        <v>223</v>
      </c>
      <c r="V406" s="84">
        <f t="shared" ca="1" si="250"/>
        <v>96</v>
      </c>
      <c r="W406" s="84">
        <f t="shared" ca="1" si="250"/>
        <v>243</v>
      </c>
      <c r="X406" s="84">
        <f t="shared" ca="1" si="250"/>
        <v>107</v>
      </c>
      <c r="Y406" s="84">
        <f t="shared" ca="1" si="250"/>
        <v>151</v>
      </c>
      <c r="Z406" s="9">
        <f t="shared" ca="1" si="236"/>
        <v>159.6</v>
      </c>
      <c r="AA406" s="347"/>
      <c r="AB406" s="347"/>
      <c r="AC406" s="347"/>
      <c r="AD406" s="347"/>
      <c r="AE406" s="347"/>
      <c r="AF406" s="347"/>
      <c r="AG406" s="315"/>
      <c r="AH406" s="315"/>
      <c r="AI406" s="315"/>
      <c r="AJ406" s="315"/>
      <c r="AK406" s="315"/>
      <c r="AL406" s="315"/>
      <c r="AM406" s="315"/>
      <c r="AN406" s="433">
        <v>264</v>
      </c>
      <c r="AO406" s="11" t="str">
        <f ca="1">BV!C406</f>
        <v/>
      </c>
      <c r="AP406" s="11" t="str">
        <f ca="1">BV!K406</f>
        <v/>
      </c>
      <c r="AQ406" s="11" t="str">
        <f ca="1">BV!S406</f>
        <v/>
      </c>
      <c r="AR406" s="11" t="str">
        <f ca="1">BV!AA406</f>
        <v/>
      </c>
      <c r="AS406" s="11" t="str">
        <f ca="1">BV!AI406</f>
        <v/>
      </c>
      <c r="AT406" s="11" t="str">
        <f ca="1">BV!AQ406</f>
        <v/>
      </c>
      <c r="AU406" s="11" t="str">
        <f ca="1">BV!AY406</f>
        <v/>
      </c>
      <c r="AV406" s="11" t="str">
        <f ca="1">BV!BG406</f>
        <v/>
      </c>
      <c r="AW406" s="11" t="str">
        <f ca="1">BV!BO406</f>
        <v/>
      </c>
      <c r="AX406" s="11" t="str">
        <f ca="1">BV!BW406</f>
        <v/>
      </c>
      <c r="AY406" s="308" t="s">
        <v>105</v>
      </c>
      <c r="AZ406" s="311">
        <f t="shared" si="246"/>
        <v>5.7437805596516247</v>
      </c>
      <c r="BA406" s="261">
        <v>1.803929E-6</v>
      </c>
      <c r="BB406" s="268">
        <v>1.1696266019999997E-2</v>
      </c>
      <c r="BC406" s="268">
        <f t="shared" si="216"/>
        <v>1.5423118770686105E-4</v>
      </c>
      <c r="BD406" s="269" t="str">
        <f ca="1">IF(BV!H406="","",INT(NOW()-BV!H406))</f>
        <v/>
      </c>
      <c r="BE406" s="312">
        <f t="shared" si="217"/>
        <v>744.54384855718308</v>
      </c>
      <c r="BF406" s="11" t="str">
        <f ca="1">BV!G406</f>
        <v/>
      </c>
      <c r="BG406" s="11" t="str">
        <f ca="1">BV!O406</f>
        <v/>
      </c>
      <c r="BH406" s="11" t="str">
        <f ca="1">BV!W406</f>
        <v/>
      </c>
      <c r="BI406" s="11" t="str">
        <f ca="1">BV!AE406</f>
        <v/>
      </c>
      <c r="BJ406" s="11" t="str">
        <f ca="1">BV!AM406</f>
        <v/>
      </c>
      <c r="BK406" s="11" t="str">
        <f ca="1">BV!AU406</f>
        <v/>
      </c>
      <c r="BL406" s="11" t="str">
        <f ca="1">BV!BC406</f>
        <v/>
      </c>
      <c r="BM406" s="11" t="str">
        <f ca="1">BV!BK406</f>
        <v/>
      </c>
      <c r="BN406" s="11" t="str">
        <f ca="1">BV!BS406</f>
        <v/>
      </c>
      <c r="BO406" s="11" t="str">
        <f ca="1">BV!CA406</f>
        <v/>
      </c>
      <c r="BP406" s="433">
        <v>264</v>
      </c>
      <c r="BQ406" s="11" t="str">
        <f ca="1">IFERROR(YEAR(OFFSET(BV!$H406,,(COLUMN()-69)*8)),"")</f>
        <v/>
      </c>
      <c r="BR406" s="11" t="str">
        <f ca="1">IFERROR(YEAR(OFFSET(BV!$H406,,(COLUMN()-69)*8)),"")</f>
        <v/>
      </c>
      <c r="BS406" s="11" t="str">
        <f ca="1">IFERROR(YEAR(OFFSET(BV!$H406,,(COLUMN()-69)*8)),"")</f>
        <v/>
      </c>
      <c r="BT406" s="11" t="str">
        <f ca="1">IFERROR(YEAR(OFFSET(BV!$H406,,(COLUMN()-69)*8)),"")</f>
        <v/>
      </c>
      <c r="BU406" s="11" t="str">
        <f ca="1">IFERROR(YEAR(OFFSET(BV!$H406,,(COLUMN()-69)*8)),"")</f>
        <v/>
      </c>
      <c r="BV406" s="11" t="str">
        <f ca="1">IFERROR(YEAR(OFFSET(BV!$H406,,(COLUMN()-69)*8)),"")</f>
        <v/>
      </c>
      <c r="BW406" s="11" t="str">
        <f ca="1">IFERROR(YEAR(OFFSET(BV!$H406,,(COLUMN()-69)*8)),"")</f>
        <v/>
      </c>
      <c r="BX406" s="11" t="str">
        <f ca="1">IFERROR(YEAR(OFFSET(BV!$H406,,(COLUMN()-69)*8)),"")</f>
        <v/>
      </c>
      <c r="BY406" s="11" t="str">
        <f ca="1">IFERROR(YEAR(OFFSET(BV!$H406,,(COLUMN()-69)*8)),"")</f>
        <v/>
      </c>
      <c r="BZ406" s="11" t="str">
        <f ca="1">IFERROR(YEAR(OFFSET(BV!$H406,,(COLUMN()-69)*8)),"")</f>
        <v/>
      </c>
    </row>
    <row r="407" spans="1:78" x14ac:dyDescent="0.25">
      <c r="A407" s="433">
        <v>265</v>
      </c>
      <c r="B407" s="11" t="str">
        <f ca="1">BV!D407</f>
        <v/>
      </c>
      <c r="C407" s="11" t="str">
        <f ca="1">BV!L407</f>
        <v/>
      </c>
      <c r="D407" s="11" t="str">
        <f ca="1">BV!T407</f>
        <v/>
      </c>
      <c r="E407" s="11" t="str">
        <f ca="1">BV!AB407</f>
        <v/>
      </c>
      <c r="F407" s="11" t="str">
        <f ca="1">BV!AJ407</f>
        <v/>
      </c>
      <c r="G407" s="11" t="str">
        <f ca="1">BV!AR407</f>
        <v/>
      </c>
      <c r="H407" s="11" t="str">
        <f ca="1">BV!AZ407</f>
        <v/>
      </c>
      <c r="I407" s="11" t="str">
        <f ca="1">BV!BH407</f>
        <v/>
      </c>
      <c r="J407" s="11" t="str">
        <f ca="1">BV!BP407</f>
        <v/>
      </c>
      <c r="K407" s="11" t="str">
        <f ca="1">BV!BX407</f>
        <v/>
      </c>
      <c r="L407" s="308" t="s">
        <v>105</v>
      </c>
      <c r="M407" s="261">
        <v>1.489713E-6</v>
      </c>
      <c r="N407" s="309" t="str">
        <f t="shared" ca="1" si="214"/>
        <v/>
      </c>
      <c r="O407" s="24" t="s">
        <v>28</v>
      </c>
      <c r="P407" s="84">
        <f ca="1">OFFSET($BD$322,COLUMN()-16,)</f>
        <v>84</v>
      </c>
      <c r="Q407" s="84">
        <f t="shared" ref="Q407:Y407" ca="1" si="251">OFFSET($BD$322,COLUMN()-16,)</f>
        <v>82</v>
      </c>
      <c r="R407" s="84">
        <f t="shared" ca="1" si="251"/>
        <v>159</v>
      </c>
      <c r="S407" s="84">
        <f t="shared" ca="1" si="251"/>
        <v>175</v>
      </c>
      <c r="T407" s="84">
        <f t="shared" ca="1" si="251"/>
        <v>120</v>
      </c>
      <c r="U407" s="84">
        <f t="shared" ca="1" si="251"/>
        <v>85</v>
      </c>
      <c r="V407" s="84">
        <f t="shared" ca="1" si="251"/>
        <v>226</v>
      </c>
      <c r="W407" s="84">
        <f t="shared" ca="1" si="251"/>
        <v>128</v>
      </c>
      <c r="X407" s="84">
        <f t="shared" ca="1" si="251"/>
        <v>31</v>
      </c>
      <c r="Y407" s="84">
        <f t="shared" ca="1" si="251"/>
        <v>121</v>
      </c>
      <c r="Z407" s="9">
        <f t="shared" ca="1" si="236"/>
        <v>121.1</v>
      </c>
      <c r="AA407" s="347"/>
      <c r="AB407" s="347"/>
      <c r="AC407" s="347"/>
      <c r="AD407" s="347"/>
      <c r="AE407" s="347"/>
      <c r="AF407" s="347"/>
      <c r="AG407" s="315"/>
      <c r="AH407" s="315"/>
      <c r="AI407" s="315"/>
      <c r="AJ407" s="315"/>
      <c r="AK407" s="315"/>
      <c r="AL407" s="315"/>
      <c r="AM407" s="315"/>
      <c r="AN407" s="433">
        <v>265</v>
      </c>
      <c r="AO407" s="11" t="str">
        <f ca="1">BV!C407</f>
        <v/>
      </c>
      <c r="AP407" s="11" t="str">
        <f ca="1">BV!K407</f>
        <v/>
      </c>
      <c r="AQ407" s="11" t="str">
        <f ca="1">BV!S407</f>
        <v/>
      </c>
      <c r="AR407" s="11" t="str">
        <f ca="1">BV!AA407</f>
        <v/>
      </c>
      <c r="AS407" s="11" t="str">
        <f ca="1">BV!AI407</f>
        <v/>
      </c>
      <c r="AT407" s="11" t="str">
        <f ca="1">BV!AQ407</f>
        <v/>
      </c>
      <c r="AU407" s="11" t="str">
        <f ca="1">BV!AY407</f>
        <v/>
      </c>
      <c r="AV407" s="11" t="str">
        <f ca="1">BV!BG407</f>
        <v/>
      </c>
      <c r="AW407" s="11" t="str">
        <f ca="1">BV!BO407</f>
        <v/>
      </c>
      <c r="AX407" s="11" t="str">
        <f ca="1">BV!BW407</f>
        <v/>
      </c>
      <c r="AY407" s="308" t="s">
        <v>105</v>
      </c>
      <c r="AZ407" s="311">
        <f t="shared" si="246"/>
        <v>5.8268973923407525</v>
      </c>
      <c r="BA407" s="261">
        <v>1.489713E-6</v>
      </c>
      <c r="BB407" s="268">
        <v>1.1696266019999997E-2</v>
      </c>
      <c r="BC407" s="268">
        <f t="shared" si="216"/>
        <v>1.2736654565249025E-4</v>
      </c>
      <c r="BD407" s="269" t="str">
        <f ca="1">IF(BV!H407="","",INT(NOW()-BV!H407))</f>
        <v/>
      </c>
      <c r="BE407" s="312">
        <f t="shared" si="217"/>
        <v>819.31083110049667</v>
      </c>
      <c r="BF407" s="11" t="str">
        <f ca="1">BV!G407</f>
        <v/>
      </c>
      <c r="BG407" s="11" t="str">
        <f ca="1">BV!O407</f>
        <v/>
      </c>
      <c r="BH407" s="11" t="str">
        <f ca="1">BV!W407</f>
        <v/>
      </c>
      <c r="BI407" s="11" t="str">
        <f ca="1">BV!AE407</f>
        <v/>
      </c>
      <c r="BJ407" s="11" t="str">
        <f ca="1">BV!AM407</f>
        <v/>
      </c>
      <c r="BK407" s="11" t="str">
        <f ca="1">BV!AU407</f>
        <v/>
      </c>
      <c r="BL407" s="11" t="str">
        <f ca="1">BV!BC407</f>
        <v/>
      </c>
      <c r="BM407" s="11" t="str">
        <f ca="1">BV!BK407</f>
        <v/>
      </c>
      <c r="BN407" s="11" t="str">
        <f ca="1">BV!BS407</f>
        <v/>
      </c>
      <c r="BO407" s="11" t="str">
        <f ca="1">BV!CA407</f>
        <v/>
      </c>
      <c r="BP407" s="433">
        <v>265</v>
      </c>
      <c r="BQ407" s="11" t="str">
        <f ca="1">IFERROR(YEAR(OFFSET(BV!$H407,,(COLUMN()-69)*8)),"")</f>
        <v/>
      </c>
      <c r="BR407" s="11" t="str">
        <f ca="1">IFERROR(YEAR(OFFSET(BV!$H407,,(COLUMN()-69)*8)),"")</f>
        <v/>
      </c>
      <c r="BS407" s="11" t="str">
        <f ca="1">IFERROR(YEAR(OFFSET(BV!$H407,,(COLUMN()-69)*8)),"")</f>
        <v/>
      </c>
      <c r="BT407" s="11" t="str">
        <f ca="1">IFERROR(YEAR(OFFSET(BV!$H407,,(COLUMN()-69)*8)),"")</f>
        <v/>
      </c>
      <c r="BU407" s="11" t="str">
        <f ca="1">IFERROR(YEAR(OFFSET(BV!$H407,,(COLUMN()-69)*8)),"")</f>
        <v/>
      </c>
      <c r="BV407" s="11" t="str">
        <f ca="1">IFERROR(YEAR(OFFSET(BV!$H407,,(COLUMN()-69)*8)),"")</f>
        <v/>
      </c>
      <c r="BW407" s="11" t="str">
        <f ca="1">IFERROR(YEAR(OFFSET(BV!$H407,,(COLUMN()-69)*8)),"")</f>
        <v/>
      </c>
      <c r="BX407" s="11" t="str">
        <f ca="1">IFERROR(YEAR(OFFSET(BV!$H407,,(COLUMN()-69)*8)),"")</f>
        <v/>
      </c>
      <c r="BY407" s="11" t="str">
        <f ca="1">IFERROR(YEAR(OFFSET(BV!$H407,,(COLUMN()-69)*8)),"")</f>
        <v/>
      </c>
      <c r="BZ407" s="11" t="str">
        <f ca="1">IFERROR(YEAR(OFFSET(BV!$H407,,(COLUMN()-69)*8)),"")</f>
        <v/>
      </c>
    </row>
    <row r="408" spans="1:78" x14ac:dyDescent="0.25">
      <c r="A408" s="433">
        <v>266</v>
      </c>
      <c r="B408" s="11" t="str">
        <f ca="1">BV!D408</f>
        <v/>
      </c>
      <c r="C408" s="11" t="str">
        <f ca="1">BV!L408</f>
        <v/>
      </c>
      <c r="D408" s="11" t="str">
        <f ca="1">BV!T408</f>
        <v/>
      </c>
      <c r="E408" s="11" t="str">
        <f ca="1">BV!AB408</f>
        <v/>
      </c>
      <c r="F408" s="11" t="str">
        <f ca="1">BV!AJ408</f>
        <v/>
      </c>
      <c r="G408" s="11" t="str">
        <f ca="1">BV!AR408</f>
        <v/>
      </c>
      <c r="H408" s="11" t="str">
        <f ca="1">BV!AZ408</f>
        <v/>
      </c>
      <c r="I408" s="11" t="str">
        <f ca="1">BV!BH408</f>
        <v/>
      </c>
      <c r="J408" s="11" t="str">
        <f ca="1">BV!BP408</f>
        <v/>
      </c>
      <c r="K408" s="11" t="str">
        <f ca="1">BV!BX408</f>
        <v/>
      </c>
      <c r="L408" s="308" t="s">
        <v>105</v>
      </c>
      <c r="M408" s="261">
        <v>1.2277229999999999E-6</v>
      </c>
      <c r="N408" s="309" t="str">
        <f t="shared" ca="1" si="214"/>
        <v/>
      </c>
      <c r="O408" s="24" t="s">
        <v>29</v>
      </c>
      <c r="P408" s="84">
        <f ca="1">OFFSET($BD$332,COLUMN()-16,)</f>
        <v>97</v>
      </c>
      <c r="Q408" s="84">
        <f t="shared" ref="Q408:Y408" ca="1" si="252">OFFSET($BD$332,COLUMN()-16,)</f>
        <v>201</v>
      </c>
      <c r="R408" s="84">
        <f t="shared" ca="1" si="252"/>
        <v>224</v>
      </c>
      <c r="S408" s="84">
        <f t="shared" ca="1" si="252"/>
        <v>383</v>
      </c>
      <c r="T408" s="84">
        <f t="shared" ca="1" si="252"/>
        <v>121</v>
      </c>
      <c r="U408" s="84">
        <f t="shared" ca="1" si="252"/>
        <v>269</v>
      </c>
      <c r="V408" s="84">
        <f t="shared" ca="1" si="252"/>
        <v>177</v>
      </c>
      <c r="W408" s="84">
        <f t="shared" ca="1" si="252"/>
        <v>116</v>
      </c>
      <c r="X408" s="84">
        <f t="shared" ca="1" si="252"/>
        <v>91</v>
      </c>
      <c r="Y408" s="84">
        <f t="shared" ca="1" si="252"/>
        <v>244</v>
      </c>
      <c r="Z408" s="9">
        <f t="shared" ca="1" si="236"/>
        <v>192.3</v>
      </c>
      <c r="AA408" s="347"/>
      <c r="AB408" s="347"/>
      <c r="AC408" s="347"/>
      <c r="AD408" s="347"/>
      <c r="AE408" s="347"/>
      <c r="AF408" s="347"/>
      <c r="AG408" s="315"/>
      <c r="AH408" s="315"/>
      <c r="AI408" s="315"/>
      <c r="AJ408" s="315"/>
      <c r="AK408" s="315"/>
      <c r="AL408" s="315"/>
      <c r="AM408" s="315"/>
      <c r="AN408" s="433">
        <v>266</v>
      </c>
      <c r="AO408" s="11" t="str">
        <f ca="1">BV!C408</f>
        <v/>
      </c>
      <c r="AP408" s="11" t="str">
        <f ca="1">BV!K408</f>
        <v/>
      </c>
      <c r="AQ408" s="11" t="str">
        <f ca="1">BV!S408</f>
        <v/>
      </c>
      <c r="AR408" s="11" t="str">
        <f ca="1">BV!AA408</f>
        <v/>
      </c>
      <c r="AS408" s="11" t="str">
        <f ca="1">BV!AI408</f>
        <v/>
      </c>
      <c r="AT408" s="11" t="str">
        <f ca="1">BV!AQ408</f>
        <v/>
      </c>
      <c r="AU408" s="11" t="str">
        <f ca="1">BV!AY408</f>
        <v/>
      </c>
      <c r="AV408" s="11" t="str">
        <f ca="1">BV!BG408</f>
        <v/>
      </c>
      <c r="AW408" s="11" t="str">
        <f ca="1">BV!BO408</f>
        <v/>
      </c>
      <c r="AX408" s="11" t="str">
        <f ca="1">BV!BW408</f>
        <v/>
      </c>
      <c r="AY408" s="308" t="s">
        <v>105</v>
      </c>
      <c r="AZ408" s="311">
        <f t="shared" si="246"/>
        <v>5.910899608065793</v>
      </c>
      <c r="BA408" s="261">
        <v>1.2277229999999999E-6</v>
      </c>
      <c r="BB408" s="268">
        <v>1.1696266019999997E-2</v>
      </c>
      <c r="BC408" s="268">
        <f t="shared" si="216"/>
        <v>1.0496708931727942E-4</v>
      </c>
      <c r="BD408" s="269" t="str">
        <f ca="1">IF(BV!H408="","",INT(NOW()-BV!H408))</f>
        <v/>
      </c>
      <c r="BE408" s="312">
        <f t="shared" si="217"/>
        <v>902.50538943137701</v>
      </c>
      <c r="BF408" s="11" t="str">
        <f ca="1">BV!G408</f>
        <v/>
      </c>
      <c r="BG408" s="11" t="str">
        <f ca="1">BV!O408</f>
        <v/>
      </c>
      <c r="BH408" s="11" t="str">
        <f ca="1">BV!W408</f>
        <v/>
      </c>
      <c r="BI408" s="11" t="str">
        <f ca="1">BV!AE408</f>
        <v/>
      </c>
      <c r="BJ408" s="11" t="str">
        <f ca="1">BV!AM408</f>
        <v/>
      </c>
      <c r="BK408" s="11" t="str">
        <f ca="1">BV!AU408</f>
        <v/>
      </c>
      <c r="BL408" s="11" t="str">
        <f ca="1">BV!BC408</f>
        <v/>
      </c>
      <c r="BM408" s="11" t="str">
        <f ca="1">BV!BK408</f>
        <v/>
      </c>
      <c r="BN408" s="11" t="str">
        <f ca="1">BV!BS408</f>
        <v/>
      </c>
      <c r="BO408" s="11" t="str">
        <f ca="1">BV!CA408</f>
        <v/>
      </c>
      <c r="BP408" s="433">
        <v>266</v>
      </c>
      <c r="BQ408" s="11" t="str">
        <f ca="1">IFERROR(YEAR(OFFSET(BV!$H408,,(COLUMN()-69)*8)),"")</f>
        <v/>
      </c>
      <c r="BR408" s="11" t="str">
        <f ca="1">IFERROR(YEAR(OFFSET(BV!$H408,,(COLUMN()-69)*8)),"")</f>
        <v/>
      </c>
      <c r="BS408" s="11" t="str">
        <f ca="1">IFERROR(YEAR(OFFSET(BV!$H408,,(COLUMN()-69)*8)),"")</f>
        <v/>
      </c>
      <c r="BT408" s="11" t="str">
        <f ca="1">IFERROR(YEAR(OFFSET(BV!$H408,,(COLUMN()-69)*8)),"")</f>
        <v/>
      </c>
      <c r="BU408" s="11" t="str">
        <f ca="1">IFERROR(YEAR(OFFSET(BV!$H408,,(COLUMN()-69)*8)),"")</f>
        <v/>
      </c>
      <c r="BV408" s="11" t="str">
        <f ca="1">IFERROR(YEAR(OFFSET(BV!$H408,,(COLUMN()-69)*8)),"")</f>
        <v/>
      </c>
      <c r="BW408" s="11" t="str">
        <f ca="1">IFERROR(YEAR(OFFSET(BV!$H408,,(COLUMN()-69)*8)),"")</f>
        <v/>
      </c>
      <c r="BX408" s="11" t="str">
        <f ca="1">IFERROR(YEAR(OFFSET(BV!$H408,,(COLUMN()-69)*8)),"")</f>
        <v/>
      </c>
      <c r="BY408" s="11" t="str">
        <f ca="1">IFERROR(YEAR(OFFSET(BV!$H408,,(COLUMN()-69)*8)),"")</f>
        <v/>
      </c>
      <c r="BZ408" s="11" t="str">
        <f ca="1">IFERROR(YEAR(OFFSET(BV!$H408,,(COLUMN()-69)*8)),"")</f>
        <v/>
      </c>
    </row>
    <row r="409" spans="1:78" x14ac:dyDescent="0.25">
      <c r="A409" s="433">
        <v>267</v>
      </c>
      <c r="B409" s="11" t="str">
        <f ca="1">BV!D409</f>
        <v/>
      </c>
      <c r="C409" s="11" t="str">
        <f ca="1">BV!L409</f>
        <v/>
      </c>
      <c r="D409" s="11" t="str">
        <f ca="1">BV!T409</f>
        <v/>
      </c>
      <c r="E409" s="11" t="str">
        <f ca="1">BV!AB409</f>
        <v/>
      </c>
      <c r="F409" s="11" t="str">
        <f ca="1">BV!AJ409</f>
        <v/>
      </c>
      <c r="G409" s="11" t="str">
        <f ca="1">BV!AR409</f>
        <v/>
      </c>
      <c r="H409" s="11" t="str">
        <f ca="1">BV!AZ409</f>
        <v/>
      </c>
      <c r="I409" s="11" t="str">
        <f ca="1">BV!BH409</f>
        <v/>
      </c>
      <c r="J409" s="11" t="str">
        <f ca="1">BV!BP409</f>
        <v/>
      </c>
      <c r="K409" s="11" t="str">
        <f ca="1">BV!BX409</f>
        <v/>
      </c>
      <c r="L409" s="308" t="s">
        <v>105</v>
      </c>
      <c r="M409" s="261">
        <v>1.0105399999999999E-6</v>
      </c>
      <c r="N409" s="309" t="str">
        <f t="shared" ca="1" si="214"/>
        <v/>
      </c>
      <c r="O409" s="24" t="s">
        <v>30</v>
      </c>
      <c r="P409" s="84">
        <f ca="1">OFFSET($BD$342,COLUMN()-16,)</f>
        <v>84</v>
      </c>
      <c r="Q409" s="84">
        <f t="shared" ref="Q409:Y409" ca="1" si="253">OFFSET($BD$342,COLUMN()-16,)</f>
        <v>116</v>
      </c>
      <c r="R409" s="84">
        <f t="shared" ca="1" si="253"/>
        <v>90</v>
      </c>
      <c r="S409" s="84">
        <f t="shared" ca="1" si="253"/>
        <v>152</v>
      </c>
      <c r="T409" s="84">
        <f t="shared" ca="1" si="253"/>
        <v>277</v>
      </c>
      <c r="U409" s="84">
        <f t="shared" ca="1" si="253"/>
        <v>235</v>
      </c>
      <c r="V409" s="84">
        <f t="shared" ca="1" si="253"/>
        <v>39</v>
      </c>
      <c r="W409" s="84">
        <f t="shared" ca="1" si="253"/>
        <v>119</v>
      </c>
      <c r="X409" s="84">
        <f t="shared" ca="1" si="253"/>
        <v>269</v>
      </c>
      <c r="Y409" s="84">
        <f t="shared" ca="1" si="253"/>
        <v>326</v>
      </c>
      <c r="Z409" s="9">
        <f t="shared" ca="1" si="236"/>
        <v>170.7</v>
      </c>
      <c r="AA409" s="347"/>
      <c r="AB409" s="347"/>
      <c r="AC409" s="347"/>
      <c r="AD409" s="347"/>
      <c r="AE409" s="347"/>
      <c r="AF409" s="347"/>
      <c r="AG409" s="315"/>
      <c r="AH409" s="315"/>
      <c r="AI409" s="315"/>
      <c r="AJ409" s="315"/>
      <c r="AK409" s="315"/>
      <c r="AL409" s="315"/>
      <c r="AM409" s="315"/>
      <c r="AN409" s="433">
        <v>267</v>
      </c>
      <c r="AO409" s="11" t="str">
        <f ca="1">BV!C409</f>
        <v/>
      </c>
      <c r="AP409" s="11" t="str">
        <f ca="1">BV!K409</f>
        <v/>
      </c>
      <c r="AQ409" s="11" t="str">
        <f ca="1">BV!S409</f>
        <v/>
      </c>
      <c r="AR409" s="11" t="str">
        <f ca="1">BV!AA409</f>
        <v/>
      </c>
      <c r="AS409" s="11" t="str">
        <f ca="1">BV!AI409</f>
        <v/>
      </c>
      <c r="AT409" s="11" t="str">
        <f ca="1">BV!AQ409</f>
        <v/>
      </c>
      <c r="AU409" s="11" t="str">
        <f ca="1">BV!AY409</f>
        <v/>
      </c>
      <c r="AV409" s="11" t="str">
        <f ca="1">BV!BG409</f>
        <v/>
      </c>
      <c r="AW409" s="11" t="str">
        <f ca="1">BV!BO409</f>
        <v/>
      </c>
      <c r="AX409" s="11" t="str">
        <f ca="1">BV!BW409</f>
        <v/>
      </c>
      <c r="AY409" s="308" t="s">
        <v>105</v>
      </c>
      <c r="AZ409" s="311">
        <f t="shared" si="246"/>
        <v>5.9954464912179892</v>
      </c>
      <c r="BA409" s="261">
        <v>1.0105399999999999E-6</v>
      </c>
      <c r="BB409" s="268">
        <v>1.1696266019999997E-2</v>
      </c>
      <c r="BC409" s="268">
        <f t="shared" si="216"/>
        <v>8.63985137027518E-5</v>
      </c>
      <c r="BD409" s="269" t="str">
        <f ca="1">IF(BV!H409="","",INT(NOW()-BV!H409))</f>
        <v/>
      </c>
      <c r="BE409" s="312">
        <f t="shared" si="217"/>
        <v>994.77129678492372</v>
      </c>
      <c r="BF409" s="11" t="str">
        <f ca="1">BV!G409</f>
        <v/>
      </c>
      <c r="BG409" s="11" t="str">
        <f ca="1">BV!O409</f>
        <v/>
      </c>
      <c r="BH409" s="11" t="str">
        <f ca="1">BV!W409</f>
        <v/>
      </c>
      <c r="BI409" s="11" t="str">
        <f ca="1">BV!AE409</f>
        <v/>
      </c>
      <c r="BJ409" s="11" t="str">
        <f ca="1">BV!AM409</f>
        <v/>
      </c>
      <c r="BK409" s="11" t="str">
        <f ca="1">BV!AU409</f>
        <v/>
      </c>
      <c r="BL409" s="11" t="str">
        <f ca="1">BV!BC409</f>
        <v/>
      </c>
      <c r="BM409" s="11" t="str">
        <f ca="1">BV!BK409</f>
        <v/>
      </c>
      <c r="BN409" s="11" t="str">
        <f ca="1">BV!BS409</f>
        <v/>
      </c>
      <c r="BO409" s="11" t="str">
        <f ca="1">BV!CA409</f>
        <v/>
      </c>
      <c r="BP409" s="433">
        <v>267</v>
      </c>
      <c r="BQ409" s="11" t="str">
        <f ca="1">IFERROR(YEAR(OFFSET(BV!$H409,,(COLUMN()-69)*8)),"")</f>
        <v/>
      </c>
      <c r="BR409" s="11" t="str">
        <f ca="1">IFERROR(YEAR(OFFSET(BV!$H409,,(COLUMN()-69)*8)),"")</f>
        <v/>
      </c>
      <c r="BS409" s="11" t="str">
        <f ca="1">IFERROR(YEAR(OFFSET(BV!$H409,,(COLUMN()-69)*8)),"")</f>
        <v/>
      </c>
      <c r="BT409" s="11" t="str">
        <f ca="1">IFERROR(YEAR(OFFSET(BV!$H409,,(COLUMN()-69)*8)),"")</f>
        <v/>
      </c>
      <c r="BU409" s="11" t="str">
        <f ca="1">IFERROR(YEAR(OFFSET(BV!$H409,,(COLUMN()-69)*8)),"")</f>
        <v/>
      </c>
      <c r="BV409" s="11" t="str">
        <f ca="1">IFERROR(YEAR(OFFSET(BV!$H409,,(COLUMN()-69)*8)),"")</f>
        <v/>
      </c>
      <c r="BW409" s="11" t="str">
        <f ca="1">IFERROR(YEAR(OFFSET(BV!$H409,,(COLUMN()-69)*8)),"")</f>
        <v/>
      </c>
      <c r="BX409" s="11" t="str">
        <f ca="1">IFERROR(YEAR(OFFSET(BV!$H409,,(COLUMN()-69)*8)),"")</f>
        <v/>
      </c>
      <c r="BY409" s="11" t="str">
        <f ca="1">IFERROR(YEAR(OFFSET(BV!$H409,,(COLUMN()-69)*8)),"")</f>
        <v/>
      </c>
      <c r="BZ409" s="11" t="str">
        <f ca="1">IFERROR(YEAR(OFFSET(BV!$H409,,(COLUMN()-69)*8)),"")</f>
        <v/>
      </c>
    </row>
    <row r="410" spans="1:78" x14ac:dyDescent="0.25">
      <c r="A410" s="433">
        <v>268</v>
      </c>
      <c r="B410" s="11" t="str">
        <f ca="1">BV!D410</f>
        <v/>
      </c>
      <c r="C410" s="11" t="str">
        <f ca="1">BV!L410</f>
        <v/>
      </c>
      <c r="D410" s="11" t="str">
        <f ca="1">BV!T410</f>
        <v/>
      </c>
      <c r="E410" s="11" t="str">
        <f ca="1">BV!AB410</f>
        <v/>
      </c>
      <c r="F410" s="11" t="str">
        <f ca="1">BV!AJ410</f>
        <v/>
      </c>
      <c r="G410" s="11" t="str">
        <f ca="1">BV!AR410</f>
        <v/>
      </c>
      <c r="H410" s="11" t="str">
        <f ca="1">BV!AZ410</f>
        <v/>
      </c>
      <c r="I410" s="11" t="str">
        <f ca="1">BV!BH410</f>
        <v/>
      </c>
      <c r="J410" s="11" t="str">
        <f ca="1">BV!BP410</f>
        <v/>
      </c>
      <c r="K410" s="11" t="str">
        <f ca="1">BV!BX410</f>
        <v/>
      </c>
      <c r="L410" s="27" t="s">
        <v>104</v>
      </c>
      <c r="M410" s="261">
        <v>8.2869000000000004E-7</v>
      </c>
      <c r="N410" s="313" t="str">
        <f t="shared" ca="1" si="214"/>
        <v/>
      </c>
      <c r="O410" s="24" t="s">
        <v>31</v>
      </c>
      <c r="P410" s="84">
        <f ca="1">OFFSET($BD$352,COLUMN()-16,)</f>
        <v>246</v>
      </c>
      <c r="Q410" s="84">
        <f t="shared" ref="Q410:Y410" ca="1" si="254">OFFSET($BD$352,COLUMN()-16,)</f>
        <v>123</v>
      </c>
      <c r="R410" s="84">
        <f t="shared" ca="1" si="254"/>
        <v>407</v>
      </c>
      <c r="S410" s="84">
        <f t="shared" ca="1" si="254"/>
        <v>245</v>
      </c>
      <c r="T410" s="84">
        <f t="shared" ca="1" si="254"/>
        <v>269</v>
      </c>
      <c r="U410" s="84">
        <f t="shared" ca="1" si="254"/>
        <v>353</v>
      </c>
      <c r="V410" s="84">
        <f t="shared" ca="1" si="254"/>
        <v>288</v>
      </c>
      <c r="W410" s="84">
        <f t="shared" ca="1" si="254"/>
        <v>373</v>
      </c>
      <c r="X410" s="84">
        <f t="shared" ca="1" si="254"/>
        <v>105</v>
      </c>
      <c r="Y410" s="84">
        <f t="shared" ca="1" si="254"/>
        <v>369</v>
      </c>
      <c r="Z410" s="9">
        <f t="shared" ca="1" si="236"/>
        <v>277.8</v>
      </c>
      <c r="AA410" s="347"/>
      <c r="AB410" s="347"/>
      <c r="AC410" s="347"/>
      <c r="AD410" s="347"/>
      <c r="AE410" s="347"/>
      <c r="AF410" s="347"/>
      <c r="AG410" s="315"/>
      <c r="AH410" s="315"/>
      <c r="AI410" s="315"/>
      <c r="AJ410" s="315"/>
      <c r="AK410" s="315"/>
      <c r="AL410" s="315"/>
      <c r="AM410" s="315"/>
      <c r="AN410" s="433">
        <v>268</v>
      </c>
      <c r="AO410" s="11" t="str">
        <f ca="1">BV!C410</f>
        <v/>
      </c>
      <c r="AP410" s="11" t="str">
        <f ca="1">BV!K410</f>
        <v/>
      </c>
      <c r="AQ410" s="11" t="str">
        <f ca="1">BV!S410</f>
        <v/>
      </c>
      <c r="AR410" s="11" t="str">
        <f ca="1">BV!AA410</f>
        <v/>
      </c>
      <c r="AS410" s="11" t="str">
        <f ca="1">BV!AI410</f>
        <v/>
      </c>
      <c r="AT410" s="11" t="str">
        <f ca="1">BV!AQ410</f>
        <v/>
      </c>
      <c r="AU410" s="11" t="str">
        <f ca="1">BV!AY410</f>
        <v/>
      </c>
      <c r="AV410" s="11" t="str">
        <f ca="1">BV!BG410</f>
        <v/>
      </c>
      <c r="AW410" s="11" t="str">
        <f ca="1">BV!BO410</f>
        <v/>
      </c>
      <c r="AX410" s="11" t="str">
        <f ca="1">BV!BW410</f>
        <v/>
      </c>
      <c r="AY410" s="27" t="s">
        <v>104</v>
      </c>
      <c r="AZ410" s="23">
        <f t="shared" si="246"/>
        <v>6.0816079018598383</v>
      </c>
      <c r="BA410" s="261">
        <v>8.2869000000000004E-7</v>
      </c>
      <c r="BB410" s="268">
        <v>1.1696266019999997E-2</v>
      </c>
      <c r="BC410" s="268">
        <f t="shared" si="216"/>
        <v>7.0850816712186948E-5</v>
      </c>
      <c r="BD410" s="269" t="str">
        <f ca="1">IF(BV!H410="","",INT(NOW()-BV!H410))</f>
        <v/>
      </c>
      <c r="BE410" s="314">
        <f t="shared" si="217"/>
        <v>1098.509838543964</v>
      </c>
      <c r="BF410" s="11" t="str">
        <f ca="1">BV!G410</f>
        <v/>
      </c>
      <c r="BG410" s="11" t="str">
        <f ca="1">BV!O410</f>
        <v/>
      </c>
      <c r="BH410" s="11" t="str">
        <f ca="1">BV!W410</f>
        <v/>
      </c>
      <c r="BI410" s="11" t="str">
        <f ca="1">BV!AE410</f>
        <v/>
      </c>
      <c r="BJ410" s="11" t="str">
        <f ca="1">BV!AM410</f>
        <v/>
      </c>
      <c r="BK410" s="11" t="str">
        <f ca="1">BV!AU410</f>
        <v/>
      </c>
      <c r="BL410" s="11" t="str">
        <f ca="1">BV!BC410</f>
        <v/>
      </c>
      <c r="BM410" s="11" t="str">
        <f ca="1">BV!BK410</f>
        <v/>
      </c>
      <c r="BN410" s="11" t="str">
        <f ca="1">BV!BS410</f>
        <v/>
      </c>
      <c r="BO410" s="11" t="str">
        <f ca="1">BV!CA410</f>
        <v/>
      </c>
      <c r="BP410" s="433">
        <v>268</v>
      </c>
      <c r="BQ410" s="11" t="str">
        <f ca="1">IFERROR(YEAR(OFFSET(BV!$H410,,(COLUMN()-69)*8)),"")</f>
        <v/>
      </c>
      <c r="BR410" s="11" t="str">
        <f ca="1">IFERROR(YEAR(OFFSET(BV!$H410,,(COLUMN()-69)*8)),"")</f>
        <v/>
      </c>
      <c r="BS410" s="11" t="str">
        <f ca="1">IFERROR(YEAR(OFFSET(BV!$H410,,(COLUMN()-69)*8)),"")</f>
        <v/>
      </c>
      <c r="BT410" s="11" t="str">
        <f ca="1">IFERROR(YEAR(OFFSET(BV!$H410,,(COLUMN()-69)*8)),"")</f>
        <v/>
      </c>
      <c r="BU410" s="11" t="str">
        <f ca="1">IFERROR(YEAR(OFFSET(BV!$H410,,(COLUMN()-69)*8)),"")</f>
        <v/>
      </c>
      <c r="BV410" s="11" t="str">
        <f ca="1">IFERROR(YEAR(OFFSET(BV!$H410,,(COLUMN()-69)*8)),"")</f>
        <v/>
      </c>
      <c r="BW410" s="11" t="str">
        <f ca="1">IFERROR(YEAR(OFFSET(BV!$H410,,(COLUMN()-69)*8)),"")</f>
        <v/>
      </c>
      <c r="BX410" s="11" t="str">
        <f ca="1">IFERROR(YEAR(OFFSET(BV!$H410,,(COLUMN()-69)*8)),"")</f>
        <v/>
      </c>
      <c r="BY410" s="11" t="str">
        <f ca="1">IFERROR(YEAR(OFFSET(BV!$H410,,(COLUMN()-69)*8)),"")</f>
        <v/>
      </c>
      <c r="BZ410" s="11" t="str">
        <f ca="1">IFERROR(YEAR(OFFSET(BV!$H410,,(COLUMN()-69)*8)),"")</f>
        <v/>
      </c>
    </row>
    <row r="411" spans="1:78" x14ac:dyDescent="0.25">
      <c r="A411" s="433">
        <v>269</v>
      </c>
      <c r="B411" s="11" t="str">
        <f ca="1">BV!D411</f>
        <v/>
      </c>
      <c r="C411" s="11" t="str">
        <f ca="1">BV!L411</f>
        <v/>
      </c>
      <c r="D411" s="11" t="str">
        <f ca="1">BV!T411</f>
        <v/>
      </c>
      <c r="E411" s="11" t="str">
        <f ca="1">BV!AB411</f>
        <v/>
      </c>
      <c r="F411" s="11" t="str">
        <f ca="1">BV!AJ411</f>
        <v/>
      </c>
      <c r="G411" s="11" t="str">
        <f ca="1">BV!AR411</f>
        <v/>
      </c>
      <c r="H411" s="11" t="str">
        <f ca="1">BV!AZ411</f>
        <v/>
      </c>
      <c r="I411" s="11" t="str">
        <f ca="1">BV!BH411</f>
        <v/>
      </c>
      <c r="J411" s="11" t="str">
        <f ca="1">BV!BP411</f>
        <v/>
      </c>
      <c r="K411" s="11" t="str">
        <f ca="1">BV!BX411</f>
        <v/>
      </c>
      <c r="L411" s="27" t="s">
        <v>104</v>
      </c>
      <c r="M411" s="261">
        <v>6.7858700000000001E-7</v>
      </c>
      <c r="N411" s="313" t="str">
        <f t="shared" ca="1" si="214"/>
        <v/>
      </c>
      <c r="O411" s="540"/>
      <c r="P411" s="540" t="str">
        <f>O25</f>
        <v>初级</v>
      </c>
      <c r="Q411" s="540" t="str">
        <f>O26</f>
        <v>中级</v>
      </c>
      <c r="R411" s="540" t="str">
        <f>O27</f>
        <v>高级</v>
      </c>
      <c r="S411" s="568"/>
      <c r="T411" s="540" t="str">
        <f>O25</f>
        <v>初级</v>
      </c>
      <c r="U411" s="540" t="str">
        <f>O26</f>
        <v>中级</v>
      </c>
      <c r="V411" s="540" t="str">
        <f>O27</f>
        <v>高级</v>
      </c>
      <c r="W411" s="347"/>
      <c r="X411" s="347"/>
      <c r="Y411" s="347"/>
      <c r="Z411" s="347"/>
      <c r="AA411" s="347"/>
      <c r="AB411" s="347"/>
      <c r="AC411" s="347"/>
      <c r="AD411" s="347"/>
      <c r="AE411" s="347"/>
      <c r="AF411" s="347"/>
      <c r="AG411" s="315"/>
      <c r="AH411" s="315"/>
      <c r="AI411" s="315"/>
      <c r="AJ411" s="347"/>
      <c r="AL411" s="315"/>
      <c r="AM411" s="315"/>
      <c r="AN411" s="433">
        <v>269</v>
      </c>
      <c r="AO411" s="11" t="str">
        <f ca="1">BV!C411</f>
        <v/>
      </c>
      <c r="AP411" s="11" t="str">
        <f ca="1">BV!K411</f>
        <v/>
      </c>
      <c r="AQ411" s="11" t="str">
        <f ca="1">BV!S411</f>
        <v/>
      </c>
      <c r="AR411" s="11" t="str">
        <f ca="1">BV!AA411</f>
        <v/>
      </c>
      <c r="AS411" s="11" t="str">
        <f ca="1">BV!AI411</f>
        <v/>
      </c>
      <c r="AT411" s="11" t="str">
        <f ca="1">BV!AQ411</f>
        <v/>
      </c>
      <c r="AU411" s="11" t="str">
        <f ca="1">BV!AY411</f>
        <v/>
      </c>
      <c r="AV411" s="11" t="str">
        <f ca="1">BV!BG411</f>
        <v/>
      </c>
      <c r="AW411" s="11" t="str">
        <f ca="1">BV!BO411</f>
        <v/>
      </c>
      <c r="AX411" s="11" t="str">
        <f ca="1">BV!BW411</f>
        <v/>
      </c>
      <c r="AY411" s="27" t="s">
        <v>104</v>
      </c>
      <c r="AZ411" s="23">
        <f t="shared" si="246"/>
        <v>6.1683944645882551</v>
      </c>
      <c r="BA411" s="261">
        <v>6.7858700000000001E-7</v>
      </c>
      <c r="BB411" s="268">
        <v>1.1696266019999997E-2</v>
      </c>
      <c r="BC411" s="268">
        <f t="shared" si="216"/>
        <v>5.8017404771715356E-5</v>
      </c>
      <c r="BD411" s="269" t="str">
        <f ca="1">IF(BV!H411="","",INT(NOW()-BV!H411))</f>
        <v/>
      </c>
      <c r="BE411" s="314">
        <f t="shared" si="217"/>
        <v>1213.940029049128</v>
      </c>
      <c r="BF411" s="11" t="str">
        <f ca="1">BV!G411</f>
        <v/>
      </c>
      <c r="BG411" s="11" t="str">
        <f ca="1">BV!O411</f>
        <v/>
      </c>
      <c r="BH411" s="11" t="str">
        <f ca="1">BV!W411</f>
        <v/>
      </c>
      <c r="BI411" s="11" t="str">
        <f ca="1">BV!AE411</f>
        <v/>
      </c>
      <c r="BJ411" s="11" t="str">
        <f ca="1">BV!AM411</f>
        <v/>
      </c>
      <c r="BK411" s="11" t="str">
        <f ca="1">BV!AU411</f>
        <v/>
      </c>
      <c r="BL411" s="11" t="str">
        <f ca="1">BV!BC411</f>
        <v/>
      </c>
      <c r="BM411" s="11" t="str">
        <f ca="1">BV!BK411</f>
        <v/>
      </c>
      <c r="BN411" s="11" t="str">
        <f ca="1">BV!BS411</f>
        <v/>
      </c>
      <c r="BO411" s="11" t="str">
        <f ca="1">BV!CA411</f>
        <v/>
      </c>
      <c r="BP411" s="433">
        <v>269</v>
      </c>
      <c r="BQ411" s="11" t="str">
        <f ca="1">IFERROR(YEAR(OFFSET(BV!$H411,,(COLUMN()-69)*8)),"")</f>
        <v/>
      </c>
      <c r="BR411" s="11" t="str">
        <f ca="1">IFERROR(YEAR(OFFSET(BV!$H411,,(COLUMN()-69)*8)),"")</f>
        <v/>
      </c>
      <c r="BS411" s="11" t="str">
        <f ca="1">IFERROR(YEAR(OFFSET(BV!$H411,,(COLUMN()-69)*8)),"")</f>
        <v/>
      </c>
      <c r="BT411" s="11" t="str">
        <f ca="1">IFERROR(YEAR(OFFSET(BV!$H411,,(COLUMN()-69)*8)),"")</f>
        <v/>
      </c>
      <c r="BU411" s="11" t="str">
        <f ca="1">IFERROR(YEAR(OFFSET(BV!$H411,,(COLUMN()-69)*8)),"")</f>
        <v/>
      </c>
      <c r="BV411" s="11" t="str">
        <f ca="1">IFERROR(YEAR(OFFSET(BV!$H411,,(COLUMN()-69)*8)),"")</f>
        <v/>
      </c>
      <c r="BW411" s="11" t="str">
        <f ca="1">IFERROR(YEAR(OFFSET(BV!$H411,,(COLUMN()-69)*8)),"")</f>
        <v/>
      </c>
      <c r="BX411" s="11" t="str">
        <f ca="1">IFERROR(YEAR(OFFSET(BV!$H411,,(COLUMN()-69)*8)),"")</f>
        <v/>
      </c>
      <c r="BY411" s="11" t="str">
        <f ca="1">IFERROR(YEAR(OFFSET(BV!$H411,,(COLUMN()-69)*8)),"")</f>
        <v/>
      </c>
      <c r="BZ411" s="11" t="str">
        <f ca="1">IFERROR(YEAR(OFFSET(BV!$H411,,(COLUMN()-69)*8)),"")</f>
        <v/>
      </c>
    </row>
    <row r="412" spans="1:78" x14ac:dyDescent="0.25">
      <c r="A412" s="433">
        <v>270</v>
      </c>
      <c r="B412" s="11" t="str">
        <f ca="1">BV!D412</f>
        <v/>
      </c>
      <c r="C412" s="11" t="str">
        <f ca="1">BV!L412</f>
        <v/>
      </c>
      <c r="D412" s="11" t="str">
        <f ca="1">BV!T412</f>
        <v/>
      </c>
      <c r="E412" s="11" t="str">
        <f ca="1">BV!AB412</f>
        <v/>
      </c>
      <c r="F412" s="11" t="str">
        <f ca="1">BV!AJ412</f>
        <v/>
      </c>
      <c r="G412" s="11" t="str">
        <f ca="1">BV!AR412</f>
        <v/>
      </c>
      <c r="H412" s="11" t="str">
        <f ca="1">BV!AZ412</f>
        <v/>
      </c>
      <c r="I412" s="11" t="str">
        <f ca="1">BV!BH412</f>
        <v/>
      </c>
      <c r="J412" s="11" t="str">
        <f ca="1">BV!BP412</f>
        <v/>
      </c>
      <c r="K412" s="11" t="str">
        <f ca="1">BV!BX412</f>
        <v/>
      </c>
      <c r="L412" s="27" t="s">
        <v>104</v>
      </c>
      <c r="M412" s="261">
        <v>5.5530500000000003E-7</v>
      </c>
      <c r="N412" s="313" t="str">
        <f t="shared" ca="1" si="214"/>
        <v/>
      </c>
      <c r="O412" s="540" t="s">
        <v>594</v>
      </c>
      <c r="P412" s="41"/>
      <c r="Q412" s="41"/>
      <c r="R412" s="41"/>
      <c r="S412" s="541" t="s">
        <v>643</v>
      </c>
      <c r="T412" s="569"/>
      <c r="U412" s="570"/>
      <c r="V412" s="571"/>
      <c r="W412" s="347"/>
      <c r="X412" s="347"/>
      <c r="Y412" s="347"/>
      <c r="Z412" s="347"/>
      <c r="AA412" s="347"/>
      <c r="AB412" s="347"/>
      <c r="AC412" s="347"/>
      <c r="AD412" s="347"/>
      <c r="AE412" s="347"/>
      <c r="AF412" s="347"/>
      <c r="AG412" s="347"/>
      <c r="AH412" s="347"/>
      <c r="AI412" s="347"/>
      <c r="AJ412" s="347"/>
      <c r="AL412" s="315"/>
      <c r="AM412" s="315"/>
      <c r="AN412" s="433">
        <v>270</v>
      </c>
      <c r="AO412" s="11" t="str">
        <f ca="1">BV!C412</f>
        <v/>
      </c>
      <c r="AP412" s="11" t="str">
        <f ca="1">BV!K412</f>
        <v/>
      </c>
      <c r="AQ412" s="11" t="str">
        <f ca="1">BV!S412</f>
        <v/>
      </c>
      <c r="AR412" s="11" t="str">
        <f ca="1">BV!AA412</f>
        <v/>
      </c>
      <c r="AS412" s="11" t="str">
        <f ca="1">BV!AI412</f>
        <v/>
      </c>
      <c r="AT412" s="11" t="str">
        <f ca="1">BV!AQ412</f>
        <v/>
      </c>
      <c r="AU412" s="11" t="str">
        <f ca="1">BV!AY412</f>
        <v/>
      </c>
      <c r="AV412" s="11" t="str">
        <f ca="1">BV!BG412</f>
        <v/>
      </c>
      <c r="AW412" s="11" t="str">
        <f ca="1">BV!BO412</f>
        <v/>
      </c>
      <c r="AX412" s="11" t="str">
        <f ca="1">BV!BW412</f>
        <v/>
      </c>
      <c r="AY412" s="27" t="s">
        <v>104</v>
      </c>
      <c r="AZ412" s="23">
        <f t="shared" si="246"/>
        <v>6.2554684160958951</v>
      </c>
      <c r="BA412" s="261">
        <v>5.5530500000000003E-7</v>
      </c>
      <c r="BB412" s="268">
        <v>1.1696266019999997E-2</v>
      </c>
      <c r="BC412" s="268">
        <f t="shared" si="216"/>
        <v>4.7477117829780702E-5</v>
      </c>
      <c r="BD412" s="269" t="str">
        <f ca="1">IF(BV!H412="","",INT(NOW()-BV!H412))</f>
        <v/>
      </c>
      <c r="BE412" s="314">
        <f t="shared" si="217"/>
        <v>1341.9434288698594</v>
      </c>
      <c r="BF412" s="11" t="str">
        <f ca="1">BV!G412</f>
        <v/>
      </c>
      <c r="BG412" s="11" t="str">
        <f ca="1">BV!O412</f>
        <v/>
      </c>
      <c r="BH412" s="11" t="str">
        <f ca="1">BV!W412</f>
        <v/>
      </c>
      <c r="BI412" s="11" t="str">
        <f ca="1">BV!AE412</f>
        <v/>
      </c>
      <c r="BJ412" s="11" t="str">
        <f ca="1">BV!AM412</f>
        <v/>
      </c>
      <c r="BK412" s="11" t="str">
        <f ca="1">BV!AU412</f>
        <v/>
      </c>
      <c r="BL412" s="11" t="str">
        <f ca="1">BV!BC412</f>
        <v/>
      </c>
      <c r="BM412" s="11" t="str">
        <f ca="1">BV!BK412</f>
        <v/>
      </c>
      <c r="BN412" s="11" t="str">
        <f ca="1">BV!BS412</f>
        <v/>
      </c>
      <c r="BO412" s="11" t="str">
        <f ca="1">BV!CA412</f>
        <v/>
      </c>
      <c r="BP412" s="433">
        <v>270</v>
      </c>
      <c r="BQ412" s="11" t="str">
        <f ca="1">IFERROR(YEAR(OFFSET(BV!$H412,,(COLUMN()-69)*8)),"")</f>
        <v/>
      </c>
      <c r="BR412" s="11" t="str">
        <f ca="1">IFERROR(YEAR(OFFSET(BV!$H412,,(COLUMN()-69)*8)),"")</f>
        <v/>
      </c>
      <c r="BS412" s="11" t="str">
        <f ca="1">IFERROR(YEAR(OFFSET(BV!$H412,,(COLUMN()-69)*8)),"")</f>
        <v/>
      </c>
      <c r="BT412" s="11" t="str">
        <f ca="1">IFERROR(YEAR(OFFSET(BV!$H412,,(COLUMN()-69)*8)),"")</f>
        <v/>
      </c>
      <c r="BU412" s="11" t="str">
        <f ca="1">IFERROR(YEAR(OFFSET(BV!$H412,,(COLUMN()-69)*8)),"")</f>
        <v/>
      </c>
      <c r="BV412" s="11" t="str">
        <f ca="1">IFERROR(YEAR(OFFSET(BV!$H412,,(COLUMN()-69)*8)),"")</f>
        <v/>
      </c>
      <c r="BW412" s="11" t="str">
        <f ca="1">IFERROR(YEAR(OFFSET(BV!$H412,,(COLUMN()-69)*8)),"")</f>
        <v/>
      </c>
      <c r="BX412" s="11" t="str">
        <f ca="1">IFERROR(YEAR(OFFSET(BV!$H412,,(COLUMN()-69)*8)),"")</f>
        <v/>
      </c>
      <c r="BY412" s="11" t="str">
        <f ca="1">IFERROR(YEAR(OFFSET(BV!$H412,,(COLUMN()-69)*8)),"")</f>
        <v/>
      </c>
      <c r="BZ412" s="11" t="str">
        <f ca="1">IFERROR(YEAR(OFFSET(BV!$H412,,(COLUMN()-69)*8)),"")</f>
        <v/>
      </c>
    </row>
    <row r="413" spans="1:78" x14ac:dyDescent="0.25">
      <c r="A413" s="433">
        <v>271</v>
      </c>
      <c r="B413" s="11" t="str">
        <f ca="1">BV!D413</f>
        <v/>
      </c>
      <c r="C413" s="11" t="str">
        <f ca="1">BV!L413</f>
        <v/>
      </c>
      <c r="D413" s="11" t="str">
        <f ca="1">BV!T413</f>
        <v/>
      </c>
      <c r="E413" s="11" t="str">
        <f ca="1">BV!AB413</f>
        <v/>
      </c>
      <c r="F413" s="11" t="str">
        <f ca="1">BV!AJ413</f>
        <v/>
      </c>
      <c r="G413" s="11" t="str">
        <f ca="1">BV!AR413</f>
        <v/>
      </c>
      <c r="H413" s="11" t="str">
        <f ca="1">BV!AZ413</f>
        <v/>
      </c>
      <c r="I413" s="11" t="str">
        <f ca="1">BV!BH413</f>
        <v/>
      </c>
      <c r="J413" s="11" t="str">
        <f ca="1">BV!BP413</f>
        <v/>
      </c>
      <c r="K413" s="11" t="str">
        <f ca="1">BV!BX413</f>
        <v/>
      </c>
      <c r="L413" s="27" t="s">
        <v>104</v>
      </c>
      <c r="M413" s="261">
        <v>4.5361699999999998E-7</v>
      </c>
      <c r="N413" s="313" t="str">
        <f t="shared" ca="1" si="214"/>
        <v/>
      </c>
      <c r="O413" s="540" t="s">
        <v>595</v>
      </c>
      <c r="P413" s="41"/>
      <c r="Q413" s="41"/>
      <c r="R413" s="41"/>
      <c r="S413" s="590" t="str">
        <f>IF(Arb!$AJ$28=1,"Ratio","阶段达成概率")</f>
        <v>阶段达成概率</v>
      </c>
      <c r="T413" s="590"/>
      <c r="U413" s="590"/>
      <c r="V413" s="590"/>
      <c r="W413" s="347"/>
      <c r="X413" s="347"/>
      <c r="Y413" s="347"/>
      <c r="Z413" s="347"/>
      <c r="AA413" s="347"/>
      <c r="AB413" s="347"/>
      <c r="AC413" s="347"/>
      <c r="AD413" s="347"/>
      <c r="AE413" s="347"/>
      <c r="AF413" s="347"/>
      <c r="AG413" s="347"/>
      <c r="AH413" s="347"/>
      <c r="AI413" s="347"/>
      <c r="AJ413" s="347"/>
      <c r="AL413" s="315"/>
      <c r="AM413" s="315"/>
      <c r="AN413" s="433">
        <v>271</v>
      </c>
      <c r="AO413" s="11" t="str">
        <f ca="1">BV!C413</f>
        <v/>
      </c>
      <c r="AP413" s="11" t="str">
        <f ca="1">BV!K413</f>
        <v/>
      </c>
      <c r="AQ413" s="11" t="str">
        <f ca="1">BV!S413</f>
        <v/>
      </c>
      <c r="AR413" s="11" t="str">
        <f ca="1">BV!AA413</f>
        <v/>
      </c>
      <c r="AS413" s="11" t="str">
        <f ca="1">BV!AI413</f>
        <v/>
      </c>
      <c r="AT413" s="11" t="str">
        <f ca="1">BV!AQ413</f>
        <v/>
      </c>
      <c r="AU413" s="11" t="str">
        <f ca="1">BV!AY413</f>
        <v/>
      </c>
      <c r="AV413" s="11" t="str">
        <f ca="1">BV!BG413</f>
        <v/>
      </c>
      <c r="AW413" s="11" t="str">
        <f ca="1">BV!BO413</f>
        <v/>
      </c>
      <c r="AX413" s="11" t="str">
        <f ca="1">BV!BW413</f>
        <v/>
      </c>
      <c r="AY413" s="27" t="s">
        <v>104</v>
      </c>
      <c r="AZ413" s="23">
        <f t="shared" si="246"/>
        <v>6.343310677951469</v>
      </c>
      <c r="BA413" s="261">
        <v>4.5361699999999998E-7</v>
      </c>
      <c r="BB413" s="268">
        <v>1.1696266019999997E-2</v>
      </c>
      <c r="BC413" s="268">
        <f t="shared" si="216"/>
        <v>3.8783061126032775E-5</v>
      </c>
      <c r="BD413" s="269" t="str">
        <f ca="1">IF(BV!H413="","",INT(NOW()-BV!H413))</f>
        <v/>
      </c>
      <c r="BE413" s="314">
        <f t="shared" si="217"/>
        <v>1484.7568547272688</v>
      </c>
      <c r="BF413" s="11" t="str">
        <f ca="1">BV!G413</f>
        <v/>
      </c>
      <c r="BG413" s="11" t="str">
        <f ca="1">BV!O413</f>
        <v/>
      </c>
      <c r="BH413" s="11" t="str">
        <f ca="1">BV!W413</f>
        <v/>
      </c>
      <c r="BI413" s="11" t="str">
        <f ca="1">BV!AE413</f>
        <v/>
      </c>
      <c r="BJ413" s="11" t="str">
        <f ca="1">BV!AM413</f>
        <v/>
      </c>
      <c r="BK413" s="11" t="str">
        <f ca="1">BV!AU413</f>
        <v/>
      </c>
      <c r="BL413" s="11" t="str">
        <f ca="1">BV!BC413</f>
        <v/>
      </c>
      <c r="BM413" s="11" t="str">
        <f ca="1">BV!BK413</f>
        <v/>
      </c>
      <c r="BN413" s="11" t="str">
        <f ca="1">BV!BS413</f>
        <v/>
      </c>
      <c r="BO413" s="11" t="str">
        <f ca="1">BV!CA413</f>
        <v/>
      </c>
      <c r="BP413" s="433">
        <v>271</v>
      </c>
      <c r="BQ413" s="11" t="str">
        <f ca="1">IFERROR(YEAR(OFFSET(BV!$H413,,(COLUMN()-69)*8)),"")</f>
        <v/>
      </c>
      <c r="BR413" s="11" t="str">
        <f ca="1">IFERROR(YEAR(OFFSET(BV!$H413,,(COLUMN()-69)*8)),"")</f>
        <v/>
      </c>
      <c r="BS413" s="11" t="str">
        <f ca="1">IFERROR(YEAR(OFFSET(BV!$H413,,(COLUMN()-69)*8)),"")</f>
        <v/>
      </c>
      <c r="BT413" s="11" t="str">
        <f ca="1">IFERROR(YEAR(OFFSET(BV!$H413,,(COLUMN()-69)*8)),"")</f>
        <v/>
      </c>
      <c r="BU413" s="11" t="str">
        <f ca="1">IFERROR(YEAR(OFFSET(BV!$H413,,(COLUMN()-69)*8)),"")</f>
        <v/>
      </c>
      <c r="BV413" s="11" t="str">
        <f ca="1">IFERROR(YEAR(OFFSET(BV!$H413,,(COLUMN()-69)*8)),"")</f>
        <v/>
      </c>
      <c r="BW413" s="11" t="str">
        <f ca="1">IFERROR(YEAR(OFFSET(BV!$H413,,(COLUMN()-69)*8)),"")</f>
        <v/>
      </c>
      <c r="BX413" s="11" t="str">
        <f ca="1">IFERROR(YEAR(OFFSET(BV!$H413,,(COLUMN()-69)*8)),"")</f>
        <v/>
      </c>
      <c r="BY413" s="11" t="str">
        <f ca="1">IFERROR(YEAR(OFFSET(BV!$H413,,(COLUMN()-69)*8)),"")</f>
        <v/>
      </c>
      <c r="BZ413" s="11" t="str">
        <f ca="1">IFERROR(YEAR(OFFSET(BV!$H413,,(COLUMN()-69)*8)),"")</f>
        <v/>
      </c>
    </row>
    <row r="414" spans="1:78" x14ac:dyDescent="0.25">
      <c r="A414" s="433">
        <v>272</v>
      </c>
      <c r="B414" s="11" t="str">
        <f ca="1">BV!D414</f>
        <v/>
      </c>
      <c r="C414" s="11" t="str">
        <f ca="1">BV!L414</f>
        <v/>
      </c>
      <c r="D414" s="11" t="str">
        <f ca="1">BV!T414</f>
        <v/>
      </c>
      <c r="E414" s="11" t="str">
        <f ca="1">BV!AB414</f>
        <v/>
      </c>
      <c r="F414" s="11" t="str">
        <f ca="1">BV!AJ414</f>
        <v/>
      </c>
      <c r="G414" s="11" t="str">
        <f ca="1">BV!AR414</f>
        <v/>
      </c>
      <c r="H414" s="11" t="str">
        <f ca="1">BV!AZ414</f>
        <v/>
      </c>
      <c r="I414" s="11" t="str">
        <f ca="1">BV!BH414</f>
        <v/>
      </c>
      <c r="J414" s="11" t="str">
        <f ca="1">BV!BP414</f>
        <v/>
      </c>
      <c r="K414" s="11" t="str">
        <f ca="1">BV!BX414</f>
        <v/>
      </c>
      <c r="L414" s="27" t="s">
        <v>104</v>
      </c>
      <c r="M414" s="261">
        <v>3.6974799999999998E-7</v>
      </c>
      <c r="N414" s="313" t="str">
        <f t="shared" ca="1" si="214"/>
        <v/>
      </c>
      <c r="O414" s="539" t="s">
        <v>596</v>
      </c>
      <c r="P414" s="310"/>
      <c r="Q414" s="310"/>
      <c r="R414" s="310"/>
      <c r="S414" s="539" t="s">
        <v>596</v>
      </c>
      <c r="T414" s="566" t="e">
        <f>P414/P415</f>
        <v>#DIV/0!</v>
      </c>
      <c r="U414" s="566" t="e">
        <f t="shared" ref="U414:V414" si="255">Q414/Q415</f>
        <v>#DIV/0!</v>
      </c>
      <c r="V414" s="566" t="e">
        <f t="shared" si="255"/>
        <v>#DIV/0!</v>
      </c>
      <c r="W414" s="347"/>
      <c r="X414" s="347"/>
      <c r="Y414" s="347"/>
      <c r="Z414" s="347"/>
      <c r="AA414" s="347"/>
      <c r="AB414" s="347"/>
      <c r="AC414" s="347"/>
      <c r="AD414" s="347"/>
      <c r="AE414" s="347"/>
      <c r="AF414" s="347"/>
      <c r="AG414" s="347"/>
      <c r="AH414" s="347"/>
      <c r="AI414" s="347"/>
      <c r="AJ414" s="347"/>
      <c r="AL414" s="315"/>
      <c r="AM414" s="315"/>
      <c r="AN414" s="433">
        <v>272</v>
      </c>
      <c r="AO414" s="11" t="str">
        <f ca="1">BV!C414</f>
        <v/>
      </c>
      <c r="AP414" s="11" t="str">
        <f ca="1">BV!K414</f>
        <v/>
      </c>
      <c r="AQ414" s="11" t="str">
        <f ca="1">BV!S414</f>
        <v/>
      </c>
      <c r="AR414" s="11" t="str">
        <f ca="1">BV!AA414</f>
        <v/>
      </c>
      <c r="AS414" s="11" t="str">
        <f ca="1">BV!AI414</f>
        <v/>
      </c>
      <c r="AT414" s="11" t="str">
        <f ca="1">BV!AQ414</f>
        <v/>
      </c>
      <c r="AU414" s="11" t="str">
        <f ca="1">BV!AY414</f>
        <v/>
      </c>
      <c r="AV414" s="11" t="str">
        <f ca="1">BV!BG414</f>
        <v/>
      </c>
      <c r="AW414" s="11" t="str">
        <f ca="1">BV!BO414</f>
        <v/>
      </c>
      <c r="AX414" s="11" t="str">
        <f ca="1">BV!BW414</f>
        <v/>
      </c>
      <c r="AY414" s="27" t="s">
        <v>104</v>
      </c>
      <c r="AZ414" s="23">
        <f t="shared" si="246"/>
        <v>6.4320941664624103</v>
      </c>
      <c r="BA414" s="261">
        <v>3.6974799999999998E-7</v>
      </c>
      <c r="BB414" s="268">
        <v>1.1696266019999997E-2</v>
      </c>
      <c r="BC414" s="268">
        <f t="shared" si="216"/>
        <v>3.1612482083405972E-5</v>
      </c>
      <c r="BD414" s="269" t="str">
        <f ca="1">IF(BV!H414="","",INT(NOW()-BV!H414))</f>
        <v/>
      </c>
      <c r="BE414" s="314">
        <f t="shared" si="217"/>
        <v>1644.5500043909733</v>
      </c>
      <c r="BF414" s="11" t="str">
        <f ca="1">BV!G414</f>
        <v/>
      </c>
      <c r="BG414" s="11" t="str">
        <f ca="1">BV!O414</f>
        <v/>
      </c>
      <c r="BH414" s="11" t="str">
        <f ca="1">BV!W414</f>
        <v/>
      </c>
      <c r="BI414" s="11" t="str">
        <f ca="1">BV!AE414</f>
        <v/>
      </c>
      <c r="BJ414" s="11" t="str">
        <f ca="1">BV!AM414</f>
        <v/>
      </c>
      <c r="BK414" s="11" t="str">
        <f ca="1">BV!AU414</f>
        <v/>
      </c>
      <c r="BL414" s="11" t="str">
        <f ca="1">BV!BC414</f>
        <v/>
      </c>
      <c r="BM414" s="11" t="str">
        <f ca="1">BV!BK414</f>
        <v/>
      </c>
      <c r="BN414" s="11" t="str">
        <f ca="1">BV!BS414</f>
        <v/>
      </c>
      <c r="BO414" s="11" t="str">
        <f ca="1">BV!CA414</f>
        <v/>
      </c>
      <c r="BP414" s="433">
        <v>272</v>
      </c>
      <c r="BQ414" s="11" t="str">
        <f ca="1">IFERROR(YEAR(OFFSET(BV!$H414,,(COLUMN()-69)*8)),"")</f>
        <v/>
      </c>
      <c r="BR414" s="11" t="str">
        <f ca="1">IFERROR(YEAR(OFFSET(BV!$H414,,(COLUMN()-69)*8)),"")</f>
        <v/>
      </c>
      <c r="BS414" s="11" t="str">
        <f ca="1">IFERROR(YEAR(OFFSET(BV!$H414,,(COLUMN()-69)*8)),"")</f>
        <v/>
      </c>
      <c r="BT414" s="11" t="str">
        <f ca="1">IFERROR(YEAR(OFFSET(BV!$H414,,(COLUMN()-69)*8)),"")</f>
        <v/>
      </c>
      <c r="BU414" s="11" t="str">
        <f ca="1">IFERROR(YEAR(OFFSET(BV!$H414,,(COLUMN()-69)*8)),"")</f>
        <v/>
      </c>
      <c r="BV414" s="11" t="str">
        <f ca="1">IFERROR(YEAR(OFFSET(BV!$H414,,(COLUMN()-69)*8)),"")</f>
        <v/>
      </c>
      <c r="BW414" s="11" t="str">
        <f ca="1">IFERROR(YEAR(OFFSET(BV!$H414,,(COLUMN()-69)*8)),"")</f>
        <v/>
      </c>
      <c r="BX414" s="11" t="str">
        <f ca="1">IFERROR(YEAR(OFFSET(BV!$H414,,(COLUMN()-69)*8)),"")</f>
        <v/>
      </c>
      <c r="BY414" s="11" t="str">
        <f ca="1">IFERROR(YEAR(OFFSET(BV!$H414,,(COLUMN()-69)*8)),"")</f>
        <v/>
      </c>
      <c r="BZ414" s="11" t="str">
        <f ca="1">IFERROR(YEAR(OFFSET(BV!$H414,,(COLUMN()-69)*8)),"")</f>
        <v/>
      </c>
    </row>
    <row r="415" spans="1:78" x14ac:dyDescent="0.25">
      <c r="A415" s="433">
        <v>273</v>
      </c>
      <c r="B415" s="11" t="str">
        <f ca="1">BV!D415</f>
        <v/>
      </c>
      <c r="C415" s="11" t="str">
        <f ca="1">BV!L415</f>
        <v/>
      </c>
      <c r="D415" s="11" t="str">
        <f ca="1">BV!T415</f>
        <v/>
      </c>
      <c r="E415" s="11" t="str">
        <f ca="1">BV!AB415</f>
        <v/>
      </c>
      <c r="F415" s="11" t="str">
        <f ca="1">BV!AJ415</f>
        <v/>
      </c>
      <c r="G415" s="11" t="str">
        <f ca="1">BV!AR415</f>
        <v/>
      </c>
      <c r="H415" s="11" t="str">
        <f ca="1">BV!AZ415</f>
        <v/>
      </c>
      <c r="I415" s="11" t="str">
        <f ca="1">BV!BH415</f>
        <v/>
      </c>
      <c r="J415" s="11" t="str">
        <f ca="1">BV!BP415</f>
        <v/>
      </c>
      <c r="K415" s="11" t="str">
        <f ca="1">BV!BX415</f>
        <v/>
      </c>
      <c r="L415" s="27" t="s">
        <v>104</v>
      </c>
      <c r="M415" s="261">
        <v>2.99897E-7</v>
      </c>
      <c r="N415" s="313" t="str">
        <f t="shared" ca="1" si="214"/>
        <v/>
      </c>
      <c r="O415" s="537" t="s">
        <v>597</v>
      </c>
      <c r="P415" s="518"/>
      <c r="Q415" s="518"/>
      <c r="R415" s="518"/>
      <c r="S415" s="537" t="s">
        <v>597</v>
      </c>
      <c r="T415" s="567"/>
      <c r="U415" s="567"/>
      <c r="V415" s="567"/>
      <c r="W415" s="347"/>
      <c r="X415" s="347"/>
      <c r="Y415" s="347"/>
      <c r="Z415" s="347"/>
      <c r="AA415" s="347"/>
      <c r="AB415" s="347"/>
      <c r="AC415" s="347"/>
      <c r="AD415" s="347"/>
      <c r="AE415" s="347"/>
      <c r="AF415" s="347"/>
      <c r="AG415" s="347"/>
      <c r="AH415" s="347"/>
      <c r="AI415" s="347"/>
      <c r="AJ415" s="347"/>
      <c r="AL415" s="315"/>
      <c r="AM415" s="315"/>
      <c r="AN415" s="433">
        <v>273</v>
      </c>
      <c r="AO415" s="11" t="str">
        <f ca="1">BV!C415</f>
        <v/>
      </c>
      <c r="AP415" s="11" t="str">
        <f ca="1">BV!K415</f>
        <v/>
      </c>
      <c r="AQ415" s="11" t="str">
        <f ca="1">BV!S415</f>
        <v/>
      </c>
      <c r="AR415" s="11" t="str">
        <f ca="1">BV!AA415</f>
        <v/>
      </c>
      <c r="AS415" s="11" t="str">
        <f ca="1">BV!AI415</f>
        <v/>
      </c>
      <c r="AT415" s="11" t="str">
        <f ca="1">BV!AQ415</f>
        <v/>
      </c>
      <c r="AU415" s="11" t="str">
        <f ca="1">BV!AY415</f>
        <v/>
      </c>
      <c r="AV415" s="11" t="str">
        <f ca="1">BV!BG415</f>
        <v/>
      </c>
      <c r="AW415" s="11" t="str">
        <f ca="1">BV!BO415</f>
        <v/>
      </c>
      <c r="AX415" s="11" t="str">
        <f ca="1">BV!BW415</f>
        <v/>
      </c>
      <c r="AY415" s="27" t="s">
        <v>104</v>
      </c>
      <c r="AZ415" s="23">
        <f t="shared" si="246"/>
        <v>6.5230278786551521</v>
      </c>
      <c r="BA415" s="261">
        <v>2.99897E-7</v>
      </c>
      <c r="BB415" s="268">
        <v>1.1696266019999997E-2</v>
      </c>
      <c r="BC415" s="268">
        <f t="shared" si="216"/>
        <v>2.5640405193178061E-5</v>
      </c>
      <c r="BD415" s="269" t="str">
        <f ca="1">IF(BV!H415="","",INT(NOW()-BV!H415))</f>
        <v/>
      </c>
      <c r="BE415" s="314">
        <f t="shared" si="217"/>
        <v>1826.0553580980654</v>
      </c>
      <c r="BF415" s="11" t="str">
        <f ca="1">BV!G415</f>
        <v/>
      </c>
      <c r="BG415" s="11" t="str">
        <f ca="1">BV!O415</f>
        <v/>
      </c>
      <c r="BH415" s="11" t="str">
        <f ca="1">BV!W415</f>
        <v/>
      </c>
      <c r="BI415" s="11" t="str">
        <f ca="1">BV!AE415</f>
        <v/>
      </c>
      <c r="BJ415" s="11" t="str">
        <f ca="1">BV!AM415</f>
        <v/>
      </c>
      <c r="BK415" s="11" t="str">
        <f ca="1">BV!AU415</f>
        <v/>
      </c>
      <c r="BL415" s="11" t="str">
        <f ca="1">BV!BC415</f>
        <v/>
      </c>
      <c r="BM415" s="11" t="str">
        <f ca="1">BV!BK415</f>
        <v/>
      </c>
      <c r="BN415" s="11" t="str">
        <f ca="1">BV!BS415</f>
        <v/>
      </c>
      <c r="BO415" s="11" t="str">
        <f ca="1">BV!CA415</f>
        <v/>
      </c>
      <c r="BP415" s="433">
        <v>273</v>
      </c>
      <c r="BQ415" s="11" t="str">
        <f ca="1">IFERROR(YEAR(OFFSET(BV!$H415,,(COLUMN()-69)*8)),"")</f>
        <v/>
      </c>
      <c r="BR415" s="11" t="str">
        <f ca="1">IFERROR(YEAR(OFFSET(BV!$H415,,(COLUMN()-69)*8)),"")</f>
        <v/>
      </c>
      <c r="BS415" s="11" t="str">
        <f ca="1">IFERROR(YEAR(OFFSET(BV!$H415,,(COLUMN()-69)*8)),"")</f>
        <v/>
      </c>
      <c r="BT415" s="11" t="str">
        <f ca="1">IFERROR(YEAR(OFFSET(BV!$H415,,(COLUMN()-69)*8)),"")</f>
        <v/>
      </c>
      <c r="BU415" s="11" t="str">
        <f ca="1">IFERROR(YEAR(OFFSET(BV!$H415,,(COLUMN()-69)*8)),"")</f>
        <v/>
      </c>
      <c r="BV415" s="11" t="str">
        <f ca="1">IFERROR(YEAR(OFFSET(BV!$H415,,(COLUMN()-69)*8)),"")</f>
        <v/>
      </c>
      <c r="BW415" s="11" t="str">
        <f ca="1">IFERROR(YEAR(OFFSET(BV!$H415,,(COLUMN()-69)*8)),"")</f>
        <v/>
      </c>
      <c r="BX415" s="11" t="str">
        <f ca="1">IFERROR(YEAR(OFFSET(BV!$H415,,(COLUMN()-69)*8)),"")</f>
        <v/>
      </c>
      <c r="BY415" s="11" t="str">
        <f ca="1">IFERROR(YEAR(OFFSET(BV!$H415,,(COLUMN()-69)*8)),"")</f>
        <v/>
      </c>
      <c r="BZ415" s="11" t="str">
        <f ca="1">IFERROR(YEAR(OFFSET(BV!$H415,,(COLUMN()-69)*8)),"")</f>
        <v/>
      </c>
    </row>
    <row r="416" spans="1:78" x14ac:dyDescent="0.25">
      <c r="A416" s="433">
        <v>274</v>
      </c>
      <c r="B416" s="11" t="str">
        <f ca="1">BV!D416</f>
        <v/>
      </c>
      <c r="C416" s="11" t="str">
        <f ca="1">BV!L416</f>
        <v/>
      </c>
      <c r="D416" s="11" t="str">
        <f ca="1">BV!T416</f>
        <v/>
      </c>
      <c r="E416" s="11" t="str">
        <f ca="1">BV!AB416</f>
        <v/>
      </c>
      <c r="F416" s="11" t="str">
        <f ca="1">BV!AJ416</f>
        <v/>
      </c>
      <c r="G416" s="11" t="str">
        <f ca="1">BV!AR416</f>
        <v/>
      </c>
      <c r="H416" s="11" t="str">
        <f ca="1">BV!AZ416</f>
        <v/>
      </c>
      <c r="I416" s="11" t="str">
        <f ca="1">BV!BH416</f>
        <v/>
      </c>
      <c r="J416" s="11" t="str">
        <f ca="1">BV!BP416</f>
        <v/>
      </c>
      <c r="K416" s="11" t="str">
        <f ca="1">BV!BX416</f>
        <v/>
      </c>
      <c r="L416" s="27" t="s">
        <v>104</v>
      </c>
      <c r="M416" s="261">
        <v>2.4400200000000002E-7</v>
      </c>
      <c r="N416" s="313" t="str">
        <f t="shared" ca="1" si="214"/>
        <v/>
      </c>
      <c r="O416" s="540" t="s">
        <v>636</v>
      </c>
      <c r="P416" s="41"/>
      <c r="Q416" s="41"/>
      <c r="R416" s="41"/>
      <c r="S416" s="540" t="s">
        <v>636</v>
      </c>
      <c r="T416" s="542" t="e">
        <f>P416/P$415</f>
        <v>#DIV/0!</v>
      </c>
      <c r="U416" s="542" t="e">
        <f t="shared" ref="U416:V416" si="256">Q416/Q$415</f>
        <v>#DIV/0!</v>
      </c>
      <c r="V416" s="542" t="e">
        <f t="shared" si="256"/>
        <v>#DIV/0!</v>
      </c>
      <c r="W416" s="347"/>
      <c r="X416" s="347"/>
      <c r="Y416" s="347"/>
      <c r="Z416" s="347"/>
      <c r="AA416" s="347"/>
      <c r="AB416" s="347"/>
      <c r="AC416" s="347"/>
      <c r="AD416" s="347"/>
      <c r="AE416" s="347"/>
      <c r="AF416" s="347"/>
      <c r="AG416" s="347"/>
      <c r="AH416" s="347"/>
      <c r="AI416" s="347"/>
      <c r="AJ416" s="347"/>
      <c r="AL416" s="315"/>
      <c r="AM416" s="315"/>
      <c r="AN416" s="433">
        <v>274</v>
      </c>
      <c r="AO416" s="11" t="str">
        <f ca="1">BV!C416</f>
        <v/>
      </c>
      <c r="AP416" s="11" t="str">
        <f ca="1">BV!K416</f>
        <v/>
      </c>
      <c r="AQ416" s="11" t="str">
        <f ca="1">BV!S416</f>
        <v/>
      </c>
      <c r="AR416" s="11" t="str">
        <f ca="1">BV!AA416</f>
        <v/>
      </c>
      <c r="AS416" s="11" t="str">
        <f ca="1">BV!AI416</f>
        <v/>
      </c>
      <c r="AT416" s="11" t="str">
        <f ca="1">BV!AQ416</f>
        <v/>
      </c>
      <c r="AU416" s="11" t="str">
        <f ca="1">BV!AY416</f>
        <v/>
      </c>
      <c r="AV416" s="11" t="str">
        <f ca="1">BV!BG416</f>
        <v/>
      </c>
      <c r="AW416" s="11" t="str">
        <f ca="1">BV!BO416</f>
        <v/>
      </c>
      <c r="AX416" s="11" t="str">
        <f ca="1">BV!BW416</f>
        <v/>
      </c>
      <c r="AY416" s="27" t="s">
        <v>104</v>
      </c>
      <c r="AZ416" s="23">
        <f t="shared" si="246"/>
        <v>6.6126066138850241</v>
      </c>
      <c r="BA416" s="261">
        <v>2.4400200000000002E-7</v>
      </c>
      <c r="BB416" s="268">
        <v>1.1696266019999997E-2</v>
      </c>
      <c r="BC416" s="268">
        <f t="shared" si="216"/>
        <v>2.0861529618321735E-5</v>
      </c>
      <c r="BD416" s="269" t="str">
        <f ca="1">IF(BV!H416="","",INT(NOW()-BV!H416))</f>
        <v/>
      </c>
      <c r="BE416" s="314">
        <f t="shared" si="217"/>
        <v>2024.432528609666</v>
      </c>
      <c r="BF416" s="11" t="str">
        <f ca="1">BV!G416</f>
        <v/>
      </c>
      <c r="BG416" s="11" t="str">
        <f ca="1">BV!O416</f>
        <v/>
      </c>
      <c r="BH416" s="11" t="str">
        <f ca="1">BV!W416</f>
        <v/>
      </c>
      <c r="BI416" s="11" t="str">
        <f ca="1">BV!AE416</f>
        <v/>
      </c>
      <c r="BJ416" s="11" t="str">
        <f ca="1">BV!AM416</f>
        <v/>
      </c>
      <c r="BK416" s="11" t="str">
        <f ca="1">BV!AU416</f>
        <v/>
      </c>
      <c r="BL416" s="11" t="str">
        <f ca="1">BV!BC416</f>
        <v/>
      </c>
      <c r="BM416" s="11" t="str">
        <f ca="1">BV!BK416</f>
        <v/>
      </c>
      <c r="BN416" s="11" t="str">
        <f ca="1">BV!BS416</f>
        <v/>
      </c>
      <c r="BO416" s="11" t="str">
        <f ca="1">BV!CA416</f>
        <v/>
      </c>
      <c r="BP416" s="433">
        <v>274</v>
      </c>
      <c r="BQ416" s="11" t="str">
        <f ca="1">IFERROR(YEAR(OFFSET(BV!$H416,,(COLUMN()-69)*8)),"")</f>
        <v/>
      </c>
      <c r="BR416" s="11" t="str">
        <f ca="1">IFERROR(YEAR(OFFSET(BV!$H416,,(COLUMN()-69)*8)),"")</f>
        <v/>
      </c>
      <c r="BS416" s="11" t="str">
        <f ca="1">IFERROR(YEAR(OFFSET(BV!$H416,,(COLUMN()-69)*8)),"")</f>
        <v/>
      </c>
      <c r="BT416" s="11" t="str">
        <f ca="1">IFERROR(YEAR(OFFSET(BV!$H416,,(COLUMN()-69)*8)),"")</f>
        <v/>
      </c>
      <c r="BU416" s="11" t="str">
        <f ca="1">IFERROR(YEAR(OFFSET(BV!$H416,,(COLUMN()-69)*8)),"")</f>
        <v/>
      </c>
      <c r="BV416" s="11" t="str">
        <f ca="1">IFERROR(YEAR(OFFSET(BV!$H416,,(COLUMN()-69)*8)),"")</f>
        <v/>
      </c>
      <c r="BW416" s="11" t="str">
        <f ca="1">IFERROR(YEAR(OFFSET(BV!$H416,,(COLUMN()-69)*8)),"")</f>
        <v/>
      </c>
      <c r="BX416" s="11" t="str">
        <f ca="1">IFERROR(YEAR(OFFSET(BV!$H416,,(COLUMN()-69)*8)),"")</f>
        <v/>
      </c>
      <c r="BY416" s="11" t="str">
        <f ca="1">IFERROR(YEAR(OFFSET(BV!$H416,,(COLUMN()-69)*8)),"")</f>
        <v/>
      </c>
      <c r="BZ416" s="11" t="str">
        <f ca="1">IFERROR(YEAR(OFFSET(BV!$H416,,(COLUMN()-69)*8)),"")</f>
        <v/>
      </c>
    </row>
    <row r="417" spans="1:78" x14ac:dyDescent="0.25">
      <c r="A417" s="433">
        <v>275</v>
      </c>
      <c r="B417" s="11" t="str">
        <f ca="1">BV!D417</f>
        <v/>
      </c>
      <c r="C417" s="11" t="str">
        <f ca="1">BV!L417</f>
        <v/>
      </c>
      <c r="D417" s="11" t="str">
        <f ca="1">BV!T417</f>
        <v/>
      </c>
      <c r="E417" s="11" t="str">
        <f ca="1">BV!AB417</f>
        <v/>
      </c>
      <c r="F417" s="11" t="str">
        <f ca="1">BV!AJ417</f>
        <v/>
      </c>
      <c r="G417" s="11" t="str">
        <f ca="1">BV!AR417</f>
        <v/>
      </c>
      <c r="H417" s="11" t="str">
        <f ca="1">BV!AZ417</f>
        <v/>
      </c>
      <c r="I417" s="11" t="str">
        <f ca="1">BV!BH417</f>
        <v/>
      </c>
      <c r="J417" s="11" t="str">
        <f ca="1">BV!BP417</f>
        <v/>
      </c>
      <c r="K417" s="11" t="str">
        <f ca="1">BV!BX417</f>
        <v/>
      </c>
      <c r="L417" s="27" t="s">
        <v>104</v>
      </c>
      <c r="M417" s="261">
        <v>1.97627E-7</v>
      </c>
      <c r="N417" s="313" t="str">
        <f t="shared" ca="1" si="214"/>
        <v/>
      </c>
      <c r="O417" s="540" t="s">
        <v>637</v>
      </c>
      <c r="P417" s="41"/>
      <c r="Q417" s="41"/>
      <c r="R417" s="41"/>
      <c r="S417" s="540" t="s">
        <v>637</v>
      </c>
      <c r="T417" s="542" t="e">
        <f t="shared" ref="T417:T422" si="257">P417/P$415</f>
        <v>#DIV/0!</v>
      </c>
      <c r="U417" s="542" t="e">
        <f t="shared" ref="U417:U422" si="258">Q417/Q$415</f>
        <v>#DIV/0!</v>
      </c>
      <c r="V417" s="542" t="e">
        <f t="shared" ref="V417:V422" si="259">R417/R$415</f>
        <v>#DIV/0!</v>
      </c>
      <c r="W417" s="347"/>
      <c r="X417" s="347"/>
      <c r="Y417" s="347"/>
      <c r="Z417" s="347"/>
      <c r="AA417" s="347"/>
      <c r="AB417" s="347"/>
      <c r="AC417" s="347"/>
      <c r="AD417" s="347"/>
      <c r="AE417" s="347"/>
      <c r="AF417" s="347"/>
      <c r="AG417" s="347"/>
      <c r="AH417" s="347"/>
      <c r="AI417" s="347"/>
      <c r="AJ417" s="347"/>
      <c r="AL417" s="315"/>
      <c r="AM417" s="315"/>
      <c r="AN417" s="433">
        <v>275</v>
      </c>
      <c r="AO417" s="11" t="str">
        <f ca="1">BV!C417</f>
        <v/>
      </c>
      <c r="AP417" s="11" t="str">
        <f ca="1">BV!K417</f>
        <v/>
      </c>
      <c r="AQ417" s="11" t="str">
        <f ca="1">BV!S417</f>
        <v/>
      </c>
      <c r="AR417" s="11" t="str">
        <f ca="1">BV!AA417</f>
        <v/>
      </c>
      <c r="AS417" s="11" t="str">
        <f ca="1">BV!AI417</f>
        <v/>
      </c>
      <c r="AT417" s="11" t="str">
        <f ca="1">BV!AQ417</f>
        <v/>
      </c>
      <c r="AU417" s="11" t="str">
        <f ca="1">BV!AY417</f>
        <v/>
      </c>
      <c r="AV417" s="11" t="str">
        <f ca="1">BV!BG417</f>
        <v/>
      </c>
      <c r="AW417" s="11" t="str">
        <f ca="1">BV!BO417</f>
        <v/>
      </c>
      <c r="AX417" s="11" t="str">
        <f ca="1">BV!BW417</f>
        <v/>
      </c>
      <c r="AY417" s="27" t="s">
        <v>104</v>
      </c>
      <c r="AZ417" s="23">
        <f t="shared" si="246"/>
        <v>6.7041537219449028</v>
      </c>
      <c r="BA417" s="261">
        <v>1.97627E-7</v>
      </c>
      <c r="BB417" s="268">
        <v>1.1696266019999997E-2</v>
      </c>
      <c r="BC417" s="268">
        <f t="shared" si="216"/>
        <v>1.689658901927062E-5</v>
      </c>
      <c r="BD417" s="269" t="str">
        <f ca="1">IF(BV!H417="","",INT(NOW()-BV!H417))</f>
        <v/>
      </c>
      <c r="BE417" s="314">
        <f t="shared" si="217"/>
        <v>2249.4526763360886</v>
      </c>
      <c r="BF417" s="11" t="str">
        <f ca="1">BV!G417</f>
        <v/>
      </c>
      <c r="BG417" s="11" t="str">
        <f ca="1">BV!O417</f>
        <v/>
      </c>
      <c r="BH417" s="11" t="str">
        <f ca="1">BV!W417</f>
        <v/>
      </c>
      <c r="BI417" s="11" t="str">
        <f ca="1">BV!AE417</f>
        <v/>
      </c>
      <c r="BJ417" s="11" t="str">
        <f ca="1">BV!AM417</f>
        <v/>
      </c>
      <c r="BK417" s="11" t="str">
        <f ca="1">BV!AU417</f>
        <v/>
      </c>
      <c r="BL417" s="11" t="str">
        <f ca="1">BV!BC417</f>
        <v/>
      </c>
      <c r="BM417" s="11" t="str">
        <f ca="1">BV!BK417</f>
        <v/>
      </c>
      <c r="BN417" s="11" t="str">
        <f ca="1">BV!BS417</f>
        <v/>
      </c>
      <c r="BO417" s="11" t="str">
        <f ca="1">BV!CA417</f>
        <v/>
      </c>
      <c r="BP417" s="433">
        <v>275</v>
      </c>
      <c r="BQ417" s="11" t="str">
        <f ca="1">IFERROR(YEAR(OFFSET(BV!$H417,,(COLUMN()-69)*8)),"")</f>
        <v/>
      </c>
      <c r="BR417" s="11" t="str">
        <f ca="1">IFERROR(YEAR(OFFSET(BV!$H417,,(COLUMN()-69)*8)),"")</f>
        <v/>
      </c>
      <c r="BS417" s="11" t="str">
        <f ca="1">IFERROR(YEAR(OFFSET(BV!$H417,,(COLUMN()-69)*8)),"")</f>
        <v/>
      </c>
      <c r="BT417" s="11" t="str">
        <f ca="1">IFERROR(YEAR(OFFSET(BV!$H417,,(COLUMN()-69)*8)),"")</f>
        <v/>
      </c>
      <c r="BU417" s="11" t="str">
        <f ca="1">IFERROR(YEAR(OFFSET(BV!$H417,,(COLUMN()-69)*8)),"")</f>
        <v/>
      </c>
      <c r="BV417" s="11" t="str">
        <f ca="1">IFERROR(YEAR(OFFSET(BV!$H417,,(COLUMN()-69)*8)),"")</f>
        <v/>
      </c>
      <c r="BW417" s="11" t="str">
        <f ca="1">IFERROR(YEAR(OFFSET(BV!$H417,,(COLUMN()-69)*8)),"")</f>
        <v/>
      </c>
      <c r="BX417" s="11" t="str">
        <f ca="1">IFERROR(YEAR(OFFSET(BV!$H417,,(COLUMN()-69)*8)),"")</f>
        <v/>
      </c>
      <c r="BY417" s="11" t="str">
        <f ca="1">IFERROR(YEAR(OFFSET(BV!$H417,,(COLUMN()-69)*8)),"")</f>
        <v/>
      </c>
      <c r="BZ417" s="11" t="str">
        <f ca="1">IFERROR(YEAR(OFFSET(BV!$H417,,(COLUMN()-69)*8)),"")</f>
        <v/>
      </c>
    </row>
    <row r="418" spans="1:78" x14ac:dyDescent="0.25">
      <c r="A418" s="433">
        <v>276</v>
      </c>
      <c r="B418" s="11" t="str">
        <f ca="1">BV!D418</f>
        <v/>
      </c>
      <c r="C418" s="11" t="str">
        <f ca="1">BV!L418</f>
        <v/>
      </c>
      <c r="D418" s="11" t="str">
        <f ca="1">BV!T418</f>
        <v/>
      </c>
      <c r="E418" s="11" t="str">
        <f ca="1">BV!AB418</f>
        <v/>
      </c>
      <c r="F418" s="11" t="str">
        <f ca="1">BV!AJ418</f>
        <v/>
      </c>
      <c r="G418" s="11" t="str">
        <f ca="1">BV!AR418</f>
        <v/>
      </c>
      <c r="H418" s="11" t="str">
        <f ca="1">BV!AZ418</f>
        <v/>
      </c>
      <c r="I418" s="11" t="str">
        <f ca="1">BV!BH418</f>
        <v/>
      </c>
      <c r="J418" s="11" t="str">
        <f ca="1">BV!BP418</f>
        <v/>
      </c>
      <c r="K418" s="11" t="str">
        <f ca="1">BV!BX418</f>
        <v/>
      </c>
      <c r="L418" s="27" t="s">
        <v>104</v>
      </c>
      <c r="M418" s="261">
        <v>1.59413E-7</v>
      </c>
      <c r="N418" s="313" t="str">
        <f t="shared" ca="1" si="214"/>
        <v/>
      </c>
      <c r="O418" s="540" t="s">
        <v>638</v>
      </c>
      <c r="P418" s="41"/>
      <c r="Q418" s="41"/>
      <c r="R418" s="41"/>
      <c r="S418" s="540" t="s">
        <v>638</v>
      </c>
      <c r="T418" s="542" t="e">
        <f t="shared" si="257"/>
        <v>#DIV/0!</v>
      </c>
      <c r="U418" s="542" t="e">
        <f t="shared" si="258"/>
        <v>#DIV/0!</v>
      </c>
      <c r="V418" s="542" t="e">
        <f t="shared" si="259"/>
        <v>#DIV/0!</v>
      </c>
      <c r="W418" s="347"/>
      <c r="X418" s="347"/>
      <c r="Y418" s="347"/>
      <c r="Z418" s="347"/>
      <c r="AA418" s="347"/>
      <c r="AB418" s="347"/>
      <c r="AC418" s="347"/>
      <c r="AD418" s="347"/>
      <c r="AE418" s="347"/>
      <c r="AF418" s="347"/>
      <c r="AG418" s="347"/>
      <c r="AH418" s="347"/>
      <c r="AI418" s="347"/>
      <c r="AJ418" s="347"/>
      <c r="AL418" s="315"/>
      <c r="AM418" s="315"/>
      <c r="AN418" s="433">
        <v>276</v>
      </c>
      <c r="AO418" s="11" t="str">
        <f ca="1">BV!C418</f>
        <v/>
      </c>
      <c r="AP418" s="11" t="str">
        <f ca="1">BV!K418</f>
        <v/>
      </c>
      <c r="AQ418" s="11" t="str">
        <f ca="1">BV!S418</f>
        <v/>
      </c>
      <c r="AR418" s="11" t="str">
        <f ca="1">BV!AA418</f>
        <v/>
      </c>
      <c r="AS418" s="11" t="str">
        <f ca="1">BV!AI418</f>
        <v/>
      </c>
      <c r="AT418" s="11" t="str">
        <f ca="1">BV!AQ418</f>
        <v/>
      </c>
      <c r="AU418" s="11" t="str">
        <f ca="1">BV!AY418</f>
        <v/>
      </c>
      <c r="AV418" s="11" t="str">
        <f ca="1">BV!BG418</f>
        <v/>
      </c>
      <c r="AW418" s="11" t="str">
        <f ca="1">BV!BO418</f>
        <v/>
      </c>
      <c r="AX418" s="11" t="str">
        <f ca="1">BV!BW418</f>
        <v/>
      </c>
      <c r="AY418" s="27" t="s">
        <v>104</v>
      </c>
      <c r="AZ418" s="23">
        <f t="shared" si="246"/>
        <v>6.7974762651353133</v>
      </c>
      <c r="BA418" s="261">
        <v>1.59413E-7</v>
      </c>
      <c r="BB418" s="268">
        <v>1.1696266019999997E-2</v>
      </c>
      <c r="BC418" s="268">
        <f t="shared" si="216"/>
        <v>1.3629392468281091E-5</v>
      </c>
      <c r="BD418" s="269" t="str">
        <f ca="1">IF(BV!H418="","",INT(NOW()-BV!H418))</f>
        <v/>
      </c>
      <c r="BE418" s="314">
        <f t="shared" si="217"/>
        <v>2504.5985946963206</v>
      </c>
      <c r="BF418" s="11" t="str">
        <f ca="1">BV!G418</f>
        <v/>
      </c>
      <c r="BG418" s="11" t="str">
        <f ca="1">BV!O418</f>
        <v/>
      </c>
      <c r="BH418" s="11" t="str">
        <f ca="1">BV!W418</f>
        <v/>
      </c>
      <c r="BI418" s="11" t="str">
        <f ca="1">BV!AE418</f>
        <v/>
      </c>
      <c r="BJ418" s="11" t="str">
        <f ca="1">BV!AM418</f>
        <v/>
      </c>
      <c r="BK418" s="11" t="str">
        <f ca="1">BV!AU418</f>
        <v/>
      </c>
      <c r="BL418" s="11" t="str">
        <f ca="1">BV!BC418</f>
        <v/>
      </c>
      <c r="BM418" s="11" t="str">
        <f ca="1">BV!BK418</f>
        <v/>
      </c>
      <c r="BN418" s="11" t="str">
        <f ca="1">BV!BS418</f>
        <v/>
      </c>
      <c r="BO418" s="11" t="str">
        <f ca="1">BV!CA418</f>
        <v/>
      </c>
      <c r="BP418" s="433">
        <v>276</v>
      </c>
      <c r="BQ418" s="11" t="str">
        <f ca="1">IFERROR(YEAR(OFFSET(BV!$H418,,(COLUMN()-69)*8)),"")</f>
        <v/>
      </c>
      <c r="BR418" s="11" t="str">
        <f ca="1">IFERROR(YEAR(OFFSET(BV!$H418,,(COLUMN()-69)*8)),"")</f>
        <v/>
      </c>
      <c r="BS418" s="11" t="str">
        <f ca="1">IFERROR(YEAR(OFFSET(BV!$H418,,(COLUMN()-69)*8)),"")</f>
        <v/>
      </c>
      <c r="BT418" s="11" t="str">
        <f ca="1">IFERROR(YEAR(OFFSET(BV!$H418,,(COLUMN()-69)*8)),"")</f>
        <v/>
      </c>
      <c r="BU418" s="11" t="str">
        <f ca="1">IFERROR(YEAR(OFFSET(BV!$H418,,(COLUMN()-69)*8)),"")</f>
        <v/>
      </c>
      <c r="BV418" s="11" t="str">
        <f ca="1">IFERROR(YEAR(OFFSET(BV!$H418,,(COLUMN()-69)*8)),"")</f>
        <v/>
      </c>
      <c r="BW418" s="11" t="str">
        <f ca="1">IFERROR(YEAR(OFFSET(BV!$H418,,(COLUMN()-69)*8)),"")</f>
        <v/>
      </c>
      <c r="BX418" s="11" t="str">
        <f ca="1">IFERROR(YEAR(OFFSET(BV!$H418,,(COLUMN()-69)*8)),"")</f>
        <v/>
      </c>
      <c r="BY418" s="11" t="str">
        <f ca="1">IFERROR(YEAR(OFFSET(BV!$H418,,(COLUMN()-69)*8)),"")</f>
        <v/>
      </c>
      <c r="BZ418" s="11" t="str">
        <f ca="1">IFERROR(YEAR(OFFSET(BV!$H418,,(COLUMN()-69)*8)),"")</f>
        <v/>
      </c>
    </row>
    <row r="419" spans="1:78" x14ac:dyDescent="0.25">
      <c r="A419" s="433">
        <v>277</v>
      </c>
      <c r="B419" s="11" t="str">
        <f ca="1">BV!D419</f>
        <v/>
      </c>
      <c r="C419" s="11" t="str">
        <f ca="1">BV!L419</f>
        <v/>
      </c>
      <c r="D419" s="11" t="str">
        <f ca="1">BV!T419</f>
        <v/>
      </c>
      <c r="E419" s="11" t="str">
        <f ca="1">BV!AB419</f>
        <v/>
      </c>
      <c r="F419" s="11" t="str">
        <f ca="1">BV!AJ419</f>
        <v/>
      </c>
      <c r="G419" s="11" t="str">
        <f ca="1">BV!AR419</f>
        <v/>
      </c>
      <c r="H419" s="11" t="str">
        <f ca="1">BV!AZ419</f>
        <v/>
      </c>
      <c r="I419" s="11" t="str">
        <f ca="1">BV!BH419</f>
        <v/>
      </c>
      <c r="J419" s="11" t="str">
        <f ca="1">BV!BP419</f>
        <v/>
      </c>
      <c r="K419" s="11" t="str">
        <f ca="1">BV!BX419</f>
        <v/>
      </c>
      <c r="L419" s="27" t="s">
        <v>104</v>
      </c>
      <c r="M419" s="261">
        <v>1.29044E-7</v>
      </c>
      <c r="N419" s="313" t="str">
        <f t="shared" ca="1" si="214"/>
        <v/>
      </c>
      <c r="O419" s="540" t="s">
        <v>639</v>
      </c>
      <c r="P419" s="41"/>
      <c r="Q419" s="41"/>
      <c r="R419" s="41"/>
      <c r="S419" s="540" t="s">
        <v>598</v>
      </c>
      <c r="T419" s="542" t="e">
        <f t="shared" si="257"/>
        <v>#DIV/0!</v>
      </c>
      <c r="U419" s="542" t="e">
        <f t="shared" si="258"/>
        <v>#DIV/0!</v>
      </c>
      <c r="V419" s="542" t="e">
        <f t="shared" si="259"/>
        <v>#DIV/0!</v>
      </c>
      <c r="W419" s="347"/>
      <c r="X419" s="347"/>
      <c r="Y419" s="347"/>
      <c r="Z419" s="347"/>
      <c r="AA419" s="347"/>
      <c r="AB419" s="347"/>
      <c r="AC419" s="347"/>
      <c r="AD419" s="347"/>
      <c r="AE419" s="347"/>
      <c r="AF419" s="347"/>
      <c r="AG419" s="347"/>
      <c r="AH419" s="347"/>
      <c r="AI419" s="347"/>
      <c r="AJ419" s="347"/>
      <c r="AL419" s="315"/>
      <c r="AM419" s="315"/>
      <c r="AN419" s="433">
        <v>277</v>
      </c>
      <c r="AO419" s="11" t="str">
        <f ca="1">BV!C419</f>
        <v/>
      </c>
      <c r="AP419" s="11" t="str">
        <f ca="1">BV!K419</f>
        <v/>
      </c>
      <c r="AQ419" s="11" t="str">
        <f ca="1">BV!S419</f>
        <v/>
      </c>
      <c r="AR419" s="11" t="str">
        <f ca="1">BV!AA419</f>
        <v/>
      </c>
      <c r="AS419" s="11" t="str">
        <f ca="1">BV!AI419</f>
        <v/>
      </c>
      <c r="AT419" s="11" t="str">
        <f ca="1">BV!AQ419</f>
        <v/>
      </c>
      <c r="AU419" s="11" t="str">
        <f ca="1">BV!AY419</f>
        <v/>
      </c>
      <c r="AV419" s="11" t="str">
        <f ca="1">BV!BG419</f>
        <v/>
      </c>
      <c r="AW419" s="11" t="str">
        <f ca="1">BV!BO419</f>
        <v/>
      </c>
      <c r="AX419" s="11" t="str">
        <f ca="1">BV!BW419</f>
        <v/>
      </c>
      <c r="AY419" s="27" t="s">
        <v>104</v>
      </c>
      <c r="AZ419" s="23">
        <f t="shared" si="246"/>
        <v>6.8892621835065446</v>
      </c>
      <c r="BA419" s="261">
        <v>1.29044E-7</v>
      </c>
      <c r="BB419" s="268">
        <v>1.1696266019999997E-2</v>
      </c>
      <c r="BC419" s="268">
        <f t="shared" si="216"/>
        <v>1.1032922795988188E-5</v>
      </c>
      <c r="BD419" s="269" t="str">
        <f ca="1">IF(BV!H419="","",INT(NOW()-BV!H419))</f>
        <v/>
      </c>
      <c r="BE419" s="314">
        <f t="shared" si="217"/>
        <v>2783.7555234200995</v>
      </c>
      <c r="BF419" s="11" t="str">
        <f ca="1">BV!G419</f>
        <v/>
      </c>
      <c r="BG419" s="11" t="str">
        <f ca="1">BV!O419</f>
        <v/>
      </c>
      <c r="BH419" s="11" t="str">
        <f ca="1">BV!W419</f>
        <v/>
      </c>
      <c r="BI419" s="11" t="str">
        <f ca="1">BV!AE419</f>
        <v/>
      </c>
      <c r="BJ419" s="11" t="str">
        <f ca="1">BV!AM419</f>
        <v/>
      </c>
      <c r="BK419" s="11" t="str">
        <f ca="1">BV!AU419</f>
        <v/>
      </c>
      <c r="BL419" s="11" t="str">
        <f ca="1">BV!BC419</f>
        <v/>
      </c>
      <c r="BM419" s="11" t="str">
        <f ca="1">BV!BK419</f>
        <v/>
      </c>
      <c r="BN419" s="11" t="str">
        <f ca="1">BV!BS419</f>
        <v/>
      </c>
      <c r="BO419" s="11" t="str">
        <f ca="1">BV!CA419</f>
        <v/>
      </c>
      <c r="BP419" s="433">
        <v>277</v>
      </c>
      <c r="BQ419" s="11" t="str">
        <f ca="1">IFERROR(YEAR(OFFSET(BV!$H419,,(COLUMN()-69)*8)),"")</f>
        <v/>
      </c>
      <c r="BR419" s="11" t="str">
        <f ca="1">IFERROR(YEAR(OFFSET(BV!$H419,,(COLUMN()-69)*8)),"")</f>
        <v/>
      </c>
      <c r="BS419" s="11" t="str">
        <f ca="1">IFERROR(YEAR(OFFSET(BV!$H419,,(COLUMN()-69)*8)),"")</f>
        <v/>
      </c>
      <c r="BT419" s="11" t="str">
        <f ca="1">IFERROR(YEAR(OFFSET(BV!$H419,,(COLUMN()-69)*8)),"")</f>
        <v/>
      </c>
      <c r="BU419" s="11" t="str">
        <f ca="1">IFERROR(YEAR(OFFSET(BV!$H419,,(COLUMN()-69)*8)),"")</f>
        <v/>
      </c>
      <c r="BV419" s="11" t="str">
        <f ca="1">IFERROR(YEAR(OFFSET(BV!$H419,,(COLUMN()-69)*8)),"")</f>
        <v/>
      </c>
      <c r="BW419" s="11" t="str">
        <f ca="1">IFERROR(YEAR(OFFSET(BV!$H419,,(COLUMN()-69)*8)),"")</f>
        <v/>
      </c>
      <c r="BX419" s="11" t="str">
        <f ca="1">IFERROR(YEAR(OFFSET(BV!$H419,,(COLUMN()-69)*8)),"")</f>
        <v/>
      </c>
      <c r="BY419" s="11" t="str">
        <f ca="1">IFERROR(YEAR(OFFSET(BV!$H419,,(COLUMN()-69)*8)),"")</f>
        <v/>
      </c>
      <c r="BZ419" s="11" t="str">
        <f ca="1">IFERROR(YEAR(OFFSET(BV!$H419,,(COLUMN()-69)*8)),"")</f>
        <v/>
      </c>
    </row>
    <row r="420" spans="1:78" x14ac:dyDescent="0.25">
      <c r="A420" s="433">
        <v>278</v>
      </c>
      <c r="B420" s="11" t="str">
        <f ca="1">BV!D420</f>
        <v/>
      </c>
      <c r="C420" s="11" t="str">
        <f ca="1">BV!L420</f>
        <v/>
      </c>
      <c r="D420" s="11" t="str">
        <f ca="1">BV!T420</f>
        <v/>
      </c>
      <c r="E420" s="11" t="str">
        <f ca="1">BV!AB420</f>
        <v/>
      </c>
      <c r="F420" s="11" t="str">
        <f ca="1">BV!AJ420</f>
        <v/>
      </c>
      <c r="G420" s="11" t="str">
        <f ca="1">BV!AR420</f>
        <v/>
      </c>
      <c r="H420" s="11" t="str">
        <f ca="1">BV!AZ420</f>
        <v/>
      </c>
      <c r="I420" s="11" t="str">
        <f ca="1">BV!BH420</f>
        <v/>
      </c>
      <c r="J420" s="11" t="str">
        <f ca="1">BV!BP420</f>
        <v/>
      </c>
      <c r="K420" s="11" t="str">
        <f ca="1">BV!BX420</f>
        <v/>
      </c>
      <c r="L420" s="27" t="s">
        <v>104</v>
      </c>
      <c r="M420" s="261">
        <v>1.03516E-7</v>
      </c>
      <c r="N420" s="313" t="str">
        <f t="shared" ca="1" si="214"/>
        <v/>
      </c>
      <c r="O420" s="540" t="s">
        <v>640</v>
      </c>
      <c r="P420" s="41"/>
      <c r="Q420" s="41"/>
      <c r="R420" s="41"/>
      <c r="S420" s="540" t="s">
        <v>640</v>
      </c>
      <c r="T420" s="542" t="e">
        <f t="shared" si="257"/>
        <v>#DIV/0!</v>
      </c>
      <c r="U420" s="542" t="e">
        <f t="shared" si="258"/>
        <v>#DIV/0!</v>
      </c>
      <c r="V420" s="542" t="e">
        <f t="shared" si="259"/>
        <v>#DIV/0!</v>
      </c>
      <c r="W420" s="347"/>
      <c r="X420" s="347"/>
      <c r="Y420" s="347"/>
      <c r="Z420" s="347"/>
      <c r="AA420" s="347"/>
      <c r="AB420" s="347"/>
      <c r="AC420" s="347"/>
      <c r="AD420" s="347"/>
      <c r="AE420" s="347"/>
      <c r="AF420" s="347"/>
      <c r="AG420" s="347"/>
      <c r="AH420" s="347"/>
      <c r="AI420" s="347"/>
      <c r="AJ420" s="347"/>
      <c r="AL420" s="315"/>
      <c r="AM420" s="315"/>
      <c r="AN420" s="433">
        <v>278</v>
      </c>
      <c r="AO420" s="11" t="str">
        <f ca="1">BV!C420</f>
        <v/>
      </c>
      <c r="AP420" s="11" t="str">
        <f ca="1">BV!K420</f>
        <v/>
      </c>
      <c r="AQ420" s="11" t="str">
        <f ca="1">BV!S420</f>
        <v/>
      </c>
      <c r="AR420" s="11" t="str">
        <f ca="1">BV!AA420</f>
        <v/>
      </c>
      <c r="AS420" s="11" t="str">
        <f ca="1">BV!AI420</f>
        <v/>
      </c>
      <c r="AT420" s="11" t="str">
        <f ca="1">BV!AQ420</f>
        <v/>
      </c>
      <c r="AU420" s="11" t="str">
        <f ca="1">BV!AY420</f>
        <v/>
      </c>
      <c r="AV420" s="11" t="str">
        <f ca="1">BV!BG420</f>
        <v/>
      </c>
      <c r="AW420" s="11" t="str">
        <f ca="1">BV!BO420</f>
        <v/>
      </c>
      <c r="AX420" s="11" t="str">
        <f ca="1">BV!BW420</f>
        <v/>
      </c>
      <c r="AY420" s="27" t="s">
        <v>104</v>
      </c>
      <c r="AZ420" s="23">
        <f t="shared" si="246"/>
        <v>6.9849925180846739</v>
      </c>
      <c r="BA420" s="261">
        <v>1.03516E-7</v>
      </c>
      <c r="BB420" s="268">
        <v>1.1696266019999997E-2</v>
      </c>
      <c r="BC420" s="268">
        <f t="shared" si="216"/>
        <v>8.8503458986819471E-6</v>
      </c>
      <c r="BD420" s="269" t="str">
        <f ca="1">IF(BV!H420="","",INT(NOW()-BV!H420))</f>
        <v/>
      </c>
      <c r="BE420" s="314">
        <f t="shared" si="217"/>
        <v>3108.1091297657695</v>
      </c>
      <c r="BF420" s="11" t="str">
        <f ca="1">BV!G420</f>
        <v/>
      </c>
      <c r="BG420" s="11" t="str">
        <f ca="1">BV!O420</f>
        <v/>
      </c>
      <c r="BH420" s="11" t="str">
        <f ca="1">BV!W420</f>
        <v/>
      </c>
      <c r="BI420" s="11" t="str">
        <f ca="1">BV!AE420</f>
        <v/>
      </c>
      <c r="BJ420" s="11" t="str">
        <f ca="1">BV!AM420</f>
        <v/>
      </c>
      <c r="BK420" s="11" t="str">
        <f ca="1">BV!AU420</f>
        <v/>
      </c>
      <c r="BL420" s="11" t="str">
        <f ca="1">BV!BC420</f>
        <v/>
      </c>
      <c r="BM420" s="11" t="str">
        <f ca="1">BV!BK420</f>
        <v/>
      </c>
      <c r="BN420" s="11" t="str">
        <f ca="1">BV!BS420</f>
        <v/>
      </c>
      <c r="BO420" s="11" t="str">
        <f ca="1">BV!CA420</f>
        <v/>
      </c>
      <c r="BP420" s="433">
        <v>278</v>
      </c>
      <c r="BQ420" s="11" t="str">
        <f ca="1">IFERROR(YEAR(OFFSET(BV!$H420,,(COLUMN()-69)*8)),"")</f>
        <v/>
      </c>
      <c r="BR420" s="11" t="str">
        <f ca="1">IFERROR(YEAR(OFFSET(BV!$H420,,(COLUMN()-69)*8)),"")</f>
        <v/>
      </c>
      <c r="BS420" s="11" t="str">
        <f ca="1">IFERROR(YEAR(OFFSET(BV!$H420,,(COLUMN()-69)*8)),"")</f>
        <v/>
      </c>
      <c r="BT420" s="11" t="str">
        <f ca="1">IFERROR(YEAR(OFFSET(BV!$H420,,(COLUMN()-69)*8)),"")</f>
        <v/>
      </c>
      <c r="BU420" s="11" t="str">
        <f ca="1">IFERROR(YEAR(OFFSET(BV!$H420,,(COLUMN()-69)*8)),"")</f>
        <v/>
      </c>
      <c r="BV420" s="11" t="str">
        <f ca="1">IFERROR(YEAR(OFFSET(BV!$H420,,(COLUMN()-69)*8)),"")</f>
        <v/>
      </c>
      <c r="BW420" s="11" t="str">
        <f ca="1">IFERROR(YEAR(OFFSET(BV!$H420,,(COLUMN()-69)*8)),"")</f>
        <v/>
      </c>
      <c r="BX420" s="11" t="str">
        <f ca="1">IFERROR(YEAR(OFFSET(BV!$H420,,(COLUMN()-69)*8)),"")</f>
        <v/>
      </c>
      <c r="BY420" s="11" t="str">
        <f ca="1">IFERROR(YEAR(OFFSET(BV!$H420,,(COLUMN()-69)*8)),"")</f>
        <v/>
      </c>
      <c r="BZ420" s="11" t="str">
        <f ca="1">IFERROR(YEAR(OFFSET(BV!$H420,,(COLUMN()-69)*8)),"")</f>
        <v/>
      </c>
    </row>
    <row r="421" spans="1:78" x14ac:dyDescent="0.25">
      <c r="A421" s="433">
        <v>279</v>
      </c>
      <c r="B421" s="11" t="str">
        <f ca="1">BV!D421</f>
        <v/>
      </c>
      <c r="C421" s="11" t="str">
        <f ca="1">BV!L421</f>
        <v/>
      </c>
      <c r="D421" s="11" t="str">
        <f ca="1">BV!T421</f>
        <v/>
      </c>
      <c r="E421" s="11" t="str">
        <f ca="1">BV!AB421</f>
        <v/>
      </c>
      <c r="F421" s="11" t="str">
        <f ca="1">BV!AJ421</f>
        <v/>
      </c>
      <c r="G421" s="11" t="str">
        <f ca="1">BV!AR421</f>
        <v/>
      </c>
      <c r="H421" s="11" t="str">
        <f ca="1">BV!AZ421</f>
        <v/>
      </c>
      <c r="I421" s="11" t="str">
        <f ca="1">BV!BH421</f>
        <v/>
      </c>
      <c r="J421" s="11" t="str">
        <f ca="1">BV!BP421</f>
        <v/>
      </c>
      <c r="K421" s="11" t="str">
        <f ca="1">BV!BX421</f>
        <v/>
      </c>
      <c r="L421" s="327" t="s">
        <v>273</v>
      </c>
      <c r="M421" s="261">
        <v>8.3876000000000003E-8</v>
      </c>
      <c r="N421" s="328" t="str">
        <f t="shared" ca="1" si="214"/>
        <v/>
      </c>
      <c r="O421" s="540" t="s">
        <v>641</v>
      </c>
      <c r="P421" s="41"/>
      <c r="Q421" s="41"/>
      <c r="R421" s="41"/>
      <c r="S421" s="540" t="s">
        <v>599</v>
      </c>
      <c r="T421" s="542" t="e">
        <f t="shared" si="257"/>
        <v>#DIV/0!</v>
      </c>
      <c r="U421" s="542" t="e">
        <f t="shared" si="258"/>
        <v>#DIV/0!</v>
      </c>
      <c r="V421" s="542" t="e">
        <f t="shared" si="259"/>
        <v>#DIV/0!</v>
      </c>
      <c r="W421" s="347"/>
      <c r="X421" s="347"/>
      <c r="Y421" s="347"/>
      <c r="Z421" s="347"/>
      <c r="AA421" s="347"/>
      <c r="AB421" s="347"/>
      <c r="AC421" s="347"/>
      <c r="AD421" s="347"/>
      <c r="AE421" s="347"/>
      <c r="AF421" s="347"/>
      <c r="AG421" s="347"/>
      <c r="AH421" s="347"/>
      <c r="AI421" s="347"/>
      <c r="AJ421" s="347"/>
      <c r="AL421" s="315"/>
      <c r="AM421" s="315"/>
      <c r="AN421" s="433">
        <v>279</v>
      </c>
      <c r="AO421" s="11" t="str">
        <f ca="1">BV!C421</f>
        <v/>
      </c>
      <c r="AP421" s="11" t="str">
        <f ca="1">BV!K421</f>
        <v/>
      </c>
      <c r="AQ421" s="11" t="str">
        <f ca="1">BV!S421</f>
        <v/>
      </c>
      <c r="AR421" s="11" t="str">
        <f ca="1">BV!AA421</f>
        <v/>
      </c>
      <c r="AS421" s="11" t="str">
        <f ca="1">BV!AI421</f>
        <v/>
      </c>
      <c r="AT421" s="11" t="str">
        <f ca="1">BV!AQ421</f>
        <v/>
      </c>
      <c r="AU421" s="11" t="str">
        <f ca="1">BV!AY421</f>
        <v/>
      </c>
      <c r="AV421" s="11" t="str">
        <f ca="1">BV!BG421</f>
        <v/>
      </c>
      <c r="AW421" s="11" t="str">
        <f ca="1">BV!BO421</f>
        <v/>
      </c>
      <c r="AX421" s="11" t="str">
        <f ca="1">BV!BW421</f>
        <v/>
      </c>
      <c r="AY421" s="327" t="s">
        <v>273</v>
      </c>
      <c r="AZ421" s="330">
        <f t="shared" si="246"/>
        <v>7.076362288976239</v>
      </c>
      <c r="BA421" s="261">
        <v>8.3876000000000003E-8</v>
      </c>
      <c r="BB421" s="268">
        <v>1.1696266019999997E-2</v>
      </c>
      <c r="BC421" s="268">
        <f t="shared" si="216"/>
        <v>7.1711775242266612E-6</v>
      </c>
      <c r="BD421" s="269" t="str">
        <f ca="1">IF(BV!H421="","",INT(NOW()-BV!H421))</f>
        <v/>
      </c>
      <c r="BE421" s="331">
        <f t="shared" si="217"/>
        <v>3452.8772902294168</v>
      </c>
      <c r="BF421" s="11" t="str">
        <f ca="1">BV!G421</f>
        <v/>
      </c>
      <c r="BG421" s="11" t="str">
        <f ca="1">BV!O421</f>
        <v/>
      </c>
      <c r="BH421" s="11" t="str">
        <f ca="1">BV!W421</f>
        <v/>
      </c>
      <c r="BI421" s="11" t="str">
        <f ca="1">BV!AE421</f>
        <v/>
      </c>
      <c r="BJ421" s="11" t="str">
        <f ca="1">BV!AM421</f>
        <v/>
      </c>
      <c r="BK421" s="11" t="str">
        <f ca="1">BV!AU421</f>
        <v/>
      </c>
      <c r="BL421" s="11" t="str">
        <f ca="1">BV!BC421</f>
        <v/>
      </c>
      <c r="BM421" s="11" t="str">
        <f ca="1">BV!BK421</f>
        <v/>
      </c>
      <c r="BN421" s="11" t="str">
        <f ca="1">BV!BS421</f>
        <v/>
      </c>
      <c r="BO421" s="11" t="str">
        <f ca="1">BV!CA421</f>
        <v/>
      </c>
      <c r="BP421" s="433">
        <v>279</v>
      </c>
      <c r="BQ421" s="11" t="str">
        <f ca="1">IFERROR(YEAR(OFFSET(BV!$H421,,(COLUMN()-69)*8)),"")</f>
        <v/>
      </c>
      <c r="BR421" s="11" t="str">
        <f ca="1">IFERROR(YEAR(OFFSET(BV!$H421,,(COLUMN()-69)*8)),"")</f>
        <v/>
      </c>
      <c r="BS421" s="11" t="str">
        <f ca="1">IFERROR(YEAR(OFFSET(BV!$H421,,(COLUMN()-69)*8)),"")</f>
        <v/>
      </c>
      <c r="BT421" s="11" t="str">
        <f ca="1">IFERROR(YEAR(OFFSET(BV!$H421,,(COLUMN()-69)*8)),"")</f>
        <v/>
      </c>
      <c r="BU421" s="11" t="str">
        <f ca="1">IFERROR(YEAR(OFFSET(BV!$H421,,(COLUMN()-69)*8)),"")</f>
        <v/>
      </c>
      <c r="BV421" s="11" t="str">
        <f ca="1">IFERROR(YEAR(OFFSET(BV!$H421,,(COLUMN()-69)*8)),"")</f>
        <v/>
      </c>
      <c r="BW421" s="11" t="str">
        <f ca="1">IFERROR(YEAR(OFFSET(BV!$H421,,(COLUMN()-69)*8)),"")</f>
        <v/>
      </c>
      <c r="BX421" s="11" t="str">
        <f ca="1">IFERROR(YEAR(OFFSET(BV!$H421,,(COLUMN()-69)*8)),"")</f>
        <v/>
      </c>
      <c r="BY421" s="11" t="str">
        <f ca="1">IFERROR(YEAR(OFFSET(BV!$H421,,(COLUMN()-69)*8)),"")</f>
        <v/>
      </c>
      <c r="BZ421" s="11" t="str">
        <f ca="1">IFERROR(YEAR(OFFSET(BV!$H421,,(COLUMN()-69)*8)),"")</f>
        <v/>
      </c>
    </row>
    <row r="422" spans="1:78" x14ac:dyDescent="0.25">
      <c r="A422" s="433">
        <v>280</v>
      </c>
      <c r="B422" s="11" t="str">
        <f ca="1">BV!D422</f>
        <v/>
      </c>
      <c r="C422" s="11" t="str">
        <f ca="1">BV!L422</f>
        <v/>
      </c>
      <c r="D422" s="11" t="str">
        <f ca="1">BV!T422</f>
        <v/>
      </c>
      <c r="E422" s="11" t="str">
        <f ca="1">BV!AB422</f>
        <v/>
      </c>
      <c r="F422" s="11" t="str">
        <f ca="1">BV!AJ422</f>
        <v/>
      </c>
      <c r="G422" s="11" t="str">
        <f ca="1">BV!AR422</f>
        <v/>
      </c>
      <c r="H422" s="11" t="str">
        <f ca="1">BV!AZ422</f>
        <v/>
      </c>
      <c r="I422" s="11" t="str">
        <f ca="1">BV!BH422</f>
        <v/>
      </c>
      <c r="J422" s="11" t="str">
        <f ca="1">BV!BP422</f>
        <v/>
      </c>
      <c r="K422" s="11" t="str">
        <f ca="1">BV!BX422</f>
        <v/>
      </c>
      <c r="L422" s="327" t="s">
        <v>273</v>
      </c>
      <c r="M422" s="261">
        <v>6.7121999999999997E-8</v>
      </c>
      <c r="N422" s="328" t="str">
        <f t="shared" ca="1" si="214"/>
        <v/>
      </c>
      <c r="O422" s="540" t="s">
        <v>642</v>
      </c>
      <c r="P422" s="41"/>
      <c r="Q422" s="41"/>
      <c r="R422" s="41"/>
      <c r="S422" s="540" t="s">
        <v>621</v>
      </c>
      <c r="T422" s="542" t="e">
        <f t="shared" si="257"/>
        <v>#DIV/0!</v>
      </c>
      <c r="U422" s="542" t="e">
        <f t="shared" si="258"/>
        <v>#DIV/0!</v>
      </c>
      <c r="V422" s="542" t="e">
        <f t="shared" si="259"/>
        <v>#DIV/0!</v>
      </c>
      <c r="W422" s="347"/>
      <c r="X422" s="347"/>
      <c r="Y422" s="347"/>
      <c r="Z422" s="347"/>
      <c r="AA422" s="347"/>
      <c r="AB422" s="347"/>
      <c r="AC422" s="347"/>
      <c r="AD422" s="347"/>
      <c r="AE422" s="347"/>
      <c r="AF422" s="347"/>
      <c r="AG422" s="347"/>
      <c r="AH422" s="347"/>
      <c r="AI422" s="347"/>
      <c r="AJ422" s="347"/>
      <c r="AL422" s="315"/>
      <c r="AM422" s="315"/>
      <c r="AN422" s="433">
        <v>280</v>
      </c>
      <c r="AO422" s="11" t="str">
        <f ca="1">BV!C422</f>
        <v/>
      </c>
      <c r="AP422" s="11" t="str">
        <f ca="1">BV!K422</f>
        <v/>
      </c>
      <c r="AQ422" s="11" t="str">
        <f ca="1">BV!S422</f>
        <v/>
      </c>
      <c r="AR422" s="11" t="str">
        <f ca="1">BV!AA422</f>
        <v/>
      </c>
      <c r="AS422" s="11" t="str">
        <f ca="1">BV!AI422</f>
        <v/>
      </c>
      <c r="AT422" s="11" t="str">
        <f ca="1">BV!AQ422</f>
        <v/>
      </c>
      <c r="AU422" s="11" t="str">
        <f ca="1">BV!AY422</f>
        <v/>
      </c>
      <c r="AV422" s="11" t="str">
        <f ca="1">BV!BG422</f>
        <v/>
      </c>
      <c r="AW422" s="11" t="str">
        <f ca="1">BV!BO422</f>
        <v/>
      </c>
      <c r="AX422" s="11" t="str">
        <f ca="1">BV!BW422</f>
        <v/>
      </c>
      <c r="AY422" s="327" t="s">
        <v>273</v>
      </c>
      <c r="AZ422" s="330">
        <f t="shared" si="246"/>
        <v>7.1731351115353865</v>
      </c>
      <c r="BA422" s="261">
        <v>6.7121999999999997E-8</v>
      </c>
      <c r="BB422" s="268">
        <v>1.1696266019999997E-2</v>
      </c>
      <c r="BC422" s="268">
        <f t="shared" si="216"/>
        <v>5.7387545636551804E-6</v>
      </c>
      <c r="BD422" s="269" t="str">
        <f ca="1">IF(BV!H422="","",INT(NOW()-BV!H422))</f>
        <v/>
      </c>
      <c r="BE422" s="331">
        <f t="shared" si="217"/>
        <v>3859.8244761569872</v>
      </c>
      <c r="BF422" s="11" t="str">
        <f ca="1">BV!G422</f>
        <v/>
      </c>
      <c r="BG422" s="11" t="str">
        <f ca="1">BV!O422</f>
        <v/>
      </c>
      <c r="BH422" s="11" t="str">
        <f ca="1">BV!W422</f>
        <v/>
      </c>
      <c r="BI422" s="11" t="str">
        <f ca="1">BV!AE422</f>
        <v/>
      </c>
      <c r="BJ422" s="11" t="str">
        <f ca="1">BV!AM422</f>
        <v/>
      </c>
      <c r="BK422" s="11" t="str">
        <f ca="1">BV!AU422</f>
        <v/>
      </c>
      <c r="BL422" s="11" t="str">
        <f ca="1">BV!BC422</f>
        <v/>
      </c>
      <c r="BM422" s="11" t="str">
        <f ca="1">BV!BK422</f>
        <v/>
      </c>
      <c r="BN422" s="11" t="str">
        <f ca="1">BV!BS422</f>
        <v/>
      </c>
      <c r="BO422" s="11" t="str">
        <f ca="1">BV!CA422</f>
        <v/>
      </c>
      <c r="BP422" s="433">
        <v>280</v>
      </c>
      <c r="BQ422" s="11" t="str">
        <f ca="1">IFERROR(YEAR(OFFSET(BV!$H422,,(COLUMN()-69)*8)),"")</f>
        <v/>
      </c>
      <c r="BR422" s="11" t="str">
        <f ca="1">IFERROR(YEAR(OFFSET(BV!$H422,,(COLUMN()-69)*8)),"")</f>
        <v/>
      </c>
      <c r="BS422" s="11" t="str">
        <f ca="1">IFERROR(YEAR(OFFSET(BV!$H422,,(COLUMN()-69)*8)),"")</f>
        <v/>
      </c>
      <c r="BT422" s="11" t="str">
        <f ca="1">IFERROR(YEAR(OFFSET(BV!$H422,,(COLUMN()-69)*8)),"")</f>
        <v/>
      </c>
      <c r="BU422" s="11" t="str">
        <f ca="1">IFERROR(YEAR(OFFSET(BV!$H422,,(COLUMN()-69)*8)),"")</f>
        <v/>
      </c>
      <c r="BV422" s="11" t="str">
        <f ca="1">IFERROR(YEAR(OFFSET(BV!$H422,,(COLUMN()-69)*8)),"")</f>
        <v/>
      </c>
      <c r="BW422" s="11" t="str">
        <f ca="1">IFERROR(YEAR(OFFSET(BV!$H422,,(COLUMN()-69)*8)),"")</f>
        <v/>
      </c>
      <c r="BX422" s="11" t="str">
        <f ca="1">IFERROR(YEAR(OFFSET(BV!$H422,,(COLUMN()-69)*8)),"")</f>
        <v/>
      </c>
      <c r="BY422" s="11" t="str">
        <f ca="1">IFERROR(YEAR(OFFSET(BV!$H422,,(COLUMN()-69)*8)),"")</f>
        <v/>
      </c>
      <c r="BZ422" s="11" t="str">
        <f ca="1">IFERROR(YEAR(OFFSET(BV!$H422,,(COLUMN()-69)*8)),"")</f>
        <v/>
      </c>
    </row>
    <row r="423" spans="1:78" x14ac:dyDescent="0.25">
      <c r="A423" s="433">
        <v>281</v>
      </c>
      <c r="B423" s="11" t="str">
        <f ca="1">BV!D423</f>
        <v/>
      </c>
      <c r="C423" s="11" t="str">
        <f ca="1">BV!L423</f>
        <v/>
      </c>
      <c r="D423" s="11" t="str">
        <f ca="1">BV!T423</f>
        <v/>
      </c>
      <c r="E423" s="11" t="str">
        <f ca="1">BV!AB423</f>
        <v/>
      </c>
      <c r="F423" s="11" t="str">
        <f ca="1">BV!AJ423</f>
        <v/>
      </c>
      <c r="G423" s="11" t="str">
        <f ca="1">BV!AR423</f>
        <v/>
      </c>
      <c r="H423" s="11" t="str">
        <f ca="1">BV!AZ423</f>
        <v/>
      </c>
      <c r="I423" s="11" t="str">
        <f ca="1">BV!BH423</f>
        <v/>
      </c>
      <c r="J423" s="11" t="str">
        <f ca="1">BV!BP423</f>
        <v/>
      </c>
      <c r="K423" s="11" t="str">
        <f ca="1">BV!BX423</f>
        <v/>
      </c>
      <c r="L423" s="327" t="s">
        <v>273</v>
      </c>
      <c r="M423" s="261">
        <v>5.4062999999999999E-8</v>
      </c>
      <c r="N423" s="328" t="str">
        <f t="shared" ca="1" si="214"/>
        <v/>
      </c>
      <c r="O423" s="540" t="s">
        <v>600</v>
      </c>
      <c r="P423" s="41"/>
      <c r="Q423" s="41"/>
      <c r="R423" s="41"/>
      <c r="S423" s="541"/>
      <c r="T423" s="540"/>
      <c r="U423" s="540"/>
      <c r="V423" s="540"/>
      <c r="W423" s="347"/>
      <c r="X423" s="347"/>
      <c r="Y423" s="347"/>
      <c r="Z423" s="347"/>
      <c r="AA423" s="347"/>
      <c r="AB423" s="347"/>
      <c r="AC423" s="347"/>
      <c r="AD423" s="347"/>
      <c r="AE423" s="347"/>
      <c r="AF423" s="347"/>
      <c r="AG423" s="347"/>
      <c r="AH423" s="347"/>
      <c r="AI423" s="347"/>
      <c r="AJ423" s="347"/>
      <c r="AL423" s="315"/>
      <c r="AM423" s="315"/>
      <c r="AN423" s="433">
        <v>281</v>
      </c>
      <c r="AO423" s="11" t="str">
        <f ca="1">BV!C423</f>
        <v/>
      </c>
      <c r="AP423" s="11" t="str">
        <f ca="1">BV!K423</f>
        <v/>
      </c>
      <c r="AQ423" s="11" t="str">
        <f ca="1">BV!S423</f>
        <v/>
      </c>
      <c r="AR423" s="11" t="str">
        <f ca="1">BV!AA423</f>
        <v/>
      </c>
      <c r="AS423" s="11" t="str">
        <f ca="1">BV!AI423</f>
        <v/>
      </c>
      <c r="AT423" s="11" t="str">
        <f ca="1">BV!AQ423</f>
        <v/>
      </c>
      <c r="AU423" s="11" t="str">
        <f ca="1">BV!AY423</f>
        <v/>
      </c>
      <c r="AV423" s="11" t="str">
        <f ca="1">BV!BG423</f>
        <v/>
      </c>
      <c r="AW423" s="11" t="str">
        <f ca="1">BV!BO423</f>
        <v/>
      </c>
      <c r="AX423" s="11" t="str">
        <f ca="1">BV!BW423</f>
        <v/>
      </c>
      <c r="AY423" s="327" t="s">
        <v>273</v>
      </c>
      <c r="AZ423" s="330">
        <f t="shared" si="246"/>
        <v>7.26709985861332</v>
      </c>
      <c r="BA423" s="261">
        <v>5.4062999999999999E-8</v>
      </c>
      <c r="BB423" s="268">
        <v>1.1696266019999997E-2</v>
      </c>
      <c r="BC423" s="268">
        <f t="shared" si="216"/>
        <v>4.6222443904366682E-6</v>
      </c>
      <c r="BD423" s="269" t="str">
        <f ca="1">IF(BV!H423="","",INT(NOW()-BV!H423))</f>
        <v/>
      </c>
      <c r="BE423" s="331">
        <f t="shared" si="217"/>
        <v>4300.8067564860175</v>
      </c>
      <c r="BF423" s="11" t="str">
        <f ca="1">BV!G423</f>
        <v/>
      </c>
      <c r="BG423" s="11" t="str">
        <f ca="1">BV!O423</f>
        <v/>
      </c>
      <c r="BH423" s="11" t="str">
        <f ca="1">BV!W423</f>
        <v/>
      </c>
      <c r="BI423" s="11" t="str">
        <f ca="1">BV!AE423</f>
        <v/>
      </c>
      <c r="BJ423" s="11" t="str">
        <f ca="1">BV!AM423</f>
        <v/>
      </c>
      <c r="BK423" s="11" t="str">
        <f ca="1">BV!AU423</f>
        <v/>
      </c>
      <c r="BL423" s="11" t="str">
        <f ca="1">BV!BC423</f>
        <v/>
      </c>
      <c r="BM423" s="11" t="str">
        <f ca="1">BV!BK423</f>
        <v/>
      </c>
      <c r="BN423" s="11" t="str">
        <f ca="1">BV!BS423</f>
        <v/>
      </c>
      <c r="BO423" s="11" t="str">
        <f ca="1">BV!CA423</f>
        <v/>
      </c>
      <c r="BP423" s="433">
        <v>281</v>
      </c>
      <c r="BQ423" s="11" t="str">
        <f ca="1">IFERROR(YEAR(OFFSET(BV!$H423,,(COLUMN()-69)*8)),"")</f>
        <v/>
      </c>
      <c r="BR423" s="11" t="str">
        <f ca="1">IFERROR(YEAR(OFFSET(BV!$H423,,(COLUMN()-69)*8)),"")</f>
        <v/>
      </c>
      <c r="BS423" s="11" t="str">
        <f ca="1">IFERROR(YEAR(OFFSET(BV!$H423,,(COLUMN()-69)*8)),"")</f>
        <v/>
      </c>
      <c r="BT423" s="11" t="str">
        <f ca="1">IFERROR(YEAR(OFFSET(BV!$H423,,(COLUMN()-69)*8)),"")</f>
        <v/>
      </c>
      <c r="BU423" s="11" t="str">
        <f ca="1">IFERROR(YEAR(OFFSET(BV!$H423,,(COLUMN()-69)*8)),"")</f>
        <v/>
      </c>
      <c r="BV423" s="11" t="str">
        <f ca="1">IFERROR(YEAR(OFFSET(BV!$H423,,(COLUMN()-69)*8)),"")</f>
        <v/>
      </c>
      <c r="BW423" s="11" t="str">
        <f ca="1">IFERROR(YEAR(OFFSET(BV!$H423,,(COLUMN()-69)*8)),"")</f>
        <v/>
      </c>
      <c r="BX423" s="11" t="str">
        <f ca="1">IFERROR(YEAR(OFFSET(BV!$H423,,(COLUMN()-69)*8)),"")</f>
        <v/>
      </c>
      <c r="BY423" s="11" t="str">
        <f ca="1">IFERROR(YEAR(OFFSET(BV!$H423,,(COLUMN()-69)*8)),"")</f>
        <v/>
      </c>
      <c r="BZ423" s="11" t="str">
        <f ca="1">IFERROR(YEAR(OFFSET(BV!$H423,,(COLUMN()-69)*8)),"")</f>
        <v/>
      </c>
    </row>
    <row r="424" spans="1:78" x14ac:dyDescent="0.25">
      <c r="A424" s="433">
        <v>282</v>
      </c>
      <c r="B424" s="11" t="str">
        <f ca="1">BV!D424</f>
        <v/>
      </c>
      <c r="C424" s="11" t="str">
        <f ca="1">BV!L424</f>
        <v/>
      </c>
      <c r="D424" s="11" t="str">
        <f ca="1">BV!T424</f>
        <v/>
      </c>
      <c r="E424" s="11" t="str">
        <f ca="1">BV!AB424</f>
        <v/>
      </c>
      <c r="F424" s="11" t="str">
        <f ca="1">BV!AJ424</f>
        <v/>
      </c>
      <c r="G424" s="11" t="str">
        <f ca="1">BV!AR424</f>
        <v/>
      </c>
      <c r="H424" s="11" t="str">
        <f ca="1">BV!AZ424</f>
        <v/>
      </c>
      <c r="I424" s="11" t="str">
        <f ca="1">BV!BH424</f>
        <v/>
      </c>
      <c r="J424" s="11" t="str">
        <f ca="1">BV!BP424</f>
        <v/>
      </c>
      <c r="K424" s="11" t="str">
        <f ca="1">BV!BX424</f>
        <v/>
      </c>
      <c r="L424" s="327" t="s">
        <v>273</v>
      </c>
      <c r="M424" s="261">
        <v>4.3521999999999998E-8</v>
      </c>
      <c r="N424" s="328" t="str">
        <f t="shared" ca="1" si="214"/>
        <v/>
      </c>
      <c r="O424" s="540" t="s">
        <v>601</v>
      </c>
      <c r="P424" s="41"/>
      <c r="Q424" s="41"/>
      <c r="R424" s="41"/>
      <c r="S424" s="590" t="str">
        <f>IF(Arb!$AJ$28=1,"Theory Number","理论随机局数")</f>
        <v>理论随机局数</v>
      </c>
      <c r="T424" s="590"/>
      <c r="U424" s="590"/>
      <c r="V424" s="590"/>
      <c r="W424" s="347"/>
      <c r="X424" s="347"/>
      <c r="Y424" s="347"/>
      <c r="Z424" s="347"/>
      <c r="AA424" s="347"/>
      <c r="AB424" s="347"/>
      <c r="AC424" s="347"/>
      <c r="AD424" s="347"/>
      <c r="AE424" s="347"/>
      <c r="AF424" s="347"/>
      <c r="AG424" s="347"/>
      <c r="AH424" s="347"/>
      <c r="AI424" s="347"/>
      <c r="AJ424" s="347"/>
      <c r="AL424" s="315"/>
      <c r="AM424" s="315"/>
      <c r="AN424" s="433">
        <v>282</v>
      </c>
      <c r="AO424" s="11" t="str">
        <f ca="1">BV!C424</f>
        <v/>
      </c>
      <c r="AP424" s="11" t="str">
        <f ca="1">BV!K424</f>
        <v/>
      </c>
      <c r="AQ424" s="11" t="str">
        <f ca="1">BV!S424</f>
        <v/>
      </c>
      <c r="AR424" s="11" t="str">
        <f ca="1">BV!AA424</f>
        <v/>
      </c>
      <c r="AS424" s="11" t="str">
        <f ca="1">BV!AI424</f>
        <v/>
      </c>
      <c r="AT424" s="11" t="str">
        <f ca="1">BV!AQ424</f>
        <v/>
      </c>
      <c r="AU424" s="11" t="str">
        <f ca="1">BV!AY424</f>
        <v/>
      </c>
      <c r="AV424" s="11" t="str">
        <f ca="1">BV!BG424</f>
        <v/>
      </c>
      <c r="AW424" s="11" t="str">
        <f ca="1">BV!BO424</f>
        <v/>
      </c>
      <c r="AX424" s="11" t="str">
        <f ca="1">BV!BW424</f>
        <v/>
      </c>
      <c r="AY424" s="327" t="s">
        <v>273</v>
      </c>
      <c r="AZ424" s="330">
        <f t="shared" si="246"/>
        <v>7.3612911553823484</v>
      </c>
      <c r="BA424" s="261">
        <v>4.3521999999999998E-8</v>
      </c>
      <c r="BB424" s="268">
        <v>1.1696266019999997E-2</v>
      </c>
      <c r="BC424" s="268">
        <f t="shared" si="216"/>
        <v>3.7210165984237773E-6</v>
      </c>
      <c r="BD424" s="269" t="str">
        <f ca="1">IF(BV!H424="","",INT(NOW()-BV!H424))</f>
        <v/>
      </c>
      <c r="BE424" s="331">
        <f t="shared" si="217"/>
        <v>4793.4210386148061</v>
      </c>
      <c r="BF424" s="11" t="str">
        <f ca="1">BV!G424</f>
        <v/>
      </c>
      <c r="BG424" s="11" t="str">
        <f ca="1">BV!O424</f>
        <v/>
      </c>
      <c r="BH424" s="11" t="str">
        <f ca="1">BV!W424</f>
        <v/>
      </c>
      <c r="BI424" s="11" t="str">
        <f ca="1">BV!AE424</f>
        <v/>
      </c>
      <c r="BJ424" s="11" t="str">
        <f ca="1">BV!AM424</f>
        <v/>
      </c>
      <c r="BK424" s="11" t="str">
        <f ca="1">BV!AU424</f>
        <v/>
      </c>
      <c r="BL424" s="11" t="str">
        <f ca="1">BV!BC424</f>
        <v/>
      </c>
      <c r="BM424" s="11" t="str">
        <f ca="1">BV!BK424</f>
        <v/>
      </c>
      <c r="BN424" s="11" t="str">
        <f ca="1">BV!BS424</f>
        <v/>
      </c>
      <c r="BO424" s="11" t="str">
        <f ca="1">BV!CA424</f>
        <v/>
      </c>
      <c r="BP424" s="433">
        <v>282</v>
      </c>
      <c r="BQ424" s="11" t="str">
        <f ca="1">IFERROR(YEAR(OFFSET(BV!$H424,,(COLUMN()-69)*8)),"")</f>
        <v/>
      </c>
      <c r="BR424" s="11" t="str">
        <f ca="1">IFERROR(YEAR(OFFSET(BV!$H424,,(COLUMN()-69)*8)),"")</f>
        <v/>
      </c>
      <c r="BS424" s="11" t="str">
        <f ca="1">IFERROR(YEAR(OFFSET(BV!$H424,,(COLUMN()-69)*8)),"")</f>
        <v/>
      </c>
      <c r="BT424" s="11" t="str">
        <f ca="1">IFERROR(YEAR(OFFSET(BV!$H424,,(COLUMN()-69)*8)),"")</f>
        <v/>
      </c>
      <c r="BU424" s="11" t="str">
        <f ca="1">IFERROR(YEAR(OFFSET(BV!$H424,,(COLUMN()-69)*8)),"")</f>
        <v/>
      </c>
      <c r="BV424" s="11" t="str">
        <f ca="1">IFERROR(YEAR(OFFSET(BV!$H424,,(COLUMN()-69)*8)),"")</f>
        <v/>
      </c>
      <c r="BW424" s="11" t="str">
        <f ca="1">IFERROR(YEAR(OFFSET(BV!$H424,,(COLUMN()-69)*8)),"")</f>
        <v/>
      </c>
      <c r="BX424" s="11" t="str">
        <f ca="1">IFERROR(YEAR(OFFSET(BV!$H424,,(COLUMN()-69)*8)),"")</f>
        <v/>
      </c>
      <c r="BY424" s="11" t="str">
        <f ca="1">IFERROR(YEAR(OFFSET(BV!$H424,,(COLUMN()-69)*8)),"")</f>
        <v/>
      </c>
      <c r="BZ424" s="11" t="str">
        <f ca="1">IFERROR(YEAR(OFFSET(BV!$H424,,(COLUMN()-69)*8)),"")</f>
        <v/>
      </c>
    </row>
    <row r="425" spans="1:78" x14ac:dyDescent="0.25">
      <c r="A425" s="433">
        <v>283</v>
      </c>
      <c r="B425" s="11" t="str">
        <f ca="1">BV!D425</f>
        <v/>
      </c>
      <c r="C425" s="11" t="str">
        <f ca="1">BV!L425</f>
        <v/>
      </c>
      <c r="D425" s="11" t="str">
        <f ca="1">BV!T425</f>
        <v/>
      </c>
      <c r="E425" s="11" t="str">
        <f ca="1">BV!AB425</f>
        <v/>
      </c>
      <c r="F425" s="11" t="str">
        <f ca="1">BV!AJ425</f>
        <v/>
      </c>
      <c r="G425" s="11" t="str">
        <f ca="1">BV!AR425</f>
        <v/>
      </c>
      <c r="H425" s="11" t="str">
        <f ca="1">BV!AZ425</f>
        <v/>
      </c>
      <c r="I425" s="11" t="str">
        <f ca="1">BV!BH425</f>
        <v/>
      </c>
      <c r="J425" s="11" t="str">
        <f ca="1">BV!BP425</f>
        <v/>
      </c>
      <c r="K425" s="11" t="str">
        <f ca="1">BV!BX425</f>
        <v/>
      </c>
      <c r="L425" s="327" t="s">
        <v>273</v>
      </c>
      <c r="M425" s="261">
        <v>3.4346000000000002E-8</v>
      </c>
      <c r="N425" s="328" t="str">
        <f t="shared" ca="1" si="214"/>
        <v/>
      </c>
      <c r="O425" s="540" t="s">
        <v>602</v>
      </c>
      <c r="P425" s="41"/>
      <c r="Q425" s="41"/>
      <c r="R425" s="41"/>
      <c r="S425" s="540" t="s">
        <v>65</v>
      </c>
      <c r="T425" s="41">
        <f>SUM(M7:M28)*P415</f>
        <v>0</v>
      </c>
      <c r="U425" s="41">
        <f>SUM(M72:M107)*Q415</f>
        <v>0</v>
      </c>
      <c r="V425" s="41">
        <f>SUM(M292:M338)*R415</f>
        <v>0</v>
      </c>
      <c r="W425" s="347"/>
      <c r="X425" s="347"/>
      <c r="Y425" s="347"/>
      <c r="Z425" s="347"/>
      <c r="AA425" s="347"/>
      <c r="AB425" s="347"/>
      <c r="AC425" s="347"/>
      <c r="AD425" s="347"/>
      <c r="AE425" s="347"/>
      <c r="AF425" s="347"/>
      <c r="AG425" s="347"/>
      <c r="AH425" s="347"/>
      <c r="AI425" s="347"/>
      <c r="AJ425" s="347"/>
      <c r="AL425" s="315"/>
      <c r="AM425" s="315"/>
      <c r="AN425" s="433">
        <v>283</v>
      </c>
      <c r="AO425" s="11" t="str">
        <f ca="1">BV!C425</f>
        <v/>
      </c>
      <c r="AP425" s="11" t="str">
        <f ca="1">BV!K425</f>
        <v/>
      </c>
      <c r="AQ425" s="11" t="str">
        <f ca="1">BV!S425</f>
        <v/>
      </c>
      <c r="AR425" s="11" t="str">
        <f ca="1">BV!AA425</f>
        <v/>
      </c>
      <c r="AS425" s="11" t="str">
        <f ca="1">BV!AI425</f>
        <v/>
      </c>
      <c r="AT425" s="11" t="str">
        <f ca="1">BV!AQ425</f>
        <v/>
      </c>
      <c r="AU425" s="11" t="str">
        <f ca="1">BV!AY425</f>
        <v/>
      </c>
      <c r="AV425" s="11" t="str">
        <f ca="1">BV!BG425</f>
        <v/>
      </c>
      <c r="AW425" s="11" t="str">
        <f ca="1">BV!BO425</f>
        <v/>
      </c>
      <c r="AX425" s="11" t="str">
        <f ca="1">BV!BW425</f>
        <v/>
      </c>
      <c r="AY425" s="327" t="s">
        <v>273</v>
      </c>
      <c r="AZ425" s="330">
        <f t="shared" si="246"/>
        <v>7.4641238344146545</v>
      </c>
      <c r="BA425" s="261">
        <v>3.4346000000000002E-8</v>
      </c>
      <c r="BB425" s="268">
        <v>1.1696266019999997E-2</v>
      </c>
      <c r="BC425" s="268">
        <f t="shared" si="216"/>
        <v>2.9364927183829574E-6</v>
      </c>
      <c r="BD425" s="269" t="str">
        <f ca="1">IF(BV!H425="","",INT(NOW()-BV!H425))</f>
        <v/>
      </c>
      <c r="BE425" s="331">
        <f t="shared" si="217"/>
        <v>5395.8754583293057</v>
      </c>
      <c r="BF425" s="11" t="str">
        <f ca="1">BV!G425</f>
        <v/>
      </c>
      <c r="BG425" s="11" t="str">
        <f ca="1">BV!O425</f>
        <v/>
      </c>
      <c r="BH425" s="11" t="str">
        <f ca="1">BV!W425</f>
        <v/>
      </c>
      <c r="BI425" s="11" t="str">
        <f ca="1">BV!AE425</f>
        <v/>
      </c>
      <c r="BJ425" s="11" t="str">
        <f ca="1">BV!AM425</f>
        <v/>
      </c>
      <c r="BK425" s="11" t="str">
        <f ca="1">BV!AU425</f>
        <v/>
      </c>
      <c r="BL425" s="11" t="str">
        <f ca="1">BV!BC425</f>
        <v/>
      </c>
      <c r="BM425" s="11" t="str">
        <f ca="1">BV!BK425</f>
        <v/>
      </c>
      <c r="BN425" s="11" t="str">
        <f ca="1">BV!BS425</f>
        <v/>
      </c>
      <c r="BO425" s="11" t="str">
        <f ca="1">BV!CA425</f>
        <v/>
      </c>
      <c r="BP425" s="433">
        <v>283</v>
      </c>
      <c r="BQ425" s="11" t="str">
        <f ca="1">IFERROR(YEAR(OFFSET(BV!$H425,,(COLUMN()-69)*8)),"")</f>
        <v/>
      </c>
      <c r="BR425" s="11" t="str">
        <f ca="1">IFERROR(YEAR(OFFSET(BV!$H425,,(COLUMN()-69)*8)),"")</f>
        <v/>
      </c>
      <c r="BS425" s="11" t="str">
        <f ca="1">IFERROR(YEAR(OFFSET(BV!$H425,,(COLUMN()-69)*8)),"")</f>
        <v/>
      </c>
      <c r="BT425" s="11" t="str">
        <f ca="1">IFERROR(YEAR(OFFSET(BV!$H425,,(COLUMN()-69)*8)),"")</f>
        <v/>
      </c>
      <c r="BU425" s="11" t="str">
        <f ca="1">IFERROR(YEAR(OFFSET(BV!$H425,,(COLUMN()-69)*8)),"")</f>
        <v/>
      </c>
      <c r="BV425" s="11" t="str">
        <f ca="1">IFERROR(YEAR(OFFSET(BV!$H425,,(COLUMN()-69)*8)),"")</f>
        <v/>
      </c>
      <c r="BW425" s="11" t="str">
        <f ca="1">IFERROR(YEAR(OFFSET(BV!$H425,,(COLUMN()-69)*8)),"")</f>
        <v/>
      </c>
      <c r="BX425" s="11" t="str">
        <f ca="1">IFERROR(YEAR(OFFSET(BV!$H425,,(COLUMN()-69)*8)),"")</f>
        <v/>
      </c>
      <c r="BY425" s="11" t="str">
        <f ca="1">IFERROR(YEAR(OFFSET(BV!$H425,,(COLUMN()-69)*8)),"")</f>
        <v/>
      </c>
      <c r="BZ425" s="11" t="str">
        <f ca="1">IFERROR(YEAR(OFFSET(BV!$H425,,(COLUMN()-69)*8)),"")</f>
        <v/>
      </c>
    </row>
    <row r="426" spans="1:78" x14ac:dyDescent="0.25">
      <c r="A426" s="433">
        <v>284</v>
      </c>
      <c r="B426" s="11" t="str">
        <f ca="1">BV!D426</f>
        <v/>
      </c>
      <c r="C426" s="11" t="str">
        <f ca="1">BV!L426</f>
        <v/>
      </c>
      <c r="D426" s="11" t="str">
        <f ca="1">BV!T426</f>
        <v/>
      </c>
      <c r="E426" s="11" t="str">
        <f ca="1">BV!AB426</f>
        <v/>
      </c>
      <c r="F426" s="11" t="str">
        <f ca="1">BV!AJ426</f>
        <v/>
      </c>
      <c r="G426" s="11" t="str">
        <f ca="1">BV!AR426</f>
        <v/>
      </c>
      <c r="H426" s="11" t="str">
        <f ca="1">BV!AZ426</f>
        <v/>
      </c>
      <c r="I426" s="11" t="str">
        <f ca="1">BV!BH426</f>
        <v/>
      </c>
      <c r="J426" s="11" t="str">
        <f ca="1">BV!BP426</f>
        <v/>
      </c>
      <c r="K426" s="11" t="str">
        <f ca="1">BV!BX426</f>
        <v/>
      </c>
      <c r="L426" s="327" t="s">
        <v>273</v>
      </c>
      <c r="M426" s="261">
        <v>2.7881E-8</v>
      </c>
      <c r="N426" s="328" t="str">
        <f t="shared" ca="1" si="214"/>
        <v/>
      </c>
      <c r="O426" s="537" t="s">
        <v>603</v>
      </c>
      <c r="P426" s="518"/>
      <c r="Q426" s="518"/>
      <c r="R426" s="518"/>
      <c r="S426" s="537" t="s">
        <v>3</v>
      </c>
      <c r="T426" s="518">
        <f>(SUM(M5:M6)+SUM(M29:M35))*P415</f>
        <v>0</v>
      </c>
      <c r="U426" s="518">
        <f>(SUM(M62:M71)+SUM(M108:M123))*Q415</f>
        <v>0</v>
      </c>
      <c r="V426" s="518">
        <f>(SUM(M270:M291)+SUM(M339:M364))*R415</f>
        <v>0</v>
      </c>
      <c r="W426" s="347"/>
      <c r="X426" s="347"/>
      <c r="Y426" s="347"/>
      <c r="Z426" s="347"/>
      <c r="AA426" s="347"/>
      <c r="AB426" s="347"/>
      <c r="AC426" s="347"/>
      <c r="AD426" s="347"/>
      <c r="AE426" s="347"/>
      <c r="AF426" s="347"/>
      <c r="AG426" s="347"/>
      <c r="AH426" s="347"/>
      <c r="AI426" s="347"/>
      <c r="AJ426" s="347"/>
      <c r="AL426" s="315"/>
      <c r="AM426" s="315"/>
      <c r="AN426" s="433">
        <v>284</v>
      </c>
      <c r="AO426" s="11" t="str">
        <f ca="1">BV!C426</f>
        <v/>
      </c>
      <c r="AP426" s="11" t="str">
        <f ca="1">BV!K426</f>
        <v/>
      </c>
      <c r="AQ426" s="11" t="str">
        <f ca="1">BV!S426</f>
        <v/>
      </c>
      <c r="AR426" s="11" t="str">
        <f ca="1">BV!AA426</f>
        <v/>
      </c>
      <c r="AS426" s="11" t="str">
        <f ca="1">BV!AI426</f>
        <v/>
      </c>
      <c r="AT426" s="11" t="str">
        <f ca="1">BV!AQ426</f>
        <v/>
      </c>
      <c r="AU426" s="11" t="str">
        <f ca="1">BV!AY426</f>
        <v/>
      </c>
      <c r="AV426" s="11" t="str">
        <f ca="1">BV!BG426</f>
        <v/>
      </c>
      <c r="AW426" s="11" t="str">
        <f ca="1">BV!BO426</f>
        <v/>
      </c>
      <c r="AX426" s="11" t="str">
        <f ca="1">BV!BW426</f>
        <v/>
      </c>
      <c r="AY426" s="327" t="s">
        <v>273</v>
      </c>
      <c r="AZ426" s="330">
        <f t="shared" si="246"/>
        <v>7.5546916535764153</v>
      </c>
      <c r="BA426" s="261">
        <v>2.7881E-8</v>
      </c>
      <c r="BB426" s="268">
        <v>1.1696266019999997E-2</v>
      </c>
      <c r="BC426" s="268">
        <f t="shared" si="216"/>
        <v>2.3837522122295237E-6</v>
      </c>
      <c r="BD426" s="269" t="str">
        <f ca="1">IF(BV!H426="","",INT(NOW()-BV!H426))</f>
        <v/>
      </c>
      <c r="BE426" s="331">
        <f t="shared" si="217"/>
        <v>5988.88297357598</v>
      </c>
      <c r="BF426" s="11" t="str">
        <f ca="1">BV!G426</f>
        <v/>
      </c>
      <c r="BG426" s="11" t="str">
        <f ca="1">BV!O426</f>
        <v/>
      </c>
      <c r="BH426" s="11" t="str">
        <f ca="1">BV!W426</f>
        <v/>
      </c>
      <c r="BI426" s="11" t="str">
        <f ca="1">BV!AE426</f>
        <v/>
      </c>
      <c r="BJ426" s="11" t="str">
        <f ca="1">BV!AM426</f>
        <v/>
      </c>
      <c r="BK426" s="11" t="str">
        <f ca="1">BV!AU426</f>
        <v/>
      </c>
      <c r="BL426" s="11" t="str">
        <f ca="1">BV!BC426</f>
        <v/>
      </c>
      <c r="BM426" s="11" t="str">
        <f ca="1">BV!BK426</f>
        <v/>
      </c>
      <c r="BN426" s="11" t="str">
        <f ca="1">BV!BS426</f>
        <v/>
      </c>
      <c r="BO426" s="11" t="str">
        <f ca="1">BV!CA426</f>
        <v/>
      </c>
      <c r="BP426" s="433">
        <v>284</v>
      </c>
      <c r="BQ426" s="11" t="str">
        <f ca="1">IFERROR(YEAR(OFFSET(BV!$H426,,(COLUMN()-69)*8)),"")</f>
        <v/>
      </c>
      <c r="BR426" s="11" t="str">
        <f ca="1">IFERROR(YEAR(OFFSET(BV!$H426,,(COLUMN()-69)*8)),"")</f>
        <v/>
      </c>
      <c r="BS426" s="11" t="str">
        <f ca="1">IFERROR(YEAR(OFFSET(BV!$H426,,(COLUMN()-69)*8)),"")</f>
        <v/>
      </c>
      <c r="BT426" s="11" t="str">
        <f ca="1">IFERROR(YEAR(OFFSET(BV!$H426,,(COLUMN()-69)*8)),"")</f>
        <v/>
      </c>
      <c r="BU426" s="11" t="str">
        <f ca="1">IFERROR(YEAR(OFFSET(BV!$H426,,(COLUMN()-69)*8)),"")</f>
        <v/>
      </c>
      <c r="BV426" s="11" t="str">
        <f ca="1">IFERROR(YEAR(OFFSET(BV!$H426,,(COLUMN()-69)*8)),"")</f>
        <v/>
      </c>
      <c r="BW426" s="11" t="str">
        <f ca="1">IFERROR(YEAR(OFFSET(BV!$H426,,(COLUMN()-69)*8)),"")</f>
        <v/>
      </c>
      <c r="BX426" s="11" t="str">
        <f ca="1">IFERROR(YEAR(OFFSET(BV!$H426,,(COLUMN()-69)*8)),"")</f>
        <v/>
      </c>
      <c r="BY426" s="11" t="str">
        <f ca="1">IFERROR(YEAR(OFFSET(BV!$H426,,(COLUMN()-69)*8)),"")</f>
        <v/>
      </c>
      <c r="BZ426" s="11" t="str">
        <f ca="1">IFERROR(YEAR(OFFSET(BV!$H426,,(COLUMN()-69)*8)),"")</f>
        <v/>
      </c>
    </row>
    <row r="427" spans="1:78" x14ac:dyDescent="0.25">
      <c r="A427" s="433">
        <v>285</v>
      </c>
      <c r="B427" s="11" t="str">
        <f ca="1">BV!D427</f>
        <v/>
      </c>
      <c r="C427" s="11" t="str">
        <f ca="1">BV!L427</f>
        <v/>
      </c>
      <c r="D427" s="11" t="str">
        <f ca="1">BV!T427</f>
        <v/>
      </c>
      <c r="E427" s="11" t="str">
        <f ca="1">BV!AB427</f>
        <v/>
      </c>
      <c r="F427" s="11" t="str">
        <f ca="1">BV!AJ427</f>
        <v/>
      </c>
      <c r="G427" s="11" t="str">
        <f ca="1">BV!AR427</f>
        <v/>
      </c>
      <c r="H427" s="11" t="str">
        <f ca="1">BV!AZ427</f>
        <v/>
      </c>
      <c r="I427" s="11" t="str">
        <f ca="1">BV!BH427</f>
        <v/>
      </c>
      <c r="J427" s="11" t="str">
        <f ca="1">BV!BP427</f>
        <v/>
      </c>
      <c r="K427" s="11" t="str">
        <f ca="1">BV!BX427</f>
        <v/>
      </c>
      <c r="L427" s="327" t="s">
        <v>273</v>
      </c>
      <c r="M427" s="261">
        <v>2.1740999999999999E-8</v>
      </c>
      <c r="N427" s="328" t="str">
        <f t="shared" ca="1" si="214"/>
        <v/>
      </c>
      <c r="O427" s="540" t="s">
        <v>604</v>
      </c>
      <c r="P427" s="41"/>
      <c r="Q427" s="41"/>
      <c r="R427" s="41"/>
      <c r="S427" s="540" t="s">
        <v>67</v>
      </c>
      <c r="T427" s="41">
        <f>(SUM(M3:M4)+SUM(M36:M41))*P415</f>
        <v>0</v>
      </c>
      <c r="U427" s="41">
        <f>(SUM(M55:M61)+SUM(M124:M134))*Q415</f>
        <v>0</v>
      </c>
      <c r="V427" s="41">
        <f>(SUM(M257:M269)+SUM(M365:M382))*R415</f>
        <v>0</v>
      </c>
      <c r="W427" s="347"/>
      <c r="X427" s="347"/>
      <c r="Y427" s="347"/>
      <c r="Z427" s="347"/>
      <c r="AA427" s="347"/>
      <c r="AB427" s="347"/>
      <c r="AC427" s="347"/>
      <c r="AD427" s="347"/>
      <c r="AE427" s="347"/>
      <c r="AF427" s="347"/>
      <c r="AG427" s="347"/>
      <c r="AH427" s="347"/>
      <c r="AI427" s="347"/>
      <c r="AJ427" s="347"/>
      <c r="AL427" s="315"/>
      <c r="AM427" s="315"/>
      <c r="AN427" s="433">
        <v>285</v>
      </c>
      <c r="AO427" s="11" t="str">
        <f ca="1">BV!C427</f>
        <v/>
      </c>
      <c r="AP427" s="11" t="str">
        <f ca="1">BV!K427</f>
        <v/>
      </c>
      <c r="AQ427" s="11" t="str">
        <f ca="1">BV!S427</f>
        <v/>
      </c>
      <c r="AR427" s="11" t="str">
        <f ca="1">BV!AA427</f>
        <v/>
      </c>
      <c r="AS427" s="11" t="str">
        <f ca="1">BV!AI427</f>
        <v/>
      </c>
      <c r="AT427" s="11" t="str">
        <f ca="1">BV!AQ427</f>
        <v/>
      </c>
      <c r="AU427" s="11" t="str">
        <f ca="1">BV!AY427</f>
        <v/>
      </c>
      <c r="AV427" s="11" t="str">
        <f ca="1">BV!BG427</f>
        <v/>
      </c>
      <c r="AW427" s="11" t="str">
        <f ca="1">BV!BO427</f>
        <v/>
      </c>
      <c r="AX427" s="11" t="str">
        <f ca="1">BV!BW427</f>
        <v/>
      </c>
      <c r="AY427" s="327" t="s">
        <v>273</v>
      </c>
      <c r="AZ427" s="330">
        <f t="shared" si="246"/>
        <v>7.6627204839620591</v>
      </c>
      <c r="BA427" s="261">
        <v>2.1740999999999999E-8</v>
      </c>
      <c r="BB427" s="268">
        <v>1.1696266019999997E-2</v>
      </c>
      <c r="BC427" s="268">
        <f t="shared" si="216"/>
        <v>1.8587983517837263E-6</v>
      </c>
      <c r="BD427" s="269" t="str">
        <f ca="1">IF(BV!H427="","",INT(NOW()-BV!H427))</f>
        <v/>
      </c>
      <c r="BE427" s="331">
        <f t="shared" si="217"/>
        <v>6782.0383617454381</v>
      </c>
      <c r="BF427" s="11" t="str">
        <f ca="1">BV!G427</f>
        <v/>
      </c>
      <c r="BG427" s="11" t="str">
        <f ca="1">BV!O427</f>
        <v/>
      </c>
      <c r="BH427" s="11" t="str">
        <f ca="1">BV!W427</f>
        <v/>
      </c>
      <c r="BI427" s="11" t="str">
        <f ca="1">BV!AE427</f>
        <v/>
      </c>
      <c r="BJ427" s="11" t="str">
        <f ca="1">BV!AM427</f>
        <v/>
      </c>
      <c r="BK427" s="11" t="str">
        <f ca="1">BV!AU427</f>
        <v/>
      </c>
      <c r="BL427" s="11" t="str">
        <f ca="1">BV!BC427</f>
        <v/>
      </c>
      <c r="BM427" s="11" t="str">
        <f ca="1">BV!BK427</f>
        <v/>
      </c>
      <c r="BN427" s="11" t="str">
        <f ca="1">BV!BS427</f>
        <v/>
      </c>
      <c r="BO427" s="11" t="str">
        <f ca="1">BV!CA427</f>
        <v/>
      </c>
      <c r="BP427" s="433">
        <v>285</v>
      </c>
      <c r="BQ427" s="11" t="str">
        <f ca="1">IFERROR(YEAR(OFFSET(BV!$H427,,(COLUMN()-69)*8)),"")</f>
        <v/>
      </c>
      <c r="BR427" s="11" t="str">
        <f ca="1">IFERROR(YEAR(OFFSET(BV!$H427,,(COLUMN()-69)*8)),"")</f>
        <v/>
      </c>
      <c r="BS427" s="11" t="str">
        <f ca="1">IFERROR(YEAR(OFFSET(BV!$H427,,(COLUMN()-69)*8)),"")</f>
        <v/>
      </c>
      <c r="BT427" s="11" t="str">
        <f ca="1">IFERROR(YEAR(OFFSET(BV!$H427,,(COLUMN()-69)*8)),"")</f>
        <v/>
      </c>
      <c r="BU427" s="11" t="str">
        <f ca="1">IFERROR(YEAR(OFFSET(BV!$H427,,(COLUMN()-69)*8)),"")</f>
        <v/>
      </c>
      <c r="BV427" s="11" t="str">
        <f ca="1">IFERROR(YEAR(OFFSET(BV!$H427,,(COLUMN()-69)*8)),"")</f>
        <v/>
      </c>
      <c r="BW427" s="11" t="str">
        <f ca="1">IFERROR(YEAR(OFFSET(BV!$H427,,(COLUMN()-69)*8)),"")</f>
        <v/>
      </c>
      <c r="BX427" s="11" t="str">
        <f ca="1">IFERROR(YEAR(OFFSET(BV!$H427,,(COLUMN()-69)*8)),"")</f>
        <v/>
      </c>
      <c r="BY427" s="11" t="str">
        <f ca="1">IFERROR(YEAR(OFFSET(BV!$H427,,(COLUMN()-69)*8)),"")</f>
        <v/>
      </c>
      <c r="BZ427" s="11" t="str">
        <f ca="1">IFERROR(YEAR(OFFSET(BV!$H427,,(COLUMN()-69)*8)),"")</f>
        <v/>
      </c>
    </row>
    <row r="428" spans="1:78" x14ac:dyDescent="0.25">
      <c r="A428" s="433">
        <v>286</v>
      </c>
      <c r="B428" s="11" t="str">
        <f ca="1">BV!D428</f>
        <v/>
      </c>
      <c r="C428" s="11" t="str">
        <f ca="1">BV!L428</f>
        <v/>
      </c>
      <c r="D428" s="11" t="str">
        <f ca="1">BV!T428</f>
        <v/>
      </c>
      <c r="E428" s="11" t="str">
        <f ca="1">BV!AB428</f>
        <v/>
      </c>
      <c r="F428" s="11" t="str">
        <f ca="1">BV!AJ428</f>
        <v/>
      </c>
      <c r="G428" s="11" t="str">
        <f ca="1">BV!AR428</f>
        <v/>
      </c>
      <c r="H428" s="11" t="str">
        <f ca="1">BV!AZ428</f>
        <v/>
      </c>
      <c r="I428" s="11" t="str">
        <f ca="1">BV!BH428</f>
        <v/>
      </c>
      <c r="J428" s="11" t="str">
        <f ca="1">BV!BP428</f>
        <v/>
      </c>
      <c r="K428" s="11" t="str">
        <f ca="1">BV!BX428</f>
        <v/>
      </c>
      <c r="L428" s="327" t="s">
        <v>273</v>
      </c>
      <c r="M428" s="261">
        <v>1.7450999999999999E-8</v>
      </c>
      <c r="N428" s="328" t="str">
        <f t="shared" ca="1" si="214"/>
        <v/>
      </c>
      <c r="O428" s="538" t="s">
        <v>605</v>
      </c>
      <c r="P428" s="520"/>
      <c r="Q428" s="520"/>
      <c r="R428" s="520"/>
      <c r="S428" s="538" t="s">
        <v>66</v>
      </c>
      <c r="T428" s="520">
        <f>(SUM(M42:M47)-M45+M2)*P415</f>
        <v>0</v>
      </c>
      <c r="U428" s="520">
        <f>SUM(M135:M143)*Q415</f>
        <v>0</v>
      </c>
      <c r="V428" s="520">
        <f>(SUM(M247:M256)+SUM(M383:M396))*R415</f>
        <v>0</v>
      </c>
      <c r="W428" s="347"/>
      <c r="X428" s="347"/>
      <c r="Y428" s="347"/>
      <c r="Z428" s="347"/>
      <c r="AA428" s="347"/>
      <c r="AB428" s="347"/>
      <c r="AC428" s="347"/>
      <c r="AD428" s="347"/>
      <c r="AE428" s="347"/>
      <c r="AF428" s="347"/>
      <c r="AG428" s="347"/>
      <c r="AH428" s="347"/>
      <c r="AI428" s="347"/>
      <c r="AJ428" s="347"/>
      <c r="AL428" s="315"/>
      <c r="AM428" s="315"/>
      <c r="AN428" s="433">
        <v>286</v>
      </c>
      <c r="AO428" s="11" t="str">
        <f ca="1">BV!C428</f>
        <v/>
      </c>
      <c r="AP428" s="11" t="str">
        <f ca="1">BV!K428</f>
        <v/>
      </c>
      <c r="AQ428" s="11" t="str">
        <f ca="1">BV!S428</f>
        <v/>
      </c>
      <c r="AR428" s="11" t="str">
        <f ca="1">BV!AA428</f>
        <v/>
      </c>
      <c r="AS428" s="11" t="str">
        <f ca="1">BV!AI428</f>
        <v/>
      </c>
      <c r="AT428" s="11" t="str">
        <f ca="1">BV!AQ428</f>
        <v/>
      </c>
      <c r="AU428" s="11" t="str">
        <f ca="1">BV!AY428</f>
        <v/>
      </c>
      <c r="AV428" s="11" t="str">
        <f ca="1">BV!BG428</f>
        <v/>
      </c>
      <c r="AW428" s="11" t="str">
        <f ca="1">BV!BO428</f>
        <v/>
      </c>
      <c r="AX428" s="11" t="str">
        <f ca="1">BV!BW428</f>
        <v/>
      </c>
      <c r="AY428" s="327" t="s">
        <v>273</v>
      </c>
      <c r="AZ428" s="330">
        <f t="shared" si="246"/>
        <v>7.7581796814819697</v>
      </c>
      <c r="BA428" s="261">
        <v>1.7450999999999999E-8</v>
      </c>
      <c r="BB428" s="268">
        <v>1.1696266019999997E-2</v>
      </c>
      <c r="BC428" s="268">
        <f t="shared" si="216"/>
        <v>1.492014628442933E-6</v>
      </c>
      <c r="BD428" s="269" t="str">
        <f ca="1">IF(BV!H428="","",INT(NOW()-BV!H428))</f>
        <v/>
      </c>
      <c r="BE428" s="331">
        <f t="shared" si="217"/>
        <v>7569.8947417239115</v>
      </c>
      <c r="BF428" s="11" t="str">
        <f ca="1">BV!G428</f>
        <v/>
      </c>
      <c r="BG428" s="11" t="str">
        <f ca="1">BV!O428</f>
        <v/>
      </c>
      <c r="BH428" s="11" t="str">
        <f ca="1">BV!W428</f>
        <v/>
      </c>
      <c r="BI428" s="11" t="str">
        <f ca="1">BV!AE428</f>
        <v/>
      </c>
      <c r="BJ428" s="11" t="str">
        <f ca="1">BV!AM428</f>
        <v/>
      </c>
      <c r="BK428" s="11" t="str">
        <f ca="1">BV!AU428</f>
        <v/>
      </c>
      <c r="BL428" s="11" t="str">
        <f ca="1">BV!BC428</f>
        <v/>
      </c>
      <c r="BM428" s="11" t="str">
        <f ca="1">BV!BK428</f>
        <v/>
      </c>
      <c r="BN428" s="11" t="str">
        <f ca="1">BV!BS428</f>
        <v/>
      </c>
      <c r="BO428" s="11" t="str">
        <f ca="1">BV!CA428</f>
        <v/>
      </c>
      <c r="BP428" s="433">
        <v>286</v>
      </c>
      <c r="BQ428" s="11" t="str">
        <f ca="1">IFERROR(YEAR(OFFSET(BV!$H428,,(COLUMN()-69)*8)),"")</f>
        <v/>
      </c>
      <c r="BR428" s="11" t="str">
        <f ca="1">IFERROR(YEAR(OFFSET(BV!$H428,,(COLUMN()-69)*8)),"")</f>
        <v/>
      </c>
      <c r="BS428" s="11" t="str">
        <f ca="1">IFERROR(YEAR(OFFSET(BV!$H428,,(COLUMN()-69)*8)),"")</f>
        <v/>
      </c>
      <c r="BT428" s="11" t="str">
        <f ca="1">IFERROR(YEAR(OFFSET(BV!$H428,,(COLUMN()-69)*8)),"")</f>
        <v/>
      </c>
      <c r="BU428" s="11" t="str">
        <f ca="1">IFERROR(YEAR(OFFSET(BV!$H428,,(COLUMN()-69)*8)),"")</f>
        <v/>
      </c>
      <c r="BV428" s="11" t="str">
        <f ca="1">IFERROR(YEAR(OFFSET(BV!$H428,,(COLUMN()-69)*8)),"")</f>
        <v/>
      </c>
      <c r="BW428" s="11" t="str">
        <f ca="1">IFERROR(YEAR(OFFSET(BV!$H428,,(COLUMN()-69)*8)),"")</f>
        <v/>
      </c>
      <c r="BX428" s="11" t="str">
        <f ca="1">IFERROR(YEAR(OFFSET(BV!$H428,,(COLUMN()-69)*8)),"")</f>
        <v/>
      </c>
      <c r="BY428" s="11" t="str">
        <f ca="1">IFERROR(YEAR(OFFSET(BV!$H428,,(COLUMN()-69)*8)),"")</f>
        <v/>
      </c>
      <c r="BZ428" s="11" t="str">
        <f ca="1">IFERROR(YEAR(OFFSET(BV!$H428,,(COLUMN()-69)*8)),"")</f>
        <v/>
      </c>
    </row>
    <row r="429" spans="1:78" x14ac:dyDescent="0.25">
      <c r="A429" s="433">
        <v>287</v>
      </c>
      <c r="B429" s="11" t="str">
        <f ca="1">BV!D429</f>
        <v/>
      </c>
      <c r="C429" s="11" t="str">
        <f ca="1">BV!L429</f>
        <v/>
      </c>
      <c r="D429" s="11" t="str">
        <f ca="1">BV!T429</f>
        <v/>
      </c>
      <c r="E429" s="11" t="str">
        <f ca="1">BV!AB429</f>
        <v/>
      </c>
      <c r="F429" s="11" t="str">
        <f ca="1">BV!AJ429</f>
        <v/>
      </c>
      <c r="G429" s="11" t="str">
        <f ca="1">BV!AR429</f>
        <v/>
      </c>
      <c r="H429" s="11" t="str">
        <f ca="1">BV!AZ429</f>
        <v/>
      </c>
      <c r="I429" s="11" t="str">
        <f ca="1">BV!BH429</f>
        <v/>
      </c>
      <c r="J429" s="11" t="str">
        <f ca="1">BV!BP429</f>
        <v/>
      </c>
      <c r="K429" s="11" t="str">
        <f ca="1">BV!BX429</f>
        <v/>
      </c>
      <c r="L429" s="327" t="s">
        <v>273</v>
      </c>
      <c r="M429" s="261">
        <v>1.3895E-8</v>
      </c>
      <c r="N429" s="328" t="str">
        <f t="shared" ca="1" si="214"/>
        <v/>
      </c>
      <c r="O429" s="540" t="s">
        <v>606</v>
      </c>
      <c r="P429" s="41"/>
      <c r="Q429" s="41"/>
      <c r="R429" s="41"/>
      <c r="S429" s="540" t="s">
        <v>106</v>
      </c>
      <c r="T429" s="41">
        <f>(M45+M49+M54)*P415</f>
        <v>0</v>
      </c>
      <c r="U429" s="41">
        <f>SUM(M144:M152)*Q415</f>
        <v>0</v>
      </c>
      <c r="V429" s="41">
        <f>(SUM(M242:M246)+SUM(M397:M409))*R415</f>
        <v>0</v>
      </c>
      <c r="W429" s="347"/>
      <c r="X429" s="347"/>
      <c r="Y429" s="347"/>
      <c r="Z429" s="347"/>
      <c r="AA429" s="347"/>
      <c r="AB429" s="347"/>
      <c r="AC429" s="347"/>
      <c r="AD429" s="347"/>
      <c r="AE429" s="347"/>
      <c r="AF429" s="347"/>
      <c r="AG429" s="347"/>
      <c r="AH429" s="347"/>
      <c r="AI429" s="347"/>
      <c r="AJ429" s="347"/>
      <c r="AL429" s="315"/>
      <c r="AM429" s="315"/>
      <c r="AN429" s="433">
        <v>287</v>
      </c>
      <c r="AO429" s="11" t="str">
        <f ca="1">BV!C429</f>
        <v/>
      </c>
      <c r="AP429" s="11" t="str">
        <f ca="1">BV!K429</f>
        <v/>
      </c>
      <c r="AQ429" s="11" t="str">
        <f ca="1">BV!S429</f>
        <v/>
      </c>
      <c r="AR429" s="11" t="str">
        <f ca="1">BV!AA429</f>
        <v/>
      </c>
      <c r="AS429" s="11" t="str">
        <f ca="1">BV!AI429</f>
        <v/>
      </c>
      <c r="AT429" s="11" t="str">
        <f ca="1">BV!AQ429</f>
        <v/>
      </c>
      <c r="AU429" s="11" t="str">
        <f ca="1">BV!AY429</f>
        <v/>
      </c>
      <c r="AV429" s="11" t="str">
        <f ca="1">BV!BG429</f>
        <v/>
      </c>
      <c r="AW429" s="11" t="str">
        <f ca="1">BV!BO429</f>
        <v/>
      </c>
      <c r="AX429" s="11" t="str">
        <f ca="1">BV!BW429</f>
        <v/>
      </c>
      <c r="AY429" s="327" t="s">
        <v>273</v>
      </c>
      <c r="AZ429" s="330">
        <f t="shared" si="246"/>
        <v>7.8571414488866091</v>
      </c>
      <c r="BA429" s="261">
        <v>1.3895E-8</v>
      </c>
      <c r="BB429" s="268">
        <v>1.1696266019999997E-2</v>
      </c>
      <c r="BC429" s="268">
        <f t="shared" si="216"/>
        <v>1.1879859757156928E-6</v>
      </c>
      <c r="BD429" s="269" t="str">
        <f ca="1">IF(BV!H429="","",INT(NOW()-BV!H429))</f>
        <v/>
      </c>
      <c r="BE429" s="331">
        <f t="shared" si="217"/>
        <v>8483.4152281418737</v>
      </c>
      <c r="BF429" s="11" t="str">
        <f ca="1">BV!G429</f>
        <v/>
      </c>
      <c r="BG429" s="11" t="str">
        <f ca="1">BV!O429</f>
        <v/>
      </c>
      <c r="BH429" s="11" t="str">
        <f ca="1">BV!W429</f>
        <v/>
      </c>
      <c r="BI429" s="11" t="str">
        <f ca="1">BV!AE429</f>
        <v/>
      </c>
      <c r="BJ429" s="11" t="str">
        <f ca="1">BV!AM429</f>
        <v/>
      </c>
      <c r="BK429" s="11" t="str">
        <f ca="1">BV!AU429</f>
        <v/>
      </c>
      <c r="BL429" s="11" t="str">
        <f ca="1">BV!BC429</f>
        <v/>
      </c>
      <c r="BM429" s="11" t="str">
        <f ca="1">BV!BK429</f>
        <v/>
      </c>
      <c r="BN429" s="11" t="str">
        <f ca="1">BV!BS429</f>
        <v/>
      </c>
      <c r="BO429" s="11" t="str">
        <f ca="1">BV!CA429</f>
        <v/>
      </c>
      <c r="BP429" s="433">
        <v>287</v>
      </c>
      <c r="BQ429" s="11" t="str">
        <f ca="1">IFERROR(YEAR(OFFSET(BV!$H429,,(COLUMN()-69)*8)),"")</f>
        <v/>
      </c>
      <c r="BR429" s="11" t="str">
        <f ca="1">IFERROR(YEAR(OFFSET(BV!$H429,,(COLUMN()-69)*8)),"")</f>
        <v/>
      </c>
      <c r="BS429" s="11" t="str">
        <f ca="1">IFERROR(YEAR(OFFSET(BV!$H429,,(COLUMN()-69)*8)),"")</f>
        <v/>
      </c>
      <c r="BT429" s="11" t="str">
        <f ca="1">IFERROR(YEAR(OFFSET(BV!$H429,,(COLUMN()-69)*8)),"")</f>
        <v/>
      </c>
      <c r="BU429" s="11" t="str">
        <f ca="1">IFERROR(YEAR(OFFSET(BV!$H429,,(COLUMN()-69)*8)),"")</f>
        <v/>
      </c>
      <c r="BV429" s="11" t="str">
        <f ca="1">IFERROR(YEAR(OFFSET(BV!$H429,,(COLUMN()-69)*8)),"")</f>
        <v/>
      </c>
      <c r="BW429" s="11" t="str">
        <f ca="1">IFERROR(YEAR(OFFSET(BV!$H429,,(COLUMN()-69)*8)),"")</f>
        <v/>
      </c>
      <c r="BX429" s="11" t="str">
        <f ca="1">IFERROR(YEAR(OFFSET(BV!$H429,,(COLUMN()-69)*8)),"")</f>
        <v/>
      </c>
      <c r="BY429" s="11" t="str">
        <f ca="1">IFERROR(YEAR(OFFSET(BV!$H429,,(COLUMN()-69)*8)),"")</f>
        <v/>
      </c>
      <c r="BZ429" s="11" t="str">
        <f ca="1">IFERROR(YEAR(OFFSET(BV!$H429,,(COLUMN()-69)*8)),"")</f>
        <v/>
      </c>
    </row>
    <row r="430" spans="1:78" x14ac:dyDescent="0.25">
      <c r="A430" s="433">
        <v>288</v>
      </c>
      <c r="B430" s="11" t="str">
        <f ca="1">BV!D430</f>
        <v/>
      </c>
      <c r="C430" s="11" t="str">
        <f ca="1">BV!L430</f>
        <v/>
      </c>
      <c r="D430" s="11" t="str">
        <f ca="1">BV!T430</f>
        <v/>
      </c>
      <c r="E430" s="11" t="str">
        <f ca="1">BV!AB430</f>
        <v/>
      </c>
      <c r="F430" s="11" t="str">
        <f ca="1">BV!AJ430</f>
        <v/>
      </c>
      <c r="G430" s="11" t="str">
        <f ca="1">BV!AR430</f>
        <v/>
      </c>
      <c r="H430" s="11" t="str">
        <f ca="1">BV!AZ430</f>
        <v/>
      </c>
      <c r="I430" s="11" t="str">
        <f ca="1">BV!BH430</f>
        <v/>
      </c>
      <c r="J430" s="11" t="str">
        <f ca="1">BV!BP430</f>
        <v/>
      </c>
      <c r="K430" s="11" t="str">
        <f ca="1">BV!BX430</f>
        <v/>
      </c>
      <c r="L430" s="327" t="s">
        <v>273</v>
      </c>
      <c r="M430" s="261">
        <v>1.1042000000000001E-8</v>
      </c>
      <c r="N430" s="328" t="str">
        <f t="shared" ca="1" si="214"/>
        <v/>
      </c>
      <c r="O430" s="539" t="s">
        <v>607</v>
      </c>
      <c r="P430" s="310"/>
      <c r="Q430" s="310"/>
      <c r="R430" s="310"/>
      <c r="S430" s="539" t="s">
        <v>107</v>
      </c>
      <c r="T430" s="310">
        <f>(M48+M51)*P415</f>
        <v>0</v>
      </c>
      <c r="U430" s="310">
        <f>SUM(M153:M159)*Q415</f>
        <v>0</v>
      </c>
      <c r="V430" s="310">
        <f>SUM(M410:M420)*R415</f>
        <v>0</v>
      </c>
      <c r="W430" s="347"/>
      <c r="X430" s="347"/>
      <c r="Y430" s="347"/>
      <c r="Z430" s="347"/>
      <c r="AA430" s="347"/>
      <c r="AB430" s="347"/>
      <c r="AC430" s="347"/>
      <c r="AD430" s="347"/>
      <c r="AE430" s="347"/>
      <c r="AF430" s="347"/>
      <c r="AG430" s="347"/>
      <c r="AH430" s="347"/>
      <c r="AI430" s="347"/>
      <c r="AJ430" s="347"/>
      <c r="AL430" s="315"/>
      <c r="AM430" s="315"/>
      <c r="AN430" s="433">
        <v>288</v>
      </c>
      <c r="AO430" s="11" t="str">
        <f ca="1">BV!C430</f>
        <v/>
      </c>
      <c r="AP430" s="11" t="str">
        <f ca="1">BV!K430</f>
        <v/>
      </c>
      <c r="AQ430" s="11" t="str">
        <f ca="1">BV!S430</f>
        <v/>
      </c>
      <c r="AR430" s="11" t="str">
        <f ca="1">BV!AA430</f>
        <v/>
      </c>
      <c r="AS430" s="11" t="str">
        <f ca="1">BV!AI430</f>
        <v/>
      </c>
      <c r="AT430" s="11" t="str">
        <f ca="1">BV!AQ430</f>
        <v/>
      </c>
      <c r="AU430" s="11" t="str">
        <f ca="1">BV!AY430</f>
        <v/>
      </c>
      <c r="AV430" s="11" t="str">
        <f ca="1">BV!BG430</f>
        <v/>
      </c>
      <c r="AW430" s="11" t="str">
        <f ca="1">BV!BO430</f>
        <v/>
      </c>
      <c r="AX430" s="11" t="str">
        <f ca="1">BV!BW430</f>
        <v/>
      </c>
      <c r="AY430" s="327" t="s">
        <v>273</v>
      </c>
      <c r="AZ430" s="330">
        <f t="shared" si="246"/>
        <v>7.9569522571958808</v>
      </c>
      <c r="BA430" s="261">
        <v>1.1042000000000001E-8</v>
      </c>
      <c r="BB430" s="268">
        <v>1.1696266019999997E-2</v>
      </c>
      <c r="BC430" s="268">
        <f t="shared" si="216"/>
        <v>9.4406197508835423E-7</v>
      </c>
      <c r="BD430" s="269" t="str">
        <f ca="1">IF(BV!H430="","",INT(NOW()-BV!H430))</f>
        <v/>
      </c>
      <c r="BE430" s="331">
        <f t="shared" si="217"/>
        <v>9516.4753847903557</v>
      </c>
      <c r="BF430" s="11" t="str">
        <f ca="1">BV!G430</f>
        <v/>
      </c>
      <c r="BG430" s="11" t="str">
        <f ca="1">BV!O430</f>
        <v/>
      </c>
      <c r="BH430" s="11" t="str">
        <f ca="1">BV!W430</f>
        <v/>
      </c>
      <c r="BI430" s="11" t="str">
        <f ca="1">BV!AE430</f>
        <v/>
      </c>
      <c r="BJ430" s="11" t="str">
        <f ca="1">BV!AM430</f>
        <v/>
      </c>
      <c r="BK430" s="11" t="str">
        <f ca="1">BV!AU430</f>
        <v/>
      </c>
      <c r="BL430" s="11" t="str">
        <f ca="1">BV!BC430</f>
        <v/>
      </c>
      <c r="BM430" s="11" t="str">
        <f ca="1">BV!BK430</f>
        <v/>
      </c>
      <c r="BN430" s="11" t="str">
        <f ca="1">BV!BS430</f>
        <v/>
      </c>
      <c r="BO430" s="11" t="str">
        <f ca="1">BV!CA430</f>
        <v/>
      </c>
      <c r="BP430" s="433">
        <v>288</v>
      </c>
      <c r="BQ430" s="11" t="str">
        <f ca="1">IFERROR(YEAR(OFFSET(BV!$H430,,(COLUMN()-69)*8)),"")</f>
        <v/>
      </c>
      <c r="BR430" s="11" t="str">
        <f ca="1">IFERROR(YEAR(OFFSET(BV!$H430,,(COLUMN()-69)*8)),"")</f>
        <v/>
      </c>
      <c r="BS430" s="11" t="str">
        <f ca="1">IFERROR(YEAR(OFFSET(BV!$H430,,(COLUMN()-69)*8)),"")</f>
        <v/>
      </c>
      <c r="BT430" s="11" t="str">
        <f ca="1">IFERROR(YEAR(OFFSET(BV!$H430,,(COLUMN()-69)*8)),"")</f>
        <v/>
      </c>
      <c r="BU430" s="11" t="str">
        <f ca="1">IFERROR(YEAR(OFFSET(BV!$H430,,(COLUMN()-69)*8)),"")</f>
        <v/>
      </c>
      <c r="BV430" s="11" t="str">
        <f ca="1">IFERROR(YEAR(OFFSET(BV!$H430,,(COLUMN()-69)*8)),"")</f>
        <v/>
      </c>
      <c r="BW430" s="11" t="str">
        <f ca="1">IFERROR(YEAR(OFFSET(BV!$H430,,(COLUMN()-69)*8)),"")</f>
        <v/>
      </c>
      <c r="BX430" s="11" t="str">
        <f ca="1">IFERROR(YEAR(OFFSET(BV!$H430,,(COLUMN()-69)*8)),"")</f>
        <v/>
      </c>
      <c r="BY430" s="11" t="str">
        <f ca="1">IFERROR(YEAR(OFFSET(BV!$H430,,(COLUMN()-69)*8)),"")</f>
        <v/>
      </c>
      <c r="BZ430" s="11" t="str">
        <f ca="1">IFERROR(YEAR(OFFSET(BV!$H430,,(COLUMN()-69)*8)),"")</f>
        <v/>
      </c>
    </row>
    <row r="431" spans="1:78" x14ac:dyDescent="0.25">
      <c r="O431" s="540" t="s">
        <v>274</v>
      </c>
      <c r="P431" s="41"/>
      <c r="Q431" s="41"/>
      <c r="R431" s="41"/>
      <c r="S431" s="540" t="s">
        <v>274</v>
      </c>
      <c r="T431" s="41"/>
      <c r="U431" s="41">
        <f>SUM(M160:M167)*Q415</f>
        <v>0</v>
      </c>
      <c r="V431" s="41">
        <f>SUM(M421:M430)*R415</f>
        <v>0</v>
      </c>
    </row>
  </sheetData>
  <mergeCells count="736">
    <mergeCell ref="S424:V424"/>
    <mergeCell ref="S413:V413"/>
    <mergeCell ref="AI90:AJ90"/>
    <mergeCell ref="AC88:AD88"/>
    <mergeCell ref="AD102:AE102"/>
    <mergeCell ref="AA99:AB99"/>
    <mergeCell ref="AI69:AJ69"/>
    <mergeCell ref="AI70:AJ70"/>
    <mergeCell ref="AD95:AE95"/>
    <mergeCell ref="AI71:AJ71"/>
    <mergeCell ref="AA77:AB77"/>
    <mergeCell ref="AA97:AB97"/>
    <mergeCell ref="AI72:AJ72"/>
    <mergeCell ref="AI73:AJ73"/>
    <mergeCell ref="AI74:AJ74"/>
    <mergeCell ref="AI75:AJ75"/>
    <mergeCell ref="AI76:AJ76"/>
    <mergeCell ref="AI77:AJ77"/>
    <mergeCell ref="AI78:AJ78"/>
    <mergeCell ref="AI84:AJ84"/>
    <mergeCell ref="AI85:AJ85"/>
    <mergeCell ref="AI86:AJ86"/>
    <mergeCell ref="AI87:AJ87"/>
    <mergeCell ref="AI88:AJ88"/>
    <mergeCell ref="AI81:AJ81"/>
    <mergeCell ref="AA81:AB81"/>
    <mergeCell ref="AA82:AB82"/>
    <mergeCell ref="AA89:AB89"/>
    <mergeCell ref="V103:W103"/>
    <mergeCell ref="V86:W86"/>
    <mergeCell ref="V87:W87"/>
    <mergeCell ref="V88:W88"/>
    <mergeCell ref="V89:W89"/>
    <mergeCell ref="V90:W90"/>
    <mergeCell ref="V91:W91"/>
    <mergeCell ref="V92:W92"/>
    <mergeCell ref="V93:W93"/>
    <mergeCell ref="V94:W94"/>
    <mergeCell ref="V95:W95"/>
    <mergeCell ref="V96:W96"/>
    <mergeCell ref="V97:W97"/>
    <mergeCell ref="V98:W98"/>
    <mergeCell ref="V99:W99"/>
    <mergeCell ref="V100:W100"/>
    <mergeCell ref="V101:W101"/>
    <mergeCell ref="V102:W102"/>
    <mergeCell ref="AI256:AJ256"/>
    <mergeCell ref="AI247:AJ247"/>
    <mergeCell ref="AI248:AJ248"/>
    <mergeCell ref="AI249:AJ249"/>
    <mergeCell ref="AI250:AJ250"/>
    <mergeCell ref="AI251:AJ251"/>
    <mergeCell ref="AI252:AJ252"/>
    <mergeCell ref="AI253:AJ253"/>
    <mergeCell ref="AI254:AJ254"/>
    <mergeCell ref="AI255:AJ255"/>
    <mergeCell ref="AI242:AJ242"/>
    <mergeCell ref="AI243:AJ243"/>
    <mergeCell ref="AD141:AE141"/>
    <mergeCell ref="AI244:AJ244"/>
    <mergeCell ref="AD247:AE247"/>
    <mergeCell ref="AD244:AE244"/>
    <mergeCell ref="AA247:AB247"/>
    <mergeCell ref="AI245:AJ245"/>
    <mergeCell ref="AI246:AJ246"/>
    <mergeCell ref="AA144:AB144"/>
    <mergeCell ref="AA148:AB148"/>
    <mergeCell ref="AA145:AB145"/>
    <mergeCell ref="AA163:AB163"/>
    <mergeCell ref="AA162:AB162"/>
    <mergeCell ref="AA165:AB165"/>
    <mergeCell ref="AD165:AE165"/>
    <mergeCell ref="AD164:AE164"/>
    <mergeCell ref="AD162:AE162"/>
    <mergeCell ref="AD153:AE153"/>
    <mergeCell ref="AD151:AE151"/>
    <mergeCell ref="AD152:AE152"/>
    <mergeCell ref="AD144:AE144"/>
    <mergeCell ref="AD146:AE146"/>
    <mergeCell ref="AD147:AE147"/>
    <mergeCell ref="AA253:AB253"/>
    <mergeCell ref="AA254:AB254"/>
    <mergeCell ref="AA166:AB166"/>
    <mergeCell ref="AA242:AB242"/>
    <mergeCell ref="AA252:AB252"/>
    <mergeCell ref="AA251:AB251"/>
    <mergeCell ref="AA250:AB250"/>
    <mergeCell ref="AD251:AE251"/>
    <mergeCell ref="AA244:AB244"/>
    <mergeCell ref="AD242:AE242"/>
    <mergeCell ref="AA245:AB245"/>
    <mergeCell ref="AD243:AE243"/>
    <mergeCell ref="AA55:AB55"/>
    <mergeCell ref="AA56:AB56"/>
    <mergeCell ref="AD248:AE248"/>
    <mergeCell ref="AC73:AD73"/>
    <mergeCell ref="AC74:AD74"/>
    <mergeCell ref="AC89:AD89"/>
    <mergeCell ref="AD130:AE130"/>
    <mergeCell ref="AD98:AE98"/>
    <mergeCell ref="AD245:AE245"/>
    <mergeCell ref="AD138:AE138"/>
    <mergeCell ref="AD145:AE145"/>
    <mergeCell ref="AD136:AE136"/>
    <mergeCell ref="AA243:AB243"/>
    <mergeCell ref="AA72:AB72"/>
    <mergeCell ref="AC86:AD86"/>
    <mergeCell ref="AC83:AD83"/>
    <mergeCell ref="AC78:AD78"/>
    <mergeCell ref="AC76:AD76"/>
    <mergeCell ref="AD129:AE129"/>
    <mergeCell ref="AD140:AE140"/>
    <mergeCell ref="AD143:AE143"/>
    <mergeCell ref="AD150:AE150"/>
    <mergeCell ref="AD90:AE90"/>
    <mergeCell ref="AD91:AE91"/>
    <mergeCell ref="AA279:AB279"/>
    <mergeCell ref="AD274:AE274"/>
    <mergeCell ref="AA248:AB248"/>
    <mergeCell ref="AA275:AB275"/>
    <mergeCell ref="AA276:AB276"/>
    <mergeCell ref="AE45:AF45"/>
    <mergeCell ref="AG44:AH44"/>
    <mergeCell ref="AI44:AJ44"/>
    <mergeCell ref="AG50:AH50"/>
    <mergeCell ref="AI48:AJ48"/>
    <mergeCell ref="AG51:AH51"/>
    <mergeCell ref="AI52:AJ52"/>
    <mergeCell ref="AA52:AD52"/>
    <mergeCell ref="AE48:AF48"/>
    <mergeCell ref="AE46:AF46"/>
    <mergeCell ref="AG49:AH49"/>
    <mergeCell ref="AE52:AH52"/>
    <mergeCell ref="AA44:AD44"/>
    <mergeCell ref="AE50:AF50"/>
    <mergeCell ref="AE51:AF51"/>
    <mergeCell ref="AA47:AD47"/>
    <mergeCell ref="AA48:AD48"/>
    <mergeCell ref="AA53:AB53"/>
    <mergeCell ref="AA54:AB54"/>
    <mergeCell ref="AG393:AH393"/>
    <mergeCell ref="AG398:AH398"/>
    <mergeCell ref="AC400:AD400"/>
    <mergeCell ref="AE400:AF400"/>
    <mergeCell ref="AG354:AH354"/>
    <mergeCell ref="AG353:AH353"/>
    <mergeCell ref="AG352:AH352"/>
    <mergeCell ref="AC396:AD396"/>
    <mergeCell ref="AE396:AF396"/>
    <mergeCell ref="AC397:AD397"/>
    <mergeCell ref="AE397:AF397"/>
    <mergeCell ref="AG355:AH355"/>
    <mergeCell ref="AG356:AH356"/>
    <mergeCell ref="AG362:AH362"/>
    <mergeCell ref="AG361:AH361"/>
    <mergeCell ref="AG360:AH360"/>
    <mergeCell ref="AG359:AH359"/>
    <mergeCell ref="AG358:AH358"/>
    <mergeCell ref="AA402:AB402"/>
    <mergeCell ref="AA398:AF398"/>
    <mergeCell ref="AE402:AF402"/>
    <mergeCell ref="AC399:AD399"/>
    <mergeCell ref="AE399:AF399"/>
    <mergeCell ref="AC401:AD401"/>
    <mergeCell ref="AE401:AF401"/>
    <mergeCell ref="AA397:AB397"/>
    <mergeCell ref="AE395:AF395"/>
    <mergeCell ref="AA399:AB399"/>
    <mergeCell ref="AA400:AB400"/>
    <mergeCell ref="AA401:AB401"/>
    <mergeCell ref="AA297:AB297"/>
    <mergeCell ref="AD287:AE287"/>
    <mergeCell ref="AA291:AB291"/>
    <mergeCell ref="AD294:AE294"/>
    <mergeCell ref="AD288:AE288"/>
    <mergeCell ref="AA293:AB293"/>
    <mergeCell ref="AD293:AE293"/>
    <mergeCell ref="AA294:AB294"/>
    <mergeCell ref="AA292:AB292"/>
    <mergeCell ref="AA287:AB287"/>
    <mergeCell ref="AD296:AE296"/>
    <mergeCell ref="AD283:AE283"/>
    <mergeCell ref="AD289:AE289"/>
    <mergeCell ref="AA289:AB289"/>
    <mergeCell ref="AD292:AE292"/>
    <mergeCell ref="AD290:AE290"/>
    <mergeCell ref="AD291:AE291"/>
    <mergeCell ref="AA280:AB280"/>
    <mergeCell ref="AA282:AB282"/>
    <mergeCell ref="AA283:AB283"/>
    <mergeCell ref="AD284:AE284"/>
    <mergeCell ref="AA284:AB284"/>
    <mergeCell ref="AA286:AB286"/>
    <mergeCell ref="AD281:AE281"/>
    <mergeCell ref="AD282:AE282"/>
    <mergeCell ref="AD285:AE285"/>
    <mergeCell ref="AD286:AE286"/>
    <mergeCell ref="AD280:AE280"/>
    <mergeCell ref="AG402:AH402"/>
    <mergeCell ref="AD279:AE279"/>
    <mergeCell ref="AC402:AD402"/>
    <mergeCell ref="AG394:AH394"/>
    <mergeCell ref="AG395:AH395"/>
    <mergeCell ref="AG396:AH396"/>
    <mergeCell ref="AG397:AH397"/>
    <mergeCell ref="AA393:AF393"/>
    <mergeCell ref="AA394:AB394"/>
    <mergeCell ref="AA395:AB395"/>
    <mergeCell ref="AG401:AH401"/>
    <mergeCell ref="AG399:AH399"/>
    <mergeCell ref="AA396:AB396"/>
    <mergeCell ref="AC394:AD394"/>
    <mergeCell ref="AE394:AF394"/>
    <mergeCell ref="AC395:AD395"/>
    <mergeCell ref="AG400:AH400"/>
    <mergeCell ref="AA281:AB281"/>
    <mergeCell ref="AA303:AB303"/>
    <mergeCell ref="AA321:AB321"/>
    <mergeCell ref="AD326:AE326"/>
    <mergeCell ref="AD332:AE332"/>
    <mergeCell ref="AA335:AF335"/>
    <mergeCell ref="AA296:AB296"/>
    <mergeCell ref="AA306:AB306"/>
    <mergeCell ref="AA305:AB305"/>
    <mergeCell ref="AA311:AB311"/>
    <mergeCell ref="AD308:AE308"/>
    <mergeCell ref="AD299:AE299"/>
    <mergeCell ref="AA302:AB302"/>
    <mergeCell ref="AD304:AE304"/>
    <mergeCell ref="AA299:AB299"/>
    <mergeCell ref="AA300:AB300"/>
    <mergeCell ref="AA301:AB301"/>
    <mergeCell ref="AD301:AE301"/>
    <mergeCell ref="AA332:AB332"/>
    <mergeCell ref="AA330:AB330"/>
    <mergeCell ref="AA329:AB329"/>
    <mergeCell ref="AD329:AE329"/>
    <mergeCell ref="AD330:AE330"/>
    <mergeCell ref="AD331:AE331"/>
    <mergeCell ref="AD325:AE325"/>
    <mergeCell ref="AD327:AE327"/>
    <mergeCell ref="AA328:AB328"/>
    <mergeCell ref="AA327:AB327"/>
    <mergeCell ref="AD328:AE328"/>
    <mergeCell ref="AA325:AB325"/>
    <mergeCell ref="AA326:AB326"/>
    <mergeCell ref="AA331:AB331"/>
    <mergeCell ref="X307:Z307"/>
    <mergeCell ref="AA320:AB320"/>
    <mergeCell ref="AD322:AE322"/>
    <mergeCell ref="AD324:AE324"/>
    <mergeCell ref="AD323:AE323"/>
    <mergeCell ref="AA324:AB324"/>
    <mergeCell ref="AA323:AB323"/>
    <mergeCell ref="AA308:AB308"/>
    <mergeCell ref="AA307:AB307"/>
    <mergeCell ref="AD319:AE319"/>
    <mergeCell ref="AD320:AE320"/>
    <mergeCell ref="AD316:AE316"/>
    <mergeCell ref="AD317:AE317"/>
    <mergeCell ref="AD318:AE318"/>
    <mergeCell ref="AD321:AE321"/>
    <mergeCell ref="AA317:AB317"/>
    <mergeCell ref="AA315:AB315"/>
    <mergeCell ref="AA322:AB322"/>
    <mergeCell ref="AA319:AB319"/>
    <mergeCell ref="AA318:AB318"/>
    <mergeCell ref="AA314:AB314"/>
    <mergeCell ref="AD314:AE314"/>
    <mergeCell ref="AD312:AE312"/>
    <mergeCell ref="AA316:AB316"/>
    <mergeCell ref="AD315:AE315"/>
    <mergeCell ref="AA313:AB313"/>
    <mergeCell ref="AA312:AB312"/>
    <mergeCell ref="AD313:AE313"/>
    <mergeCell ref="AD311:AE311"/>
    <mergeCell ref="AD306:AE306"/>
    <mergeCell ref="AA285:AB285"/>
    <mergeCell ref="AA309:AB309"/>
    <mergeCell ref="AD303:AE303"/>
    <mergeCell ref="AD295:AE295"/>
    <mergeCell ref="AA290:AB290"/>
    <mergeCell ref="AA288:AB288"/>
    <mergeCell ref="AD300:AE300"/>
    <mergeCell ref="AD298:AE298"/>
    <mergeCell ref="AA295:AB295"/>
    <mergeCell ref="AA310:AB310"/>
    <mergeCell ref="AD310:AE310"/>
    <mergeCell ref="AD309:AE309"/>
    <mergeCell ref="AD307:AE307"/>
    <mergeCell ref="AD297:AE297"/>
    <mergeCell ref="AA304:AB304"/>
    <mergeCell ref="AD305:AE305"/>
    <mergeCell ref="AA298:AB298"/>
    <mergeCell ref="AD302:AE302"/>
    <mergeCell ref="AA46:AD46"/>
    <mergeCell ref="AL65:AM65"/>
    <mergeCell ref="AI58:AJ58"/>
    <mergeCell ref="AI59:AJ59"/>
    <mergeCell ref="AI60:AJ60"/>
    <mergeCell ref="AL56:AM56"/>
    <mergeCell ref="AI64:AJ64"/>
    <mergeCell ref="AI65:AJ65"/>
    <mergeCell ref="AA50:AD50"/>
    <mergeCell ref="AD57:AE57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A51:AD51"/>
    <mergeCell ref="AE47:AF47"/>
    <mergeCell ref="AL64:AM64"/>
    <mergeCell ref="AI57:AJ57"/>
    <mergeCell ref="AL63:AM63"/>
    <mergeCell ref="AL58:AM58"/>
    <mergeCell ref="AL68:AM68"/>
    <mergeCell ref="AL66:AM66"/>
    <mergeCell ref="AL67:AM67"/>
    <mergeCell ref="AL61:AM61"/>
    <mergeCell ref="AL59:AM59"/>
    <mergeCell ref="AL62:AM62"/>
    <mergeCell ref="AL60:AM60"/>
    <mergeCell ref="AI61:AJ61"/>
    <mergeCell ref="AI62:AJ62"/>
    <mergeCell ref="AI63:AJ63"/>
    <mergeCell ref="AL42:AM42"/>
    <mergeCell ref="AL41:AM41"/>
    <mergeCell ref="AL43:AM43"/>
    <mergeCell ref="AL46:AM46"/>
    <mergeCell ref="AL48:AM48"/>
    <mergeCell ref="AL54:AM54"/>
    <mergeCell ref="AL55:AM55"/>
    <mergeCell ref="AL51:AM51"/>
    <mergeCell ref="AL47:AM47"/>
    <mergeCell ref="AL49:AM49"/>
    <mergeCell ref="AL53:AM53"/>
    <mergeCell ref="AL44:AM44"/>
    <mergeCell ref="AL50:AM50"/>
    <mergeCell ref="AL45:AM45"/>
    <mergeCell ref="AL52:AM52"/>
    <mergeCell ref="AL57:AM57"/>
    <mergeCell ref="AC72:AD72"/>
    <mergeCell ref="AA49:AD49"/>
    <mergeCell ref="AA155:AB155"/>
    <mergeCell ref="AD159:AE159"/>
    <mergeCell ref="AD160:AE160"/>
    <mergeCell ref="AD134:AE134"/>
    <mergeCell ref="AD135:AE135"/>
    <mergeCell ref="AD127:AE127"/>
    <mergeCell ref="AD131:AE131"/>
    <mergeCell ref="AD132:AE132"/>
    <mergeCell ref="AD124:AE124"/>
    <mergeCell ref="AD158:AE158"/>
    <mergeCell ref="AD149:AE149"/>
    <mergeCell ref="AD154:AE154"/>
    <mergeCell ref="AD156:AE156"/>
    <mergeCell ref="AA147:AB147"/>
    <mergeCell ref="AA150:AB150"/>
    <mergeCell ref="AA160:AB160"/>
    <mergeCell ref="AA158:AB158"/>
    <mergeCell ref="AD139:AE139"/>
    <mergeCell ref="AD133:AE133"/>
    <mergeCell ref="AD128:AE128"/>
    <mergeCell ref="AD125:AE125"/>
    <mergeCell ref="AA278:AB278"/>
    <mergeCell ref="AA277:AB277"/>
    <mergeCell ref="AA265:AB265"/>
    <mergeCell ref="AA272:AB272"/>
    <mergeCell ref="AA271:AB271"/>
    <mergeCell ref="AD271:AE271"/>
    <mergeCell ref="AD272:AE272"/>
    <mergeCell ref="AD258:AE258"/>
    <mergeCell ref="AD257:AE257"/>
    <mergeCell ref="AA273:AB273"/>
    <mergeCell ref="AA264:AB264"/>
    <mergeCell ref="AD276:AE276"/>
    <mergeCell ref="AD261:AE261"/>
    <mergeCell ref="AD277:AE277"/>
    <mergeCell ref="AA268:AB268"/>
    <mergeCell ref="AA266:AB266"/>
    <mergeCell ref="AD273:AE273"/>
    <mergeCell ref="AD267:AE267"/>
    <mergeCell ref="AD264:AE264"/>
    <mergeCell ref="AD269:AE269"/>
    <mergeCell ref="AD278:AE278"/>
    <mergeCell ref="AA269:AB269"/>
    <mergeCell ref="AA262:AB262"/>
    <mergeCell ref="AA260:AB260"/>
    <mergeCell ref="AA270:AB270"/>
    <mergeCell ref="AA274:AB274"/>
    <mergeCell ref="AD275:AE275"/>
    <mergeCell ref="AA249:AB249"/>
    <mergeCell ref="AA246:AB246"/>
    <mergeCell ref="AD255:AE255"/>
    <mergeCell ref="AA261:AB261"/>
    <mergeCell ref="AA267:AB267"/>
    <mergeCell ref="AA257:AB257"/>
    <mergeCell ref="AA255:AB255"/>
    <mergeCell ref="AA256:AB256"/>
    <mergeCell ref="AD256:AE256"/>
    <mergeCell ref="AD270:AE270"/>
    <mergeCell ref="AD268:AE268"/>
    <mergeCell ref="AD254:AE254"/>
    <mergeCell ref="AD266:AE266"/>
    <mergeCell ref="AD265:AE265"/>
    <mergeCell ref="AD249:AE249"/>
    <mergeCell ref="AD263:AE263"/>
    <mergeCell ref="AD260:AE260"/>
    <mergeCell ref="AD259:AE259"/>
    <mergeCell ref="AD246:AE246"/>
    <mergeCell ref="AD262:AE262"/>
    <mergeCell ref="AA259:AB259"/>
    <mergeCell ref="AA74:AB74"/>
    <mergeCell ref="AA75:AB75"/>
    <mergeCell ref="AA76:AB76"/>
    <mergeCell ref="AA73:AB73"/>
    <mergeCell ref="AD115:AE115"/>
    <mergeCell ref="AL76:AM76"/>
    <mergeCell ref="AL80:AM80"/>
    <mergeCell ref="AC79:AD79"/>
    <mergeCell ref="AA80:AB80"/>
    <mergeCell ref="AA84:AB84"/>
    <mergeCell ref="AA114:AB114"/>
    <mergeCell ref="AA85:AB85"/>
    <mergeCell ref="AD103:AE103"/>
    <mergeCell ref="AD112:AE112"/>
    <mergeCell ref="AD106:AE106"/>
    <mergeCell ref="AD113:AE113"/>
    <mergeCell ref="AD108:AE108"/>
    <mergeCell ref="AD111:AE111"/>
    <mergeCell ref="AD105:AE105"/>
    <mergeCell ref="AD104:AE104"/>
    <mergeCell ref="AD93:AE93"/>
    <mergeCell ref="AD94:AE94"/>
    <mergeCell ref="AD97:AE97"/>
    <mergeCell ref="AC81:AD81"/>
    <mergeCell ref="AL69:AM69"/>
    <mergeCell ref="AL70:AM70"/>
    <mergeCell ref="AL71:AM71"/>
    <mergeCell ref="AL72:AM72"/>
    <mergeCell ref="AL74:AM74"/>
    <mergeCell ref="AL78:AM78"/>
    <mergeCell ref="AL79:AM79"/>
    <mergeCell ref="AL75:AM75"/>
    <mergeCell ref="AD101:AE101"/>
    <mergeCell ref="AC75:AD75"/>
    <mergeCell ref="AC82:AD82"/>
    <mergeCell ref="AC80:AD80"/>
    <mergeCell ref="AI82:AJ82"/>
    <mergeCell ref="AI89:AJ89"/>
    <mergeCell ref="AI92:AJ92"/>
    <mergeCell ref="AI83:AJ83"/>
    <mergeCell ref="AI79:AJ79"/>
    <mergeCell ref="AI80:AJ80"/>
    <mergeCell ref="AD92:AE92"/>
    <mergeCell ref="AI93:AJ93"/>
    <mergeCell ref="AI94:AJ94"/>
    <mergeCell ref="AI95:AJ95"/>
    <mergeCell ref="AD99:AE99"/>
    <mergeCell ref="AI91:AJ91"/>
    <mergeCell ref="AA263:AB263"/>
    <mergeCell ref="AA258:AB258"/>
    <mergeCell ref="AD142:AE142"/>
    <mergeCell ref="AD137:AE137"/>
    <mergeCell ref="AA154:AB154"/>
    <mergeCell ref="AA156:AB156"/>
    <mergeCell ref="AA161:AB161"/>
    <mergeCell ref="AA164:AB164"/>
    <mergeCell ref="AD155:AE155"/>
    <mergeCell ref="AD163:AE163"/>
    <mergeCell ref="AA157:AB157"/>
    <mergeCell ref="AA159:AB159"/>
    <mergeCell ref="AA151:AB151"/>
    <mergeCell ref="AA149:AB149"/>
    <mergeCell ref="AD148:AE148"/>
    <mergeCell ref="AD157:AE157"/>
    <mergeCell ref="AA152:AB152"/>
    <mergeCell ref="AD253:AE253"/>
    <mergeCell ref="AA138:AB138"/>
    <mergeCell ref="AA146:AB146"/>
    <mergeCell ref="AA140:AB140"/>
    <mergeCell ref="AA153:AB153"/>
    <mergeCell ref="AD161:AE161"/>
    <mergeCell ref="AA141:AB141"/>
    <mergeCell ref="V104:W104"/>
    <mergeCell ref="V105:W105"/>
    <mergeCell ref="V106:W106"/>
    <mergeCell ref="AL81:AM81"/>
    <mergeCell ref="AL82:AM82"/>
    <mergeCell ref="AL73:AM73"/>
    <mergeCell ref="AL77:AM77"/>
    <mergeCell ref="AC84:AD84"/>
    <mergeCell ref="AC85:AD85"/>
    <mergeCell ref="AC77:AD77"/>
    <mergeCell ref="AA106:AB106"/>
    <mergeCell ref="AA105:AB105"/>
    <mergeCell ref="AA103:AB103"/>
    <mergeCell ref="AA102:AB102"/>
    <mergeCell ref="AA101:AB101"/>
    <mergeCell ref="AA100:AB100"/>
    <mergeCell ref="AA98:AB98"/>
    <mergeCell ref="AA86:AB86"/>
    <mergeCell ref="AA87:AB87"/>
    <mergeCell ref="AA88:AB88"/>
    <mergeCell ref="AA79:AB79"/>
    <mergeCell ref="AA83:AB83"/>
    <mergeCell ref="AC87:AD87"/>
    <mergeCell ref="AD100:AE100"/>
    <mergeCell ref="AA38:AD38"/>
    <mergeCell ref="AA39:AD39"/>
    <mergeCell ref="AA40:AD40"/>
    <mergeCell ref="AD41:AF41"/>
    <mergeCell ref="AA41:AC41"/>
    <mergeCell ref="AA42:AC42"/>
    <mergeCell ref="AA132:AB132"/>
    <mergeCell ref="AA124:AB124"/>
    <mergeCell ref="AA120:AB120"/>
    <mergeCell ref="AA119:AB119"/>
    <mergeCell ref="AA121:AB121"/>
    <mergeCell ref="AA116:AB116"/>
    <mergeCell ref="AA112:AB112"/>
    <mergeCell ref="AA111:AB111"/>
    <mergeCell ref="AA110:AB110"/>
    <mergeCell ref="AA107:AB107"/>
    <mergeCell ref="AA109:AB109"/>
    <mergeCell ref="AA108:AB108"/>
    <mergeCell ref="AD109:AE109"/>
    <mergeCell ref="AD110:AE110"/>
    <mergeCell ref="AD107:AE107"/>
    <mergeCell ref="AD121:AE121"/>
    <mergeCell ref="AD119:AE119"/>
    <mergeCell ref="AD114:AE114"/>
    <mergeCell ref="AA43:AC43"/>
    <mergeCell ref="AA117:AB117"/>
    <mergeCell ref="AA104:AB104"/>
    <mergeCell ref="AA143:AB143"/>
    <mergeCell ref="AA139:AB139"/>
    <mergeCell ref="AA113:AB113"/>
    <mergeCell ref="AA134:AB134"/>
    <mergeCell ref="AA130:AB130"/>
    <mergeCell ref="AA131:AB131"/>
    <mergeCell ref="AA122:AB122"/>
    <mergeCell ref="AA126:AB126"/>
    <mergeCell ref="AA123:AB123"/>
    <mergeCell ref="AA115:AB115"/>
    <mergeCell ref="AA129:AB129"/>
    <mergeCell ref="AA125:AB125"/>
    <mergeCell ref="AA118:AB118"/>
    <mergeCell ref="AA127:AB127"/>
    <mergeCell ref="AA128:AB128"/>
    <mergeCell ref="AA133:AB133"/>
    <mergeCell ref="AA135:AB135"/>
    <mergeCell ref="AA137:AB137"/>
    <mergeCell ref="AA136:AB136"/>
    <mergeCell ref="AA142:AB142"/>
    <mergeCell ref="AA78:AB78"/>
    <mergeCell ref="AG37:AJ37"/>
    <mergeCell ref="AE44:AF44"/>
    <mergeCell ref="AI51:AJ51"/>
    <mergeCell ref="AI49:AJ49"/>
    <mergeCell ref="AI50:AJ50"/>
    <mergeCell ref="AG45:AH45"/>
    <mergeCell ref="AG46:AH46"/>
    <mergeCell ref="AG47:AH47"/>
    <mergeCell ref="AG48:AH48"/>
    <mergeCell ref="AI45:AJ45"/>
    <mergeCell ref="AI46:AJ46"/>
    <mergeCell ref="AI47:AJ47"/>
    <mergeCell ref="AE49:AF49"/>
    <mergeCell ref="AG39:AJ39"/>
    <mergeCell ref="AG38:AJ38"/>
    <mergeCell ref="AG40:AJ40"/>
    <mergeCell ref="AG41:AJ41"/>
    <mergeCell ref="AG42:AJ42"/>
    <mergeCell ref="AE38:AF38"/>
    <mergeCell ref="AE39:AF39"/>
    <mergeCell ref="AE40:AF40"/>
    <mergeCell ref="AG43:AJ43"/>
    <mergeCell ref="AD42:AF42"/>
    <mergeCell ref="AD43:AF43"/>
    <mergeCell ref="AI257:AJ257"/>
    <mergeCell ref="AI258:AJ258"/>
    <mergeCell ref="AI259:AJ259"/>
    <mergeCell ref="AI260:AJ260"/>
    <mergeCell ref="AI261:AJ261"/>
    <mergeCell ref="AD66:AE66"/>
    <mergeCell ref="AD67:AE67"/>
    <mergeCell ref="AD68:AE68"/>
    <mergeCell ref="AD69:AE69"/>
    <mergeCell ref="AD70:AE70"/>
    <mergeCell ref="AD71:AE71"/>
    <mergeCell ref="AD126:AE126"/>
    <mergeCell ref="AD122:AE122"/>
    <mergeCell ref="AD123:AE123"/>
    <mergeCell ref="AD166:AE166"/>
    <mergeCell ref="AD118:AE118"/>
    <mergeCell ref="AD117:AE117"/>
    <mergeCell ref="AI66:AJ66"/>
    <mergeCell ref="AI67:AJ67"/>
    <mergeCell ref="AI68:AJ68"/>
    <mergeCell ref="AD252:AE252"/>
    <mergeCell ref="AD250:AE250"/>
    <mergeCell ref="AD116:AE116"/>
    <mergeCell ref="AD120:AE120"/>
    <mergeCell ref="AI262:AJ262"/>
    <mergeCell ref="AI263:AJ263"/>
    <mergeCell ref="AI264:AJ264"/>
    <mergeCell ref="AI265:AJ265"/>
    <mergeCell ref="AI266:AJ266"/>
    <mergeCell ref="AI267:AJ267"/>
    <mergeCell ref="AI268:AJ268"/>
    <mergeCell ref="AI269:AJ269"/>
    <mergeCell ref="AI270:AJ270"/>
    <mergeCell ref="AI271:AJ271"/>
    <mergeCell ref="AI272:AJ272"/>
    <mergeCell ref="AI273:AJ273"/>
    <mergeCell ref="AI274:AJ274"/>
    <mergeCell ref="AI275:AJ275"/>
    <mergeCell ref="AI276:AJ276"/>
    <mergeCell ref="AI277:AJ277"/>
    <mergeCell ref="AI278:AJ278"/>
    <mergeCell ref="AI279:AJ279"/>
    <mergeCell ref="AI280:AJ280"/>
    <mergeCell ref="AI281:AJ281"/>
    <mergeCell ref="AI282:AJ282"/>
    <mergeCell ref="AI283:AJ283"/>
    <mergeCell ref="AI299:AJ299"/>
    <mergeCell ref="AI308:AJ308"/>
    <mergeCell ref="AI322:AJ322"/>
    <mergeCell ref="AI307:AJ307"/>
    <mergeCell ref="AI284:AJ284"/>
    <mergeCell ref="AI285:AJ285"/>
    <mergeCell ref="AI286:AJ286"/>
    <mergeCell ref="AI287:AJ287"/>
    <mergeCell ref="AI288:AJ288"/>
    <mergeCell ref="AI289:AJ289"/>
    <mergeCell ref="AI290:AJ290"/>
    <mergeCell ref="AI291:AJ291"/>
    <mergeCell ref="AI292:AJ292"/>
    <mergeCell ref="AI296:AJ296"/>
    <mergeCell ref="AI297:AJ297"/>
    <mergeCell ref="AI298:AJ298"/>
    <mergeCell ref="AI295:AJ295"/>
    <mergeCell ref="AA37:AD37"/>
    <mergeCell ref="AE37:AF37"/>
    <mergeCell ref="AI318:AJ318"/>
    <mergeCell ref="AI319:AJ319"/>
    <mergeCell ref="AI320:AJ320"/>
    <mergeCell ref="AI321:AJ321"/>
    <mergeCell ref="AI309:AJ309"/>
    <mergeCell ref="AI310:AJ310"/>
    <mergeCell ref="AI311:AJ311"/>
    <mergeCell ref="AI312:AJ312"/>
    <mergeCell ref="AI313:AJ313"/>
    <mergeCell ref="AI314:AJ314"/>
    <mergeCell ref="AI315:AJ315"/>
    <mergeCell ref="AI316:AJ316"/>
    <mergeCell ref="AI317:AJ317"/>
    <mergeCell ref="AI300:AJ300"/>
    <mergeCell ref="AI301:AJ301"/>
    <mergeCell ref="AI302:AJ302"/>
    <mergeCell ref="AI303:AJ303"/>
    <mergeCell ref="AI304:AJ304"/>
    <mergeCell ref="AI305:AJ305"/>
    <mergeCell ref="AI306:AJ306"/>
    <mergeCell ref="AI293:AJ293"/>
    <mergeCell ref="AI294:AJ294"/>
    <mergeCell ref="AI323:AJ323"/>
    <mergeCell ref="AI324:AJ324"/>
    <mergeCell ref="AI325:AJ325"/>
    <mergeCell ref="AI326:AJ326"/>
    <mergeCell ref="AI327:AJ327"/>
    <mergeCell ref="AI328:AJ328"/>
    <mergeCell ref="AI329:AJ329"/>
    <mergeCell ref="AI330:AJ330"/>
    <mergeCell ref="AI331:AJ331"/>
    <mergeCell ref="AG346:AH346"/>
    <mergeCell ref="AG349:AH349"/>
    <mergeCell ref="AG350:AH350"/>
    <mergeCell ref="AG351:AH351"/>
    <mergeCell ref="AG357:AH357"/>
    <mergeCell ref="AI332:AJ332"/>
    <mergeCell ref="AG335:AH335"/>
    <mergeCell ref="AG336:AH336"/>
    <mergeCell ref="AG348:AH348"/>
    <mergeCell ref="AG347:AH347"/>
    <mergeCell ref="AG345:AH345"/>
    <mergeCell ref="AG339:AH339"/>
    <mergeCell ref="AG340:AH340"/>
    <mergeCell ref="AG337:AH337"/>
    <mergeCell ref="AG338:AH338"/>
    <mergeCell ref="AG341:AH341"/>
    <mergeCell ref="AG342:AH342"/>
    <mergeCell ref="AG343:AH343"/>
    <mergeCell ref="AG344:AH344"/>
    <mergeCell ref="V113:W113"/>
    <mergeCell ref="V114:W114"/>
    <mergeCell ref="V115:W115"/>
    <mergeCell ref="V116:W116"/>
    <mergeCell ref="V117:W117"/>
    <mergeCell ref="V118:W118"/>
    <mergeCell ref="T112:U112"/>
    <mergeCell ref="T113:U113"/>
    <mergeCell ref="T114:U114"/>
    <mergeCell ref="T115:U115"/>
    <mergeCell ref="T116:U116"/>
    <mergeCell ref="T117:U117"/>
    <mergeCell ref="T118:U118"/>
    <mergeCell ref="T412:V412"/>
    <mergeCell ref="AC53:AD53"/>
    <mergeCell ref="AC54:AD54"/>
    <mergeCell ref="AC55:AD55"/>
    <mergeCell ref="AC56:AD56"/>
    <mergeCell ref="AG53:AJ53"/>
    <mergeCell ref="AG54:AJ54"/>
    <mergeCell ref="AG55:AJ55"/>
    <mergeCell ref="AG56:AJ56"/>
    <mergeCell ref="AE53:AF53"/>
    <mergeCell ref="AE54:AF54"/>
    <mergeCell ref="AE55:AF55"/>
    <mergeCell ref="AE56:AF56"/>
    <mergeCell ref="X113:Z113"/>
    <mergeCell ref="X114:Z114"/>
    <mergeCell ref="X115:Z115"/>
    <mergeCell ref="X116:Z116"/>
    <mergeCell ref="X117:Z117"/>
    <mergeCell ref="X118:Z118"/>
    <mergeCell ref="X112:Z112"/>
    <mergeCell ref="T111:U111"/>
    <mergeCell ref="V111:W111"/>
    <mergeCell ref="X111:Z111"/>
    <mergeCell ref="V112:W112"/>
  </mergeCells>
  <phoneticPr fontId="1" type="noConversion"/>
  <conditionalFormatting sqref="M7:M28 M72:M107 M292:M338">
    <cfRule type="dataBar" priority="37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{B8D965CD-FF58-42D0-928E-FF126E257A9C}</x14:id>
        </ext>
      </extLst>
    </cfRule>
  </conditionalFormatting>
  <conditionalFormatting sqref="M5:M6 M29:M35 M62:M71 M108:M123 M270:M291 M339:M364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{05052732-D9E2-453A-B074-339D89473DCF}</x14:id>
        </ext>
      </extLst>
    </cfRule>
  </conditionalFormatting>
  <conditionalFormatting sqref="M3:M4 M36:M41 M55:M61 M124:M134 M257:M269 M365:M382">
    <cfRule type="dataBar" priority="37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{72F4C795-3D43-46F7-8BD4-FDDD5EA2D8F1}</x14:id>
        </ext>
      </extLst>
    </cfRule>
  </conditionalFormatting>
  <conditionalFormatting sqref="M42:M49 M2 M135:M160 M242:M256 M383:M420 M51 M54">
    <cfRule type="dataBar" priority="3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{0E90A65F-46C4-47B8-A2E5-948632FA7EF9}</x14:id>
        </ext>
      </extLst>
    </cfRule>
  </conditionalFormatting>
  <conditionalFormatting sqref="M48:M49 M45 M51 M54 M144:M235 M397:M420 M242:M246">
    <cfRule type="dataBar" priority="353">
      <dataBar>
        <cfvo type="min"/>
        <cfvo type="max"/>
        <color rgb="FF0FA581"/>
      </dataBar>
      <extLst>
        <ext xmlns:x14="http://schemas.microsoft.com/office/spreadsheetml/2009/9/main" uri="{B025F937-C7B1-47D3-B67F-A62EFF666E3E}">
          <x14:id>{D0B1BE0E-DC3C-4F62-86FF-16BC92219BD3}</x14:id>
        </ext>
      </extLst>
    </cfRule>
  </conditionalFormatting>
  <conditionalFormatting sqref="BQ1:BZ1048576">
    <cfRule type="expression" dxfId="10" priority="66">
      <formula>YEAR(NOW())-BQ1&gt;3</formula>
    </cfRule>
    <cfRule type="expression" dxfId="9" priority="67">
      <formula>YEAR(NOW())-BQ1=3</formula>
    </cfRule>
    <cfRule type="expression" dxfId="8" priority="68">
      <formula>YEAR(NOW())-BQ1=2</formula>
    </cfRule>
    <cfRule type="expression" dxfId="7" priority="69">
      <formula>YEAR(NOW())-BQ1=1</formula>
    </cfRule>
    <cfRule type="expression" dxfId="6" priority="70">
      <formula>YEAR(NOW())-BQ1=0</formula>
    </cfRule>
  </conditionalFormatting>
  <conditionalFormatting sqref="BA7:BA28 BA72:BA107 BA292:BA338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{D7E2D46D-3A70-4A87-81FD-B67C975E4E53}</x14:id>
        </ext>
      </extLst>
    </cfRule>
  </conditionalFormatting>
  <conditionalFormatting sqref="BA5:BA6 BA29:BA35 BA62:BA71 BA108:BA123 BA270:BA291 BA339:BA36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{AFD0F887-CCD3-41D0-8A89-601BCADB3D5A}</x14:id>
        </ext>
      </extLst>
    </cfRule>
  </conditionalFormatting>
  <conditionalFormatting sqref="BA3:BA4 BA36:BA41 BA55:BA61 BA124:BA134 BA257:BA269 BA365:BA382">
    <cfRule type="dataBar" priority="4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{F0EE407E-2661-4771-AC77-498FBC3770A8}</x14:id>
        </ext>
      </extLst>
    </cfRule>
  </conditionalFormatting>
  <conditionalFormatting sqref="BA42:BA49 BA2 BA135:BA160 BA242:BA256 BA383:BA420 BA51 BA54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{908A6750-9239-4B45-AFAA-6405AAB0B328}</x14:id>
        </ext>
      </extLst>
    </cfRule>
  </conditionalFormatting>
  <conditionalFormatting sqref="BA48:BA49 BA45 BA51 BA54 BA144:BA235 BA397:BA420 BA242:BA246">
    <cfRule type="dataBar" priority="40">
      <dataBar>
        <cfvo type="min"/>
        <cfvo type="max"/>
        <color rgb="FF0FA581"/>
      </dataBar>
      <extLst>
        <ext xmlns:x14="http://schemas.microsoft.com/office/spreadsheetml/2009/9/main" uri="{B025F937-C7B1-47D3-B67F-A62EFF666E3E}">
          <x14:id>{98594EF0-25F5-4E3D-9290-BB78B8BB0107}</x14:id>
        </ext>
      </extLst>
    </cfRule>
  </conditionalFormatting>
  <conditionalFormatting sqref="AC243:AI332">
    <cfRule type="expression" dxfId="5" priority="74986">
      <formula>$AH243&lt;6</formula>
    </cfRule>
    <cfRule type="expression" dxfId="4" priority="74987">
      <formula>$AH243&lt;26</formula>
    </cfRule>
    <cfRule type="expression" dxfId="3" priority="74988">
      <formula>$AH243&lt;51</formula>
    </cfRule>
    <cfRule type="expression" dxfId="2" priority="74989">
      <formula>$AH243&lt;101</formula>
    </cfRule>
  </conditionalFormatting>
  <conditionalFormatting sqref="AA98:AB166">
    <cfRule type="expression" dxfId="1" priority="30">
      <formula>NOW()-AA98&lt;7</formula>
    </cfRule>
  </conditionalFormatting>
  <conditionalFormatting sqref="AA243:AB332">
    <cfRule type="expression" dxfId="0" priority="29">
      <formula>NOW()-AA243&lt;7</formula>
    </cfRule>
  </conditionalFormatting>
  <conditionalFormatting sqref="Q364:W364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{2969D816-9EE4-4B42-BA46-0B6EC7985B6A}</x14:id>
        </ext>
      </extLst>
    </cfRule>
  </conditionalFormatting>
  <conditionalFormatting sqref="Q365:W36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{1BD24435-4C4C-48CC-8CA2-FF3A07DEADCF}</x14:id>
        </ext>
      </extLst>
    </cfRule>
  </conditionalFormatting>
  <conditionalFormatting sqref="Q366:W36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{F804E772-8685-4FE7-9D3E-21078A889DAA}</x14:id>
        </ext>
      </extLst>
    </cfRule>
  </conditionalFormatting>
  <conditionalFormatting sqref="Q367:W367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{0C2108C9-DA18-4026-ADD9-9C3FCFC1F04C}</x14:id>
        </ext>
      </extLst>
    </cfRule>
  </conditionalFormatting>
  <conditionalFormatting sqref="Q368:W368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{DBC0C84C-C7BE-4AB3-8FE5-9CA2F22B64F6}</x14:id>
        </ext>
      </extLst>
    </cfRule>
  </conditionalFormatting>
  <conditionalFormatting sqref="Q369:W36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{A1F8EBD0-8D92-49CF-83D8-7569FBB21D94}</x14:id>
        </ext>
      </extLst>
    </cfRule>
  </conditionalFormatting>
  <conditionalFormatting sqref="Q371:W371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{94CCC3E7-0F7F-4ECD-9166-7B05C09A8D81}</x14:id>
        </ext>
      </extLst>
    </cfRule>
  </conditionalFormatting>
  <conditionalFormatting sqref="Q372:W372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{2452FAAD-8CBD-4286-A183-92420BAD0664}</x14:id>
        </ext>
      </extLst>
    </cfRule>
  </conditionalFormatting>
  <conditionalFormatting sqref="Q386:W38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{BD15855B-7CA0-47A6-864D-959DABF7C45C}</x14:id>
        </ext>
      </extLst>
    </cfRule>
  </conditionalFormatting>
  <conditionalFormatting sqref="Q387:W38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{13D2FA5B-18CC-454D-BA25-D4D612092B4C}</x14:id>
        </ext>
      </extLst>
    </cfRule>
  </conditionalFormatting>
  <conditionalFormatting sqref="Q381:W38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{AEFE4677-2615-4DAE-A72A-9A78E70E7EE2}</x14:id>
        </ext>
      </extLst>
    </cfRule>
  </conditionalFormatting>
  <conditionalFormatting sqref="Q370:W37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{745B3524-A90E-4CFC-8CB6-03BBF1436A48}</x14:id>
        </ext>
      </extLst>
    </cfRule>
  </conditionalFormatting>
  <conditionalFormatting sqref="Q373:W373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{27E5E7B7-F9F6-4BB2-8370-82502E2EEA5F}</x14:id>
        </ext>
      </extLst>
    </cfRule>
  </conditionalFormatting>
  <conditionalFormatting sqref="Q382:W38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{0321FDCF-63C2-467B-9B1C-9A313AD0E3A5}</x14:id>
        </ext>
      </extLst>
    </cfRule>
  </conditionalFormatting>
  <conditionalFormatting sqref="Q380:W38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{329DA8D0-AF91-4427-9D92-05C866307D16}</x14:id>
        </ext>
      </extLst>
    </cfRule>
  </conditionalFormatting>
  <conditionalFormatting sqref="Q379:W37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{09D8FDBF-707D-4FBF-810A-1ABFE6160376}</x14:id>
        </ext>
      </extLst>
    </cfRule>
  </conditionalFormatting>
  <conditionalFormatting sqref="Q383:W383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{5C8AC2D2-2FA6-4BCA-8384-62D8BDA945F7}</x14:id>
        </ext>
      </extLst>
    </cfRule>
  </conditionalFormatting>
  <conditionalFormatting sqref="Q384:W384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{BCA9762B-5A50-4AD0-8594-444DA35EB0AE}</x14:id>
        </ext>
      </extLst>
    </cfRule>
  </conditionalFormatting>
  <conditionalFormatting sqref="Q385:W385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{6D5ED89B-D7D6-4EEB-8CF5-AB87DCF15EF6}</x14:id>
        </ext>
      </extLst>
    </cfRule>
  </conditionalFormatting>
  <conditionalFormatting sqref="Q388:W388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{06F8AACA-5E39-4BE4-AFC8-F18A5D4FDA80}</x14:id>
        </ext>
      </extLst>
    </cfRule>
  </conditionalFormatting>
  <conditionalFormatting sqref="Q374:W37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{1536ACEB-E0D1-4F55-8D6C-74E0D1635F42}</x14:id>
        </ext>
      </extLst>
    </cfRule>
  </conditionalFormatting>
  <conditionalFormatting sqref="Q375:W375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{55DA7F4B-CE4B-49C5-B97B-F346BD632CA8}</x14:id>
        </ext>
      </extLst>
    </cfRule>
  </conditionalFormatting>
  <conditionalFormatting sqref="Q376:W3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{D8542930-2B31-4103-BF7F-251E4A9B6DE4}</x14:id>
        </ext>
      </extLst>
    </cfRule>
  </conditionalFormatting>
  <conditionalFormatting sqref="Q377:W377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{96ABC27C-0041-467E-A186-936726FEDCCD}</x14:id>
        </ext>
      </extLst>
    </cfRule>
  </conditionalFormatting>
  <conditionalFormatting sqref="Q389:W38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{E5062C90-076D-4D4C-8954-BD47ED5BF916}</x14:id>
        </ext>
      </extLst>
    </cfRule>
  </conditionalFormatting>
  <conditionalFormatting sqref="Q390:W39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{CC4CCCD1-BBCB-4241-8BF3-E79AD6DB51CC}</x14:id>
        </ext>
      </extLst>
    </cfRule>
  </conditionalFormatting>
  <conditionalFormatting sqref="Q391:W39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{FA663901-3E0A-44FC-8B61-42CA7C4127A5}</x14:id>
        </ext>
      </extLst>
    </cfRule>
  </conditionalFormatting>
  <conditionalFormatting sqref="Q392:W392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{FAEACCB6-EBFD-4CA5-8799-AD619AD357DB}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D965CD-FF58-42D0-928E-FF126E257A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M7:M28 M72:M107 M292:M338</xm:sqref>
        </x14:conditionalFormatting>
        <x14:conditionalFormatting xmlns:xm="http://schemas.microsoft.com/office/excel/2006/main">
          <x14:cfRule type="dataBar" id="{05052732-D9E2-453A-B074-339D89473D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M5:M6 M29:M35 M62:M71 M108:M123 M270:M291 M339:M364</xm:sqref>
        </x14:conditionalFormatting>
        <x14:conditionalFormatting xmlns:xm="http://schemas.microsoft.com/office/excel/2006/main">
          <x14:cfRule type="dataBar" id="{72F4C795-3D43-46F7-8BD4-FDDD5EA2D8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M3:M4 M36:M41 M55:M61 M124:M134 M257:M269 M365:M382</xm:sqref>
        </x14:conditionalFormatting>
        <x14:conditionalFormatting xmlns:xm="http://schemas.microsoft.com/office/excel/2006/main">
          <x14:cfRule type="dataBar" id="{0E90A65F-46C4-47B8-A2E5-948632FA7E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M42:M49 M2 M135:M160 M242:M256 M383:M420 M51 M54</xm:sqref>
        </x14:conditionalFormatting>
        <x14:conditionalFormatting xmlns:xm="http://schemas.microsoft.com/office/excel/2006/main">
          <x14:cfRule type="dataBar" id="{D0B1BE0E-DC3C-4F62-86FF-16BC92219B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M48:M49 M45 M51 M54 M144:M235 M397:M420 M242:M246</xm:sqref>
        </x14:conditionalFormatting>
        <x14:conditionalFormatting xmlns:xm="http://schemas.microsoft.com/office/excel/2006/main">
          <x14:cfRule type="dataBar" id="{D7E2D46D-3A70-4A87-81FD-B67C975E4E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BA7:BA28 BA72:BA107 BA292:BA338</xm:sqref>
        </x14:conditionalFormatting>
        <x14:conditionalFormatting xmlns:xm="http://schemas.microsoft.com/office/excel/2006/main">
          <x14:cfRule type="dataBar" id="{AFD0F887-CCD3-41D0-8A89-601BCADB3D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BA5:BA6 BA29:BA35 BA62:BA71 BA108:BA123 BA270:BA291 BA339:BA364</xm:sqref>
        </x14:conditionalFormatting>
        <x14:conditionalFormatting xmlns:xm="http://schemas.microsoft.com/office/excel/2006/main">
          <x14:cfRule type="dataBar" id="{F0EE407E-2661-4771-AC77-498FBC3770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BA3:BA4 BA36:BA41 BA55:BA61 BA124:BA134 BA257:BA269 BA365:BA382</xm:sqref>
        </x14:conditionalFormatting>
        <x14:conditionalFormatting xmlns:xm="http://schemas.microsoft.com/office/excel/2006/main">
          <x14:cfRule type="dataBar" id="{908A6750-9239-4B45-AFAA-6405AAB0B3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BA42:BA49 BA2 BA135:BA160 BA242:BA256 BA383:BA420 BA51 BA54</xm:sqref>
        </x14:conditionalFormatting>
        <x14:conditionalFormatting xmlns:xm="http://schemas.microsoft.com/office/excel/2006/main">
          <x14:cfRule type="dataBar" id="{98594EF0-25F5-4E3D-9290-BB78B8BB01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BA48:BA49 BA45 BA51 BA54 BA144:BA235 BA397:BA420 BA242:BA246</xm:sqref>
        </x14:conditionalFormatting>
        <x14:conditionalFormatting xmlns:xm="http://schemas.microsoft.com/office/excel/2006/main">
          <x14:cfRule type="dataBar" id="{2969D816-9EE4-4B42-BA46-0B6EC7985B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Q364:W364</xm:sqref>
        </x14:conditionalFormatting>
        <x14:conditionalFormatting xmlns:xm="http://schemas.microsoft.com/office/excel/2006/main">
          <x14:cfRule type="dataBar" id="{1BD24435-4C4C-48CC-8CA2-FF3A07DEAD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Q365:W365</xm:sqref>
        </x14:conditionalFormatting>
        <x14:conditionalFormatting xmlns:xm="http://schemas.microsoft.com/office/excel/2006/main">
          <x14:cfRule type="dataBar" id="{F804E772-8685-4FE7-9D3E-21078A889D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Q366:W366</xm:sqref>
        </x14:conditionalFormatting>
        <x14:conditionalFormatting xmlns:xm="http://schemas.microsoft.com/office/excel/2006/main">
          <x14:cfRule type="dataBar" id="{0C2108C9-DA18-4026-ADD9-9C3FCFC1F0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Q367:W367</xm:sqref>
        </x14:conditionalFormatting>
        <x14:conditionalFormatting xmlns:xm="http://schemas.microsoft.com/office/excel/2006/main">
          <x14:cfRule type="dataBar" id="{DBC0C84C-C7BE-4AB3-8FE5-9CA2F22B64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Q368:W368</xm:sqref>
        </x14:conditionalFormatting>
        <x14:conditionalFormatting xmlns:xm="http://schemas.microsoft.com/office/excel/2006/main">
          <x14:cfRule type="dataBar" id="{A1F8EBD0-8D92-49CF-83D8-7569FBB21D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Q369:W369</xm:sqref>
        </x14:conditionalFormatting>
        <x14:conditionalFormatting xmlns:xm="http://schemas.microsoft.com/office/excel/2006/main">
          <x14:cfRule type="dataBar" id="{94CCC3E7-0F7F-4ECD-9166-7B05C09A8D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Q371:W371</xm:sqref>
        </x14:conditionalFormatting>
        <x14:conditionalFormatting xmlns:xm="http://schemas.microsoft.com/office/excel/2006/main">
          <x14:cfRule type="dataBar" id="{2452FAAD-8CBD-4286-A183-92420BAD06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Q372:W372</xm:sqref>
        </x14:conditionalFormatting>
        <x14:conditionalFormatting xmlns:xm="http://schemas.microsoft.com/office/excel/2006/main">
          <x14:cfRule type="dataBar" id="{BD15855B-7CA0-47A6-864D-959DABF7C4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Q386:W386</xm:sqref>
        </x14:conditionalFormatting>
        <x14:conditionalFormatting xmlns:xm="http://schemas.microsoft.com/office/excel/2006/main">
          <x14:cfRule type="dataBar" id="{13D2FA5B-18CC-454D-BA25-D4D612092B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Q387:W387</xm:sqref>
        </x14:conditionalFormatting>
        <x14:conditionalFormatting xmlns:xm="http://schemas.microsoft.com/office/excel/2006/main">
          <x14:cfRule type="dataBar" id="{AEFE4677-2615-4DAE-A72A-9A78E70E7E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Q381:W381</xm:sqref>
        </x14:conditionalFormatting>
        <x14:conditionalFormatting xmlns:xm="http://schemas.microsoft.com/office/excel/2006/main">
          <x14:cfRule type="dataBar" id="{745B3524-A90E-4CFC-8CB6-03BBF1436A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Q370:W370</xm:sqref>
        </x14:conditionalFormatting>
        <x14:conditionalFormatting xmlns:xm="http://schemas.microsoft.com/office/excel/2006/main">
          <x14:cfRule type="dataBar" id="{27E5E7B7-F9F6-4BB2-8370-82502E2EEA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Q373:W373</xm:sqref>
        </x14:conditionalFormatting>
        <x14:conditionalFormatting xmlns:xm="http://schemas.microsoft.com/office/excel/2006/main">
          <x14:cfRule type="dataBar" id="{0321FDCF-63C2-467B-9B1C-9A313AD0E3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Q382:W382</xm:sqref>
        </x14:conditionalFormatting>
        <x14:conditionalFormatting xmlns:xm="http://schemas.microsoft.com/office/excel/2006/main">
          <x14:cfRule type="dataBar" id="{329DA8D0-AF91-4427-9D92-05C866307D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Q380:W380</xm:sqref>
        </x14:conditionalFormatting>
        <x14:conditionalFormatting xmlns:xm="http://schemas.microsoft.com/office/excel/2006/main">
          <x14:cfRule type="dataBar" id="{09D8FDBF-707D-4FBF-810A-1ABFE61603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Q379:W379</xm:sqref>
        </x14:conditionalFormatting>
        <x14:conditionalFormatting xmlns:xm="http://schemas.microsoft.com/office/excel/2006/main">
          <x14:cfRule type="dataBar" id="{5C8AC2D2-2FA6-4BCA-8384-62D8BDA945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Q383:W383</xm:sqref>
        </x14:conditionalFormatting>
        <x14:conditionalFormatting xmlns:xm="http://schemas.microsoft.com/office/excel/2006/main">
          <x14:cfRule type="dataBar" id="{BCA9762B-5A50-4AD0-8594-444DA35EB0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Q384:W384</xm:sqref>
        </x14:conditionalFormatting>
        <x14:conditionalFormatting xmlns:xm="http://schemas.microsoft.com/office/excel/2006/main">
          <x14:cfRule type="dataBar" id="{6D5ED89B-D7D6-4EEB-8CF5-AB87DCF15E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Q385:W385</xm:sqref>
        </x14:conditionalFormatting>
        <x14:conditionalFormatting xmlns:xm="http://schemas.microsoft.com/office/excel/2006/main">
          <x14:cfRule type="dataBar" id="{06F8AACA-5E39-4BE4-AFC8-F18A5D4FDA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Q388:W388</xm:sqref>
        </x14:conditionalFormatting>
        <x14:conditionalFormatting xmlns:xm="http://schemas.microsoft.com/office/excel/2006/main">
          <x14:cfRule type="dataBar" id="{1536ACEB-E0D1-4F55-8D6C-74E0D1635F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Q374:W374</xm:sqref>
        </x14:conditionalFormatting>
        <x14:conditionalFormatting xmlns:xm="http://schemas.microsoft.com/office/excel/2006/main">
          <x14:cfRule type="dataBar" id="{55DA7F4B-CE4B-49C5-B97B-F346BD632C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Q375:W375</xm:sqref>
        </x14:conditionalFormatting>
        <x14:conditionalFormatting xmlns:xm="http://schemas.microsoft.com/office/excel/2006/main">
          <x14:cfRule type="dataBar" id="{D8542930-2B31-4103-BF7F-251E4A9B6D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Q376:W376</xm:sqref>
        </x14:conditionalFormatting>
        <x14:conditionalFormatting xmlns:xm="http://schemas.microsoft.com/office/excel/2006/main">
          <x14:cfRule type="dataBar" id="{96ABC27C-0041-467E-A186-936726FEDC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Q377:W377</xm:sqref>
        </x14:conditionalFormatting>
        <x14:conditionalFormatting xmlns:xm="http://schemas.microsoft.com/office/excel/2006/main">
          <x14:cfRule type="dataBar" id="{E5062C90-076D-4D4C-8954-BD47ED5BF9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Q389:W389</xm:sqref>
        </x14:conditionalFormatting>
        <x14:conditionalFormatting xmlns:xm="http://schemas.microsoft.com/office/excel/2006/main">
          <x14:cfRule type="dataBar" id="{CC4CCCD1-BBCB-4241-8BF3-E79AD6DB51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Q390:W390</xm:sqref>
        </x14:conditionalFormatting>
        <x14:conditionalFormatting xmlns:xm="http://schemas.microsoft.com/office/excel/2006/main">
          <x14:cfRule type="dataBar" id="{FA663901-3E0A-44FC-8B61-42CA7C4127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Q391:W391</xm:sqref>
        </x14:conditionalFormatting>
        <x14:conditionalFormatting xmlns:xm="http://schemas.microsoft.com/office/excel/2006/main">
          <x14:cfRule type="dataBar" id="{FAEACCB6-EBFD-4CA5-8799-AD619AD357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Q392:W392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计算大表">
          <button id="button1" size="large" label="双修" imageMso="ChartLayoutGallery" screentip="Flag and NF" supertip="Click to run" onAction="NFL"/>
          <button id="button2" size="large" label="盲扫" imageMso="ChartLayoutGallery" screentip="Only NF" supertip="Click to run" onAction="NF"/>
          <button id="button7" size="large" label="飞标" imageMso="ChartLayoutGallery" screentip="Only Flag" supertip="Click to run" onAction="FL"/>
        </group>
        <group id="group2" label="扩大统计范围">
          <button id="button3" size="large" label="增加年平均" imageMso="AddOrRemoveAttendees" screentip="Add Year Averages" supertip="Click to add" onAction="addyear"/>
          <button id="button4" size="large" label="增加月平均" imageMso="AddOrRemoveAttendees" screentip="Add Month Averages" supertip="Click to add" onAction="addmonth"/>
          <button id="button5" size="large" label="增加季度" imageMso="AddOrRemoveAttendees" screentip="Add Year Achivement" supertip="Click to add" onAction="addquater"/>
          <button id="button0" size="large" label="增加半年" imageMso="AddOrRemoveAttendees" screentip="Add Year Achivement" supertip="Click to add" onAction="addhalf"/>
        </group>
        <group id="group3" label="其他">
          <button id="button6" size="large" label="English" imageMso="FunctionsTextInsertGallery" screentip="English" supertip="Click to change to English" onAction="English"/>
          <button id="button8" size="large" label="胜率分析" imageMso="FunctionsTextInsertGallery" screentip="WinRate" supertip="Click to run" onAction="WinRate"/>
          <button id="button9" size="large" label="中文" imageMso="FunctionsTextInsertGallery" screentip="Chinese" supertip="Click to change to Chinese" onAction="Chinese"/>
        </group>
        <group id="group4" label="快速模式">
          <button id="button11" size="large" label="快速双修" imageMso="FunctionsTextInsertGallery" screentip="Fast Flag and NF" supertip="Click to run" onAction="NFLQ"/>
          <button id="button12" size="large" label="快速盲扫" imageMso="FunctionsTextInsertGallery" screentip="Fast Only NF" supertip="Click to run" onAction="NFQ"/>
          <button id="button13" size="large" label="快速飞标" imageMso="FunctionsTextInsertGallery" screentip="Fast Only Flag" supertip="Click to run" onAction="FLQ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Arb</vt:lpstr>
      <vt:lpstr>Blast</vt:lpstr>
      <vt:lpstr>Week</vt:lpstr>
      <vt:lpstr>LSF</vt:lpstr>
      <vt:lpstr>Mon</vt:lpstr>
      <vt:lpstr>Qter</vt:lpstr>
      <vt:lpstr>Half</vt:lpstr>
      <vt:lpstr>Year</vt:lpstr>
      <vt:lpstr>BEG</vt:lpstr>
      <vt:lpstr>INT</vt:lpstr>
      <vt:lpstr>EXP</vt:lpstr>
      <vt:lpstr>YA</vt:lpstr>
      <vt:lpstr>Range</vt:lpstr>
      <vt:lpstr>YT</vt:lpstr>
      <vt:lpstr>Num</vt:lpstr>
      <vt:lpstr>Time</vt:lpstr>
      <vt:lpstr>Bvs</vt:lpstr>
      <vt:lpstr>QG</vt:lpstr>
      <vt:lpstr>Sao</vt:lpstr>
      <vt:lpstr>Corr</vt:lpstr>
      <vt:lpstr>BV</vt:lpstr>
      <vt:lpstr>ASB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jianing wang</cp:lastModifiedBy>
  <dcterms:created xsi:type="dcterms:W3CDTF">2006-09-16T00:00:00Z</dcterms:created>
  <dcterms:modified xsi:type="dcterms:W3CDTF">2020-12-15T12:59:12Z</dcterms:modified>
</cp:coreProperties>
</file>